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and Count" sheetId="1" r:id="rId5"/>
    <sheet state="visible" name="#Cheers4Careers Info Update For" sheetId="2" r:id="rId6"/>
    <sheet state="visible" name="Champions" sheetId="3" r:id="rId7"/>
    <sheet state="visible" name="Interns" sheetId="4" r:id="rId8"/>
    <sheet state="visible" name="Partners" sheetId="5" r:id="rId9"/>
    <sheet state="visible" name="Hub Interns 226" sheetId="6" r:id="rId10"/>
    <sheet state="visible" name="Hub CPC 226" sheetId="7" r:id="rId11"/>
    <sheet state="visible" name="Hub Users 226" sheetId="8" r:id="rId12"/>
    <sheet state="visible" name="NYC CPC Outreach - May 2025 Mee" sheetId="9" r:id="rId13"/>
  </sheets>
  <definedNames>
    <definedName hidden="1" localSheetId="2" name="_xlnm._FilterDatabase">Champions!$F$1:$AL$656</definedName>
    <definedName hidden="1" localSheetId="3" name="_xlnm._FilterDatabase">Interns!$A$1:$AV$1864</definedName>
    <definedName hidden="1" localSheetId="4" name="_xlnm._FilterDatabase">Partners!$B$1:$AK$95</definedName>
    <definedName hidden="1" localSheetId="8" name="_xlnm._FilterDatabase">'NYC CPC Outreach - May 2025 Mee'!$A$1:$AC$97</definedName>
    <definedName hidden="1" localSheetId="2" name="Z_BA48C2D9_2922_4DE7_9AE6_EA0A617FB135_.wvu.FilterData">Champions!$C$1:$C$656</definedName>
  </definedNames>
  <calcPr/>
  <customWorkbookViews>
    <customWorkbookView activeSheetId="0" maximized="1" windowHeight="0" windowWidth="0" guid="{BA48C2D9-2922-4DE7-9AE6-EA0A617FB135}" name="Filter 1"/>
  </customWorkbookViews>
  <pivotCaches>
    <pivotCache cacheId="0" r:id="rId14"/>
  </pivotCaches>
</workbook>
</file>

<file path=xl/sharedStrings.xml><?xml version="1.0" encoding="utf-8"?>
<sst xmlns="http://schemas.openxmlformats.org/spreadsheetml/2006/main" count="64427" uniqueCount="19790">
  <si>
    <t>Program Count by Year</t>
  </si>
  <si>
    <t>COUNTA of Programs Participated In</t>
  </si>
  <si>
    <t>Year</t>
  </si>
  <si>
    <t>Programs Participated In</t>
  </si>
  <si>
    <t>17-18</t>
  </si>
  <si>
    <t>17-18, 19 - 20</t>
  </si>
  <si>
    <t>19 - 20</t>
  </si>
  <si>
    <t>19 - 20, 20 - 21</t>
  </si>
  <si>
    <t>20 - 21</t>
  </si>
  <si>
    <t>20 - 21, 21 - 22</t>
  </si>
  <si>
    <t>21 - 22</t>
  </si>
  <si>
    <t>21 - 22, 20 - 21</t>
  </si>
  <si>
    <t>21 - 22, 22 - 23</t>
  </si>
  <si>
    <t>21 - 22, 22 - 23, 20 - 21</t>
  </si>
  <si>
    <t>21 - 22, 23 - 24</t>
  </si>
  <si>
    <t>22 - 23</t>
  </si>
  <si>
    <t>22 - 23, 20 - 21</t>
  </si>
  <si>
    <t>22 - 23, 23 - 24</t>
  </si>
  <si>
    <t>23 - 24</t>
  </si>
  <si>
    <t>24 - 25</t>
  </si>
  <si>
    <t>25 - 26</t>
  </si>
  <si>
    <t>Grand Total</t>
  </si>
  <si>
    <t>AL</t>
  </si>
  <si>
    <t>DL</t>
  </si>
  <si>
    <t>EL</t>
  </si>
  <si>
    <t>FY</t>
  </si>
  <si>
    <t>FY, EY</t>
  </si>
  <si>
    <t>IL</t>
  </si>
  <si>
    <t>Seminars</t>
  </si>
  <si>
    <t>COUNTA of Duplicate Record</t>
  </si>
  <si>
    <t>Duplicate Record</t>
  </si>
  <si>
    <t>Duplicate</t>
  </si>
  <si>
    <t>School Count</t>
  </si>
  <si>
    <t>Timestamp</t>
  </si>
  <si>
    <t>Email Address</t>
  </si>
  <si>
    <t>Full Name</t>
  </si>
  <si>
    <t>Full Address with Zip Code (this will help us identify opportunities for you)</t>
  </si>
  <si>
    <t>Phone Number</t>
  </si>
  <si>
    <t>What is your current career interest?</t>
  </si>
  <si>
    <t>What school do you attend? (If you're not in school, put N/A)</t>
  </si>
  <si>
    <t>Do you have a job? If so, what company are you with and what do you do? (If you are not currently employed, put N/A)</t>
  </si>
  <si>
    <t xml:space="preserve">Are you looking for an internship or job? Tell us more. </t>
  </si>
  <si>
    <t>What #Cheers4Careers event are you attending? (Provide the date and location)</t>
  </si>
  <si>
    <t>Would you like to participate in the following (please select all that you're interested in)</t>
  </si>
  <si>
    <t xml:space="preserve">Please let us know if you have any food allergies or food restrictions </t>
  </si>
  <si>
    <t>ousmane@speakhire.org</t>
  </si>
  <si>
    <t>Ousmane Diallo</t>
  </si>
  <si>
    <t>1011 East 53rd street Brooklyn NY 11234</t>
  </si>
  <si>
    <t>Tech ( Mainframe)</t>
  </si>
  <si>
    <t>CUNY City Tech</t>
  </si>
  <si>
    <t>N/A</t>
  </si>
  <si>
    <t xml:space="preserve">Yes. </t>
  </si>
  <si>
    <t>March 24 Midtown</t>
  </si>
  <si>
    <t>SpeakHire Summit - June 7 - Connect with other alumni for a day of professional development and networking</t>
  </si>
  <si>
    <t>jhanmottap@gmail.com</t>
  </si>
  <si>
    <t>Jhan pier Motta Londoño</t>
  </si>
  <si>
    <t>3540 83rd Jackson heights 11372</t>
  </si>
  <si>
    <t>Theater ( acting ) and art ( photography)</t>
  </si>
  <si>
    <t xml:space="preserve">Brooklyn College </t>
  </si>
  <si>
    <t>Freelance model</t>
  </si>
  <si>
    <t>If there is an job opportunity that is relate with art.</t>
  </si>
  <si>
    <t>03/24/26 (246 W 38th St)</t>
  </si>
  <si>
    <t>Other #Cheers4Careers events -- Alumni #Cheers4Careers is March 28th from 1 - 3 pm at Queens Museum featuring 3 Champions speaking about leadership</t>
  </si>
  <si>
    <t>naim.bakere@ellisprep.com</t>
  </si>
  <si>
    <t>Naim Bakere</t>
  </si>
  <si>
    <t>2015 Southern Blvd 9c Bronx NY 10460</t>
  </si>
  <si>
    <t xml:space="preserve">Business administration </t>
  </si>
  <si>
    <t>Monroe University expre</t>
  </si>
  <si>
    <t>I work with kid from KidFit soccer. We usually have different locations, so we work depending on the schedule. There is part time and full time.Since I’m a college student athlete,I work part time there. The kid are wonderful, good learners we enjoy every moment. I also do other shift as security certain day</t>
  </si>
  <si>
    <t>Not right now, but it would be for my colleague who is in college right now also.</t>
  </si>
  <si>
    <t>mi577957@gmail.com</t>
  </si>
  <si>
    <t>Mingyu(Carl) Huo</t>
  </si>
  <si>
    <t>14620 58th Ave, Flushing NY 11355</t>
  </si>
  <si>
    <t>929-319-9980</t>
  </si>
  <si>
    <t xml:space="preserve">Math Education </t>
  </si>
  <si>
    <t>Queens College</t>
  </si>
  <si>
    <t>Looking for jobs in education field</t>
  </si>
  <si>
    <t>March 28th Queens Museum</t>
  </si>
  <si>
    <t xml:space="preserve">Systems programming </t>
  </si>
  <si>
    <t>City Tech</t>
  </si>
  <si>
    <t>Both</t>
  </si>
  <si>
    <t>Cheers4Careers Alumni</t>
  </si>
  <si>
    <t>SpeakHire Summit - June 7 - Connect with other alumni for a day of professional development and networking, Other #Cheers4Careers events -- Alumni #Cheers4Careers is March 28th from 1 - 3 pm at Queens Museum featuring 3 Champions speaking about leadership</t>
  </si>
  <si>
    <t>jackelinemoran278@gmail.com</t>
  </si>
  <si>
    <t>Jackeline Susano Moran</t>
  </si>
  <si>
    <t>104-41 41st Ave Corona NY 11368</t>
  </si>
  <si>
    <t>Medical/Research</t>
  </si>
  <si>
    <t>Talent Unlimited High School</t>
  </si>
  <si>
    <t xml:space="preserve">Yes, part time maybe </t>
  </si>
  <si>
    <t>Alumni- 03/28/26 @Queens Museum</t>
  </si>
  <si>
    <t>#SpeakingMyName - June 16th - Share your name story video and join the campaign!, SpeakHire Summit - June 7 - Connect with other alumni for a day of professional development and networking, Other #Cheers4Careers events -- Alumni #Cheers4Careers is March 28th from 1 - 3 pm at Queens Museum featuring 3 Champions speaking about leadership</t>
  </si>
  <si>
    <t>elisaoch3@gmail.com</t>
  </si>
  <si>
    <t>Elisa och</t>
  </si>
  <si>
    <t>142-19 horace harding express way 11367</t>
  </si>
  <si>
    <t>Airforce</t>
  </si>
  <si>
    <t>john bowne high school</t>
  </si>
  <si>
    <t>No i do not have a job</t>
  </si>
  <si>
    <t>Yes i am looking for a job</t>
  </si>
  <si>
    <t>Queens museum 3/28/2026</t>
  </si>
  <si>
    <t>mahaic2023@gmail.com</t>
  </si>
  <si>
    <t xml:space="preserve">Mahia </t>
  </si>
  <si>
    <t>Yes</t>
  </si>
  <si>
    <t>!</t>
  </si>
  <si>
    <t>N</t>
  </si>
  <si>
    <t>mennatallah@speakhire.org</t>
  </si>
  <si>
    <t>Mennatallah Mahmoud</t>
  </si>
  <si>
    <t>490 Grandview Ave, Ridgewood, NY 11385</t>
  </si>
  <si>
    <t>Law</t>
  </si>
  <si>
    <t xml:space="preserve">MESA Charter High School </t>
  </si>
  <si>
    <t>Yes, I would like to find a virtual internship, so it doesn’t effect school.</t>
  </si>
  <si>
    <t xml:space="preserve">3/28/2026 Queens Museum </t>
  </si>
  <si>
    <t>leyli@speakhire.org</t>
  </si>
  <si>
    <t>Leyli Hernandez</t>
  </si>
  <si>
    <t>99-22 42nd Ave Bsmt Corona NY 11368</t>
  </si>
  <si>
    <t>(347)453-8142</t>
  </si>
  <si>
    <t>STEM, Agriculture, Environmental</t>
  </si>
  <si>
    <t xml:space="preserve">Academy of American Studies </t>
  </si>
  <si>
    <t>Yes, I am looking for a job for during the summer because at the moment I am busy with school and after school practices.</t>
  </si>
  <si>
    <t xml:space="preserve">03/28/2026 at the Queens Museum </t>
  </si>
  <si>
    <t>samueltavarez74@gmail.com</t>
  </si>
  <si>
    <t>Samuel Tavarez</t>
  </si>
  <si>
    <t>559 W 158 St 10032 New York, NY</t>
  </si>
  <si>
    <t xml:space="preserve">Finance, International Business </t>
  </si>
  <si>
    <t xml:space="preserve">Baruch College </t>
  </si>
  <si>
    <t>Intership</t>
  </si>
  <si>
    <t xml:space="preserve">April 18 Queens Museum </t>
  </si>
  <si>
    <t>Cristinape31@gmail.com</t>
  </si>
  <si>
    <t>Jayda Caimares</t>
  </si>
  <si>
    <t>65-21 79th st Middle Village NY 11379</t>
  </si>
  <si>
    <t xml:space="preserve">646-421-9589 </t>
  </si>
  <si>
    <t>Student</t>
  </si>
  <si>
    <t>PS 49 Middle Village NY 11379</t>
  </si>
  <si>
    <t xml:space="preserve">Saturday,  April 18 Queens Museum </t>
  </si>
  <si>
    <t>#SpeakingMyName - June 16th - Share your name story video and join the campaign!, SpeakHire Summit - June 7 - Connect with other alumni for a day of professional development and networking</t>
  </si>
  <si>
    <t xml:space="preserve">Cristina Peña Caimares </t>
  </si>
  <si>
    <t xml:space="preserve">Student </t>
  </si>
  <si>
    <t xml:space="preserve">Department of Education </t>
  </si>
  <si>
    <t xml:space="preserve">Speech Pathology </t>
  </si>
  <si>
    <t xml:space="preserve">Saturday, April 18 Queens Museum </t>
  </si>
  <si>
    <t>142-19 horace harding expressway     11367</t>
  </si>
  <si>
    <t>Health and nutrition science</t>
  </si>
  <si>
    <t>John  Bowne  highschool</t>
  </si>
  <si>
    <t>no i do not have a job</t>
  </si>
  <si>
    <t>no i am not intrested in any jobs yet maybe after highschool yeah</t>
  </si>
  <si>
    <t>Saturday april 18th 2026</t>
  </si>
  <si>
    <t>No i do not have any allergies</t>
  </si>
  <si>
    <t>richie334455@gmail.com</t>
  </si>
  <si>
    <t>Richie Hung</t>
  </si>
  <si>
    <t>108-19 71 AVENUE FOREST HILLS, NY 11375</t>
  </si>
  <si>
    <t xml:space="preserve">Economic and data science </t>
  </si>
  <si>
    <t>Baruch college</t>
  </si>
  <si>
    <t>Retail</t>
  </si>
  <si>
    <t>I am looking for internships related to my major</t>
  </si>
  <si>
    <t xml:space="preserve">April 18th, forest hill public library </t>
  </si>
  <si>
    <t>raselali833@gmail.com</t>
  </si>
  <si>
    <t>Rasel Ali</t>
  </si>
  <si>
    <t xml:space="preserve">Education, non profit org, operations management </t>
  </si>
  <si>
    <t xml:space="preserve">CUNY Lehman </t>
  </si>
  <si>
    <t>Substitute NYC DOE</t>
  </si>
  <si>
    <t>.</t>
  </si>
  <si>
    <t>April 18, both ice cream and leadership talk</t>
  </si>
  <si>
    <t>#SpeakingMyName - June 16th - Share your name story video and join the campaign!</t>
  </si>
  <si>
    <t xml:space="preserve">Research Scientists </t>
  </si>
  <si>
    <t>April 18</t>
  </si>
  <si>
    <t>Shrimp</t>
  </si>
  <si>
    <t xml:space="preserve">STEM, Agricultural Engineering, </t>
  </si>
  <si>
    <t>I am currently working in my resume and have some companies in mind to apply at, but a internship would also help me with my career development so I may look into that as well.</t>
  </si>
  <si>
    <t>April 18 at Cookies n’ Cream 70-17 Austin St Forest Hills NY 11375</t>
  </si>
  <si>
    <t xml:space="preserve">No allergies or food restrictions </t>
  </si>
  <si>
    <t>yiengchukdorji123@gmail.com</t>
  </si>
  <si>
    <t>Yeingchuk Dorji</t>
  </si>
  <si>
    <t xml:space="preserve">Law, psychology </t>
  </si>
  <si>
    <t xml:space="preserve">Arizona state university </t>
  </si>
  <si>
    <t xml:space="preserve">Babysitting job </t>
  </si>
  <si>
    <t xml:space="preserve">Yes, currently looking for internships </t>
  </si>
  <si>
    <t xml:space="preserve">I can help out with the set up. </t>
  </si>
  <si>
    <t>akiramartinez002@gmail.com</t>
  </si>
  <si>
    <t>Akira Z. Quezada</t>
  </si>
  <si>
    <t>124 Farnham avenue, Garfield, NJ 07026.</t>
  </si>
  <si>
    <t>Biomedical engineering.</t>
  </si>
  <si>
    <t>The City College of New York.</t>
  </si>
  <si>
    <t>I work at International Community High School, I am a math tuttor.</t>
  </si>
  <si>
    <t>Yes, I'm looking for an internship in the STEM field, or a part time job related to my career interest.</t>
  </si>
  <si>
    <t>Ice cream and networking, leadership talks.</t>
  </si>
  <si>
    <t>No allergies.</t>
  </si>
  <si>
    <t>Research Scientist in AI/ML</t>
  </si>
  <si>
    <t>May 24</t>
  </si>
  <si>
    <t xml:space="preserve">No seafood </t>
  </si>
  <si>
    <t>Research in AI</t>
  </si>
  <si>
    <t>No</t>
  </si>
  <si>
    <t xml:space="preserve">May 24 Lehman College </t>
  </si>
  <si>
    <t>libanezadelacruz4@gmail.com</t>
  </si>
  <si>
    <t>Jhanna De La Cruz</t>
  </si>
  <si>
    <t>156E 171st St 3L Bronx, NY 10452</t>
  </si>
  <si>
    <t>Social worker, Assistant Research, Human Resources and career related to psychology .</t>
  </si>
  <si>
    <t>Job but can be both.</t>
  </si>
  <si>
    <t>Lehman college Bronx,  May 24</t>
  </si>
  <si>
    <t>naimbakere@ellisprep.com</t>
  </si>
  <si>
    <t>Naim</t>
  </si>
  <si>
    <t>2015 southern blvd 9c Bronx NY 10460</t>
  </si>
  <si>
    <t xml:space="preserve">Data analysis </t>
  </si>
  <si>
    <t xml:space="preserve">Monroe graduated </t>
  </si>
  <si>
    <t xml:space="preserve">PPI security duty </t>
  </si>
  <si>
    <t xml:space="preserve">Yes flexible job and good location </t>
  </si>
  <si>
    <t>Lehman college Bronx</t>
  </si>
  <si>
    <t>SpeakHire Summit - June 11 - Connect with other alumni for a day of professional development and networking, Other #Cheers4Careers events -- Alumni #Cheers4Careers is May 24th from 1 - 3 pm at Lehman College</t>
  </si>
  <si>
    <t>First Name</t>
  </si>
  <si>
    <t>Last Name</t>
  </si>
  <si>
    <t>Contact Status</t>
  </si>
  <si>
    <t>Kintone Record Number</t>
  </si>
  <si>
    <t>Hub Champion ID</t>
  </si>
  <si>
    <t>Hub
User ID</t>
  </si>
  <si>
    <t>Main Career Field</t>
  </si>
  <si>
    <t>Notes</t>
  </si>
  <si>
    <t>Date Applied</t>
  </si>
  <si>
    <t>NY Congressional Districts</t>
  </si>
  <si>
    <t>NY Senate District</t>
  </si>
  <si>
    <t>NY Assembly District</t>
  </si>
  <si>
    <t>NYC City Council District</t>
  </si>
  <si>
    <t>Address</t>
  </si>
  <si>
    <t>Current Location</t>
  </si>
  <si>
    <t>City</t>
  </si>
  <si>
    <t>State</t>
  </si>
  <si>
    <t>Current Company</t>
  </si>
  <si>
    <t>Programs Participated in</t>
  </si>
  <si>
    <t>Connected Interns</t>
  </si>
  <si>
    <t xml:space="preserve">Partner Orgs Supported </t>
  </si>
  <si>
    <t>Testimonials</t>
  </si>
  <si>
    <t>#Cheers4Careers Outreach</t>
  </si>
  <si>
    <t>Soiree Outreach</t>
  </si>
  <si>
    <t>Hub Active</t>
  </si>
  <si>
    <t>Unsubscribed from Mailing List</t>
  </si>
  <si>
    <t>Magazine Issue Mailed</t>
  </si>
  <si>
    <t>Magazine Issue Mailed Date</t>
  </si>
  <si>
    <t>Purpose of mailing</t>
  </si>
  <si>
    <t>Donation Amount</t>
  </si>
  <si>
    <t>Tahsina</t>
  </si>
  <si>
    <t>Ahmed</t>
  </si>
  <si>
    <t>Inactive CPC</t>
  </si>
  <si>
    <t>STEM (Science, Technology, Engineering, Math)</t>
  </si>
  <si>
    <t/>
  </si>
  <si>
    <t>NJ</t>
  </si>
  <si>
    <t>FY 17 - 18</t>
  </si>
  <si>
    <r>
      <rPr>
        <color rgb="FF1155CC"/>
        <sz val="10.0"/>
        <u/>
      </rPr>
      <t>Ecstacy Holland</t>
    </r>
    <r>
      <rPr>
        <sz val="10.0"/>
      </rPr>
      <t xml:space="preserve"> and </t>
    </r>
    <r>
      <rPr>
        <color rgb="FF1155CC"/>
        <sz val="10.0"/>
        <u/>
      </rPr>
      <t>Mimi Agbobli</t>
    </r>
  </si>
  <si>
    <t>American History</t>
  </si>
  <si>
    <t>John ?Nico?</t>
  </si>
  <si>
    <t>Johnson</t>
  </si>
  <si>
    <t>1nicojohnson@gmail.com</t>
  </si>
  <si>
    <t>Active CPC</t>
  </si>
  <si>
    <t>1/11/23 SB sent email about IR2 12/19/22 Nico confirmed Wheels schedule for IR2. CT 12/08/22 CT asked about Wheels schedule for IR2 12/16/21 Nico has only shown to 1 out of 4 sessions for FY21-22 IR1 so far SB Nico is active US Navy for the past 13 years Can be matched on Engineering and law enforcement / army Nico has basic Spanish (can understand at a minimum really) and told Hetal to take it off as a language. Can match on Spanish if the student puts 'Somewhat Comfortable' put shows higher proficiency and needs someone without the Spanish cruth. He can do Japanese (conversational) and ASL. (HJ, 10/20/21) Nico informed us on May 3rd, 2021 that he changed companies from Insight Global to Bravura (HJ) Nico attended a training on 2/26/21 with JPS JPS followed up on 2/20/21 &amp;#43; invited Nico to schedule a training Nico was screened on 2/19/21 by Malak Baker at 1 pm est Double checked 1/26 (KW)</t>
  </si>
  <si>
    <t>630 8th Avenue, San Diego</t>
  </si>
  <si>
    <t>San Diego</t>
  </si>
  <si>
    <t>CA</t>
  </si>
  <si>
    <t>Bravura</t>
  </si>
  <si>
    <t>Seminars 22, Seminars 21, FY 22 - 23, FY 21 - 22, FY 20 - 21</t>
  </si>
  <si>
    <r>
      <rPr>
        <color rgb="FF1155CC"/>
        <sz val="10.0"/>
        <u/>
      </rPr>
      <t>Richard Murillo</t>
    </r>
    <r>
      <rPr>
        <sz val="10.0"/>
      </rPr>
      <t xml:space="preserve">, </t>
    </r>
    <r>
      <rPr>
        <color rgb="FF1155CC"/>
        <sz val="10.0"/>
        <u/>
      </rPr>
      <t>Aristid Reynoso</t>
    </r>
    <r>
      <rPr>
        <sz val="10.0"/>
      </rPr>
      <t xml:space="preserve">, </t>
    </r>
    <r>
      <rPr>
        <color rgb="FF1155CC"/>
        <sz val="10.0"/>
        <u/>
      </rPr>
      <t>Emanuel Ortiz</t>
    </r>
    <r>
      <rPr>
        <sz val="10.0"/>
      </rPr>
      <t xml:space="preserve">, </t>
    </r>
    <r>
      <rPr>
        <color rgb="FF1155CC"/>
        <sz val="10.0"/>
        <u/>
      </rPr>
      <t>Jason Hernandez</t>
    </r>
    <r>
      <rPr>
        <sz val="10.0"/>
      </rPr>
      <t xml:space="preserve">, </t>
    </r>
    <r>
      <rPr>
        <color rgb="FF1155CC"/>
        <sz val="10.0"/>
        <u/>
      </rPr>
      <t>Rubaya Nasrin</t>
    </r>
    <r>
      <rPr>
        <sz val="10.0"/>
      </rPr>
      <t xml:space="preserve">, </t>
    </r>
    <r>
      <rPr>
        <color rgb="FF1155CC"/>
        <sz val="10.0"/>
        <u/>
      </rPr>
      <t>Michael Suarez Suarez</t>
    </r>
    <r>
      <rPr>
        <sz val="10.0"/>
      </rPr>
      <t xml:space="preserve">, </t>
    </r>
    <r>
      <rPr>
        <color rgb="FF1155CC"/>
        <sz val="10.0"/>
        <u/>
      </rPr>
      <t>Vimadel Estrella</t>
    </r>
    <r>
      <rPr>
        <sz val="10.0"/>
      </rPr>
      <t xml:space="preserve">, </t>
    </r>
    <r>
      <rPr>
        <color rgb="FF1155CC"/>
        <sz val="10.0"/>
        <u/>
      </rPr>
      <t>Alessandro Pineda</t>
    </r>
    <r>
      <rPr>
        <sz val="10.0"/>
      </rPr>
      <t xml:space="preserve">, </t>
    </r>
    <r>
      <rPr>
        <color rgb="FF1155CC"/>
        <sz val="10.0"/>
        <u/>
      </rPr>
      <t>Elver Veras</t>
    </r>
    <r>
      <rPr>
        <sz val="10.0"/>
      </rPr>
      <t xml:space="preserve">, </t>
    </r>
    <r>
      <rPr>
        <color rgb="FF1155CC"/>
        <sz val="10.0"/>
        <u/>
      </rPr>
      <t>Maria Ventura</t>
    </r>
    <r>
      <rPr>
        <sz val="10.0"/>
      </rPr>
      <t xml:space="preserve">, </t>
    </r>
    <r>
      <rPr>
        <color rgb="FF1155CC"/>
        <sz val="10.0"/>
        <u/>
      </rPr>
      <t>Francis Calderon</t>
    </r>
    <r>
      <rPr>
        <sz val="10.0"/>
      </rPr>
      <t xml:space="preserve">, </t>
    </r>
    <r>
      <rPr>
        <color rgb="FF1155CC"/>
        <sz val="10.0"/>
        <u/>
      </rPr>
      <t>Jose Rivera</t>
    </r>
    <r>
      <rPr>
        <sz val="10.0"/>
      </rPr>
      <t xml:space="preserve"> and </t>
    </r>
    <r>
      <rPr>
        <color rgb="FF1155CC"/>
        <sz val="10.0"/>
        <u/>
      </rPr>
      <t>Trisha Landolt</t>
    </r>
  </si>
  <si>
    <t>ClaremontIHS, WheelsNYC, HSEI, IHS Health, FlushingIHS</t>
  </si>
  <si>
    <t>Abdelrahman</t>
  </si>
  <si>
    <t>Bannora</t>
  </si>
  <si>
    <t>a_bannora@yahoo.co.uk</t>
  </si>
  <si>
    <t xml:space="preserve">Health Sciences/Medicine </t>
  </si>
  <si>
    <t>Has no US experience so asked to be a seminar speaker or Speaker Series speaker (SB, 9/21/21) Screening call completed 9/2/21 SB Sent screening scheduling email 8/23/21 SB</t>
  </si>
  <si>
    <t>Building 12A,Street 42, 11th district, Zayed, Giza, Egypt</t>
  </si>
  <si>
    <t>Cairo, Egypt</t>
  </si>
  <si>
    <t>N/A, I'm a freelancer</t>
  </si>
  <si>
    <t>Andres</t>
  </si>
  <si>
    <t>Rubiano</t>
  </si>
  <si>
    <t>(941) 296-5946</t>
  </si>
  <si>
    <t>Aar2213@tc.Columbia.edu</t>
  </si>
  <si>
    <t>Entertainment/Lifestyle</t>
  </si>
  <si>
    <t>3/31/23 CT updated bio &amp;amp; job title 3/23/23 CT updated email to Aar2213@tc.Columbia.edu 3/15/23 CT asked to be in-person Seminar Speaker at BUSHWICKCHS</t>
  </si>
  <si>
    <t>New York</t>
  </si>
  <si>
    <t>NY</t>
  </si>
  <si>
    <t>SuitUp</t>
  </si>
  <si>
    <t>Seminars 23, Seminars 22</t>
  </si>
  <si>
    <t>BUSHWICKCHS, P2GBronx</t>
  </si>
  <si>
    <t>Abhishek</t>
  </si>
  <si>
    <t>Mehta</t>
  </si>
  <si>
    <t>abhisshekmehta@gmail.com</t>
  </si>
  <si>
    <t>7/17/23 - SB sent email for IRS, BC called &amp;amp; left VM,  SB sent follow up text 1/12/23 emailed SB, &amp;#34;My schedule will not allow me to undertake this project over the next several months. As much as I loved doing this, I'll have to skip for the next few months at least.&amp;#34; - not available for IR2 and IR3 - try for FY 23-24 IRS or IR1 1/11/23 SB sent email for IR2 for Mondays 3/6/22 Emailed in response to IR3 availability request saying he is not available for this round but is interested in future rounds Completed Training and Onboarding on 9/1/21 SB Training scheduling email sent 8/10/21 Passed screening 8/9/21 SB Sent follow up scheduling email 8/4/21 SB Sent screening scheduling email 8/2/21 SB Social Media Handle:  @abhisshekmehta</t>
  </si>
  <si>
    <t>1836 Lee Way, Milpitas, CA 95035</t>
  </si>
  <si>
    <t>Milpitas, CA</t>
  </si>
  <si>
    <t>Milpitas</t>
  </si>
  <si>
    <t>Tesla, Inc.</t>
  </si>
  <si>
    <t>FY 21 - 22</t>
  </si>
  <si>
    <r>
      <rPr>
        <color rgb="FF1155CC"/>
        <sz val="10.0"/>
        <u/>
      </rPr>
      <t>Ousmane Diallo</t>
    </r>
    <r>
      <rPr>
        <sz val="10.0"/>
      </rPr>
      <t xml:space="preserve">, </t>
    </r>
    <r>
      <rPr>
        <color rgb="FF1155CC"/>
        <sz val="10.0"/>
        <u/>
      </rPr>
      <t>Abdelrahman Mohamed</t>
    </r>
    <r>
      <rPr>
        <sz val="10.0"/>
      </rPr>
      <t xml:space="preserve">, </t>
    </r>
    <r>
      <rPr>
        <color rgb="FF1155CC"/>
        <sz val="10.0"/>
        <u/>
      </rPr>
      <t>Ricaldyne Saturne</t>
    </r>
    <r>
      <rPr>
        <sz val="10.0"/>
      </rPr>
      <t xml:space="preserve">, </t>
    </r>
    <r>
      <rPr>
        <color rgb="FF1155CC"/>
        <sz val="10.0"/>
        <u/>
      </rPr>
      <t>Ligia Espinoza</t>
    </r>
    <r>
      <rPr>
        <sz val="10.0"/>
      </rPr>
      <t xml:space="preserve">, </t>
    </r>
    <r>
      <rPr>
        <color rgb="FF1155CC"/>
        <sz val="10.0"/>
        <u/>
      </rPr>
      <t>Eliana Alfonso Hernandez</t>
    </r>
    <r>
      <rPr>
        <sz val="10.0"/>
      </rPr>
      <t xml:space="preserve"> and </t>
    </r>
    <r>
      <rPr>
        <color rgb="FF1155CC"/>
        <sz val="10.0"/>
        <u/>
      </rPr>
      <t>Paola Munoz</t>
    </r>
  </si>
  <si>
    <t>NYC Mission - Emma Lazarus, IHS Lafayette, IHS Health, FlushingIHS</t>
  </si>
  <si>
    <t>Adela</t>
  </si>
  <si>
    <t>Cimic</t>
  </si>
  <si>
    <t>adelacimic@gmail.com</t>
  </si>
  <si>
    <t>Business</t>
  </si>
  <si>
    <t>Not available for IR1 &amp;amp; probably not much time in the future due to personal reasons. CT 9/7/22 7/5/22 LG reached out for IRS availability 3/24/22 Not available for Seminars in May &amp;amp; June due to visiting family overseas. CT 3/21/22 Not available for IR3 CT 12/22/21 SB sent IR2 FY21-22 schedule list for matching Adela attended a training webinar on 3/8/21 with JPS HJ marked Adela as Active Green based off of Malak's notes from screening (2/26/2021) Adela had a screening call with Malak Baker on 2/15/21 JPS emailed on 2/7/2021 to schedule a Screening Call Double checked 1/26 (KW)</t>
  </si>
  <si>
    <t>208 Java St apt 1A, Brooklyn NY</t>
  </si>
  <si>
    <t>NYC</t>
  </si>
  <si>
    <t>Brooklyn</t>
  </si>
  <si>
    <t>Columbia university medical center</t>
  </si>
  <si>
    <t>Seminars 22, FY 20 - 21</t>
  </si>
  <si>
    <r>
      <rPr>
        <color rgb="FF1155CC"/>
        <sz val="10.0"/>
        <u/>
      </rPr>
      <t>Dariel Harrison</t>
    </r>
    <r>
      <rPr>
        <sz val="10.0"/>
      </rPr>
      <t xml:space="preserve"> and </t>
    </r>
    <r>
      <rPr>
        <color rgb="FF1155CC"/>
        <sz val="10.0"/>
        <u/>
      </rPr>
      <t>Blair Vales</t>
    </r>
  </si>
  <si>
    <t>IHSUnionSquare, QueensPrepAcad</t>
  </si>
  <si>
    <t>Addy Michelle</t>
  </si>
  <si>
    <t>Jimenez Haga</t>
  </si>
  <si>
    <t>adrianna.haga@gmail.com</t>
  </si>
  <si>
    <t>Armed Services/Law Enforcement</t>
  </si>
  <si>
    <t>12/4/23 Addy confirmed availability for IR2, SB emailed About Interns to confirm group 11/29/23 Add replied to newsletter saying she was interested in IR2 - SB sent dates to check availability Addy made the #ChampionItForward video 7/18/23 WW emailed for IRS availability, FG followed up with call and text, not available for IRS - &amp;#34;If something comes up between 11:30 - 1:00 PM PDT please let me know.&amp;#34; 12/16/22 Addy confirmed availability for IR2 - Mondays at 3 pm est 12/13/22 SB sent follow up email about matching - Addy responded that she is talking with boss and will get back to us later this week  12/6/22 SB emailed schedules and request for IR2  12/1/22 emailed SB current availability: 6-7 am or between 11:00 - 1:00 pm PST (9-10 am est or 2-4 pm est) Travelling most of November and might not be able to join IR1. She wants to receive schedule though and might be able to participate. Best times for her are 11 am to 1:30 pm PST. CT 08/31/2022 7/12/22 Addy emailed letting us know availability/flexibility at work is limited. Doing internship rounds early in the morning (pst) would work better for her. SB 3/14/22 Not available for IR3 due to new position at work. Reach out for next round. CT Best form of contact is phone 2/18/22 SB asked Addy for a seminar, she would love to but unable to Monday thru Thursday when also doing sessions. Asked to be considered for Friday Seminars! She waited over a year for a mentee and wasn't match due to lack of school partners at the time. She said she is no longer available but if you have a good match, it might be worth reaching out to see. </t>
  </si>
  <si>
    <t>1723 Capitol Ave Apt 6, Sacramento, CA 95811</t>
  </si>
  <si>
    <t>Sacramento</t>
  </si>
  <si>
    <t>California Governor's Office of Emergency Services (Cal OES)</t>
  </si>
  <si>
    <t>Seminars 21, FY 20 - 21, FY 21 - 22, FY 22 - 23, FY 23 - 24</t>
  </si>
  <si>
    <r>
      <rPr>
        <color rgb="FF1155CC"/>
        <sz val="10.0"/>
        <u/>
      </rPr>
      <t>Licsy Reyes</t>
    </r>
    <r>
      <rPr>
        <sz val="10.0"/>
      </rPr>
      <t xml:space="preserve">, </t>
    </r>
    <r>
      <rPr>
        <color rgb="FF1155CC"/>
        <sz val="10.0"/>
        <u/>
      </rPr>
      <t>Tariana Garcia Encarnacion</t>
    </r>
    <r>
      <rPr>
        <sz val="10.0"/>
      </rPr>
      <t xml:space="preserve">, </t>
    </r>
    <r>
      <rPr>
        <color rgb="FF1155CC"/>
        <sz val="10.0"/>
        <u/>
      </rPr>
      <t>Tasnim Jahan</t>
    </r>
    <r>
      <rPr>
        <sz val="10.0"/>
      </rPr>
      <t xml:space="preserve">, </t>
    </r>
    <r>
      <rPr>
        <color rgb="FF1155CC"/>
        <sz val="10.0"/>
        <u/>
      </rPr>
      <t>Bianka Pena</t>
    </r>
    <r>
      <rPr>
        <sz val="10.0"/>
      </rPr>
      <t xml:space="preserve">, </t>
    </r>
    <r>
      <rPr>
        <color rgb="FF1155CC"/>
        <sz val="10.0"/>
        <u/>
      </rPr>
      <t>Rafialy Carrasco</t>
    </r>
    <r>
      <rPr>
        <sz val="10.0"/>
      </rPr>
      <t xml:space="preserve">, </t>
    </r>
    <r>
      <rPr>
        <color rgb="FF1155CC"/>
        <sz val="10.0"/>
        <u/>
      </rPr>
      <t>Ofelia (Sara) Lopez</t>
    </r>
    <r>
      <rPr>
        <sz val="10.0"/>
      </rPr>
      <t xml:space="preserve">, </t>
    </r>
    <r>
      <rPr>
        <color rgb="FF1155CC"/>
        <sz val="10.0"/>
        <u/>
      </rPr>
      <t>Emili Ordonez</t>
    </r>
    <r>
      <rPr>
        <sz val="10.0"/>
      </rPr>
      <t xml:space="preserve">, </t>
    </r>
    <r>
      <rPr>
        <color rgb="FF1155CC"/>
        <sz val="10.0"/>
        <u/>
      </rPr>
      <t>Jazling Garcia Garcia</t>
    </r>
    <r>
      <rPr>
        <sz val="10.0"/>
      </rPr>
      <t xml:space="preserve">, Wilberto Verlasquez, </t>
    </r>
    <r>
      <rPr>
        <color rgb="FF1155CC"/>
        <sz val="10.0"/>
        <u/>
      </rPr>
      <t>Norvia Tavarez</t>
    </r>
    <r>
      <rPr>
        <sz val="10.0"/>
      </rPr>
      <t xml:space="preserve">, </t>
    </r>
    <r>
      <rPr>
        <color rgb="FF1155CC"/>
        <sz val="10.0"/>
        <u/>
      </rPr>
      <t>Robeliza Nunez</t>
    </r>
    <r>
      <rPr>
        <sz val="10.0"/>
      </rPr>
      <t xml:space="preserve">, </t>
    </r>
    <r>
      <rPr>
        <color rgb="FF1155CC"/>
        <sz val="10.0"/>
        <u/>
      </rPr>
      <t>Daniela Gonzalez</t>
    </r>
    <r>
      <rPr>
        <sz val="10.0"/>
      </rPr>
      <t xml:space="preserve">, </t>
    </r>
    <r>
      <rPr>
        <color rgb="FF1155CC"/>
        <sz val="10.0"/>
        <u/>
      </rPr>
      <t>Claudia Herazo</t>
    </r>
    <r>
      <rPr>
        <sz val="10.0"/>
      </rPr>
      <t xml:space="preserve">, </t>
    </r>
    <r>
      <rPr>
        <color rgb="FF1155CC"/>
        <sz val="10.0"/>
        <u/>
      </rPr>
      <t>Karilyne Suazo</t>
    </r>
    <r>
      <rPr>
        <sz val="10.0"/>
      </rPr>
      <t xml:space="preserve">, Tariana Garcia Encarnacion, </t>
    </r>
    <r>
      <rPr>
        <color rgb="FF1155CC"/>
        <sz val="10.0"/>
        <u/>
      </rPr>
      <t>Ronald Pujols</t>
    </r>
    <r>
      <rPr>
        <sz val="10.0"/>
      </rPr>
      <t xml:space="preserve">, </t>
    </r>
    <r>
      <rPr>
        <color rgb="FF1155CC"/>
        <sz val="10.0"/>
        <u/>
      </rPr>
      <t>Lesly Chucino</t>
    </r>
    <r>
      <rPr>
        <sz val="10.0"/>
      </rPr>
      <t xml:space="preserve">, </t>
    </r>
    <r>
      <rPr>
        <color rgb="FF1155CC"/>
        <sz val="10.0"/>
        <u/>
      </rPr>
      <t>Lia Luciano</t>
    </r>
    <r>
      <rPr>
        <sz val="10.0"/>
      </rPr>
      <t xml:space="preserve">, </t>
    </r>
    <r>
      <rPr>
        <color rgb="FF1155CC"/>
        <sz val="10.0"/>
        <u/>
      </rPr>
      <t>Yoleinny Sosa Marte</t>
    </r>
    <r>
      <rPr>
        <sz val="10.0"/>
      </rPr>
      <t xml:space="preserve"> and </t>
    </r>
    <r>
      <rPr>
        <color rgb="FF1155CC"/>
        <sz val="10.0"/>
        <u/>
      </rPr>
      <t>Lleilin Guerra</t>
    </r>
  </si>
  <si>
    <t>SOF, ELLIS, CrotonaIHS</t>
  </si>
  <si>
    <t>Ashley Elizabeth</t>
  </si>
  <si>
    <t>Hudson-Hines</t>
  </si>
  <si>
    <t>619-243-4904</t>
  </si>
  <si>
    <t>aehhines@gmail.com</t>
  </si>
  <si>
    <t>5/16/22 SB emailed for re-engagement  12/30/21 SB sent IR2 FY21-22 schedule list for matching 12/10/21 and 12/13/21 SB reached-out via text to match for FY21-22 IR1, Ashley unable due to health concerns. Reach out for IR2 to see if she can</t>
  </si>
  <si>
    <t>4526 Kensington Dr. San Diego, CA 92116</t>
  </si>
  <si>
    <t>San Diego, CA</t>
  </si>
  <si>
    <t>ELM Learning</t>
  </si>
  <si>
    <t>Anne</t>
  </si>
  <si>
    <t>Tam</t>
  </si>
  <si>
    <t>347-528-1314</t>
  </si>
  <si>
    <t>agwtam@gmail.com</t>
  </si>
  <si>
    <t>3/17/23 Confirmed group for IR3 3/14/23 agreed to Wheels schedule, emailing About Interns 3/8/23 SB emailed about IR3 2/8/23 unavailable for IR2 - starting new job. SB emailed asking for updated job information 2/6/23 CT asked for IR2 with Wheels schedule 10/14/22 Anne confirmed wheels availability 10/13/22 SB sent match request for Wheels 7/11/22 Anne unavailable for IRS SB 7/7/22 LG called, emailed for IRS availability 3/21/22 Not available for IR3 CT 1/7/22 Update job info and added new resume SB 01/05/22 CT sent follow up email for matching 12/30/21 SB sent IR2 FY21-22 schedule list for matching JPS sent re-engagement email to Anne on 1/6/2021</t>
  </si>
  <si>
    <t>4705 47th Ave #1F Woodside, NY 11377</t>
  </si>
  <si>
    <t>Woodside</t>
  </si>
  <si>
    <t>CUREBASE</t>
  </si>
  <si>
    <t>FY 22 - 23, FY 21 - 22</t>
  </si>
  <si>
    <r>
      <rPr>
        <color rgb="FF1155CC"/>
        <sz val="10.0"/>
        <u/>
      </rPr>
      <t>Skirlie De La Cruz</t>
    </r>
    <r>
      <rPr>
        <sz val="10.0"/>
      </rPr>
      <t xml:space="preserve">, </t>
    </r>
    <r>
      <rPr>
        <color rgb="FF1155CC"/>
        <sz val="10.0"/>
        <u/>
      </rPr>
      <t>Ayele Dounou</t>
    </r>
    <r>
      <rPr>
        <sz val="10.0"/>
      </rPr>
      <t xml:space="preserve">, </t>
    </r>
    <r>
      <rPr>
        <color rgb="FF1155CC"/>
        <sz val="10.0"/>
        <u/>
      </rPr>
      <t>Ismatu Barry</t>
    </r>
    <r>
      <rPr>
        <sz val="10.0"/>
      </rPr>
      <t xml:space="preserve">, </t>
    </r>
    <r>
      <rPr>
        <color rgb="FF1155CC"/>
        <sz val="10.0"/>
        <u/>
      </rPr>
      <t>Fatoumata Barry</t>
    </r>
    <r>
      <rPr>
        <sz val="10.0"/>
      </rPr>
      <t xml:space="preserve">, </t>
    </r>
    <r>
      <rPr>
        <color rgb="FF1155CC"/>
        <sz val="10.0"/>
        <u/>
      </rPr>
      <t>Zhihao Huang</t>
    </r>
    <r>
      <rPr>
        <sz val="10.0"/>
      </rPr>
      <t xml:space="preserve">, </t>
    </r>
    <r>
      <rPr>
        <color rgb="FF1155CC"/>
        <sz val="10.0"/>
        <u/>
      </rPr>
      <t>Yechi Ma</t>
    </r>
    <r>
      <rPr>
        <sz val="10.0"/>
      </rPr>
      <t xml:space="preserve">, </t>
    </r>
    <r>
      <rPr>
        <color rgb="FF1155CC"/>
        <sz val="10.0"/>
        <u/>
      </rPr>
      <t>JiaJing Li</t>
    </r>
    <r>
      <rPr>
        <sz val="10.0"/>
      </rPr>
      <t xml:space="preserve">, </t>
    </r>
    <r>
      <rPr>
        <color rgb="FF1155CC"/>
        <sz val="10.0"/>
        <u/>
      </rPr>
      <t>Lhianna Capell</t>
    </r>
    <r>
      <rPr>
        <sz val="10.0"/>
      </rPr>
      <t xml:space="preserve">, </t>
    </r>
    <r>
      <rPr>
        <color rgb="FF1155CC"/>
        <sz val="10.0"/>
        <u/>
      </rPr>
      <t>Rashel Cabreja</t>
    </r>
    <r>
      <rPr>
        <sz val="10.0"/>
      </rPr>
      <t xml:space="preserve">, </t>
    </r>
    <r>
      <rPr>
        <color rgb="FF1155CC"/>
        <sz val="10.0"/>
        <u/>
      </rPr>
      <t>Ashley Diaz</t>
    </r>
    <r>
      <rPr>
        <sz val="10.0"/>
      </rPr>
      <t xml:space="preserve">, </t>
    </r>
    <r>
      <rPr>
        <color rgb="FF1155CC"/>
        <sz val="10.0"/>
        <u/>
      </rPr>
      <t>Karina Tejada</t>
    </r>
    <r>
      <rPr>
        <sz val="10.0"/>
      </rPr>
      <t xml:space="preserve">, </t>
    </r>
    <r>
      <rPr>
        <color rgb="FF1155CC"/>
        <sz val="10.0"/>
        <u/>
      </rPr>
      <t>Schayna Ceballos</t>
    </r>
    <r>
      <rPr>
        <sz val="10.0"/>
      </rPr>
      <t xml:space="preserve">, </t>
    </r>
    <r>
      <rPr>
        <color rgb="FF1155CC"/>
        <sz val="10.0"/>
        <u/>
      </rPr>
      <t>Kimberly Paulino</t>
    </r>
    <r>
      <rPr>
        <sz val="10.0"/>
      </rPr>
      <t xml:space="preserve">, </t>
    </r>
    <r>
      <rPr>
        <color rgb="FF1155CC"/>
        <sz val="10.0"/>
        <u/>
      </rPr>
      <t>Anais Martinez</t>
    </r>
    <r>
      <rPr>
        <sz val="10.0"/>
      </rPr>
      <t xml:space="preserve"> and </t>
    </r>
    <r>
      <rPr>
        <color rgb="FF1155CC"/>
        <sz val="10.0"/>
        <u/>
      </rPr>
      <t>Aaliyah Escalante</t>
    </r>
  </si>
  <si>
    <t>ICHSBronx, WheelsNYC, FlushingIHS</t>
  </si>
  <si>
    <t>Afia</t>
  </si>
  <si>
    <t>Howladar</t>
  </si>
  <si>
    <t>ahowladar98@gmail.com</t>
  </si>
  <si>
    <t>10/26/22 Afia emailed, &amp;#34;Hope you have been well! I am reaching out to be pulled from the SpeakHire program as I am currently interviewing at other companies and likely will not be with my current company very long. I apologize for pulling out last second and I wish you luck!&amp;#34; SB followed up to see if we could reach out once she has settled at her new job - marking as inactive for now 9/26/22 Afia signed up for 10/27 training and said about match, &amp;#34;need to conduct these sessions during my lunch, I would need them to take place anytime between 11am-3pm.&amp;#34; need to see if any group can meet at that time. SB 9/24/22 SB followed up for training and asked for IR1 for Ellis 9/21/22 She is interested in IR1 but January is busy so may need to reschedule those sessions early. SB Passed screening- sending training email. 9/21/22 SB 9/14/22 SB sent screening scheduling follow up 9/9/22 SB sent screening scheduling email</t>
  </si>
  <si>
    <t>526 east 85th st #4D</t>
  </si>
  <si>
    <t>New York, NY</t>
  </si>
  <si>
    <t>Russell Tobin</t>
  </si>
  <si>
    <t>Amy</t>
  </si>
  <si>
    <t>Meredith Jones</t>
  </si>
  <si>
    <t>310-666-0661</t>
  </si>
  <si>
    <t>aj@recollectbetter.com</t>
  </si>
  <si>
    <t>Amy responded 5/17/22 &amp;#34; Unfortunately im still grappling with chronic illness and not able to support in this way. Thank you. &amp;#34; 5/16/22 SB sent re-engagement email 12/30/21 SB sent IR2 FY21-22 schedule list for matching email 8/10/21 responded they currently can't be in the program due to health reasons but will still like to stay in contact. HH JPS followed up via email once again on 7/22/21 and let Amy know that it appears she did go through screening - gaging her interested to move forward in this process. HH voicemail/text 7/20/21 JPS sent an outreach email on 6/2/21 Amy was screened by Scotney on 9/7/2018. She was unable to complete the training process due to an illness in September 2018. </t>
  </si>
  <si>
    <t>28295 Via Rueda San Juan Capistrano, CA 92675</t>
  </si>
  <si>
    <t>San Juan Capistrano</t>
  </si>
  <si>
    <t>Love Saves Lives, Inc.</t>
  </si>
  <si>
    <t>Alyssa Jean</t>
  </si>
  <si>
    <t>Marion Daum</t>
  </si>
  <si>
    <t>949-266-7357</t>
  </si>
  <si>
    <t>ajmdaum@gmail.com</t>
  </si>
  <si>
    <t>12/27/21 Unable do IR2, &amp;#34;For the foreseeable future, I will not be able to do any mentoring&amp;#34; SB 12/22/21 SB sent IR2 FY21-22 schedule list for matching Alyssa responded to outreach on 2/10/21 and said, &amp;#34;Thank you for reaching out. Unfortunately, I will be unable to take on matches this school year, but I would love to reconnect next school year. Also, will you please update my email to  ajmdaum@gmail.com ? This is my work email,  I would prefer to be reached via my personal email.&amp;#34; JPS emailed on 2/10/21 to see if Alyssa can accommodate an IR2 20-21 match</t>
  </si>
  <si>
    <t>46 Camino del Oro RSM, CA 92688</t>
  </si>
  <si>
    <t>Foothill Ranch, CA</t>
  </si>
  <si>
    <t>Foothill Ranch</t>
  </si>
  <si>
    <t>ExoAnalytic Solutions</t>
  </si>
  <si>
    <t>Akanksha</t>
  </si>
  <si>
    <t>Raina</t>
  </si>
  <si>
    <t>857-389-9018</t>
  </si>
  <si>
    <t>akanksharaina@gmail.com</t>
  </si>
  <si>
    <t>2/28/23 CT left voicemail &amp;amp; sent text to about taking over Wheels group for IR2 2/27/23 CT sent email asking to take over Wheels group for IR2 12/14/21 SB called and she is unable due to traveling these months, asked to be reached out to for IR2 FY21-22 12/13/21 SB and CT reached out for IR1 FY21-22 match Akanksha atteneded a CPC Training on 4/10/21 with JPS Doubled Checked 1/19 (KW)</t>
  </si>
  <si>
    <t>888 8th Avenue, 12 O, NY</t>
  </si>
  <si>
    <t>Common Living</t>
  </si>
  <si>
    <t>FY 20 - 21</t>
  </si>
  <si>
    <r>
      <rPr>
        <color rgb="FF1155CC"/>
        <sz val="10.0"/>
        <u/>
      </rPr>
      <t>Trisha Landolt</t>
    </r>
    <r>
      <rPr>
        <sz val="10.0"/>
      </rPr>
      <t xml:space="preserve"> and </t>
    </r>
    <r>
      <rPr>
        <color rgb="FF1155CC"/>
        <sz val="10.0"/>
        <u/>
      </rPr>
      <t>Nicole Molano</t>
    </r>
  </si>
  <si>
    <t>ClaremontIHS</t>
  </si>
  <si>
    <t>Joseph</t>
  </si>
  <si>
    <t>Temowo</t>
  </si>
  <si>
    <t>akintemowo@yahoo.com</t>
  </si>
  <si>
    <t>7/24/23 WW called - too busy for any round for the rest of the year, SB marking inactive re-engage summer of 24 12/13/22 SB sent follow up email about IR2 12/8/22 SB emailed for Ellis match 6/15/22 FY 21-22 IR3 he had low engagement from Interns and felt discouraged. Give him a break for IRS and give him stronger students next round. 4/14/22 Not available for IR3, lot of travelling internationally. CT Joseph is an active duty military member Joseph attended a training session on 3/8/21 with JPS Joseph was screened on 2/15/21 by Malak Baker. JPS sent follow up email &amp;#43; invited Joseph to schedule a training JPS emailed on 2/7/2021 to schedule a Screening Call Double checked 1/26 (KW)</t>
  </si>
  <si>
    <t>14 Glacier Dr., Morris Plains</t>
  </si>
  <si>
    <t>New Jersey, United States</t>
  </si>
  <si>
    <t>Morris Plains</t>
  </si>
  <si>
    <t>Bloom Energy Corporation</t>
  </si>
  <si>
    <t>FY 22 - 23, FY 21 - 22, FY 20 - 21</t>
  </si>
  <si>
    <r>
      <rPr>
        <color rgb="FF1155CC"/>
        <sz val="10.0"/>
        <u/>
      </rPr>
      <t>Rasheed Abdulla</t>
    </r>
    <r>
      <rPr>
        <sz val="10.0"/>
      </rPr>
      <t xml:space="preserve">, </t>
    </r>
    <r>
      <rPr>
        <color rgb="FF1155CC"/>
        <sz val="10.0"/>
        <u/>
      </rPr>
      <t>Yasmin Abdulla</t>
    </r>
    <r>
      <rPr>
        <sz val="10.0"/>
      </rPr>
      <t xml:space="preserve">, </t>
    </r>
    <r>
      <rPr>
        <color rgb="FF1155CC"/>
        <sz val="10.0"/>
        <u/>
      </rPr>
      <t>Awa Ndiaye</t>
    </r>
    <r>
      <rPr>
        <sz val="10.0"/>
      </rPr>
      <t xml:space="preserve">, </t>
    </r>
    <r>
      <rPr>
        <color rgb="FF1155CC"/>
        <sz val="10.0"/>
        <u/>
      </rPr>
      <t>Naim Bakere</t>
    </r>
    <r>
      <rPr>
        <sz val="10.0"/>
      </rPr>
      <t xml:space="preserve">, </t>
    </r>
    <r>
      <rPr>
        <color rgb="FF1155CC"/>
        <sz val="10.0"/>
        <u/>
      </rPr>
      <t>Marwin Silverio Rodriguez</t>
    </r>
    <r>
      <rPr>
        <sz val="10.0"/>
      </rPr>
      <t xml:space="preserve">, </t>
    </r>
    <r>
      <rPr>
        <color rgb="FF1155CC"/>
        <sz val="10.0"/>
        <u/>
      </rPr>
      <t>Fatou Diedhiou</t>
    </r>
    <r>
      <rPr>
        <sz val="10.0"/>
      </rPr>
      <t xml:space="preserve">, </t>
    </r>
    <r>
      <rPr>
        <color rgb="FF1155CC"/>
        <sz val="10.0"/>
        <u/>
      </rPr>
      <t>Carlos Ramirez</t>
    </r>
    <r>
      <rPr>
        <sz val="10.0"/>
      </rPr>
      <t xml:space="preserve">, </t>
    </r>
    <r>
      <rPr>
        <color rgb="FF1155CC"/>
        <sz val="10.0"/>
        <u/>
      </rPr>
      <t>Cesar Misael Orellana Riera</t>
    </r>
    <r>
      <rPr>
        <sz val="10.0"/>
      </rPr>
      <t xml:space="preserve">, </t>
    </r>
    <r>
      <rPr>
        <color rgb="FF1155CC"/>
        <sz val="10.0"/>
        <u/>
      </rPr>
      <t>Nasif Zaman</t>
    </r>
    <r>
      <rPr>
        <sz val="10.0"/>
      </rPr>
      <t xml:space="preserve">, </t>
    </r>
    <r>
      <rPr>
        <color rgb="FF1155CC"/>
        <sz val="10.0"/>
        <u/>
      </rPr>
      <t>Yemili Goodridge</t>
    </r>
    <r>
      <rPr>
        <sz val="10.0"/>
      </rPr>
      <t xml:space="preserve">, </t>
    </r>
    <r>
      <rPr>
        <color rgb="FF1155CC"/>
        <sz val="10.0"/>
        <u/>
      </rPr>
      <t>Munir Ahmad Bakhtyar</t>
    </r>
    <r>
      <rPr>
        <sz val="10.0"/>
      </rPr>
      <t xml:space="preserve">, </t>
    </r>
    <r>
      <rPr>
        <color rgb="FF1155CC"/>
        <sz val="10.0"/>
        <u/>
      </rPr>
      <t>bessirou doukoure</t>
    </r>
    <r>
      <rPr>
        <sz val="10.0"/>
      </rPr>
      <t xml:space="preserve"> and </t>
    </r>
    <r>
      <rPr>
        <color rgb="FF1155CC"/>
        <sz val="10.0"/>
        <u/>
      </rPr>
      <t>dalissa cabrera</t>
    </r>
  </si>
  <si>
    <t>ELLIS, FlushingIHS</t>
  </si>
  <si>
    <t>Alina</t>
  </si>
  <si>
    <t>Ispas Montbriand</t>
  </si>
  <si>
    <t>267-235-7033</t>
  </si>
  <si>
    <t>alina.ispas.09@gmail.com</t>
  </si>
  <si>
    <t>7/15/23 SB emailed for IRS 2/21/23 CT sent email about being Seminar Speaker for IHS US 1/24/23 CT Alina was impacted by recent Google layoffs. Don't reach out to her until the end of Feb at the earliest. 10/4/22 SB emailed Alina for Ellis match, she confirmed availability 8/12/22 Interested in IR1 SB 4/8/22 passed training with SB 3/1/22 SB call Alina - leave VM and send text about training and Claremont Match 01/21/22 CT Screening Call passed, sent Orientation &amp;amp; Onboarding email with session schedules IR2 12/28/21 SB sent IR2 FY21-22 schedule list for matching JPS sent an email via Champions@speakhire.org to schedule a training webinar on 7/21/21. Had a Screening Call with Scotney Jan 2019 - passed</t>
  </si>
  <si>
    <t>1824 Spruce Street, Apt 4F, Philadelphia, PA 19103</t>
  </si>
  <si>
    <t>Philadelphia</t>
  </si>
  <si>
    <t>PA</t>
  </si>
  <si>
    <t>Google Workspace</t>
  </si>
  <si>
    <t>Seminars 23, FY 21 - 22, FY 22 - 23</t>
  </si>
  <si>
    <r>
      <rPr>
        <color rgb="FF1155CC"/>
        <sz val="10.0"/>
        <u/>
      </rPr>
      <t>Wladimir Veloz Balbuena</t>
    </r>
    <r>
      <rPr>
        <sz val="10.0"/>
      </rPr>
      <t xml:space="preserve">, </t>
    </r>
    <r>
      <rPr>
        <color rgb="FF1155CC"/>
        <sz val="10.0"/>
        <u/>
      </rPr>
      <t>Mohamed Danso</t>
    </r>
    <r>
      <rPr>
        <sz val="10.0"/>
      </rPr>
      <t xml:space="preserve">, </t>
    </r>
    <r>
      <rPr>
        <color rgb="FF1155CC"/>
        <sz val="10.0"/>
        <u/>
      </rPr>
      <t>Mariama Diallo</t>
    </r>
    <r>
      <rPr>
        <sz val="10.0"/>
      </rPr>
      <t xml:space="preserve">, </t>
    </r>
    <r>
      <rPr>
        <color rgb="FF1155CC"/>
        <sz val="10.0"/>
        <u/>
      </rPr>
      <t>Jariel Fernandez</t>
    </r>
    <r>
      <rPr>
        <sz val="10.0"/>
      </rPr>
      <t xml:space="preserve"> and </t>
    </r>
    <r>
      <rPr>
        <color rgb="FF1155CC"/>
        <sz val="10.0"/>
        <u/>
      </rPr>
      <t>Johalyn Perez</t>
    </r>
  </si>
  <si>
    <t>IHSUnionSquare, ELLIS, WheelsNYC</t>
  </si>
  <si>
    <t>Alpa</t>
  </si>
  <si>
    <t>Lachhman Rajai</t>
  </si>
  <si>
    <t>alpa.rajai@gmail.com</t>
  </si>
  <si>
    <t>7/18/23 WW emailed for IRS availability, FG called and left VM and texted 3/15/23 CT left voicemail &amp;amp; sent text for IR3 3/14/23 CT left voicemail &amp;amp; sent text about taking over group of Interns for IR2 01/05/22 CT sent follow up email for matching 12/30/21 SB sent IR2 FY21-22 schedule list for matching 12/20 SB called Alpa and left a Voicemail 12/17 SB sent Alpa a text about match for FY21-22 IR1</t>
  </si>
  <si>
    <t>700 Grove St, Apt 5R, Jersey City, NJ 07310</t>
  </si>
  <si>
    <t>Jersey City</t>
  </si>
  <si>
    <t>Barclays</t>
  </si>
  <si>
    <t>FY 19 - 20</t>
  </si>
  <si>
    <r>
      <rPr>
        <color rgb="FF1155CC"/>
        <sz val="10.0"/>
        <u/>
      </rPr>
      <t>Nicole Quiga</t>
    </r>
    <r>
      <rPr>
        <sz val="10.0"/>
      </rPr>
      <t xml:space="preserve"> and </t>
    </r>
    <r>
      <rPr>
        <color rgb="FF1155CC"/>
        <sz val="10.0"/>
        <u/>
      </rPr>
      <t>Sabrin Haque</t>
    </r>
  </si>
  <si>
    <t>FlushingHigh</t>
  </si>
  <si>
    <t>Alvaro</t>
  </si>
  <si>
    <t>Pavas-Hincapie</t>
  </si>
  <si>
    <t>alpavash@gmail.com</t>
  </si>
  <si>
    <t>Prospective</t>
  </si>
  <si>
    <t>4/3/23 CT sent follow up to schedule Screening Call 2/22/23 CT sent follow up email to re-engage 2/9/23 CT sent re-engagement email 5/24/22 SB sent re-engagement email Screening invite sent 11/7/21</t>
  </si>
  <si>
    <t>Calle 53C Sur #40B 78 Ap 904</t>
  </si>
  <si>
    <t>Montreal, Quebec - Canadá</t>
  </si>
  <si>
    <t>Orbis International</t>
  </si>
  <si>
    <t>Albert</t>
  </si>
  <si>
    <t>Rocco</t>
  </si>
  <si>
    <t>alrocco5@gmail.com</t>
  </si>
  <si>
    <t>Arts/Creative</t>
  </si>
  <si>
    <t>He texted WW 3/8/24: Please refrain from contacting me until 2025 7/11/23 emailed SB not available for IRS 7/10/23 SB emailed for IRS 12/26/22 responded saying he has many travel commitments and cannot participate in IR2. SB 12/22/22 SB emailed for Ellis match Albert attended a CPC Training Webinar on 1/16/2021 with JPS at 11 am est Hetal Jani had second screening call on November 17, 2020 -- he was able to understand our approach; seemed he looked more into what we did. Older, has a lot of experience,  can guide a student with a lot of self-advocacy so they can ask targeted questions Jennifer Peterson-Sharma emailed Albert on 10/27/2020 to schedule a second screening call next week with Hetal Jani. Had a Mentor Screening Call on 10/13/2020 at 4:30 pm EST with Jennifer Peterson-Sharma. Albert is scheduled for a Screening Call on 10/13/2020. Albert was emailed on 10/12/2020 to schedule a mentor screening call</t>
  </si>
  <si>
    <t>131 Magnolia Ave, Tenafly, NJ</t>
  </si>
  <si>
    <t>Tenafly</t>
  </si>
  <si>
    <t>Koslow Scientific Company</t>
  </si>
  <si>
    <r>
      <rPr>
        <color rgb="FF1155CC"/>
        <sz val="10.0"/>
        <u/>
      </rPr>
      <t>Diego Dinardi</t>
    </r>
    <r>
      <rPr>
        <sz val="10.0"/>
      </rPr>
      <t xml:space="preserve">, </t>
    </r>
    <r>
      <rPr>
        <color rgb="FF1155CC"/>
        <sz val="10.0"/>
        <u/>
      </rPr>
      <t>Lisvany Guzman</t>
    </r>
    <r>
      <rPr>
        <sz val="10.0"/>
      </rPr>
      <t xml:space="preserve">, </t>
    </r>
    <r>
      <rPr>
        <color rgb="FF1155CC"/>
        <sz val="10.0"/>
        <u/>
      </rPr>
      <t>Kadidiatou Traore</t>
    </r>
    <r>
      <rPr>
        <sz val="10.0"/>
      </rPr>
      <t xml:space="preserve">, </t>
    </r>
    <r>
      <rPr>
        <color rgb="FF1155CC"/>
        <sz val="10.0"/>
        <u/>
      </rPr>
      <t>Wendy Ouedraogo</t>
    </r>
    <r>
      <rPr>
        <sz val="10.0"/>
      </rPr>
      <t xml:space="preserve"> and </t>
    </r>
    <r>
      <rPr>
        <color rgb="FF1155CC"/>
        <sz val="10.0"/>
        <u/>
      </rPr>
      <t>Tariana Garcia Encarnacion</t>
    </r>
  </si>
  <si>
    <t>ClaremontIHS, CrotonaIHS</t>
  </si>
  <si>
    <t>Amanda</t>
  </si>
  <si>
    <t>Morgan Mackler</t>
  </si>
  <si>
    <t>amackler40@gmail.com</t>
  </si>
  <si>
    <t>Service/Hospitality Industry</t>
  </si>
  <si>
    <t>12/20 SB called Amanda and left a Voicemail 12/17 SB sent Amanda a text about match for FY21-22 IR1 Amanda attended a training on 2/26/21 with JPS JPS followed up on 2/17/21 to schedule Amanda for a training JPS sent Amanda congratulations email &amp;#43; tried to get Amanda to schedule a training in January, but Amanda was unable to attend. JPS followed up on 2/4/21 to see if Amanda wanted to attend a training in February.  Amanda was screened on 10/22/2020 at 4:20 pm EST by Jennifer Peterson-Sharma. Jennifer Peterson-Sharma emailed to schedule a screening call on 10/22/2020.</t>
  </si>
  <si>
    <t>KPMG</t>
  </si>
  <si>
    <r>
      <rPr>
        <color rgb="FF1155CC"/>
        <sz val="10.0"/>
        <u/>
      </rPr>
      <t>Bradley Edwards</t>
    </r>
    <r>
      <rPr>
        <sz val="10.0"/>
      </rPr>
      <t xml:space="preserve"> and </t>
    </r>
    <r>
      <rPr>
        <color rgb="FF1155CC"/>
        <sz val="10.0"/>
        <u/>
      </rPr>
      <t>Bindadevi Sukhandan</t>
    </r>
  </si>
  <si>
    <t>QueensPrepAcad</t>
  </si>
  <si>
    <t>Andrea</t>
  </si>
  <si>
    <t>Goodfriend</t>
  </si>
  <si>
    <t>amandel@pinterest.com</t>
  </si>
  <si>
    <t>Education</t>
  </si>
  <si>
    <t>5/10/23 email auto responded - on maternity leave 2/7/23 CT left voicemail &amp;amp; sent text to check in 1/11/23 CT sent follow up email 01/03/23 CT sent follow up email 12/22/22 CT sent check in email 12/22/21 SB sent IR2 FY21-22 schedule list for matching Had to back out after match and a few sessions due to family emergency 12/7/21 SB Completed training 11/12/21 SB 10/26/21 SB Screening note: She prefers to be matched with Interns who identify as being from Central or South America. 10/27/21 SB sent congrats and training scheduling email. Andrea responded asking for more dates, SB asked her availability second week of November  Passed screening on 10/26/21 SB Sent screening scheduling email on10/8/21 SB</t>
  </si>
  <si>
    <t>5130 INADALE AVE, Los Angeles, CA 90043</t>
  </si>
  <si>
    <t>Los Angeles, CA</t>
  </si>
  <si>
    <t>Los Angelos</t>
  </si>
  <si>
    <t>Pinterest</t>
  </si>
  <si>
    <t>Alissa</t>
  </si>
  <si>
    <t>Meddlesaint</t>
  </si>
  <si>
    <t>484-903-2662</t>
  </si>
  <si>
    <t>ameddlesaint@gmail.com</t>
  </si>
  <si>
    <t>8/18/23 - AT sent re-engagement message on LinkedIn. Awaiting response. 8/8/23 - AT emailed and sent re-engagement txt. Awaiting response. 4/3/23 CT sent follow up to schedule Screening Call 2/22/23 CT sent follow email to re-engage 2/9/23 CT sent re-engagement email 12/13/22 CT sent re-engagement email 5/24/22 SB sent re-engagement email 11/15/21 SB sent re-engagement email Alissa scheduled a screening call on 7/29/21 but did not show up. JPS gave her a call &amp;amp; she said she did not realize it was on Google Meet and will schedule for another time. HH called is really interested in getting into the program would like a follow up email 7/20/21 JPS sent outreach email from Champions@speakhire.org on 7/20/21 uploaded to Kintone but marked as inactive/yellow until screening complete</t>
  </si>
  <si>
    <t>318 W Wilkes Barre St</t>
  </si>
  <si>
    <t>Easton</t>
  </si>
  <si>
    <t>MAC Cosmetics</t>
  </si>
  <si>
    <t>Amelia</t>
  </si>
  <si>
    <t>Geary</t>
  </si>
  <si>
    <t>ameliachamberlain@yahoo.com</t>
  </si>
  <si>
    <t>9/30/22 Amelia emailed saying &amp;#34;For the foreseeable future, I have very limited availability.  Unfortunately, I think it best to remove me as a potential mentor for now.  I?m happy to reach out in the future when things become more manageable.&amp;#34; SB responded offering to reach out for future rounds 9/28/22 SB emailed for ellis match 7/5/22 LG called, texted for IRS availability; Amelia is never available for Summer, wants to be contacted for IR1 1/8/22 SB updated location from Lima, Peru to Barbados  12/22/21 SB sent IR2 FY21-22 schedule list for matching Unavailable for IR1 21 due to health, check for IR2 SB Amelia was trained on 10/20/2020 at 5:15 pm EST with Jennifer Peterson-Sharma Jennifer Peterson-Sharma called Amelia on 10/6/2020. She affirmed that she is available to mentor for the Round One mentoring session. She signed up for October 20 Training Webinar.  Amelia was screened on 9/17/2020 by Kiesha Charles Emailed her to schedule a screening call on september 17th 2020 at 7pm  Emailed on 8/31/2020 about setting up screening call</t>
  </si>
  <si>
    <t>85 Columbia Street, Apartment 2E</t>
  </si>
  <si>
    <t>Barbados</t>
  </si>
  <si>
    <t>Seminars 22, Seminars 21, FY 20 - 21, FY 21 - 22</t>
  </si>
  <si>
    <r>
      <rPr>
        <color rgb="FF1155CC"/>
        <sz val="10.0"/>
        <u/>
      </rPr>
      <t>Francheska Caraballo</t>
    </r>
    <r>
      <rPr>
        <sz val="10.0"/>
      </rPr>
      <t xml:space="preserve">, </t>
    </r>
    <r>
      <rPr>
        <color rgb="FF1155CC"/>
        <sz val="10.0"/>
        <u/>
      </rPr>
      <t>Aaliyah Aybar</t>
    </r>
    <r>
      <rPr>
        <sz val="10.0"/>
      </rPr>
      <t xml:space="preserve">, </t>
    </r>
    <r>
      <rPr>
        <color rgb="FF1155CC"/>
        <sz val="10.0"/>
        <u/>
      </rPr>
      <t>Avril Mejia</t>
    </r>
    <r>
      <rPr>
        <sz val="10.0"/>
      </rPr>
      <t xml:space="preserve">, </t>
    </r>
    <r>
      <rPr>
        <color rgb="FF1155CC"/>
        <sz val="10.0"/>
        <u/>
      </rPr>
      <t>Genesis Lochart</t>
    </r>
    <r>
      <rPr>
        <sz val="10.0"/>
      </rPr>
      <t xml:space="preserve">, </t>
    </r>
    <r>
      <rPr>
        <color rgb="FF1155CC"/>
        <sz val="10.0"/>
        <u/>
      </rPr>
      <t>Ivania Posada</t>
    </r>
    <r>
      <rPr>
        <sz val="10.0"/>
      </rPr>
      <t xml:space="preserve">, </t>
    </r>
    <r>
      <rPr>
        <color rgb="FF1155CC"/>
        <sz val="10.0"/>
        <u/>
      </rPr>
      <t>Licsy Reyes</t>
    </r>
    <r>
      <rPr>
        <sz val="10.0"/>
      </rPr>
      <t xml:space="preserve">, </t>
    </r>
    <r>
      <rPr>
        <color rgb="FF1155CC"/>
        <sz val="10.0"/>
        <u/>
      </rPr>
      <t>Asmaa Alkhadashi</t>
    </r>
    <r>
      <rPr>
        <sz val="10.0"/>
      </rPr>
      <t xml:space="preserve">, </t>
    </r>
    <r>
      <rPr>
        <color rgb="FF1155CC"/>
        <sz val="10.0"/>
        <u/>
      </rPr>
      <t>Arwa Alhaj</t>
    </r>
    <r>
      <rPr>
        <sz val="10.0"/>
      </rPr>
      <t xml:space="preserve">, </t>
    </r>
    <r>
      <rPr>
        <color rgb="FF1155CC"/>
        <sz val="10.0"/>
        <u/>
      </rPr>
      <t>Yann Noumbi</t>
    </r>
    <r>
      <rPr>
        <sz val="10.0"/>
      </rPr>
      <t xml:space="preserve"> and </t>
    </r>
    <r>
      <rPr>
        <color rgb="FF1155CC"/>
        <sz val="10.0"/>
        <u/>
      </rPr>
      <t>Shabiha Rahman</t>
    </r>
  </si>
  <si>
    <t>P2GManhattan, CypressHills, IHSUnionSquare, CrotonaIHS, ELLIS</t>
  </si>
  <si>
    <t>Issue 11</t>
  </si>
  <si>
    <t>Thank you for your support letter</t>
  </si>
  <si>
    <t>Imam</t>
  </si>
  <si>
    <t>ami2136@columbia.edu</t>
  </si>
  <si>
    <t>12/29/23 SB reached out just to check in and touch base - hoping to re-engage 3/22/23 SB sent text for IR3 3/17/23 SB sent follow up email about IR3 3/14/23 SB emailed for IR3 wheels 12/20/22 SB followed up via email for IR2 match 12/16/22 SB emailed for IR2 queens match 10/04/22 Not available for IR1. CT 7/9/22 SB contacted for IRS match 4/27/22 Not available for Seminars in May. CT Completed Onboarding and Orientation Webinar 1/28/22 SB 01/18/22 CT sent email with training dates, handbook, instructional guide 1/17/22 SB sent screening follow up Sent screening scheduling email 1/13/22 SB</t>
  </si>
  <si>
    <t>230 W. 55th St #7D, New York, NY 10019</t>
  </si>
  <si>
    <t>New York City</t>
  </si>
  <si>
    <t>Kirkland &amp; Ellis LLP</t>
  </si>
  <si>
    <r>
      <rPr>
        <color rgb="FF1155CC"/>
        <sz val="10.0"/>
        <u/>
      </rPr>
      <t>Kenia Cholom</t>
    </r>
    <r>
      <rPr>
        <sz val="10.0"/>
      </rPr>
      <t xml:space="preserve">, </t>
    </r>
    <r>
      <rPr>
        <color rgb="FF1155CC"/>
        <sz val="10.0"/>
        <u/>
      </rPr>
      <t>Afrin Tripti</t>
    </r>
    <r>
      <rPr>
        <sz val="10.0"/>
      </rPr>
      <t xml:space="preserve">, </t>
    </r>
    <r>
      <rPr>
        <color rgb="FF1155CC"/>
        <sz val="10.0"/>
        <u/>
      </rPr>
      <t>Yiengchuk Dorji</t>
    </r>
    <r>
      <rPr>
        <sz val="10.0"/>
      </rPr>
      <t xml:space="preserve"> and </t>
    </r>
    <r>
      <rPr>
        <color rgb="FF1155CC"/>
        <sz val="10.0"/>
        <u/>
      </rPr>
      <t>Yonathan Martinez</t>
    </r>
  </si>
  <si>
    <t>IHS Health</t>
  </si>
  <si>
    <t>Abigail</t>
  </si>
  <si>
    <t>Mawhirter</t>
  </si>
  <si>
    <t>amm09b@acu.edu</t>
  </si>
  <si>
    <t>1/9/24 agreed to IR2, but had to drop due to health issues SB 10/5/23 Abigail expressed interests, will keep in touch about health science groups 9/18/23 WW emailed for IR1 Abigail made the #ChampionItForward video 7/24/23 Abigail reached out expressing interest in IRS, SB said we would follow up for IR1 3/30/23 texted SB, not available for IR3 but interested in IRS 3/27/23 SB sent dates of sessions - Abigail said mondays should work, checking schedule 3/21/23 SB sent text about IR3 availability - messaged back saying she would check work schedule 9/22/22 Abigail will not know her schedule until late October. She said, &amp;#34; I do typically try to be off on Thursdays, since I tend to have other meetings at least 3 of the 4 Thursdays out of a month. Is that helpful? If not, I can still try to accommodate for the proposed Monday group?&amp;#34; - will possibly work for Wheels.  Will follow up as round gets closer and we get Wheels applications in. SB 9/20/22 match request sent to Abigail SB PQT confirmed by text on 8/4/22 for IR1 Ask her before giving her more than 3 Interns. Given Abigail's hectic working schedule at the hospital, she watched the onboarding video in replacement of attending a webinar. Abigail was screened by SU on 3/23/21 Abigail responded 2/12/21 saying she was very interested in being matched but needs a heads up on the schedule because her working hours vary every week. JPS sent her the schedules to potentially match for IR3 20-21. JPS followed up on 2/10/21 email to see if abigail could be a champion for the IR2 20-21 session  JPS emailed on 2/10/2021 to schedule a screening call</t>
  </si>
  <si>
    <t>425 Sharron Dr, Woodway, TX 76712</t>
  </si>
  <si>
    <t>Waco, TX</t>
  </si>
  <si>
    <t>Waco</t>
  </si>
  <si>
    <t>TX</t>
  </si>
  <si>
    <t>BSWH Hillcrest Baptist Medical Center</t>
  </si>
  <si>
    <r>
      <rPr>
        <color rgb="FF1155CC"/>
        <sz val="10.0"/>
        <u/>
      </rPr>
      <t>Schayna Ceballos</t>
    </r>
    <r>
      <rPr>
        <sz val="10.0"/>
      </rPr>
      <t xml:space="preserve">, </t>
    </r>
    <r>
      <rPr>
        <color rgb="FF1155CC"/>
        <sz val="10.0"/>
        <u/>
      </rPr>
      <t>Tryana Hernandez</t>
    </r>
    <r>
      <rPr>
        <sz val="10.0"/>
      </rPr>
      <t xml:space="preserve">, </t>
    </r>
    <r>
      <rPr>
        <color rgb="FF1155CC"/>
        <sz val="10.0"/>
        <u/>
      </rPr>
      <t>Adalbelys Polanco</t>
    </r>
    <r>
      <rPr>
        <sz val="10.0"/>
      </rPr>
      <t xml:space="preserve">, </t>
    </r>
    <r>
      <rPr>
        <color rgb="FF1155CC"/>
        <sz val="10.0"/>
        <u/>
      </rPr>
      <t>Daylan Peralta</t>
    </r>
    <r>
      <rPr>
        <sz val="10.0"/>
      </rPr>
      <t xml:space="preserve">, </t>
    </r>
    <r>
      <rPr>
        <color rgb="FF1155CC"/>
        <sz val="10.0"/>
        <u/>
      </rPr>
      <t>Amizo Kante</t>
    </r>
    <r>
      <rPr>
        <sz val="10.0"/>
      </rPr>
      <t xml:space="preserve">, </t>
    </r>
    <r>
      <rPr>
        <color rgb="FF1155CC"/>
        <sz val="10.0"/>
        <u/>
      </rPr>
      <t>Naimatou Sefou Moussa</t>
    </r>
    <r>
      <rPr>
        <sz val="10.0"/>
      </rPr>
      <t xml:space="preserve">, </t>
    </r>
    <r>
      <rPr>
        <color rgb="FF1155CC"/>
        <sz val="10.0"/>
        <u/>
      </rPr>
      <t>Lady Villa</t>
    </r>
    <r>
      <rPr>
        <sz val="10.0"/>
      </rPr>
      <t xml:space="preserve">, </t>
    </r>
    <r>
      <rPr>
        <color rgb="FF1155CC"/>
        <sz val="10.0"/>
        <u/>
      </rPr>
      <t>Ilse Cotiy Tambriz</t>
    </r>
    <r>
      <rPr>
        <sz val="10.0"/>
      </rPr>
      <t xml:space="preserve">, </t>
    </r>
    <r>
      <rPr>
        <color rgb="FF1155CC"/>
        <sz val="10.0"/>
        <u/>
      </rPr>
      <t>Rafialy Carrasco</t>
    </r>
    <r>
      <rPr>
        <sz val="10.0"/>
      </rPr>
      <t xml:space="preserve">, </t>
    </r>
    <r>
      <rPr>
        <color rgb="FF1155CC"/>
        <sz val="10.0"/>
        <u/>
      </rPr>
      <t>Oceanne Compaore</t>
    </r>
    <r>
      <rPr>
        <sz val="10.0"/>
      </rPr>
      <t xml:space="preserve">, </t>
    </r>
    <r>
      <rPr>
        <color rgb="FF1155CC"/>
        <sz val="10.0"/>
        <u/>
      </rPr>
      <t>Liccy Dubon Zamora</t>
    </r>
    <r>
      <rPr>
        <sz val="10.0"/>
      </rPr>
      <t xml:space="preserve">, </t>
    </r>
    <r>
      <rPr>
        <color rgb="FF1155CC"/>
        <sz val="10.0"/>
        <u/>
      </rPr>
      <t>Raimelis Garcia</t>
    </r>
    <r>
      <rPr>
        <sz val="10.0"/>
      </rPr>
      <t xml:space="preserve">, </t>
    </r>
    <r>
      <rPr>
        <color rgb="FF1155CC"/>
        <sz val="10.0"/>
        <u/>
      </rPr>
      <t>Batma Ramazanova</t>
    </r>
    <r>
      <rPr>
        <sz val="10.0"/>
      </rPr>
      <t xml:space="preserve"> and </t>
    </r>
    <r>
      <rPr>
        <color rgb="FF1155CC"/>
        <sz val="10.0"/>
        <u/>
      </rPr>
      <t>Zuura Ramazanova</t>
    </r>
  </si>
  <si>
    <t>WheelsNYC, ELLIS, IHSUnionSquare, ClaremontIHS, CrotonaIHS, GWHS</t>
  </si>
  <si>
    <t>Amrita</t>
  </si>
  <si>
    <t>Pritam</t>
  </si>
  <si>
    <t>amritap4@gmail.com</t>
  </si>
  <si>
    <t>7/18/23 WW emailed for IRS - responded not available, on maternity leave 4/26/23 SB emailed for IR2 1/13/23 SB emailed for IR2 - agreed to Monday schedule 10/05/22 Not available for IR1. Will be in India in November &amp;amp; December but interested in Seminars. Sent her some Seminar schedules. CT  2/3/22 HJ texted her -- she had a new baby (Aayansh) and won't be available until maybe 22-23 IR1 01/05/22 CT sent follow up email for matching 12/30/21 SB sent IR2 FY21-22 schedule list for matching Amrita emailed on 1/8/2021 informing Jennifer Peterson-Sharma that she will not be available for matching until June 2021, although she would still love to be a part of the program. Norrell spoke with 05/18/2020 We need updated resume for Amrita. Her new title is: Microsoft, Software Develop Engineer, Domain is Android.  Hetal called and left a voice message on 3/26/2020</t>
  </si>
  <si>
    <t>San Francisco</t>
  </si>
  <si>
    <t>Microsoft</t>
  </si>
  <si>
    <t>FY 22 - 23</t>
  </si>
  <si>
    <r>
      <rPr>
        <color rgb="FF1155CC"/>
        <sz val="10.0"/>
        <u/>
      </rPr>
      <t>Yancen Rodriguez</t>
    </r>
    <r>
      <rPr>
        <sz val="10.0"/>
      </rPr>
      <t xml:space="preserve"> and </t>
    </r>
    <r>
      <rPr>
        <color rgb="FF1155CC"/>
        <sz val="10.0"/>
        <u/>
      </rPr>
      <t>Kenry Aldana</t>
    </r>
  </si>
  <si>
    <t>CrotonaIHS</t>
  </si>
  <si>
    <t>Sit</t>
  </si>
  <si>
    <t>510-501-9776</t>
  </si>
  <si>
    <t>amy_sit@alumni.brown.edu</t>
  </si>
  <si>
    <t>Amy made the #ChampionItForward video 7/18/23 WW emailed for IRS, PQ followed up with text and call - not available for IRS, asked for IR1 3/29/23 SB sent text for IR3 11/28/22  Unavailable for IR2 - traveling in Feb. SB 10/31/22 Amy emailed SB saying, &amp;#34; I just received word about a new workshop schedule for the next 8 weeks,  I won't be available on Thursdays after all.&amp;#34; 10/14/22 SB emailed for Wheels availability - Amy confirmed availability 1/10/22 SB sent follow up email 1/5/22 SB sent IR2 FY21-22 schedule list for matching JPS emailed on 1/5/2021 to check her engagement status. Amy responded on 1/13/2021 saying: &amp;#34;Happy New Year! Apologies for the delay in response. In response to your questions, 1) I am still interested in being a Champion for the upcoming round,  2) I don't have a need for a refresh training at this time.&amp;#34; Amy called Hetal back on March 24th saying she'd love to mentor during this time of COVID-19 and would love to share within her company -- knows women who would be interested Hetal called on March 19, 2020 and left a voice message to reengage.</t>
  </si>
  <si>
    <t>1081 Eastern Parkway Brooklyn NY 11213"</t>
  </si>
  <si>
    <t>Capgemini Invent</t>
  </si>
  <si>
    <t>EY 19 - 20, FY 21 - 22, FY 20 - 21</t>
  </si>
  <si>
    <r>
      <rPr>
        <color rgb="FF1155CC"/>
        <sz val="10.0"/>
        <u/>
      </rPr>
      <t>Dema Alhuraibi</t>
    </r>
    <r>
      <rPr>
        <sz val="10.0"/>
      </rPr>
      <t xml:space="preserve">, </t>
    </r>
    <r>
      <rPr>
        <color rgb="FF1155CC"/>
        <sz val="10.0"/>
        <u/>
      </rPr>
      <t>Karidjatou Kone</t>
    </r>
    <r>
      <rPr>
        <sz val="10.0"/>
      </rPr>
      <t xml:space="preserve">, </t>
    </r>
    <r>
      <rPr>
        <color rgb="FF1155CC"/>
        <sz val="10.0"/>
        <u/>
      </rPr>
      <t>Fatou Diedhiou</t>
    </r>
    <r>
      <rPr>
        <sz val="10.0"/>
      </rPr>
      <t xml:space="preserve">, </t>
    </r>
    <r>
      <rPr>
        <color rgb="FF1155CC"/>
        <sz val="10.0"/>
        <u/>
      </rPr>
      <t>Naim Bakere</t>
    </r>
    <r>
      <rPr>
        <sz val="10.0"/>
      </rPr>
      <t xml:space="preserve">, </t>
    </r>
    <r>
      <rPr>
        <color rgb="FF1155CC"/>
        <sz val="10.0"/>
        <u/>
      </rPr>
      <t>Mingyu (Carl) Huo</t>
    </r>
    <r>
      <rPr>
        <sz val="10.0"/>
      </rPr>
      <t xml:space="preserve"> and </t>
    </r>
    <r>
      <rPr>
        <color rgb="FF1155CC"/>
        <sz val="10.0"/>
        <u/>
      </rPr>
      <t>Yongqiang Tan</t>
    </r>
  </si>
  <si>
    <t>Abraham Lincoln HS, ELLIS, FlushingIHS</t>
  </si>
  <si>
    <t>Patel</t>
  </si>
  <si>
    <t>312-848-6508</t>
  </si>
  <si>
    <t>amyp55@gmail.com</t>
  </si>
  <si>
    <t>11/28/22 unsubscribed from newsletter SB 10/18/22 CT marked as abandoned (see notes below) 5/24/22 SB sent re-engagement email 1/5/22 Unsubscribed from newsletter SB Amy responded to outreach on 5/27/21 and said: &amp;#34;I don't have the bandwidth for this right now and do not want to commit to something I can't follow through on. I will reach out once things settle down.&amp;#34; JPS called on 5/26/21. Amy was running into a meeting and couldn't talk, so JPS sent email.</t>
  </si>
  <si>
    <t>73 East Lake St, Chicago, IL 60601</t>
  </si>
  <si>
    <t>Chicago</t>
  </si>
  <si>
    <t>BASF</t>
  </si>
  <si>
    <t>Anya</t>
  </si>
  <si>
    <t>Smith</t>
  </si>
  <si>
    <t>anakrokhina@hotmail.com</t>
  </si>
  <si>
    <t>1/9/24 WW LinkedIn message for IR2 Ellis 4/24/23 SB messaged Anya for IR3 - responded, &amp;#34;I have been having a bit of a hard time personally around managing stress related to the looming layoffs and also won't know my own job status until later next month. In light of that I would prefer to not take one more right now. I do hope to help out again soon&amp;#34; 4/18/23 SB emailed for IR3 3/6/23 CT updated phone number from ?(425) 737-8230? to &amp;#43;16507850781 2/23/23 CT left voicemail &amp;amp; sent text asking for Seminar 2/22/23 CT sent email asking about being Seminar Speaker for IHS Union Square 1/10/23 CT not available for IR2 because of new role at work and finishing last semester of MS degree. Asked to check in for IR3. 3/31/22 Not available for internship rounds until 2023 due to maternity leave. CT Completed Onboarding and Training 8/14/21 SB Training scheduled for 8/14/21 on 7/26/21 by SB Screened and passed on 7/21/21 by SB Her email address is under &amp;#34;Anna&amp;#34; but she prefers to be called &amp;#34;Anya&amp;#34; SB sent a screening call email on 7/12/21</t>
  </si>
  <si>
    <t>5641 402nd Ave Se</t>
  </si>
  <si>
    <t>Snoqualmie, WA</t>
  </si>
  <si>
    <t>Snoqualmie</t>
  </si>
  <si>
    <t>WA</t>
  </si>
  <si>
    <t>Meta (formerly Facebook)</t>
  </si>
  <si>
    <t>FY 21 - 22, Seminars 22</t>
  </si>
  <si>
    <r>
      <rPr>
        <color rgb="FF1155CC"/>
        <sz val="10.0"/>
        <u/>
      </rPr>
      <t>Rasel Ali</t>
    </r>
    <r>
      <rPr>
        <sz val="10.0"/>
      </rPr>
      <t xml:space="preserve"> and </t>
    </r>
    <r>
      <rPr>
        <color rgb="FF1155CC"/>
        <sz val="10.0"/>
        <u/>
      </rPr>
      <t>Akira Quezada</t>
    </r>
  </si>
  <si>
    <t>ICHSBronx, ClaremontIHS</t>
  </si>
  <si>
    <t>3/20/23 CT Anya has a lot going on with Meta layoffs and school. Reach out after August for FY or Seminars. 3/31/22 Not available for internship rounds until 2023 due to maternity leave. CT Completed Onboarding and Training 8/14/21 SB Training scheduled for 8/14/21 on 7/26/21 by SB Screened and passed on 7/21/21 by SB Her email address is under &amp;#34;Anna&amp;#34; but she prefers to be called &amp;#34;Anya&amp;#34; SB sent a screening call email on 7/12/21</t>
  </si>
  <si>
    <t>Seminars 22, FY 21 - 22</t>
  </si>
  <si>
    <r>
      <rPr>
        <color rgb="FF1155CC"/>
        <sz val="10.0"/>
        <u/>
      </rPr>
      <t>Rasel Ali</t>
    </r>
    <r>
      <rPr>
        <sz val="10.0"/>
      </rPr>
      <t xml:space="preserve"> and </t>
    </r>
    <r>
      <rPr>
        <color rgb="FF1155CC"/>
        <sz val="10.0"/>
        <u/>
      </rPr>
      <t>Akira Quezada</t>
    </r>
  </si>
  <si>
    <t>IHSUnionSquare, ICHSBronx</t>
  </si>
  <si>
    <t>Anastasia</t>
  </si>
  <si>
    <t>Maria Savelyeva</t>
  </si>
  <si>
    <t>917-500-4224</t>
  </si>
  <si>
    <t>anastasia.msavelyeva@gmail.com</t>
  </si>
  <si>
    <t>3/1/22 SB call, leave VM and send text to check status 1/24 SB call, VM,  text 01/05/22 CT sent follow up email for matching 12/30/21 SB sent IR2 FY21-22 schedule list for matching Anastasia unreachable throughout IR1 FY 21-22 communications, marking as inactive 11/15/21 SB Hetal called and left a vm on 11/8/2021 asking if she's still interested.  SB sent text with Intern round schedule 11/7/21</t>
  </si>
  <si>
    <t>6225 84th ST C60, Rego Park</t>
  </si>
  <si>
    <t>Middle Village</t>
  </si>
  <si>
    <t>The Smith</t>
  </si>
  <si>
    <r>
      <rPr>
        <color rgb="FF1155CC"/>
        <sz val="10.0"/>
        <u/>
      </rPr>
      <t>Mamdiara Ndiaye</t>
    </r>
    <r>
      <rPr>
        <sz val="10.0"/>
      </rPr>
      <t xml:space="preserve"> and </t>
    </r>
    <r>
      <rPr>
        <color rgb="FF1155CC"/>
        <sz val="10.0"/>
        <u/>
      </rPr>
      <t>Nassira Cisse</t>
    </r>
  </si>
  <si>
    <t>ELLIS</t>
  </si>
  <si>
    <t>Andrew</t>
  </si>
  <si>
    <t>Baum</t>
  </si>
  <si>
    <t>Andrewbaum570@gmail.com</t>
  </si>
  <si>
    <t>10/18/22 Someone name Andrew Baum with a similar email ( Baumandrew424@gmail.com)  expressed interest via volunteermatch. SB called to see if it is the same Andrew. Left voice mail, followed up with email and text. (phone: &amp;#43;13152897631) 9/15/22 Someone name Andrew Baum with a similar email ( Andrewbaum270@gmail.com)  expressed interest via volunteermatch. SB emailed to see if it was the same person. Andrew scheduled screening but it was for Memorial day - so we let him know we needed to reschedule. He sent a new time. SB agreed but Andrew did not show up to the call 5/24/22 SB sent re-engagement email 3/31/22 CT emailed for IR3, rew responded and CT sent info for screening. No response</t>
  </si>
  <si>
    <t>Syracuse, NY</t>
  </si>
  <si>
    <t>Syracuse</t>
  </si>
  <si>
    <t>Driveline</t>
  </si>
  <si>
    <t>Angana</t>
  </si>
  <si>
    <t>Deb</t>
  </si>
  <si>
    <t>650-495-9536</t>
  </si>
  <si>
    <t>angana1985@gmail.com</t>
  </si>
  <si>
    <t>1/30/24 saw via linkedin - new job at pintrest as Lead Client Partner. Confirm when next in contact SB Angana is on maternity leave and wants to reconnect mid-2022. Angana emailed Jennifer Peterson-Sharma on 1/7/2021 stating that she cannot participate in the program this year and would like to be reach out to next year (2021-2022 program). Donated $500 in November 2019 and November 2020 through Google's Donation platform, Benevity.  uploaded to Kintone but marked as inactive/yellow until screening complete</t>
  </si>
  <si>
    <t>Google LLC, Suite 500, 121 Spear Street, CA, SF 94103</t>
  </si>
  <si>
    <t>Google</t>
  </si>
  <si>
    <r>
      <rPr>
        <color rgb="FF1155CC"/>
        <sz val="10.0"/>
        <u/>
      </rPr>
      <t>Sanzida Chowdhury</t>
    </r>
    <r>
      <rPr>
        <sz val="10.0"/>
      </rPr>
      <t xml:space="preserve"> and </t>
    </r>
    <r>
      <rPr>
        <color rgb="FF1155CC"/>
        <sz val="10.0"/>
        <u/>
      </rPr>
      <t>Tasnim Jahan</t>
    </r>
  </si>
  <si>
    <t>Angelo</t>
  </si>
  <si>
    <t>Rodriguez</t>
  </si>
  <si>
    <t>angelo@nycasagroup.com</t>
  </si>
  <si>
    <t>Real Estate/Development</t>
  </si>
  <si>
    <t>2/13/24 SB emailed for IR3 11/16/24 SB sent follow up about availability - not available, asking for IR3 1/11/24 SB called, left vm,  sent text for IR2 - Angelo called back, he is traveling to visit family somewhere warm in feb. but will look at the schedule and let us know as soon as possible 1/10/24 SB emailed for IR2 Crotona 3/23/23 Angelo agreed to group and time for IR3 SB 3/22/23 Angelo emailed saying this round works but asked if there could be a time change - SB responded explaining schedules 3/21/23 SB sent Angelo text about IR3 - texted back said he would let us know by end of day 3/16/23 SB emailed for IR3 12/01/22 CT Completed Orientation &amp;amp; Onboarding Webinar 11/30/22 CT left voicemail &amp;amp; sent text about training 11/28/22 SB followed up and corrected training dates 11/21/22 SB followed up for training 9/27/22 passed screening with SB, sending training email Scheduled screening for 9/27/22. SB 9/22/22 SB sent screening scheduling email</t>
  </si>
  <si>
    <t>10 Clinton St. #4Q, Brooklyn NY 11201</t>
  </si>
  <si>
    <t>Brooklyn, NY 11201</t>
  </si>
  <si>
    <t>NY CASA GROUP</t>
  </si>
  <si>
    <t>FY 22 - 23, FY 24 - 25, Seminars 24, Seminars 23</t>
  </si>
  <si>
    <r>
      <rPr>
        <color rgb="FF1155CC"/>
        <sz val="10.0"/>
        <u/>
      </rPr>
      <t>Taliana Valencia</t>
    </r>
    <r>
      <rPr>
        <sz val="10.0"/>
      </rPr>
      <t xml:space="preserve">, </t>
    </r>
    <r>
      <rPr>
        <color rgb="FF1155CC"/>
        <sz val="10.0"/>
        <u/>
      </rPr>
      <t>Nerely Roa</t>
    </r>
    <r>
      <rPr>
        <sz val="10.0"/>
      </rPr>
      <t xml:space="preserve">, </t>
    </r>
    <r>
      <rPr>
        <color rgb="FF1155CC"/>
        <sz val="10.0"/>
        <u/>
      </rPr>
      <t>Michell Benavidez</t>
    </r>
    <r>
      <rPr>
        <sz val="10.0"/>
      </rPr>
      <t xml:space="preserve">, </t>
    </r>
    <r>
      <rPr>
        <color rgb="FF1155CC"/>
        <sz val="10.0"/>
        <u/>
      </rPr>
      <t>Jesus (Daniel) Leon</t>
    </r>
    <r>
      <rPr>
        <sz val="10.0"/>
      </rPr>
      <t xml:space="preserve">, </t>
    </r>
    <r>
      <rPr>
        <color rgb="FF1155CC"/>
        <sz val="10.0"/>
        <u/>
      </rPr>
      <t>Michell Benavidez</t>
    </r>
    <r>
      <rPr>
        <sz val="10.0"/>
      </rPr>
      <t xml:space="preserve"> and </t>
    </r>
    <r>
      <rPr>
        <color rgb="FF1155CC"/>
        <sz val="10.0"/>
        <u/>
      </rPr>
      <t>Jesus (Daniel) Leon</t>
    </r>
  </si>
  <si>
    <t>CrotonaIHS, IHSUnionSquare, DeSoto 130, WheelsNYC</t>
  </si>
  <si>
    <t>Anisa</t>
  </si>
  <si>
    <t>Shukla</t>
  </si>
  <si>
    <t>469-536-2287</t>
  </si>
  <si>
    <t>anisa.shukla@gmail.com</t>
  </si>
  <si>
    <t>5/18/22 SB sent re-engagement email 1/24/22 SB call and text 01/05/22 CT sent follow up email for matching 12/30/21 SB sent IR2 FY21-22 schedule list for matching JPS emailed on 7/22/21 via Champions@speakhire.org since it appears that Anisa has screened and possibly trained - want to check in on her status. HH text (phone disconnected when called) 7/20/2021 Sent another screening email 2/25/21. SU. Sent a screening email 2/20/21. SU Anisa passed a screening call on 7/21/2019. There is no screening form completed. She also said in an email to Scotney on 8/13/21 that she would love to be matched and that she submitted her materials in August 2019. It appears that she may have gone through training and completed an Instructional Guide, but we do not have one on file. </t>
  </si>
  <si>
    <t>11040 Blackhawk Drive, Texas</t>
  </si>
  <si>
    <t>India Youth Fund</t>
  </si>
  <si>
    <t>Anjuli</t>
  </si>
  <si>
    <t>Bahuguna</t>
  </si>
  <si>
    <t>anjulibahuguna@gmail.com</t>
  </si>
  <si>
    <t>5/18/22 SB sent re-engagement email Anjuli Bahuguna was screened on 3/27/2020 by Dona Rehm</t>
  </si>
  <si>
    <t>Dubai, United Arab Emirates</t>
  </si>
  <si>
    <t>KPMG Lower Gulf</t>
  </si>
  <si>
    <t>Ankur</t>
  </si>
  <si>
    <t>Jaluria</t>
  </si>
  <si>
    <t>ankurjaluria@gmail.com</t>
  </si>
  <si>
    <t>1/17/24  WW emailed for sponsor session 7/17/23 - SB sent email for IRS, BC called &amp;amp; left VM,  SB sent follow up text - Not available for IRS, asked for IR1 3/27/23 CT called. She's not available for the rest of the school year for FY or Seminars due to teaching. We can reach out next academic year and check in again. 3/2/23 CT sent email asking to be Speaker for BUSHWICKCHS Seminar 10/03/22 Not available for IR1 because of teaching 2 classes. Reach out for IR2. CT 4/16/22 Not available for Seminars during summer. CT Ankur informed us via email that her last name is only Jaluria now. CT 2/28/22 Ankur emailed Jennifer Peterson-Sharma on 1/7/2021 stating she will not be able to participate in the program for a month of two, but would like to continue with the program after a few months break. Should be okay to consider for round three 2020-2021, not round two. Ankur accepted match for Round One 2020, but emailed last minute with family emergency and said she could not longer accommodate the match. Ankur was trained on 9/28/2020 at 7:30 pm EST with Jennifer Peterson-Sharma and Kiesha Charles. Emailed her for a training call on for september 17th at 7pm Ankur was screened on 9/15/2020 by Kiesha Charles The Screening Call was scheduled for 9/12/2020 but Ankur emailed on 9/10/2020 to say that a family emergency has occurred and she will be unable to conduct the Screening Call on the 12th. She will be in contact with Kiesha Charles to reschedule. Emailed on 8/31/2020 about setting up screening call</t>
  </si>
  <si>
    <t>305 W 50th Street Apt 26C, New York, NY 10019</t>
  </si>
  <si>
    <t>Universal McCann</t>
  </si>
  <si>
    <r>
      <rPr>
        <color rgb="FF1155CC"/>
        <sz val="10.0"/>
        <u/>
      </rPr>
      <t>Allan Gonzalez</t>
    </r>
    <r>
      <rPr>
        <sz val="10.0"/>
      </rPr>
      <t xml:space="preserve">, </t>
    </r>
    <r>
      <rPr>
        <color rgb="FF1155CC"/>
        <sz val="10.0"/>
        <u/>
      </rPr>
      <t>Sadi Islam</t>
    </r>
    <r>
      <rPr>
        <sz val="10.0"/>
      </rPr>
      <t xml:space="preserve">, </t>
    </r>
    <r>
      <rPr>
        <color rgb="FF1155CC"/>
        <sz val="10.0"/>
        <u/>
      </rPr>
      <t>Alpha Sylla</t>
    </r>
    <r>
      <rPr>
        <sz val="10.0"/>
      </rPr>
      <t xml:space="preserve"> and </t>
    </r>
    <r>
      <rPr>
        <color rgb="FF1155CC"/>
        <sz val="10.0"/>
        <u/>
      </rPr>
      <t>Abrahan Castro</t>
    </r>
  </si>
  <si>
    <t>P2GManhattan, FlushingIHS, ELLIS</t>
  </si>
  <si>
    <t>Anna</t>
  </si>
  <si>
    <t>Carina Radulovich (D)</t>
  </si>
  <si>
    <t>annaradulovich@gmail.com</t>
  </si>
  <si>
    <t>Anna attended a training session on 2/27/21 with JPS JPS followed up with congratulations &amp;#43; training scheduling on 2/22/21 Screened with Sonya Uddin on 2/20/21 while Hetal Jani observed Double checked 1/26 (KW)</t>
  </si>
  <si>
    <t>357 Tamarack Ave, Apt B, Carlsbad</t>
  </si>
  <si>
    <t>Carlsbad, CA</t>
  </si>
  <si>
    <t>Carlsbad</t>
  </si>
  <si>
    <t>Seminars 22, Seminars 21, FY 20 - 21</t>
  </si>
  <si>
    <r>
      <rPr>
        <color rgb="FF1155CC"/>
        <sz val="10.0"/>
        <u/>
      </rPr>
      <t>Hasly Cortes</t>
    </r>
    <r>
      <rPr>
        <sz val="10.0"/>
      </rPr>
      <t xml:space="preserve">, </t>
    </r>
    <r>
      <rPr>
        <color rgb="FF1155CC"/>
        <sz val="10.0"/>
        <u/>
      </rPr>
      <t>Juliana Cáceres</t>
    </r>
    <r>
      <rPr>
        <sz val="10.0"/>
      </rPr>
      <t xml:space="preserve">, </t>
    </r>
    <r>
      <rPr>
        <color rgb="FF1155CC"/>
        <sz val="10.0"/>
        <u/>
      </rPr>
      <t>Joanna Veletanga</t>
    </r>
    <r>
      <rPr>
        <sz val="10.0"/>
      </rPr>
      <t xml:space="preserve">, </t>
    </r>
    <r>
      <rPr>
        <color rgb="FF1155CC"/>
        <sz val="10.0"/>
        <u/>
      </rPr>
      <t>Khondoker Rahman</t>
    </r>
    <r>
      <rPr>
        <sz val="10.0"/>
      </rPr>
      <t xml:space="preserve">, </t>
    </r>
    <r>
      <rPr>
        <color rgb="FF1155CC"/>
        <sz val="10.0"/>
        <u/>
      </rPr>
      <t>Xiuyan Piao</t>
    </r>
    <r>
      <rPr>
        <sz val="10.0"/>
      </rPr>
      <t xml:space="preserve"> and </t>
    </r>
    <r>
      <rPr>
        <color rgb="FF1155CC"/>
        <sz val="10.0"/>
        <u/>
      </rPr>
      <t>Leila Titikpina</t>
    </r>
  </si>
  <si>
    <t>ClaremontIHS, ICHSBronx, FlushingIHS, ELLIS</t>
  </si>
  <si>
    <t>Butuzova</t>
  </si>
  <si>
    <t>annibutuzova@gmail.com</t>
  </si>
  <si>
    <t>6/29/23 Anna B confirmed group for IRS SB 6/28/23 Anna B emailed that schedule should work, SB sending About Interns to confirm group 6/27/23 SB called Anna B and left a voicemail 6/26/23 SB sent Anna google voice message about IRS times 6/22/23 Anna had emailed in response to the newsletter saying she is potentially available for IRS, SB responded with session time info to confirm 4/17/23 not available for IR3 SB 1/23/23 CT not available for IR2, looking for a job currently 1/23/23 CT updated professional references &amp;amp; asked for IR2 availability 11/3/22 SB asked for bronx/qpa 10/20/22 Wheels time too early for Anna SB 10/19/22 SB emailed for Wheels availability 9/14/22 Might be available for IR1 depending on school schedule. CT Reach out to about professional references in January 23. She's applying for green card / work authorization in US and absent at work right now. CT 8/29/22 Completed onboarding and orientation webinar on 11/5/21 SB Doubled Checked 1/19 (KW) emailed her on august 28th to set up training and never replied followed up with her September 3rd and still no response. Anna was screened on 3/5/2020 by Dona Rehm</t>
  </si>
  <si>
    <t>"I have just moved to San Rafael, CA.</t>
  </si>
  <si>
    <t>San Rafael, CA</t>
  </si>
  <si>
    <t>San Rafael</t>
  </si>
  <si>
    <t>Jackrabbit LX</t>
  </si>
  <si>
    <t>FY 22 - 23, FY 23 - 24, FY 21 - 22</t>
  </si>
  <si>
    <r>
      <rPr>
        <color rgb="FF1155CC"/>
        <sz val="10.0"/>
        <u/>
      </rPr>
      <t>Jayde Smoak</t>
    </r>
    <r>
      <rPr>
        <sz val="10.0"/>
      </rPr>
      <t xml:space="preserve">, </t>
    </r>
    <r>
      <rPr>
        <color rgb="FF1155CC"/>
        <sz val="10.0"/>
        <u/>
      </rPr>
      <t>Skirlie De La Cruz</t>
    </r>
    <r>
      <rPr>
        <sz val="10.0"/>
      </rPr>
      <t xml:space="preserve">, </t>
    </r>
    <r>
      <rPr>
        <color rgb="FF1155CC"/>
        <sz val="10.0"/>
        <u/>
      </rPr>
      <t>Raghd Salah</t>
    </r>
    <r>
      <rPr>
        <sz val="10.0"/>
      </rPr>
      <t xml:space="preserve">, </t>
    </r>
    <r>
      <rPr>
        <color rgb="FF1155CC"/>
        <sz val="10.0"/>
        <u/>
      </rPr>
      <t>Assetou (Assia) Sacko</t>
    </r>
    <r>
      <rPr>
        <sz val="10.0"/>
      </rPr>
      <t xml:space="preserve">, </t>
    </r>
    <r>
      <rPr>
        <color rgb="FF1155CC"/>
        <sz val="10.0"/>
        <u/>
      </rPr>
      <t>Naomi Nolasco</t>
    </r>
    <r>
      <rPr>
        <sz val="10.0"/>
      </rPr>
      <t xml:space="preserve">, </t>
    </r>
    <r>
      <rPr>
        <color rgb="FF1155CC"/>
        <sz val="10.0"/>
        <u/>
      </rPr>
      <t>Jatziry Guity</t>
    </r>
    <r>
      <rPr>
        <sz val="10.0"/>
      </rPr>
      <t xml:space="preserve">, </t>
    </r>
    <r>
      <rPr>
        <color rgb="FF1155CC"/>
        <sz val="10.0"/>
        <u/>
      </rPr>
      <t>Phue Naing</t>
    </r>
    <r>
      <rPr>
        <sz val="10.0"/>
      </rPr>
      <t xml:space="preserve">, </t>
    </r>
    <r>
      <rPr>
        <color rgb="FF1155CC"/>
        <sz val="10.0"/>
        <u/>
      </rPr>
      <t>Romina Sulaimonova</t>
    </r>
    <r>
      <rPr>
        <sz val="10.0"/>
      </rPr>
      <t xml:space="preserve">, </t>
    </r>
    <r>
      <rPr>
        <color rgb="FF1155CC"/>
        <sz val="10.0"/>
        <u/>
      </rPr>
      <t>Genesis Lochart</t>
    </r>
    <r>
      <rPr>
        <sz val="10.0"/>
      </rPr>
      <t xml:space="preserve">, </t>
    </r>
    <r>
      <rPr>
        <color rgb="FF1155CC"/>
        <sz val="10.0"/>
        <u/>
      </rPr>
      <t>Xuyuan Zhao</t>
    </r>
    <r>
      <rPr>
        <sz val="10.0"/>
      </rPr>
      <t xml:space="preserve">, </t>
    </r>
    <r>
      <rPr>
        <color rgb="FF1155CC"/>
        <sz val="10.0"/>
        <u/>
      </rPr>
      <t>Julia Pontes</t>
    </r>
    <r>
      <rPr>
        <sz val="10.0"/>
      </rPr>
      <t xml:space="preserve"> and </t>
    </r>
    <r>
      <rPr>
        <color rgb="FF1155CC"/>
        <sz val="10.0"/>
        <u/>
      </rPr>
      <t>Osvaldo Rodriguez</t>
    </r>
  </si>
  <si>
    <t>QueensPrepAcad, ICHSBronx, NYC Mission - Emma Lazarus, IHSUnionSquare</t>
  </si>
  <si>
    <t>Annie</t>
  </si>
  <si>
    <t>Camey Kuo</t>
  </si>
  <si>
    <t>anniecameykuo@gmail.com</t>
  </si>
  <si>
    <t>Led CCC 1/26/23 12/28/21 SB sent IR2 FY21-22 schedule list for matching Hetal created Annie's record after she confirmed she could step on for a Mandarin match 10/29/21</t>
  </si>
  <si>
    <t>Stanford University</t>
  </si>
  <si>
    <r>
      <rPr>
        <color rgb="FF1155CC"/>
        <sz val="10.0"/>
        <u/>
      </rPr>
      <t>Abdulghani Ali</t>
    </r>
    <r>
      <rPr>
        <sz val="10.0"/>
      </rPr>
      <t xml:space="preserve">, </t>
    </r>
    <r>
      <rPr>
        <color rgb="FF1155CC"/>
        <sz val="10.0"/>
        <u/>
      </rPr>
      <t>Yasmine El Himdi</t>
    </r>
    <r>
      <rPr>
        <sz val="10.0"/>
      </rPr>
      <t xml:space="preserve">, </t>
    </r>
    <r>
      <rPr>
        <color rgb="FF1155CC"/>
        <sz val="10.0"/>
        <u/>
      </rPr>
      <t>Mayerli Torres</t>
    </r>
    <r>
      <rPr>
        <sz val="10.0"/>
      </rPr>
      <t xml:space="preserve">, </t>
    </r>
    <r>
      <rPr>
        <color rgb="FF1155CC"/>
        <sz val="10.0"/>
        <u/>
      </rPr>
      <t>Yeling Lin</t>
    </r>
    <r>
      <rPr>
        <sz val="10.0"/>
      </rPr>
      <t xml:space="preserve">, </t>
    </r>
    <r>
      <rPr>
        <color rgb="FF1155CC"/>
        <sz val="10.0"/>
        <u/>
      </rPr>
      <t>Yafei Huang</t>
    </r>
    <r>
      <rPr>
        <sz val="10.0"/>
      </rPr>
      <t xml:space="preserve"> and </t>
    </r>
    <r>
      <rPr>
        <color rgb="FF1155CC"/>
        <sz val="10.0"/>
        <u/>
      </rPr>
      <t>Valentina Jaque</t>
    </r>
  </si>
  <si>
    <t>IHS Lafayette, FlushingIHS</t>
  </si>
  <si>
    <t>Issue 5, Issue 6, Issue 7, Issue 8, Issue 9, Issue 10, Issue 11</t>
  </si>
  <si>
    <t>Issue 6,7 - 12/14/20
Issue 8,9,10,11 - 2/8/22</t>
  </si>
  <si>
    <t>Issue 8,9,10,11 - 2500 + $50 Summit ticket</t>
  </si>
  <si>
    <t>April</t>
  </si>
  <si>
    <t>Carter</t>
  </si>
  <si>
    <t>april.l.carter@gmail.com</t>
  </si>
  <si>
    <t>3/8/24 WW emailed for IR3 1/10/24 SB emailed for IR2 Crotona 2/28/23 CT sent email asking to take over Wheels group for IR2 Tried reaching out for FY 21-22 IR2 but wasn't able to confirm; Hetal emailed her saying we'd be in touch for the next round 4/13/22 12/20/21 completed onboarding training with SB and CT, waiting for Instructional Guide and onboarding materials, sent email asking for it 12/21 12/13/21 SB sent follow up SB sent Congrats on 12/9/21 12/6/21 passed screening SB 11/29/21 SB sent April screening scheduling email</t>
  </si>
  <si>
    <t>421 S 321st Street, C2, Federal Way, WA 98003</t>
  </si>
  <si>
    <t>London, United Kingdom</t>
  </si>
  <si>
    <t>Federal Way</t>
  </si>
  <si>
    <t>IBM</t>
  </si>
  <si>
    <t>Astha</t>
  </si>
  <si>
    <t>Rajvanshi</t>
  </si>
  <si>
    <t>ar3541@columbia.edu</t>
  </si>
  <si>
    <t>Social Sciences/Psychology</t>
  </si>
  <si>
    <t>Double checked 1/26 (KW)</t>
  </si>
  <si>
    <t>Institute of Current World Affairs</t>
  </si>
  <si>
    <t>Cristal Davidson</t>
  </si>
  <si>
    <t>Arturo</t>
  </si>
  <si>
    <t>Paniagua</t>
  </si>
  <si>
    <t>arturo.paniagua@premiernutrition.com</t>
  </si>
  <si>
    <t>1/12/24 Arturo emailed back saying he is still adjusting to new job but to reach out for future rounds SB 1/11/23 SB sent email about IR2 Crotona 11/3/23 Arturo messaged, &amp;#34; I changed jobs about 3 weeks ago and working now at Premier Nutrition. My email is arturo.paniagua@premiernutrition. Right now I can't committ to anything for like another 2-3 months due to the changing of jobs and the learning curve. Please keep in touch and will let you know how things are progressing&amp;#34; SB - changing email. Get all new job info when he agrees to next match 11/1/23 WW follow up;  Arturo no longer works at CSAA 10/31/23 SB sent text for IR1 10/30/23 SB emailed for IR1 4/17/23 SB emailed for IR3 2/28/23 CT sent email asking to take over Wheels group for IR2 7/14/22 SB messaged for match 4/1/22 On vacation until April 19th without any electronic devices. CT 3/14/22 Not available for IR3 due to very busy work schedule in April. Reach out for next round. CT Completed Onboarding and Orientation Webinar 1/28/22 SB 12/21/21 SB sent IR2 FY21-22 schedule list for matching He will send an email with information about a quarterly meeting from CSAA and thinks it would be great if we pitch in for 5-10 min to talk about SPEAKHIRE and maybe get more Champions that way. 12/16/2021 CT Passed screening, sent congrats email &amp;amp; possible IR1 12/16/2021 CT Sent screening email 12/07/21 CT</t>
  </si>
  <si>
    <t>arturo.paniagua@premiernutrition</t>
  </si>
  <si>
    <t>Premier Nutrition</t>
  </si>
  <si>
    <r>
      <rPr>
        <color rgb="FF1155CC"/>
        <sz val="10.0"/>
        <u/>
      </rPr>
      <t>Mishelle Carol</t>
    </r>
    <r>
      <rPr>
        <sz val="10.0"/>
      </rPr>
      <t xml:space="preserve"> and </t>
    </r>
    <r>
      <rPr>
        <color rgb="FF1155CC"/>
        <sz val="10.0"/>
        <u/>
      </rPr>
      <t>Bairon Villanueva</t>
    </r>
  </si>
  <si>
    <t>FlushingIHS</t>
  </si>
  <si>
    <t>Asha</t>
  </si>
  <si>
    <t>Nair</t>
  </si>
  <si>
    <t>ashagnair@gmail.com</t>
  </si>
  <si>
    <t>01/05/22 CT sent follow up email for matching 12/30/21 SB sent IR2 FY21-22 schedule list for matching Double checked 1/26 (KW) Hetal asked about mentoring FY 20-21 MR1, but Asha said work and personal life hectic; list as inactive and she will reach out to us in the future if she can be a SPEAK Mentor again Hetal messaged on March 19th -- Doctor so difficult during COVID 19, but she will share the message One of the first mentors of SPEAK.  Best to contact by phone. </t>
  </si>
  <si>
    <t>20 Child Street, Apartment 813, Cambridge MA 02141</t>
  </si>
  <si>
    <t xml:space="preserve">Cambridge </t>
  </si>
  <si>
    <t>MA</t>
  </si>
  <si>
    <t>Stanford health</t>
  </si>
  <si>
    <r>
      <rPr>
        <color rgb="FF1155CC"/>
        <sz val="10.0"/>
        <u/>
      </rPr>
      <t>Daya Stanley</t>
    </r>
    <r>
      <rPr>
        <sz val="10.0"/>
      </rPr>
      <t xml:space="preserve"> and </t>
    </r>
    <r>
      <rPr>
        <color rgb="FF1155CC"/>
        <sz val="10.0"/>
        <u/>
      </rPr>
      <t>Hannah John</t>
    </r>
  </si>
  <si>
    <t>GWHS</t>
  </si>
  <si>
    <t>Stolbova</t>
  </si>
  <si>
    <t>321-696-3065</t>
  </si>
  <si>
    <t>ast@isdglobal.org</t>
  </si>
  <si>
    <t>3/9/23 CT sent follow up to schedule screening 2/27/23 CT sent follow up to schedule screening 2/21/23 CT sent follow up email regarding Screening Call 2/14/23 CT talked to Anna over phone. She wants to participate in Seminars and FY. She's busy right now but probably available for IR3. Sent screening call email &amp;amp; asked for updated information to update her profile. 2/13/23 CT schedule info phone call for 2/14/23 2/13/23 CT left voicemail &amp;amp; sent text 2/9/23 CT sent re-engagement email, email bounced back 5/24/22 SB sent re-engagement email 3/1/22 SB called, left VM, sent text Hetal updated her profile job title from Senior Manager of Client Services to what it is now and the company name from Graphika to what it is now and reached her on LinkedIn to see if she's interested still (11/18/21) HH email 8/5/21, HH email (voicemail box is full) 7/29/21, HH voicemail/text 7/20/21 uploaded to Kintone but marked as inactive/yellow until screening complete</t>
  </si>
  <si>
    <t>Brooklyn, NY</t>
  </si>
  <si>
    <t>Brookyl</t>
  </si>
  <si>
    <t>Ethyka</t>
  </si>
  <si>
    <t>AUGUSTO</t>
  </si>
  <si>
    <t>SALCEDO</t>
  </si>
  <si>
    <t>augustosalcedo76@gmail.com</t>
  </si>
  <si>
    <t>10/5/23 SB emailed to confirm IR1 availability - confirmed availability, will send about Intern group when we get the applications 8/18/23 Augusto asked to stay with current school (ICHS Bronx) for IR1, SB responded saying may be possible and also offering Crotona 7/18/23 PQ called for IRS - agreed to match and group 7/17/23 SB send email for IRS 3/14/23 CT not able to continue with IR2 due to being very busy, text with PT 1/12/23 CT sent about Interns email 1/12/23 agreed to wheels schedule for IR2 SB 1/10/23 SB sent follow up email about Wheels schedule 1/6/23 emailed SB that Wednesdays did not work and asked for Thursdays - SB sent the Wheels schedule 1/4/23 SB emailed for IR2 Union Square 11/29/22 Augusto confirmed for R2 -- Wheels and possibly Mondays 3pm (Crotona-QPA- ICHSB- US maybe) SB 11/16/22 Unavailable for IR1 - traveling for work through December 8/12/22 Interested in IR1 SB 1/22 Augusto jumped in to help with Seminars, was ready and excited to help with anything SB 1/6/22 SB followed up 12/22/21 SB sent IR2 FY21-22 schedule list for matching Completed training 11/12/21 SB Completed screening 11/9/21 SB Can be contacted via whats app Missed screening call on 9/22/21 - I think it was confusion from time zones. Sent rescheduling email SB Screening scheduling email sent 9/20/21 SB</t>
  </si>
  <si>
    <t>1390 BOLIVAR AVE. APT. 301 A</t>
  </si>
  <si>
    <t>LIMA PERU</t>
  </si>
  <si>
    <t>ECOLAB</t>
  </si>
  <si>
    <t>Seminars 22, FY 23 - 24, FY 21 - 22</t>
  </si>
  <si>
    <r>
      <rPr>
        <color rgb="FF1155CC"/>
        <sz val="10.0"/>
        <u/>
      </rPr>
      <t>Josue Martinez</t>
    </r>
    <r>
      <rPr>
        <sz val="10.0"/>
      </rPr>
      <t xml:space="preserve">, </t>
    </r>
    <r>
      <rPr>
        <color rgb="FF1155CC"/>
        <sz val="10.0"/>
        <u/>
      </rPr>
      <t>Julian Duarte</t>
    </r>
    <r>
      <rPr>
        <sz val="10.0"/>
      </rPr>
      <t xml:space="preserve">, </t>
    </r>
    <r>
      <rPr>
        <color rgb="FF1155CC"/>
        <sz val="10.0"/>
        <u/>
      </rPr>
      <t>Andy Caba</t>
    </r>
    <r>
      <rPr>
        <sz val="10.0"/>
      </rPr>
      <t xml:space="preserve">, </t>
    </r>
    <r>
      <rPr>
        <color rgb="FF1155CC"/>
        <sz val="10.0"/>
        <u/>
      </rPr>
      <t>Jeter Perez</t>
    </r>
    <r>
      <rPr>
        <sz val="10.0"/>
      </rPr>
      <t xml:space="preserve">, </t>
    </r>
    <r>
      <rPr>
        <color rgb="FF1155CC"/>
        <sz val="10.0"/>
        <u/>
      </rPr>
      <t>Miguel Angel Duarte Guiterrez</t>
    </r>
    <r>
      <rPr>
        <sz val="10.0"/>
      </rPr>
      <t xml:space="preserve">, </t>
    </r>
    <r>
      <rPr>
        <color rgb="FF1155CC"/>
        <sz val="10.0"/>
        <u/>
      </rPr>
      <t>Lia Luciano</t>
    </r>
    <r>
      <rPr>
        <sz val="10.0"/>
      </rPr>
      <t xml:space="preserve">, </t>
    </r>
    <r>
      <rPr>
        <color rgb="FF1155CC"/>
        <sz val="10.0"/>
        <u/>
      </rPr>
      <t>Angel Guzman</t>
    </r>
    <r>
      <rPr>
        <sz val="10.0"/>
      </rPr>
      <t xml:space="preserve">, </t>
    </r>
    <r>
      <rPr>
        <color rgb="FF1155CC"/>
        <sz val="10.0"/>
        <u/>
      </rPr>
      <t>Joustin Hiraldo</t>
    </r>
    <r>
      <rPr>
        <sz val="10.0"/>
      </rPr>
      <t xml:space="preserve">, </t>
    </r>
    <r>
      <rPr>
        <color rgb="FF1155CC"/>
        <sz val="10.0"/>
        <u/>
      </rPr>
      <t>Rafat Galeana</t>
    </r>
    <r>
      <rPr>
        <sz val="10.0"/>
      </rPr>
      <t xml:space="preserve">, </t>
    </r>
    <r>
      <rPr>
        <color rgb="FF1155CC"/>
        <sz val="10.0"/>
        <u/>
      </rPr>
      <t>Lisbeth Peña</t>
    </r>
    <r>
      <rPr>
        <sz val="10.0"/>
      </rPr>
      <t xml:space="preserve">, </t>
    </r>
    <r>
      <rPr>
        <color rgb="FF1155CC"/>
        <sz val="10.0"/>
        <u/>
      </rPr>
      <t>Katherine Ruano</t>
    </r>
    <r>
      <rPr>
        <sz val="10.0"/>
      </rPr>
      <t xml:space="preserve">, </t>
    </r>
    <r>
      <rPr>
        <color rgb="FF1155CC"/>
        <sz val="10.0"/>
        <u/>
      </rPr>
      <t>Sandy Mercedes</t>
    </r>
    <r>
      <rPr>
        <sz val="10.0"/>
      </rPr>
      <t xml:space="preserve">, </t>
    </r>
    <r>
      <rPr>
        <color rgb="FF1155CC"/>
        <sz val="10.0"/>
        <u/>
      </rPr>
      <t>Omairi Cruz Tejada</t>
    </r>
    <r>
      <rPr>
        <sz val="10.0"/>
      </rPr>
      <t xml:space="preserve">, </t>
    </r>
    <r>
      <rPr>
        <color rgb="FF1155CC"/>
        <sz val="10.0"/>
        <u/>
      </rPr>
      <t>Slinne Cruz</t>
    </r>
    <r>
      <rPr>
        <sz val="10.0"/>
      </rPr>
      <t xml:space="preserve">, </t>
    </r>
    <r>
      <rPr>
        <color rgb="FF1155CC"/>
        <sz val="10.0"/>
        <u/>
      </rPr>
      <t>Diego Rojas</t>
    </r>
    <r>
      <rPr>
        <sz val="10.0"/>
      </rPr>
      <t xml:space="preserve">, </t>
    </r>
    <r>
      <rPr>
        <color rgb="FF1155CC"/>
        <sz val="10.0"/>
        <u/>
      </rPr>
      <t>Vilma Coc Pop</t>
    </r>
    <r>
      <rPr>
        <sz val="10.0"/>
      </rPr>
      <t xml:space="preserve">, </t>
    </r>
    <r>
      <rPr>
        <color rgb="FF1155CC"/>
        <sz val="10.0"/>
        <u/>
      </rPr>
      <t>Andres Munoz</t>
    </r>
    <r>
      <rPr>
        <sz val="10.0"/>
      </rPr>
      <t xml:space="preserve">, </t>
    </r>
    <r>
      <rPr>
        <color rgb="FF1155CC"/>
        <sz val="10.0"/>
        <u/>
      </rPr>
      <t>Mathews Huacon</t>
    </r>
    <r>
      <rPr>
        <sz val="10.0"/>
      </rPr>
      <t xml:space="preserve">, </t>
    </r>
    <r>
      <rPr>
        <color rgb="FF1155CC"/>
        <sz val="10.0"/>
        <u/>
      </rPr>
      <t>Tatiana Cardona</t>
    </r>
    <r>
      <rPr>
        <sz val="10.0"/>
      </rPr>
      <t xml:space="preserve">, </t>
    </r>
    <r>
      <rPr>
        <color rgb="FF1155CC"/>
        <sz val="10.0"/>
        <u/>
      </rPr>
      <t>Wilberto Velasquez</t>
    </r>
    <r>
      <rPr>
        <sz val="10.0"/>
      </rPr>
      <t xml:space="preserve">, </t>
    </r>
    <r>
      <rPr>
        <color rgb="FF1155CC"/>
        <sz val="10.0"/>
        <u/>
      </rPr>
      <t>Daniela Gonzalez</t>
    </r>
    <r>
      <rPr>
        <sz val="10.0"/>
      </rPr>
      <t xml:space="preserve">, </t>
    </r>
    <r>
      <rPr>
        <color rgb="FF1155CC"/>
        <sz val="10.0"/>
        <u/>
      </rPr>
      <t>Mishelle Carol</t>
    </r>
    <r>
      <rPr>
        <sz val="10.0"/>
      </rPr>
      <t xml:space="preserve"> and </t>
    </r>
    <r>
      <rPr>
        <color rgb="FF1155CC"/>
        <sz val="10.0"/>
        <u/>
      </rPr>
      <t>Elian Acosta</t>
    </r>
  </si>
  <si>
    <t>CrotonaIHS, FlushingIHS</t>
  </si>
  <si>
    <t>Muhammad</t>
  </si>
  <si>
    <t>Awais</t>
  </si>
  <si>
    <t>awaisyad99@gmail.com</t>
  </si>
  <si>
    <t>10/12/23 WW emailed for checking/providing reference contacts since no response; WW follow-up again 11/13/23 5/12/23 completed training with SB and WW (note: left after video and did not say anything, we followed up with an email with information he missed) 5/10/23 SB followed up via email for training -signed up for training 5/12 5/8/23 passed screening with SB, congrats/training sent 5/4/23 SB sent follow up screening email May not have relevant US experience for FY, SB sending screening email 5/1/23</t>
  </si>
  <si>
    <t>Lahore, Pakistan</t>
  </si>
  <si>
    <t>Techno Control Corporation</t>
  </si>
  <si>
    <t>Aya</t>
  </si>
  <si>
    <t>Elawad</t>
  </si>
  <si>
    <t>ayamohamed22@lpcuwc.edu.hk</t>
  </si>
  <si>
    <t>SB screened - needs more experience Aya is an 18 year old student, not sure if she has any US experience. But she speaks Arabic. Going to schedule a screening and frame it more towards Seminars. 1/6/22 SB 1/6/22 SB sent screening invite email</t>
  </si>
  <si>
    <t>10? Sai Sha Rd, Ma On Shan</t>
  </si>
  <si>
    <t>Hong Kong</t>
  </si>
  <si>
    <t>Dima</t>
  </si>
  <si>
    <t>Al Ayderous</t>
  </si>
  <si>
    <t>310-806-3571</t>
  </si>
  <si>
    <t>ayd.dima@yahoo.com</t>
  </si>
  <si>
    <t>Not available for IR1. CT 8/25/22 3/21/22 Not available for IR3 CT 12/30/21 SB sent IR2 FY21-22 schedule list for matching Dima said to reach out to her again in November 2021 Dima replied to outreach on 2/22/21, saying that she just had a baby and would not be able to do SPEAKHIRE while caring for a newborn. JPS followed up asking when would be a good time to reach back out. JPS sent email on 2/22/21 to gauge Dima's availability for a possible IR2 2020-2021 match</t>
  </si>
  <si>
    <t>1 Shoal CT</t>
  </si>
  <si>
    <t>Sacramento Native American Health Center</t>
  </si>
  <si>
    <t>FY 19 - 20, FY 21 - 22</t>
  </si>
  <si>
    <r>
      <rPr>
        <color rgb="FF1155CC"/>
        <sz val="10.0"/>
        <u/>
      </rPr>
      <t>Nassira Cisse</t>
    </r>
    <r>
      <rPr>
        <sz val="10.0"/>
      </rPr>
      <t xml:space="preserve">, </t>
    </r>
    <r>
      <rPr>
        <color rgb="FF1155CC"/>
        <sz val="10.0"/>
        <u/>
      </rPr>
      <t>Afrida Ahmed</t>
    </r>
    <r>
      <rPr>
        <sz val="10.0"/>
      </rPr>
      <t xml:space="preserve">, </t>
    </r>
    <r>
      <rPr>
        <color rgb="FF1155CC"/>
        <sz val="10.0"/>
        <u/>
      </rPr>
      <t>Aura Caraballo</t>
    </r>
    <r>
      <rPr>
        <sz val="10.0"/>
      </rPr>
      <t xml:space="preserve">, </t>
    </r>
    <r>
      <rPr>
        <color rgb="FF1155CC"/>
        <sz val="10.0"/>
        <u/>
      </rPr>
      <t>Gabriel Morris</t>
    </r>
    <r>
      <rPr>
        <sz val="10.0"/>
      </rPr>
      <t xml:space="preserve"> and </t>
    </r>
    <r>
      <rPr>
        <color rgb="FF1155CC"/>
        <sz val="10.0"/>
        <u/>
      </rPr>
      <t>Paula Astudillo</t>
    </r>
  </si>
  <si>
    <t>ELLIS, IHSUnionSquare</t>
  </si>
  <si>
    <t>Azikiwe</t>
  </si>
  <si>
    <t>Rich</t>
  </si>
  <si>
    <t>azikiwe.rich@gmail.com</t>
  </si>
  <si>
    <t>1/19/24 WW emailed for 2024 ccc 1/9/24 WW emailed for IR2 Ellis 8/18/23 HJ saw via linked in Azikiwe was appointed to the DOT's Advisory Committee, SB emailed to congratulate and to confirm any new job title/info 3/22/23 stronger Interns for next match (current ones are not participating and he feels very discouraged) SB 3/2/23 CT sent email asking to be Speaker for BUSHWICKCHS Seminar 2/21/23 job updated for Executive Director of NYC dept of transportation - CT emailed to congratulate and to ask for updated job information Not available for Feb 8th and Mar 8th session because of important monthly meeting 1/12/23 CT Complete in CPC Orientation &amp;amp; Onboarding Webinar 1/5/23 CT had phone call with Azikiwe. He's available for IR2 &amp;amp; added to CPC Training prior to start of FY Round. Sent over Handbook &amp;amp; Instructional Guide along with more information. 1/5/23 CT scheduled phone call to discuss FY details 12/26/22 CT sent follow up CT for IR2 12/20/22 CT sent follow up for IR2 12/12/22 CT asked for IR2 availability with wheels schedule 10/27/22 Did not show for CPC Orientation &amp;amp; Onboarding Training due to personal conflict. Sent email with more training dates. CT 9/6/22 passed screening SB</t>
  </si>
  <si>
    <t>155 Washington Street, Jersey City, NJ 07302</t>
  </si>
  <si>
    <t>New Jersey</t>
  </si>
  <si>
    <t>NYC Department of Transportation</t>
  </si>
  <si>
    <t>FY 22 - 23, Seminars 22</t>
  </si>
  <si>
    <r>
      <rPr>
        <color rgb="FF1155CC"/>
        <sz val="10.0"/>
        <u/>
      </rPr>
      <t>Diarra Fall</t>
    </r>
    <r>
      <rPr>
        <sz val="10.0"/>
      </rPr>
      <t xml:space="preserve"> and </t>
    </r>
    <r>
      <rPr>
        <color rgb="FF1155CC"/>
        <sz val="10.0"/>
        <u/>
      </rPr>
      <t>Christopher Auquilla</t>
    </r>
  </si>
  <si>
    <t>IHSUnionSquare, P2GBronx</t>
  </si>
  <si>
    <t>Sara</t>
  </si>
  <si>
    <t>Benavent</t>
  </si>
  <si>
    <t>benavent.sara@gmail.com</t>
  </si>
  <si>
    <t>10/30/23 WW tried to call her - no vm set/ can?t text probably because it?s a French number? 10/20/23 SB emailed for IR1 01/28/22 About to give birth to second baby and won't be able to continue being a Champion in the coming year (s). (email to Hetal) CT 12/22/21 SB sent IR2 FY21-22 schedule list for matching Sara was screened on 1/21/21 by Jennifer Peterson-Sharma</t>
  </si>
  <si>
    <t>273 Rue du Lavoir, 73310 Motz, France</t>
  </si>
  <si>
    <r>
      <rPr>
        <color rgb="FF1155CC"/>
        <sz val="10.0"/>
        <u/>
      </rPr>
      <t>Jaiahna Gadsden</t>
    </r>
    <r>
      <rPr>
        <sz val="10.0"/>
      </rPr>
      <t xml:space="preserve">, </t>
    </r>
    <r>
      <rPr>
        <color rgb="FF1155CC"/>
        <sz val="10.0"/>
        <u/>
      </rPr>
      <t>Jeimery Sosa</t>
    </r>
    <r>
      <rPr>
        <sz val="10.0"/>
      </rPr>
      <t xml:space="preserve">, </t>
    </r>
    <r>
      <rPr>
        <color rgb="FF1155CC"/>
        <sz val="10.0"/>
        <u/>
      </rPr>
      <t>Raderly Morel</t>
    </r>
    <r>
      <rPr>
        <sz val="10.0"/>
      </rPr>
      <t xml:space="preserve"> and </t>
    </r>
    <r>
      <rPr>
        <color rgb="FF1155CC"/>
        <sz val="10.0"/>
        <u/>
      </rPr>
      <t>Oskarina Cepeda</t>
    </r>
  </si>
  <si>
    <t>CypressHills, CrotonaIHS</t>
  </si>
  <si>
    <t>Benjamin</t>
  </si>
  <si>
    <t>Curtis</t>
  </si>
  <si>
    <t>benjaminwcurtis@yahoo.com</t>
  </si>
  <si>
    <t>&amp;#34;Thanks for the message. Please don't contact my references at this time,  in fact, it would be best if you just take me off your list for now. I'll inquire again if I'm interested in participating in the future.&amp;#34; CT 08/10/22 Hetal spoke with Ben 1/17/22  since he said he didn't feel like he was a good fit for this population; she explained he was matched on language support which he said wasn't made clear. No other objections, but he felt this wasn't the right fit for him at this time, but maybe he can consider it again. Try again in March for FY21.22 IR3 and see what he says.  11/9/21 Completed onboarding and orientation webinar SB Busy in September 2021, email to schedule training in October SB Passed screening on 8/24/21 SB WhatsApp: &amp;#43;385 98 967 0519 Sent screening scheduling email 8/24/21 SB</t>
  </si>
  <si>
    <t>8029 12th Ave NE Seattle WA 98115</t>
  </si>
  <si>
    <t>Seattle and Prague</t>
  </si>
  <si>
    <t>Seattle</t>
  </si>
  <si>
    <t>Development Insights Partners and Rick Steves' Europe</t>
  </si>
  <si>
    <r>
      <rPr>
        <color rgb="FF1155CC"/>
        <sz val="10.0"/>
        <u/>
      </rPr>
      <t>Ancly Tzul</t>
    </r>
    <r>
      <rPr>
        <sz val="10.0"/>
      </rPr>
      <t xml:space="preserve"> and </t>
    </r>
    <r>
      <rPr>
        <color rgb="FF1155CC"/>
        <sz val="10.0"/>
        <u/>
      </rPr>
      <t>Fredis Chavez Portillo</t>
    </r>
  </si>
  <si>
    <t>Bhakti</t>
  </si>
  <si>
    <t>Pitre</t>
  </si>
  <si>
    <t>bhaktipitre1084@gmail.com</t>
  </si>
  <si>
    <t>05/10/24 - AT emailed re social media contribution. 12/8/23 stepping down from SPEAKHIRE board 5/23/23 CT Completed CPC Orientation &amp;amp; Onboarding Webinar 5/10/23 Bhakti confused about references, HJ said other board member will talk to her and to snooze until July 2023 4/28/23 SB texted about training 4/24/23 SB sent text for training 4/6/23 confirmed group for IR3 SB 4/5/23 completed screening form on her own - HJ okayed this. Board member</t>
  </si>
  <si>
    <t>Hayward California 94544, United States</t>
  </si>
  <si>
    <t>California</t>
  </si>
  <si>
    <t xml:space="preserve">Hayward </t>
  </si>
  <si>
    <t>ServiceNow</t>
  </si>
  <si>
    <r>
      <rPr>
        <color rgb="FF1155CC"/>
        <sz val="10.0"/>
        <u/>
      </rPr>
      <t>Yannick Diaby</t>
    </r>
    <r>
      <rPr>
        <sz val="10.0"/>
      </rPr>
      <t xml:space="preserve">, </t>
    </r>
    <r>
      <rPr>
        <color rgb="FF1155CC"/>
        <sz val="10.0"/>
        <u/>
      </rPr>
      <t>Ana Almeida</t>
    </r>
    <r>
      <rPr>
        <sz val="10.0"/>
      </rPr>
      <t xml:space="preserve"> and </t>
    </r>
    <r>
      <rPr>
        <color rgb="FF1155CC"/>
        <sz val="10.0"/>
        <u/>
      </rPr>
      <t>Diarra Fall</t>
    </r>
  </si>
  <si>
    <t>IHSUnionSquare</t>
  </si>
  <si>
    <t>Issue 11 - 2/19/22</t>
  </si>
  <si>
    <t>Issue 11 - 50</t>
  </si>
  <si>
    <t>Bhavna</t>
  </si>
  <si>
    <t>Mohan Agnihotri</t>
  </si>
  <si>
    <t>1 212 318 3061</t>
  </si>
  <si>
    <t xml:space="preserve">bhavna.agnihotri@nortonrosefulbright.com
</t>
  </si>
  <si>
    <t>4/14/2026 KW updated phone number from 646-404-4739  to +1 212 318 3061, email from Bhavna.agnihotri@aig.com to bhavna.agnihotri@nortonrosefulbright.com
2/8/24 WW emailed for IR3 Spanish only conversational, not fluent 4/26/23 SB messaged Bhavna for IR3, she replied to email asking for session dates. SB responded with them. - agreed to time, SB sent about 4/25/23 SB emailed for IR3 12/08/22 CT Bhavna confirmed availability for Wheels IR2 12/08/22 CT sent Wheels schedule for IR 2 8/15/22 SB followed up for email update. Bhavna out of country till September. SB asked about IR1 availability. She said year end is hectic for her, but she is interested in IR2 8/15/22 SB updated email to Bhavna.agnihotri@aig.com from bhavna_agnihotri@swissre.com 8/11/22 SB messaged Bhavna because her email is bouncing back, asked for updated one. 7/7/22 SB sent text for IRS match 7/5/22 SB sent email for match  12/22/21 SB sent IR2 FY21-22 schedule list for matching secondary email: bhavna.agnihotri@gmail.com</t>
  </si>
  <si>
    <t>73-20 Austin St #2F, Forest Hills NY 11375</t>
  </si>
  <si>
    <t>Forest Hills</t>
  </si>
  <si>
    <t>Norton Rose Fulbright US LLP</t>
  </si>
  <si>
    <t>FY 17 - 18, FY 22 - 23, FY 20 - 21, FY 21 - 22, FY 23 - 24</t>
  </si>
  <si>
    <r>
      <rPr>
        <color rgb="FF1155CC"/>
        <sz val="10.0"/>
        <u/>
      </rPr>
      <t>Saima Akter</t>
    </r>
    <r>
      <rPr>
        <sz val="10.0"/>
      </rPr>
      <t xml:space="preserve">, </t>
    </r>
    <r>
      <rPr>
        <color rgb="FF1155CC"/>
        <sz val="10.0"/>
        <u/>
      </rPr>
      <t>Noashin Sarker</t>
    </r>
    <r>
      <rPr>
        <sz val="10.0"/>
      </rPr>
      <t xml:space="preserve">, </t>
    </r>
    <r>
      <rPr>
        <color rgb="FF1155CC"/>
        <sz val="10.0"/>
        <u/>
      </rPr>
      <t>Tariana Garcia Encarnacion</t>
    </r>
    <r>
      <rPr>
        <sz val="10.0"/>
      </rPr>
      <t xml:space="preserve">, </t>
    </r>
    <r>
      <rPr>
        <color rgb="FF1155CC"/>
        <sz val="10.0"/>
        <u/>
      </rPr>
      <t>Marina Diaz</t>
    </r>
    <r>
      <rPr>
        <sz val="10.0"/>
      </rPr>
      <t xml:space="preserve">, </t>
    </r>
    <r>
      <rPr>
        <color rgb="FF1155CC"/>
        <sz val="10.0"/>
        <u/>
      </rPr>
      <t>Claudia Herazo</t>
    </r>
    <r>
      <rPr>
        <sz val="10.0"/>
      </rPr>
      <t xml:space="preserve">, </t>
    </r>
    <r>
      <rPr>
        <color rgb="FF1155CC"/>
        <sz val="10.0"/>
        <u/>
      </rPr>
      <t>Jose Sanan</t>
    </r>
    <r>
      <rPr>
        <sz val="10.0"/>
      </rPr>
      <t xml:space="preserve">, </t>
    </r>
    <r>
      <rPr>
        <color rgb="FF1155CC"/>
        <sz val="10.0"/>
        <u/>
      </rPr>
      <t>Asmaa Alkhadashi</t>
    </r>
    <r>
      <rPr>
        <sz val="10.0"/>
      </rPr>
      <t xml:space="preserve">, </t>
    </r>
    <r>
      <rPr>
        <color rgb="FF1155CC"/>
        <sz val="10.0"/>
        <u/>
      </rPr>
      <t>Tasnim Jahan</t>
    </r>
    <r>
      <rPr>
        <sz val="10.0"/>
      </rPr>
      <t xml:space="preserve">, </t>
    </r>
    <r>
      <rPr>
        <color rgb="FF1155CC"/>
        <sz val="10.0"/>
        <u/>
      </rPr>
      <t>Eliana Cabral</t>
    </r>
    <r>
      <rPr>
        <sz val="10.0"/>
      </rPr>
      <t xml:space="preserve">, </t>
    </r>
    <r>
      <rPr>
        <color rgb="FF1155CC"/>
        <sz val="10.0"/>
        <u/>
      </rPr>
      <t>Chanely Astacio</t>
    </r>
    <r>
      <rPr>
        <sz val="10.0"/>
      </rPr>
      <t xml:space="preserve">, </t>
    </r>
    <r>
      <rPr>
        <color rgb="FF1155CC"/>
        <sz val="10.0"/>
        <u/>
      </rPr>
      <t>Ilsy Hernandez</t>
    </r>
    <r>
      <rPr>
        <sz val="10.0"/>
      </rPr>
      <t xml:space="preserve">, </t>
    </r>
    <r>
      <rPr>
        <color rgb="FF1155CC"/>
        <sz val="10.0"/>
        <u/>
      </rPr>
      <t>Angelo De La Cruz</t>
    </r>
    <r>
      <rPr>
        <sz val="10.0"/>
      </rPr>
      <t xml:space="preserve">, </t>
    </r>
    <r>
      <rPr>
        <color rgb="FF1155CC"/>
        <sz val="10.0"/>
        <u/>
      </rPr>
      <t>Rana Musleh</t>
    </r>
    <r>
      <rPr>
        <sz val="10.0"/>
      </rPr>
      <t xml:space="preserve">, </t>
    </r>
    <r>
      <rPr>
        <color rgb="FF1155CC"/>
        <sz val="10.0"/>
        <u/>
      </rPr>
      <t>Tryana Hernandez</t>
    </r>
    <r>
      <rPr>
        <sz val="10.0"/>
      </rPr>
      <t xml:space="preserve">, </t>
    </r>
    <r>
      <rPr>
        <color rgb="FF1155CC"/>
        <sz val="10.0"/>
        <u/>
      </rPr>
      <t>Aaliyah Escalante</t>
    </r>
    <r>
      <rPr>
        <sz val="10.0"/>
      </rPr>
      <t xml:space="preserve">, </t>
    </r>
    <r>
      <rPr>
        <color rgb="FF1155CC"/>
        <sz val="10.0"/>
        <u/>
      </rPr>
      <t>Jaylenn Ortega</t>
    </r>
    <r>
      <rPr>
        <sz val="10.0"/>
      </rPr>
      <t xml:space="preserve">, </t>
    </r>
    <r>
      <rPr>
        <color rgb="FF1155CC"/>
        <sz val="10.0"/>
        <u/>
      </rPr>
      <t>Wendinso Kabore</t>
    </r>
    <r>
      <rPr>
        <sz val="10.0"/>
      </rPr>
      <t xml:space="preserve">, </t>
    </r>
    <r>
      <rPr>
        <color rgb="FF1155CC"/>
        <sz val="10.0"/>
        <u/>
      </rPr>
      <t>Emiliano Hernandez</t>
    </r>
    <r>
      <rPr>
        <sz val="10.0"/>
      </rPr>
      <t xml:space="preserve">, </t>
    </r>
    <r>
      <rPr>
        <color rgb="FF1155CC"/>
        <sz val="10.0"/>
        <u/>
      </rPr>
      <t>Fatuma Bulloh</t>
    </r>
    <r>
      <rPr>
        <sz val="10.0"/>
      </rPr>
      <t xml:space="preserve"> and </t>
    </r>
    <r>
      <rPr>
        <color rgb="FF1155CC"/>
        <sz val="10.0"/>
        <u/>
      </rPr>
      <t>Reinalis Ayala</t>
    </r>
  </si>
  <si>
    <t>ELLIS, CrotonaIHS, IHS Health, WheelsNYC, American History</t>
  </si>
  <si>
    <t>Bindu</t>
  </si>
  <si>
    <t>Krishna</t>
  </si>
  <si>
    <t>bindu.krishna@gmail.com</t>
  </si>
  <si>
    <t>3/30/23 texted SB back asking about dates - SB sent - tried to make it work but would have to reschedule too much 3/28/23 SB sent text about IR3 1/23/23 SB emailed Bindu thank you for IR2 for Ellis - &amp;#34;I have some travel coming up so I'm not sure that I can commit to a round at this time. I'd hate to keep cancelling as that was a problem even with this past round.&amp;#34; 10/17/22 Can confirm Wheels but not for &amp;#34;11/3 and 11/10 as I?m out of the country those dates on vacation&amp;#34; - Confirm Bindu for a reschedule of 1.5 hour double session for the first two -- but match her to a group that applies a bit later. SB 10/14/22 SB emailed for availability for Wheels She's travelling in November but might be available for IR1 depending on schedule. Provide her with school schedule as soon as we have it. CT 8/23/22 7/12/22 Bindu confirmed match for IRS SB 7/7/22 LG called, emailed for IRS availability Completed Onboarding and Orientation Webinar 1/28/22 SB 01/25/22 Passed Screening CT 01/24/22 Sent Screening Call &amp;amp; CPC Training email CT</t>
  </si>
  <si>
    <t>1600 15th St. Apt 502</t>
  </si>
  <si>
    <t>San Francisco, CA</t>
  </si>
  <si>
    <t>Havas Gemini, Havas Health &amp; You</t>
  </si>
  <si>
    <t>FY 21 - 22, FY 22 - 23, FY 23 - 24</t>
  </si>
  <si>
    <r>
      <rPr>
        <color rgb="FF1155CC"/>
        <sz val="10.0"/>
        <u/>
      </rPr>
      <t>Francis Calderon</t>
    </r>
    <r>
      <rPr>
        <sz val="10.0"/>
      </rPr>
      <t xml:space="preserve">, </t>
    </r>
    <r>
      <rPr>
        <color rgb="FF1155CC"/>
        <sz val="10.0"/>
        <u/>
      </rPr>
      <t>Fabiana Justiniano</t>
    </r>
    <r>
      <rPr>
        <sz val="10.0"/>
      </rPr>
      <t xml:space="preserve">, </t>
    </r>
    <r>
      <rPr>
        <color rgb="FF1155CC"/>
        <sz val="10.0"/>
        <u/>
      </rPr>
      <t>Zihan Zhang</t>
    </r>
    <r>
      <rPr>
        <sz val="10.0"/>
      </rPr>
      <t xml:space="preserve">, </t>
    </r>
    <r>
      <rPr>
        <color rgb="FF1155CC"/>
        <sz val="10.0"/>
        <u/>
      </rPr>
      <t>Ziyi Lin</t>
    </r>
    <r>
      <rPr>
        <sz val="10.0"/>
      </rPr>
      <t xml:space="preserve">, </t>
    </r>
    <r>
      <rPr>
        <color rgb="FF1155CC"/>
        <sz val="10.0"/>
        <u/>
      </rPr>
      <t>Ismatu Barry</t>
    </r>
    <r>
      <rPr>
        <sz val="10.0"/>
      </rPr>
      <t xml:space="preserve">, </t>
    </r>
    <r>
      <rPr>
        <color rgb="FF1155CC"/>
        <sz val="10.0"/>
        <u/>
      </rPr>
      <t>Gabriela Pena</t>
    </r>
    <r>
      <rPr>
        <sz val="10.0"/>
      </rPr>
      <t xml:space="preserve">, </t>
    </r>
    <r>
      <rPr>
        <color rgb="FF1155CC"/>
        <sz val="10.0"/>
        <u/>
      </rPr>
      <t>Karla Arriola</t>
    </r>
    <r>
      <rPr>
        <sz val="10.0"/>
      </rPr>
      <t xml:space="preserve">, </t>
    </r>
    <r>
      <rPr>
        <color rgb="FF1155CC"/>
        <sz val="10.0"/>
        <u/>
      </rPr>
      <t>Johalyn Perez</t>
    </r>
    <r>
      <rPr>
        <sz val="10.0"/>
      </rPr>
      <t xml:space="preserve">, </t>
    </r>
    <r>
      <rPr>
        <color rgb="FF1155CC"/>
        <sz val="10.0"/>
        <u/>
      </rPr>
      <t>Matthew Vargas</t>
    </r>
    <r>
      <rPr>
        <sz val="10.0"/>
      </rPr>
      <t xml:space="preserve">, </t>
    </r>
    <r>
      <rPr>
        <color rgb="FF1155CC"/>
        <sz val="10.0"/>
        <u/>
      </rPr>
      <t>Heiscelys Campusano</t>
    </r>
    <r>
      <rPr>
        <sz val="10.0"/>
      </rPr>
      <t xml:space="preserve">, </t>
    </r>
    <r>
      <rPr>
        <color rgb="FF1155CC"/>
        <sz val="10.0"/>
        <u/>
      </rPr>
      <t>Rowena Otero</t>
    </r>
    <r>
      <rPr>
        <sz val="10.0"/>
      </rPr>
      <t xml:space="preserve">, </t>
    </r>
    <r>
      <rPr>
        <color rgb="FF1155CC"/>
        <sz val="10.0"/>
        <u/>
      </rPr>
      <t>Shanick De Leon</t>
    </r>
    <r>
      <rPr>
        <sz val="10.0"/>
      </rPr>
      <t xml:space="preserve">, </t>
    </r>
    <r>
      <rPr>
        <color rgb="FF1155CC"/>
        <sz val="10.0"/>
        <u/>
      </rPr>
      <t>Anais Martinez</t>
    </r>
    <r>
      <rPr>
        <sz val="10.0"/>
      </rPr>
      <t xml:space="preserve">, </t>
    </r>
    <r>
      <rPr>
        <color rgb="FF1155CC"/>
        <sz val="10.0"/>
        <u/>
      </rPr>
      <t>Israel Martinez</t>
    </r>
    <r>
      <rPr>
        <sz val="10.0"/>
      </rPr>
      <t xml:space="preserve">, </t>
    </r>
    <r>
      <rPr>
        <color rgb="FF1155CC"/>
        <sz val="10.0"/>
        <u/>
      </rPr>
      <t>Kimberly Paulino</t>
    </r>
    <r>
      <rPr>
        <sz val="10.0"/>
      </rPr>
      <t xml:space="preserve">, </t>
    </r>
    <r>
      <rPr>
        <color rgb="FF1155CC"/>
        <sz val="10.0"/>
        <u/>
      </rPr>
      <t>Alejandra Minan Rodriguez</t>
    </r>
    <r>
      <rPr>
        <sz val="10.0"/>
      </rPr>
      <t xml:space="preserve">, </t>
    </r>
    <r>
      <rPr>
        <color rgb="FF1155CC"/>
        <sz val="10.0"/>
        <u/>
      </rPr>
      <t>Mayra Poma</t>
    </r>
    <r>
      <rPr>
        <sz val="10.0"/>
      </rPr>
      <t xml:space="preserve"> and </t>
    </r>
    <r>
      <rPr>
        <color rgb="FF1155CC"/>
        <sz val="10.0"/>
        <u/>
      </rPr>
      <t>Erick Cuzco Cualchi</t>
    </r>
  </si>
  <si>
    <t>FlushingIHS, ICHSBronx, WheelsNYC, IHSUnionSquare</t>
  </si>
  <si>
    <t>Brandy</t>
  </si>
  <si>
    <t>Fonkam</t>
  </si>
  <si>
    <t>brandyfonkam@gmail.com</t>
  </si>
  <si>
    <t>2/8/24 WW emailed for IR3 9/8/23 completed training with SB 8/17/23 Brandy signed up for training on 9/8/23 SB 8/15/23 Brand emailed saying that she had to stop Championing due to personal reasons but is ready to start again, SB replied and asked if training dates worked 1/9/23 CT sent follow up text 1/5/23 CT sent checking text 12/14/22 CT sent follow up text 12/12/22 CT sent follow up on reference email 9/26/22 SB emailed for training and wheel availability 12/22/21 SB sent IR2 FY21-22 schedule list for matching 11/20/21 congrats and training info email sent 11/19/21 Passed screening SB Lena Dandy referral</t>
  </si>
  <si>
    <t>61 South Central Avenue</t>
  </si>
  <si>
    <t>Sicklerville</t>
  </si>
  <si>
    <t>Sunlightcare</t>
  </si>
  <si>
    <t>FY 23 - 24, FY 21 - 22</t>
  </si>
  <si>
    <r>
      <rPr>
        <color rgb="FF1155CC"/>
        <sz val="10.0"/>
        <u/>
      </rPr>
      <t>Alejandra Minan Rodriguez</t>
    </r>
    <r>
      <rPr>
        <sz val="10.0"/>
      </rPr>
      <t xml:space="preserve">, </t>
    </r>
    <r>
      <rPr>
        <color rgb="FF1155CC"/>
        <sz val="10.0"/>
        <u/>
      </rPr>
      <t>Katherine (Katy) Flores</t>
    </r>
    <r>
      <rPr>
        <sz val="10.0"/>
      </rPr>
      <t xml:space="preserve">, </t>
    </r>
    <r>
      <rPr>
        <color rgb="FF1155CC"/>
        <sz val="10.0"/>
        <u/>
      </rPr>
      <t>Fatou Diedhiou</t>
    </r>
    <r>
      <rPr>
        <sz val="10.0"/>
      </rPr>
      <t xml:space="preserve"> and </t>
    </r>
    <r>
      <rPr>
        <color rgb="FF1155CC"/>
        <sz val="10.0"/>
        <u/>
      </rPr>
      <t>Karidjatou Kone</t>
    </r>
  </si>
  <si>
    <t>IHSUnionSquare, ELLIS</t>
  </si>
  <si>
    <t>Brenda</t>
  </si>
  <si>
    <t>Morales</t>
  </si>
  <si>
    <t>brenda.morales@okstate.edu</t>
  </si>
  <si>
    <t>Pathways Days Speaker</t>
  </si>
  <si>
    <t>Bryan</t>
  </si>
  <si>
    <t>Roberts</t>
  </si>
  <si>
    <t>bryan.roberts14@gmail.com</t>
  </si>
  <si>
    <t>4/4/22 Not available for IR3. Going back to school. CT &amp;amp; PQ 12/22/21 SB sent IR2 FY21-22 schedule list for matching JPS called and left a message on 5/25/21 to check Bryan's status as a Champion Bryan attended a training webinar on 3/28/21 with JPS but has not submitted his onboarding materials as of 3/29/21 Bryan was scheduled to attend a training webinar on 3/8/21 but did not show up. Sent follow up email on 3/10/21 to determine status moving forward. Bryan replied saying that the potential match dates do not work for him on 2/10/21 - JPS responded by asking for more specifics about his availability.  JPS emailed on 2/10/21 to see if Bryan could be a champion for the IR2 20-21 session &amp;#43; schedule a training JPS emailed on 2/10/2021 to ask Bryan to sign up for a training Bryan was screened on 2/9/2021 by Purvi Shah JPS emailed on 2/7/2021 to schedule a Screening Call</t>
  </si>
  <si>
    <t>202 Washington Ave, Brooklyn, NY 11205</t>
  </si>
  <si>
    <t>New York Life Insurance Company</t>
  </si>
  <si>
    <r>
      <rPr>
        <color rgb="FF1155CC"/>
        <sz val="10.0"/>
        <u/>
      </rPr>
      <t>Rony Velasco</t>
    </r>
    <r>
      <rPr>
        <sz val="10.0"/>
      </rPr>
      <t xml:space="preserve">, </t>
    </r>
    <r>
      <rPr>
        <color rgb="FF1155CC"/>
        <sz val="10.0"/>
        <u/>
      </rPr>
      <t>Carlos Hernandez</t>
    </r>
    <r>
      <rPr>
        <sz val="10.0"/>
      </rPr>
      <t xml:space="preserve">, </t>
    </r>
    <r>
      <rPr>
        <color rgb="FF1155CC"/>
        <sz val="10.0"/>
        <u/>
      </rPr>
      <t>Cheikh Ka</t>
    </r>
    <r>
      <rPr>
        <sz val="10.0"/>
      </rPr>
      <t xml:space="preserve"> and </t>
    </r>
    <r>
      <rPr>
        <color rgb="FF1155CC"/>
        <sz val="10.0"/>
        <u/>
      </rPr>
      <t>Zakaria Billa</t>
    </r>
  </si>
  <si>
    <t>FlushingIHS, ICHSBronx</t>
  </si>
  <si>
    <t>Rex</t>
  </si>
  <si>
    <t>Xiong</t>
  </si>
  <si>
    <t>bychance@gmail.com</t>
  </si>
  <si>
    <t>1/3/23 CT called &amp;amp; sent text for IR2 12/27/22 CT sent follow up text for IR2 12/22/22 CT sent text for IR2 12/19/22 CT followed up for IR2 12/8/22 CT asked about IR2 availability asking for wheels schedule 12/28/21 SB sent IR2 FY21-22 schedule list for matching 10/28/21 SB training completed 10/28/21 Hetal conducted Rex's second screening call and he passed; ready to match with Flushing IHS for IR1 FY21-22 10/21/21 second screening call scheduled with Hetal for 10/28/21 10/20/21 screening call completed marked yellow SB SB sent screening scheduling email on 10/18/21</t>
  </si>
  <si>
    <t>8008 NE 153RD PL</t>
  </si>
  <si>
    <t>Seattle, WA</t>
  </si>
  <si>
    <t>Airbnb</t>
  </si>
  <si>
    <r>
      <rPr>
        <color rgb="FF1155CC"/>
        <u/>
      </rPr>
      <t>Kaite Cai</t>
    </r>
    <r>
      <rPr/>
      <t xml:space="preserve"> and </t>
    </r>
    <r>
      <rPr>
        <color rgb="FF1155CC"/>
        <u/>
      </rPr>
      <t>Luofeng Lin</t>
    </r>
  </si>
  <si>
    <t>Cara</t>
  </si>
  <si>
    <t>Every</t>
  </si>
  <si>
    <t>cara.every@fmr.com</t>
  </si>
  <si>
    <t>5.10.24 - AT emailed re social media content 1/9/24 WW emailed for IR2-Ellis; she is available: only time conflict on Feb 13th 11/16/23 Cara OOO until 11/20, to follow up about EY then. SB 11/14/23 SB sent email to follow up about EY 11/9/23 SB emailed about EY sessions with Afrida 11/3/23 SB emailed about Sponsor Sessions Not available to do Seminars (see screening notes) 6/9/23 passed training with SB - most likely not available for IRS but yes for IR1 5/30/23 SB sent text to follow up for training - signed up for training on 6/9/23 5/25/23 SB sent follow up for training 5/23/23 SB sent congrats email 5/19/23 passed screening with SB, sending training email 5/15/23 SB called, left VM and sent text - Cara called back and scheduled screening call for 5/19/23 5/10/23 SB sent text for screening 4/25/23 SB sent follow up for screening 4/10/23 SB sent screening email</t>
  </si>
  <si>
    <t>23 West Court, Smithtown NY 11787</t>
  </si>
  <si>
    <t>Smithtown</t>
  </si>
  <si>
    <t>Fidelity Investments</t>
  </si>
  <si>
    <t>Carla</t>
  </si>
  <si>
    <t>Pierini Borenstein</t>
  </si>
  <si>
    <t>+12408886973</t>
  </si>
  <si>
    <t>CarlaPL28@gmail.com</t>
  </si>
  <si>
    <t>Discontinued</t>
  </si>
  <si>
    <t>9/22/23 Marking as discontinued, unsure why she was not marked before - SB 11/28/22 unsubscribed from newsletter SB Not available for IR1 and doesn't want to continue as a Champion. CT 8/10/22 9/22/21 Carla is still interest but most likely will not be available until end of 2022 (check in for round one of 2022)SB 8/11/21 voicemail/follow up email (champion replied with &amp;#34;I am not participating in SpeakHire at this time. There is no need to contact my references&amp;#34;) , email 8/3/21 HH Carla attended a CPC Training Webinar with JPS on 2/20/21 at 11 am est Carla wants to begin in Round 2 (IR 2020-2021) that begins in April, 2021 Carla was screened on 1/28/2021 at 8:15 am est by JPS JPS emailed on 1/26/2021 to schedule a screening call</t>
  </si>
  <si>
    <t>151 W 21st Street, Apt 7E, NY, NY 10011</t>
  </si>
  <si>
    <t>Cyrus R. Vance Center for International Justice</t>
  </si>
  <si>
    <t>Carly</t>
  </si>
  <si>
    <t>Elaine Grunwald</t>
  </si>
  <si>
    <t>916-690-2848</t>
  </si>
  <si>
    <t>carlyelaine@gmail.com</t>
  </si>
  <si>
    <t>9/15/22 Stepping out of workforce for a while to spend more time with her family and won't be available for a while. CT Said no by email to champions to FY21-22 IR3 but said still interested. Back from maternity leave FY22-23 IR1 and check back then (HJ March, 21, 22) 12/30/21 SB sent IR2 FY21-22 schedule list for matching &amp;#34;At this time I think I should withdraw from the program. Work and life are just a bit too busy right now for me to dedicate the appropriate time&amp;#34; SB 8/19/21 Carly needs before 8 am PST for internship session times unsubscribed from the SPEAK newsletter on December 2, 2020</t>
  </si>
  <si>
    <t>365 Hemlock Ave Unit C Carlsbad CA 92008</t>
  </si>
  <si>
    <t>Zoom Video Communications</t>
  </si>
  <si>
    <r>
      <rPr>
        <color rgb="FF1155CC"/>
        <sz val="10.0"/>
        <u/>
      </rPr>
      <t>Destiny Perry</t>
    </r>
    <r>
      <rPr>
        <sz val="10.0"/>
      </rPr>
      <t xml:space="preserve"> and </t>
    </r>
    <r>
      <rPr>
        <color rgb="FF1155CC"/>
        <sz val="10.0"/>
        <u/>
      </rPr>
      <t>Cilicia Cummings</t>
    </r>
  </si>
  <si>
    <t>Academy of Medical Technology</t>
  </si>
  <si>
    <t>Carmelo</t>
  </si>
  <si>
    <t>DeLeon</t>
  </si>
  <si>
    <t>carmelo.DeLeon2021@gmail.com</t>
  </si>
  <si>
    <t>Rescue and Care</t>
  </si>
  <si>
    <t>2/13/24 SB emailed for IR3 1/16/24 emailed SB not available - asked about IR3 1/11/24 SB called - Carmelo said he is looking at schedule and will let us know as soon as he can 1/10/24 SB sent text for IR2 1/9/24 SB emailed for IR2 Crotona 9/25/23 WW texted for IR1 and he is not available 9/21/23 WW emailed for IR1 5/4/23 SB texted for GCHS seminar 5/3/23 SB emailed for seminar 11/22/22 SB asked for Wheels. Carmelo said he would check his schedule and asked for info about Interns. SB sent email with info - Carmelo confirmed group SB reached out via email on 7/5 and was not available IRS. BWM sent text on 8/4. BMW responded on 8/5 and he said to reach out in Septemeber to ask because he will be starting school. Only had one round (FY21-22 IR3) with good interns. Open to working with any group 7/5/22 SB emailed Carmelo for match, work is busy in the summer - unavailable for IRS 6/22/22 SB emailed Carmelo for IRS match 4/21/22 Completed Orientation &amp;amp; Onboarding Training. CT 3/14/22 Passed screening with SB - agreed to do Pathways Day as well. Sending training email with Seminar info 3/9/22 SB sent screening scheduling email</t>
  </si>
  <si>
    <t>7157 Collamer Rd East Syracuse NY 13057</t>
  </si>
  <si>
    <t>National Grid</t>
  </si>
  <si>
    <r>
      <rPr>
        <color rgb="FF1155CC"/>
        <sz val="10.0"/>
        <u/>
      </rPr>
      <t>Fabian Kuclo</t>
    </r>
    <r>
      <rPr>
        <sz val="10.0"/>
      </rPr>
      <t xml:space="preserve">, </t>
    </r>
    <r>
      <rPr>
        <color rgb="FF1155CC"/>
        <sz val="10.0"/>
        <u/>
      </rPr>
      <t>Rongze Yu</t>
    </r>
    <r>
      <rPr>
        <sz val="10.0"/>
      </rPr>
      <t xml:space="preserve">, </t>
    </r>
    <r>
      <rPr>
        <color rgb="FF1155CC"/>
        <sz val="10.0"/>
        <u/>
      </rPr>
      <t>Matthew Vargas</t>
    </r>
    <r>
      <rPr>
        <sz val="10.0"/>
      </rPr>
      <t xml:space="preserve">, </t>
    </r>
    <r>
      <rPr>
        <color rgb="FF1155CC"/>
        <sz val="10.0"/>
        <u/>
      </rPr>
      <t>Crisbelly Lopez</t>
    </r>
    <r>
      <rPr>
        <sz val="10.0"/>
      </rPr>
      <t xml:space="preserve">, </t>
    </r>
    <r>
      <rPr>
        <color rgb="FF1155CC"/>
        <sz val="10.0"/>
        <u/>
      </rPr>
      <t>Leudis Rosario</t>
    </r>
    <r>
      <rPr>
        <sz val="10.0"/>
      </rPr>
      <t xml:space="preserve">, </t>
    </r>
    <r>
      <rPr>
        <color rgb="FF1155CC"/>
        <sz val="10.0"/>
        <u/>
      </rPr>
      <t>Angel Tavarez</t>
    </r>
    <r>
      <rPr>
        <sz val="10.0"/>
      </rPr>
      <t xml:space="preserve"> and </t>
    </r>
    <r>
      <rPr>
        <color rgb="FF1155CC"/>
        <sz val="10.0"/>
        <u/>
      </rPr>
      <t>Michaell Morban</t>
    </r>
  </si>
  <si>
    <t>GCHS, IHS Health, IHSUnionSquare, WheelsNYC</t>
  </si>
  <si>
    <t>Carolina</t>
  </si>
  <si>
    <t>Chamorro</t>
  </si>
  <si>
    <t>12152790643 (Whatsapp as well)</t>
  </si>
  <si>
    <t>carochamorro09@gmail.com</t>
  </si>
  <si>
    <t>3/8/24 WW emailed for IR3, called 3/15/24 1/11/23 SB sent email about IR2 Crotona 11/1/23 WW follow up for IR1, she is not available 10/31/23 SB sent text for IR1 10/30/23 SB emailed for IR1 4/8/22 Not available for Seminars until late summer/fall. CT Hetal confirmed with her 4/7/22 that she's busy with work and she said she'll reach back out when she's available -- try reaching out in July or October 2022 for further opportunities (4/8/22) 12/28/21 Carolina said she was not available for a Seminar or for IR2 SB 12/22/21 SB sent IR2 FY21-22 schedule list for matching Carolina attended a Champion Training Webinar on 2/20/21 with JPS at 11 am est Carolina was screened on 1/27/2020 at 8:15 am est by JPS JPS emailed on 1/26/2021 to schedule a screening call</t>
  </si>
  <si>
    <t>21 East 1st Street Apt 605 New York NY 10003</t>
  </si>
  <si>
    <t>Andara Global Services LLC</t>
  </si>
  <si>
    <t>FY 20 - 21, FY 21 - 22</t>
  </si>
  <si>
    <r>
      <rPr>
        <color rgb="FF1155CC"/>
        <sz val="10.0"/>
        <u/>
      </rPr>
      <t>Zabdy Orellana</t>
    </r>
    <r>
      <rPr>
        <sz val="10.0"/>
      </rPr>
      <t xml:space="preserve">, </t>
    </r>
    <r>
      <rPr>
        <color rgb="FF1155CC"/>
        <sz val="10.0"/>
        <u/>
      </rPr>
      <t>Michael David Paredes</t>
    </r>
    <r>
      <rPr>
        <sz val="10.0"/>
      </rPr>
      <t xml:space="preserve">, </t>
    </r>
    <r>
      <rPr>
        <color rgb="FF1155CC"/>
        <sz val="10.0"/>
        <u/>
      </rPr>
      <t>Jose Montalvan</t>
    </r>
    <r>
      <rPr>
        <sz val="10.0"/>
      </rPr>
      <t xml:space="preserve">, </t>
    </r>
    <r>
      <rPr>
        <color rgb="FF1155CC"/>
        <sz val="10.0"/>
        <u/>
      </rPr>
      <t>Yemili Goodridge</t>
    </r>
    <r>
      <rPr>
        <sz val="10.0"/>
      </rPr>
      <t xml:space="preserve">, </t>
    </r>
    <r>
      <rPr>
        <color rgb="FF1155CC"/>
        <sz val="10.0"/>
        <u/>
      </rPr>
      <t>Fernanda Marte Vasquez</t>
    </r>
    <r>
      <rPr>
        <sz val="10.0"/>
      </rPr>
      <t xml:space="preserve"> and </t>
    </r>
    <r>
      <rPr>
        <color rgb="FF1155CC"/>
        <sz val="10.0"/>
        <u/>
      </rPr>
      <t>Catalina Nunez De Caceres</t>
    </r>
  </si>
  <si>
    <t>ICHSBronx, FlushingIHS, ClaremontIHS</t>
  </si>
  <si>
    <t>Parra (D)</t>
  </si>
  <si>
    <t>caroparra@gmail.com</t>
  </si>
  <si>
    <t>1/7/22 passed training SB Carolina mentioned she has not been receiving invite emails so add her work email as well to communications ( parrashoots@gmail.com ) Carolina passed screening 12/15/21 SB, congrats email sent Sent Screening Scheduling Email 12/06/21 CT</t>
  </si>
  <si>
    <t>156-08 River Side Drive, Apt. 3G</t>
  </si>
  <si>
    <t>I am a freelancer</t>
  </si>
  <si>
    <t>Malene</t>
  </si>
  <si>
    <t>Ginete Carr</t>
  </si>
  <si>
    <t>571-565-9516</t>
  </si>
  <si>
    <t>CarrMG@state.gov</t>
  </si>
  <si>
    <t>7/17/23 - SB sent email for IRS, BC called &amp;amp; left VM,  SB sent follow up text 7/14/23 SB emailed for IRS 12/30/21 SB sent IR2 FY21-22 schedule list for matching Malene said on 2/17/21 that she will have to defer until next year (2021-22) JPS responded to previous email by asking when Malene would like to be considered again for a potential match (ex: Round Three?) JPS reached out to Malene on 2/9/2021 to check on status. Malene responded: &amp;#34;Jennifer, thank you for your email. I wish you and the organization luck this year.  I have been heavily involved in our internal mentoring program, so will have to pass this year.  Kindly reach out for the next cycle.&amp;#34;</t>
  </si>
  <si>
    <t>1415 N Taft St. Apt 780</t>
  </si>
  <si>
    <t>Arlington</t>
  </si>
  <si>
    <t>VA</t>
  </si>
  <si>
    <t>US State Department</t>
  </si>
  <si>
    <r>
      <rPr>
        <color rgb="FF1155CC"/>
        <sz val="10.0"/>
        <u/>
      </rPr>
      <t>Jessica Castillo</t>
    </r>
    <r>
      <rPr>
        <sz val="10.0"/>
      </rPr>
      <t xml:space="preserve"> and </t>
    </r>
    <r>
      <rPr>
        <color rgb="FF1155CC"/>
        <sz val="10.0"/>
        <u/>
      </rPr>
      <t>Daniela Brito</t>
    </r>
  </si>
  <si>
    <t>Casey</t>
  </si>
  <si>
    <t>Burry</t>
  </si>
  <si>
    <t>646-346-3335</t>
  </si>
  <si>
    <t>caseyburry@gmail.com</t>
  </si>
  <si>
    <t>1/12/24 texted SB, &amp;#34; I have school pickup on Mondays at 2:50. Can you please keep me in mind for the future? Mondays are usually great, but there was a change with my daughter's schedule and I can't do after 2:30.&amp;#34; 1/11/23 SB called back - Casey asked for a email or text, which had already been sent, Casey said she would look it over and let us know 1/10/24 SB called - Casey answered and asked for a text or call tomorrow. SB sent text 1/9/24 SB sent email for IR2 Crotona 7/18/23 WW emailed for IRS, PC team followed up with text and call 3/16/23 SB send email for IR3 availability 12/27/22 CT not available for IR2 because of busy work in the spring. Reach out later next year. 12/08/22 CT asked about Wheels schedule for IR2 9/12/22 Not available for IR1 but might be for IR2 or IR3. Follow up with her in spring. CT 12/22/21 SB sent IR2 FY21-22 schedule list for matching</t>
  </si>
  <si>
    <t>333 Schermehorn St Brooklyn, NY</t>
  </si>
  <si>
    <t>Underline Projects</t>
  </si>
  <si>
    <t>FY 19 - 20, FY 20 - 21, FY 21 - 22</t>
  </si>
  <si>
    <r>
      <rPr>
        <color rgb="FF1155CC"/>
        <sz val="10.0"/>
        <u/>
      </rPr>
      <t>Chitra Srikishun</t>
    </r>
    <r>
      <rPr>
        <sz val="10.0"/>
      </rPr>
      <t xml:space="preserve">, </t>
    </r>
    <r>
      <rPr>
        <color rgb="FF1155CC"/>
        <sz val="10.0"/>
        <u/>
      </rPr>
      <t>Chloe Navarro</t>
    </r>
    <r>
      <rPr>
        <sz val="10.0"/>
      </rPr>
      <t xml:space="preserve">, </t>
    </r>
    <r>
      <rPr>
        <color rgb="FF1155CC"/>
        <sz val="10.0"/>
        <u/>
      </rPr>
      <t>Lenee Goggins</t>
    </r>
    <r>
      <rPr>
        <sz val="10.0"/>
      </rPr>
      <t xml:space="preserve">, </t>
    </r>
    <r>
      <rPr>
        <color rgb="FF1155CC"/>
        <sz val="10.0"/>
        <u/>
      </rPr>
      <t>Arianna Francisco</t>
    </r>
    <r>
      <rPr>
        <sz val="10.0"/>
      </rPr>
      <t xml:space="preserve">, </t>
    </r>
    <r>
      <rPr>
        <color rgb="FF1155CC"/>
        <sz val="10.0"/>
        <u/>
      </rPr>
      <t>Zakaria Billa</t>
    </r>
    <r>
      <rPr>
        <sz val="10.0"/>
      </rPr>
      <t xml:space="preserve">, </t>
    </r>
    <r>
      <rPr>
        <color rgb="FF1155CC"/>
        <sz val="10.0"/>
        <u/>
      </rPr>
      <t>Claribelisa Gonzalez</t>
    </r>
    <r>
      <rPr>
        <sz val="10.0"/>
      </rPr>
      <t xml:space="preserve">, </t>
    </r>
    <r>
      <rPr>
        <color rgb="FF1155CC"/>
        <sz val="10.0"/>
        <u/>
      </rPr>
      <t>Melany Ortiz</t>
    </r>
    <r>
      <rPr>
        <sz val="10.0"/>
      </rPr>
      <t xml:space="preserve">, </t>
    </r>
    <r>
      <rPr>
        <color rgb="FF1155CC"/>
        <sz val="10.0"/>
        <u/>
      </rPr>
      <t>Xinyao Yang</t>
    </r>
    <r>
      <rPr>
        <sz val="10.0"/>
      </rPr>
      <t xml:space="preserve">, </t>
    </r>
    <r>
      <rPr>
        <color rgb="FF1155CC"/>
        <sz val="10.0"/>
        <u/>
      </rPr>
      <t>Justin Martinez</t>
    </r>
    <r>
      <rPr>
        <sz val="10.0"/>
      </rPr>
      <t xml:space="preserve"> and </t>
    </r>
    <r>
      <rPr>
        <color rgb="FF1155CC"/>
        <sz val="10.0"/>
        <u/>
      </rPr>
      <t>Slinne Cruz</t>
    </r>
  </si>
  <si>
    <t>Academy of Medical Technology, ICHSBronx, FlushingIHS, CrotonaIHS</t>
  </si>
  <si>
    <t>Cathy Zubiate</t>
  </si>
  <si>
    <t>Whealon</t>
  </si>
  <si>
    <t>catherine.whealon@loreal.com</t>
  </si>
  <si>
    <t>3/8/24 WW emailed for IR3 10/30/23 WW left VM for IR2 and sponsor session 10/27/23 SB emailed about IR2 10/15/23 Cathy emailed and said she is too busy currently participate in IR1, but interested in rounds in 2024 10/23/23 SB called and left VM for IR1 10/19/23 SB sent Cathy text for IR1 10/18/23 SB emailed for IR1 2/28/23 CT sent follow up text to Cathy about Wheels group for IR2 2/24/23 SB emailed Cathy for mentoring month write up for magazine and for Vicki Teman replacement for IR2 Ellis group 10/21/22 Unavailable for IR1 SB 10/20/22 SB emailed Cathy for Wheels 10/5/22 SB emailed Cathy to let her know we are looking for IR1 and to see if she is able to do IR2 7/11/22 unavailable for IRS SB 7/5/22 SB emailed for IRS match - OOO office until 7/11, looking for replacement 12/22/21 SB sent IR2 FY21-22 schedule list for matching Cathy confirmed that she is available to mentor for the 2020-2021 mentoring rounds beginning in November Emailed references on 9/29/2020 Cathy was trained on 9/28/2020 at 7:30 pm EST with Jennifer Peterson-Sharma and Kiesha Charles. Cathy would like to start out with one mentee pair for her first mentoring round. Jennifer screened Cathy on 9/16/2020 at 5 pm EST.  Jennifer Peterson-Sharma sent a follow-up email for the Mentor Screening Call on 9/9/2020. Emailed 8/27/2020 about setting up screening call</t>
  </si>
  <si>
    <t>3500 Singers Glen Dr Olney, MD 20832</t>
  </si>
  <si>
    <t>Maryland</t>
  </si>
  <si>
    <t>Olney</t>
  </si>
  <si>
    <t>MD</t>
  </si>
  <si>
    <t>L'Oreal USA</t>
  </si>
  <si>
    <r>
      <rPr>
        <color rgb="FF1155CC"/>
        <sz val="10.0"/>
        <u/>
      </rPr>
      <t>Mairol Rivas</t>
    </r>
    <r>
      <rPr>
        <sz val="10.0"/>
      </rPr>
      <t xml:space="preserve">, </t>
    </r>
    <r>
      <rPr>
        <color rgb="FF1155CC"/>
        <sz val="10.0"/>
        <u/>
      </rPr>
      <t>Estuardo Lopez</t>
    </r>
    <r>
      <rPr>
        <sz val="10.0"/>
      </rPr>
      <t xml:space="preserve">, </t>
    </r>
    <r>
      <rPr>
        <color rgb="FF1155CC"/>
        <sz val="10.0"/>
        <u/>
      </rPr>
      <t>Mariama Diallo</t>
    </r>
    <r>
      <rPr>
        <sz val="10.0"/>
      </rPr>
      <t xml:space="preserve"> and </t>
    </r>
    <r>
      <rPr>
        <color rgb="FF1155CC"/>
        <sz val="10.0"/>
        <u/>
      </rPr>
      <t>Souleymane Bah</t>
    </r>
  </si>
  <si>
    <t>CrotonaIHS, NYC Mission - Emma Lazarus</t>
  </si>
  <si>
    <t>Connie</t>
  </si>
  <si>
    <t>Lewin</t>
  </si>
  <si>
    <t>cdlewin@gmail.com</t>
  </si>
  <si>
    <t>3/3/23 texted SB, &amp;#34; I wish I could help but I'm not available at this time for the next few months. I'll consider signing up again the fall.&amp;#34; 2/27/23 SB messaged to see if she could be a replacement CPC for IR2 5/16/22 CT Attended CPC Orientation &amp;amp; Onboarding Training 5/5/22 Sent Congrats email CT 5/4/22 Passed Screening Call CT 4/25 SB sent screening email</t>
  </si>
  <si>
    <t>FL</t>
  </si>
  <si>
    <t>LISC</t>
  </si>
  <si>
    <t>Issue 10, Issue 11</t>
  </si>
  <si>
    <t>Issue 10,11 - 2/8/22</t>
  </si>
  <si>
    <t>Issue 10,11 - 50 + $50 summit ticket</t>
  </si>
  <si>
    <t>Carlos</t>
  </si>
  <si>
    <t>Guzman</t>
  </si>
  <si>
    <t>(949)903-2058</t>
  </si>
  <si>
    <t>cguzman@umassglobal.edu</t>
  </si>
  <si>
    <t>4/19/23 emailed, &amp;#34;I am saddened to inform you that recent events at my university have created a situation where I can no longer volunteer with Speakhire at this time. I have been tasked with additional committee responsibilities and duties which have placed a huge burden on my workload.  As a result, I will not be able to put in the time to work with interns and provide consistency and quality. It is my hope that in the future I can resume voluntary work with Speakhire.&amp;#34; SB 4/3/23 SB sent follow up about training 3/27/23 passed screening with SB and BC, sending training email 3/23/23 SB sent follow up screening email 3/17/23 SB sent screening email</t>
  </si>
  <si>
    <t>17 Drover Court Trabuco Canyon California 92679</t>
  </si>
  <si>
    <t>Trabuco Canyon</t>
  </si>
  <si>
    <t>University of Massachusetts Global</t>
  </si>
  <si>
    <t>Chaney</t>
  </si>
  <si>
    <t>Matos</t>
  </si>
  <si>
    <t>chaney.matos@gmail.com</t>
  </si>
  <si>
    <t>5/16/22 SB sent re-engagement email 12/22/21 SB sent IR2 FY21-22 schedule list for matching HJ called on 10/4/21 and left a vm saying we needed spanish and/or educators  Chaney said that she was already screened by Scotney, but also said she is currently unavailable to be a Champion in February 2021. &amp;#34;I'm unable to commit to Speakhire. I'm currently in grad school, working and doing remote learning with my two boys. If possible, I'd like to stay on your list for the future.&amp;#34; Marking as inactive/green. On 2/4/21, Chaney responded to JPS's email by saying, &amp;#34;At this time, I'm unable to commit to Speakhire. I'm currently in grad school, working and doing remote learning with my two boys. If possible, I'd like to stay on your list for the future.&amp;#34; JPS Emailed on 2/3/2021 to schedule a Screening Call Dema Alhuraibi called on 10/6/20 and left a voice message.</t>
  </si>
  <si>
    <t>2166 Matthews Avenue#4F</t>
  </si>
  <si>
    <t>Bronx</t>
  </si>
  <si>
    <t>Research Foundation of CUNY at Lehman College</t>
  </si>
  <si>
    <t>Lena</t>
  </si>
  <si>
    <t>Chang</t>
  </si>
  <si>
    <t>917-969-9696</t>
  </si>
  <si>
    <t>changlena@aol.com</t>
  </si>
  <si>
    <t>05/10/24 - AT emailed regarding Mother's day social media content 1/18/24 not available for IR2 - &amp;#34;Unfortunately, my availability is better in the evenings at this point. If anything changes, I will let you know.&amp;#34; SB 1/9/24 SB sent follow up about IR2 12/29/23 SB emailed about IR2, sent Ellis schedule 7/17/23 - SB sent email for IRS, BC called &amp;amp; left VM,  SB sent follow up text 5/23/23 CT Completed CPC Orientation &amp;amp; Onboarding Webinar 5/18/23 son graduated SB 5/8/23 SB sent follow up via text for training - scheduled training for 5/23/23 5/4/23 SB sent follow up email for training 5/1/23 passed screening with SB 4/27/23 Scheduled screening call with SB. Did not show, SB sent email and text to get her online. Still nothing. SB sent email to reschedule Instagram: LenaChang1 LinkedIn: Lena Chang Facebook: Lena Chang Twitter: @LenaChang8 TikTok: @lenachang8</t>
  </si>
  <si>
    <t>200 Rector Place Apt 34N, New York 10280</t>
  </si>
  <si>
    <t>CenterLight Healthcare System</t>
  </si>
  <si>
    <t>Chante</t>
  </si>
  <si>
    <t>Adams</t>
  </si>
  <si>
    <t>chante.adams@csaa.com</t>
  </si>
  <si>
    <t>7/17/23 - SB sent email for IRS, BC called &amp;amp; left VM,  SB sent follow up text 7/11/23 SB sent text for IRS 7/10/23 SB emailed for IRS 11/22/22 CT sent re-engagement email with training dates 4/5/22 Not available for IR3. CT 2/7/22 Passed screening SB 2/2/22 SB called and sent text 2/1/22 SB called and left VM 12/3/21 SB sent screening scheduling email</t>
  </si>
  <si>
    <t>10639 Forum Peak Lane Las Vegas, NV 89166</t>
  </si>
  <si>
    <t>Las Vegas</t>
  </si>
  <si>
    <t>NV</t>
  </si>
  <si>
    <t>CSAA</t>
  </si>
  <si>
    <r>
      <rPr>
        <color rgb="FF1155CC"/>
        <sz val="10.0"/>
        <u/>
      </rPr>
      <t>Carolyn Guzman</t>
    </r>
    <r>
      <rPr>
        <sz val="10.0"/>
      </rPr>
      <t xml:space="preserve"> and </t>
    </r>
    <r>
      <rPr>
        <color rgb="FF1155CC"/>
        <sz val="10.0"/>
        <u/>
      </rPr>
      <t>Jose Salas</t>
    </r>
  </si>
  <si>
    <t>Joanne</t>
  </si>
  <si>
    <t>Hsu</t>
  </si>
  <si>
    <t>chemang@gmail.com</t>
  </si>
  <si>
    <t>Donated money to Interns for FY22-23 3/16/23 - For IR3 not available on April 20th (session 1) SB 3/6/23 SB emailed for IR3 availability (did not send About Interns yet) - agreed to time, sending about Interns - confirmed group 10/19/22 SB emailed for Wheels availability Completed onboarding and orientation webinar on 11/5/21 SB 10/27/21 SB sent congrats and training scheduling email 10/26/21 SB screening passed -  Prefers to be matched with someone with a similar background. 10/25/21 SB sent screening scheduling email</t>
  </si>
  <si>
    <t>22 Belle Terre Road, West Orange NJ 07052</t>
  </si>
  <si>
    <t>West Orange</t>
  </si>
  <si>
    <t>Hunter College/PRIDE Research Consortium</t>
  </si>
  <si>
    <t>FY 21 - 22, FY 22 - 23</t>
  </si>
  <si>
    <r>
      <rPr>
        <color rgb="FF1155CC"/>
        <sz val="10.0"/>
        <u/>
      </rPr>
      <t>Yechi Ma</t>
    </r>
    <r>
      <rPr>
        <sz val="10.0"/>
      </rPr>
      <t xml:space="preserve">, </t>
    </r>
    <r>
      <rPr>
        <color rgb="FF1155CC"/>
        <sz val="10.0"/>
        <u/>
      </rPr>
      <t>Ziyi Lin</t>
    </r>
    <r>
      <rPr>
        <sz val="10.0"/>
      </rPr>
      <t xml:space="preserve">, </t>
    </r>
    <r>
      <rPr>
        <color rgb="FF1155CC"/>
        <sz val="10.0"/>
        <u/>
      </rPr>
      <t>Chuanxun Li</t>
    </r>
    <r>
      <rPr>
        <sz val="10.0"/>
      </rPr>
      <t xml:space="preserve">, </t>
    </r>
    <r>
      <rPr>
        <color rgb="FF1155CC"/>
        <sz val="10.0"/>
        <u/>
      </rPr>
      <t>Rana Musleh</t>
    </r>
    <r>
      <rPr>
        <sz val="10.0"/>
      </rPr>
      <t xml:space="preserve">, </t>
    </r>
    <r>
      <rPr>
        <color rgb="FF1155CC"/>
        <sz val="10.0"/>
        <u/>
      </rPr>
      <t>Stephanie Leonzo</t>
    </r>
    <r>
      <rPr>
        <sz val="10.0"/>
      </rPr>
      <t xml:space="preserve"> and </t>
    </r>
    <r>
      <rPr>
        <color rgb="FF1155CC"/>
        <sz val="10.0"/>
        <u/>
      </rPr>
      <t>Yoana Reyes</t>
    </r>
  </si>
  <si>
    <t>FlushingIHS, WheelsNYC</t>
  </si>
  <si>
    <t>Issue 9, Issue 10, Issue 11</t>
  </si>
  <si>
    <t>Issue 9,10,11 - 2/8/22</t>
  </si>
  <si>
    <t>Chetana</t>
  </si>
  <si>
    <t>Manjunath Kaushik</t>
  </si>
  <si>
    <t>chetanamkaushik@gmail.com</t>
  </si>
  <si>
    <t>1/16/23 IR2 does not work. SB asked for IR3 - is interested in IR3 1/4/23 Chetana emailed back, Union Square schedule does not work -&amp;gt;SB emailed back seeing if Ellis schedule does 12/29/23 SB emailed to see if available for IR2, sent Union Square schedule 9/20/23 emailed saying she is interested in mentoring soon, SB replied letting her know we'd follow up about IR1 when we have more info about schedules 11/22/22 Might be available for IR2, reach out to her later. CT 10/04/22 Not available for IR1 CT 3/21/22 Not available for IR3 CT Completed training on 9/25/21 SB Screening call passed passed on 9/14 SB Screening scheduling email sent 9/10/21 SB</t>
  </si>
  <si>
    <t>504-1580 Haro St, Vancouver, BC-V6G1G6</t>
  </si>
  <si>
    <t>Vancouver, British Columbia</t>
  </si>
  <si>
    <t>Microchip Technology</t>
  </si>
  <si>
    <r>
      <rPr>
        <color rgb="FF1155CC"/>
        <sz val="10.0"/>
        <u/>
      </rPr>
      <t>Alessandro Guzman</t>
    </r>
    <r>
      <rPr>
        <sz val="10.0"/>
      </rPr>
      <t xml:space="preserve">, </t>
    </r>
    <r>
      <rPr>
        <color rgb="FF1155CC"/>
        <sz val="10.0"/>
        <u/>
      </rPr>
      <t>Dipson Khatri Chhetri</t>
    </r>
    <r>
      <rPr>
        <sz val="10.0"/>
      </rPr>
      <t xml:space="preserve">, </t>
    </r>
    <r>
      <rPr>
        <color rgb="FF1155CC"/>
        <sz val="10.0"/>
        <u/>
      </rPr>
      <t>Magby Orellana</t>
    </r>
    <r>
      <rPr>
        <sz val="10.0"/>
      </rPr>
      <t xml:space="preserve"> and </t>
    </r>
    <r>
      <rPr>
        <color rgb="FF1155CC"/>
        <sz val="10.0"/>
        <u/>
      </rPr>
      <t>Adama Bah</t>
    </r>
  </si>
  <si>
    <t>FlushingIHS, P2GBronx, IHS Health, ICHSBronx</t>
  </si>
  <si>
    <t>Chetna</t>
  </si>
  <si>
    <t>Bail</t>
  </si>
  <si>
    <t>chetnab@gmail.com</t>
  </si>
  <si>
    <t>7/18/23 WW emailed for IRS, PC team followed up with text and call 2/28/23 CT left voicemail &amp;amp; sent text about taking Wheels group IR2 2/27/23 CT sent email asking if Chetna can take over group of Wheels Interns for IR2 for CPC who had to drop out. 1/27/23 CT left voicemail &amp;amp; sent text for IR2 1/25/23 CT asked for IR2 wheels schedule 3/21/22 Not available for IR3 CT 12/30/21 SB sent IR2 FY21-22 schedule list for matching JPS emailed on 2/10/21 to see if Chetna could accommodate a Claremont match for IR2 20-21. Only available after 12:30pmEST</t>
  </si>
  <si>
    <t>3411 Plateau Dr</t>
  </si>
  <si>
    <t>Belmont</t>
  </si>
  <si>
    <t>DropBox</t>
  </si>
  <si>
    <r>
      <rPr>
        <color rgb="FF1155CC"/>
        <sz val="10.0"/>
        <u/>
      </rPr>
      <t>Jaritza Ortega</t>
    </r>
    <r>
      <rPr>
        <sz val="10.0"/>
      </rPr>
      <t xml:space="preserve"> and </t>
    </r>
    <r>
      <rPr>
        <color rgb="FF1155CC"/>
        <sz val="10.0"/>
        <u/>
      </rPr>
      <t>Christopher Mendoza</t>
    </r>
  </si>
  <si>
    <t>Chiemela</t>
  </si>
  <si>
    <t>Okwandu</t>
  </si>
  <si>
    <t>chiemelao@gmail.com</t>
  </si>
  <si>
    <t>1/10/24 SB emailed for IR2 Union Square 4/25/23 SB emailed Chiemela for IR3 12/12/22 CT Chiemela confirmed availability for Wheels IR2 12/9/22  Chiemela responded saying she can confirm her availability next week. SB responded to her email 12/08/22 CT asked about Wheels schedule for IR2 12/22/21 SB sent IR2 FY21-22 schedule list for matching Chiemela attended a training webinar on 3/22/21 with JPS Screened on 3/5/21 by SU JPS sent screening call email on 2/26/21</t>
  </si>
  <si>
    <t>1028 Park Spring Lane, Diamond bar, CA, 91765</t>
  </si>
  <si>
    <t>Diamond Bar</t>
  </si>
  <si>
    <t>Troutman Pepper</t>
  </si>
  <si>
    <r>
      <rPr>
        <color rgb="FF1155CC"/>
        <sz val="10.0"/>
        <u/>
      </rPr>
      <t>Wilenie De Jesus Lancer</t>
    </r>
    <r>
      <rPr>
        <sz val="10.0"/>
      </rPr>
      <t xml:space="preserve">, </t>
    </r>
    <r>
      <rPr>
        <color rgb="FF1155CC"/>
        <sz val="10.0"/>
        <u/>
      </rPr>
      <t>Wilson Infante</t>
    </r>
    <r>
      <rPr>
        <sz val="10.0"/>
      </rPr>
      <t xml:space="preserve">, </t>
    </r>
    <r>
      <rPr>
        <color rgb="FF1155CC"/>
        <sz val="10.0"/>
        <u/>
      </rPr>
      <t>Yisneiri Rojas</t>
    </r>
    <r>
      <rPr>
        <sz val="10.0"/>
      </rPr>
      <t xml:space="preserve">, </t>
    </r>
    <r>
      <rPr>
        <color rgb="FF1155CC"/>
        <sz val="10.0"/>
        <u/>
      </rPr>
      <t>Jhoana Guevara</t>
    </r>
    <r>
      <rPr>
        <sz val="10.0"/>
      </rPr>
      <t xml:space="preserve">, </t>
    </r>
    <r>
      <rPr>
        <color rgb="FF1155CC"/>
        <sz val="10.0"/>
        <u/>
      </rPr>
      <t>Alison Vargas</t>
    </r>
    <r>
      <rPr>
        <sz val="10.0"/>
      </rPr>
      <t xml:space="preserve">, </t>
    </r>
    <r>
      <rPr>
        <color rgb="FF1155CC"/>
        <sz val="10.0"/>
        <u/>
      </rPr>
      <t>Raya Tovmasyan</t>
    </r>
    <r>
      <rPr>
        <sz val="10.0"/>
      </rPr>
      <t xml:space="preserve">, </t>
    </r>
    <r>
      <rPr>
        <color rgb="FF1155CC"/>
        <sz val="10.0"/>
        <u/>
      </rPr>
      <t>Genesis Moreno</t>
    </r>
    <r>
      <rPr>
        <sz val="10.0"/>
      </rPr>
      <t xml:space="preserve">, </t>
    </r>
    <r>
      <rPr>
        <color rgb="FF1155CC"/>
        <sz val="10.0"/>
        <u/>
      </rPr>
      <t>Amelia Rodriguez</t>
    </r>
    <r>
      <rPr>
        <sz val="10.0"/>
      </rPr>
      <t xml:space="preserve">, </t>
    </r>
    <r>
      <rPr>
        <color rgb="FF1155CC"/>
        <sz val="10.0"/>
        <u/>
      </rPr>
      <t>Johana Gonzalez</t>
    </r>
    <r>
      <rPr>
        <sz val="10.0"/>
      </rPr>
      <t xml:space="preserve">, </t>
    </r>
    <r>
      <rPr>
        <color rgb="FF1155CC"/>
        <sz val="10.0"/>
        <u/>
      </rPr>
      <t>Rocio Hernandez</t>
    </r>
    <r>
      <rPr>
        <sz val="10.0"/>
      </rPr>
      <t xml:space="preserve">, </t>
    </r>
    <r>
      <rPr>
        <color rgb="FF1155CC"/>
        <sz val="10.0"/>
        <u/>
      </rPr>
      <t>Yaire Moore</t>
    </r>
    <r>
      <rPr>
        <sz val="10.0"/>
      </rPr>
      <t xml:space="preserve">, </t>
    </r>
    <r>
      <rPr>
        <color rgb="FF1155CC"/>
        <sz val="10.0"/>
        <u/>
      </rPr>
      <t>Catalina Nunez De Caceres</t>
    </r>
    <r>
      <rPr>
        <sz val="10.0"/>
      </rPr>
      <t xml:space="preserve">, </t>
    </r>
    <r>
      <rPr>
        <color rgb="FF1155CC"/>
        <sz val="10.0"/>
        <u/>
      </rPr>
      <t>Masooma Chaudhry</t>
    </r>
    <r>
      <rPr>
        <sz val="10.0"/>
      </rPr>
      <t xml:space="preserve"> and </t>
    </r>
    <r>
      <rPr>
        <color rgb="FF1155CC"/>
        <sz val="10.0"/>
        <u/>
      </rPr>
      <t>Luis Parra Pestana</t>
    </r>
  </si>
  <si>
    <t>IHSUnionSquare, ClaremontIHS, HSEI, WheelsNYC, IHS Lafayette, IHS Health, FlushingIHS</t>
  </si>
  <si>
    <t>Christa</t>
  </si>
  <si>
    <t>Neu</t>
  </si>
  <si>
    <t>chn211@lehigh.edu</t>
  </si>
  <si>
    <t>Ig @cneu
Twitter @neuey Fb: probably christa neu 10/26/23 WW emailed for Champion-led Info Session; 10/27/23 Christa replied &amp;#34;I'm not able to take this on right now with work and other commitments&amp;#34;; WW followed up 10/30/23 2/1/23 CT confirmed Wheels for IR2 2/1/23 CT asked for IR2 Wheels schedule 1/6/23 SB emailed for IR2 Mondays - confirmed schedule Unavailable for IR1 - interested in IR2. 10/19/22 SB 10/13/22 SB emailed for wheels match Last communciation for IR3 in April CT - BMW sent a text on 8/4. She is available for Wednesdays. Needs a strong group. Very positive and understanding. 4/4/22 Not available for IR3. Reach out in fall for next round. CT 2/11/22 Completed Orientation and Onboarding Training SB Passed screening with Hetal on Feb 3rd, 2022</t>
  </si>
  <si>
    <t>316 Race St</t>
  </si>
  <si>
    <t>north eastern Pennsylvania</t>
  </si>
  <si>
    <t>Catasauqua</t>
  </si>
  <si>
    <t>Lehigh University</t>
  </si>
  <si>
    <r>
      <rPr>
        <color rgb="FF1155CC"/>
        <sz val="10.0"/>
        <u/>
      </rPr>
      <t>Xilena Toris</t>
    </r>
    <r>
      <rPr>
        <sz val="10.0"/>
      </rPr>
      <t xml:space="preserve">, </t>
    </r>
    <r>
      <rPr>
        <color rgb="FF1155CC"/>
        <sz val="10.0"/>
        <u/>
      </rPr>
      <t>Nixon Vergara</t>
    </r>
    <r>
      <rPr>
        <sz val="10.0"/>
      </rPr>
      <t xml:space="preserve">, </t>
    </r>
    <r>
      <rPr>
        <color rgb="FF1155CC"/>
        <sz val="10.0"/>
        <u/>
      </rPr>
      <t>Steisy Rodriguez</t>
    </r>
    <r>
      <rPr>
        <sz val="10.0"/>
      </rPr>
      <t xml:space="preserve">, </t>
    </r>
    <r>
      <rPr>
        <color rgb="FF1155CC"/>
        <sz val="10.0"/>
        <u/>
      </rPr>
      <t>Hayes Mendez</t>
    </r>
    <r>
      <rPr>
        <sz val="10.0"/>
      </rPr>
      <t xml:space="preserve">, </t>
    </r>
    <r>
      <rPr>
        <color rgb="FF1155CC"/>
        <sz val="10.0"/>
        <u/>
      </rPr>
      <t>Robert Morillo</t>
    </r>
    <r>
      <rPr>
        <sz val="10.0"/>
      </rPr>
      <t xml:space="preserve">, </t>
    </r>
    <r>
      <rPr>
        <color rgb="FF1155CC"/>
        <sz val="10.0"/>
        <u/>
      </rPr>
      <t>Jayson Munoz</t>
    </r>
    <r>
      <rPr>
        <sz val="10.0"/>
      </rPr>
      <t xml:space="preserve">, </t>
    </r>
    <r>
      <rPr>
        <color rgb="FF1155CC"/>
        <sz val="10.0"/>
        <u/>
      </rPr>
      <t>Brandon Nunez</t>
    </r>
    <r>
      <rPr>
        <sz val="10.0"/>
      </rPr>
      <t xml:space="preserve"> and </t>
    </r>
    <r>
      <rPr>
        <color rgb="FF1155CC"/>
        <sz val="10.0"/>
        <u/>
      </rPr>
      <t>Yannelle Kunakey</t>
    </r>
  </si>
  <si>
    <t>IHS Health, WheelsNYC</t>
  </si>
  <si>
    <t>Jennifer</t>
  </si>
  <si>
    <t>Chowdhury</t>
  </si>
  <si>
    <t>chowdhuryj315@gmail.com</t>
  </si>
  <si>
    <t>8/8/23 AT sent re-engagement email. Jennifer is delivering her baby soon and would love to get involved in the future. I've emailed to se if she is available for the November 2023 round,  if not when to check in with her again. 8/8 - Jennifer will not be available to Champion until 2024; please contact her again then - marking inactive for now 5/22/22 SB sent re-engagement email Double checked on 1/26 KW not always responsive</t>
  </si>
  <si>
    <t>421 Degraw street</t>
  </si>
  <si>
    <t>World Food Programme</t>
  </si>
  <si>
    <t>Ayoko Kessouagni</t>
  </si>
  <si>
    <t>Christian</t>
  </si>
  <si>
    <t>Espinoza</t>
  </si>
  <si>
    <t>+19493079469</t>
  </si>
  <si>
    <t>christian.espinoza@matthews.com</t>
  </si>
  <si>
    <t>3/8/24 WW emailed for IR3 - he asked to be removed from our emailing list - WW asked if he's interested in other initiatives like seminars or don't want to proceed as a Champion; he said &amp;#34; unscribe  me&amp;#34; again, also for ccc emails, so WW mark him as discontinue 3/11/24 1/3/23 CT called &amp;amp; sent text for IR2 12/27/22 CT follow up text for IR2 12/22/22 CT sent text for IR2 12/19/22 CT followed up for IR2 12/14/22 CT followed up for IR2 12/08/22 CT asked about Wheels schedule for IR2 12/22/21 SB sent IR2 FY21-22 schedule list for matching Completed Onboarding and Training on 8/14/21 SB Training scheduled for 8/14/21 on 8/4/21 SB Training scheduling email sent 8/4/21 SB Screening call done on 7/29/21 SB</t>
  </si>
  <si>
    <t>3200 Park Center Dr. Suite #520, Costa Mesa, CA</t>
  </si>
  <si>
    <t>Costa Mesa</t>
  </si>
  <si>
    <t>Matthews Real Estate Investment Services</t>
  </si>
  <si>
    <r>
      <rPr>
        <color rgb="FF1155CC"/>
        <sz val="10.0"/>
        <u/>
      </rPr>
      <t>Bryan Montesdeoca Montesdeoca</t>
    </r>
    <r>
      <rPr>
        <sz val="10.0"/>
      </rPr>
      <t xml:space="preserve"> and </t>
    </r>
    <r>
      <rPr>
        <color rgb="FF1155CC"/>
        <sz val="10.0"/>
        <u/>
      </rPr>
      <t>Walter Ramos</t>
    </r>
  </si>
  <si>
    <t>Christina</t>
  </si>
  <si>
    <t>Kiffney</t>
  </si>
  <si>
    <t>+17205418119</t>
  </si>
  <si>
    <t>christina@christinakiffney.com</t>
  </si>
  <si>
    <t>1/6/23 CT Started Screening Call but 5 minutes in Christina said she really doesn't have time because of her personal and professional life and she's sorry but she has to end this meeting and can't be a CPC. Scheduled screening for 1/5/23 SB 12/5/22 SB messaged for screening  11/30/22 SB followed up about screening 11/18/22 SB followed up for screening 11/15/22 SB sent screening email</t>
  </si>
  <si>
    <t>270 31st St</t>
  </si>
  <si>
    <t>Boulder, CO</t>
  </si>
  <si>
    <t>Boulder</t>
  </si>
  <si>
    <t>Christina Kiffney Photography, Inc.</t>
  </si>
  <si>
    <t>CHRISTINA</t>
  </si>
  <si>
    <t>BROOMES</t>
  </si>
  <si>
    <t>christina_broomes@yahoo.com</t>
  </si>
  <si>
    <t>1/18/24 SB emailed for Black History Month 11/17/23 recently lost job - learned from LinkedIn post SB 2/28/23 Christina confirmed group for IR3 SB 2/27/23 SB emailed Christina to see if she still might be available for the group for IR3 2/1/23 CT Christina is swamped with work this round &amp;amp; not available anymore. Wants to meet with group of 4 Wheels Interns (Ashley Diaz, Raquel Guerrero, Daylan Peralta, Alexa Barrueco) for IR3. 1/27/23 CT left voicemail &amp;amp; sent text for IR2 1/25/23 CT asked for IR2 with wheels schedule Hetal reached out to Christina Broomes by text to confirm Queens Prep for FY 21-22 IR1 -- she confirmed quickly by text (11/1/21) Screening note:  prefers interns who have African heritage or background and STEM interest 10/28/21 SB - Screening and training passed Screening scheduling email sent 10/20/21 SB</t>
  </si>
  <si>
    <t>39 ASPEN AVE</t>
  </si>
  <si>
    <t>Grafton Massachusettes</t>
  </si>
  <si>
    <t>South Grafton</t>
  </si>
  <si>
    <t>Ultragenyx Pharmaceutical</t>
  </si>
  <si>
    <r>
      <rPr>
        <color rgb="FF1155CC"/>
        <sz val="10.0"/>
        <u/>
      </rPr>
      <t>Bradley Edwards</t>
    </r>
    <r>
      <rPr>
        <sz val="10.0"/>
      </rPr>
      <t xml:space="preserve">, </t>
    </r>
    <r>
      <rPr>
        <color rgb="FF1155CC"/>
        <sz val="10.0"/>
        <u/>
      </rPr>
      <t>Devin Rhodie</t>
    </r>
    <r>
      <rPr>
        <sz val="10.0"/>
      </rPr>
      <t xml:space="preserve">, </t>
    </r>
    <r>
      <rPr>
        <color rgb="FF1155CC"/>
        <sz val="10.0"/>
        <u/>
      </rPr>
      <t>Naveer Ramsarran</t>
    </r>
    <r>
      <rPr>
        <sz val="10.0"/>
      </rPr>
      <t xml:space="preserve">, </t>
    </r>
    <r>
      <rPr>
        <color rgb="FF1155CC"/>
        <sz val="10.0"/>
        <u/>
      </rPr>
      <t>Blair Vales</t>
    </r>
    <r>
      <rPr>
        <sz val="10.0"/>
      </rPr>
      <t xml:space="preserve">, </t>
    </r>
    <r>
      <rPr>
        <color rgb="FF1155CC"/>
        <sz val="10.0"/>
        <u/>
      </rPr>
      <t>Alexa Barrueco</t>
    </r>
    <r>
      <rPr>
        <sz val="10.0"/>
      </rPr>
      <t xml:space="preserve">, </t>
    </r>
    <r>
      <rPr>
        <color rgb="FF1155CC"/>
        <sz val="10.0"/>
        <u/>
      </rPr>
      <t>Raquel Guerrero</t>
    </r>
    <r>
      <rPr>
        <sz val="10.0"/>
      </rPr>
      <t xml:space="preserve">, </t>
    </r>
    <r>
      <rPr>
        <color rgb="FF1155CC"/>
        <sz val="10.0"/>
        <u/>
      </rPr>
      <t>Daylan Peralta</t>
    </r>
    <r>
      <rPr>
        <sz val="10.0"/>
      </rPr>
      <t xml:space="preserve">, </t>
    </r>
    <r>
      <rPr>
        <color rgb="FF1155CC"/>
        <sz val="10.0"/>
        <u/>
      </rPr>
      <t>Ashley Diaz</t>
    </r>
    <r>
      <rPr>
        <sz val="10.0"/>
      </rPr>
      <t xml:space="preserve">, </t>
    </r>
    <r>
      <rPr>
        <color rgb="FF1155CC"/>
        <sz val="10.0"/>
        <u/>
      </rPr>
      <t>Scarlett Cotto</t>
    </r>
    <r>
      <rPr>
        <sz val="10.0"/>
      </rPr>
      <t xml:space="preserve">, </t>
    </r>
    <r>
      <rPr>
        <color rgb="FF1155CC"/>
        <sz val="10.0"/>
        <u/>
      </rPr>
      <t>Justin Pinero</t>
    </r>
    <r>
      <rPr>
        <sz val="10.0"/>
      </rPr>
      <t xml:space="preserve">, </t>
    </r>
    <r>
      <rPr>
        <color rgb="FF1155CC"/>
        <sz val="10.0"/>
        <u/>
      </rPr>
      <t>Jaliyha Eberhart</t>
    </r>
    <r>
      <rPr>
        <sz val="10.0"/>
      </rPr>
      <t xml:space="preserve">, </t>
    </r>
    <r>
      <rPr>
        <color rgb="FF1155CC"/>
        <sz val="10.0"/>
        <u/>
      </rPr>
      <t>Aaliyah Dennis</t>
    </r>
    <r>
      <rPr>
        <sz val="10.0"/>
      </rPr>
      <t xml:space="preserve"> and </t>
    </r>
    <r>
      <rPr>
        <color rgb="FF1155CC"/>
        <sz val="10.0"/>
        <u/>
      </rPr>
      <t>Aliyah Maliq</t>
    </r>
  </si>
  <si>
    <t>QueensPrepAcad, WheelsNYC, NYC Mission - Bronx Community and Washington Irving YABC</t>
  </si>
  <si>
    <t>Christine</t>
  </si>
  <si>
    <t>Elizabeth Katt</t>
  </si>
  <si>
    <t>914-447-3136</t>
  </si>
  <si>
    <t>christine.katt@gmail.com</t>
  </si>
  <si>
    <t>5/18/22 SB sent re-engagement email 01/05/22 CT sent follow up email for matching 12/30/21 SB sent IR2 FY21-22 schedule list for matching JPS sent an email via Champions@speakhire.org to schedule a training webinar on 7/21/21. Looks like they may have had a screening call with Jenny Hoefler in Feb 2019 Hetal called on 3/26/20 and left a voice message to see if available during COVID-19. No response.</t>
  </si>
  <si>
    <t>1012 S. 12th St Apt 2</t>
  </si>
  <si>
    <t>Philadelphia, PA</t>
  </si>
  <si>
    <t>Alex's Lemonade Stand Foundation</t>
  </si>
  <si>
    <t>Claudia</t>
  </si>
  <si>
    <t>Mendez</t>
  </si>
  <si>
    <t>310-500-7107</t>
  </si>
  <si>
    <t>cmendez771@gmail.com</t>
  </si>
  <si>
    <t>4/3/23 CT sent follow up email with CPC training dates 2/22/23 CT sent follow up email to re-engage 2/9/23 CT sent re-engagement email 5/16/22 SB emailed for re-engagement  12/22/21 SB sent IR2 FY21-22 schedule list for matching Claudia had been matched and agreed but then because of a divorce and other physical issues as a result, opted out after being matched -- see if she's emotionally available by IR2 (Hetal 11/5/2021) Hetal conducted screening call 11/1/21 - passed, green. Hetal called her on 10/31/21 and she said she was going through a divorce so having difficulty keeping up with things but she wants to and needs to do this to focus on something -- really wants to help Spanish speaking students; will also share with her organization ChangeMakers Collective who are Latinas looking for change (paralegals, lawyers, social workers) Hetal shared the text to share with her by text and confirmed a screening call with Hetal by phone -- she can join the November 5th training (10/31/21) HH email 8/5/21, HH email 7/28/21, HH text 7/20/21 (why not a voicemail? JPS phone disconnected HH)</t>
  </si>
  <si>
    <t>7003 4th av LA CA 90043</t>
  </si>
  <si>
    <t>Los Angeles</t>
  </si>
  <si>
    <t>Self employed</t>
  </si>
  <si>
    <t>Christopher</t>
  </si>
  <si>
    <t>Pasi</t>
  </si>
  <si>
    <t>cpasi55@gmail.com</t>
  </si>
  <si>
    <t>2/13/24 SB emailed for IR3 10/17/23 Christopher  email SB saying he is booked with projects but would love to participate in spring of 2024 10/16/23 SB emailed for IR1 12/9/22 emailed &amp;#34; I would like to be considered for the 2024 semesters because I have too much work going on in my life right now to make time for the internship.&amp;#34; SB responded. marking inactive 12/08/22 CT asked about Wheels schedule for IR2 02/03/22 Completed CPC Orientation &amp;amp; Onboarding Training CT 02/01/22 Sent Screening email &amp;amp; CPC Training email with Handbook and Instructional Guide CT</t>
  </si>
  <si>
    <t>356 West 118th Street, Apt. 2, New York, NY, 10026</t>
  </si>
  <si>
    <t>New York City, Harlem &amp; Brooklyn</t>
  </si>
  <si>
    <t>Pivot Productions</t>
  </si>
  <si>
    <r>
      <rPr>
        <color rgb="FF1155CC"/>
        <sz val="10.0"/>
        <u/>
      </rPr>
      <t>Kaitlynn Coppin</t>
    </r>
    <r>
      <rPr>
        <sz val="10.0"/>
      </rPr>
      <t xml:space="preserve">, </t>
    </r>
    <r>
      <rPr>
        <color rgb="FF1155CC"/>
        <sz val="10.0"/>
        <u/>
      </rPr>
      <t>Crisffer Urena</t>
    </r>
    <r>
      <rPr>
        <sz val="10.0"/>
      </rPr>
      <t xml:space="preserve">, </t>
    </r>
    <r>
      <rPr>
        <color rgb="FF1155CC"/>
        <sz val="10.0"/>
        <u/>
      </rPr>
      <t>Alisha Ramos</t>
    </r>
    <r>
      <rPr>
        <sz val="10.0"/>
      </rPr>
      <t xml:space="preserve"> and </t>
    </r>
    <r>
      <rPr>
        <color rgb="FF1155CC"/>
        <sz val="10.0"/>
        <u/>
      </rPr>
      <t>Heather Nieves</t>
    </r>
  </si>
  <si>
    <t>IHSUnionSquare, NYC Mission - Bronx Community and Washington Irving YABC</t>
  </si>
  <si>
    <t>Colleen</t>
  </si>
  <si>
    <t>Rebecca Osborne</t>
  </si>
  <si>
    <t>1-818-618-6532</t>
  </si>
  <si>
    <t>crosborne9@gmail.com</t>
  </si>
  <si>
    <t>01/05/22 CT sent follow up email for matching 12/30/21 SB sent IR2 FY21-22 schedule list for matching 12/21/21 SB sent Collenn a text about match for IR1 FY21-22 Jenny completed Colleen's reference calls in Nov 2018</t>
  </si>
  <si>
    <t>326 St Johns Pl, Apt 6D, Brooklyn NY 11238</t>
  </si>
  <si>
    <t>TED Talks</t>
  </si>
  <si>
    <t>Carmen</t>
  </si>
  <si>
    <t>Maldonado-Bowling</t>
  </si>
  <si>
    <t>czbowling@gmail.com</t>
  </si>
  <si>
    <t>1/8/24 SB called and left VM for IR2 availability 1/5/24 SB sent text about IR2 1/3/24 SB sent follow up email for IR2 12/12/23 SB emailed for IR2 10/18/23 SB called and left vm about IR1 10/16/23 SB sent follow up text about IR1 10/13/23 SB sent text to follow up about IR1 availability - Carmen asked for the weekend to think about it 10/5/23 SB emailed for IR1 availability 8/18/23 SB Updated location from Louisville, Ky to Dallas, Texas. And update job info from Nurse Consultant/Interim Nurse Leader at Healthlinx to current info. SB also updated bio to reflect this change 7/17/23 Carmen got a new position at work. SB asked for updated info 7/17/23 - SB sent email for IRS, BC called &amp;amp; left VM,  SB sent follow up text - Not available for IRS, asked for IR1 12/14/22 Carmen agreed to Ellis match 12/13/22 SB sent follow up email for IR2 matching 12/8/22 SB emailed for Ellis match 10/27/22 Completed Orientation &amp;amp; Onboarding Training CT Scheduled training for 10/27/22 SB 10/19/22 SB followed up to schedule screening 10/12/22 passed screening with SB 10/11/22 SB sent screening email</t>
  </si>
  <si>
    <t>2411 Brownsboro Road, Unit 105</t>
  </si>
  <si>
    <t>Dallas, Texas</t>
  </si>
  <si>
    <t>Dallas</t>
  </si>
  <si>
    <t>Women &amp; Infants Specialty Health Division (WISH) at Parkland Health</t>
  </si>
  <si>
    <t>FY 22 - 23, Seminars 23</t>
  </si>
  <si>
    <r>
      <rPr>
        <color rgb="FF1155CC"/>
        <sz val="10.0"/>
        <u/>
      </rPr>
      <t>Yumeiry Mauricio</t>
    </r>
    <r>
      <rPr>
        <sz val="10.0"/>
      </rPr>
      <t xml:space="preserve">, </t>
    </r>
    <r>
      <rPr>
        <color rgb="FF1155CC"/>
        <sz val="10.0"/>
        <u/>
      </rPr>
      <t>Wladimir Veloz Balbuena</t>
    </r>
    <r>
      <rPr>
        <sz val="10.0"/>
      </rPr>
      <t xml:space="preserve">, </t>
    </r>
    <r>
      <rPr>
        <color rgb="FF1155CC"/>
        <sz val="10.0"/>
        <u/>
      </rPr>
      <t>Sabrina Galay</t>
    </r>
    <r>
      <rPr>
        <sz val="10.0"/>
      </rPr>
      <t xml:space="preserve">, </t>
    </r>
    <r>
      <rPr>
        <color rgb="FF1155CC"/>
        <sz val="10.0"/>
        <u/>
      </rPr>
      <t>Alexa Velasquez</t>
    </r>
    <r>
      <rPr>
        <sz val="10.0"/>
      </rPr>
      <t xml:space="preserve"> and </t>
    </r>
    <r>
      <rPr>
        <color rgb="FF1155CC"/>
        <sz val="10.0"/>
        <u/>
      </rPr>
      <t>Maradiatou Kassim</t>
    </r>
  </si>
  <si>
    <t>ELLIS, GCHS</t>
  </si>
  <si>
    <t>Daniela</t>
  </si>
  <si>
    <t>Alarcon</t>
  </si>
  <si>
    <t>+19152028899</t>
  </si>
  <si>
    <t>daalarcon24@gmail.com</t>
  </si>
  <si>
    <t>2/14 ended match after 3rd session, few empathy to Interns &amp;amp; their background; 2/16 had a meeting with Hetal &amp;amp; WW, insisted quitting while being told Interns are abandoned 12/5/23 SB updated Whatsapp number to &amp;#43;19152028899 from &amp;#43;34667551542 11/27/23 confirmed group for IR2 SB 11/13/23 emailed saying available for IR1 - SB replied letting her know we found someone but asking for IR2 10/30/23 SB emailed for IR1 1/9/23 PT sent message on whatsapp for SB about IR2 match 1/4/23 SB followed up for IR2 match 12/15/22 SB emailed for Union square match Not available for IR1. CT 8/22/22 3/11/22 passed training SB 2/2/22 passed screening SB No show to 1/31/22 screening, SB emailed- Husband covid positive, rescheduled 1/17/22 SB sent screening scheduling email</t>
  </si>
  <si>
    <t>Calle de la Madera 29, Piso 1 Derecha Interior Madrid Spain 28004</t>
  </si>
  <si>
    <t>Madrid, Spain</t>
  </si>
  <si>
    <r>
      <rPr>
        <color rgb="FF1155CC"/>
        <sz val="10.0"/>
        <u/>
      </rPr>
      <t>Diego Rojas</t>
    </r>
    <r>
      <rPr>
        <sz val="10.0"/>
      </rPr>
      <t xml:space="preserve">, </t>
    </r>
    <r>
      <rPr>
        <color rgb="FF1155CC"/>
        <sz val="10.0"/>
        <u/>
      </rPr>
      <t>Justin Martinez</t>
    </r>
    <r>
      <rPr>
        <sz val="10.0"/>
      </rPr>
      <t xml:space="preserve">, </t>
    </r>
    <r>
      <rPr>
        <color rgb="FF1155CC"/>
        <sz val="10.0"/>
        <u/>
      </rPr>
      <t>Slinne Cruz</t>
    </r>
    <r>
      <rPr>
        <sz val="10.0"/>
      </rPr>
      <t xml:space="preserve"> and </t>
    </r>
    <r>
      <rPr>
        <color rgb="FF1155CC"/>
        <sz val="10.0"/>
        <u/>
      </rPr>
      <t>Yomar Matias</t>
    </r>
  </si>
  <si>
    <t>Dominique</t>
  </si>
  <si>
    <t>Kagele</t>
  </si>
  <si>
    <t>775-287-9482</t>
  </si>
  <si>
    <t>dakagele@gmail.com</t>
  </si>
  <si>
    <t>3/1/24 WW emailed for IR3 1/9/24 SB called, left VM,  sent text 1/8/24 SB emailed for IR2 Crotona schedule 10/30/23 WW left VM and text for IR1; WW sent follow-up email and LinkedIn message 11/1/23 10/26/23 SB called for IR1 and left VM 10/25/23 SB sent text for IR1 10/23/23 SB emailed for IR1 7/15/23 SB emailed for IRS 3/22/23 SB sent text about IR3 availability 2/27/23 CT left voicemail &amp;amp; sent text regarding new job position 2/7/23 CT sent follow up email regarding new position 2/6/23 CT not available for IR2 because of new job position. 2/2/23 CT left voicemail &amp;amp; sent text asking for IR2 with Wheels schedule 1/17/23 CT sent congrats on new position &amp;amp; asked for updated description for job duties 1/4/23 SB followed up for IR2 via email 12/15/22 SB emailed for Union Square match 10/4/22 SB messaged Dominique for ICHS Bronx match 9/30/22 emailed asking for availability for ellis match 8/12/22 Interested in IR1 SB 7/5/22 LG left voicemail and sent text for IRS - Dominique unavailable for match 6/28/22 LG sent email for IRS availability 12/28/21 SB sent IR2 FY21-22 schedule list for matching Dominique attended a training on 3/8/21 with JPS Hetal checked off that she had been screened -- by Scotney Young in 2019; she was interested just not matched with a clear understanding of the timeline to match so struggled to make things work when we reached out in 2019. JPS sent re-engagement email on 2/22/21 to see if Dominique is interested in moving forward &amp;amp; attending a training webinar</t>
  </si>
  <si>
    <t>9805 Nestling Circle Elk Grove CA</t>
  </si>
  <si>
    <t>Genentech</t>
  </si>
  <si>
    <r>
      <rPr>
        <color rgb="FF1155CC"/>
        <sz val="10.0"/>
        <u/>
      </rPr>
      <t>D'Marjia Rankine</t>
    </r>
    <r>
      <rPr>
        <sz val="10.0"/>
      </rPr>
      <t xml:space="preserve">, </t>
    </r>
    <r>
      <rPr>
        <color rgb="FF1155CC"/>
        <sz val="10.0"/>
        <u/>
      </rPr>
      <t>Ben Junior Polynice</t>
    </r>
    <r>
      <rPr>
        <sz val="10.0"/>
      </rPr>
      <t xml:space="preserve">, </t>
    </r>
    <r>
      <rPr>
        <color rgb="FF1155CC"/>
        <sz val="10.0"/>
        <u/>
      </rPr>
      <t>Ariah Martin</t>
    </r>
    <r>
      <rPr>
        <sz val="10.0"/>
      </rPr>
      <t xml:space="preserve">, </t>
    </r>
    <r>
      <rPr>
        <color rgb="FF1155CC"/>
        <sz val="10.0"/>
        <u/>
      </rPr>
      <t>Jhennel Bailey</t>
    </r>
    <r>
      <rPr>
        <sz val="10.0"/>
      </rPr>
      <t xml:space="preserve">, </t>
    </r>
    <r>
      <rPr>
        <color rgb="FF1155CC"/>
        <sz val="10.0"/>
        <u/>
      </rPr>
      <t>Zihan Zhang</t>
    </r>
    <r>
      <rPr>
        <sz val="10.0"/>
      </rPr>
      <t xml:space="preserve"> and </t>
    </r>
    <r>
      <rPr>
        <color rgb="FF1155CC"/>
        <sz val="10.0"/>
        <u/>
      </rPr>
      <t>JiaJing Li</t>
    </r>
  </si>
  <si>
    <t>CypressHills, HSEI, QueensPrepAcad</t>
  </si>
  <si>
    <t>Dalida</t>
  </si>
  <si>
    <t>Jaafar</t>
  </si>
  <si>
    <t>dalidajaafar@gmail.com</t>
  </si>
  <si>
    <t>5/18/22 SB sent re-engagement email JPS sent an email via Champions@speakhire.org to schedule a training webinar on 7/21/21. JPS tried to call on 6/2/21 but Dalida's mailbox was full, so JPS followed up with a text message Dalida has not been responsive to any outreach emails to attend a training since passing her screening call.  JPS followed up again on 2/17/21 to schedule Dalida for a training JPS followed up on 2/9/21 to schedule Dalida for training JPS emailed congratulations email on 2/7/21 &amp;#43; tried to schedule Dalida for a training Dalida was screened by JPS at 1 pm est on 2/5/2021 JPS emailed on 2/3/2021 to schedule a Screening Call KW double checked on 1/19</t>
  </si>
  <si>
    <t>3800 W Devonshire Ave Apt 50, Hemet</t>
  </si>
  <si>
    <t>Hemet CA</t>
  </si>
  <si>
    <t>Hemet</t>
  </si>
  <si>
    <t>self employed</t>
  </si>
  <si>
    <t>Lena K</t>
  </si>
  <si>
    <t>Dandy</t>
  </si>
  <si>
    <t>856-900-2505</t>
  </si>
  <si>
    <t>dandylena97@gmail.com</t>
  </si>
  <si>
    <t>Hero Quotes: &amp;#34;love this initiative. SPEAKHIRE is personal for me and I love what it stands for.&amp;#34; / &amp;#34; Love everything about the experience&amp;#34; 7/31/23 - 100 hours of service (5 IR*18 hours) &amp;#43; (2 Seminars * 4 hours) - Bronze award received on August 16th, 2023 4/17/23 CT sent email asking to be in-person Speaker for BCHS 3/22/23 SB sent text for IR3 2/9/23 CT sent text for IR2 2/8/23 CT sent follow up for IR2 2/6/23 CT sent email asking for IR2 with Wheels schedule 10/28/22 SB emailed for wheels 10/20/22 SB emailed for wheels availability 8/12/22 Interested in IR1 SB 12/28/21 SB sent IR2 FY21-22 schedule list for matching Lena is available for round one (11/2020) and is matched Lena was trained on 9/28/2020 at 7:30 pm EST by Jennifer Peterson-Sharma and Kiesha Charles. Hetal called on March 19, 2020. She's happy to help and share. Marked as Active. </t>
  </si>
  <si>
    <t>5101 Royal Crescent Court Mt. Royal, NJ 08061</t>
  </si>
  <si>
    <t>Mt Royal</t>
  </si>
  <si>
    <t>FMC</t>
  </si>
  <si>
    <r>
      <rPr>
        <color rgb="FF1155CC"/>
        <sz val="10.0"/>
        <u/>
      </rPr>
      <t>Mariama Diallo</t>
    </r>
    <r>
      <rPr>
        <sz val="10.0"/>
      </rPr>
      <t xml:space="preserve">, </t>
    </r>
    <r>
      <rPr>
        <color rgb="FF1155CC"/>
        <sz val="10.0"/>
        <u/>
      </rPr>
      <t>Abdurakhim Yunusov</t>
    </r>
    <r>
      <rPr>
        <sz val="10.0"/>
      </rPr>
      <t xml:space="preserve">, </t>
    </r>
    <r>
      <rPr>
        <color rgb="FF1155CC"/>
        <sz val="10.0"/>
        <u/>
      </rPr>
      <t>Arwa Alhaj</t>
    </r>
    <r>
      <rPr>
        <sz val="10.0"/>
      </rPr>
      <t xml:space="preserve">, </t>
    </r>
    <r>
      <rPr>
        <color rgb="FF1155CC"/>
        <sz val="10.0"/>
        <u/>
      </rPr>
      <t>Noashin Sarker</t>
    </r>
    <r>
      <rPr>
        <sz val="10.0"/>
      </rPr>
      <t xml:space="preserve">, </t>
    </r>
    <r>
      <rPr>
        <color rgb="FF1155CC"/>
        <sz val="10.0"/>
        <u/>
      </rPr>
      <t>Maria Polanco</t>
    </r>
    <r>
      <rPr>
        <sz val="10.0"/>
      </rPr>
      <t xml:space="preserve">, </t>
    </r>
    <r>
      <rPr>
        <color rgb="FF1155CC"/>
        <sz val="10.0"/>
        <u/>
      </rPr>
      <t>Rassiel Munoz Gomez</t>
    </r>
    <r>
      <rPr>
        <sz val="10.0"/>
      </rPr>
      <t xml:space="preserve">, </t>
    </r>
    <r>
      <rPr>
        <color rgb="FF1155CC"/>
        <sz val="10.0"/>
        <u/>
      </rPr>
      <t>Mahmoud Ahmed</t>
    </r>
    <r>
      <rPr>
        <sz val="10.0"/>
      </rPr>
      <t xml:space="preserve">, </t>
    </r>
    <r>
      <rPr>
        <color rgb="FF1155CC"/>
        <sz val="10.0"/>
        <u/>
      </rPr>
      <t>Nayeli Cruz</t>
    </r>
    <r>
      <rPr>
        <sz val="10.0"/>
      </rPr>
      <t xml:space="preserve">, </t>
    </r>
    <r>
      <rPr>
        <color rgb="FF1155CC"/>
        <sz val="10.0"/>
        <u/>
      </rPr>
      <t>Oceanne Compaore</t>
    </r>
    <r>
      <rPr>
        <sz val="10.0"/>
      </rPr>
      <t xml:space="preserve">, </t>
    </r>
    <r>
      <rPr>
        <color rgb="FF1155CC"/>
        <sz val="10.0"/>
        <u/>
      </rPr>
      <t>Djaka Kante</t>
    </r>
    <r>
      <rPr>
        <sz val="10.0"/>
      </rPr>
      <t xml:space="preserve">, </t>
    </r>
    <r>
      <rPr>
        <color rgb="FF1155CC"/>
        <sz val="10.0"/>
        <u/>
      </rPr>
      <t>Fatoumata Diallo</t>
    </r>
    <r>
      <rPr>
        <sz val="10.0"/>
      </rPr>
      <t xml:space="preserve">, </t>
    </r>
    <r>
      <rPr>
        <color rgb="FF1155CC"/>
        <sz val="10.0"/>
        <u/>
      </rPr>
      <t>Wendy Ouedraogo</t>
    </r>
    <r>
      <rPr>
        <sz val="10.0"/>
      </rPr>
      <t xml:space="preserve">, </t>
    </r>
    <r>
      <rPr>
        <color rgb="FF1155CC"/>
        <sz val="10.0"/>
        <u/>
      </rPr>
      <t>Aicha Doukoure</t>
    </r>
    <r>
      <rPr>
        <sz val="10.0"/>
      </rPr>
      <t xml:space="preserve"> and </t>
    </r>
    <r>
      <rPr>
        <color rgb="FF1155CC"/>
        <sz val="10.0"/>
        <u/>
      </rPr>
      <t>Safiatou Jalloh</t>
    </r>
  </si>
  <si>
    <t>NYC Mission - Emma Lazarus, ELLIS, IHS Health, CrotonaIHS</t>
  </si>
  <si>
    <t>Russo</t>
  </si>
  <si>
    <t>917-858-2071</t>
  </si>
  <si>
    <t>danielarusso06@gmail.com</t>
  </si>
  <si>
    <t>7/18/23 WW emailed for IRS, PC team followed up with text and call 3/28/23 SB sent text about Ir3 10/13/22 Not available for IR1. CT 12/22/21 SB sent IR2 FY21-22 schedule list for matching JPS followed up on 2/25/21 JPS emailed on 2/22/21 to request Instructional Guide</t>
  </si>
  <si>
    <t>50-05 43rd Avenue</t>
  </si>
  <si>
    <t>Stella McCartney</t>
  </si>
  <si>
    <r>
      <rPr>
        <color rgb="FF1155CC"/>
        <sz val="10.0"/>
        <u/>
      </rPr>
      <t>Afrida Ahmed</t>
    </r>
    <r>
      <rPr>
        <sz val="10.0"/>
      </rPr>
      <t xml:space="preserve"> and </t>
    </r>
    <r>
      <rPr>
        <color rgb="FF1155CC"/>
        <sz val="10.0"/>
        <u/>
      </rPr>
      <t>Mahfuja Khatun</t>
    </r>
  </si>
  <si>
    <t>Danielle</t>
  </si>
  <si>
    <t>Lian Farage</t>
  </si>
  <si>
    <t>danielle.farage@gmail.com</t>
  </si>
  <si>
    <t>3/13/24 WW emailed for IR3 9/18/23 WW emailed for IR1 4/25/23 SB messaged for IR3 4/22/23 SB emailed for IR3 12/14 SB left Danielle a Voice mail 12/13/21 Hetal called Danielle about possible FY21-22 IR1 match and left VM, SB sent text, CT sent email Danielle attended a training with JPS on 5/8/21 but she has not submitted an onboarding form as of 5/10/21 JPS reached out to Danielle on 2/4/2021 to see if she would like to attend a training. JPS reached out to three times (12/29/2020, 1/2/2021,  1/4/2021) to scheduler her for a training but she never responded.  Danielle was screened on 12/4/2020 at 12 pm EST by Jennifer Peterson-Sharma. Danielle is scheduled for a screening call on 12/4/2020 Jennifer followed up on 12/1/2020 to schedule a Screening Call. No reply as of 12/1/2020. Jennifer Peterson-Sharma emailed on 11/27/2020 to schedule a Screening Call.</t>
  </si>
  <si>
    <t>250 West 90th St, New York</t>
  </si>
  <si>
    <t>Wade &amp; Wendy</t>
  </si>
  <si>
    <t>Fernandez Espinosa</t>
  </si>
  <si>
    <t>danyfdz.92@gmail.com</t>
  </si>
  <si>
    <t>10/26/23 WW emailed for Champion-led Info Session 5/19/23 &amp;#34;She is usually absent with no prior communication. If she joins, she needs to get reminders but still joins late and keep Sessions short. Maybe better for Seminars.&amp;#34; -Note from PC team SB 4/18/23 SB emailed for IR3 1/5/23 confirmed Union Square schedule for IR2 SB 1/4/23 SB follow up email for IR2 12/15/22 SB emailed for IR2 Union Square 7/5/22 SB emailed for IRS match - 7/6, Daniela confirmed availability completed training with SB on 4/8/22 3/3/22 Passed screening and was sent training email. SB 3/2/22 SB sent screening scheduling email</t>
  </si>
  <si>
    <t>1389 Jefferson st A310</t>
  </si>
  <si>
    <t>Oakland, California</t>
  </si>
  <si>
    <t>Oakland</t>
  </si>
  <si>
    <t>Ask Media Group</t>
  </si>
  <si>
    <r>
      <rPr>
        <color rgb="FF1155CC"/>
        <sz val="10.0"/>
        <u/>
      </rPr>
      <t>Navier Rojas</t>
    </r>
    <r>
      <rPr>
        <sz val="10.0"/>
      </rPr>
      <t xml:space="preserve">, </t>
    </r>
    <r>
      <rPr>
        <color rgb="FF1155CC"/>
        <sz val="10.0"/>
        <u/>
      </rPr>
      <t>Luis Chimbo</t>
    </r>
    <r>
      <rPr>
        <sz val="10.0"/>
      </rPr>
      <t xml:space="preserve">, </t>
    </r>
    <r>
      <rPr>
        <color rgb="FF1155CC"/>
        <sz val="10.0"/>
        <u/>
      </rPr>
      <t>Josimar Lucero</t>
    </r>
    <r>
      <rPr>
        <sz val="10.0"/>
      </rPr>
      <t xml:space="preserve">, </t>
    </r>
    <r>
      <rPr>
        <color rgb="FF1155CC"/>
        <sz val="10.0"/>
        <u/>
      </rPr>
      <t>Gabriel Morris</t>
    </r>
    <r>
      <rPr>
        <sz val="10.0"/>
      </rPr>
      <t xml:space="preserve">, </t>
    </r>
    <r>
      <rPr>
        <color rgb="FF1155CC"/>
        <sz val="10.0"/>
        <u/>
      </rPr>
      <t>Jatziry Guity</t>
    </r>
    <r>
      <rPr>
        <sz val="10.0"/>
      </rPr>
      <t xml:space="preserve">, </t>
    </r>
    <r>
      <rPr>
        <color rgb="FF1155CC"/>
        <sz val="10.0"/>
        <u/>
      </rPr>
      <t>Anny Garcia</t>
    </r>
    <r>
      <rPr>
        <sz val="10.0"/>
      </rPr>
      <t xml:space="preserve">, </t>
    </r>
    <r>
      <rPr>
        <color rgb="FF1155CC"/>
        <sz val="10.0"/>
        <u/>
      </rPr>
      <t>Doussouba Diakite</t>
    </r>
    <r>
      <rPr>
        <sz val="10.0"/>
      </rPr>
      <t xml:space="preserve">, </t>
    </r>
    <r>
      <rPr>
        <color rgb="FF1155CC"/>
        <sz val="10.0"/>
        <u/>
      </rPr>
      <t>Hendry Bello</t>
    </r>
    <r>
      <rPr>
        <sz val="10.0"/>
      </rPr>
      <t xml:space="preserve">, </t>
    </r>
    <r>
      <rPr>
        <color rgb="FF1155CC"/>
        <sz val="10.0"/>
        <u/>
      </rPr>
      <t>Aristid Reynoso</t>
    </r>
    <r>
      <rPr>
        <sz val="10.0"/>
      </rPr>
      <t xml:space="preserve">, </t>
    </r>
    <r>
      <rPr>
        <color rgb="FF1155CC"/>
        <sz val="10.0"/>
        <u/>
      </rPr>
      <t>Adalbelys Polanco</t>
    </r>
    <r>
      <rPr>
        <sz val="10.0"/>
      </rPr>
      <t xml:space="preserve">, </t>
    </r>
    <r>
      <rPr>
        <color rgb="FF1155CC"/>
        <sz val="10.0"/>
        <u/>
      </rPr>
      <t>Jeter Perez</t>
    </r>
    <r>
      <rPr>
        <sz val="10.0"/>
      </rPr>
      <t xml:space="preserve">, </t>
    </r>
    <r>
      <rPr>
        <color rgb="FF1155CC"/>
        <sz val="10.0"/>
        <u/>
      </rPr>
      <t>Allison Perez</t>
    </r>
    <r>
      <rPr>
        <sz val="10.0"/>
      </rPr>
      <t xml:space="preserve">, </t>
    </r>
    <r>
      <rPr>
        <color rgb="FF1155CC"/>
        <sz val="10.0"/>
        <u/>
      </rPr>
      <t>Marthiel Cruz</t>
    </r>
    <r>
      <rPr>
        <sz val="10.0"/>
      </rPr>
      <t xml:space="preserve"> and </t>
    </r>
    <r>
      <rPr>
        <color rgb="FF1155CC"/>
        <sz val="10.0"/>
        <u/>
      </rPr>
      <t>Jazir Cabrera</t>
    </r>
  </si>
  <si>
    <t>ICHSBronx, IHSUnionSquare, WheelsNYC, CrotonaIHS</t>
  </si>
  <si>
    <t>Dave</t>
  </si>
  <si>
    <t>Landa</t>
  </si>
  <si>
    <t>415-850-8614</t>
  </si>
  <si>
    <t>dave.landa@lava.ai</t>
  </si>
  <si>
    <t>4/3/23 CT sent follow up email with CPC training dates 2/22/23 CT sent follow up checking in email 2/9/23 CT sent check in email 10/12/22 CT added new phone number to profile 10/11/22 CT took out phone number because it belongs to a different person now. Sent Dave an email asking for new phone number.  Speak Mandarin which we are in need of. Try to follow up again and reengage. 7/11 LG called - phone number has been disconnected; email for updated number and soiree invite 7/5/22 LG updated email address and workplace from dave@kintone.com to LAVA AI 5/18/22 SB sent re-engagement email 12/28/21 SB sent IR2 FY21-22 schedule list for matching Dave was screened on 4/30/21</t>
  </si>
  <si>
    <t>31 Catskill Ct, San Anselmo, CA 94960</t>
  </si>
  <si>
    <t>LAVA AI</t>
  </si>
  <si>
    <r>
      <rPr>
        <color rgb="FF1155CC"/>
        <sz val="10.0"/>
        <u/>
      </rPr>
      <t>Yuzhi Fang</t>
    </r>
    <r>
      <rPr>
        <sz val="10.0"/>
      </rPr>
      <t xml:space="preserve">, </t>
    </r>
    <r>
      <rPr>
        <color rgb="FF1155CC"/>
        <sz val="10.0"/>
        <u/>
      </rPr>
      <t>Long Xiong Long</t>
    </r>
    <r>
      <rPr>
        <sz val="10.0"/>
      </rPr>
      <t xml:space="preserve">, </t>
    </r>
    <r>
      <rPr>
        <color rgb="FF1155CC"/>
        <sz val="10.0"/>
        <u/>
      </rPr>
      <t>Bohan Yang</t>
    </r>
    <r>
      <rPr>
        <sz val="10.0"/>
      </rPr>
      <t xml:space="preserve">, </t>
    </r>
    <r>
      <rPr>
        <color rgb="FF1155CC"/>
        <sz val="10.0"/>
        <u/>
      </rPr>
      <t>Luofeng Lin</t>
    </r>
    <r>
      <rPr>
        <sz val="10.0"/>
      </rPr>
      <t xml:space="preserve">, </t>
    </r>
    <r>
      <rPr>
        <color rgb="FF1155CC"/>
        <sz val="10.0"/>
        <u/>
      </rPr>
      <t>Kaite Cai</t>
    </r>
    <r>
      <rPr>
        <sz val="10.0"/>
      </rPr>
      <t xml:space="preserve"> and </t>
    </r>
    <r>
      <rPr>
        <color rgb="FF1155CC"/>
        <sz val="10.0"/>
        <u/>
      </rPr>
      <t>Yeling Lin</t>
    </r>
  </si>
  <si>
    <t>David</t>
  </si>
  <si>
    <t>Temple</t>
  </si>
  <si>
    <t>david.temple@foxroach.com</t>
  </si>
  <si>
    <t>10/5/22 SB emailed for Wheels match, David agreed to schedule 12/17 SB sent text for IR1 match Completed Onboarding and Training 8/14/21 SB - had some trouble with zoom but figured it out Screened by SB on 7/12/21. Sent email to schedule training on 7/13/21 SB Sent follow up email on 7/15/21 SB Scheduled training for 8/12/21 SB</t>
  </si>
  <si>
    <t>526 Pacific Ave, 1204, Atlantic City, NJ 08401</t>
  </si>
  <si>
    <t>526 Pacific Ave, Apt. 1204, Atlantic City, NJ 08401</t>
  </si>
  <si>
    <t>Atlantic City</t>
  </si>
  <si>
    <t>BHHS Fox Roach Realtors</t>
  </si>
  <si>
    <r>
      <rPr>
        <color rgb="FF1155CC"/>
        <sz val="10.0"/>
        <u/>
      </rPr>
      <t>Gary Hernandez</t>
    </r>
    <r>
      <rPr>
        <sz val="10.0"/>
      </rPr>
      <t xml:space="preserve">, </t>
    </r>
    <r>
      <rPr>
        <color rgb="FF1155CC"/>
        <sz val="10.0"/>
        <u/>
      </rPr>
      <t>Ansel Castro</t>
    </r>
    <r>
      <rPr>
        <sz val="10.0"/>
      </rPr>
      <t xml:space="preserve">, </t>
    </r>
    <r>
      <rPr>
        <color rgb="FF1155CC"/>
        <sz val="10.0"/>
        <u/>
      </rPr>
      <t>Aristid Reynoso</t>
    </r>
    <r>
      <rPr>
        <sz val="10.0"/>
      </rPr>
      <t xml:space="preserve">, </t>
    </r>
    <r>
      <rPr>
        <color rgb="FF1155CC"/>
        <sz val="10.0"/>
        <u/>
      </rPr>
      <t>Diogo Perez</t>
    </r>
    <r>
      <rPr>
        <sz val="10.0"/>
      </rPr>
      <t xml:space="preserve">, </t>
    </r>
    <r>
      <rPr>
        <color rgb="FF1155CC"/>
        <sz val="10.0"/>
        <u/>
      </rPr>
      <t>Anjalie Ramkissoon</t>
    </r>
    <r>
      <rPr>
        <sz val="10.0"/>
      </rPr>
      <t xml:space="preserve">, </t>
    </r>
    <r>
      <rPr>
        <color rgb="FF1155CC"/>
        <sz val="10.0"/>
        <u/>
      </rPr>
      <t>Rowena Otero</t>
    </r>
    <r>
      <rPr>
        <sz val="10.0"/>
      </rPr>
      <t xml:space="preserve">, </t>
    </r>
    <r>
      <rPr>
        <color rgb="FF1155CC"/>
        <sz val="10.0"/>
        <u/>
      </rPr>
      <t>Angelina Gil</t>
    </r>
    <r>
      <rPr>
        <sz val="10.0"/>
      </rPr>
      <t xml:space="preserve">, </t>
    </r>
    <r>
      <rPr>
        <color rgb="FF1155CC"/>
        <sz val="10.0"/>
        <u/>
      </rPr>
      <t>Jennyfer Montilla</t>
    </r>
    <r>
      <rPr>
        <sz val="10.0"/>
      </rPr>
      <t xml:space="preserve">, </t>
    </r>
    <r>
      <rPr>
        <color rgb="FF1155CC"/>
        <sz val="10.0"/>
        <u/>
      </rPr>
      <t>Amir Saunders</t>
    </r>
    <r>
      <rPr>
        <sz val="10.0"/>
      </rPr>
      <t xml:space="preserve">, </t>
    </r>
    <r>
      <rPr>
        <color rgb="FF1155CC"/>
        <sz val="10.0"/>
        <u/>
      </rPr>
      <t>Sabina Musayeva</t>
    </r>
    <r>
      <rPr>
        <sz val="10.0"/>
      </rPr>
      <t xml:space="preserve"> and </t>
    </r>
    <r>
      <rPr>
        <color rgb="FF1155CC"/>
        <sz val="10.0"/>
        <u/>
      </rPr>
      <t>jefferson colon</t>
    </r>
  </si>
  <si>
    <t>WheelsNYC, GWHS</t>
  </si>
  <si>
    <t>Lee</t>
  </si>
  <si>
    <t>Davis</t>
  </si>
  <si>
    <t>davisl13@mail.wlu.edu</t>
  </si>
  <si>
    <t>Other email:  davisl13@alumni.wlu.edu 2/1/24 SB sent initial outreach for sponsor session -&amp;gt; follow up 2/7 -&amp;gt; tried other email 2/8 11/27/23 not able to be a STAR training speaker - &amp;#34; I communicated awhile back I won't be able to continue with Speakhire for the following year and so won't be able to attend the training&amp;#34; 3/30/23 SB sent texted about IR3 3/1/23 SB sent follow up email 2/24/23 SB emailed Wheels availability request and about Interns 1/12/23 emailed SB, &amp;#34; I don't think I'll be able to serve this semester.&amp;#34; - SB responded asking about IR3 1/10/23 SB emailed to follow up for IR2 1/6/23 SB emailed for IR2 match - crotona 8/15/22 Not available for IR1 SB Needs a strong group 4/29/22 passed training SB 4/18/22 passed screening call - SB 4/14/22 SB sent screening email and times for possible matches</t>
  </si>
  <si>
    <t>120 Greenwich St Apt 7J</t>
  </si>
  <si>
    <t>Bank of America</t>
  </si>
  <si>
    <r>
      <rPr>
        <color rgb="FF1155CC"/>
        <sz val="10.0"/>
        <u/>
      </rPr>
      <t>Israel Martinez</t>
    </r>
    <r>
      <rPr>
        <sz val="10.0"/>
      </rPr>
      <t xml:space="preserve">, </t>
    </r>
    <r>
      <rPr>
        <color rgb="FF1155CC"/>
        <sz val="10.0"/>
        <u/>
      </rPr>
      <t>Samuel Rodriguez</t>
    </r>
    <r>
      <rPr>
        <sz val="10.0"/>
      </rPr>
      <t xml:space="preserve"> and </t>
    </r>
    <r>
      <rPr>
        <color rgb="FF1155CC"/>
        <sz val="10.0"/>
        <u/>
      </rPr>
      <t>Joshua Jimenez</t>
    </r>
  </si>
  <si>
    <t>WheelsNYC</t>
  </si>
  <si>
    <t>Debaleena</t>
  </si>
  <si>
    <t>Majumdar</t>
  </si>
  <si>
    <t>debaleena.majumdar@asu.edu</t>
  </si>
  <si>
    <t>11/20/23 SB updated email from debaleena.majumdar@umassglobal.edu to debaleena.majumdar@asu.edu . Debaleena still looking for job and will reach out when things settle down 11/14/23 SB tried to connect on linkedin and sent message to try to get updated contact info 8/10/23 SB emailed for soiree and email bounced back with, &amp;#34; Thank you for your email. The person you are attempting to reach is no longer with the University,  this mailbox may no longer be monitored. If you are a current student, or need help with university degree programs, please call 800.746.0082.&amp;#34; SB to text about getting an updated email 4/17/23 CT Debaleena was laid off due to budget cuts and has to focus on finding a new job. Not available for Seminars in May anymore. Reach out again in July. 3/2/23 CT asked to be Seminar Speaker for Crotona IHS 3/2/23 CT not available from April on because of busy schedule. Asked to reach out in spring 2024 3/1/23 CT asked about IR3 availability with Crotona schedule 2/28/23 CT sent email asking to take over Wheels group for IR2 Needs a strong group 1/12/23 SB emailed to thank for reference for Leigh Ann and ask for IR2 - not available on Tuesdays and asked for Wednesdays schedule - SB sent dates and she confirmed availability 7/8/22 Debaleena emailed to let us know that she is moving to a new school at her university and will be too busy with program development for being a Champion in the fall. She said she should be available in spring 2023. Hetal responded to ask if her email will change. 6/15/22 FY 21-22 IR3 she had low engagement from Interns and felt discouraged. Resulting in her feeling that re-scheduling sessions was not worth it. Give her a break for IRS and give her stronger students next round. 3/8/22 Sent email for IR3 availability CT 02/03/22 Completed CPC Orientation &amp;amp; Onboarding Training CT 01/28/22 Sent congrats email with CPC training SB 1/17/22 SB sent screening scheduling email</t>
  </si>
  <si>
    <t>7440 Dwell Well Way Apt 2302, Winter Park, FL 32792</t>
  </si>
  <si>
    <t>Winter Park, FL</t>
  </si>
  <si>
    <t>Winter Park</t>
  </si>
  <si>
    <t>School of Business and Professional Studies at University of Massachusetts Global</t>
  </si>
  <si>
    <r>
      <rPr>
        <color rgb="FF1155CC"/>
        <sz val="10.0"/>
        <u/>
      </rPr>
      <t>Siyan Wu</t>
    </r>
    <r>
      <rPr>
        <sz val="10.0"/>
      </rPr>
      <t xml:space="preserve">, </t>
    </r>
    <r>
      <rPr>
        <color rgb="FF1155CC"/>
        <sz val="10.0"/>
        <u/>
      </rPr>
      <t>Yafei Huang</t>
    </r>
    <r>
      <rPr>
        <sz val="10.0"/>
      </rPr>
      <t xml:space="preserve">, </t>
    </r>
    <r>
      <rPr>
        <color rgb="FF1155CC"/>
        <sz val="10.0"/>
        <u/>
      </rPr>
      <t>Sijia Su</t>
    </r>
    <r>
      <rPr>
        <sz val="10.0"/>
      </rPr>
      <t xml:space="preserve">, </t>
    </r>
    <r>
      <rPr>
        <color rgb="FF1155CC"/>
        <sz val="10.0"/>
        <u/>
      </rPr>
      <t>Siyu Liu</t>
    </r>
    <r>
      <rPr>
        <sz val="10.0"/>
      </rPr>
      <t xml:space="preserve">, </t>
    </r>
    <r>
      <rPr>
        <color rgb="FF1155CC"/>
        <sz val="10.0"/>
        <u/>
      </rPr>
      <t>Wanting Huang</t>
    </r>
    <r>
      <rPr>
        <sz val="10.0"/>
      </rPr>
      <t xml:space="preserve">, </t>
    </r>
    <r>
      <rPr>
        <color rgb="FF1155CC"/>
        <sz val="10.0"/>
        <u/>
      </rPr>
      <t>Phue Naing</t>
    </r>
    <r>
      <rPr>
        <sz val="10.0"/>
      </rPr>
      <t xml:space="preserve">, </t>
    </r>
    <r>
      <rPr>
        <color rgb="FF1155CC"/>
        <sz val="10.0"/>
        <u/>
      </rPr>
      <t>Romina Sulaimonova</t>
    </r>
    <r>
      <rPr>
        <sz val="10.0"/>
      </rPr>
      <t xml:space="preserve">, </t>
    </r>
    <r>
      <rPr>
        <color rgb="FF1155CC"/>
        <sz val="10.0"/>
        <u/>
      </rPr>
      <t>Mariama Toure</t>
    </r>
    <r>
      <rPr>
        <sz val="10.0"/>
      </rPr>
      <t xml:space="preserve">, </t>
    </r>
    <r>
      <rPr>
        <color rgb="FF1155CC"/>
        <sz val="10.0"/>
        <u/>
      </rPr>
      <t>Yannick Diaby</t>
    </r>
    <r>
      <rPr>
        <sz val="10.0"/>
      </rPr>
      <t xml:space="preserve"> and </t>
    </r>
    <r>
      <rPr>
        <color rgb="FF1155CC"/>
        <sz val="10.0"/>
        <u/>
      </rPr>
      <t>El Hadji Ndong</t>
    </r>
  </si>
  <si>
    <t>FlushingIHS, NYC Mission - Emma Lazarus, IHSUnionSquare</t>
  </si>
  <si>
    <t>Diana</t>
  </si>
  <si>
    <t>Elejalde</t>
  </si>
  <si>
    <t>delejalde@bseglobal.net</t>
  </si>
  <si>
    <t>12/13/22 CT left voicemail &amp;amp; sent text to re-engage 10/18/22 CT left voicemail &amp;amp; sent text regarding new email address &amp;amp; re-engagement. 09/15/22 CT sent email regarding references but bounced back. 5/24/22 SB sent re-engagement email 11/15/21 SB sent engagement text 10/8/21 SB sent email about screening call, email bounced back. Trying phone JPS sent email on 7/20/21 to check on Diana's status. Sent scheduling a screening email 3/2/21. SU. Hetal sent a screening email 03/04/21. Soneya send a follow up - screening email 3/9/21. Diana scheduled a screening call 3/16/2021.SU. Sent a revise email to schedule a screening call 3/19/2021. SU. Diana pick up she said she will set up a screening call within this week. 3/22/2021. SU. Diana pick up and stated she will liket to come back for the next session in Fall. SU. 4/6/2021. Diana did not show up to her screening call on 3/30/21.  dianamelej@gmail.com (personal email) JPS emailed on 2/7/2021 to re-engage and schedule a Screening Call Jennifer Peterson-Sharma called and left vm on 10/6/2020 to check in on Diana's availability for the 2020-2021 mentoring rounds.</t>
  </si>
  <si>
    <t>295 Flatbush Ave</t>
  </si>
  <si>
    <t xml:space="preserve">Brooklyn </t>
  </si>
  <si>
    <t>Jax Media</t>
  </si>
  <si>
    <t>Demi</t>
  </si>
  <si>
    <t>Ajayi</t>
  </si>
  <si>
    <t>857-928-3835</t>
  </si>
  <si>
    <t>demi.ajayi@gmail.com</t>
  </si>
  <si>
    <t>Unsubscribed from Newsletter, not responsive KW 6/10/25 Recently had a Child, making as inactive. Try for FY 22-23? SB 2/28/22 Demi appears to respond better with texts instead of emails. Demi had a refresher training with Jennifer Peterson-Sharma on 11/30/2020 at 4 pm EST. She is mentoring for Round One 2020 (filling in last minute).  Have not heard back from Demi and Jennifer Peterson-Sharma followed up again on 10/6/2020. Emailed on 9/28/2020 to ask if she speaks French for a potential mentee match. </t>
  </si>
  <si>
    <t>203 Underhill Avenue #1F Brooklyn NY 11238</t>
  </si>
  <si>
    <r>
      <rPr>
        <color rgb="FF1155CC"/>
        <sz val="10.0"/>
        <u/>
      </rPr>
      <t>Alpha Sylla</t>
    </r>
    <r>
      <rPr>
        <sz val="10.0"/>
      </rPr>
      <t xml:space="preserve"> and </t>
    </r>
    <r>
      <rPr>
        <color rgb="FF1155CC"/>
        <sz val="10.0"/>
        <u/>
      </rPr>
      <t>Abrahan Castro</t>
    </r>
  </si>
  <si>
    <t>Denise</t>
  </si>
  <si>
    <t>Vargas</t>
  </si>
  <si>
    <t>408-655-3705</t>
  </si>
  <si>
    <t>Denisevargas478@gmail.com</t>
  </si>
  <si>
    <t>1/5/23 CT sent follow up text 12/20/22 CT left voicemail &amp;amp; sent text to check in 1/18/22 Denise has unreliable attendance in IR1 SB Hetal updated Denise's profile from Senior Account Manager to Customer Success Manager after seeing an update on LinkedIn 11/3/21 Denise attended a CPC Training on 4/10/21 with JPS Denise did not join the training webinar she scheduled for on 3/22/21. However, she has submitted her onboarding materials.  Denise does not seem to understand the Instructional Guide and needs assistance with technology - more &amp;#34;hand-holding&amp;#34; required through the onboarding process. (JPS, 3/2/21) Soneya Uddin screened her on 2/26/21 and she passed on to training. JPS emailed on 2/3/2021 to schedule a Screening Call Double checked 1/26 (KW)</t>
  </si>
  <si>
    <t>1431 Sheffield Ave, Campbell</t>
  </si>
  <si>
    <t>Campbell, CA</t>
  </si>
  <si>
    <t>Campbell</t>
  </si>
  <si>
    <t>HPE</t>
  </si>
  <si>
    <t>FY 21 - 22, FY 20 - 21</t>
  </si>
  <si>
    <r>
      <rPr>
        <color rgb="FF1155CC"/>
        <sz val="10.0"/>
        <u/>
      </rPr>
      <t>Michael Steven Paredes Franco</t>
    </r>
    <r>
      <rPr>
        <sz val="10.0"/>
      </rPr>
      <t xml:space="preserve">, </t>
    </r>
    <r>
      <rPr>
        <color rgb="FF1155CC"/>
        <sz val="10.0"/>
        <u/>
      </rPr>
      <t>Cheikh Ka</t>
    </r>
    <r>
      <rPr>
        <sz val="10.0"/>
      </rPr>
      <t xml:space="preserve"> and </t>
    </r>
    <r>
      <rPr>
        <color rgb="FF1155CC"/>
        <sz val="10.0"/>
        <u/>
      </rPr>
      <t>Nazim Bolotbekova</t>
    </r>
  </si>
  <si>
    <t>ICHSBronx, GWHS</t>
  </si>
  <si>
    <t>Sandra</t>
  </si>
  <si>
    <t>Denton</t>
  </si>
  <si>
    <t>denton.sandra@gmail.com</t>
  </si>
  <si>
    <t>7/17/23 Sandra mentioned in exit Survey that she does not want to be considered for future rounds, HJ thinks it is just for now and is following up with her at in person event. SB 3/31/23 SB emailed about IR3 3/31/23 completed training with SB 3/16/23 CT updated Sandra's bio 3/9/23 CT asked to be a Speaker for BUSHWICKCHS in-person Seminars 1/31/23 CT sent follow up regarding CPC training 1/17/23 CT Sandra passed Screening, sent congrats email with CPC Training dates. Sandra will be travelling until Feb 16th but wants to participate in IR3. 1/12/23 CT Sandra rescheduled Screening call for 1/17/23 1/12/23 CT started Screening Call but Sandra was in a store to get her phone fixed and we had to end call. Sent an email for rescheduling. Available Wednesdays - Possibly for IR2 Union Square? 1/11/23 SB sent screening email</t>
  </si>
  <si>
    <t>125 W.76 St #1C</t>
  </si>
  <si>
    <t>NYC and Bucks County, PA</t>
  </si>
  <si>
    <t>Pipefy</t>
  </si>
  <si>
    <r>
      <rPr>
        <color rgb="FF1155CC"/>
        <sz val="10.0"/>
        <u/>
      </rPr>
      <t>Israel Martinez</t>
    </r>
    <r>
      <rPr>
        <sz val="10.0"/>
      </rPr>
      <t xml:space="preserve">, </t>
    </r>
    <r>
      <rPr>
        <color rgb="FF1155CC"/>
        <sz val="10.0"/>
        <u/>
      </rPr>
      <t>Gary Hernandez</t>
    </r>
    <r>
      <rPr>
        <sz val="10.0"/>
      </rPr>
      <t xml:space="preserve">, </t>
    </r>
    <r>
      <rPr>
        <color rgb="FF1155CC"/>
        <sz val="10.0"/>
        <u/>
      </rPr>
      <t>Jhoana Guevara</t>
    </r>
    <r>
      <rPr>
        <sz val="10.0"/>
      </rPr>
      <t xml:space="preserve"> and </t>
    </r>
    <r>
      <rPr>
        <color rgb="FF1155CC"/>
        <sz val="10.0"/>
        <u/>
      </rPr>
      <t>Daniel Ramirez</t>
    </r>
  </si>
  <si>
    <t>WheelsNYC, BUSHWICKCHS</t>
  </si>
  <si>
    <t>Dhivya</t>
  </si>
  <si>
    <t>Haridass</t>
  </si>
  <si>
    <t>dhivyajh@gmail.com</t>
  </si>
  <si>
    <t>3/2/23 CT Not available in the near future. Text from Dhivya &amp;#34; Hi Charlotte,
Thanks for checking! I am not sure about my capacity at the moment given my health status. I will reach out to you if I am available to mentor again. Thanks.&amp;#34; 2/27/23 CT left voicemail &amp;amp; sent text to clarify availability as a Champion in the future 2/7/23 CT sent follow up email to clarify future availability and to be a Seminar Speaker 1/19/23 CT not available for any rounds in the future (asked to clarify if near future or in general) 1/17/23 CT sent follow up email 1/10/23 CT sent check in email 7/7/22 LG messaged for IRS availability 2/9/22 Dhivya emailed saying she is out of country and unable to do IR2, SB emailed asking about IR3 1/24/22 SB call, VM,  text 1/10/22 SB sent follow up email 1/5/22 SB sent IR2 FY21-22 schedule list for matching Dhivya asked to have her profile updated 11/8/21, HJ (changed title from Molecular Bioscience Tutor, STEM Mentor, Freelance Science Writer, Company from Bellevue College and updated bio) Doubled Checked 1/19 (KW)</t>
  </si>
  <si>
    <t>2225 238th PL NE Sammamish WA 98074</t>
  </si>
  <si>
    <t>United States</t>
  </si>
  <si>
    <t>Sammamish</t>
  </si>
  <si>
    <t>Aara Medical &amp; Science Communications</t>
  </si>
  <si>
    <t>Diane</t>
  </si>
  <si>
    <t>French</t>
  </si>
  <si>
    <t>dianefrenchart@gmail.com</t>
  </si>
  <si>
    <t>9/20/23 Diane confirmed, MA ready 9/18/23 WW emailed for IR1 and Diane agreed; Interns info sent, wait for confirmation 1/19/23 SB sent IR1 thank you and asked for IR2 9/30/22 Diane confirmed Ellis times, need Intern info to finalize match - SB 9/28/22 SB asked for ellis match Interested in IR1 - 9/16/22 SB 9/16/22 passed screening with SB 8/24/22 passed screening with SB 8/24/22 SB sent screening scheduling email Diane is from a potential CRP - National Association of Independent Artists</t>
  </si>
  <si>
    <t>4 Willow Drive</t>
  </si>
  <si>
    <t>St Augustine</t>
  </si>
  <si>
    <t>St. Augustine</t>
  </si>
  <si>
    <t>DIANE FRENCH</t>
  </si>
  <si>
    <t>FY 22 - 23, FY 23 - 24</t>
  </si>
  <si>
    <r>
      <rPr>
        <color rgb="FF1155CC"/>
        <sz val="10.0"/>
        <u/>
      </rPr>
      <t>Valentina Abreu</t>
    </r>
    <r>
      <rPr>
        <sz val="10.0"/>
      </rPr>
      <t xml:space="preserve">, </t>
    </r>
    <r>
      <rPr>
        <color rgb="FF1155CC"/>
        <sz val="10.0"/>
        <u/>
      </rPr>
      <t>Alexa Veloz Balbuena</t>
    </r>
    <r>
      <rPr>
        <sz val="10.0"/>
      </rPr>
      <t xml:space="preserve">, </t>
    </r>
    <r>
      <rPr>
        <color rgb="FF1155CC"/>
        <sz val="10.0"/>
        <u/>
      </rPr>
      <t>Alisson Galay</t>
    </r>
    <r>
      <rPr>
        <sz val="10.0"/>
      </rPr>
      <t xml:space="preserve">, </t>
    </r>
    <r>
      <rPr>
        <color rgb="FF1155CC"/>
        <sz val="10.0"/>
        <u/>
      </rPr>
      <t>Stheysis (Stacy) Genao</t>
    </r>
    <r>
      <rPr>
        <sz val="10.0"/>
      </rPr>
      <t xml:space="preserve">, </t>
    </r>
    <r>
      <rPr>
        <color rgb="FF1155CC"/>
        <sz val="10.0"/>
        <u/>
      </rPr>
      <t>Maria Castro</t>
    </r>
    <r>
      <rPr>
        <sz val="10.0"/>
      </rPr>
      <t xml:space="preserve">, </t>
    </r>
    <r>
      <rPr>
        <color rgb="FF1155CC"/>
        <sz val="10.0"/>
        <u/>
      </rPr>
      <t>Jaime Lara</t>
    </r>
    <r>
      <rPr>
        <sz val="10.0"/>
      </rPr>
      <t xml:space="preserve">, </t>
    </r>
    <r>
      <rPr>
        <color rgb="FF1155CC"/>
        <sz val="10.0"/>
        <u/>
      </rPr>
      <t>Jhan Motta</t>
    </r>
    <r>
      <rPr>
        <sz val="10.0"/>
      </rPr>
      <t xml:space="preserve">, </t>
    </r>
    <r>
      <rPr>
        <color rgb="FF1155CC"/>
        <sz val="10.0"/>
        <u/>
      </rPr>
      <t>Assetou (Assia) Sacko</t>
    </r>
    <r>
      <rPr>
        <sz val="10.0"/>
      </rPr>
      <t xml:space="preserve">, </t>
    </r>
    <r>
      <rPr>
        <color rgb="FF1155CC"/>
        <sz val="10.0"/>
        <u/>
      </rPr>
      <t>Naomi Nolasco</t>
    </r>
    <r>
      <rPr>
        <sz val="10.0"/>
      </rPr>
      <t xml:space="preserve">, </t>
    </r>
    <r>
      <rPr>
        <color rgb="FF1155CC"/>
        <sz val="10.0"/>
        <u/>
      </rPr>
      <t>Raghd Salah</t>
    </r>
    <r>
      <rPr>
        <sz val="10.0"/>
      </rPr>
      <t xml:space="preserve">, </t>
    </r>
    <r>
      <rPr>
        <color rgb="FF1155CC"/>
        <sz val="10.0"/>
        <u/>
      </rPr>
      <t>Sarata Cisse</t>
    </r>
    <r>
      <rPr>
        <sz val="10.0"/>
      </rPr>
      <t xml:space="preserve">, </t>
    </r>
    <r>
      <rPr>
        <color rgb="FF1155CC"/>
        <sz val="10.0"/>
        <u/>
      </rPr>
      <t>Polina Malinovska</t>
    </r>
    <r>
      <rPr>
        <sz val="10.0"/>
      </rPr>
      <t xml:space="preserve">, </t>
    </r>
    <r>
      <rPr>
        <color rgb="FF1155CC"/>
        <sz val="10.0"/>
        <u/>
      </rPr>
      <t>Aneeda (Winnie) VONGNORKEO</t>
    </r>
    <r>
      <rPr>
        <sz val="10.0"/>
      </rPr>
      <t xml:space="preserve"> and </t>
    </r>
    <r>
      <rPr>
        <color rgb="FF1155CC"/>
        <sz val="10.0"/>
        <u/>
      </rPr>
      <t>Valeriia (Lera) Chernobaeva</t>
    </r>
  </si>
  <si>
    <t>ELLIS, IHSUnionSquare, ICHSBronx</t>
  </si>
  <si>
    <t>Disha</t>
  </si>
  <si>
    <t>Mattive</t>
  </si>
  <si>
    <t>disha13@hotmail.com</t>
  </si>
  <si>
    <t>Public Sector/Social Impact (Government/Nonprofit)</t>
  </si>
  <si>
    <t>2/22/23 CT sent follow up email to re-engage 2/9/23 CT sent re-engagement email 5/24/22 SB sent re-engagement email HH voicemail/text 7/21/21 JPS emailed 8/21/20 to schedule screening call. Emailed on 8/31/2020 about setting up screening call</t>
  </si>
  <si>
    <t>1330 San Miguel Avenue</t>
  </si>
  <si>
    <t>Santa Barbara, CA</t>
  </si>
  <si>
    <t>Santa Barbara</t>
  </si>
  <si>
    <t>CJ Affiliate</t>
  </si>
  <si>
    <t>Divya</t>
  </si>
  <si>
    <t>Padgaonkar</t>
  </si>
  <si>
    <t>divpad92@gmail.com</t>
  </si>
  <si>
    <t>Instagram:  @divpads 7/18/23 WW emailed for IRS and followed up with text and call, not available for IRS but interested in IR1 1/5/23 confirmed for IR2 Mondays at 3pm est (Crotona/Bronx/Queens schedule) SB 1/4/23 not available for wheels schedule, provided other session times for IR2. CT 1/4/23 CT asked for IR2 availability and wheels schedule Not available for IR1. Has a few urgent/time-intensive projects this quarter. CT 9/6/22 Ends sessions before 45 mins 7/7/22 Divya conformed for IRS LG Divya did FY 21-22 IR 1 and IR 2; said April 13 she can't do IR 3 but reach out next round (HJ 4/13/22) Doubled Checked 1/19 (KW)</t>
  </si>
  <si>
    <t>1311 Jackson Ave - Apt 8C, Long Island City, NY</t>
  </si>
  <si>
    <t>Long Island City</t>
  </si>
  <si>
    <t>NYU Langone Health</t>
  </si>
  <si>
    <r>
      <rPr>
        <color rgb="FF1155CC"/>
        <sz val="10.0"/>
        <u/>
      </rPr>
      <t>Jose Sanan</t>
    </r>
    <r>
      <rPr>
        <sz val="10.0"/>
      </rPr>
      <t xml:space="preserve">, </t>
    </r>
    <r>
      <rPr>
        <color rgb="FF1155CC"/>
        <sz val="10.0"/>
        <u/>
      </rPr>
      <t>Indira Yamileth Nunez Mateo</t>
    </r>
    <r>
      <rPr>
        <sz val="10.0"/>
      </rPr>
      <t xml:space="preserve">, </t>
    </r>
    <r>
      <rPr>
        <color rgb="FF1155CC"/>
        <sz val="10.0"/>
        <u/>
      </rPr>
      <t>Julian Duarte</t>
    </r>
    <r>
      <rPr>
        <sz val="10.0"/>
      </rPr>
      <t xml:space="preserve">, </t>
    </r>
    <r>
      <rPr>
        <color rgb="FF1155CC"/>
        <sz val="10.0"/>
        <u/>
      </rPr>
      <t>Awa Ndiaye</t>
    </r>
    <r>
      <rPr>
        <sz val="10.0"/>
      </rPr>
      <t xml:space="preserve">, </t>
    </r>
    <r>
      <rPr>
        <color rgb="FF1155CC"/>
        <sz val="10.0"/>
        <u/>
      </rPr>
      <t>Mously Thiam</t>
    </r>
    <r>
      <rPr>
        <sz val="10.0"/>
      </rPr>
      <t xml:space="preserve">, </t>
    </r>
    <r>
      <rPr>
        <color rgb="FF1155CC"/>
        <sz val="10.0"/>
        <u/>
      </rPr>
      <t>Razina Issoufou</t>
    </r>
    <r>
      <rPr>
        <sz val="10.0"/>
      </rPr>
      <t xml:space="preserve">, </t>
    </r>
    <r>
      <rPr>
        <color rgb="FF1155CC"/>
        <sz val="10.0"/>
        <u/>
      </rPr>
      <t>Genesis Munoz</t>
    </r>
    <r>
      <rPr>
        <sz val="10.0"/>
      </rPr>
      <t xml:space="preserve">, </t>
    </r>
    <r>
      <rPr>
        <color rgb="FF1155CC"/>
        <sz val="10.0"/>
        <u/>
      </rPr>
      <t>Dayanara Angulo Riascos</t>
    </r>
    <r>
      <rPr>
        <sz val="10.0"/>
      </rPr>
      <t xml:space="preserve">, </t>
    </r>
    <r>
      <rPr>
        <color rgb="FF1155CC"/>
        <sz val="10.0"/>
        <u/>
      </rPr>
      <t>Keyla Lliguin</t>
    </r>
    <r>
      <rPr>
        <sz val="10.0"/>
      </rPr>
      <t xml:space="preserve">, </t>
    </r>
    <r>
      <rPr>
        <color rgb="FF1155CC"/>
        <sz val="10.0"/>
        <u/>
      </rPr>
      <t>Steffania Molina</t>
    </r>
    <r>
      <rPr>
        <sz val="10.0"/>
      </rPr>
      <t xml:space="preserve">, </t>
    </r>
    <r>
      <rPr>
        <color rgb="FF1155CC"/>
        <sz val="10.0"/>
        <u/>
      </rPr>
      <t>Saima Akter</t>
    </r>
    <r>
      <rPr>
        <sz val="10.0"/>
      </rPr>
      <t xml:space="preserve">, </t>
    </r>
    <r>
      <rPr>
        <color rgb="FF1155CC"/>
        <sz val="10.0"/>
        <u/>
      </rPr>
      <t>Shabiha Rahman</t>
    </r>
    <r>
      <rPr>
        <sz val="10.0"/>
      </rPr>
      <t xml:space="preserve">, </t>
    </r>
    <r>
      <rPr>
        <color rgb="FF1155CC"/>
        <sz val="10.0"/>
        <u/>
      </rPr>
      <t>Julieth Vasquez</t>
    </r>
    <r>
      <rPr>
        <sz val="10.0"/>
      </rPr>
      <t xml:space="preserve"> and </t>
    </r>
    <r>
      <rPr>
        <color rgb="FF1155CC"/>
        <sz val="10.0"/>
        <u/>
      </rPr>
      <t>Raimelis Garcia</t>
    </r>
  </si>
  <si>
    <t>CrotonaIHS, ELLIS, IHS Health</t>
  </si>
  <si>
    <t>Karki</t>
  </si>
  <si>
    <t>Divyakarkisw@gmail.com</t>
  </si>
  <si>
    <t>11/22/22 CT sent re-engagement email 5/24/22 SB sent re-engagement email Could work potentially for Ellis SB sent screening scheduling email on 10/18/21</t>
  </si>
  <si>
    <t>flushing queens</t>
  </si>
  <si>
    <t>Queens, NY</t>
  </si>
  <si>
    <t>Queens</t>
  </si>
  <si>
    <t>South Asian Council for Social Services</t>
  </si>
  <si>
    <t>Sharma</t>
  </si>
  <si>
    <t>divyasharma.cmu@gmail.com</t>
  </si>
  <si>
    <t>Not available for IR1. CT 8/22/22 Hetal reached out for a match FYIR1 but she said next round 11/7/21 Completed Onboarding and Training 7/27/21 SB Screened by SB 7/21 JPS followed up with Divya on 7/9/21 about booking a screening call JPS sent a screening call email on 7/6/21 Screened by SB on 7/15/21 Sent email to schedule training 7/16 SB Scheduled training for 7/27/21 SB</t>
  </si>
  <si>
    <t>San Francisco Bay area, CA</t>
  </si>
  <si>
    <t>Donald</t>
  </si>
  <si>
    <t>donald.johnson31@gmail.com</t>
  </si>
  <si>
    <t>11/13/23 Donald started first session of IR1 - turns out he is NOT fluent in Spanish and is not comfortable continuing with group 10/17/23 Donald confirmed her can do IR1 crotona schedule and mentioned he had been not responding because his mother had passed. SB texted back expressing condolences and let him know we would follow up with Intern bios when we had completed apps 10/16/23 SB sent text for IR1 10/13/23 SB sent follow up email asking about IR1 availability for Crotona group 10/6/23 WW emailed for IR1 4/21/23 HJ called and talked to him about not driving during a live session -- he understood and said he was talking to his supervisor about coming in a bit later so he can be stationary -- also asked for one pager to help recruit more Champions 2/16/23 CT Completed Orientation &amp;amp; Onboarding Training 2/15/23 CT sent follow up for training 2/8/23 CT Screening passed, confirmed to meet with Wheels Interns for IR2. Sent congrats email with training dates &amp;amp; about Interns 2/8/23 CT scheduled Screening Call </t>
  </si>
  <si>
    <t>34463 Hillingdon St</t>
  </si>
  <si>
    <t>Winchester, CA</t>
  </si>
  <si>
    <t>Winchester</t>
  </si>
  <si>
    <t>BMS</t>
  </si>
  <si>
    <r>
      <rPr>
        <color rgb="FF1155CC"/>
        <sz val="10.0"/>
        <u/>
      </rPr>
      <t>Adalbelys Polanco</t>
    </r>
    <r>
      <rPr>
        <sz val="10.0"/>
      </rPr>
      <t xml:space="preserve">, </t>
    </r>
    <r>
      <rPr>
        <color rgb="FF1155CC"/>
        <sz val="10.0"/>
        <u/>
      </rPr>
      <t>Kimberly Paulino</t>
    </r>
    <r>
      <rPr>
        <sz val="10.0"/>
      </rPr>
      <t xml:space="preserve">, </t>
    </r>
    <r>
      <rPr>
        <color rgb="FF1155CC"/>
        <sz val="10.0"/>
        <u/>
      </rPr>
      <t>Karina Tejada</t>
    </r>
    <r>
      <rPr>
        <sz val="10.0"/>
      </rPr>
      <t xml:space="preserve">, </t>
    </r>
    <r>
      <rPr>
        <color rgb="FF1155CC"/>
        <sz val="10.0"/>
        <u/>
      </rPr>
      <t>Schayna Ceballos</t>
    </r>
    <r>
      <rPr>
        <sz val="10.0"/>
      </rPr>
      <t xml:space="preserve">, </t>
    </r>
    <r>
      <rPr>
        <color rgb="FF1155CC"/>
        <sz val="10.0"/>
        <u/>
      </rPr>
      <t>Chrisnelly Garcia</t>
    </r>
    <r>
      <rPr>
        <sz val="10.0"/>
      </rPr>
      <t xml:space="preserve">, </t>
    </r>
    <r>
      <rPr>
        <color rgb="FF1155CC"/>
        <sz val="10.0"/>
        <u/>
      </rPr>
      <t>Rashel Cabreja</t>
    </r>
    <r>
      <rPr>
        <sz val="10.0"/>
      </rPr>
      <t xml:space="preserve">, </t>
    </r>
    <r>
      <rPr>
        <color rgb="FF1155CC"/>
        <sz val="10.0"/>
        <u/>
      </rPr>
      <t>Lhianna Capell</t>
    </r>
    <r>
      <rPr>
        <sz val="10.0"/>
      </rPr>
      <t xml:space="preserve"> and </t>
    </r>
    <r>
      <rPr>
        <color rgb="FF1155CC"/>
        <sz val="10.0"/>
        <u/>
      </rPr>
      <t>Tryana Hernandez</t>
    </r>
  </si>
  <si>
    <t>Dorcas</t>
  </si>
  <si>
    <t>Adekunle</t>
  </si>
  <si>
    <t>848-468-6946</t>
  </si>
  <si>
    <t>dorcasadekunle@gmail.com</t>
  </si>
  <si>
    <t>4/3/23 CT sent follow up &amp;amp; also about attending CPC training 2/22/23 CT sent follow up checking in email 2/9/23 CT sent check in email 9/15/22 Not available for IR1. CT Dorcas replied to outreach on 5/28/21 and said: &amp;#34;I?m a huge fan of your program but I haven?t served as a mentor in at least a couple years now so I haven?t applied recently. Not sure if there is some type of confusion but I?ll keep this organization in mind for the future. You do really important work, this is just not the best time for me to join right now.&amp;#34; JPS followed up and asked when would be a good time to reach back out. Dorcas championed in 2018 with Monique Lawrence -- has an IG but could use Initial Training again when she's ready (HJ, 6/2/2021) w JPS called on 5/26/21 but Dorcas was busy, so sent follow up email</t>
  </si>
  <si>
    <t>8000 Greenbelt Station Parkway, Apt. 111 Greenbelt, MD 20770</t>
  </si>
  <si>
    <t>Greenbelt</t>
  </si>
  <si>
    <t>AbbVie</t>
  </si>
  <si>
    <t>Issue 5</t>
  </si>
  <si>
    <t>Dorothea</t>
  </si>
  <si>
    <t>Weston</t>
  </si>
  <si>
    <t>dorotheaweston@yahoo.com</t>
  </si>
  <si>
    <t>3/4/24 WW emailed for IR3 1/9/24 WW emailed for IR2 Ellis Not available for FY this coming school year due to helping a family member with some illness. CT 8/22/22 Goes by Dee 1/7/22 passed screening, sending welcome email SB Screening scheduled for 1/7/22 SB 12/31/21 SB sent screening scheduling email</t>
  </si>
  <si>
    <t>1020 Balmoral Way</t>
  </si>
  <si>
    <t>Otsuka America Pharmeceutical, Inc.</t>
  </si>
  <si>
    <t>Joan</t>
  </si>
  <si>
    <t>Marie Cadenhead</t>
  </si>
  <si>
    <t>(516) 972-2838</t>
  </si>
  <si>
    <t>DrJMCadenhead@gmail.com</t>
  </si>
  <si>
    <t>3/8/24 text communication - &amp;#34;I have taken some time off. My Dad passed away recently,  Mom and family are going through the process.&amp;#34; 7/17/23 - SB sent email for IRS, BC called &amp;amp; left VM,  SB sent follow up text 2/22/23 Joan agreed to Wheels match for IR3 2/21 Sb emailed for IR3 2/15/23 CT phone call with Joan. Wants to participate in virtual Seminars and FY, available for IR3 but 3 Interns only. Sent refresher info material. Updated email from jcaden81d@aol.com to DrJMCadenhead@gmail.com 2/15/23 CT scheduled info phone call for 2/15/23 2/13/23 CT Joan had a busy year 22 but 23 should be less busy and she wants to participate in programs again. 2/9/23 CT sent check in email 7/11/22 Joan emailed SB and mentioned new job, SB responded asking for information -Updated to - Company: ABS/Ascension &amp;amp; Job Title: Chief of Staff. From - company: The TriZetto Corporation &amp;amp; Job title: QE&amp;amp;A Project Lead. Joan also expressed interest in becoming a board member, SB sent info for that  Confirmed match for IR1 FY21-22 12/14/21 SB sent text for match for IR1 FY21-22 Joan attended a training on 3/8/21 with JPS Joan said to send her a text message (516-972-2838, mobile) if there are any emergencies or urgent requests that need her attention. Joan Marie had her screening call with Soneya Uddin on 2/25/21 and passed JPS left a voicemail on 2/18/21 Screening email already sent. 2/12/21 SU.</t>
  </si>
  <si>
    <t>275 Brown Street, Valley Stream , NY</t>
  </si>
  <si>
    <t>Valley Stream</t>
  </si>
  <si>
    <t>Consulting</t>
  </si>
  <si>
    <r>
      <rPr>
        <color rgb="FF1155CC"/>
        <sz val="10.0"/>
        <u/>
      </rPr>
      <t>Rohan Basavaraj</t>
    </r>
    <r>
      <rPr>
        <sz val="10.0"/>
      </rPr>
      <t xml:space="preserve">, </t>
    </r>
    <r>
      <rPr>
        <color rgb="FF1155CC"/>
        <sz val="10.0"/>
        <u/>
      </rPr>
      <t>Wilenie De Jesus Lancer</t>
    </r>
    <r>
      <rPr>
        <sz val="10.0"/>
      </rPr>
      <t xml:space="preserve">, </t>
    </r>
    <r>
      <rPr>
        <color rgb="FF1155CC"/>
        <sz val="10.0"/>
        <u/>
      </rPr>
      <t>Yisneiri Rojas</t>
    </r>
    <r>
      <rPr>
        <sz val="10.0"/>
      </rPr>
      <t xml:space="preserve">, </t>
    </r>
    <r>
      <rPr>
        <color rgb="FF1155CC"/>
        <sz val="10.0"/>
        <u/>
      </rPr>
      <t>Zarshed Narziloev</t>
    </r>
    <r>
      <rPr>
        <sz val="10.0"/>
      </rPr>
      <t xml:space="preserve">, </t>
    </r>
    <r>
      <rPr>
        <color rgb="FF1155CC"/>
        <sz val="10.0"/>
        <u/>
      </rPr>
      <t>Alisha Guillaume</t>
    </r>
    <r>
      <rPr>
        <sz val="10.0"/>
      </rPr>
      <t xml:space="preserve">, </t>
    </r>
    <r>
      <rPr>
        <color rgb="FF1155CC"/>
        <sz val="10.0"/>
        <u/>
      </rPr>
      <t>Ajahni Richards</t>
    </r>
    <r>
      <rPr>
        <sz val="10.0"/>
      </rPr>
      <t xml:space="preserve">, </t>
    </r>
    <r>
      <rPr>
        <color rgb="FF1155CC"/>
        <sz val="10.0"/>
        <u/>
      </rPr>
      <t>Dante Matthews</t>
    </r>
    <r>
      <rPr>
        <sz val="10.0"/>
      </rPr>
      <t xml:space="preserve">, </t>
    </r>
    <r>
      <rPr>
        <color rgb="FF1155CC"/>
        <sz val="10.0"/>
        <u/>
      </rPr>
      <t>D'Marjia Rankine</t>
    </r>
    <r>
      <rPr>
        <sz val="10.0"/>
      </rPr>
      <t xml:space="preserve"> and </t>
    </r>
    <r>
      <rPr>
        <color rgb="FF1155CC"/>
        <sz val="10.0"/>
        <u/>
      </rPr>
      <t>Blair Vales</t>
    </r>
  </si>
  <si>
    <t>WheelsNYC, GWHS, QueensPrepAcad</t>
  </si>
  <si>
    <t>Adelina</t>
  </si>
  <si>
    <t>Longoria</t>
  </si>
  <si>
    <t>drlongoriaa@gmail.com</t>
  </si>
  <si>
    <t>10/18/24 said &amp;#34;Unfortunately right now I don't have the bandwidth right now.&amp;#34; SB 10/16/24 SB sent text to see if now is a better time for her 1/10/24 SB emailed for IR2 Crotona 3/9/23 texted SB &amp;#34;I am not available and won't be for the foreseeable future. Thank you.&amp;#34; 3/7/23 SB sent text for IR3 3/1/23 SB sent follow up email to Adelina 2/24/23 SB emailed for IR3 Wheels availability and sent about Interns 12/28/22 Not available for IR2 12/27/22 CT asked for IR2 availability Wheels schedule Not available for IR1. CT 8/23/22 4/20/22 Not available for Seminars until fall. Still recovering from Covid and father just passed away. CT 3/29/22 Not available for Seminars in April CT 02/03/22 Completed CPC Orientation &amp;amp; Onboarding Training CT 1/25/22 passed screening SB 01/24/22 Scent Screening Call &amp;amp; CPC Training email CT 1/10/22 SB sent screening scheduling email</t>
  </si>
  <si>
    <t>10929 Colonel Winn Loop, Austin TX78748</t>
  </si>
  <si>
    <t>Austin, TX</t>
  </si>
  <si>
    <t>Austin</t>
  </si>
  <si>
    <t>Whatfix</t>
  </si>
  <si>
    <r>
      <rPr>
        <color rgb="FF1155CC"/>
        <sz val="10.0"/>
        <u/>
      </rPr>
      <t>Hannah Perez</t>
    </r>
    <r>
      <rPr>
        <sz val="10.0"/>
      </rPr>
      <t xml:space="preserve">, </t>
    </r>
    <r>
      <rPr>
        <color rgb="FF1155CC"/>
        <sz val="10.0"/>
        <u/>
      </rPr>
      <t>Manuela Osorno</t>
    </r>
    <r>
      <rPr>
        <sz val="10.0"/>
      </rPr>
      <t xml:space="preserve">, </t>
    </r>
    <r>
      <rPr>
        <color rgb="FF1155CC"/>
        <sz val="10.0"/>
        <u/>
      </rPr>
      <t>Christopher Mendoza</t>
    </r>
    <r>
      <rPr>
        <sz val="10.0"/>
      </rPr>
      <t xml:space="preserve"> and </t>
    </r>
    <r>
      <rPr>
        <color rgb="FF1155CC"/>
        <sz val="10.0"/>
        <u/>
      </rPr>
      <t>Marilyn Arroyo</t>
    </r>
  </si>
  <si>
    <t>Dwayne</t>
  </si>
  <si>
    <t>Taylor</t>
  </si>
  <si>
    <t>dwayne.taylor@nashville.gov</t>
  </si>
  <si>
    <t>1/10/24 SB emailed for IR2 Union Square 1/19/23 CT not available for IR2 but maybe IR3, Priscila asked after session 1/18/23 CT sent email asking for Wheels schedule for IR2 10/27/22 Completed Orientation &amp;amp; Onboarding Training CT 10/12/22 Passed screening, sent congrats email. CT 9/28/22 SB sent screening scheduling email</t>
  </si>
  <si>
    <t>1417 Murfreesboro Pike</t>
  </si>
  <si>
    <t>Nashville, TN</t>
  </si>
  <si>
    <t>Nashville</t>
  </si>
  <si>
    <t>TN</t>
  </si>
  <si>
    <t>Metro Nashville Police Department</t>
  </si>
  <si>
    <r>
      <rPr>
        <color rgb="FF1155CC"/>
        <sz val="10.0"/>
        <u/>
      </rPr>
      <t>Jason Hernandez</t>
    </r>
    <r>
      <rPr>
        <sz val="10.0"/>
      </rPr>
      <t xml:space="preserve"> and </t>
    </r>
    <r>
      <rPr>
        <color rgb="FF1155CC"/>
        <sz val="10.0"/>
        <u/>
      </rPr>
      <t>Jaylenn Ortega</t>
    </r>
  </si>
  <si>
    <t>Ed</t>
  </si>
  <si>
    <t>Bianchi</t>
  </si>
  <si>
    <t>413.597.2211</t>
  </si>
  <si>
    <t>eeb6@williams.edu</t>
  </si>
  <si>
    <t>Architecture</t>
  </si>
  <si>
    <t>Hetal to write Screening form 11/3/22 Ed unavailable for IR1 (application reading season) asking for IR 2. SB. Said - &amp;#34;Starting in the 3rd week of March I will have some availability.&amp;#34; CT asked in reference email 8/8/22 for IR1, interested but needs screening / training 4/22/22 Not available for Seminars in May and June. CT 4/5/22 Not available for Seminars in April. CT Hetal created Ed's profile after he agreed to be a Seminar speaker 10/8/2021 -- Hetal hasn't spoken or approached him to be a Champion for other programs. </t>
  </si>
  <si>
    <t>Williams College</t>
  </si>
  <si>
    <t>Seminars 23, Seminars 21</t>
  </si>
  <si>
    <t>WheelsNYC, CrotonaIHS</t>
  </si>
  <si>
    <t xml:space="preserve">“Charlotte is always a pleasure to work with—communication and expectations are clear every step of the way. The pre-work and feedback helped me shape my presentation, and the way SPEAKHIRE engages outside supporters is impressive. These asks of people’s time can be difficult, but the efficiency with which you operate means I know exactly what’s expected of me. The work you are doing is incredible, and it makes volunteering such a valuable experience.” (2023)
</t>
  </si>
  <si>
    <t>Elise</t>
  </si>
  <si>
    <t>George</t>
  </si>
  <si>
    <t>egeorge@umassglobal.edu</t>
  </si>
  <si>
    <t>4/28/23 texted SB got a new job, &amp;#34; E I am working at Los Angeles Pacific University, teaching some ed credential classes there&amp;#34; SB asked about contact info change 4/26/23 SB messaged for IR3 4/24/23 SB emailed about IR3 3/2/23 SB emailed Elise to check in about daughter's wedding - will follow up upon response about IR3 availability  BMW sent text on 8/4.. Not available for IR1 and IR2 due to planning wedding for her daugter in Feb. Reach out for IR3. BMW 8/5 She is okay with any group. Very understanding 02/03/22 Completed CPC Orientation &amp;amp; Onboarding Training CT 01/26/22 Screening Call passed, sent out CPC training email &amp;amp; invite CT 1/17/22 SB sent screening scheduling email</t>
  </si>
  <si>
    <t>20877 Golden Rain Road Riverside, CA 92508</t>
  </si>
  <si>
    <t>Riverside, CA</t>
  </si>
  <si>
    <t>Riverside</t>
  </si>
  <si>
    <t>UMass Global</t>
  </si>
  <si>
    <r>
      <rPr>
        <color rgb="FF1155CC"/>
        <sz val="10.0"/>
        <u/>
      </rPr>
      <t>Jingru Feng</t>
    </r>
    <r>
      <rPr>
        <sz val="10.0"/>
      </rPr>
      <t xml:space="preserve">, </t>
    </r>
    <r>
      <rPr>
        <color rgb="FF1155CC"/>
        <sz val="10.0"/>
        <u/>
      </rPr>
      <t>Yongjian Dai</t>
    </r>
    <r>
      <rPr>
        <sz val="10.0"/>
      </rPr>
      <t xml:space="preserve">, </t>
    </r>
    <r>
      <rPr>
        <color rgb="FF1155CC"/>
        <sz val="10.0"/>
        <u/>
      </rPr>
      <t>Shichuan Zhou</t>
    </r>
    <r>
      <rPr>
        <sz val="10.0"/>
      </rPr>
      <t xml:space="preserve">, </t>
    </r>
    <r>
      <rPr>
        <color rgb="FF1155CC"/>
        <sz val="10.0"/>
        <u/>
      </rPr>
      <t>Yuxi Yang</t>
    </r>
    <r>
      <rPr>
        <sz val="10.0"/>
      </rPr>
      <t xml:space="preserve">, </t>
    </r>
    <r>
      <rPr>
        <color rgb="FF1155CC"/>
        <sz val="10.0"/>
        <u/>
      </rPr>
      <t>JiaJie Liu</t>
    </r>
    <r>
      <rPr>
        <sz val="10.0"/>
      </rPr>
      <t xml:space="preserve">, </t>
    </r>
    <r>
      <rPr>
        <color rgb="FF1155CC"/>
        <sz val="10.0"/>
        <u/>
      </rPr>
      <t>Carolyn Guzman</t>
    </r>
    <r>
      <rPr>
        <sz val="10.0"/>
      </rPr>
      <t xml:space="preserve">, </t>
    </r>
    <r>
      <rPr>
        <color rgb="FF1155CC"/>
        <sz val="10.0"/>
        <u/>
      </rPr>
      <t>Vy Vo</t>
    </r>
    <r>
      <rPr>
        <sz val="10.0"/>
      </rPr>
      <t xml:space="preserve">, </t>
    </r>
    <r>
      <rPr>
        <color rgb="FF1155CC"/>
        <sz val="10.0"/>
        <u/>
      </rPr>
      <t>Samira Vivas</t>
    </r>
    <r>
      <rPr>
        <sz val="10.0"/>
      </rPr>
      <t xml:space="preserve"> and </t>
    </r>
    <r>
      <rPr>
        <color rgb="FF1155CC"/>
        <sz val="10.0"/>
        <u/>
      </rPr>
      <t>Naim Bakere</t>
    </r>
  </si>
  <si>
    <t>FlushingIHS, IHSUnionSquare, ClaremontIHS, ELLIS</t>
  </si>
  <si>
    <t>Enrique</t>
  </si>
  <si>
    <t>Linan</t>
  </si>
  <si>
    <t>elinan@peacecorps.gov</t>
  </si>
  <si>
    <t>4/25/23 SB emailed about IR3 1/6/22 SB sent follow up email for IR2 12/22/21 SB sent IR2 FY21-22 schedule list for matching Hetal updated Enrique's email from Priscila communication -- use this one as an alternate: enriquelinan@hotmail.com (12/7/21) Completed training on 12/1/21 with SB Also include other emails in all communications : enriquelinans@gmail.com &amp;amp; elinan@peacecorps.gov 11/30/21 passed screening call SB 11/10/21 SB sent screening scheduling reminder 11/7/21 HJ sent Screening scheduling email</t>
  </si>
  <si>
    <t>Avenida Las Palmeras 540</t>
  </si>
  <si>
    <t>Lima</t>
  </si>
  <si>
    <t>Peace Corps</t>
  </si>
  <si>
    <r>
      <rPr>
        <color rgb="FF1155CC"/>
        <u/>
      </rPr>
      <t>Chanely Astacio</t>
    </r>
    <r>
      <rPr/>
      <t xml:space="preserve">, </t>
    </r>
    <r>
      <rPr>
        <color rgb="FF1155CC"/>
        <u/>
      </rPr>
      <t>Eliana Cabral</t>
    </r>
    <r>
      <rPr/>
      <t xml:space="preserve">, </t>
    </r>
    <r>
      <rPr>
        <color rgb="FF1155CC"/>
        <u/>
      </rPr>
      <t>Douglas Carrasco Carcamo</t>
    </r>
    <r>
      <rPr/>
      <t xml:space="preserve">, </t>
    </r>
    <r>
      <rPr>
        <color rgb="FF1155CC"/>
        <u/>
      </rPr>
      <t>Denuar Batiz</t>
    </r>
    <r>
      <rPr/>
      <t xml:space="preserve">, </t>
    </r>
    <r>
      <rPr>
        <color rgb="FF1155CC"/>
        <u/>
      </rPr>
      <t>Andersson Ramos Mejia</t>
    </r>
    <r>
      <rPr/>
      <t xml:space="preserve"> and </t>
    </r>
    <r>
      <rPr>
        <color rgb="FF1155CC"/>
        <u/>
      </rPr>
      <t>Hannah Perez</t>
    </r>
  </si>
  <si>
    <t>Elizabeth</t>
  </si>
  <si>
    <t>(Jean) Pierson</t>
  </si>
  <si>
    <t>708-712-9558</t>
  </si>
  <si>
    <t>elizabethj.pierson@yahoo.com</t>
  </si>
  <si>
    <t>5/11/23 CT Elizabeth is open for in-person Seminars. Seminar Survey Response &amp;#34; perhaps if I was able to meet with them in person&amp;#34; 2/6/23 CT Elizabeth mentioned that she doesn't use her middle name professionally. Use &amp;#34;Elizabeth Pierson&amp;#34; In Speaker Graphics, MA's etc. only. &amp;#34; I might lose my middle name and just say &amp;#34;Elizabeth Pierson&amp;#34; (I don't use my middle name professionally).&amp;#34; 5/24/22 SB sent re-engagement email 3/23/22 Not available for seminars until fall. CT HH email 8/5/21, HH voicemail/text/email 7/28/21, HH voicemail/text 7/20/21 JPS sent an outreach email on 6/2/21 Double checked 1/26 (KW)</t>
  </si>
  <si>
    <t>2 Gold Street New York NY 10038</t>
  </si>
  <si>
    <t>The New York Times</t>
  </si>
  <si>
    <t>WheelsNYC, P2GManhattan</t>
  </si>
  <si>
    <t xml:space="preserve">“Charlotte was super organized and gave great feedback on my presentation prior to the Seminar. She met with me several times to make sure I was prepared. I think these seminars are great for the students and speakers—the teachers are helpful in facilitating and I hope the students learned a lot. This was a great experience, and I was excited to share something new and relevant with them.”(2023)
</t>
  </si>
  <si>
    <t>Ellerie</t>
  </si>
  <si>
    <t>Vaughn</t>
  </si>
  <si>
    <t>ellerie.vaughn@outlook.com</t>
  </si>
  <si>
    <t>3/23/23 SB sent text about IR3 availability 1/23/23 CT followed up for IR2 with leaving voicemail &amp;amp; text 1/17/23 CT left voicemail &amp;amp; sent text for IR2 availability 1/9/23 CT sent follow up for IR2 1/3/23 CT asked for IR2 availability for Wheels schedule 7/12/22 SB messaged for a match 12/30/21 SB sent IR2 FY21-22 schedule list for matching JPS called on 2/17/21 - no answer. Left a voicemail. JPS emailed on 2/8/2021 to try and confirm Claremont match for IR2 20-21 As of Feb 2021, Ellerie has already completed one match</t>
  </si>
  <si>
    <t>380 W. Via Rua Flores Ontario, Ca 91762</t>
  </si>
  <si>
    <t>Ontario, California</t>
  </si>
  <si>
    <t>Ontario</t>
  </si>
  <si>
    <r>
      <rPr>
        <color rgb="FF1155CC"/>
        <sz val="10.0"/>
        <u/>
      </rPr>
      <t>Mamadu Drame</t>
    </r>
    <r>
      <rPr>
        <sz val="10.0"/>
      </rPr>
      <t xml:space="preserve"> and </t>
    </r>
    <r>
      <rPr>
        <color rgb="FF1155CC"/>
        <sz val="10.0"/>
        <u/>
      </rPr>
      <t>Yaire Moore</t>
    </r>
  </si>
  <si>
    <t>Elon</t>
  </si>
  <si>
    <t>Stein</t>
  </si>
  <si>
    <t>elonevan.stein@bison.howard.edu</t>
  </si>
  <si>
    <t>4/17/23 CT had phone call with Elon. He's not in New York until September. We can reach out for any Seminars and FY for IR1 23/24 again. 4/3/23 CT sent email asking about being Speaker for BCHS in-person Seminar 2/22/23 CT sent follow up on checking in email 2/21/23 CT sent email about being Seminar Speaker for IHS US 2/9/23 CT sent re-engagement email Elon attended a training on 6/15/21 with JPS. He has not submitted his Instructional Guide. Elon was screened on 5/19/21 by JPS Elon applied twice and scheduled a second screening call for 5/19/21 Elon had scheduled a screening but also let us know that he still has yet to graduate from Bachelor's. Soneya Uddin reached out and let him know to reach back in 2 years when he's ready and we'll also keep him as inactive and see if he can be a Champion at a later time - canceled screening. (HJ, 2/19/21) Screening email already sent. 2/12/21 SU.</t>
  </si>
  <si>
    <t>12 glen forest rd mount laurel NJ 08054</t>
  </si>
  <si>
    <t>New jersey</t>
  </si>
  <si>
    <t>Mt Laurel Township</t>
  </si>
  <si>
    <t>Goldman Sachs</t>
  </si>
  <si>
    <t>Seminars 21</t>
  </si>
  <si>
    <t>Emily</t>
  </si>
  <si>
    <t>emily.davis3.ucsf@gmail.com</t>
  </si>
  <si>
    <t>Talk to HJ if you want to re-engage her Last participated in IR1. Needs to have Star Training if she wants to try mentoring again. Hetal to re-engage Hetal spoke to Emily 2/1/22 and she said reach out in March for IR3 to check how work is  Can't do FY21-22 IR2 but may be available IR3 (HJ 1/18/22) Completed training on 12/1/21 with SB Passed screening and was sent congrats/training/match info email 11/24/21 SB 11/22/21 SB sent screening scheduling reminder Screening scheduling email sent 11/15/21 SB</t>
  </si>
  <si>
    <t>743 El Camino Real Apt 34, Burlingame CA 94010</t>
  </si>
  <si>
    <t>Burlingame CA</t>
  </si>
  <si>
    <t>Burlingame</t>
  </si>
  <si>
    <r>
      <rPr>
        <color rgb="FF1155CC"/>
        <sz val="10.0"/>
        <u/>
      </rPr>
      <t>Belen Membreno</t>
    </r>
    <r>
      <rPr>
        <sz val="10.0"/>
      </rPr>
      <t xml:space="preserve"> and </t>
    </r>
    <r>
      <rPr>
        <color rgb="FF1155CC"/>
        <sz val="10.0"/>
        <u/>
      </rPr>
      <t>Youssef Marzouk</t>
    </r>
  </si>
  <si>
    <t>Padilla-Crespo</t>
  </si>
  <si>
    <t>epadilla@aguadilla.inter.edu</t>
  </si>
  <si>
    <t>Not available for IR1. Was marked inactive by Lauren. CT 8/17/22 Did not attend scheduled training on 2/11/22, have yet to respond to outreach about training, SB emailing to reschedule 02/03/22 Didn't show for training, sent email CT 1/27/22 Passed Screening 01/25/22 Sent Screening Call email &amp;amp; CPC Orientation &amp;amp; Onboarding email CT</t>
  </si>
  <si>
    <t>Paseo Los Robles, Las Colinas I, APT 505-A</t>
  </si>
  <si>
    <t>Inter American University of Puerto Rico-Aguadilla</t>
  </si>
  <si>
    <r>
      <rPr>
        <color rgb="FF1155CC"/>
        <sz val="10.0"/>
        <u/>
      </rPr>
      <t>Anderson Berrios</t>
    </r>
    <r>
      <rPr>
        <sz val="10.0"/>
      </rPr>
      <t xml:space="preserve">, </t>
    </r>
    <r>
      <rPr>
        <color rgb="FF1155CC"/>
        <sz val="10.0"/>
        <u/>
      </rPr>
      <t>Pablo Justiniano</t>
    </r>
    <r>
      <rPr>
        <sz val="10.0"/>
      </rPr>
      <t xml:space="preserve">, </t>
    </r>
    <r>
      <rPr>
        <color rgb="FF1155CC"/>
        <sz val="10.0"/>
        <u/>
      </rPr>
      <t>Eliana Alfonso Hernandez</t>
    </r>
    <r>
      <rPr>
        <sz val="10.0"/>
      </rPr>
      <t xml:space="preserve"> and </t>
    </r>
    <r>
      <rPr>
        <color rgb="FF1155CC"/>
        <sz val="10.0"/>
        <u/>
      </rPr>
      <t>Maria Ventura</t>
    </r>
  </si>
  <si>
    <t>Erycka</t>
  </si>
  <si>
    <t>Montoya</t>
  </si>
  <si>
    <t>ERYCKA.MONTOYA@GMAIL.COM</t>
  </si>
  <si>
    <t>4/25/23 SB emailed for IR3 3/2/23 CT sent email asking to be Speaker for BUSHWICKCHS Seminar 12/22/21 SB sent IR2 FY21-22 schedule list for matching Completed onboarding and orientation webinar on 11/5/21 SB Passed screening 10/29/21 with SB, sent congrats email Screening scheduling email sent 10/21/21 SB</t>
  </si>
  <si>
    <t>98-40 57th Avenue, Apt. 16E</t>
  </si>
  <si>
    <t>New York City Council</t>
  </si>
  <si>
    <t>Seminars 23, Seminars 22, FY 21 - 22</t>
  </si>
  <si>
    <r>
      <rPr>
        <color rgb="FF1155CC"/>
        <sz val="10.0"/>
        <u/>
      </rPr>
      <t>Tariana Garcia Encarnacion</t>
    </r>
    <r>
      <rPr>
        <sz val="10.0"/>
      </rPr>
      <t xml:space="preserve">, </t>
    </r>
    <r>
      <rPr>
        <color rgb="FF1155CC"/>
        <sz val="10.0"/>
        <u/>
      </rPr>
      <t>Romel Elvir Villanueva</t>
    </r>
    <r>
      <rPr>
        <sz val="10.0"/>
      </rPr>
      <t xml:space="preserve">, </t>
    </r>
    <r>
      <rPr>
        <color rgb="FF1155CC"/>
        <sz val="10.0"/>
        <u/>
      </rPr>
      <t>Liccy Dubon Zamora</t>
    </r>
    <r>
      <rPr>
        <sz val="10.0"/>
      </rPr>
      <t xml:space="preserve">, </t>
    </r>
    <r>
      <rPr>
        <color rgb="FF1155CC"/>
        <sz val="10.0"/>
        <u/>
      </rPr>
      <t>Daniela Gonzalez</t>
    </r>
    <r>
      <rPr>
        <sz val="10.0"/>
      </rPr>
      <t xml:space="preserve">, </t>
    </r>
    <r>
      <rPr>
        <color rgb="FF1155CC"/>
        <sz val="10.0"/>
        <u/>
      </rPr>
      <t>Santiago Diaz</t>
    </r>
    <r>
      <rPr>
        <sz val="10.0"/>
      </rPr>
      <t xml:space="preserve">, </t>
    </r>
    <r>
      <rPr>
        <color rgb="FF1155CC"/>
        <sz val="10.0"/>
        <u/>
      </rPr>
      <t>Jose Orellana</t>
    </r>
    <r>
      <rPr>
        <sz val="10.0"/>
      </rPr>
      <t xml:space="preserve">, </t>
    </r>
    <r>
      <rPr>
        <color rgb="FF1155CC"/>
        <sz val="10.0"/>
        <u/>
      </rPr>
      <t>Nataly Bolanos</t>
    </r>
    <r>
      <rPr>
        <sz val="10.0"/>
      </rPr>
      <t xml:space="preserve">, </t>
    </r>
    <r>
      <rPr>
        <color rgb="FF1155CC"/>
        <sz val="10.0"/>
        <u/>
      </rPr>
      <t>Valentina Guerrero</t>
    </r>
    <r>
      <rPr>
        <sz val="10.0"/>
      </rPr>
      <t xml:space="preserve"> and </t>
    </r>
    <r>
      <rPr>
        <color rgb="FF1155CC"/>
        <sz val="10.0"/>
        <u/>
      </rPr>
      <t>Melanny Pinzon</t>
    </r>
  </si>
  <si>
    <t>BUSHWICKCHS, ICHSBronx, CrotonaIHS, FlushingIHS</t>
  </si>
  <si>
    <t>Evidence</t>
  </si>
  <si>
    <t>Ohikhuai</t>
  </si>
  <si>
    <t>eseohik222@gmail.com</t>
  </si>
  <si>
    <t>1/27/23 CT talked to Evidence about IR2 match on phone, resent email with session schedule &amp;amp; about Interns info. Wants to confirm via email. 1/26/23 CT followed up with her on LinkedIn and scheduled phone call for 1/27/23 at 10am EST to confirm Interns for match 12/16/22 completed training with SB - missed webinar portion of training so SB mailed her the video 12/12/22 SB emailed for Queens match - She confirmed availability for that schedule 11/15/22 responded to congrats email but did not select training date. SB followed up to ask what date works best 11/2/22 Passed Screening, sent congrats email CT 11/3/22 currently getting masters degree - may not have enough experience for a FY Champion, but may work as a Seminar Speaker. SB sending screening scheduling email</t>
  </si>
  <si>
    <t>Jackson Mississippi</t>
  </si>
  <si>
    <t>Jackson</t>
  </si>
  <si>
    <t>MS</t>
  </si>
  <si>
    <t>Jackson state university</t>
  </si>
  <si>
    <t>Estrella</t>
  </si>
  <si>
    <t>Mestres</t>
  </si>
  <si>
    <t>estrellamb@gmail.com</t>
  </si>
  <si>
    <t>3/1/24 WW emailed for IR3 11/1/23 not available for IR2 10/31/23 PQ messaged on instagram for IR1 - not available, PQ asking for IR2 10/30/23 SB emailed for IR1 1/3/23 CT called but number is not working, sent follow up email for IR2 12/27/22 CT sent follow up text for IR2 12/22/22 CT sent text for IR2 12/19/22 CT followed up for IR2 12/14/22 CT followed up for IR2 12/08/22 CT asked about Wheels schedule for IR2 2/23/22 SB tried to call - auto message &amp;#34;Number is not reachable&amp;#34; 12/22/21 SB sent IR2 FY21-22 schedule list for matching Completed training on 12/1/21 with SB 11/24/21 congrats/training/match info email sent SB Passed screening 11/23/21 SB</t>
  </si>
  <si>
    <t>604 riverside dr Apt 6b New york NY 10031</t>
  </si>
  <si>
    <t>Alvaro Dominguez</t>
  </si>
  <si>
    <r>
      <rPr>
        <color rgb="FF1155CC"/>
        <sz val="10.0"/>
        <u/>
      </rPr>
      <t>Angie Inestroza</t>
    </r>
    <r>
      <rPr>
        <sz val="10.0"/>
      </rPr>
      <t xml:space="preserve">, </t>
    </r>
    <r>
      <rPr>
        <color rgb="FF1155CC"/>
        <sz val="10.0"/>
        <u/>
      </rPr>
      <t>Andersson Ramos Mejia</t>
    </r>
    <r>
      <rPr>
        <sz val="10.0"/>
      </rPr>
      <t xml:space="preserve">, </t>
    </r>
    <r>
      <rPr>
        <color rgb="FF1155CC"/>
        <sz val="10.0"/>
        <u/>
      </rPr>
      <t>Genesis Martinez</t>
    </r>
    <r>
      <rPr>
        <sz val="10.0"/>
      </rPr>
      <t xml:space="preserve">, </t>
    </r>
    <r>
      <rPr>
        <color rgb="FF1155CC"/>
        <sz val="10.0"/>
        <u/>
      </rPr>
      <t>Diana Chima</t>
    </r>
    <r>
      <rPr>
        <sz val="10.0"/>
      </rPr>
      <t xml:space="preserve">, </t>
    </r>
    <r>
      <rPr>
        <color rgb="FF1155CC"/>
        <sz val="10.0"/>
        <u/>
      </rPr>
      <t>Katherin Dubón</t>
    </r>
    <r>
      <rPr>
        <sz val="10.0"/>
      </rPr>
      <t xml:space="preserve">, </t>
    </r>
    <r>
      <rPr>
        <color rgb="FF1155CC"/>
        <sz val="10.0"/>
        <u/>
      </rPr>
      <t>Sofia Vasquez</t>
    </r>
    <r>
      <rPr>
        <sz val="10.0"/>
      </rPr>
      <t xml:space="preserve">, </t>
    </r>
    <r>
      <rPr>
        <color rgb="FF1155CC"/>
        <sz val="10.0"/>
        <u/>
      </rPr>
      <t>sisely hernandez</t>
    </r>
    <r>
      <rPr>
        <sz val="10.0"/>
      </rPr>
      <t xml:space="preserve"> and </t>
    </r>
    <r>
      <rPr>
        <color rgb="FF1155CC"/>
        <sz val="10.0"/>
        <u/>
      </rPr>
      <t>nataly bolanos</t>
    </r>
  </si>
  <si>
    <t>Victor</t>
  </si>
  <si>
    <t>Evans</t>
  </si>
  <si>
    <t>evansv@seattleu.edu</t>
  </si>
  <si>
    <t>3/20/23 CT left voicemail &amp;amp; sent text about being Seminar Speaker for Wheels 3/15/23 emailed SB not available for IR3 but said, &amp;#34;But please do keep checking in because I would like to work with another group of students.&amp;#34; 3/14/23 SB emailed for IR3 availability - not available at that schedule, sending other(s)  1/19/23 not available for Ellis (Tuesdays) schedule for IR2 1/13/23 SB emailed for IR2 Not available for IR1. Got promoted at work and has to undergo training over the next few months. CT 8/17/22 On sabbatical and not available for Seminars until August. Travelling most of April and May so not available for IR3. 4/18/22 CT 2/11/22 Completed Orientation and Onboarding Training SB 2/2/22 passed screening SB 1/31/22 SB sent screening scheduling email</t>
  </si>
  <si>
    <t>29746 128th Avenue SW</t>
  </si>
  <si>
    <t>Vashon, WA</t>
  </si>
  <si>
    <t>Vashon</t>
  </si>
  <si>
    <t>Seattle University</t>
  </si>
  <si>
    <r>
      <rPr>
        <color rgb="FF1155CC"/>
        <sz val="10.0"/>
        <u/>
      </rPr>
      <t>Bryan Montesdeoca Montesdeoca</t>
    </r>
    <r>
      <rPr>
        <sz val="10.0"/>
      </rPr>
      <t xml:space="preserve">, </t>
    </r>
    <r>
      <rPr>
        <color rgb="FF1155CC"/>
        <sz val="10.0"/>
        <u/>
      </rPr>
      <t>Rocio Hernandez</t>
    </r>
    <r>
      <rPr>
        <sz val="10.0"/>
      </rPr>
      <t xml:space="preserve"> and </t>
    </r>
    <r>
      <rPr>
        <color rgb="FF1155CC"/>
        <sz val="10.0"/>
        <u/>
      </rPr>
      <t>Elver Veras</t>
    </r>
  </si>
  <si>
    <t>Dr. Rabiaa'h</t>
  </si>
  <si>
    <t>Bhatia</t>
  </si>
  <si>
    <t>ewstudiochannel@gmail.com</t>
  </si>
  <si>
    <t>1/18/22 SB followed up again asking for other availability 1/16/22 SB responded asking for other availability because 12 pm IST is 1:30 am EST 1/12/22 Rabiaa'h responded again saying appoint slots do not suit her and that she can only meet 1/18/22 at 12 pm IST  1/10/22 CT followed up Emailed back saying she was only available after 1/3/22, SB responded inviting her to schedule a call for after that date Screening scheduling email sent 12/21/21 SB</t>
  </si>
  <si>
    <t>Delhi</t>
  </si>
  <si>
    <t>- Eduleader Mompreneur |Founder- eD Web Studio Channel | Mlti Awardee-EduLeader| 100 Admired Ppl in Education-2021 | Brndng, Comm. &amp; PR Prfssnl | Trainer &amp; Chief Mentor| A Changemaker | Motivator | HR Prfssnl | Prfssnl Spkr| Career Grwth Advsr |City VP ? Namaste India E-Magazine | Corp. Mentor @ Sahi College | CEDx Speaker | National Director @ GEF | Member Board of Directors @IDYM Foundation &amp; CED Foundation / Executive Dir. @ Maan Mahila Ka / Advisory Board Member @ ICCI|Edupreneur / Education Ambassador @IIU</t>
  </si>
  <si>
    <t>Rodriquez-Scarano</t>
  </si>
  <si>
    <t>exitwithsandra@gmail.com</t>
  </si>
  <si>
    <t>Responds to calls more 11/1/22 SB called Sandra to confirm group. Her mother has recent health problems and surgery and Sandra needs to pull out of IR1 10/21/22 SB followed up with About Interns and date change 10/11/22 Available for IR1 on Tuesdays 4:00 - 4:45 pm EST. Didn't reply to any email so called her and she picked up. CT 3/21/22 Did not show up for CPC Training as refresher. Sent her more dates to choose from. CT 3/16/22 Talked on the phone. She's switching jobs right now but wants to participate in IR3. I will follow up with her in 1 week. She wants to do CPC Training again for refresher on 3/21 and share updated Instructional Guide. CT 12/13/21 SB called Sandra regarding a possible FY21-22 IR1 match, due to current volunteering, work,  college courses unable to Champion at this time - asked us reach out in Spring 22 for availability Sandra was scheduled to attend a training webinar on 3/8/21 but did not show up. Sent follow up email on 3/10/21 to determine status moving forward. JPS sent congratulations email on 2/25/21 &amp;#43; tried to schedule Sandra for a training Sandra was screened on 2/24/21 by Fatima Sanz JPS emailed on 2/7/2021 to schedule a Screening Call Double checked 1/26 (KW)</t>
  </si>
  <si>
    <t>5806 Beckwith Road, Modesto</t>
  </si>
  <si>
    <t>Modesto, CA</t>
  </si>
  <si>
    <t>Modesto</t>
  </si>
  <si>
    <t>Smith Seckman Reid</t>
  </si>
  <si>
    <t>Benazir</t>
  </si>
  <si>
    <t>Fateh</t>
  </si>
  <si>
    <t>Fatehbenazir@gmail.com</t>
  </si>
  <si>
    <t>9/18/23 WW emailed for IR1 Led CCC 3/30/23 Benazir made the #ChampionItForward video 2/28/23 CT sent email asking to be host for next CCC in March 10/03/22 Not available for IR1. CT 3/21/22 Not available for IR3 CT 12/22/21 SB sent IR2 FY21-22 schedule list for matching Benazir attended a CPC Training Webinar on 1/16/2021 with JPS at 11 am est Benazir's availability for round 2 2021 &amp;#34;Early Mornings will work best for me. I can start as early as 6am PST (9am EST).  1. 8am-10am PST will work well for me for Thursday/Friday.  2. 12noon-1pm PST will work great for me for all weekdays.  3. 6am-8am PST  will work for me for any weekday too.&amp;#34; Jennifer Peterson-Sharma conducted a Screening Call with Benazir on 1/7/2021 at 6 am pst. Jennifer Peterson-Sharma emailed on 12/29/2020 to set up a Screening Call. Lakshmi Kaligounder, &amp;#43;91 7829433444 Yogeshwara Gonchigar, &amp;#43;15157701167; yogeshwara@gmail.com lakielectric@gmail.com Anupreet Kaur Minhas; anupreetm@gmail.com</t>
  </si>
  <si>
    <t>3695 Stevenson Boulevard, Unit E210, Fremont, CA 94538</t>
  </si>
  <si>
    <t>Fremont</t>
  </si>
  <si>
    <r>
      <rPr>
        <color rgb="FF1155CC"/>
        <sz val="10.0"/>
        <u/>
      </rPr>
      <t>Leo Monnier</t>
    </r>
    <r>
      <rPr>
        <sz val="10.0"/>
      </rPr>
      <t xml:space="preserve">, </t>
    </r>
    <r>
      <rPr>
        <color rgb="FF1155CC"/>
        <sz val="10.0"/>
        <u/>
      </rPr>
      <t>Rongze Yu</t>
    </r>
    <r>
      <rPr>
        <sz val="10.0"/>
      </rPr>
      <t xml:space="preserve">, </t>
    </r>
    <r>
      <rPr>
        <color rgb="FF1155CC"/>
        <sz val="10.0"/>
        <u/>
      </rPr>
      <t>Xuyuan Zhao</t>
    </r>
    <r>
      <rPr>
        <sz val="10.0"/>
      </rPr>
      <t xml:space="preserve">, </t>
    </r>
    <r>
      <rPr>
        <color rgb="FF1155CC"/>
        <sz val="10.0"/>
        <u/>
      </rPr>
      <t>Khadim Ndiaye</t>
    </r>
    <r>
      <rPr>
        <sz val="10.0"/>
      </rPr>
      <t xml:space="preserve">, </t>
    </r>
    <r>
      <rPr>
        <color rgb="FF1155CC"/>
        <sz val="10.0"/>
        <u/>
      </rPr>
      <t>Ousmane Diallo</t>
    </r>
    <r>
      <rPr>
        <sz val="10.0"/>
      </rPr>
      <t xml:space="preserve">, </t>
    </r>
    <r>
      <rPr>
        <color rgb="FF1155CC"/>
        <sz val="10.0"/>
        <u/>
      </rPr>
      <t>Ajahni Richards</t>
    </r>
    <r>
      <rPr>
        <sz val="10.0"/>
      </rPr>
      <t xml:space="preserve">, </t>
    </r>
    <r>
      <rPr>
        <color rgb="FF1155CC"/>
        <sz val="10.0"/>
        <u/>
      </rPr>
      <t>Devin Rhodie</t>
    </r>
    <r>
      <rPr>
        <sz val="10.0"/>
      </rPr>
      <t xml:space="preserve">, </t>
    </r>
    <r>
      <rPr>
        <color rgb="FF1155CC"/>
        <sz val="10.0"/>
        <u/>
      </rPr>
      <t>Yamin Titikpina</t>
    </r>
    <r>
      <rPr>
        <sz val="10.0"/>
      </rPr>
      <t xml:space="preserve"> and </t>
    </r>
    <r>
      <rPr>
        <color rgb="FF1155CC"/>
        <sz val="10.0"/>
        <u/>
      </rPr>
      <t>Yann Noumbi</t>
    </r>
  </si>
  <si>
    <t>IHSUnionSquare, NYC Mission - Emma Lazarus, QueensPrepAcad, ELLIS</t>
  </si>
  <si>
    <t>Flavia</t>
  </si>
  <si>
    <t>Mihaela Vaduva</t>
  </si>
  <si>
    <t>flaviavaduvadvm@gmail.com</t>
  </si>
  <si>
    <t>7/18/23 WW emailed about IRS availability, PQ sent text, VM full 3/22/23 SB sent text about IR3 availability 1/3/23 CT called &amp;amp; sent text for IR2 12/27/22 CT sent follow up text CT for IR2 12/22/22 CT followed up for IR2 12/19/22 CT asked for IR2 availability with wheels schedule 10/5/22 SB sent match request follow up to Flavia 10/3/22 SB sent match request 12/30/21 SB sent IR2 FY21-22 schedule list for matching JPS emailed on 2/9/2021 to try and confirm Claremont match for IR2 20-21- CONFIRMED</t>
  </si>
  <si>
    <t>1943 Creekstone Drive Kokomo IN 46901</t>
  </si>
  <si>
    <t>Indiana</t>
  </si>
  <si>
    <t>Kokomo</t>
  </si>
  <si>
    <t>IN</t>
  </si>
  <si>
    <t>Xprep Learning Solutions</t>
  </si>
  <si>
    <t>FY 20 - 21, FY 17 - 18</t>
  </si>
  <si>
    <r>
      <rPr>
        <color rgb="FF1155CC"/>
        <sz val="10.0"/>
        <u/>
      </rPr>
      <t>Chamely Lantigua</t>
    </r>
    <r>
      <rPr>
        <sz val="10.0"/>
      </rPr>
      <t xml:space="preserve">, </t>
    </r>
    <r>
      <rPr>
        <color rgb="FF1155CC"/>
        <sz val="10.0"/>
        <u/>
      </rPr>
      <t>Heidy Zapata</t>
    </r>
    <r>
      <rPr>
        <sz val="10.0"/>
      </rPr>
      <t xml:space="preserve">, </t>
    </r>
    <r>
      <rPr>
        <color rgb="FF1155CC"/>
        <sz val="10.0"/>
        <u/>
      </rPr>
      <t>Stephanie Arteaga</t>
    </r>
    <r>
      <rPr>
        <sz val="10.0"/>
      </rPr>
      <t xml:space="preserve"> and </t>
    </r>
    <r>
      <rPr>
        <color rgb="FF1155CC"/>
        <sz val="10.0"/>
        <u/>
      </rPr>
      <t>Kathurna Louis-Jean</t>
    </r>
  </si>
  <si>
    <t>ClaremontIHS, American History</t>
  </si>
  <si>
    <t>50 for Heidy and Chamely</t>
  </si>
  <si>
    <t>Frances</t>
  </si>
  <si>
    <t>Tseng</t>
  </si>
  <si>
    <t>ftseng@bu.edu</t>
  </si>
  <si>
    <t>5/10/24 - Emailed re Mother's Day social media content 1/5/24 SB emailed for IR2 12/29/23 SB emailed about IR2 availability and sent Union Square schedule 11/6/23 emailed SB, &amp;#34;This semester is difficult for me but I will have time in the Spring semester! Please do reach out starting January and I'd be happy to see if our schedules align.&amp;#34; 11/3/23 SB emailed for Ellis Completed orientation and training on 7/25/23 WW Secondary email: frances.artstudio@gmail.com Headshot in google drive folder 6/23/23 SB emailed for IRS - not available until September 6/23/23 signed up for training on 7/25/23 6/21/23 SB follow up email for training 6/16/23 passed screening with SB - sending congrats and training email with request for resume and headshot 6/14/23 SB sent text for screening call - Frances responded, screening call scheduled for 6/16/23 6/12/23 SB sent follow up email about screening 6/9/23 SB sent screening email</t>
  </si>
  <si>
    <t>2020 F Street, Apt 530</t>
  </si>
  <si>
    <t>Washington, DC</t>
  </si>
  <si>
    <t>Washington</t>
  </si>
  <si>
    <t>DC</t>
  </si>
  <si>
    <t>Deloitte Consulting LLP</t>
  </si>
  <si>
    <t>FY 23 - 24</t>
  </si>
  <si>
    <r>
      <rPr>
        <color rgb="FF1155CC"/>
        <sz val="10.0"/>
        <u/>
      </rPr>
      <t>Katherine (Katy) Flores</t>
    </r>
    <r>
      <rPr>
        <sz val="10.0"/>
      </rPr>
      <t xml:space="preserve">, </t>
    </r>
    <r>
      <rPr>
        <color rgb="FF1155CC"/>
        <sz val="10.0"/>
        <u/>
      </rPr>
      <t>Aryna Maletskaya</t>
    </r>
    <r>
      <rPr>
        <sz val="10.0"/>
      </rPr>
      <t xml:space="preserve"> and </t>
    </r>
    <r>
      <rPr>
        <color rgb="FF1155CC"/>
        <sz val="10.0"/>
        <u/>
      </rPr>
      <t>Ina Hoxhaj</t>
    </r>
  </si>
  <si>
    <t>Francesca</t>
  </si>
  <si>
    <t>Gonzalez</t>
  </si>
  <si>
    <t>401-317-8226</t>
  </si>
  <si>
    <t>francesca.g.401@gmail.com</t>
  </si>
  <si>
    <t>course facilitator -stepped in for a Seminar</t>
  </si>
  <si>
    <t>Rhode Island</t>
  </si>
  <si>
    <t>Medellin, Colombia</t>
  </si>
  <si>
    <t>Seminars 22</t>
  </si>
  <si>
    <t>Francis</t>
  </si>
  <si>
    <t>Asprec</t>
  </si>
  <si>
    <t>frasprec@gmail.com</t>
  </si>
  <si>
    <t>11/29/23 based on LinkedIn may have new job - confirm when he participates next. SB CT asked in reference email 8/4/22, busy work schedule &amp;amp; other priorities at the moment. Won't be able to continue as Champion and will reconnect when time is right. 8/4/22 CT Busy work schedule &amp;amp; other priorities at the moment. Won't be able to continue as Champion and will reconnect when time is right. 8/4/22 CT 12/22/21 SB sent IR2 FY21-22 schedule list for matching 12/22/21 SB sent IR2 FY21-22 schedule list for matching Stayed after training with SB to talk, had a lot of good things to say - would be a good person to reach out to for quotes 11/12/21 Completed training SB 11/7/21 SB sent congrats and training scheduling email Screening call conducted 11.5.21 Hetal</t>
  </si>
  <si>
    <t>163 Home Street Somerset, NJ 08873</t>
  </si>
  <si>
    <t>New Brunswick, NJ</t>
  </si>
  <si>
    <t>New Brunswick</t>
  </si>
  <si>
    <t>Dr. Claro Asprec Pediatrics LLC</t>
  </si>
  <si>
    <r>
      <rPr>
        <color rgb="FF1155CC"/>
        <sz val="10.0"/>
        <u/>
      </rPr>
      <t>Wanting Huang</t>
    </r>
    <r>
      <rPr>
        <sz val="10.0"/>
      </rPr>
      <t xml:space="preserve"> and </t>
    </r>
    <r>
      <rPr>
        <color rgb="FF1155CC"/>
        <sz val="10.0"/>
        <u/>
      </rPr>
      <t>Longyu Lin</t>
    </r>
  </si>
  <si>
    <t>Rubinder</t>
  </si>
  <si>
    <t>Gill</t>
  </si>
  <si>
    <t>g.rubinder14@gmail.com</t>
  </si>
  <si>
    <t>4/3/23 CT sent follow up with CPC Training dates 2/22/23 CT sent follow up email to re-engage 2/9/23 CT sent re-engagement email Rubi responded to outreach on 2/22/21, saying that she had been going through a lot of personal and professional transitions the past few months. She want to put this opportunity on hold until the Fall so she can finish her doctoral. Reach back out to Rubi November 2021. JPS emailed Rubi on 2/22/21 to schedule for screening calls this week &amp;amp; gauge Rubi's interest in moving forward with this process. Reached out to Rubi to get her trained beginning on January 2021, but no response (followed up 12/29/20, 1/5/20, 1/15/20 with no response) Hetal Jani reached out on November 18th, 2020, to quickly step in for Said and Abdalmanaim of Frankford -- but she replied saying she has COVID and is unable -- reach back for next round. Rubi was initially scheduled to attend the training on 10/26/2020 with Jennifer Peterson-Sharma but she was unable to complete her Instructional Guide on time. She will be rescheduled for the next training in November. Rubi was screened on 10/9/2020 at 3 pm EST by Jennifer Peterson-Sharma Followed up with Rubinder about scheduling a Screening Call on 9/28/2020. Emailed on 9/21/2020 to schedule a Mentor Screening Call</t>
  </si>
  <si>
    <t>1545 Jodi Drive, Yuba City, CA 95993</t>
  </si>
  <si>
    <t>Yuba City</t>
  </si>
  <si>
    <t>Brandman University</t>
  </si>
  <si>
    <t>Margaret Gabert</t>
  </si>
  <si>
    <t>484-553-0657</t>
  </si>
  <si>
    <t>gabert.cm@gmail.com</t>
  </si>
  <si>
    <t>5/16/22 SB emailed for re-engagement  01/05/22 CT sent follow up email for matching 12/30/21 SB sent IR2 FY21-22 schedule list for matching JPS sent outreach email via Champions@speakhire.org to check on Christa's status, since she asked us to reach back out in 2018. HH voicemail/text 7/20/21 Was marked inactive/green. Had screening call? Cannot find document anywhere, so changed to prospective/grey &amp;amp; we will reach out again. JPS 7/19/21 Emailed Scotney on 11/1/2018 to ask about the status of her application. Scotney said it was on hold until we received materials from her (Instructional Guide). Christa said, &amp;#34;I'm actually glad to hear my application is on hold.  As much as I would like to get started with this program, I also want to make sure I have appropriate time to be prepared for each weeks session and a conducive schedule to avoid any rescheduling.  Would it be okay if I reach out once things are more in place?&amp;#34; Christa had a screening call with Scotney September 2018. It appears she also attended a training webinar, but she didn't submit an IG and  may need a refresher training.</t>
  </si>
  <si>
    <t>2710 Crescent Street. Astoria, NY 11102</t>
  </si>
  <si>
    <t>Astoria</t>
  </si>
  <si>
    <t>GlobalWebIndex</t>
  </si>
  <si>
    <t>Gabby</t>
  </si>
  <si>
    <t>Riccardi</t>
  </si>
  <si>
    <t>gabriela.riccardi@gmail.com</t>
  </si>
  <si>
    <t>7/18/23 WW emailed for IRS 3/28/23 SB sent text for IR3 - unavailable 10/5/22 Sb called, left VM,  sent text for IR1 availability 1/24/22 SB call, VM,  text about IR2 1/21 CT call left voicemail, sent text 12/22/21 SB sent IR2 FY21-22 schedule list for matching Hetal called Gabby on 11/8/21 -- she can't do this round but can do FY21-22 IR2,  can share around. Hetal to send email with text to share and follow up by text to confirm receipt. -11/2/21 SB called Gabby and sent text -10/27 SB emailing again -10/21 SB sent second email</t>
  </si>
  <si>
    <t>1121 6th St. NW, Washington, DC 20001</t>
  </si>
  <si>
    <t>Bloomberg LP</t>
  </si>
  <si>
    <t>Gabriela</t>
  </si>
  <si>
    <t>Amada Vega</t>
  </si>
  <si>
    <t>785-375-1985</t>
  </si>
  <si>
    <t>gabrielaavega@yahoo.com</t>
  </si>
  <si>
    <t>3/20/23 SB sent text for IR3 - messaged, &amp;#34;No thank you. I'm not available this year due to numerous time commitments.&amp;#34; Marking inactive 3/14/23 SB sent follow up email about IR3 3/6/23 SB emailed for IR3 Crotona match 7/7/22 SB texted Gabriela for IRS match - to early to call 7/5 SB sent email for to Gabriela for match 12/22/21 SB sent IR2 FY21-22 schedule list for matching</t>
  </si>
  <si>
    <t>2708 St. Charles Circle Manhattan KS 66502</t>
  </si>
  <si>
    <t>Manhattan, Kansas</t>
  </si>
  <si>
    <t>Manhattan</t>
  </si>
  <si>
    <t>KS</t>
  </si>
  <si>
    <t>ADDAIR THURSTON, Chtd. Manhattan</t>
  </si>
  <si>
    <r>
      <rPr>
        <color rgb="FF1155CC"/>
        <sz val="10.0"/>
        <u/>
      </rPr>
      <t>Abigail Rodriguez Bautista</t>
    </r>
    <r>
      <rPr>
        <sz val="10.0"/>
      </rPr>
      <t xml:space="preserve">, </t>
    </r>
    <r>
      <rPr>
        <color rgb="FF1155CC"/>
        <sz val="10.0"/>
        <u/>
      </rPr>
      <t>Eimy Alexandra Carpio Cuesta</t>
    </r>
    <r>
      <rPr>
        <sz val="10.0"/>
      </rPr>
      <t xml:space="preserve"> and Dinelys Ana Baez Espinal. Wendy Reyes-Blanco</t>
    </r>
  </si>
  <si>
    <t>Dragana</t>
  </si>
  <si>
    <t>Glumac</t>
  </si>
  <si>
    <t>gagaglumac@gmail.com</t>
  </si>
  <si>
    <t>3/31/23 texted SB not available for IR3 3/27/23 SB sent text to follow up about IR3 3/24/23 messaged SB  &amp;#34;Let me think about it and I'll let you know.&amp;#34; and asked for clarification on Wheels schedule - SB sent it 3/23/23 SB sent text for IR3 3/20/23 SB sent email about IR3 1/27/23 CT sent text for IR2 1/26/23 CT sent follow up email 1/24/23 CT asked for IR2 availability with wheels schedule Last round she did was FY21-22 IR2. Career at the DOJ is a great experience for students to learn from. 7/11/22 SB messaged for IRS match 01/10/22 Follow up email on matching for IR2 &amp;amp; potential partnership CT Doubled Checked 1/19 (KW) Emailed her onboarding materials august 28th 2020 got back to me august 31st sent her the onboarding materials September 3rd 2020 Dragana was screened on 4/1/2020 by Dona Rehm.</t>
  </si>
  <si>
    <t>1575 Anderson Rd 715</t>
  </si>
  <si>
    <t>McLean, VA</t>
  </si>
  <si>
    <t>McLean</t>
  </si>
  <si>
    <t>DOJ</t>
  </si>
  <si>
    <r>
      <rPr>
        <color rgb="FF1155CC"/>
        <sz val="10.0"/>
        <u/>
      </rPr>
      <t>Yosandy Liz</t>
    </r>
    <r>
      <rPr>
        <sz val="10.0"/>
      </rPr>
      <t xml:space="preserve">, </t>
    </r>
    <r>
      <rPr>
        <color rgb="FF1155CC"/>
        <sz val="10.0"/>
        <u/>
      </rPr>
      <t>Lisy Sanchez</t>
    </r>
    <r>
      <rPr>
        <sz val="10.0"/>
      </rPr>
      <t xml:space="preserve">, </t>
    </r>
    <r>
      <rPr>
        <color rgb="FF1155CC"/>
        <sz val="10.0"/>
        <u/>
      </rPr>
      <t>Juana Verdecia</t>
    </r>
    <r>
      <rPr>
        <sz val="10.0"/>
      </rPr>
      <t xml:space="preserve">, </t>
    </r>
    <r>
      <rPr>
        <color rgb="FF1155CC"/>
        <sz val="10.0"/>
        <u/>
      </rPr>
      <t>Mouhamed Samb</t>
    </r>
    <r>
      <rPr>
        <sz val="10.0"/>
      </rPr>
      <t xml:space="preserve">, </t>
    </r>
    <r>
      <rPr>
        <color rgb="FF1155CC"/>
        <sz val="10.0"/>
        <u/>
      </rPr>
      <t>Zabdy Orellana</t>
    </r>
    <r>
      <rPr>
        <sz val="10.0"/>
      </rPr>
      <t xml:space="preserve">, </t>
    </r>
    <r>
      <rPr>
        <color rgb="FF1155CC"/>
        <sz val="10.0"/>
        <u/>
      </rPr>
      <t>Allan Gonzalez</t>
    </r>
    <r>
      <rPr>
        <sz val="10.0"/>
      </rPr>
      <t xml:space="preserve">, </t>
    </r>
    <r>
      <rPr>
        <color rgb="FF1155CC"/>
        <sz val="10.0"/>
        <u/>
      </rPr>
      <t>Nasif Zaman</t>
    </r>
    <r>
      <rPr>
        <sz val="10.0"/>
      </rPr>
      <t xml:space="preserve">, </t>
    </r>
    <r>
      <rPr>
        <color rgb="FF1155CC"/>
        <sz val="10.0"/>
        <u/>
      </rPr>
      <t>Souleymane Bah</t>
    </r>
    <r>
      <rPr>
        <sz val="10.0"/>
      </rPr>
      <t xml:space="preserve"> and </t>
    </r>
    <r>
      <rPr>
        <color rgb="FF1155CC"/>
        <sz val="10.0"/>
        <u/>
      </rPr>
      <t>Amir Soman</t>
    </r>
  </si>
  <si>
    <t>WheelsNYC, ICHSBronx, FlushingIHS, NYC Mission - Emma Lazarus, QueensPrepAcad</t>
  </si>
  <si>
    <t>Golnaz</t>
  </si>
  <si>
    <t>Agahi</t>
  </si>
  <si>
    <t>gagahi@umassglobal.edu</t>
  </si>
  <si>
    <t>1/9/24 WW emailed for IR2 Ellis - she replied &amp;#34;I am no longer available to assist with Speak Hire due to my other commitments. Please remove me from your distribution list.&amp;#34;she agreed we could reach out for 24-25 academic year rounds 01/03/23 Not available until 2023-2024 academic year. CT 01/03/23 CT asked for IR2 availability Wheels schedule not available for IR1. CT 8/18/22 7/6/22 LG texted for IRS availability - not available  3/8/22 Sent email for IR3 availability CT Completed Onboarding and Orientation Webinar 1/28/22 SB Passed Screening 1/18/22 SB sent screening scheduling email</t>
  </si>
  <si>
    <t>16355 Laguna Canyon Road, Irvine, CA</t>
  </si>
  <si>
    <t>Irvine</t>
  </si>
  <si>
    <t>UMass Global University</t>
  </si>
  <si>
    <r>
      <rPr>
        <color rgb="FF1155CC"/>
        <sz val="10.0"/>
        <u/>
      </rPr>
      <t>Samira Vivas</t>
    </r>
    <r>
      <rPr>
        <sz val="10.0"/>
      </rPr>
      <t xml:space="preserve"> and </t>
    </r>
    <r>
      <rPr>
        <color rgb="FF1155CC"/>
        <sz val="10.0"/>
        <u/>
      </rPr>
      <t>Kiara Paulino</t>
    </r>
  </si>
  <si>
    <t>IHSUnionSquare, ClaremontIHS</t>
  </si>
  <si>
    <t>Giridhar</t>
  </si>
  <si>
    <t>Ravindran</t>
  </si>
  <si>
    <t>giridhar14@gmail.com</t>
  </si>
  <si>
    <t>1/17/23 SB email follow up for IR2 1/11/23 SB emailed for IR2 for wheels Completed training on 9/25/21 SB  Emails often go to spam, if unanswered then send a text! Came late to August training so rescheduled to 9/25/21 training SB Giridhar was screened by JPS on 6/24/21 JPS sent a Screening Call email on 6/9/21</t>
  </si>
  <si>
    <t>1280 Postgrove Dr, APT E</t>
  </si>
  <si>
    <t>St louis</t>
  </si>
  <si>
    <t>St. Louis</t>
  </si>
  <si>
    <t>MO</t>
  </si>
  <si>
    <t>Warner media</t>
  </si>
  <si>
    <t>Geoffrey</t>
  </si>
  <si>
    <t>Irwin</t>
  </si>
  <si>
    <t>girwin@sas.upenn.edu</t>
  </si>
  <si>
    <t>10/03/22 Not available for IR1. CT 2/23/22 SB called, cannot do IR2 FY21-22 Geoff attended a training on 2/26/21 with JPS JPS screened on 2/18/21. JPS also followed up &amp;#43; invited Geoffrey to schedule a training. Responded to Soneya U.'s outreach email and scheduled a screening call for Thursday 2/18/21, also providing updated email and resume (this is alternate email: girwin@sas.upenn.edu) (HJ,2.16.21) Double checked 1/26 (KW)</t>
  </si>
  <si>
    <t>129 Lewis Rd, Havertown, PA</t>
  </si>
  <si>
    <t>Havertown, PA</t>
  </si>
  <si>
    <t>Havertown</t>
  </si>
  <si>
    <t>SAP</t>
  </si>
  <si>
    <r>
      <rPr>
        <color rgb="FF1155CC"/>
        <sz val="10.0"/>
        <u/>
      </rPr>
      <t>Jabez Yorrick</t>
    </r>
    <r>
      <rPr>
        <sz val="10.0"/>
      </rPr>
      <t xml:space="preserve"> and </t>
    </r>
    <r>
      <rPr>
        <color rgb="FF1155CC"/>
        <sz val="10.0"/>
        <u/>
      </rPr>
      <t>Devin Rhodie</t>
    </r>
  </si>
  <si>
    <t>Gisela</t>
  </si>
  <si>
    <t>Castaneda</t>
  </si>
  <si>
    <t>Giselacastaneda8@gmail.com</t>
  </si>
  <si>
    <t>Wants female Interns &amp;amp; now works in technology and AI - asked to have fashion (arts/creative) background removed 1/16/24 SB sent email to see if she would be okay with male Interns for IR2 Gisela would prefer to start with 2 Interns then go up from there and would prefer students from a similar background but not strict on it 8/7/23 Updated email from gisela.castaneda@zendesk.com to Gisela castaneda8@gmail.com - WILL NEED UPDATED JOB INFO BEFORE NEXT MATCH 8/3/23 email bounced back with, &amp;#34;I am no longer working for Zendesk. Please direct your email to plouis@zendesk.com. Thank you.&amp;#34; SB attempting to connect via phone and linkedin 6/20/23 messaged SB said she wants to continue but only wants female Interns - SB responded asking about IRS or if the fall would work better 3/24/23 SB sent follow up email about schedule 3/20/23 SB sent follow up email to Gisela 3/15/23 emailed SB, &amp;#34;I'd like to have a group that's interested in technology and within it, sales. I no longer do fashion and it is not a topic I'd like to cover or focus on! I've been in tech for the past 9 years :)&amp;#34; sent alternated groups at alternate times 3/14/23 SB sent request about IR3 to Gisela 3/8/23 SB sent email to Gisela checking in on IR2 group - will follow up with IR3 request  2/3/23 completed training with SB 1/9/23 SB followed up via text to let her know when IR2 starts - confirmed monday schedule 1/8/23 texted with HJ - out of country until 1/15 said maybe to Monday schedule and asked when round started 1/6/23 SB sent text about IR2 matching 1/4/23 SB emailed for Crotona match for IR2 - got out of office email 12/19/22 Scheduled training for 2/3/23 SB 12/13/22 SB sent follow up text for training 12/5/22 SB followed up for training via Google Voice 11/30/22 SB followed up for training 11/23/22 Passed screening with SB 11/23/22 SB sent screening scheduling email</t>
  </si>
  <si>
    <t>22N 6th street Brooklyn NY</t>
  </si>
  <si>
    <t>Kore.ai</t>
  </si>
  <si>
    <r>
      <rPr>
        <color rgb="FF1155CC"/>
        <sz val="10.0"/>
        <u/>
      </rPr>
      <t>Elvianny (Pamela) De Jesús</t>
    </r>
    <r>
      <rPr>
        <sz val="10.0"/>
      </rPr>
      <t xml:space="preserve">, </t>
    </r>
    <r>
      <rPr>
        <color rgb="FF1155CC"/>
        <sz val="10.0"/>
        <u/>
      </rPr>
      <t>Emily Tavarez</t>
    </r>
    <r>
      <rPr>
        <sz val="10.0"/>
      </rPr>
      <t xml:space="preserve">, </t>
    </r>
    <r>
      <rPr>
        <color rgb="FF1155CC"/>
        <sz val="10.0"/>
        <u/>
      </rPr>
      <t>Olivia Richmyr Paul Joseph</t>
    </r>
    <r>
      <rPr>
        <sz val="10.0"/>
      </rPr>
      <t xml:space="preserve"> and </t>
    </r>
    <r>
      <rPr>
        <color rgb="FF1155CC"/>
        <sz val="10.0"/>
        <u/>
      </rPr>
      <t>Amonique Wynter</t>
    </r>
  </si>
  <si>
    <t>CrotonaIHS, QueensPrepAcad</t>
  </si>
  <si>
    <t>Chelsea</t>
  </si>
  <si>
    <t>Baker</t>
  </si>
  <si>
    <t>goosebery1@gmail.com</t>
  </si>
  <si>
    <t>5/10/24 - AT emailed re social media content for mothers day 4/13/23 Completed CPC Orientation &amp;amp; Onboarding Training CT 4/3/23 passed screening with SB and agreed to IR3 match</t>
  </si>
  <si>
    <t>2208 Rick Whinery Drive, Autstin, Texas 78728, United States</t>
  </si>
  <si>
    <t>Texas</t>
  </si>
  <si>
    <t>Netflix</t>
  </si>
  <si>
    <r>
      <rPr>
        <color rgb="FF1155CC"/>
        <sz val="10.0"/>
        <u/>
      </rPr>
      <t>Wilman Reyes</t>
    </r>
    <r>
      <rPr>
        <sz val="10.0"/>
      </rPr>
      <t xml:space="preserve">, </t>
    </r>
    <r>
      <rPr>
        <color rgb="FF1155CC"/>
        <sz val="10.0"/>
        <u/>
      </rPr>
      <t>Ronald Pujols</t>
    </r>
    <r>
      <rPr>
        <sz val="10.0"/>
      </rPr>
      <t xml:space="preserve">, </t>
    </r>
    <r>
      <rPr>
        <color rgb="FF1155CC"/>
        <sz val="10.0"/>
        <u/>
      </rPr>
      <t>Elvianny (Pamela) De Jesús</t>
    </r>
    <r>
      <rPr>
        <sz val="10.0"/>
      </rPr>
      <t xml:space="preserve"> and </t>
    </r>
    <r>
      <rPr>
        <color rgb="FF1155CC"/>
        <sz val="10.0"/>
        <u/>
      </rPr>
      <t>Emily Tavarez</t>
    </r>
  </si>
  <si>
    <t>Dyamond</t>
  </si>
  <si>
    <t>Gordon</t>
  </si>
  <si>
    <t>gordondyamond@gmail.com</t>
  </si>
  <si>
    <t>7/17/23 - SB sent email for IRS, BC called &amp;amp; left VM,  SB sent follow up text 1/23/23 CT left voicemail &amp;amp; sent text for IR2 1/17/23 CT sent follow up email for IR2 1/9/23 CT asked for IR2 availability with wheels schedule 12/30/21 SB sent IR2 FY21-22 schedule list for matching JPS emailed on 2/9/2021 to see Dyamond's availability to be on standby for matching &amp;#43; sent refresher document Hetal called on 3/26/2020 and left a voice message but number on caller ID showed a different person's name. </t>
  </si>
  <si>
    <t>5121 West 58th Place</t>
  </si>
  <si>
    <t>Victorage</t>
  </si>
  <si>
    <t>Gregg</t>
  </si>
  <si>
    <t>Garcia</t>
  </si>
  <si>
    <t>gregggarcia20@gmail.com</t>
  </si>
  <si>
    <t>6/29/23 emailed &amp;#34;I am not interested at this time and have started a couple other volunteer opportunities&amp;#34; marking as discontinued unless re-engaged 6/14/23 SB sent follow up email to see if he is still interested 6/5/23 SB sent message on Linkedin 4/25/23 SB emailed for screening 3/30/23 SB sent screening email</t>
  </si>
  <si>
    <t>Sacramento, CA</t>
  </si>
  <si>
    <t>G3 Enterprises</t>
  </si>
  <si>
    <t>Griselda Guadalupe</t>
  </si>
  <si>
    <t>Cuevas Zambrano</t>
  </si>
  <si>
    <t>650-772-2947</t>
  </si>
  <si>
    <t>gris@google.com</t>
  </si>
  <si>
    <t>3/8/24 WW emailed for IR3 7/17/23 SB emailed for IRS 1/5/22 Can not do IR2, asking for IR3 SB 12/22/21 SB sent IR2 FY21-22 schedule list for matching Griselda was screened by JPS on 7/30/21 - passed Griselda booked a screening call for 7/27/21 with JPS but did not show up to the call. JPS sent an email and tried to call Griselda's phone but she did not pick up &amp;amp; her voicemail box wasn't set up. Griselda responded to outreach on 7/21/21 and said, &amp;#34; Hi there! I will be moving to Zurich in 4 weeks. Can I still be part of this program?&amp;#34; We responded yes! HH called interested would like an email back 7/21 JPS sent outreach email from Champions@speakhire.org on 7/20/21 uploaded to Kintone but marked as inactive/yellow until screening complete</t>
  </si>
  <si>
    <t>399 Fremont St. San Francisco, California 94105</t>
  </si>
  <si>
    <t>Zurich</t>
  </si>
  <si>
    <r>
      <rPr>
        <color rgb="FF1155CC"/>
        <sz val="10.0"/>
        <u/>
      </rPr>
      <t>Pablo Justiniano</t>
    </r>
    <r>
      <rPr>
        <sz val="10.0"/>
      </rPr>
      <t xml:space="preserve">, </t>
    </r>
    <r>
      <rPr>
        <color rgb="FF1155CC"/>
        <sz val="10.0"/>
        <u/>
      </rPr>
      <t>David Reynoso Fernandez</t>
    </r>
    <r>
      <rPr>
        <sz val="10.0"/>
      </rPr>
      <t xml:space="preserve">, </t>
    </r>
    <r>
      <rPr>
        <color rgb="FF1155CC"/>
        <sz val="10.0"/>
        <u/>
      </rPr>
      <t>Claribelisa Gonzalez</t>
    </r>
    <r>
      <rPr>
        <sz val="10.0"/>
      </rPr>
      <t xml:space="preserve"> and </t>
    </r>
    <r>
      <rPr>
        <color rgb="FF1155CC"/>
        <sz val="10.0"/>
        <u/>
      </rPr>
      <t>Joselyn Guaraca</t>
    </r>
  </si>
  <si>
    <t>Frank</t>
  </si>
  <si>
    <t>Guia</t>
  </si>
  <si>
    <t>guiafrank@gmail.com</t>
  </si>
  <si>
    <t>May be in NYC now with new job title 1/11/24 Frank confirmed availability for IR2 at Ellis schedule 1/9/24 SB sent text about IR2 availability 1/4/24 SB emailed for IR2 Crotona 4/3/23 CT sent email asking to be Speaker for Crotona IHS Seminars 3/23/23 CT asked being Speaker for Wheels Seminars Asked during Soiree email CT, he confirmed in reference email that he'll be able to participate in IR1. 8/8/22 CT 1/6/22 SB sent follow up 12/22/21 SB sent IR2 FY21-22 schedule list for matching Completed training 11/12/21 SB 11/7/21 SB sent congrats and training scheduling email Hetal screened on 11/5/21</t>
  </si>
  <si>
    <t>5 Averic Road, West Stockbridge, MA 01266</t>
  </si>
  <si>
    <t>Stockbridge, MA</t>
  </si>
  <si>
    <t>Stockbridge</t>
  </si>
  <si>
    <t>Accenture</t>
  </si>
  <si>
    <t>Seminars 23, Seminars 22, FY 22 - 23, FY 21 - 22</t>
  </si>
  <si>
    <r>
      <rPr>
        <color rgb="FF1155CC"/>
        <sz val="10.0"/>
        <u/>
      </rPr>
      <t>Justin Lora</t>
    </r>
    <r>
      <rPr>
        <sz val="10.0"/>
      </rPr>
      <t xml:space="preserve">, </t>
    </r>
    <r>
      <rPr>
        <color rgb="FF1155CC"/>
        <sz val="10.0"/>
        <u/>
      </rPr>
      <t>Yisneiri Rojas</t>
    </r>
    <r>
      <rPr>
        <sz val="10.0"/>
      </rPr>
      <t xml:space="preserve">, </t>
    </r>
    <r>
      <rPr>
        <color rgb="FF1155CC"/>
        <sz val="10.0"/>
        <u/>
      </rPr>
      <t>Richard Murillo</t>
    </r>
    <r>
      <rPr>
        <sz val="10.0"/>
      </rPr>
      <t xml:space="preserve">, </t>
    </r>
    <r>
      <rPr>
        <color rgb="FF1155CC"/>
        <sz val="10.0"/>
        <u/>
      </rPr>
      <t>Robert Morillo</t>
    </r>
    <r>
      <rPr>
        <sz val="10.0"/>
      </rPr>
      <t xml:space="preserve">, </t>
    </r>
    <r>
      <rPr>
        <color rgb="FF1155CC"/>
        <sz val="10.0"/>
        <u/>
      </rPr>
      <t>Darwin Guerrero</t>
    </r>
    <r>
      <rPr>
        <sz val="10.0"/>
      </rPr>
      <t xml:space="preserve">, </t>
    </r>
    <r>
      <rPr>
        <color rgb="FF1155CC"/>
        <sz val="10.0"/>
        <u/>
      </rPr>
      <t>Andrea Guevara</t>
    </r>
    <r>
      <rPr>
        <sz val="10.0"/>
      </rPr>
      <t xml:space="preserve">, </t>
    </r>
    <r>
      <rPr>
        <color rgb="FF1155CC"/>
        <sz val="10.0"/>
        <u/>
      </rPr>
      <t>Lady Villa</t>
    </r>
    <r>
      <rPr>
        <sz val="10.0"/>
      </rPr>
      <t xml:space="preserve">, </t>
    </r>
    <r>
      <rPr>
        <color rgb="FF1155CC"/>
        <sz val="10.0"/>
        <u/>
      </rPr>
      <t>Denzel Velasquez</t>
    </r>
    <r>
      <rPr>
        <sz val="10.0"/>
      </rPr>
      <t xml:space="preserve">, </t>
    </r>
    <r>
      <rPr>
        <color rgb="FF1155CC"/>
        <sz val="10.0"/>
        <u/>
      </rPr>
      <t>Andres Munoz</t>
    </r>
    <r>
      <rPr>
        <sz val="10.0"/>
      </rPr>
      <t xml:space="preserve"> and </t>
    </r>
    <r>
      <rPr>
        <color rgb="FF1155CC"/>
        <sz val="10.0"/>
        <u/>
      </rPr>
      <t>Mathews Huacon</t>
    </r>
  </si>
  <si>
    <t>CrotonaIHS, ICHSBronx, P2GBronx, ClaremontIHS, WheelsNYC, FlushingIHS</t>
  </si>
  <si>
    <t xml:space="preserve">“Charlotte was incredibly helpful and made sure I had all the information I needed. She even helped modify my presentation to meet the needs of the school, which was incredibly kind and supportive. SPEAKHIRE is great at organizing these events—it’s not always easy to connect with young students, but I felt prepared and supported to engage with them in a meaningful way. I love working with you all, it’s empowering to hopefully make a difference in young people’s lives.”(2022)
</t>
  </si>
  <si>
    <t>Guiuliana</t>
  </si>
  <si>
    <t>Miranda</t>
  </si>
  <si>
    <t>guiuliana.miranda@gmail.com</t>
  </si>
  <si>
    <t>3/8/24 WW emailed for IR3 1/9/24 SB emailed for IR2 Crotona 8/18 - AT sent re-engagement message on LinkedIn. Awaiting response. 8/8/2023 - AT sent a re-engagement email &amp;#43; text to check if they would still like to Champion at SPEAKHIRE. Awaiting response. 3/9/23 CT sent follow up text 2/27/23 CT left voicemail &amp;amp; sent text to check in 2/7/23 CT left voicemail &amp;amp; sent text to check in &amp;amp; regarding training 1/24/23 CT sent follow up on training 1/10/23 CT sent follow up email regarding CPC Training 10/20/22 SB emailed for Wheels availability 5/18/22 SB sent re-engagement email 12/22/21 SB sent IR2 FY21-22 schedule list for matching Hetal called Guiuliana on 11/8/2021 since it was unusual to not hear from her--she said she can send us contacts to reach out to for Championing and that she can do this round with a slightly modified schedule. Guiuliana was screened on 4/15/21 by JPS</t>
  </si>
  <si>
    <t>12055 SW 42 Manor Apt 207 Miramar, Florida</t>
  </si>
  <si>
    <t>Florida</t>
  </si>
  <si>
    <t>Miramar</t>
  </si>
  <si>
    <t>Veterinary Emergency Group</t>
  </si>
  <si>
    <r>
      <rPr>
        <color rgb="FF1155CC"/>
        <sz val="10.0"/>
        <u/>
      </rPr>
      <t>Sindi Valerio Frias</t>
    </r>
    <r>
      <rPr>
        <sz val="10.0"/>
      </rPr>
      <t xml:space="preserve"> and </t>
    </r>
    <r>
      <rPr>
        <color rgb="FF1155CC"/>
        <sz val="10.0"/>
        <u/>
      </rPr>
      <t>Emelin Arzu</t>
    </r>
  </si>
  <si>
    <t>Harrison</t>
  </si>
  <si>
    <t>Thai</t>
  </si>
  <si>
    <t>harrison.thai@gmail.com</t>
  </si>
  <si>
    <t>Husband of CT - former SPEAKHIRE team member. Moving abroad to Italy, between 3 children and his changing career and just his career in general he is unlikely to be able to be a Champion in the future 3/14/22 Not available for IR3 due to possible three month training coming up. CT 12/20/21 completed onboarding training with SB and CT Training scheduled for 12/20/21 SB 12/10/21 SB sent congrats and training scheduling email 12/9/21 Screening passed SB 12/3/21 SB sent screening scheduling email</t>
  </si>
  <si>
    <t>10757 Deer Meadow Cir</t>
  </si>
  <si>
    <t>Colorado Springs, CO, USA</t>
  </si>
  <si>
    <t>Colorado Springs</t>
  </si>
  <si>
    <t>CO</t>
  </si>
  <si>
    <t>United States Army</t>
  </si>
  <si>
    <r>
      <rPr>
        <color rgb="FF1155CC"/>
        <sz val="10.0"/>
        <u/>
      </rPr>
      <t>Santiago Espinel</t>
    </r>
    <r>
      <rPr>
        <sz val="10.0"/>
      </rPr>
      <t xml:space="preserve"> and </t>
    </r>
    <r>
      <rPr>
        <color rgb="FF1155CC"/>
        <sz val="10.0"/>
        <u/>
      </rPr>
      <t>Ariel Guaman</t>
    </r>
  </si>
  <si>
    <t>Harshitha</t>
  </si>
  <si>
    <t>Girithara Gopalan</t>
  </si>
  <si>
    <t>harshitha.giridhar@gmail.com</t>
  </si>
  <si>
    <t>3/14/23 CT Harshitha had to drop out of IR2 because of giving birth soon. Text message with HJ 2/28/23 CT phone call with Harshitha in which she agreed to take on group of Wheels Interns for IR2. Sent email with about Interns, her bio &amp;amp; headshot to confirm and CPC Instructional Guide, Handbook &amp;amp; Skills Menu. 2/28/23 CT sent email asking to take over Wheels group for IR2 10/4/22 emailed saying &amp;#34; I just recently confirmed that I?m pregnant and I have really bad nausea and other associated symptoms. I don?t think I?ll be available for the rest of this year.&amp;#34; reach out for IR2/IR3 possibly. SB 10/3/22 SB asked for Queens match BMW confirmed by text on 8/4 for IR1 very accommodating and nice person; wants to really do a good job and justice by the students 5/2/22 Hetal spoke with Harshitha by phone to work throug the new work demands on her time and make sure she could complete the current round she is matched for -- very accommodating and nice person; wants to really do a good job and justice by the students 4/21/22 Completed Orientation &amp;amp; Onboarding Training. CT Passed screening 4/11/22 SB</t>
  </si>
  <si>
    <t>6486 N 89th Ave</t>
  </si>
  <si>
    <t>Camas WA</t>
  </si>
  <si>
    <t>Camas</t>
  </si>
  <si>
    <t>ZoomInfo</t>
  </si>
  <si>
    <r>
      <rPr>
        <color rgb="FF1155CC"/>
        <sz val="10.0"/>
        <u/>
      </rPr>
      <t>Akram Mehdi</t>
    </r>
    <r>
      <rPr>
        <sz val="10.0"/>
      </rPr>
      <t xml:space="preserve">, </t>
    </r>
    <r>
      <rPr>
        <color rgb="FF1155CC"/>
        <sz val="10.0"/>
        <u/>
      </rPr>
      <t>Leo Monnier</t>
    </r>
    <r>
      <rPr>
        <sz val="10.0"/>
      </rPr>
      <t xml:space="preserve">, </t>
    </r>
    <r>
      <rPr>
        <color rgb="FF1155CC"/>
        <sz val="10.0"/>
        <u/>
      </rPr>
      <t>Ali Salem</t>
    </r>
    <r>
      <rPr>
        <sz val="10.0"/>
      </rPr>
      <t xml:space="preserve">, </t>
    </r>
    <r>
      <rPr>
        <color rgb="FF1155CC"/>
        <sz val="10.0"/>
        <u/>
      </rPr>
      <t>Ousmane Diallo</t>
    </r>
    <r>
      <rPr>
        <sz val="10.0"/>
      </rPr>
      <t xml:space="preserve"> and </t>
    </r>
    <r>
      <rPr>
        <color rgb="FF1155CC"/>
        <sz val="10.0"/>
        <u/>
      </rPr>
      <t>Francisco Dominguez</t>
    </r>
  </si>
  <si>
    <t>ClaremontIHS, IHSUnionSquare</t>
  </si>
  <si>
    <t>Hira</t>
  </si>
  <si>
    <t>Ghani</t>
  </si>
  <si>
    <t>hghani01@nyit.edu</t>
  </si>
  <si>
    <t>11/22/22 CT sent re-engagement email 5/24/22 SB sent re-engagement email 2/16/22 SB sent screening scheduling email and ask about Claremont available </t>
  </si>
  <si>
    <t>259 Palsa Avenue</t>
  </si>
  <si>
    <t>259 Palsa Avenue	NJ</t>
  </si>
  <si>
    <t>NYITCOM</t>
  </si>
  <si>
    <t>Hesam</t>
  </si>
  <si>
    <t>Moghaddam</t>
  </si>
  <si>
    <t>hesamsarvghad@gmail.com</t>
  </si>
  <si>
    <t>1/9/24 WW emailed for IR2 Ellis 11/3/23 WW reach out for alternative email on LinkedIn -  hesamsarvghad@gmail.com 8/4/23 email bounced back with the message, &amp;#34;Hi, My position has recently been eliminated within Microsoft and do not have access to email or phone. It was a pleasure working with you.&amp;#34; trying to connect on linkedin SB 7/17/23 - BC called &amp;amp; left VM for IRS and SB sent follow up text, BC called and texted as well 7/11/23 SB called and let VM about IRS 7/6/23 SB received an OOO until 4/24 email, sent text about IRS 7/5/23 SB emailed for IRS 4/17/23 Not available for IR3 but interested in summer or fall 2/16/23 CT Completed Orientation &amp;amp; Onboarding Training. Hesam joined 30 minutes late. Shared video link with him to watch first part. Main career &amp;#61; STEM, prefer STEM interests and sessions around lunch his time (about 3 pm est) SB 1/10/23 SB sent follow up email about Wheels dates - responded and confirmed wheels schedule (but will need to reschedule 3/16/23) 1/6/23 said Mondays do not work for him, SB sent other schedules 1/4/23 SB emailed about IR2 availability  12/15/22 Scheduled training for 2/16/23 - did not respond about match availability, SB followed up. Hesam said he could tentatively accept schedule and will let us know 12/14/22 emailed SB for training (said incorrect date) SB emailed back for clarification and to ask IR2 availability for Mondays 12/13/22 SB followed up via email to schedule training 12/6/22 passed screening with SB Rescheduled screening 12/1/22 SB 11/30/22 scheduled screening for 12/1/22 but declined invite. SB followed up via email 11/29/22 SB sent screening email</t>
  </si>
  <si>
    <t>4987 S Serpentine Rd</t>
  </si>
  <si>
    <t>Flagataff, AZ</t>
  </si>
  <si>
    <t>Flagataff</t>
  </si>
  <si>
    <t>AZ</t>
  </si>
  <si>
    <r>
      <rPr>
        <color rgb="FF1155CC"/>
        <sz val="10.0"/>
        <u/>
      </rPr>
      <t>Luis Grullon</t>
    </r>
    <r>
      <rPr>
        <sz val="10.0"/>
      </rPr>
      <t xml:space="preserve">, </t>
    </r>
    <r>
      <rPr>
        <color rgb="FF1155CC"/>
        <sz val="10.0"/>
        <u/>
      </rPr>
      <t>Josue Lantigua</t>
    </r>
    <r>
      <rPr>
        <sz val="10.0"/>
      </rPr>
      <t xml:space="preserve">, </t>
    </r>
    <r>
      <rPr>
        <color rgb="FF1155CC"/>
        <sz val="10.0"/>
        <u/>
      </rPr>
      <t>Angel Tavarez</t>
    </r>
    <r>
      <rPr>
        <sz val="10.0"/>
      </rPr>
      <t xml:space="preserve"> and </t>
    </r>
    <r>
      <rPr>
        <color rgb="FF1155CC"/>
        <sz val="10.0"/>
        <u/>
      </rPr>
      <t>Samuel Rodriguez</t>
    </r>
  </si>
  <si>
    <t>Ibtesam</t>
  </si>
  <si>
    <t>Khan</t>
  </si>
  <si>
    <t>ibtesamx3@gmail.com</t>
  </si>
  <si>
    <t>3/22/23 SB sent text about IR3 availability 2/27/23 CT left voicemail &amp;amp; sent text to check in 2/7/23 CT sent follow up email 1/17/23 CT sent follow up email 1/10/23 CT sent check in email 7/5/22 LG called, texted for IRS availability Hetal texted Feb 3rd to check in and she's applying for academic role as teaching faculty. Busy but may be available for IR3 21-22  1/10/22 SB sent schedules for FY21-22 IR2 Doubled Checked 1/19 (KW) Emailed on 9/22/2020 to check in and ask about onboarding materials. Ibtesam was screened on 1/18/2020 by Dona Rehm contacted for screening call 12/30, 1/7 Matched Mentoring Round 2 2020 </t>
  </si>
  <si>
    <t>31-57 31st Street, New York</t>
  </si>
  <si>
    <t>White Plains Hospital</t>
  </si>
  <si>
    <t>FY 21 - 22, FY 20 - 21, FY 19 - 20</t>
  </si>
  <si>
    <r>
      <rPr>
        <color rgb="FF1155CC"/>
        <sz val="10.0"/>
        <u/>
      </rPr>
      <t>Josselyn Rivera</t>
    </r>
    <r>
      <rPr>
        <sz val="10.0"/>
      </rPr>
      <t xml:space="preserve">, </t>
    </r>
    <r>
      <rPr>
        <color rgb="FF1155CC"/>
        <sz val="10.0"/>
        <u/>
      </rPr>
      <t>Keyla Lliguin</t>
    </r>
    <r>
      <rPr>
        <sz val="10.0"/>
      </rPr>
      <t xml:space="preserve">, </t>
    </r>
    <r>
      <rPr>
        <color rgb="FF1155CC"/>
        <sz val="10.0"/>
        <u/>
      </rPr>
      <t>Dina Lagua</t>
    </r>
    <r>
      <rPr>
        <sz val="10.0"/>
      </rPr>
      <t xml:space="preserve">, </t>
    </r>
    <r>
      <rPr>
        <color rgb="FF1155CC"/>
        <sz val="10.0"/>
        <u/>
      </rPr>
      <t>Patricia Manrique</t>
    </r>
    <r>
      <rPr>
        <sz val="10.0"/>
      </rPr>
      <t xml:space="preserve">, </t>
    </r>
    <r>
      <rPr>
        <color rgb="FF1155CC"/>
        <sz val="10.0"/>
        <u/>
      </rPr>
      <t>Jeimery Sosa</t>
    </r>
    <r>
      <rPr>
        <sz val="10.0"/>
      </rPr>
      <t xml:space="preserve">, </t>
    </r>
    <r>
      <rPr>
        <color rgb="FF1155CC"/>
        <sz val="10.0"/>
        <u/>
      </rPr>
      <t>Rakdh Alzukary</t>
    </r>
    <r>
      <rPr>
        <sz val="10.0"/>
      </rPr>
      <t xml:space="preserve">, </t>
    </r>
    <r>
      <rPr>
        <color rgb="FF1155CC"/>
        <sz val="10.0"/>
        <u/>
      </rPr>
      <t>Noashin Sarker</t>
    </r>
    <r>
      <rPr>
        <sz val="10.0"/>
      </rPr>
      <t xml:space="preserve"> and </t>
    </r>
    <r>
      <rPr>
        <color rgb="FF1155CC"/>
        <sz val="10.0"/>
        <u/>
      </rPr>
      <t>Bianka Pena</t>
    </r>
  </si>
  <si>
    <t>IHS Health, CypressHills, ELLIS</t>
  </si>
  <si>
    <t>Ian</t>
  </si>
  <si>
    <t>Paratore</t>
  </si>
  <si>
    <t>iparatore@gmail.com</t>
  </si>
  <si>
    <t>3/28/24 WW emailed for IR3 2/9/23 CT sent text for IR2 2/8/23 CT sent follow up for IR2 2/6/23 CT asked for IR2 with Wheels schedule 12/21/21 SB sent IR2 FY21-22 schedule list for matching Ian was trained on 11/9/2020 by Jennifer Peterson-Sharma at 7:30 pm EST Ian was initially scheduled to attend the training on 10/26/2020 with Jennifer Peterson-Sharma but he was unable to complete his Instructional Guide on time. He will be rescheduled for the next training in November. Ian was screened on 10/9/2020 with Jennifer Peterson-Sharma at 4:30 pm EST Ian is scheduled for a Mentor Screening Call on 10/9/2020 with Jennifer Peterson-Sharma. Emailed on 9/28/2020 about scheduling a Mentor Screening Call</t>
  </si>
  <si>
    <t>1705 #4 Page street, San Francisco, California</t>
  </si>
  <si>
    <t>n/a</t>
  </si>
  <si>
    <r>
      <rPr>
        <color rgb="FF1155CC"/>
        <sz val="10.0"/>
        <u/>
      </rPr>
      <t>Ehsanullah Sulimanzoy</t>
    </r>
    <r>
      <rPr>
        <sz val="10.0"/>
      </rPr>
      <t xml:space="preserve">, </t>
    </r>
    <r>
      <rPr>
        <color rgb="FF1155CC"/>
        <sz val="10.0"/>
        <u/>
      </rPr>
      <t>Matiullah Sulimanzoy</t>
    </r>
    <r>
      <rPr>
        <sz val="10.0"/>
      </rPr>
      <t xml:space="preserve">, </t>
    </r>
    <r>
      <rPr>
        <color rgb="FF1155CC"/>
        <sz val="10.0"/>
        <u/>
      </rPr>
      <t>Bibi Borber</t>
    </r>
    <r>
      <rPr>
        <sz val="10.0"/>
      </rPr>
      <t xml:space="preserve"> and </t>
    </r>
    <r>
      <rPr>
        <color rgb="FF1155CC"/>
        <sz val="10.0"/>
        <u/>
      </rPr>
      <t>Melvin Martinez</t>
    </r>
  </si>
  <si>
    <t>Frankford</t>
  </si>
  <si>
    <t>Irina</t>
  </si>
  <si>
    <t>Shevchenko</t>
  </si>
  <si>
    <t>310-746-7575</t>
  </si>
  <si>
    <t>irinahlf@gmail.com</t>
  </si>
  <si>
    <t>5/17/22 SB sent engagement email HJ called Irina on 1/5/22 and got a busy signal (she had unsubscribed from mailing list in december) 01/05/22 CT sent follow up email for matching 12/30/21 SB sent IR2 FY21-22 schedule list for matching JPS sent email from Champions@speakhire.org on 7/22/21 since it appears Irina already passed screening. HH voicemail/text 7/20/21 SU sent Irina 4 screening call emails from March 14 - March 31, 2021. No response from Irina. Received congratulations email from Scotney on 2/8/2019 - Irina passed screening call. Doesn't look like she went through training.</t>
  </si>
  <si>
    <t>12775 Millennium Dr. 203, Playa Vista, 90094 CA</t>
  </si>
  <si>
    <t>Herbalife</t>
  </si>
  <si>
    <t>Zilbergleyt</t>
  </si>
  <si>
    <t>izilbergleyt@gmail.com</t>
  </si>
  <si>
    <t>1/18/24 not available for IR2 but interested in IR3 - starting new job, SB asked for updated information 1/9/24 WW emailed for IR2 Ellis 5/9/23 SB emailed Irina to get reference info - none currently on file 4/28/23 passed training with SB 4/24/23 CT asked if she can do the Seminar on June 24th instead of June 7th 3/21/23 SB emailed Irina for IR3 3/16/23 CT added provided bio &amp;amp; headshot from LinkedIn 3/3/23 moved training to 4/28/23 SB 3/2/23 CT sent email asking to be Speaker for BUSHWICKCHS Seminar 2/7/23 CT sent follow up regarding training &amp;amp; Seminar 1/30/23 CT Screening passed with CT &amp;amp; HJ. Sent congrats email with Seminar presentation template. Reach out for IR3 with Monday schedule. Good as in-person Seminar Speaker.</t>
  </si>
  <si>
    <t>23 W 73rd Street Apt 1209</t>
  </si>
  <si>
    <t>ORIX USA</t>
  </si>
  <si>
    <t>Seminars 23</t>
  </si>
  <si>
    <t>BUSHWICKCHS</t>
  </si>
  <si>
    <t>Jihan</t>
  </si>
  <si>
    <t>Maryam Bacchus</t>
  </si>
  <si>
    <t>j.maryam.bacchus@gmail.com</t>
  </si>
  <si>
    <t>Hetal called Jihan and left a vm on 2/3/23 to see if she's still interested 5/18/11 Sb sent re-engagement email 1/10/22 SB sent schedules for FY21-22 IR2 JPS sent an email via Champions@speakhire.org to schedule a training webinar on 7/21/21. SU sent an email to get signed up for training on 2/19/21. Followed up on 2/21/21. No response as of 7/21/21. Still needs to go through training. Doubled Checked 1/19 (KW) Emailed her a follow up since covid august 28th 2020 and never responded Sent her a follow up september 9th 2020 Passed Screening Call with Scotney on 1/18/2020. </t>
  </si>
  <si>
    <t>3709 S George Mason Dr., Apt 1115E Falls Church, VA</t>
  </si>
  <si>
    <t>Falls Church, VA</t>
  </si>
  <si>
    <t>Falls Church</t>
  </si>
  <si>
    <t>Bloomberg Industry Group</t>
  </si>
  <si>
    <t>Jacob</t>
  </si>
  <si>
    <t>Makola</t>
  </si>
  <si>
    <t>jakemakola@gmail.com</t>
  </si>
  <si>
    <t>12/14/21 SB left Jacob a voicemail 12/13/21 SB sent text asking availability for FY21-22 IR1 match Other email address: jakemakola@gmail.com Jake attended a training on 3/8/21 with JPS Jake was screened on 2/25/21 by Annie Kuo JPS emailed on 2/22/21 to schedule a Screening Call</t>
  </si>
  <si>
    <t>280 E Broad St Apt 814</t>
  </si>
  <si>
    <t>Rochester, NY</t>
  </si>
  <si>
    <t>Rochester</t>
  </si>
  <si>
    <t>SPX FLOW</t>
  </si>
  <si>
    <r>
      <rPr>
        <color rgb="FF1155CC"/>
        <sz val="10.0"/>
        <u/>
      </rPr>
      <t>Jahzion Plummer</t>
    </r>
    <r>
      <rPr>
        <sz val="10.0"/>
      </rPr>
      <t xml:space="preserve"> and </t>
    </r>
    <r>
      <rPr>
        <color rgb="FF1155CC"/>
        <sz val="10.0"/>
        <u/>
      </rPr>
      <t>Amir Soman</t>
    </r>
  </si>
  <si>
    <t>Jessica</t>
  </si>
  <si>
    <t>Ann Huang</t>
  </si>
  <si>
    <t>jahuang@mail.harvard.edu</t>
  </si>
  <si>
    <t>3/22/23 texted SB, &amp;#34;am still traveling back and forth - could you please send me information for the fall rounds instead?&amp;#34; - let her know we would let her know for IR1 of FY23-24 3/20/23 SB sent text about Jessica 3/17/23 SB sent follow up email for IR3 3/14/23 SB emailed Jessica about IR3 1/19/23 CT Jessica is currently in Nepal with not scheduled return date. Not available for IR2 and in the near future. 1/17/23 CT left voicemail &amp;amp; sent text to check in  1/9/23 CT sent text to check in 01/03/23 CT sent follow up check in email 12/28/22 CT sent checking in email 7/5/22 LG reached out for IRS availability 12/30/21 SB sent IR2 FY21-22 schedule list for matching 11/1/21 SB emailed again to see if Wed @ 4 would work for her Hetal called to see about mentoring during COVID-19. Was in West Africa when she last mentored with us. Wants a refresher but happy to be on standby and support. </t>
  </si>
  <si>
    <t>17 Dimick St Apt 2, Somerville, MA 02143</t>
  </si>
  <si>
    <t>Somerville</t>
  </si>
  <si>
    <t>Harvard</t>
  </si>
  <si>
    <t>Jaisri</t>
  </si>
  <si>
    <t>Chety</t>
  </si>
  <si>
    <t>201-673-6872</t>
  </si>
  <si>
    <t>jaisrichety@gmail.com</t>
  </si>
  <si>
    <t>1/5/23 SB called, left voicemail,  sent text about IR2. Responded saying &amp;#34;Unfortunately at this point I don't have time to dedicate for this volunteering. Kindly excuse me, I will get in touch when I get freed from my commitments in the next 18-24 months.&amp;#34; Marking as inactive for now. Reach out to for IR1 in 2024 or IR2 in 2025 1/3/23 SB followed up in email to see if available for IR2 match 12/22/22 SB emailed for Ellis match 10/5/22 responded letting us know she is unable to do IR1 because she is traveling to India for an extended period of time. SB responded asking for IR2 12/22/21 SB sent IR2 FY21-22 schedule list for matching Jaisri atteneded a training webinar with JPS on 3/28/21 Jaisri was screened by SU Marked as inactive/yellow because not yet Screened as of June 18, 2019 Same person as &amp;#34;Jaisri Murahari&amp;#34; ?</t>
  </si>
  <si>
    <t>1487 W Stonington Dr, Downingtown</t>
  </si>
  <si>
    <t>Downingtown</t>
  </si>
  <si>
    <t>West Bradford Township</t>
  </si>
  <si>
    <t>GSK</t>
  </si>
  <si>
    <r>
      <rPr>
        <color rgb="FF1155CC"/>
        <sz val="10.0"/>
        <u/>
      </rPr>
      <t>Alpha Sylla</t>
    </r>
    <r>
      <rPr>
        <sz val="10.0"/>
      </rPr>
      <t xml:space="preserve"> and </t>
    </r>
    <r>
      <rPr>
        <color rgb="FF1155CC"/>
        <sz val="10.0"/>
        <u/>
      </rPr>
      <t>Yann Noumbi</t>
    </r>
  </si>
  <si>
    <t>Naqeebullah</t>
  </si>
  <si>
    <t>Jalalzay</t>
  </si>
  <si>
    <t>jalalzay21@gmail.com</t>
  </si>
  <si>
    <t>1/25/23 CT sent follow up for IR2 1/23/23 SB emailed for IR2 Ellis 10/03/22 Not available for IR1 due to possible being overseas in November. CT Naqeeb was trained on 11/9/2020 by Jennifer Peterson-Sharma at 7:30 pm EST Applied through an outreach to Scotney requesting any Pashto speaking mentors; applied right away and supported a Pashto speaking mentee with their application and agreed to be their first mentor. Hetal (November 2nd, 2020)</t>
  </si>
  <si>
    <t>4349 Carmelo Drive, Annandale, VA 22003 Apt#301</t>
  </si>
  <si>
    <t>Annandale, VA</t>
  </si>
  <si>
    <t>Annandale</t>
  </si>
  <si>
    <t>Institute of International Education</t>
  </si>
  <si>
    <r>
      <rPr>
        <color rgb="FF1155CC"/>
        <sz val="10.0"/>
        <u/>
      </rPr>
      <t>Matiullah Sulimanzoy</t>
    </r>
    <r>
      <rPr>
        <sz val="10.0"/>
      </rPr>
      <t xml:space="preserve"> and </t>
    </r>
    <r>
      <rPr>
        <color rgb="FF1155CC"/>
        <sz val="10.0"/>
        <u/>
      </rPr>
      <t>Ehsanullah Sulimanzoy</t>
    </r>
  </si>
  <si>
    <t>James</t>
  </si>
  <si>
    <t>Baroi</t>
  </si>
  <si>
    <t>jameshilton1114@yahoo.com</t>
  </si>
  <si>
    <t>1/4/23 SB emailed for screening 12/15/22 CT sent LinkedIn message 12/13/22 SB sent follow up email for screening call scheduling 12/5/22 SB followed up with email for screening 11/30/22 does not look like he has relevant US experience for FY, maybe Seminar Speaker? Sending screening email SB</t>
  </si>
  <si>
    <t>Dhaka, Bangladesh</t>
  </si>
  <si>
    <t>Holiday Inn Dhaka City Center</t>
  </si>
  <si>
    <t>Jamie</t>
  </si>
  <si>
    <t>Huang Chu</t>
  </si>
  <si>
    <t>607-329-6571</t>
  </si>
  <si>
    <t>jamie.k.huang@gmail.com</t>
  </si>
  <si>
    <t>Not interested in participating as Champion anymore due to other commitments. Marked her as inactive. CT 8/30/22 5/24/22 SB sent re-engagement email Norrell called 03/20/2020 related to COVID-19, Jamie did not have availability. </t>
  </si>
  <si>
    <t>123 Woodsedge Dr Painted Post, NY</t>
  </si>
  <si>
    <t>Painted Post, NY</t>
  </si>
  <si>
    <t>Painted Post</t>
  </si>
  <si>
    <t>Corning Incorporated</t>
  </si>
  <si>
    <r>
      <rPr>
        <color rgb="FF1155CC"/>
        <sz val="10.0"/>
        <u/>
      </rPr>
      <t>Yi Chen</t>
    </r>
    <r>
      <rPr>
        <sz val="10.0"/>
      </rPr>
      <t xml:space="preserve"> and </t>
    </r>
    <r>
      <rPr>
        <color rgb="FF1155CC"/>
        <sz val="10.0"/>
        <u/>
      </rPr>
      <t>Aisha Dawran</t>
    </r>
  </si>
  <si>
    <t>Jani</t>
  </si>
  <si>
    <t>jani.divya91@gmail.com</t>
  </si>
  <si>
    <t>1/19/23 CT not available for any round in the near future. Reach out in fall to check for availability. 1/17/23 CT sent follow up email 1/10/23 CT sent check in email Divya was screened on 10/20/2020 at 5:15 pm EST by Jennifer Peterson-Sharma Screening Call was conducted on 10/8/2020 at 4:30 pm EST by Jennifer Peterson-Sharma. emailed on 10/2/2020 for a mentor screening call</t>
  </si>
  <si>
    <t>155 Colony Avenue, Park Ridge, NJ 07656</t>
  </si>
  <si>
    <t>Park Ridge</t>
  </si>
  <si>
    <t>Centene Corporation - Fidelis Care</t>
  </si>
  <si>
    <r>
      <rPr>
        <color rgb="FF1155CC"/>
        <sz val="10.0"/>
        <u/>
      </rPr>
      <t>Safiatou Jalloh</t>
    </r>
    <r>
      <rPr>
        <sz val="10.0"/>
      </rPr>
      <t xml:space="preserve">, </t>
    </r>
    <r>
      <rPr>
        <color rgb="FF1155CC"/>
        <sz val="10.0"/>
        <u/>
      </rPr>
      <t>Naimatou Sefou Moussa</t>
    </r>
    <r>
      <rPr>
        <sz val="10.0"/>
      </rPr>
      <t xml:space="preserve">, </t>
    </r>
    <r>
      <rPr>
        <color rgb="FF1155CC"/>
        <sz val="10.0"/>
        <u/>
      </rPr>
      <t>Islam Aldodoo</t>
    </r>
    <r>
      <rPr>
        <sz val="10.0"/>
      </rPr>
      <t xml:space="preserve">, </t>
    </r>
    <r>
      <rPr>
        <color rgb="FF1155CC"/>
        <sz val="10.0"/>
        <u/>
      </rPr>
      <t>Zuura Ramazanova</t>
    </r>
    <r>
      <rPr>
        <sz val="10.0"/>
      </rPr>
      <t xml:space="preserve">, </t>
    </r>
    <r>
      <rPr>
        <color rgb="FF1155CC"/>
        <sz val="10.0"/>
        <u/>
      </rPr>
      <t>Saima Akter</t>
    </r>
    <r>
      <rPr>
        <sz val="10.0"/>
      </rPr>
      <t xml:space="preserve"> and </t>
    </r>
    <r>
      <rPr>
        <color rgb="FF1155CC"/>
        <sz val="10.0"/>
        <u/>
      </rPr>
      <t>Tasnim Jahan</t>
    </r>
  </si>
  <si>
    <t>ELLIS, GWHS</t>
  </si>
  <si>
    <t>Jannet</t>
  </si>
  <si>
    <t>Figueroa Gallardo</t>
  </si>
  <si>
    <t>(52) 998-136-18684</t>
  </si>
  <si>
    <t>jannetfgmx@gmail.com</t>
  </si>
  <si>
    <t>3/4/24 WW emailed for IR3 10/24/23 PQ messaged on whatsapp for SB for IR1 10/20/23 SB emailed for IR1 7/18/23 PQ messaged on whatsapp for IRS 7/15/22 Unable to do IRS, asked to be considered for IR1 Currently in Mexico (1/19/22, HJ) 12/22/21 SB sent IR2 FY21-22 schedule list for matching Jannet updated her email and her number and said to contact her on whatsapp (this is her other number provided (512) 216-4973); she also wants to share with others in Mexico (11/8/21) Hetal reached her on Instagram 11/4/21 -- she provided her updated email address; this one is old jannetf@hotmail.com JPS sent an outreach email on 3/5/21 Hetal called on 3/26/2020 to see about mentoring during COVID-19 but couldn't get through. Sent email to see reach out. </t>
  </si>
  <si>
    <t>10 Briarwood Way, Clarks Summit, PA, 18411, USA</t>
  </si>
  <si>
    <t>Clarks Summit</t>
  </si>
  <si>
    <t>LOH ENTERPRISES</t>
  </si>
  <si>
    <r>
      <rPr>
        <color rgb="FF1155CC"/>
        <sz val="10.0"/>
        <u/>
      </rPr>
      <t>Zabdy Orellana</t>
    </r>
    <r>
      <rPr>
        <sz val="10.0"/>
      </rPr>
      <t xml:space="preserve">, </t>
    </r>
    <r>
      <rPr>
        <color rgb="FF1155CC"/>
        <sz val="10.0"/>
        <u/>
      </rPr>
      <t>Fatoumata Barry</t>
    </r>
    <r>
      <rPr>
        <sz val="10.0"/>
      </rPr>
      <t xml:space="preserve">, </t>
    </r>
    <r>
      <rPr>
        <color rgb="FF1155CC"/>
        <sz val="10.0"/>
        <u/>
      </rPr>
      <t>Mouhamed Samb</t>
    </r>
    <r>
      <rPr>
        <sz val="10.0"/>
      </rPr>
      <t xml:space="preserve">, </t>
    </r>
    <r>
      <rPr>
        <color rgb="FF1155CC"/>
        <sz val="10.0"/>
        <u/>
      </rPr>
      <t>Sandy Mercedes</t>
    </r>
    <r>
      <rPr>
        <sz val="10.0"/>
      </rPr>
      <t xml:space="preserve">, </t>
    </r>
    <r>
      <rPr>
        <color rgb="FF1155CC"/>
        <sz val="10.0"/>
        <u/>
      </rPr>
      <t>Indira Yamileth Nunez Mateo</t>
    </r>
    <r>
      <rPr>
        <sz val="10.0"/>
      </rPr>
      <t xml:space="preserve">, </t>
    </r>
    <r>
      <rPr>
        <color rgb="FF1155CC"/>
        <sz val="10.0"/>
        <u/>
      </rPr>
      <t>Sindi Valerio Frias</t>
    </r>
    <r>
      <rPr>
        <sz val="10.0"/>
      </rPr>
      <t xml:space="preserve">, </t>
    </r>
    <r>
      <rPr>
        <color rgb="FF1155CC"/>
        <sz val="10.0"/>
        <u/>
      </rPr>
      <t>Kimberlin Ruiz</t>
    </r>
    <r>
      <rPr>
        <sz val="10.0"/>
      </rPr>
      <t xml:space="preserve">, </t>
    </r>
    <r>
      <rPr>
        <color rgb="FF1155CC"/>
        <sz val="10.0"/>
        <u/>
      </rPr>
      <t>Indira Yamileth Nunez Mateo</t>
    </r>
    <r>
      <rPr>
        <sz val="10.0"/>
      </rPr>
      <t xml:space="preserve"> and </t>
    </r>
    <r>
      <rPr>
        <color rgb="FF1155CC"/>
        <sz val="10.0"/>
        <u/>
      </rPr>
      <t>Liccy Dubon Zamora</t>
    </r>
  </si>
  <si>
    <t>IHSUnionSquare, ClaremontIHS, CrotonaIHS, ICHSBronx</t>
  </si>
  <si>
    <t>Jan</t>
  </si>
  <si>
    <t>Panchalingam (D)</t>
  </si>
  <si>
    <t>janpanchalingam@gmail.com</t>
  </si>
  <si>
    <t>6/29/22 LG left voicemail and sent text for IRS 12/21/21 SB sent IR2 FY21-22 schedule list for matching Completed training on 12/1/21 with SB 11/30/21 SB sent congrats and training email 11/29/21 Jan passed screening SB 11/29/21 SB sent screening scheduling email</t>
  </si>
  <si>
    <t>305 Grand Street, Unit 3B</t>
  </si>
  <si>
    <t>UNICEF</t>
  </si>
  <si>
    <t>Jaskiran</t>
  </si>
  <si>
    <t>Ghuman</t>
  </si>
  <si>
    <t>516-776-1701</t>
  </si>
  <si>
    <t>Jaskiran1@gmail.com</t>
  </si>
  <si>
    <t>1/18/24 SB emailed for National Women Physician Day and to try and re-engage 3/8/23 SB texted for IR3 - not available for IR3 3/1/23 SB emailed for IR3 availability and sent About Interns  1/18/23 CT not available for IR2 due to work schedule 1/17/23 CT sent follow up email 1/10/23 CT sent check in email Jas is not available unless it's the weekends but might change by FY 21 - 22; going into a new job where schedule might change. Can do SPEAKHIRE Seminars -- Hetal to follow up (HJ, 2/21/21) Doubled Checked 1/19 (KW) Jaskiran said on 1/14/2021 that she is not available during the week for internship sessions because she is currently completing a fellowship training. JPS emailed on 1/5/2021 to check her engagement status, no response as of 1/14/2021. Followed up on 1/14/2021. Jaskiran called back and said that her schedule is not as flexible as it used to be. She said that if there is a mentoring opportunity for after 5 or on weekends, then she could do it. Otherwise, she is unavailable. Jennifer Peterson-Sharma called and left a vm on 10/6/2020 to check with Jaskiran's availability for the 2020-2021 mentoring rounds. </t>
  </si>
  <si>
    <t>103-30 68th Avenue, Forest Hills, NY</t>
  </si>
  <si>
    <t>Nassau University Medical Center</t>
  </si>
  <si>
    <r>
      <rPr>
        <color rgb="FF1155CC"/>
        <sz val="10.0"/>
        <u/>
      </rPr>
      <t>Irene Almonte</t>
    </r>
    <r>
      <rPr>
        <sz val="10.0"/>
      </rPr>
      <t xml:space="preserve"> and </t>
    </r>
    <r>
      <rPr>
        <color rgb="FF1155CC"/>
        <sz val="10.0"/>
        <u/>
      </rPr>
      <t>Chitra Srikishun</t>
    </r>
  </si>
  <si>
    <t>Jason</t>
  </si>
  <si>
    <t>Alafgani</t>
  </si>
  <si>
    <t>jason@indimatters.com</t>
  </si>
  <si>
    <t>3/1/24 WW emailed for IR3 Donated money to Interns for FY22-23 1/9/23 CT Jason confirmed wheels schedule 1/9/23 CT sent text for IR2 1/5/23 CT followed up for IR2 1/3/23 CT followed up for IR2 12/26/22 CT asked for Wheels schedule for IR2 Reach out to Jason in January or spring 2023 about his IR availability. He's busy with work at the moment. 8/8/22 CT August 3, 2022: Hetal replied to an email from Jason in July 2022 stating that he was swamped at work asking him if he knew other people for Champions and saying that Champions team reach out around spring 2023 to check on his availability.  3/8/22 Sent email for IR3 availability CT 1/7/21 HJ spoke to Jason for about an hour -- on why we match, how we match, who are students are, how the curriculum was designed, what he does as DEI Tech solution for opportunity awareness at the Corporate setting -- he's more clear with what we're doing -- will be able to recommend some Champions in the future once he has a boost in doing this with a  cultural and career match 12/22/21 SB sent IR2 FY21-22 schedule list for matching Completed training 11/12/21 SB 11/9/21 Passed screening SB, sent congrats email to schedule training 11/4/21 SB emailed screening scheduling link and schedule for flushing</t>
  </si>
  <si>
    <t>2222 Leavenworth St. Apt 402, San Francisco, CA 94122</t>
  </si>
  <si>
    <t>Indi Technologies Inc.</t>
  </si>
  <si>
    <r>
      <rPr>
        <color rgb="FF1155CC"/>
        <sz val="10.0"/>
        <u/>
      </rPr>
      <t>Jaylenn Ortega</t>
    </r>
    <r>
      <rPr>
        <sz val="10.0"/>
      </rPr>
      <t xml:space="preserve">, </t>
    </r>
    <r>
      <rPr>
        <color rgb="FF1155CC"/>
        <sz val="10.0"/>
        <u/>
      </rPr>
      <t>Jason Hernandez</t>
    </r>
    <r>
      <rPr>
        <sz val="10.0"/>
      </rPr>
      <t xml:space="preserve">, </t>
    </r>
    <r>
      <rPr>
        <color rgb="FF1155CC"/>
        <sz val="10.0"/>
        <u/>
      </rPr>
      <t>Luis Grullon</t>
    </r>
    <r>
      <rPr>
        <sz val="10.0"/>
      </rPr>
      <t xml:space="preserve">, </t>
    </r>
    <r>
      <rPr>
        <color rgb="FF1155CC"/>
        <sz val="10.0"/>
        <u/>
      </rPr>
      <t>Sebastian Cruz</t>
    </r>
    <r>
      <rPr>
        <sz val="10.0"/>
      </rPr>
      <t xml:space="preserve">, </t>
    </r>
    <r>
      <rPr>
        <color rgb="FF1155CC"/>
        <sz val="10.0"/>
        <u/>
      </rPr>
      <t>Daniel Ramirez</t>
    </r>
    <r>
      <rPr>
        <sz val="10.0"/>
      </rPr>
      <t xml:space="preserve">, </t>
    </r>
    <r>
      <rPr>
        <color rgb="FF1155CC"/>
        <sz val="10.0"/>
        <u/>
      </rPr>
      <t>Jeyrent Cid Martinez</t>
    </r>
    <r>
      <rPr>
        <sz val="10.0"/>
      </rPr>
      <t xml:space="preserve">, </t>
    </r>
    <r>
      <rPr>
        <color rgb="FF1155CC"/>
        <sz val="10.0"/>
        <u/>
      </rPr>
      <t>Michaell Morban</t>
    </r>
    <r>
      <rPr>
        <sz val="10.0"/>
      </rPr>
      <t xml:space="preserve">, </t>
    </r>
    <r>
      <rPr>
        <color rgb="FF1155CC"/>
        <sz val="10.0"/>
        <u/>
      </rPr>
      <t>Zarshed Narziloev</t>
    </r>
    <r>
      <rPr>
        <sz val="10.0"/>
      </rPr>
      <t xml:space="preserve">, </t>
    </r>
    <r>
      <rPr>
        <color rgb="FF1155CC"/>
        <sz val="10.0"/>
        <u/>
      </rPr>
      <t>Rukhshona Sharofova</t>
    </r>
    <r>
      <rPr>
        <sz val="10.0"/>
      </rPr>
      <t xml:space="preserve">, </t>
    </r>
    <r>
      <rPr>
        <color rgb="FF1155CC"/>
        <sz val="10.0"/>
        <u/>
      </rPr>
      <t>Marziyaoy Norkulova</t>
    </r>
    <r>
      <rPr>
        <sz val="10.0"/>
      </rPr>
      <t xml:space="preserve">, </t>
    </r>
    <r>
      <rPr>
        <color rgb="FF1155CC"/>
        <sz val="10.0"/>
        <u/>
      </rPr>
      <t>Santiago Diaz</t>
    </r>
    <r>
      <rPr>
        <sz val="10.0"/>
      </rPr>
      <t xml:space="preserve"> and </t>
    </r>
    <r>
      <rPr>
        <color rgb="FF1155CC"/>
        <sz val="10.0"/>
        <u/>
      </rPr>
      <t>Juan David Baron</t>
    </r>
  </si>
  <si>
    <t>WheelsNYC, GWHS, FlushingIHS</t>
  </si>
  <si>
    <t>Jayne</t>
  </si>
  <si>
    <t>jaynedgonzalez@gmail.com</t>
  </si>
  <si>
    <t>1/12/24 Jayne emailed SB that she is not available as she is expecting a baby in March 1/11/23 SB sent email about IR2 Crotona 10/31/23 SB sent text for IR1 10/25/23 SB sent email for IR1 3/20/23 CT left voicemail &amp;amp; sent text about being Speaker for Wheels Seminars 9/13/22 Not available for IR1. CT NOTE FOR HEADSHOT: CROP OUT THE COMPANY NAME ON T-SHIRT -- SHE IS NO LONGER WITH THAT COMPANY (HJ, 10/24/21) 12/22/21 SB sent IR2 FY21-22 schedule list for matching 10/25/21 - for IR1 21-22: Jayne traveling 1/13 &amp;amp; 1/20, possibly unable 1/27. Got rescheduling dates with her SB Hetal updated Jayne's current company and job title; when she applied she was Director of Corporate Communications at Zuora: https://www.zuora.com/ (10/22/21) Double checked 1/26 (KW) Jayne was screened on 10/15/2020 by Jennifer Peterson-Sharma at 11 am EST Jayne is scheduled for a Screening Call on 10/15/2020. Emailed on 10/5/2020 to schedule a screening call. </t>
  </si>
  <si>
    <t>1812 Lincoln Ave San Jose, CA 95125</t>
  </si>
  <si>
    <t>San Jose, CA</t>
  </si>
  <si>
    <t>San Jose</t>
  </si>
  <si>
    <t>Freshworks</t>
  </si>
  <si>
    <t>Seminars 21, FY 21 - 22, FY 20 - 21</t>
  </si>
  <si>
    <r>
      <rPr>
        <color rgb="FF1155CC"/>
        <sz val="10.0"/>
        <u/>
      </rPr>
      <t>Carlos Cela</t>
    </r>
    <r>
      <rPr>
        <sz val="10.0"/>
      </rPr>
      <t xml:space="preserve">, </t>
    </r>
    <r>
      <rPr>
        <color rgb="FF1155CC"/>
        <sz val="10.0"/>
        <u/>
      </rPr>
      <t>Cleidy Ramirez</t>
    </r>
    <r>
      <rPr>
        <sz val="10.0"/>
      </rPr>
      <t xml:space="preserve">, </t>
    </r>
    <r>
      <rPr>
        <color rgb="FF1155CC"/>
        <sz val="10.0"/>
        <u/>
      </rPr>
      <t>Mairol Rivas</t>
    </r>
    <r>
      <rPr>
        <sz val="10.0"/>
      </rPr>
      <t xml:space="preserve">, </t>
    </r>
    <r>
      <rPr>
        <color rgb="FF1155CC"/>
        <sz val="10.0"/>
        <u/>
      </rPr>
      <t>Estuardo Lopez</t>
    </r>
    <r>
      <rPr>
        <sz val="10.0"/>
      </rPr>
      <t xml:space="preserve"> and </t>
    </r>
    <r>
      <rPr>
        <color rgb="FF1155CC"/>
        <sz val="10.0"/>
        <u/>
      </rPr>
      <t>Melvin Martinez</t>
    </r>
  </si>
  <si>
    <t>CrotonaIHS, FlushingIHS, Frankford</t>
  </si>
  <si>
    <t>Go</t>
  </si>
  <si>
    <t>jcgo107@gmail.com</t>
  </si>
  <si>
    <t>not available for IR1 due to very busy work schedule. CT 8/10/22 12/21/21 SB sent IR2 FY21-22 schedule list for matching Completed training 11/12/21 SB Passed screening</t>
  </si>
  <si>
    <t>2591 Susan Brook Pl. Duarte, CA 91010</t>
  </si>
  <si>
    <t>Duarte</t>
  </si>
  <si>
    <t>Kaiser Permanente</t>
  </si>
  <si>
    <r>
      <rPr>
        <color rgb="FF1155CC"/>
        <sz val="10.0"/>
        <u/>
      </rPr>
      <t>Angie Inestroza</t>
    </r>
    <r>
      <rPr>
        <sz val="10.0"/>
      </rPr>
      <t xml:space="preserve"> and </t>
    </r>
    <r>
      <rPr>
        <color rgb="FF1155CC"/>
        <sz val="10.0"/>
        <u/>
      </rPr>
      <t>Zhihao Huang</t>
    </r>
  </si>
  <si>
    <t>Christman</t>
  </si>
  <si>
    <t>814-241-9328</t>
  </si>
  <si>
    <t>jchristman@myvetadvisor.com</t>
  </si>
  <si>
    <t>4/3/23 CT sent follow up email with CPC training dates 2/22/23 CT sent follow up email to re-engage 2/9/23 CT sent re-engagement email 5/17/22 SB sent re-engagement email 1/6/22 SB sent follow up for IR2 12/30/21 SB sent IR2 FY21-22 schedule list for matching Jennifer was screened with JPS on 4/6/21 JPS sent screening call &amp;#43; re-engagement email on 3/26/21</t>
  </si>
  <si>
    <t>1233 W. High Street Ebensburg, PA 15931</t>
  </si>
  <si>
    <t>Ebensburg, PA</t>
  </si>
  <si>
    <t>Ebensburg</t>
  </si>
  <si>
    <t>Three Wire Systems/VetAdvisor</t>
  </si>
  <si>
    <t>Nguyen</t>
  </si>
  <si>
    <t>jenn.nguyen213@gmail.com</t>
  </si>
  <si>
    <t>1/17/24  WW emailed for sponsor session 7/17/23 - SB sent email for IRS, BC called &amp;amp; left VM,  SB sent follow up text 7/13/23 SB sent email for IRS 3/21/23 SB sent follow up email about IR3 3/16/23 SB emailed application link for network and IR3 request 3/16/23 SB sent training video - unable to make live training 3/6/23 Signed up for 3/16/23 training SB 3/3/23 SB sent follow up email for training 3/2/23 CT sent email asking to be Speaker for  BUSHWICKCHS Seminar 2/15/23 passed screening with SB 2/14/23 SB emailed screening email</t>
  </si>
  <si>
    <t>233 E 38th St Apt 21E</t>
  </si>
  <si>
    <t>CVS Health</t>
  </si>
  <si>
    <r>
      <rPr>
        <color rgb="FF1155CC"/>
        <sz val="10.0"/>
        <u/>
      </rPr>
      <t>Julia Aliessa</t>
    </r>
    <r>
      <rPr>
        <sz val="10.0"/>
      </rPr>
      <t xml:space="preserve">, </t>
    </r>
    <r>
      <rPr>
        <color rgb="FF1155CC"/>
        <sz val="10.0"/>
        <u/>
      </rPr>
      <t>Melany Lopez</t>
    </r>
    <r>
      <rPr>
        <sz val="10.0"/>
      </rPr>
      <t xml:space="preserve"> and </t>
    </r>
    <r>
      <rPr>
        <color rgb="FF1155CC"/>
        <sz val="10.0"/>
        <u/>
      </rPr>
      <t>Bintou Diop</t>
    </r>
  </si>
  <si>
    <t>BUSHWICKCHS, IHSUnionSquare</t>
  </si>
  <si>
    <t>Demartini DuVall</t>
  </si>
  <si>
    <t>727-647-5498</t>
  </si>
  <si>
    <t>jennifer.demartini@gmail.com</t>
  </si>
  <si>
    <t>12/30/21 SB sent IR2 FY21-22 schedule list for matching Hetal marked Jennifer Duvall's profile as ready for Star training and Green and Active on 3/2/21 because she has already matched and mentored before. </t>
  </si>
  <si>
    <t>2029 Oak Street Unit B, Santa Monica, CA 90405</t>
  </si>
  <si>
    <t>Santa Monica</t>
  </si>
  <si>
    <t>Eargo</t>
  </si>
  <si>
    <t>Joelle Kachler</t>
  </si>
  <si>
    <t>973-557-5204</t>
  </si>
  <si>
    <t>jenniferjkachler@gmail.com</t>
  </si>
  <si>
    <t>7/18/23 WW emailed for IRS, PQ called, VM full, sent text 3/7/23 SB sent Jennifer a text 3/1/23 SB emailed Jennifer for IR3 match and sent About Interns 1/25/23 CT not available for IR2 anymore due to busy work schedule/travel until April. Reach out for IR3 1/9/23 CT available for Wheels IR2 1/3/23 CT followed up for IR2 12/27/22 CT asked for IR2 Wheels schedule 4/22/22 Not available for IR3 due to busy work schedule and travelling globally. CT 12/29/21 SB sent IR2 FY21-22 schedule list for matching</t>
  </si>
  <si>
    <t>461 Dean St. Brooklyn NY 11217</t>
  </si>
  <si>
    <t>Jennifer Joelle Kachler LLC</t>
  </si>
  <si>
    <t>Soiree Williams</t>
  </si>
  <si>
    <t>East Brunswick HS</t>
  </si>
  <si>
    <t>Jenny</t>
  </si>
  <si>
    <t>Lisbet Chickering</t>
  </si>
  <si>
    <t>619-245-5623</t>
  </si>
  <si>
    <t>jenny.portugal@gmail.com</t>
  </si>
  <si>
    <t>2/21/24 let WW know: &amp;#34; I have lost my father yesterday and I am trying to cope with everything.  &amp;#34; 11/1/23 confirmed for IR1, MA sent 10/25/23 SB sent text for IR1 10/23/23 SB emailed for IR1 7/20/23 Jenny responded to text asking for more info, SB responded letting her know we found a CPC but asked if available for IR1 crotona 7/18/23 WW emailed for IRS, FG followed up with text and called and left VM 12/22/21 SB sent IR2 FY21-22 schedule list for matching -10/27 SB talked with Jenny on the phone, she asked to be sent the dates over text (text sent) -10/27 SB called Jenny and left VM -10/21 SB sent email Updated Job position and Company on 7/21/21 SB In response to JPS' re-engagement email in beggining of January 2021, Jenny said: &amp;#34;Thank  you for checking in and I appreciate you taking the time. However I work in a health care setting,  as you know right now we are really maxed due to the pandemic. I could not successfully take on an intern at this time,  truthfully I am completing a 6 month internship with a young lady I picked up in June. Very excited for that to also close to give me back some time with all I have going on with my Health Care operations day job.  Hopefully things will lighten up in the future,  like I stated I appreciate you continuing to check-in. Have a great rest of your day.&amp;#34;</t>
  </si>
  <si>
    <t>Orange County, CA</t>
  </si>
  <si>
    <t>Alchemee (formerly The Proactiv Company)</t>
  </si>
  <si>
    <t>Seminars 22, Seminars 21, FY 23 - 24, FY 19 - 20</t>
  </si>
  <si>
    <r>
      <rPr>
        <color rgb="FF1155CC"/>
        <sz val="10.0"/>
        <u/>
      </rPr>
      <t>Fania Minaya</t>
    </r>
    <r>
      <rPr>
        <sz val="10.0"/>
      </rPr>
      <t xml:space="preserve">, </t>
    </r>
    <r>
      <rPr>
        <color rgb="FF1155CC"/>
        <sz val="10.0"/>
        <u/>
      </rPr>
      <t>Jeter Perez</t>
    </r>
    <r>
      <rPr>
        <sz val="10.0"/>
      </rPr>
      <t xml:space="preserve">, </t>
    </r>
    <r>
      <rPr>
        <color rgb="FF1155CC"/>
        <sz val="10.0"/>
        <u/>
      </rPr>
      <t>Marthiel Cruz</t>
    </r>
    <r>
      <rPr>
        <sz val="10.0"/>
      </rPr>
      <t xml:space="preserve">, </t>
    </r>
    <r>
      <rPr>
        <color rgb="FF1155CC"/>
        <sz val="10.0"/>
        <u/>
      </rPr>
      <t>Oneyda Melgar</t>
    </r>
    <r>
      <rPr>
        <sz val="10.0"/>
      </rPr>
      <t xml:space="preserve"> and </t>
    </r>
    <r>
      <rPr>
        <color rgb="FF1155CC"/>
        <sz val="10.0"/>
        <u/>
      </rPr>
      <t>Catalina Henriquez</t>
    </r>
  </si>
  <si>
    <t>P2GBronx, ClaremontIHS, CrotonaIHS, FlushingIHS</t>
  </si>
  <si>
    <t>Chen</t>
  </si>
  <si>
    <t>jennyjchen@stanford.edu</t>
  </si>
  <si>
    <t>10/26/23 SB called for IR1 - said she should be available, SB emailed full list of dates and about Interns CT asked in reference email 8/4/22, managing some personal situations and won't be able to participate as Champion over the next year. 8/4/22 CT Managing some personal situations and won't be able to participate as Champion over the next year. CT 8/4/22 2/8/22 Jenny responded saying she could not match right now and could not attend 2/11 training, when asked about IR3 she said to follow up in March. SB 2/7/22 SB Called Jenny Chen on Google Voice, leave voicemail, send text and email about training and possible match 2/3/22 passed screening SB, sent congrats email 12/6/21 SB called Jenny 11/15/21 Jenny scheduled for screening call - emailed day of and had to cancel due to family emergency, said she would reschedule when she was available SB Jenny was matched and match announcement sent -- we even coordinated a special schedule to accommodate her request; she bailed after the match was confirmed by both students saying work issue and didn't try to get on the phone or communicate what's possible  11/4/21 SB sent screening email and possible match 11/2/21 SB sent screening scheduling email</t>
  </si>
  <si>
    <t>7372 Sonoma Creek Court, Rancho Cucamonga, CA 91739</t>
  </si>
  <si>
    <t>Rancho Cucamonga, CA</t>
  </si>
  <si>
    <t>Rancho Cucamonga</t>
  </si>
  <si>
    <t>Xochilt Salinas</t>
  </si>
  <si>
    <t>408-644-2245</t>
  </si>
  <si>
    <t>jenxsalinas@gmail.com</t>
  </si>
  <si>
    <t>Prefers email over text 12/23/21 emailed SB saying &amp;#34;I am not available at this time for any future rounds. I have my own non-profit and unfortunately they take the majority of my free time.&amp;#34; - Check back in 2023 12/22/21 SB sent IR2 FY21-22 schedule list for matching Hetal reached out to Jenny October 2021 re: a match -- Jenny's going through some personal issues with her mother being shifted to hospice care, can't Champion but can share with Lean In Latinas (10/18/21)</t>
  </si>
  <si>
    <t>84 Superior Dr. Campbell, CA 95008</t>
  </si>
  <si>
    <t>Stanford Health Care</t>
  </si>
  <si>
    <t>Seminars 21, FY 17 - 18</t>
  </si>
  <si>
    <r>
      <rPr>
        <color rgb="FF1155CC"/>
        <sz val="10.0"/>
        <u/>
      </rPr>
      <t>Begayim Makenova</t>
    </r>
    <r>
      <rPr>
        <sz val="10.0"/>
      </rPr>
      <t xml:space="preserve"> and </t>
    </r>
    <r>
      <rPr>
        <color rgb="FF1155CC"/>
        <sz val="10.0"/>
        <u/>
      </rPr>
      <t>Mohiruza Raimkulova</t>
    </r>
  </si>
  <si>
    <t>QD24, GWHS</t>
  </si>
  <si>
    <t>Jimy</t>
  </si>
  <si>
    <t>Shah</t>
  </si>
  <si>
    <t>404-543-7603</t>
  </si>
  <si>
    <t>jimy.shah@gmail.com</t>
  </si>
  <si>
    <t>3/29/23 CT asked about being Seminar Speaker for Wheels 12/12/22 Jimy won't be available for FY for now, only Seminars. She has a very busy schedule and cannot commit to any rounds. CT 12/08/22 CT asked about Wheels schedule for IR2 1/10/21 SB sent schedules for FY21-22 IR2 Jimy sent Hetal updated bio 11/15/21 Doubled Checked 1/19 (KW) Jimy was screened on 1/12/2020 by Dona Rehm contacted for screening call 1/7 Sent her a folLow up since covid august 28th 2020 Got back to me September 3rd 2020 Sent her onboarding materials September 3rd and didn't hear back from her  Sent her a follow up September 9th 2020</t>
  </si>
  <si>
    <t>4646 Los Feliz Blvd #325 Los Angeles, CA 90027</t>
  </si>
  <si>
    <t>Self</t>
  </si>
  <si>
    <t>Antoine</t>
  </si>
  <si>
    <t>joanne.antoine1027@gmail.com</t>
  </si>
  <si>
    <t>10/04/22 Not available in the near future and wants to be taken off the list. She signed up before covid but now doesn't have any capacity to serve. Marked her as inactive. CT 12/28/21 SB sent IR2 FY21-22 schedule list for matching Doubled Checked 1/19 (KW)</t>
  </si>
  <si>
    <t>1401 Blair Mill Rd. Apt 304</t>
  </si>
  <si>
    <t>Silver Spring, MD</t>
  </si>
  <si>
    <t>Silver Spring</t>
  </si>
  <si>
    <t>Common Cause Maryland</t>
  </si>
  <si>
    <t>Jose Carlos</t>
  </si>
  <si>
    <t>Campos</t>
  </si>
  <si>
    <t>jocarcam7068@gmail.com</t>
  </si>
  <si>
    <t>3/25/24 WW emailed for IR3 2/1/23 CT Jose Carlos let Priscila know he's only available on Fridays to meet with Interns . 1/30/23 CT sent follow up 1/27/23 CT asked for IR2 availability with wheels schedule 10/4/22 Steve Delco (spouse, professional and personal reference to Jose Carlos Campos) seemed very interested in SpeakHire and mentioned that he and Jose are planning on setting up a non-profit organization that will award scholarships to economically challenged students/people for excellence in science and/or music. It sounds like they've directed non-profits before, specifically together and independently. Here is his name and email address.  Steve Delco spdelco@gmail.com . HY 3/17/22 Only available Fridays for seminars. CT Sent congratulations and training scheduling email 10/27/21 SB Completed and passed screening on 10/25/21 SB Screening scheduling email sent 10/20/21 SB</t>
  </si>
  <si>
    <t>2 Hulls Highway, Southport, CT 06890</t>
  </si>
  <si>
    <t>Southport, Connecticut - USA</t>
  </si>
  <si>
    <t>Southport</t>
  </si>
  <si>
    <t>CT</t>
  </si>
  <si>
    <t>Fairfield County Implants and Periodontics</t>
  </si>
  <si>
    <t>Jody</t>
  </si>
  <si>
    <t>Kramer</t>
  </si>
  <si>
    <t>jodyjaykramer@gmail.com</t>
  </si>
  <si>
    <t>5/22/23 CT &amp;#34;Unfortunately, my schedule has not become less busy.  I will not be able to act as a champion during the summer.  I will reach out if my situation changes.&amp;#34; 1/4/23 Jody can't make any commitments for future rounds because of busy schedule but we can always check in with him. CT 1/3/23 Not available for IR2 CT 1/3/23 CT asked for IR2 availability Wheels schedule 7/25/22 Jody is not available to participate in any more rounds this year due to more work commitments &amp;amp; travelling. CT 02/03/22 Completed CPC Orientation &amp;amp; Onboarding Training CT 01/26/22 Passed Screening Call with CT &amp;amp; HJ, sent congrats email with training invite CT</t>
  </si>
  <si>
    <t>7206 Dogue Forest Ct</t>
  </si>
  <si>
    <t>Alexandria, VA</t>
  </si>
  <si>
    <t>Alexandria</t>
  </si>
  <si>
    <t>Federal Bureau of Investigation</t>
  </si>
  <si>
    <r>
      <rPr>
        <color rgb="FF1155CC"/>
        <sz val="10.0"/>
        <u/>
      </rPr>
      <t>Ariel Cedeno</t>
    </r>
    <r>
      <rPr>
        <sz val="10.0"/>
      </rPr>
      <t xml:space="preserve">, </t>
    </r>
    <r>
      <rPr>
        <color rgb="FF1155CC"/>
        <sz val="10.0"/>
        <u/>
      </rPr>
      <t>Rassiel Munoz Gomez</t>
    </r>
    <r>
      <rPr>
        <sz val="10.0"/>
      </rPr>
      <t xml:space="preserve">, </t>
    </r>
    <r>
      <rPr>
        <color rgb="FF1155CC"/>
        <sz val="10.0"/>
        <u/>
      </rPr>
      <t>Maria Polanco</t>
    </r>
    <r>
      <rPr>
        <sz val="10.0"/>
      </rPr>
      <t xml:space="preserve"> and </t>
    </r>
    <r>
      <rPr>
        <color rgb="FF1155CC"/>
        <sz val="10.0"/>
        <u/>
      </rPr>
      <t>Bianca Mora</t>
    </r>
  </si>
  <si>
    <t>John</t>
  </si>
  <si>
    <t>Mix</t>
  </si>
  <si>
    <t>johnlmix@gmail.com</t>
  </si>
  <si>
    <t>4/10/23 CT not available for the Seminar and much availability for the next 6-7 months. 4/3/23 CT asked about being an in-person Speaker for BCHS Seminar 2/22/22 Completed CPC Training CT Did not attend scheduled training on 2/11/22, have yet to respond to outreach about training, SB emailing to reschedule 2/1/22 SB called and talked, resending congrats email 12/29/21 congrats email sent with trainings and full IR2 schedule 12/28/21 passed screening SB 12/27/21 SB sent screening scheduling email</t>
  </si>
  <si>
    <t>123 Park Ave. Apt C4 Amityville NY 11701</t>
  </si>
  <si>
    <t>Amityville</t>
  </si>
  <si>
    <t>Physicians for Human Rights</t>
  </si>
  <si>
    <r>
      <rPr>
        <color rgb="FF1155CC"/>
        <sz val="10.0"/>
        <u/>
      </rPr>
      <t>Takezo Fujita Ostman</t>
    </r>
    <r>
      <rPr>
        <sz val="10.0"/>
      </rPr>
      <t xml:space="preserve">, </t>
    </r>
    <r>
      <rPr>
        <color rgb="FF1155CC"/>
        <sz val="10.0"/>
        <u/>
      </rPr>
      <t>Wildainy Martinez</t>
    </r>
    <r>
      <rPr>
        <sz val="10.0"/>
      </rPr>
      <t xml:space="preserve">, </t>
    </r>
    <r>
      <rPr>
        <color rgb="FF1155CC"/>
        <sz val="10.0"/>
        <u/>
      </rPr>
      <t>Ashley Sosa</t>
    </r>
    <r>
      <rPr>
        <sz val="10.0"/>
      </rPr>
      <t xml:space="preserve"> and </t>
    </r>
    <r>
      <rPr>
        <color rgb="FF1155CC"/>
        <sz val="10.0"/>
        <u/>
      </rPr>
      <t>Noelia Pimentel</t>
    </r>
  </si>
  <si>
    <t>SOF, P2GManhattan, P2GBronx, IHS Health, IHSUnionSquare, ClaremontIHS</t>
  </si>
  <si>
    <t>Joshua</t>
  </si>
  <si>
    <t>Foster</t>
  </si>
  <si>
    <t>405-922-9835</t>
  </si>
  <si>
    <t>joshua.foster@csaa.com</t>
  </si>
  <si>
    <t>7/11/23 Joshua messaged, &amp;#34;this summer opportunity to intern will not be a good time for me. I've decided to go back to school for my Masters degree starting in August. Im afraid I won't be able to keep my time commitment for the intern program.&amp;#34; marking inactive for now, maybe reach out again in a year 7/11/23 SB called, primary number not accepting calls. Tried back up number, left VM and sent text  7/10/23 SB sent text for IRS 7/7/23 SB emailed to see if available for IRS Not available for Internship Rounds in the near future, expect newborn in September 22. 8/3/22 CT Not available for Seminars until fall. 4/7/22 CT HJ updated phone number to what it is now from 405-803-3785 (3.21.22) 3/8/22 Sent email for IR3 availability CT 12/20/21 Completed Onboarding training with SB and CT 12/13/21 SB sent follow up email 12/10/21 sent congrats and training scheduling email SB 12/9/21 passed screening SB 12/3/21 SB sent screening scheduling email</t>
  </si>
  <si>
    <t>8116 NW 159th St Edmond OK, 73013</t>
  </si>
  <si>
    <t>Edmond, Oklahoma</t>
  </si>
  <si>
    <t>Edmond</t>
  </si>
  <si>
    <t>OK</t>
  </si>
  <si>
    <t>CSAA Insurance Group</t>
  </si>
  <si>
    <t>Seminars 23, FY 21 - 22</t>
  </si>
  <si>
    <r>
      <rPr>
        <color rgb="FF1155CC"/>
        <sz val="10.0"/>
        <u/>
      </rPr>
      <t>Marziyaoy Norkulova</t>
    </r>
    <r>
      <rPr>
        <sz val="10.0"/>
      </rPr>
      <t xml:space="preserve">, </t>
    </r>
    <r>
      <rPr>
        <color rgb="FF1155CC"/>
        <sz val="10.0"/>
        <u/>
      </rPr>
      <t>Vitaliy Kuz</t>
    </r>
    <r>
      <rPr>
        <sz val="10.0"/>
      </rPr>
      <t xml:space="preserve">, </t>
    </r>
    <r>
      <rPr>
        <color rgb="FF1155CC"/>
        <sz val="10.0"/>
        <u/>
      </rPr>
      <t>Jhon Fila</t>
    </r>
    <r>
      <rPr>
        <sz val="10.0"/>
      </rPr>
      <t xml:space="preserve"> and </t>
    </r>
    <r>
      <rPr>
        <color rgb="FF1155CC"/>
        <sz val="10.0"/>
        <u/>
      </rPr>
      <t>Paula Arias</t>
    </r>
  </si>
  <si>
    <t>WheelsNYC, GWHS, IHS Health</t>
  </si>
  <si>
    <t>Josh</t>
  </si>
  <si>
    <t>Harris</t>
  </si>
  <si>
    <t>joshua.harris24@gmail.com</t>
  </si>
  <si>
    <t>11/14/22 Josh agreed to match. SB spent a month trying to confirm group so match announcement  could be sent. Emailed multiple times, called, left voice mails and texts as well. Josh never responded to any contact attempts. Needs to go through star training 10/6/22 SB messaged Josh, he is still in an uncertain transitional stage but said he can confirm a Wheels match 9/29/22 SB emailed for wheels match BMW sent text on 8/4. Said he is having some major transitional changes and not sure where he will end up. Reach out when we have days/time to check in where he is at and if he is available. BMW 8/5 3/8/22 Sent email for IR3 availability CT 02/03/22 Completed CPC Orientation &amp;amp; Onboarding Training CT 02/02/22 sent congrats email  Hetal screened on 2/2/22 2/1/22 SB called, Josh and left VM. Josh called back and confirmed a training and screening with Hetal 1/10/22 SB sent screening scheduling email</t>
  </si>
  <si>
    <t>15 19th Ave Venice, CA 90291</t>
  </si>
  <si>
    <t>The Agency</t>
  </si>
  <si>
    <r>
      <rPr>
        <color rgb="FF1155CC"/>
        <sz val="10.0"/>
        <u/>
      </rPr>
      <t>Sael Marroquin</t>
    </r>
    <r>
      <rPr>
        <sz val="10.0"/>
      </rPr>
      <t xml:space="preserve">, </t>
    </r>
    <r>
      <rPr>
        <color rgb="FF1155CC"/>
        <sz val="10.0"/>
        <u/>
      </rPr>
      <t>Josselyn Rivera</t>
    </r>
    <r>
      <rPr>
        <sz val="10.0"/>
      </rPr>
      <t xml:space="preserve">, </t>
    </r>
    <r>
      <rPr>
        <color rgb="FF1155CC"/>
        <sz val="10.0"/>
        <u/>
      </rPr>
      <t>Denzel Velasquez</t>
    </r>
    <r>
      <rPr>
        <sz val="10.0"/>
      </rPr>
      <t xml:space="preserve"> and </t>
    </r>
    <r>
      <rPr>
        <color rgb="FF1155CC"/>
        <sz val="10.0"/>
        <u/>
      </rPr>
      <t>Paula Astudillo</t>
    </r>
  </si>
  <si>
    <t>IHS Health, ClaremontIHS, IHSUnionSquare</t>
  </si>
  <si>
    <t>Karen</t>
  </si>
  <si>
    <t>Tan</t>
  </si>
  <si>
    <t>917-972-6990</t>
  </si>
  <si>
    <t>joy04flow@hotmail.com</t>
  </si>
  <si>
    <t>5/17/22 SB sent re-engagement email 1/24 SB call, VM,  text 12/30/21 SB sent IR2 FY21-22 schedule list for matching JPS sent an email via Champions@speakhire.org to schedule a training webinar on 7/21/21. Looks like she had a screening call with Jenny in Dec 2018 JPS emailed to schedule a Screening Call on 2/18/21</t>
  </si>
  <si>
    <t>Self-Employed</t>
  </si>
  <si>
    <t>Janelle</t>
  </si>
  <si>
    <t>Amoako</t>
  </si>
  <si>
    <t>401-699-8141</t>
  </si>
  <si>
    <t>jpamoako7@gmail.com</t>
  </si>
  <si>
    <t>Messaged Hetal that she will reach o9ut when available -- Hetal marked as inactive on 1/25/22 -- reach out by 1/25/24 if she does not reach back  Messaged Hetal on 1/24/22 that she's busy with work and teaching -- touch base June 2022 PREFERS TEXT (HJ 11/1/21) born in England, came here at 5 -- parents from Ghana; august 2021 went to ghana to do mission work and very connected to culture -- likes speakhire because of our focus with career and culture -- experienced imposter syndrome; doesn't want others to experience that; experienced not having parents who understand the process; screening conducted by HJ 10/31/21 10/12/21 SB sent re-engagement email JPS sent an outreach email on 6/17/21 to check on Janelle's status. Janelle responded on the same day &amp;amp; said, &amp;#34;Thank you for reaching out! At this time, I have to say no at this time. I will be leaving the country as well so it is not the best time.&amp;#34; JPS responded &amp;amp; asked when would be a good time to reach back out. Waiting on response 7/21/21. For now, marked inactive. Doubled Checked 1/19 (KW) not available for screening until 2/1/2020</t>
  </si>
  <si>
    <t>Sibley Memorial</t>
  </si>
  <si>
    <t>Rosen</t>
  </si>
  <si>
    <t>Jrosen13@northwell.edu</t>
  </si>
  <si>
    <t>3/5/24 WW emailed for sponsor session 12/19/22 Jennifer is not available for IR2 but maybe for summer/fall round. CT 12/08/22 CT asked about Wheels schedule for IR2 Reached out about her references. Not available for IR1. CT 8/1/22 8/1/22 Not available for IR1. CT Needs a strong group 7/5/22 SB contacted for IRS match 5/16/22 CT Attended CPC Orientation &amp;amp; Onboarding Training</t>
  </si>
  <si>
    <t>100 Daly Blvd Oceanside NY 11572</t>
  </si>
  <si>
    <t>Oceanside</t>
  </si>
  <si>
    <t>Northwell Hospital</t>
  </si>
  <si>
    <r>
      <rPr>
        <color rgb="FF1155CC"/>
        <sz val="10.0"/>
        <u/>
      </rPr>
      <t>Erika Matias</t>
    </r>
    <r>
      <rPr>
        <sz val="10.0"/>
      </rPr>
      <t xml:space="preserve">, </t>
    </r>
    <r>
      <rPr>
        <color rgb="FF1155CC"/>
        <sz val="10.0"/>
        <u/>
      </rPr>
      <t>Kenia Cholom</t>
    </r>
    <r>
      <rPr>
        <sz val="10.0"/>
      </rPr>
      <t xml:space="preserve">, </t>
    </r>
    <r>
      <rPr>
        <color rgb="FF1155CC"/>
        <sz val="10.0"/>
        <u/>
      </rPr>
      <t>Yonathan Martinez</t>
    </r>
    <r>
      <rPr>
        <sz val="10.0"/>
      </rPr>
      <t xml:space="preserve"> and </t>
    </r>
    <r>
      <rPr>
        <color rgb="FF1155CC"/>
        <sz val="10.0"/>
        <u/>
      </rPr>
      <t>Jhon Fila</t>
    </r>
  </si>
  <si>
    <t>Jigar</t>
  </si>
  <si>
    <t>jrpatel130@gmail.com</t>
  </si>
  <si>
    <t>7/17/23 - SB sent email for IRS, BC called &amp;amp; left VM,  SB sent follow up text 4/25/23 SB messaged for IR3 4/18/23 SB emailed for IR3 7/13/22 SB contacted for IRS match 3/21/22 Not available for IR3 CT Training completed 10/28/21 SB SB Screening passed 10/27/21 Sent screening scheduling email on 10/20/21 SB</t>
  </si>
  <si>
    <t>1466 Needham Circle, Hatfield, PA 19440</t>
  </si>
  <si>
    <t>New York City / Philadelphia</t>
  </si>
  <si>
    <t>Hatfield</t>
  </si>
  <si>
    <t>Sia Partners</t>
  </si>
  <si>
    <r>
      <rPr>
        <color rgb="FF1155CC"/>
        <sz val="10.0"/>
        <u/>
      </rPr>
      <t>Leslie D. Sanchez Olivo</t>
    </r>
    <r>
      <rPr>
        <sz val="10.0"/>
      </rPr>
      <t xml:space="preserve"> and </t>
    </r>
    <r>
      <rPr>
        <color rgb="FF1155CC"/>
        <sz val="10.0"/>
        <u/>
      </rPr>
      <t>Ivania Posada</t>
    </r>
  </si>
  <si>
    <t>IHSUnionSquare, CrotonaIHS</t>
  </si>
  <si>
    <t>Joanna</t>
  </si>
  <si>
    <t>Sun</t>
  </si>
  <si>
    <t>js2anna@gmail.com</t>
  </si>
  <si>
    <t>4/3/23 CT sent follow up with CPC Training dates 2/9/23 CT sent re-engagement email 5/18/22 SB sent re-engagement email 12/28/21 SB sent IR2 FY21-22 schedule list for matching Hetal reached out to Joanna a few times in October and then called again one final time on November 3rd 2021 for a match for FY21 IR1 -- hoping to hear back JPS sent an email via Champions@speakhire.org to schedule a training webinar on 7/21/21. Joanna emailed on 9/14/2020 to say that something came up and work and she does not think she is able to accommodate mentees during the week anymore. She wants to let us know when her schedule clears up. I let her know that if she wanted to still go through with the training, we have one scheduled for 9/28/2020. Have not heard back from Joanna after Screening Call. Emailed again on 9/14/2020. Followed up on 9/7/2020 about scheduling a training call. Emailed Joanna on 9/3/2020 congratulating her for passing the screening call, sending her materials,  scheduling the training. Joanna wants to start with one pair of mentees. She prefers times that are morning PST but is flexible. Screening call conducted on 9/2/2020 at 2 pm EST by Jennifer Peterson-Sharma Screening call scheduled for 9/2/2020 Emailed on 8/27/2020 about setting up screening call</t>
  </si>
  <si>
    <t>3213 Briones Terr Fremont CA 94538</t>
  </si>
  <si>
    <t>Fremont, CA</t>
  </si>
  <si>
    <t>Flexport, Inc.</t>
  </si>
  <si>
    <t>Joy</t>
  </si>
  <si>
    <t>Shri Das</t>
  </si>
  <si>
    <t>(314) 223-2589</t>
  </si>
  <si>
    <t>jsd246@cornell.edu</t>
  </si>
  <si>
    <t>12/22/21 SB emailed Joy asking for new position info Joy's personal email is joy.s.das14@gmail.com. She would like her calendar invites be sent to her work email jsd246@cornell.edu. Joy had a refresher training with Jennifer Peterson-Sharma on 10/12/2020 at 7:30 pm EST. She was sent the refresher PDF and the training video.  Did not hear back and followed up on 10/6 Jennifer Peterson-Sharma emailed on 10/1 to ask about her availability for the mentoring rounds beginning in November. </t>
  </si>
  <si>
    <t>700 Warren Road, Apt. 16-1E, Ithaca NY</t>
  </si>
  <si>
    <t>Ithaca, NY</t>
  </si>
  <si>
    <t>Ithaca</t>
  </si>
  <si>
    <t>Cornell University</t>
  </si>
  <si>
    <r>
      <rPr>
        <color rgb="FF1155CC"/>
        <sz val="10.0"/>
        <u/>
      </rPr>
      <t>Noashin Sarker</t>
    </r>
    <r>
      <rPr>
        <sz val="10.0"/>
      </rPr>
      <t xml:space="preserve">, </t>
    </r>
    <r>
      <rPr>
        <color rgb="FF1155CC"/>
        <sz val="10.0"/>
        <u/>
      </rPr>
      <t>Mama Kouyate</t>
    </r>
    <r>
      <rPr>
        <sz val="10.0"/>
      </rPr>
      <t xml:space="preserve"> and </t>
    </r>
    <r>
      <rPr>
        <color rgb="FF1155CC"/>
        <sz val="10.0"/>
        <u/>
      </rPr>
      <t>Magby Orellana</t>
    </r>
  </si>
  <si>
    <t>ELLIS, ICHSBronx</t>
  </si>
  <si>
    <t>Julia</t>
  </si>
  <si>
    <t>Golkin</t>
  </si>
  <si>
    <t>908-967-7817</t>
  </si>
  <si>
    <t>julia.golkin@gmail.com</t>
  </si>
  <si>
    <t>More responsive via text than email 3/7/23 SB sent text about IR3 3/2/23 SB sent follow up email 2/21/23 SB sent email about prospective Wheels match for IR3 1/11/23 SB texted to follow up for IR2 - not available asked to be considered for IR3 1/5/23 SB followed up for IR2 and updated resume via text 1/3/23 SB sent follow up email about matching 12/20/22 SB followed up via email for availability and updated resumes 12/13/22 emailed saying she will check schedule for Ellis match SB 12/9/22 SB emailed for Ellis match 9/23/22 Julia unable to participate in IR1 due to new job and new clinic opening. She is interested in future rounds. Asked for updated resume. SB 9/22/22 SB messaged for Ellis match 7/5 SB emailed Julia for match - Julia unable. Interested for IR1 3/21/22 Not available for IR3 CT 12/30/21 SB sent IR2 FY21-22 schedule list for matching Julia sent her resume and said that trying to be matched was &amp;#34;not a problem&amp;#34; -  generally, she seems available and open to send over a potential match.  JPS emailed to check in &amp;#43; request resume on 2/9/2021 passed screening on March 11th 2020 uploaded to Kintone but marked as inactive/yellow until screening complete</t>
  </si>
  <si>
    <t>3404 Powelton Avenue, Philadelphia</t>
  </si>
  <si>
    <t>The Hospital of the University of Pennsylvania</t>
  </si>
  <si>
    <r>
      <rPr>
        <color rgb="FF1155CC"/>
        <sz val="10.0"/>
        <u/>
      </rPr>
      <t>Juliana Cáceres</t>
    </r>
    <r>
      <rPr>
        <sz val="10.0"/>
      </rPr>
      <t xml:space="preserve"> and </t>
    </r>
    <r>
      <rPr>
        <color rgb="FF1155CC"/>
        <sz val="10.0"/>
        <u/>
      </rPr>
      <t>Jia Meng Woon</t>
    </r>
  </si>
  <si>
    <t>Jasmine</t>
  </si>
  <si>
    <t>Zheng</t>
  </si>
  <si>
    <t>929-313-7320</t>
  </si>
  <si>
    <t>jzheng9045@gmail.com</t>
  </si>
  <si>
    <t>12/27/21 SB sent IR2 FY21-22 schedule list for matching Jasmine has been overall slightly flaky for IR2 2020-2021 and it wasn't until Malak texted on 4/8/21 that she joined her session.  We reached out to Jasmine to try and match her for the R2 2020-2021 session. She said &amp;#34;I?m interested in continuing mentoring at speakhire, but I will need to skip the upcoming session due to my current workload. I?m interested in participating again the fall. Let me know if there?s anything you need from me.&amp;#34; Jasmine was trained on 9/14/2020 by Jennifer Peterson-Sharma and Kiesha Charles. Jasmine is scheduled to be trained on 9/14/2020. Jasmine wants to start with one mentee pair initially. Screening call conducted on 9/4/2020 at 10:00 am by Jennifer Peterson-Sharma. Screening call scheduled for 9/4/2020 Emailed on 8/31/2020 about setting up screening call</t>
  </si>
  <si>
    <t>PepsiCo</t>
  </si>
  <si>
    <r>
      <rPr>
        <color rgb="FF1155CC"/>
        <sz val="10.0"/>
        <u/>
      </rPr>
      <t>Chenming Tian</t>
    </r>
    <r>
      <rPr>
        <sz val="10.0"/>
      </rPr>
      <t xml:space="preserve">, </t>
    </r>
    <r>
      <rPr>
        <color rgb="FF1155CC"/>
        <sz val="10.0"/>
        <u/>
      </rPr>
      <t>Yongqiang Tan</t>
    </r>
    <r>
      <rPr>
        <sz val="10.0"/>
      </rPr>
      <t xml:space="preserve">, </t>
    </r>
    <r>
      <rPr>
        <color rgb="FF1155CC"/>
        <sz val="10.0"/>
        <u/>
      </rPr>
      <t>Abdurakhim Yunusov</t>
    </r>
    <r>
      <rPr>
        <sz val="10.0"/>
      </rPr>
      <t xml:space="preserve"> and </t>
    </r>
    <r>
      <rPr>
        <color rgb="FF1155CC"/>
        <sz val="10.0"/>
        <u/>
      </rPr>
      <t>Hongning Wei</t>
    </r>
  </si>
  <si>
    <t>FlushingIHS, NYC Mission - Emma Lazarus</t>
  </si>
  <si>
    <t>Kadiatou (Kady)</t>
  </si>
  <si>
    <t>Sylla</t>
  </si>
  <si>
    <t>kady2003@gmail.com</t>
  </si>
  <si>
    <t>4/25/23 SB emailed for IR3 1/13/23 SB sent text for IR2 matching, Kady responded, &amp;#34; I'm sadly unavailable at the moment. Can I reach out when my schedule eases up from travels?&amp;#34; SB responded yes and that we can reach out for future rounds 1/10/23 SB sent follow up email for matching 1/6/22 SB emailed for IR2 ellis BMW sent text on 8/4. Is unavailable for IR1 due to a packed work schedule. Wants to be contacted for I R2 . BMW Not available for IR1. She's really busy and wants to be contacted for IR2. CT 8/9/22 Only did FY21-22 IR3. Follow up with again to reengage Hetal updated her profile on March 21, 2022 after Kady replied all in the FY 21-22 IR 3 match announcement  12/21/21 SB sent IR2 FY21-22 schedule list for matching Completed onboarding and orientation webinar on 11/5/21 SB sent screening scheduling email 10/5/21 SB</t>
  </si>
  <si>
    <t>50 West 129th Street, Apartment 3D</t>
  </si>
  <si>
    <t>King Baudouin Foundation US</t>
  </si>
  <si>
    <r>
      <rPr>
        <color rgb="FF1155CC"/>
        <sz val="10.0"/>
        <u/>
      </rPr>
      <t>Michelove Jeanbaptiste</t>
    </r>
    <r>
      <rPr>
        <sz val="10.0"/>
      </rPr>
      <t xml:space="preserve">, </t>
    </r>
    <r>
      <rPr>
        <color rgb="FF1155CC"/>
        <sz val="10.0"/>
        <u/>
      </rPr>
      <t>Alison Vargas</t>
    </r>
    <r>
      <rPr>
        <sz val="10.0"/>
      </rPr>
      <t xml:space="preserve"> and </t>
    </r>
    <r>
      <rPr>
        <color rgb="FF1155CC"/>
        <sz val="10.0"/>
        <u/>
      </rPr>
      <t>Ricaldyne Saturne</t>
    </r>
  </si>
  <si>
    <t>IHS Lafayette</t>
  </si>
  <si>
    <t>Kapila</t>
  </si>
  <si>
    <t>Monga</t>
  </si>
  <si>
    <t>201-314-7591</t>
  </si>
  <si>
    <t>Kapila.Monga@gmail.com</t>
  </si>
  <si>
    <t>1/24/22 SB call, VM,  text 01/05/22 CT sent follow up email for matching 12/30/21 SB sent IR2 FY21-22 schedule list for matching JPS followed up on 2/17/21 - no response as of this date. JPS emailed on 2/9/21 to see if Kapila is available to match for IR2 20-21 (for Thursday afternoons).</t>
  </si>
  <si>
    <t>303 Pleasantview Dr APT A, Piscataway</t>
  </si>
  <si>
    <t>Piscataway, NJ</t>
  </si>
  <si>
    <t>Piscataway</t>
  </si>
  <si>
    <t>Cognizant</t>
  </si>
  <si>
    <t>Karmen</t>
  </si>
  <si>
    <t>Leung</t>
  </si>
  <si>
    <t>karmen927@gmail.com</t>
  </si>
  <si>
    <t>Via linkedin- Karmen got a  promotion, confirm with her that it is to &amp;#34;Chief of Staff at IBM&amp;#34; when she participates next May have done a Champion it Forward video in the past - HJ to check 7/15 Keep in mind for a CCC host, has a large network 7/17/23 - SB sent email for IRS, BC called &amp;amp; left VM,  SB sent follow up text 7/14/23 SB sent email for IRS 3/30/23 SB texted for IR3 12/27/22 CT Not available for IR2  12/22/22 Not available for IR2 for Wheels, offered other session times. CT 12/08/22 CT asked about Wheels schedule for IR2 01/05/22 CT sent follow up email for matching 12/30/21 SB sent IR2 FY21-22 schedule list for matching Double checked 1/26 (KW) Reached out to match Karmen for R2 2020-2021, but she said mid-week meetings do not fit into her schedule.</t>
  </si>
  <si>
    <t>385 River Oaks Parkway San Jose CA 95134</t>
  </si>
  <si>
    <t>San Francisco, California</t>
  </si>
  <si>
    <t>Seminars 21, FY 21 - 22, FY 17 - 18</t>
  </si>
  <si>
    <r>
      <rPr>
        <color rgb="FF1155CC"/>
        <sz val="10.0"/>
        <u/>
      </rPr>
      <t>Shahzodabonu Davronova</t>
    </r>
    <r>
      <rPr>
        <sz val="10.0"/>
      </rPr>
      <t xml:space="preserve">, </t>
    </r>
    <r>
      <rPr>
        <color rgb="FF1155CC"/>
        <sz val="10.0"/>
        <u/>
      </rPr>
      <t>Khadim Ndiaye</t>
    </r>
    <r>
      <rPr>
        <sz val="10.0"/>
      </rPr>
      <t xml:space="preserve">, </t>
    </r>
    <r>
      <rPr>
        <color rgb="FF1155CC"/>
        <sz val="10.0"/>
        <u/>
      </rPr>
      <t>Mimi Agbobli</t>
    </r>
    <r>
      <rPr>
        <sz val="10.0"/>
      </rPr>
      <t xml:space="preserve"> and </t>
    </r>
    <r>
      <rPr>
        <color rgb="FF1155CC"/>
        <sz val="10.0"/>
        <u/>
      </rPr>
      <t>Karyn Jean Jacques</t>
    </r>
  </si>
  <si>
    <t>CypressHills, NYC Mission - Emma Lazarus, American History</t>
  </si>
  <si>
    <t>Lynn Morcos</t>
  </si>
  <si>
    <t>310-849-8744</t>
  </si>
  <si>
    <t>karouna22@yahoo.com</t>
  </si>
  <si>
    <t>5/17/22 SB sent re-engagement email 1/24/22 SB sent follow up to CT text 01/05/22 CT sent follow up email for matching 12/30/21 SB sent IR2 FY21-22 schedule list for matching JPS sent an email via Champions@speakhire.org to schedule a training webinar on 7/21/21. Looks like she had a screening call with Jenny Hoefler in Feb 2019, no screening form. </t>
  </si>
  <si>
    <t>22 Faith, Irvine</t>
  </si>
  <si>
    <t>Newport Beach, CA</t>
  </si>
  <si>
    <t>Newport Beach</t>
  </si>
  <si>
    <t>The Wisdom Companies, LLC</t>
  </si>
  <si>
    <t>Kate</t>
  </si>
  <si>
    <t>Cory</t>
  </si>
  <si>
    <t>katemcory@gmail.com</t>
  </si>
  <si>
    <t>9/8/22 Not able to participate as Champion in the near future. Will reach out when available again. Marked her as inactive. CT 3/21/22 Not available for IR3. Does not want to continue as Champion. CT 12/29/21 SB sent IR2 FY21-22 schedule list for matching Due to a busy schedule has chosen to be inactive for the foreseeable future and has asked to hold off on references 8/12/21 SB JPS emailed Kate on 1/5/2021 to check her engagement status, no response as of 1/14/2021. Followed up on 1/14/2021. Emailed her onboarding materials on August 28th 2020  Screening call with Dona Rehm on June 4, 2020  Screening call with Dona Rehm on June 4, 2020  Scheduled Training call for September 8th 2020 with Kiesha Jennifer Peterson and Hetal at 12-2pm</t>
  </si>
  <si>
    <t>2947 Pine Avenue Rear Unit</t>
  </si>
  <si>
    <t>Berkeley, CA</t>
  </si>
  <si>
    <t>Berkeley</t>
  </si>
  <si>
    <t>Sonder</t>
  </si>
  <si>
    <r>
      <rPr>
        <color rgb="FF1155CC"/>
        <sz val="10.0"/>
        <u/>
      </rPr>
      <t>Mariama Diallo</t>
    </r>
    <r>
      <rPr>
        <sz val="10.0"/>
      </rPr>
      <t xml:space="preserve"> and </t>
    </r>
    <r>
      <rPr>
        <color rgb="FF1155CC"/>
        <sz val="10.0"/>
        <u/>
      </rPr>
      <t>Ousmane Diallo</t>
    </r>
  </si>
  <si>
    <t>NYC Mission - Emma Lazarus</t>
  </si>
  <si>
    <t>Issue 11 - 2/8/22</t>
  </si>
  <si>
    <t>Issue 11 - 25</t>
  </si>
  <si>
    <t>Katherine</t>
  </si>
  <si>
    <t>Quach</t>
  </si>
  <si>
    <t>katherineq0708@gmail.com</t>
  </si>
  <si>
    <t>5/10/23 SB sent text about screening 1/23/23 CT followed up via email to schedule screening 1/10/23 SB followed via email up to check in and see about screening 1/4/23 emailed saying due to a family emergency she will need to reschedule her screening call and will do so with in a week. SB responded wishing her well &amp;amp; sent reschedule information Scheduled screening for 1/4/23 SB 12/26/22 may not have enough experience for FY but perhaps Seminars will work. Sending screening email. SB</t>
  </si>
  <si>
    <t>5727 255 street</t>
  </si>
  <si>
    <t>ModernGuild</t>
  </si>
  <si>
    <t>Kaushik</t>
  </si>
  <si>
    <t>Sampath</t>
  </si>
  <si>
    <t>kaushiks03@gmail.com</t>
  </si>
  <si>
    <t>Not available for FY and Seminars for a while: &amp;#34;Unfortunately, I have been having some personal problems on my work visa and this might make me travel abroad and not be in the United States for a year or so. Because of my travel and personal commitments, I am going to unavailable for quite sometime.&amp;#34; CT 08/16/2022 Completed Training and Onboarding on 9/1/21 but did not complete instructional guide, said he would submit it soon SB Had a screening cal with JPS on 8/6/21 JPS followed up again on 7/12/21 Was scheduled for a screening call on 7/6/21 with JPS but did not show up; sent outreach to find out what happened JPS sent screening call email on 6/29/21</t>
  </si>
  <si>
    <t>5552 Bowland Place North, Dublin, OH 43016</t>
  </si>
  <si>
    <t>Dublin, Ohio</t>
  </si>
  <si>
    <t>Dublin</t>
  </si>
  <si>
    <t>OH</t>
  </si>
  <si>
    <t>Bark &amp; Co</t>
  </si>
  <si>
    <t>Pooja</t>
  </si>
  <si>
    <t>Kavi</t>
  </si>
  <si>
    <t>571-296-2677</t>
  </si>
  <si>
    <t>kavipooja@gmail.com</t>
  </si>
  <si>
    <t>3/20/23 SB sent text about IR3 3/17/23 SB send follow up email to Pooja 3/14/23 SB emailed for IR3 2/9/23 CT not available for IR2 2/9/23 CT sent follow up for IR2 2/7/23 CT asked for IR2 with Wheels schedule 9/20/22 Not available for IR1 CT 1/10/22 SB sent follow up email 1/5/22 SB sent IR2 FY21-22 schedule list for matching Reached out to Pooja for the 2020-2021 R2 sessions, but she was unable to accommodate the match.  JPS emailed on 1/5/2021 to check her engagement status, no response as of 1/14/2021. Followed up on 1/14/2021.</t>
  </si>
  <si>
    <t>1120 W 6th Street, Los Angeles</t>
  </si>
  <si>
    <t>Revolve</t>
  </si>
  <si>
    <t>Chloe</t>
  </si>
  <si>
    <t>Kenia</t>
  </si>
  <si>
    <t>Wellington</t>
  </si>
  <si>
    <t>kenia@kearsolutions.com</t>
  </si>
  <si>
    <t>3/8/24 WW emailed for IR3 10/31/23 SB sent text for IR1 10/25/23 SB sent email for IR1 3/30/23 SB messaged for IR3 Not available for IR1. CT 9/7/22 Inconsistent attendance, needs star training 12/21/21 SB sent IR2 FY21-22 schedule list for matching Kenia attended a CPC Training with JPS on 4/10/21 JPS emailed on 2/23/21 with congratulations email &amp;#43; to schedule Kenia for a training Kenia was screened by Fatima Sanz on 2/22/21 Hetal spoke with Kenia on 2/20/21 on the phone (understands immigrant experience, language barrier, transition parents teach to new social environment, young kids first-gen graduates -- wants to teach on social development - entrepreneurship match) JPS emailed on 2/3/2021 to schedule a Screening Call</t>
  </si>
  <si>
    <t>6 N Dorado Circle Apt 2E, Hauppauge</t>
  </si>
  <si>
    <t>Hauppauge</t>
  </si>
  <si>
    <t>Kear Solutions, Inc</t>
  </si>
  <si>
    <r>
      <rPr>
        <color rgb="FF1155CC"/>
        <sz val="10.0"/>
        <u/>
      </rPr>
      <t>Donis Aldana</t>
    </r>
    <r>
      <rPr>
        <sz val="10.0"/>
      </rPr>
      <t xml:space="preserve">, </t>
    </r>
    <r>
      <rPr>
        <color rgb="FF1155CC"/>
        <sz val="10.0"/>
        <u/>
      </rPr>
      <t>Diego Rojas</t>
    </r>
    <r>
      <rPr>
        <sz val="10.0"/>
      </rPr>
      <t xml:space="preserve">, </t>
    </r>
    <r>
      <rPr>
        <color rgb="FF1155CC"/>
        <sz val="10.0"/>
        <u/>
      </rPr>
      <t>Emely Nolasco</t>
    </r>
    <r>
      <rPr>
        <sz val="10.0"/>
      </rPr>
      <t xml:space="preserve"> and </t>
    </r>
    <r>
      <rPr>
        <color rgb="FF1155CC"/>
        <sz val="10.0"/>
        <u/>
      </rPr>
      <t>Fernanda Marte Vasquez</t>
    </r>
  </si>
  <si>
    <t>CrotonaIHS, ClaremontIHS</t>
  </si>
  <si>
    <t>$50 for Fernanda (Intern)</t>
  </si>
  <si>
    <t>Kenna</t>
  </si>
  <si>
    <t>Elice Ranson</t>
  </si>
  <si>
    <t>310 773 2100</t>
  </si>
  <si>
    <t>kenna.ranson@gmail.com</t>
  </si>
  <si>
    <t>Journalism/Media</t>
  </si>
  <si>
    <t>6070 Colton Blvd, Oakland</t>
  </si>
  <si>
    <t>Warner Brothers</t>
  </si>
  <si>
    <r>
      <rPr>
        <color rgb="FF1155CC"/>
        <sz val="10.0"/>
        <u/>
      </rPr>
      <t>Omar Camara</t>
    </r>
    <r>
      <rPr>
        <sz val="10.0"/>
      </rPr>
      <t xml:space="preserve"> and </t>
    </r>
    <r>
      <rPr>
        <color rgb="FF1155CC"/>
        <sz val="10.0"/>
        <u/>
      </rPr>
      <t>Mouhamed Barry</t>
    </r>
  </si>
  <si>
    <t>Kerry-Ann</t>
  </si>
  <si>
    <t>Henry</t>
  </si>
  <si>
    <t>kerryannhenry3@gmail.com</t>
  </si>
  <si>
    <t>12/15/22 SB followed up for match 12/13/22 SB emailed to re-engage and ask for Queens match Completed training 11/12/21 SB 11/11/21 SB, Kerry-Ann passed screening Screening scheduled for 11/11/21 at 9:00 am est SB 11/8/21 Kerry-Ann emailed back saying she could not access appointment slots. SB responded asking her for her availability in the coming days 11/8/21 SB sent screening scheduling email</t>
  </si>
  <si>
    <t>4385 Wickham Avenue</t>
  </si>
  <si>
    <t>Bronx, NY</t>
  </si>
  <si>
    <t>The New York Women's Foundation</t>
  </si>
  <si>
    <r>
      <rPr>
        <color rgb="FF1155CC"/>
        <sz val="10.0"/>
        <u/>
      </rPr>
      <t>Halimatou Sacko</t>
    </r>
    <r>
      <rPr>
        <sz val="10.0"/>
      </rPr>
      <t xml:space="preserve"> and </t>
    </r>
    <r>
      <rPr>
        <color rgb="FF1155CC"/>
        <sz val="10.0"/>
        <u/>
      </rPr>
      <t>Oumou Diallo</t>
    </r>
  </si>
  <si>
    <t>Keylin</t>
  </si>
  <si>
    <t>Rivera</t>
  </si>
  <si>
    <t>Keylinsrivera@gmail.com</t>
  </si>
  <si>
    <t>Keylin has a history of being unreliable with attendance, she should not be someone's first Champion but instead their 3rd, she has a track record of showing up late and of calling into sessions from her phone. Also needed text reminders the day of every session. Marking orange. SB 7/24/23 SB updated job information from Senior Manager, Special Projects at UnidosuS (Formerly National Council of La Raza) to Special Advisor, Intergovernmental Relations at U.S Environmental Protection Agency 7/18/23 WW emailed for IRS,  followed up with call -&amp;gt; Keylin agreed to match, SB sent about the Interns and she agreed to the group but asked not to be listed under business Circle back with Keylin FY21-22 IR3 for availability (HJ, 12/22/21) 12/22/21 Keylin emailed Hetal saying that she is unable to continue with the match due to getting a second job Keylin has been MIA for the past few sessions and has not been responding to contact 12/16/21 SB Hetal re-screened Keylin on 2/17/21 -- passed Hetal reached out on 2/15/21 to match and apologized for delay in any communication in between. </t>
  </si>
  <si>
    <t>452 M Street NW Apt. 5</t>
  </si>
  <si>
    <t>Washington, District of Columbia</t>
  </si>
  <si>
    <t>U.S Environmental Protection Agency</t>
  </si>
  <si>
    <t>FY 23 - 24, FY 21 - 22, FY 20 - 21</t>
  </si>
  <si>
    <r>
      <rPr>
        <color rgb="FF1155CC"/>
        <sz val="10.0"/>
        <u/>
      </rPr>
      <t>Cheikhouna Keinde</t>
    </r>
    <r>
      <rPr>
        <sz val="10.0"/>
      </rPr>
      <t xml:space="preserve">, </t>
    </r>
    <r>
      <rPr>
        <color rgb="FF1155CC"/>
        <sz val="10.0"/>
        <u/>
      </rPr>
      <t>Sarata Cisse</t>
    </r>
    <r>
      <rPr>
        <sz val="10.0"/>
      </rPr>
      <t xml:space="preserve">, </t>
    </r>
    <r>
      <rPr>
        <color rgb="FF1155CC"/>
        <sz val="10.0"/>
        <u/>
      </rPr>
      <t>Ayele Dounou</t>
    </r>
    <r>
      <rPr>
        <sz val="10.0"/>
      </rPr>
      <t xml:space="preserve">, </t>
    </r>
    <r>
      <rPr>
        <color rgb="FF1155CC"/>
        <sz val="10.0"/>
        <u/>
      </rPr>
      <t>Dylan Fabre</t>
    </r>
    <r>
      <rPr>
        <sz val="10.0"/>
      </rPr>
      <t xml:space="preserve">, </t>
    </r>
    <r>
      <rPr>
        <color rgb="FF1155CC"/>
        <sz val="10.0"/>
        <u/>
      </rPr>
      <t>Vilma Coc pop</t>
    </r>
    <r>
      <rPr>
        <sz val="10.0"/>
      </rPr>
      <t xml:space="preserve"> and </t>
    </r>
    <r>
      <rPr>
        <color rgb="FF1155CC"/>
        <sz val="10.0"/>
        <u/>
      </rPr>
      <t>Jhennel Bailey</t>
    </r>
  </si>
  <si>
    <t>ICHSBronx, FlushingIHS, QueensPrepAcad</t>
  </si>
  <si>
    <t>Kimberly</t>
  </si>
  <si>
    <t>Vo</t>
  </si>
  <si>
    <t>kimberlynguyenv@gmail.com</t>
  </si>
  <si>
    <t>4/3/23 CT sent follow up &amp;amp; CPC training dates 2/9/23 CT sent check in email 11/22/22 CT sent re-engagement email 5/18/22 SB sent re-engagement email Kimberly had a Screening Call on 1/7/2021 at 10 am est with Jennifer Peterson-Sharma. Jennifer emailed Kimberly on 9/29/2020 to set up a Screening Call.</t>
  </si>
  <si>
    <t>687 25th Street Oakland, San Francisco, CA 94612</t>
  </si>
  <si>
    <t>Oakland, CA</t>
  </si>
  <si>
    <t>Zendesk</t>
  </si>
  <si>
    <t>Logan</t>
  </si>
  <si>
    <t>856-261-2134</t>
  </si>
  <si>
    <t>kimbok2@hotmail.com</t>
  </si>
  <si>
    <t>1/24/22 SB called - Now volunteering other places in a long term capacity, marking inactive. But will share with network. 12/30/21 SB sent IR2 FY21-22 schedule list for matching Kimberly responded on 2/23/21, saying that her plate is full with too many mentoring opportunities right now and to reach out later. JPS followed up asking when we should reach out again for another potential match (IR3 or next FY?) JPS sent email on 2/22/21 to see if Kimberly could accommodate a match for IR2 2020-2021 JPS reached out to check status on 2/9/2021</t>
  </si>
  <si>
    <t>4931 Spruce Street, Apt. #A25, Philadelphia, PA, 19139</t>
  </si>
  <si>
    <t>Dovel Technologies</t>
  </si>
  <si>
    <t>Kiran</t>
  </si>
  <si>
    <t>516-324-9554</t>
  </si>
  <si>
    <t>kiranjotgill1@gmail.com</t>
  </si>
  <si>
    <t>Not available for IR1, fulltime mom and very busy at the moment. CT 8/17/22 7/11/22 SB messaged for IRS match 3/22/22 Expecting a baby soon 1/10/22 SB sent follow up email 1/5/22 SB sent IR2 FY21-22 schedule list for matching JPS emailed on 1/5/2021 to check her engagement status, no response as of 1/14/2021. Followed up on 1/14/2021 Took a while when we contacted her in March 2020 about mentoring during COVID-19 but after getting clearance from DOE she can  Said she is only available in evenings - Feb 2019</t>
  </si>
  <si>
    <t>29 Grove Street, Hicksville NY 11801</t>
  </si>
  <si>
    <t>Long Island, New York</t>
  </si>
  <si>
    <t>Long Island</t>
  </si>
  <si>
    <t>Queens District Attorney</t>
  </si>
  <si>
    <t>FY 19 - 20, FY 20 - 21</t>
  </si>
  <si>
    <r>
      <rPr>
        <color rgb="FF1155CC"/>
        <sz val="10.0"/>
        <u/>
      </rPr>
      <t>Dinelys Ana Baez Espinal</t>
    </r>
    <r>
      <rPr>
        <sz val="10.0"/>
      </rPr>
      <t xml:space="preserve">, </t>
    </r>
    <r>
      <rPr>
        <color rgb="FF1155CC"/>
        <sz val="10.0"/>
        <u/>
      </rPr>
      <t>Javier Esteves</t>
    </r>
    <r>
      <rPr>
        <sz val="10.0"/>
      </rPr>
      <t xml:space="preserve">, </t>
    </r>
    <r>
      <rPr>
        <color rgb="FF1155CC"/>
        <sz val="10.0"/>
        <u/>
      </rPr>
      <t>Dalissa Cabrera</t>
    </r>
    <r>
      <rPr>
        <sz val="10.0"/>
      </rPr>
      <t xml:space="preserve">, </t>
    </r>
    <r>
      <rPr>
        <color rgb="FF1155CC"/>
        <sz val="10.0"/>
        <u/>
      </rPr>
      <t>Nusrat Jahan</t>
    </r>
    <r>
      <rPr>
        <sz val="10.0"/>
      </rPr>
      <t xml:space="preserve">, </t>
    </r>
    <r>
      <rPr>
        <color rgb="FF1155CC"/>
        <sz val="10.0"/>
        <u/>
      </rPr>
      <t>Tasnim Jahan</t>
    </r>
    <r>
      <rPr>
        <sz val="10.0"/>
      </rPr>
      <t xml:space="preserve"> and </t>
    </r>
    <r>
      <rPr>
        <color rgb="FF1155CC"/>
        <sz val="10.0"/>
        <u/>
      </rPr>
      <t>Saima Akter</t>
    </r>
  </si>
  <si>
    <t>Frankford, ClaremontIHS, ELLIS</t>
  </si>
  <si>
    <t>Kim</t>
  </si>
  <si>
    <t>Martinez</t>
  </si>
  <si>
    <t>kmartinez612@gmail.com</t>
  </si>
  <si>
    <t>5/9/23 Kim emailed, &amp;#34;I am reaching out because my job responsibilities have changed.  With regret, I am not going to be a part of this wonderful organization, as my time commitments have greatly increased.    I wish you the best!&amp;#34; Marking inactive. Reach out in fall or spring maybe to see if work has calmed down? 4/28/23 passed training with SB 4/17/23 cannot do IR3 interested in next FY Passed screening with Brenda 4/3/23 SB sent follow up about training 2/28/23 SB sent screening email</t>
  </si>
  <si>
    <t>7014 Alissa Dr</t>
  </si>
  <si>
    <t>Rowlett, Tx</t>
  </si>
  <si>
    <t>Rowlett</t>
  </si>
  <si>
    <t>Select Medical</t>
  </si>
  <si>
    <t>Karim</t>
  </si>
  <si>
    <t>Rajmohamed</t>
  </si>
  <si>
    <t>krajmohamed@gmail.com</t>
  </si>
  <si>
    <t>3/31/23 completed training with SB 3/8/23 confirmed group for IR3 3/7/23 SB messaged for IR3 - confirmed times and training for 3/31, sending about Interns Hetal spoke to Karim 2/3/23 -- home is in PA, outside of Allentown, back from Houston after a year -- doesn't check emails but wants to stay on as a Champion; can do 22-23 IR3.  1/17/23 SB email follow up for IR2 1/11/23 SB sent email for Ellis for IR2 11/22/22 CT sent email with training dates 9/29/22 SB followed up for match and training 9/26/22 SB emailed for training and wheel availability 8/12/22 Interested in IR1 SB via text 3/2/22 SB sent IR3 schedules Hetal spoke to Karim 3/1/22 and he said interested in IR3 21-22 01/05/22 CT sent follow up email for matching 12/29/21 SB sent IR2 FY21-22 schedule list for matching 11/17/21 Congrats email and possible match schedule sent 11/16/21 Passed screening SB 11/10/21 SB sent screening scheduling email</t>
  </si>
  <si>
    <t>1812 Aster Rd, Allentown, PA</t>
  </si>
  <si>
    <t>Houston, Texas</t>
  </si>
  <si>
    <t>Houston</t>
  </si>
  <si>
    <t>Air Products and Chemicals, Inc</t>
  </si>
  <si>
    <r>
      <rPr>
        <color rgb="FF1155CC"/>
        <sz val="10.0"/>
        <u/>
      </rPr>
      <t>Doussouba Diakite</t>
    </r>
    <r>
      <rPr>
        <sz val="10.0"/>
      </rPr>
      <t xml:space="preserve">, </t>
    </r>
    <r>
      <rPr>
        <color rgb="FF1155CC"/>
        <sz val="10.0"/>
        <u/>
      </rPr>
      <t>El Hadji Ndong</t>
    </r>
    <r>
      <rPr>
        <sz val="10.0"/>
      </rPr>
      <t xml:space="preserve">, </t>
    </r>
    <r>
      <rPr>
        <color rgb="FF1155CC"/>
        <sz val="10.0"/>
        <u/>
      </rPr>
      <t>Hendry Bello</t>
    </r>
    <r>
      <rPr>
        <sz val="10.0"/>
      </rPr>
      <t xml:space="preserve">, </t>
    </r>
    <r>
      <rPr>
        <color rgb="FF1155CC"/>
        <sz val="10.0"/>
        <u/>
      </rPr>
      <t>Yomar Matias</t>
    </r>
    <r>
      <rPr>
        <sz val="10.0"/>
      </rPr>
      <t xml:space="preserve"> and </t>
    </r>
    <r>
      <rPr>
        <color rgb="FF1155CC"/>
        <sz val="10.0"/>
        <u/>
      </rPr>
      <t>Luis Chicas</t>
    </r>
  </si>
  <si>
    <t>Kristen</t>
  </si>
  <si>
    <t>Farver</t>
  </si>
  <si>
    <t>Kristen.farver@skiphop.com</t>
  </si>
  <si>
    <t>2/7/23 CT not available for Wheels schedule. Afternoons are better. Reach out for IR3 2/6/23 CT sent email regarding IR2 for Wheels schedule Use this email as backup:  keschopp@aol.com 12/21/22 confirmed Mondays at 3 pm est with SB 12/20/22 SB followed up for IR2 availability via email - Kristen responded saying, &amp;#34;I have to be in NYC on Tuesdays so won?t have any place to have these calls.  If you have 4-4:45 on other days I could possibly make it work.&amp;#34; SB sent other schedules 12/16/22 SB emailed for Ellis match 11/16/22 Unavailable for IR1, asked to be reach out to in the spring. SB 11/15/22 SB emailed for Wheels group 12/14/21 SB sent Kristen text for match for IR1 FY21-22 Kristen attended a training on 3/8/21 with JPS Wants to use work AND personal email addressed in communication (work email: Kristen@skiphop.com) JPS sent congratulations email &amp;#43; email to schedule a training Screening email already sent. 2/12/21 SU.</t>
  </si>
  <si>
    <t>601 E 20th Street Apt 13G NY NY 10010</t>
  </si>
  <si>
    <t>Skip Hop</t>
  </si>
  <si>
    <r>
      <rPr>
        <color rgb="FF1155CC"/>
        <sz val="10.0"/>
        <u/>
      </rPr>
      <t>Iyana Rankin</t>
    </r>
    <r>
      <rPr>
        <sz val="10.0"/>
      </rPr>
      <t xml:space="preserve"> and </t>
    </r>
    <r>
      <rPr>
        <color rgb="FF1155CC"/>
        <sz val="10.0"/>
        <u/>
      </rPr>
      <t>Cindy Herrera</t>
    </r>
  </si>
  <si>
    <t>CypressHills</t>
  </si>
  <si>
    <t>Krupa</t>
  </si>
  <si>
    <t>krupasjani@gmail.com</t>
  </si>
  <si>
    <t>1/18/24 SB emailed for National Women Physician Day and to try and re-engage - agreed to write something but said, &amp;#34; unfortunately as a resident, typical school hours are still hard for me to reliably attend as a champion, but if there's anyone in particular interested in a similar career i'm more than happy to set up an individual chat session&amp;#34; 9/30/22 Not available during work hours, no school schedule works at the moment. CT 12/22/21 SB sent IR2 FY21-22 schedule list for matching Krupa was screened by Malak Baker on 2/12/21 Krupa passed her screening call with Malak on 2/12/21; Krupa has responded back and schedule a screening for 2/12/21 at 1.30 EST. Confirmed screening call.</t>
  </si>
  <si>
    <t>1 Richmond St., Apt 3104, New Brunswick, NJ 08901</t>
  </si>
  <si>
    <t>New Brunswick,NJ</t>
  </si>
  <si>
    <t>Rutgers University - Robert Wood Johnson medical school</t>
  </si>
  <si>
    <r>
      <rPr>
        <color rgb="FF1155CC"/>
        <sz val="10.0"/>
        <u/>
      </rPr>
      <t>Madusu Jabateh</t>
    </r>
    <r>
      <rPr>
        <sz val="10.0"/>
      </rPr>
      <t xml:space="preserve"> and </t>
    </r>
    <r>
      <rPr>
        <color rgb="FF1155CC"/>
        <sz val="10.0"/>
        <u/>
      </rPr>
      <t>Bessirou Doukoure</t>
    </r>
  </si>
  <si>
    <t>Kunal</t>
  </si>
  <si>
    <t>kunalsjani.1@gmail.com</t>
  </si>
  <si>
    <t>Donated money to Interns for FY22-23 10/11/22 available for IR1, Thursdays 10:18 am to 11:09 am EST. SB 12/21/21 SB sent IR2 FY21-22 schedule list for matching 12/13/21 SB sent text for FY21-22 IR1 availability, unable due to travel asked about sharing and IR2 availability - he is unsure of IR2 availability currently, asked to reach out in January  Kunal attended a training on 6/27/21 with JPS Kunal had a screening call on 3/18/21 with JPS JPS emailed on 3/10/21 to schedule a Screening Call</t>
  </si>
  <si>
    <t>8 Franklin Ct.</t>
  </si>
  <si>
    <t>Bernardsville, NJ</t>
  </si>
  <si>
    <t>Bernardsville</t>
  </si>
  <si>
    <t>JN</t>
  </si>
  <si>
    <t>Hatch</t>
  </si>
  <si>
    <r>
      <rPr>
        <color rgb="FF1155CC"/>
        <sz val="10.0"/>
        <u/>
      </rPr>
      <t>Sebastian Cruz</t>
    </r>
    <r>
      <rPr>
        <sz val="10.0"/>
      </rPr>
      <t xml:space="preserve">, </t>
    </r>
    <r>
      <rPr>
        <color rgb="FF1155CC"/>
        <sz val="10.0"/>
        <u/>
      </rPr>
      <t>Victoriano Sosa</t>
    </r>
    <r>
      <rPr>
        <sz val="10.0"/>
      </rPr>
      <t xml:space="preserve">, </t>
    </r>
    <r>
      <rPr>
        <color rgb="FF1155CC"/>
        <sz val="10.0"/>
        <u/>
      </rPr>
      <t>Josue Lantigua</t>
    </r>
    <r>
      <rPr>
        <sz val="10.0"/>
      </rPr>
      <t xml:space="preserve">, </t>
    </r>
    <r>
      <rPr>
        <color rgb="FF1155CC"/>
        <sz val="10.0"/>
        <u/>
      </rPr>
      <t>Jason Martinez</t>
    </r>
    <r>
      <rPr>
        <sz val="10.0"/>
      </rPr>
      <t xml:space="preserve">, </t>
    </r>
    <r>
      <rPr>
        <color rgb="FF1155CC"/>
        <sz val="10.0"/>
        <u/>
      </rPr>
      <t>Akira Quezada</t>
    </r>
    <r>
      <rPr>
        <sz val="10.0"/>
      </rPr>
      <t xml:space="preserve"> and </t>
    </r>
    <r>
      <rPr>
        <color rgb="FF1155CC"/>
        <sz val="10.0"/>
        <u/>
      </rPr>
      <t>Yovangely Mejia</t>
    </r>
  </si>
  <si>
    <t>WheelsNYC, ICHSBronx</t>
  </si>
  <si>
    <t>Lamon</t>
  </si>
  <si>
    <t>Chapman</t>
  </si>
  <si>
    <t>lamonchapman@gmail.com</t>
  </si>
  <si>
    <t>5/10/24 - AT emailed re Mothers Day social media content 3/20/23 agreed to group for IR3 SB 3/17/23 CT asked about being in-person Speaker for BCHS Seminar. Lamon is with family in NY until end of April or May before returning to Colombia. 3/16/23 CT Completed CPC Training 3/16/23 not available for wheels, but available for Crotona, SB sending about Interns 3/13/23 passed screening with SB. Sending training email and request for IR3 matching. 3/9/23 CT sent follow up email to schedule screening 3/6/23 SB sent screening email</t>
  </si>
  <si>
    <t>Independent Educator</t>
  </si>
  <si>
    <r>
      <rPr>
        <color rgb="FF1155CC"/>
        <sz val="10.0"/>
        <u/>
      </rPr>
      <t>Daniela Ysamar Nunez Sanches</t>
    </r>
    <r>
      <rPr>
        <sz val="10.0"/>
      </rPr>
      <t xml:space="preserve">, </t>
    </r>
    <r>
      <rPr>
        <color rgb="FF1155CC"/>
        <sz val="10.0"/>
        <u/>
      </rPr>
      <t>Norvia Tavarez</t>
    </r>
    <r>
      <rPr>
        <sz val="10.0"/>
      </rPr>
      <t xml:space="preserve">, </t>
    </r>
    <r>
      <rPr>
        <color rgb="FF1155CC"/>
        <sz val="10.0"/>
        <u/>
      </rPr>
      <t>Lesly Chucino</t>
    </r>
    <r>
      <rPr>
        <sz val="10.0"/>
      </rPr>
      <t xml:space="preserve"> and </t>
    </r>
    <r>
      <rPr>
        <color rgb="FF1155CC"/>
        <sz val="10.0"/>
        <u/>
      </rPr>
      <t>Yamilette Rodriguez Franjul</t>
    </r>
  </si>
  <si>
    <t>CrotonaIHS, BUSHWICKCHS</t>
  </si>
  <si>
    <t>Larry</t>
  </si>
  <si>
    <t>Williams</t>
  </si>
  <si>
    <t>larry.williams@nashville.gov</t>
  </si>
  <si>
    <t>Only interested in Seminars Personal email: wmsatwork@gmail.com 12/16/22 completed training with SB 11/30/22 CT set up onboarding training date with Larry 11/23/22 passed screening with SB 11/15/22 SB sent screening email again - CT updated email address (it was incorrect) 10/19/22 SB texted Larry to schedule screening 10/5/22 SB followed up to schedule screening 9/28/22 SB sent screening scheduling email</t>
  </si>
  <si>
    <t>1417 Murfreesboro Pike Nashville, Tn. 37217</t>
  </si>
  <si>
    <t>Nashville, Tn.</t>
  </si>
  <si>
    <t>Metropolitan Nashville Police Department</t>
  </si>
  <si>
    <t>Laura</t>
  </si>
  <si>
    <t>Cejas</t>
  </si>
  <si>
    <t>718-406-5262</t>
  </si>
  <si>
    <t>lauracejas83@gmail.com</t>
  </si>
  <si>
    <t>11/1/23 WW sent follow-up email and VM for IR1, sent LinkedIn message 10/25/23 SB sent text for IR1 10/23/23 SB emailed for IR1 7/18/23 WW emailed for IRS, followed up with call and text 1/11/23 SB emailed new schedule for IR2 1/6/23 SB emailed for IR2 7/5/22 SB emailed Laura for match - unable to do IRS, but asked to be reached out to in September for IR1 1/6/22 SB called Laura, she is sick and unable to Champion for a while check back in a few months, IR3 maybe 12/28/21 SB sent follow up 12/21/21 SB sent IR2 FY21-22 schedule list for matching Hetal updated Laura's profile from a LinkedIn update to current company from Priceline Agoda (https://www.agoda.com 350 Fifth Avenue New York City, NY 10118) and current title from Partner Program Manager As per email from Dona on 3/4/2020, she is ready for training. She also need an updated resume.</t>
  </si>
  <si>
    <t>228 E 81st Street, APT 7B</t>
  </si>
  <si>
    <t>Dynamic Yield</t>
  </si>
  <si>
    <r>
      <rPr>
        <color rgb="FF1155CC"/>
        <sz val="10.0"/>
        <u/>
      </rPr>
      <t>Amizo Kante</t>
    </r>
    <r>
      <rPr>
        <sz val="10.0"/>
      </rPr>
      <t xml:space="preserve">, </t>
    </r>
    <r>
      <rPr>
        <color rgb="FF1155CC"/>
        <sz val="10.0"/>
        <u/>
      </rPr>
      <t>Mimi Kante</t>
    </r>
    <r>
      <rPr>
        <sz val="10.0"/>
      </rPr>
      <t xml:space="preserve"> and </t>
    </r>
    <r>
      <rPr>
        <color rgb="FF1155CC"/>
        <sz val="10.0"/>
        <u/>
      </rPr>
      <t>Chloe Navarro</t>
    </r>
  </si>
  <si>
    <t>ELLIS, Academy of Medical Technology</t>
  </si>
  <si>
    <t>Lauren</t>
  </si>
  <si>
    <t>Amelia Varga</t>
  </si>
  <si>
    <t>908-418-7106</t>
  </si>
  <si>
    <t>laurenvarg@gmail.com</t>
  </si>
  <si>
    <t>3/7/23 SB sent text about IR3 3/1/23 SB sent follow up email  2/24/23 SB emailed to see if available for IR3 wheels and sent About Interns 01/03/23 CT called. Not available for IR2 but check in for IR3 12/08/22 CT asked about Wheels schedule for IR2 7/9/22 SB contacted for IRS 4/5/22 Not available for IR3. CT 12/28/21 SB sent follow up 12/21/21 SB sent IR2 FY21-22 schedule list for matching Double checked on 1/26 (KW) Hetal had a conversation on 4/8/2020 after she had one session with Tasnim and Saima (ELLIS) [pair will be handed off to Kiran Gill who got approval from DOE to mentor and Lauren stepped in for first session] (she is social services law , but Journalism/media as a field she can talk about as a backup but not as strong) </t>
  </si>
  <si>
    <t>164 Ainslie Street Apt. 2, Brooklyn NY, 11211</t>
  </si>
  <si>
    <t>Morningside Heights Legal Services Inc.</t>
  </si>
  <si>
    <r>
      <rPr>
        <color rgb="FF1155CC"/>
        <sz val="10.0"/>
        <u/>
      </rPr>
      <t>Cristal Davidson</t>
    </r>
    <r>
      <rPr>
        <color rgb="FF1155CC"/>
        <sz val="10.0"/>
        <u/>
      </rPr>
      <t xml:space="preserve">, </t>
    </r>
    <r>
      <rPr>
        <color rgb="FF1155CC"/>
        <sz val="10.0"/>
        <u/>
      </rPr>
      <t>Natalie Navarette</t>
    </r>
    <r>
      <rPr>
        <color rgb="FF1155CC"/>
        <sz val="10.0"/>
        <u/>
      </rPr>
      <t xml:space="preserve"> and </t>
    </r>
    <r>
      <rPr>
        <color rgb="FF1155CC"/>
        <sz val="10.0"/>
        <u/>
      </rPr>
      <t>Gabriella Bella</t>
    </r>
  </si>
  <si>
    <t>American History, HS for Global Citizenship</t>
  </si>
  <si>
    <t>Leigh Ann</t>
  </si>
  <si>
    <t>Wilson</t>
  </si>
  <si>
    <t>lawilson@umassglobal.edu</t>
  </si>
  <si>
    <t>1/23/23 emailed SB, &amp;#34;I am going to be traveling a bit this spring/summer, so I will not be able to commit to the next round. However, it is possible that this fall (beginning Aug/Sept or so), I may be able for another round.&amp;#34; 1/19/23 SB emailed thank you for IR1 and request for Ellis/Tuesdays for IR2 12/16/22 completed training with SB 11/30/22 Passed screening &amp;amp; sent congrats email CT 11/23/22 SB sent screening scheduling email</t>
  </si>
  <si>
    <t>5712 Mira Grande Drive</t>
  </si>
  <si>
    <t>El Paso, Texas</t>
  </si>
  <si>
    <t>El Paso</t>
  </si>
  <si>
    <r>
      <rPr>
        <color rgb="FF1155CC"/>
        <sz val="10.0"/>
        <u/>
      </rPr>
      <t>Brianna Prado</t>
    </r>
    <r>
      <rPr>
        <sz val="10.0"/>
      </rPr>
      <t xml:space="preserve">, </t>
    </r>
    <r>
      <rPr>
        <color rgb="FF1155CC"/>
        <sz val="10.0"/>
        <u/>
      </rPr>
      <t>Chrisnelly Garcia</t>
    </r>
    <r>
      <rPr>
        <sz val="10.0"/>
      </rPr>
      <t xml:space="preserve">, </t>
    </r>
    <r>
      <rPr>
        <color rgb="FF1155CC"/>
        <sz val="10.0"/>
        <u/>
      </rPr>
      <t>Aaliyah Escalante</t>
    </r>
    <r>
      <rPr>
        <sz val="10.0"/>
      </rPr>
      <t xml:space="preserve"> and </t>
    </r>
    <r>
      <rPr>
        <color rgb="FF1155CC"/>
        <sz val="10.0"/>
        <u/>
      </rPr>
      <t>Genesis Mercado</t>
    </r>
  </si>
  <si>
    <t>Luisa</t>
  </si>
  <si>
    <t>Castro</t>
  </si>
  <si>
    <t>lcastro@agr.wa.gov</t>
  </si>
  <si>
    <t>11/28/22 unsubscribed from newsletter SB Leave Luisa as inactive. She has taken on more roles at her agency and won't be available to participate in SPEAKHIRE programs anymore at all. CT followed up with her regarding references after LG marked her as inactive. CT 8/17/22 7/27/22 Asked to be removed from our list, unable to commit to FY 3/14/22 Very busy work schedule at the moment. Not able to participate in any future seminars. CT 02/03/22 Completed CPC Orientation &amp;amp; Onboarding Training CT 01/25/22 Sent Screening Call email &amp;amp; CPC Orientation and Onboarding email CT</t>
  </si>
  <si>
    <t>201 Simmons St. NW Unit A3</t>
  </si>
  <si>
    <t>Olympia, WA</t>
  </si>
  <si>
    <t>Olympia</t>
  </si>
  <si>
    <t>Washington State Department of Agriculture</t>
  </si>
  <si>
    <r>
      <rPr>
        <color rgb="FF1155CC"/>
        <sz val="10.0"/>
        <u/>
      </rPr>
      <t>Marlin Rodriguez</t>
    </r>
    <r>
      <rPr>
        <sz val="10.0"/>
      </rPr>
      <t xml:space="preserve">, </t>
    </r>
    <r>
      <rPr>
        <color rgb="FF1155CC"/>
        <sz val="10.0"/>
        <u/>
      </rPr>
      <t>Allan Chiquito</t>
    </r>
    <r>
      <rPr>
        <sz val="10.0"/>
      </rPr>
      <t xml:space="preserve">, </t>
    </r>
    <r>
      <rPr>
        <color rgb="FF1155CC"/>
        <sz val="10.0"/>
        <u/>
      </rPr>
      <t>Claribel Escobar</t>
    </r>
    <r>
      <rPr>
        <sz val="10.0"/>
      </rPr>
      <t xml:space="preserve"> and </t>
    </r>
    <r>
      <rPr>
        <color rgb="FF1155CC"/>
        <sz val="10.0"/>
        <u/>
      </rPr>
      <t>Santiago Espinel</t>
    </r>
  </si>
  <si>
    <t>Louise</t>
  </si>
  <si>
    <t>Malone</t>
  </si>
  <si>
    <t>LD8305@outlook.com</t>
  </si>
  <si>
    <t>2/1/24 new position via linkedin - Global Alliance Director for Dell Technologies at Computacenter - confirm when next in contact SB 3/2 SB asked about IR3, she replied, &amp;#34;Unfortunately not. I now work in central London so these times are during my evening commute so I am not always guaranteed to be in a place where I can do these calls. I am still 4 months into a new job, so things are still a bit hectic. Perhaps it is best if we can look at this for the new school year? That said, I have found the times for this much harder now we are in a return to the office mode ? when we were in lockdown and I could WFH all the time this was far easier to block out.  I want to support, but want to be honest about the challenge with the diary and timezones.&amp;#34; 2/28/23 CT not available for that session time 2/27/23 CT sent follow up email about IR2 2/23/23 CT asked to take over group of Interns for remaining sessions for a CPC for IR2 who had to drop out due to health issues Not available for IR1 because of changing jobs. CT 9/7/22 Louise attend a training webinar on 2/27/21 with JPS Louise had a Screening Call with Malak Baker on 2/14/21 Screening email already sent. 2/12/21 SU. JPS emailed on 2/10/2021 to schedule a screening call</t>
  </si>
  <si>
    <t>6 Stanley Road, Wokingham, Berkshire, RG40 1SX, United Kingdom</t>
  </si>
  <si>
    <t>Wokingham, United Kingdom</t>
  </si>
  <si>
    <t>VMware</t>
  </si>
  <si>
    <r>
      <rPr>
        <color rgb="FF1155CC"/>
        <sz val="10.0"/>
        <u/>
      </rPr>
      <t>Cristian Rodriguez</t>
    </r>
    <r>
      <rPr>
        <sz val="10.0"/>
      </rPr>
      <t xml:space="preserve">, </t>
    </r>
    <r>
      <rPr>
        <color rgb="FF1155CC"/>
        <sz val="10.0"/>
        <u/>
      </rPr>
      <t>Genesis Mercado</t>
    </r>
    <r>
      <rPr>
        <sz val="10.0"/>
      </rPr>
      <t xml:space="preserve">, </t>
    </r>
    <r>
      <rPr>
        <color rgb="FF1155CC"/>
        <sz val="10.0"/>
        <u/>
      </rPr>
      <t>Diogo Perez</t>
    </r>
    <r>
      <rPr>
        <sz val="10.0"/>
      </rPr>
      <t xml:space="preserve">, </t>
    </r>
    <r>
      <rPr>
        <color rgb="FF1155CC"/>
        <sz val="10.0"/>
        <u/>
      </rPr>
      <t>Omar Piron II</t>
    </r>
    <r>
      <rPr>
        <sz val="10.0"/>
      </rPr>
      <t xml:space="preserve">, </t>
    </r>
    <r>
      <rPr>
        <color rgb="FF1155CC"/>
        <sz val="10.0"/>
        <u/>
      </rPr>
      <t>Mariama Diallo</t>
    </r>
    <r>
      <rPr>
        <sz val="10.0"/>
      </rPr>
      <t xml:space="preserve">, </t>
    </r>
    <r>
      <rPr>
        <color rgb="FF1155CC"/>
        <sz val="10.0"/>
        <u/>
      </rPr>
      <t>Jennyfer Montilla</t>
    </r>
    <r>
      <rPr>
        <sz val="10.0"/>
      </rPr>
      <t xml:space="preserve">, </t>
    </r>
    <r>
      <rPr>
        <color rgb="FF1155CC"/>
        <sz val="10.0"/>
        <u/>
      </rPr>
      <t>Cristian Rodriguez</t>
    </r>
    <r>
      <rPr>
        <sz val="10.0"/>
      </rPr>
      <t xml:space="preserve">, </t>
    </r>
    <r>
      <rPr>
        <color rgb="FF1155CC"/>
        <sz val="10.0"/>
        <u/>
      </rPr>
      <t>Shikha Chauhan</t>
    </r>
    <r>
      <rPr>
        <sz val="10.0"/>
      </rPr>
      <t xml:space="preserve"> and </t>
    </r>
    <r>
      <rPr>
        <color rgb="FF1155CC"/>
        <sz val="10.0"/>
        <u/>
      </rPr>
      <t>Mingyu (Carl) Huo</t>
    </r>
  </si>
  <si>
    <t>WheelsNYC, CrotonaIHS, FlushingIHS</t>
  </si>
  <si>
    <t>Leif</t>
  </si>
  <si>
    <t>Castren</t>
  </si>
  <si>
    <t>leifcastren@gmail.com</t>
  </si>
  <si>
    <t>Donated money to Interns for FY22-23 1/16/24 SB emailed for IR2 1/9/23 confirmed Monday schedule for IR2 SB 1/6/23 SB emailed for IR2 SB - Leif confirmed IRS group - probs needs break for IR1 7/6/22 LG called, texted for IRS availability 6/15/22 Program Coordinators noted Leif was very patient with his Interns, even when most of the group had poor attendance. Though he does need reminders of sessions. SB Completed Onboarding and Orientation Webinar 1/28/22 SB 01/10/22 Passed Screening Call &amp;amp; sent welcome email with trainings, asking to share,  schedules for IR2 CT 12/31/21 SB sent screening scheduling email</t>
  </si>
  <si>
    <t>4007 Connecticut Ave NW, 401</t>
  </si>
  <si>
    <t>Washington DC</t>
  </si>
  <si>
    <t>American Association for the Advancement of Science</t>
  </si>
  <si>
    <r>
      <rPr>
        <color rgb="FF1155CC"/>
        <sz val="10.0"/>
        <u/>
      </rPr>
      <t>Akemi Liz</t>
    </r>
    <r>
      <rPr>
        <sz val="10.0"/>
      </rPr>
      <t xml:space="preserve">, </t>
    </r>
    <r>
      <rPr>
        <color rgb="FF1155CC"/>
        <sz val="10.0"/>
        <u/>
      </rPr>
      <t>Angelina Gil</t>
    </r>
    <r>
      <rPr>
        <sz val="10.0"/>
      </rPr>
      <t xml:space="preserve">, </t>
    </r>
    <r>
      <rPr>
        <color rgb="FF1155CC"/>
        <sz val="10.0"/>
        <u/>
      </rPr>
      <t>Israel Martinez</t>
    </r>
    <r>
      <rPr>
        <sz val="10.0"/>
      </rPr>
      <t xml:space="preserve">, </t>
    </r>
    <r>
      <rPr>
        <color rgb="FF1155CC"/>
        <sz val="10.0"/>
        <u/>
      </rPr>
      <t>Adriel Tavarez Tavarez</t>
    </r>
    <r>
      <rPr>
        <sz val="10.0"/>
      </rPr>
      <t xml:space="preserve">, </t>
    </r>
    <r>
      <rPr>
        <color rgb="FF1155CC"/>
        <sz val="10.0"/>
        <u/>
      </rPr>
      <t>Emelin Arzu</t>
    </r>
    <r>
      <rPr>
        <sz val="10.0"/>
      </rPr>
      <t xml:space="preserve">, </t>
    </r>
    <r>
      <rPr>
        <color rgb="FF1155CC"/>
        <sz val="10.0"/>
        <u/>
      </rPr>
      <t>Jazling Garcia Garcia</t>
    </r>
    <r>
      <rPr>
        <sz val="10.0"/>
      </rPr>
      <t xml:space="preserve">, </t>
    </r>
    <r>
      <rPr>
        <color rgb="FF1155CC"/>
        <sz val="10.0"/>
        <u/>
      </rPr>
      <t>Sandy Mercedes</t>
    </r>
    <r>
      <rPr>
        <sz val="10.0"/>
      </rPr>
      <t xml:space="preserve">, </t>
    </r>
    <r>
      <rPr>
        <color rgb="FF1155CC"/>
        <sz val="10.0"/>
        <u/>
      </rPr>
      <t>Fatou Diedhiou</t>
    </r>
    <r>
      <rPr>
        <sz val="10.0"/>
      </rPr>
      <t xml:space="preserve">, </t>
    </r>
    <r>
      <rPr>
        <color rgb="FF1155CC"/>
        <sz val="10.0"/>
        <u/>
      </rPr>
      <t>Audrey Made Mewoli</t>
    </r>
    <r>
      <rPr>
        <sz val="10.0"/>
      </rPr>
      <t xml:space="preserve">, </t>
    </r>
    <r>
      <rPr>
        <color rgb="FF1155CC"/>
        <sz val="10.0"/>
        <u/>
      </rPr>
      <t>Mario Brito</t>
    </r>
    <r>
      <rPr>
        <sz val="10.0"/>
      </rPr>
      <t xml:space="preserve">, </t>
    </r>
    <r>
      <rPr>
        <color rgb="FF1155CC"/>
        <sz val="10.0"/>
        <u/>
      </rPr>
      <t>Skirlie De La Cruz</t>
    </r>
    <r>
      <rPr>
        <sz val="10.0"/>
      </rPr>
      <t xml:space="preserve">, </t>
    </r>
    <r>
      <rPr>
        <color rgb="FF1155CC"/>
        <sz val="10.0"/>
        <u/>
      </rPr>
      <t>Miguel Angel Duarte Guiterrez</t>
    </r>
    <r>
      <rPr>
        <sz val="10.0"/>
      </rPr>
      <t xml:space="preserve">, </t>
    </r>
    <r>
      <rPr>
        <color rgb="FF1155CC"/>
        <sz val="10.0"/>
        <u/>
      </rPr>
      <t>Wilman Reyes</t>
    </r>
    <r>
      <rPr>
        <sz val="10.0"/>
      </rPr>
      <t xml:space="preserve">, </t>
    </r>
    <r>
      <rPr>
        <color rgb="FF1155CC"/>
        <sz val="10.0"/>
        <u/>
      </rPr>
      <t>Kenry Aldana</t>
    </r>
    <r>
      <rPr>
        <sz val="10.0"/>
      </rPr>
      <t xml:space="preserve">, </t>
    </r>
    <r>
      <rPr>
        <color rgb="FF1155CC"/>
        <sz val="10.0"/>
        <u/>
      </rPr>
      <t>Yancen Rodriguez</t>
    </r>
    <r>
      <rPr>
        <sz val="10.0"/>
      </rPr>
      <t xml:space="preserve">, </t>
    </r>
    <r>
      <rPr>
        <color rgb="FF1155CC"/>
        <sz val="10.0"/>
        <u/>
      </rPr>
      <t>Kevin Duran</t>
    </r>
    <r>
      <rPr>
        <sz val="10.0"/>
      </rPr>
      <t xml:space="preserve"> and </t>
    </r>
    <r>
      <rPr>
        <color rgb="FF1155CC"/>
        <sz val="10.0"/>
        <u/>
      </rPr>
      <t>Diego Covarrubias</t>
    </r>
  </si>
  <si>
    <t>WheelsNYC, CrotonaIHS, ELLIS, ICHSBronx</t>
  </si>
  <si>
    <t>Lien</t>
  </si>
  <si>
    <t>lien.nguyen21@gmail.com</t>
  </si>
  <si>
    <t>12/14/22 Lien just gave birth to her son and won't be available for IR2. We can follow up with her regarding references and IR3 in spring. CT Not available for IR1. CT 9/8/22 Lien attended a CPC Training Webinar on 1/16/2021 with JPS at 11 am est Lien was screened on 11/12/2020 by Jennifer Peterson-Sharma at 11 am EST Jennifer Peterson-Sharma emailed Lien on 10/27/2020 to schedule a Mentor Screening Call.</t>
  </si>
  <si>
    <t>Haringpakkerssteeg 7K, 1012LR Amsterdam, The Netherlands</t>
  </si>
  <si>
    <t>Amsterdam</t>
  </si>
  <si>
    <t>Atradius B.V.</t>
  </si>
  <si>
    <r>
      <rPr>
        <color rgb="FF1155CC"/>
        <sz val="10.0"/>
        <u/>
      </rPr>
      <t>Aminata Kebe</t>
    </r>
    <r>
      <rPr>
        <sz val="10.0"/>
      </rPr>
      <t xml:space="preserve">, </t>
    </r>
    <r>
      <rPr>
        <color rgb="FF1155CC"/>
        <sz val="10.0"/>
        <u/>
      </rPr>
      <t>Kadidiatou Traore</t>
    </r>
    <r>
      <rPr>
        <sz val="10.0"/>
      </rPr>
      <t xml:space="preserve">, </t>
    </r>
    <r>
      <rPr>
        <color rgb="FF1155CC"/>
        <sz val="10.0"/>
        <u/>
      </rPr>
      <t>Ali Salem</t>
    </r>
    <r>
      <rPr>
        <sz val="10.0"/>
      </rPr>
      <t xml:space="preserve">, </t>
    </r>
    <r>
      <rPr>
        <color rgb="FF1155CC"/>
        <sz val="10.0"/>
        <u/>
      </rPr>
      <t>Mame Fatime Sarr</t>
    </r>
    <r>
      <rPr>
        <sz val="10.0"/>
      </rPr>
      <t xml:space="preserve">, </t>
    </r>
    <r>
      <rPr>
        <color rgb="FF1155CC"/>
        <sz val="10.0"/>
        <u/>
      </rPr>
      <t>Emmanuel Rezil</t>
    </r>
    <r>
      <rPr>
        <sz val="10.0"/>
      </rPr>
      <t xml:space="preserve">, </t>
    </r>
    <r>
      <rPr>
        <color rgb="FF1155CC"/>
        <sz val="10.0"/>
        <u/>
      </rPr>
      <t>Angely Li Zheng</t>
    </r>
    <r>
      <rPr>
        <sz val="10.0"/>
      </rPr>
      <t xml:space="preserve"> and </t>
    </r>
    <r>
      <rPr>
        <color rgb="FF1155CC"/>
        <sz val="10.0"/>
        <u/>
      </rPr>
      <t>Samar Chaudhry</t>
    </r>
  </si>
  <si>
    <t>ClaremontIHS, IHSUnionSquare, FlushingIHS</t>
  </si>
  <si>
    <t>Linda</t>
  </si>
  <si>
    <t>Ramirez</t>
  </si>
  <si>
    <t>linda.ramirez19@gmail.com</t>
  </si>
  <si>
    <t>3/4/24 WW emailed for IR3 3/29/23 emailed SB, &amp;#34;I will be available in the fall to be a Champion. I don?t know my availability for times yet, but I will be available Tuesday?s and Thursday?s.&amp;#34; 3/20/23 SB sent text to Linda about IR3 3/17/23 SB emailed for IR3 Crotona 1/17/23 SB email follow up for IR2 1/13/23 SB emailed for IR2 for Ellis 7/11/22 SB sent follow up text for IRS match 7/7/22 LG called, emailed for IRS availability Completed training 4/29 SB Completed screening</t>
  </si>
  <si>
    <t>1871 Teakwood Dr</t>
  </si>
  <si>
    <t>Santa Maria</t>
  </si>
  <si>
    <t>Na</t>
  </si>
  <si>
    <r>
      <rPr>
        <color rgb="FF1155CC"/>
        <sz val="10.0"/>
        <u/>
      </rPr>
      <t>Kimberlin Ruiz</t>
    </r>
    <r>
      <rPr>
        <sz val="10.0"/>
      </rPr>
      <t xml:space="preserve">, </t>
    </r>
    <r>
      <rPr>
        <color rgb="FF1155CC"/>
        <sz val="10.0"/>
        <u/>
      </rPr>
      <t>Indira Yamileth Nunez Mateo</t>
    </r>
    <r>
      <rPr>
        <sz val="10.0"/>
      </rPr>
      <t xml:space="preserve"> and </t>
    </r>
    <r>
      <rPr>
        <color rgb="FF1155CC"/>
        <sz val="10.0"/>
        <u/>
      </rPr>
      <t>Sindi Valerio Frias</t>
    </r>
  </si>
  <si>
    <t>Guerrero</t>
  </si>
  <si>
    <t>lindaguerrero@vistausd.org</t>
  </si>
  <si>
    <t>6/28/23 Linda emailed &amp;#34;Unfortunately, I am not available. I am Fostering two little girls at this time and they need my full attention. Thanks so much for your understanding.&amp;#34; SB 6/27/23 SB sent Linda email for IRS 7/7/22 SB texted for IRS match (too early in PST to call) - not available for match 7/5/22 SB emailed for match 12/22/21 SB sent IR2 FY21-22 schedule list for matching Linda attended a training on 7/8/21 Linda was screened on 7/6/21 by JPS</t>
  </si>
  <si>
    <t>1011 Stiles Court</t>
  </si>
  <si>
    <t>Vista Unified School District</t>
  </si>
  <si>
    <t>Vista</t>
  </si>
  <si>
    <r>
      <rPr>
        <color rgb="FF1155CC"/>
        <sz val="10.0"/>
        <u/>
      </rPr>
      <t>Claribelisa Gonzalez</t>
    </r>
    <r>
      <rPr>
        <sz val="10.0"/>
      </rPr>
      <t xml:space="preserve">, </t>
    </r>
    <r>
      <rPr>
        <color rgb="FF1155CC"/>
        <sz val="10.0"/>
        <u/>
      </rPr>
      <t>Magby Orellana</t>
    </r>
    <r>
      <rPr>
        <sz val="10.0"/>
      </rPr>
      <t xml:space="preserve"> and </t>
    </r>
    <r>
      <rPr>
        <color rgb="FF1155CC"/>
        <sz val="10.0"/>
        <u/>
      </rPr>
      <t>Ismatu Barry</t>
    </r>
  </si>
  <si>
    <t>ICHSBronx</t>
  </si>
  <si>
    <t>Lindsay</t>
  </si>
  <si>
    <t>Katherine LoBello</t>
  </si>
  <si>
    <t>Lindsay.lobello@icloud.com</t>
  </si>
  <si>
    <t>10/18/23 SB called Lindsay, she is not available because does not want to overextend herself with working multiple jobs - SB checked her linkedin, no longer at Loreal 10/16/23 SB sent text to Lindsay about IR1 10/13/23 SB sent email to loreal email about IR1 (previous ones were to icloud email) 10/5/23 SB sent follow up email about IR1 9/29/23 SB sent email about IR1 Ellis group (did not include info about in person 11th session yet) 7/18/23 WW emailed for IRS, PQ followed up with phone and text, not available for IRS but interested in IR1 12/15/22 SB followed up on matching availability. Lindsay responded that she is not available for this round - unsure about IR3 &amp;amp; to follow up as it gets closer 12/13/22 SB emailed for IR2 - Monday availability 10/11/22 Not available for IR1. In Spain until mid November. CT 6/7/22 Sent email to Lindsay about potential Champions in her network. CT 4/20/22 Not available for IR3. Working on project overseas for next 2 months. CT Email updated to Lindsay.lobello@icloud.com from lindsay.lobello@loreal.com 1/10/22 SB sent schedules for FY21-22 IR2 Doubled Checked 1/19 (KW) JPS emailed on 1/5/2021 to check her engagement status, no response as of 1/14/2021. Followed up on 1/14/2021 contacted for screening call 1/7</t>
  </si>
  <si>
    <t>243 W 60th Street 4A New york</t>
  </si>
  <si>
    <t>Loreal</t>
  </si>
  <si>
    <r>
      <rPr>
        <color rgb="FF1155CC"/>
        <sz val="10.0"/>
        <u/>
      </rPr>
      <t>Yuxi Yang</t>
    </r>
    <r>
      <rPr>
        <sz val="10.0"/>
      </rPr>
      <t xml:space="preserve"> and </t>
    </r>
    <r>
      <rPr>
        <color rgb="FF1155CC"/>
        <sz val="10.0"/>
        <u/>
      </rPr>
      <t>Liuyi Qiu</t>
    </r>
  </si>
  <si>
    <t>Leanna</t>
  </si>
  <si>
    <t>Kieran Carroll</t>
  </si>
  <si>
    <t>917-275-2697</t>
  </si>
  <si>
    <t>lkcnatalia@gmail.com</t>
  </si>
  <si>
    <t>10/04/22 She won't be available in the near future due to a very busy work schedule. Will let us know if she's available again. CT called 12/22/21 SB sent IR2 FY21-22 schedule list for matching JPS emailed on 1/5/2021 to check her engagement status, no response as of 1/14/2021. Followed up on 1/14/2021. Leanna was trained on 5:15 pm EST by Jennifer Peterson-Sharma Jennifer Peterson-Sharma called on 10/6/2020. Leanna confirmed that she is available to mentor for the 2020-2021 mentoring rounds beginning in November. She also said she is available for the 10/20 Training Webinar. Scheduled for training with Kiesha and Jennifer on September 14th at 7:30, but she could not make it. </t>
  </si>
  <si>
    <t>90-00 Hollis Court Blvd Queens Village, NY 11428</t>
  </si>
  <si>
    <t>Queens, New York</t>
  </si>
  <si>
    <t>World Education Services</t>
  </si>
  <si>
    <r>
      <rPr>
        <color rgb="FF1155CC"/>
        <sz val="10.0"/>
        <u/>
      </rPr>
      <t>Josie Joseph</t>
    </r>
    <r>
      <rPr>
        <sz val="10.0"/>
      </rPr>
      <t xml:space="preserve"> and </t>
    </r>
    <r>
      <rPr>
        <color rgb="FF1155CC"/>
        <sz val="10.0"/>
        <u/>
      </rPr>
      <t>Nazim Bolotbekova</t>
    </r>
  </si>
  <si>
    <t>Loic Uriel</t>
  </si>
  <si>
    <t>Nguoghia</t>
  </si>
  <si>
    <t>loicnguoghia@yahoo.com</t>
  </si>
  <si>
    <t>1/3/23 CT called &amp;amp; sent text for IR2 12/27/22 CT sent follow up text 12/22/22 CT sent text for IR2 12/19/22 CT followed up for IR2 12/14/22 CT followed up for IR2 12/08/22 CT asked about Wheels schedule for IR2 3/21/22 Completed CPC Training. He was able to watch the video, read scenarios,  listen to discussions but not able to participate in them due to maintenance at his place. CT 01/05/22 CT sent follow up email for matching 12/29/21 SB sent IR2 FY21-22 schedule list for matching 11/24/21 SB sent congrats/training/seminar info email 11/23/21 Passed screening SB 11/17/21 SB emailed and asked availability for a match Screening scheduled 11/23/21 SB 11/16/21 SB sent screening scheduling link</t>
  </si>
  <si>
    <t>836 Kissam Ct, South Plainfield</t>
  </si>
  <si>
    <t>South Plainfield</t>
  </si>
  <si>
    <t>REEF Technology &amp; Publicis Sapient</t>
  </si>
  <si>
    <r>
      <rPr>
        <color rgb="FF1155CC"/>
        <sz val="10.0"/>
        <u/>
      </rPr>
      <t>Nabeel Adam</t>
    </r>
    <r>
      <rPr>
        <sz val="10.0"/>
      </rPr>
      <t xml:space="preserve">, </t>
    </r>
    <r>
      <rPr>
        <color rgb="FF1155CC"/>
        <sz val="10.0"/>
        <u/>
      </rPr>
      <t>Alisha Guillaume</t>
    </r>
    <r>
      <rPr>
        <sz val="10.0"/>
      </rPr>
      <t xml:space="preserve">, </t>
    </r>
    <r>
      <rPr>
        <color rgb="FF1155CC"/>
        <sz val="10.0"/>
        <u/>
      </rPr>
      <t>Dania Alshami</t>
    </r>
    <r>
      <rPr>
        <sz val="10.0"/>
      </rPr>
      <t xml:space="preserve"> and </t>
    </r>
    <r>
      <rPr>
        <color rgb="FF1155CC"/>
        <sz val="10.0"/>
        <u/>
      </rPr>
      <t>Ketu Patel</t>
    </r>
  </si>
  <si>
    <t>IHSUnionSquare, CypressHills, GWHS</t>
  </si>
  <si>
    <t>Loren</t>
  </si>
  <si>
    <t>Hernandez</t>
  </si>
  <si>
    <t>loren.hdz@gmail.com</t>
  </si>
  <si>
    <t>10/12/23 Loren replied to SB saying it would be great to re-engage her in a year - try for IR1 FY 24-45 (Fall 2024) 10/6/23 Loren emailed &amp;#34;not sure I'll be available for a while&amp;#34; SB asked if it was okay to reach out next academic year. Marking inactive for now 10/5/23 SB emailed for IR1 6/15/22 FY 21-22 IR3 Loren had low engagement from Interns and felt discouraged. Resulting in her feeling that re-scheduling sessions was not worth it. Give her a break for IRS and give her stronger students next round. 12/29/21 SB sent IR2 FY21-22 schedule list for matching Loren attended a training on 6/15/21 with JPS Loren will attend a Champion Orientation &amp;amp; Onboarding webinar on 7/15/21 with JPS Loren was screened on 5/26/21 by JPS</t>
  </si>
  <si>
    <t>488 Winslow St Apt 128</t>
  </si>
  <si>
    <t>Redwood City CA</t>
  </si>
  <si>
    <t>Redwood City</t>
  </si>
  <si>
    <t>Currently taking time off, last employed at Glu Mobile (now EA Games)</t>
  </si>
  <si>
    <r>
      <rPr>
        <color rgb="FF1155CC"/>
        <sz val="10.0"/>
        <u/>
      </rPr>
      <t>Sushil Magar</t>
    </r>
    <r>
      <rPr>
        <sz val="10.0"/>
      </rPr>
      <t xml:space="preserve">, </t>
    </r>
    <r>
      <rPr>
        <color rgb="FF1155CC"/>
        <sz val="10.0"/>
        <u/>
      </rPr>
      <t>Yanquel Hernandez</t>
    </r>
    <r>
      <rPr>
        <sz val="10.0"/>
      </rPr>
      <t xml:space="preserve">, </t>
    </r>
    <r>
      <rPr>
        <color rgb="FF1155CC"/>
        <sz val="10.0"/>
        <u/>
      </rPr>
      <t>Shobha Gurung</t>
    </r>
    <r>
      <rPr>
        <sz val="10.0"/>
      </rPr>
      <t xml:space="preserve">, </t>
    </r>
    <r>
      <rPr>
        <color rgb="FF1155CC"/>
        <sz val="10.0"/>
        <u/>
      </rPr>
      <t>Miguel Gonzalez</t>
    </r>
    <r>
      <rPr>
        <sz val="10.0"/>
      </rPr>
      <t xml:space="preserve">, </t>
    </r>
    <r>
      <rPr>
        <color rgb="FF1155CC"/>
        <sz val="10.0"/>
        <u/>
      </rPr>
      <t>Ishmael Callender</t>
    </r>
    <r>
      <rPr>
        <sz val="10.0"/>
      </rPr>
      <t xml:space="preserve">, </t>
    </r>
    <r>
      <rPr>
        <color rgb="FF1155CC"/>
        <sz val="10.0"/>
        <u/>
      </rPr>
      <t>Devin Rhodie</t>
    </r>
    <r>
      <rPr>
        <sz val="10.0"/>
      </rPr>
      <t xml:space="preserve">, </t>
    </r>
    <r>
      <rPr>
        <color rgb="FF1155CC"/>
        <sz val="10.0"/>
        <u/>
      </rPr>
      <t>Angelica Rubiera</t>
    </r>
    <r>
      <rPr>
        <sz val="10.0"/>
      </rPr>
      <t xml:space="preserve">, </t>
    </r>
    <r>
      <rPr>
        <color rgb="FF1155CC"/>
        <sz val="10.0"/>
        <u/>
      </rPr>
      <t>Adriel Tavarez Tavarez</t>
    </r>
    <r>
      <rPr>
        <sz val="10.0"/>
      </rPr>
      <t xml:space="preserve">, </t>
    </r>
    <r>
      <rPr>
        <color rgb="FF1155CC"/>
        <sz val="10.0"/>
        <u/>
      </rPr>
      <t>Michael David Paredes</t>
    </r>
    <r>
      <rPr>
        <sz val="10.0"/>
      </rPr>
      <t xml:space="preserve"> and </t>
    </r>
    <r>
      <rPr>
        <color rgb="FF1155CC"/>
        <sz val="10.0"/>
        <u/>
      </rPr>
      <t>Rasel Ali</t>
    </r>
  </si>
  <si>
    <t>IHS Health, QueensPrepAcad, CrotonaIHS, ICHSBronx</t>
  </si>
  <si>
    <t>Luz</t>
  </si>
  <si>
    <t>Santana</t>
  </si>
  <si>
    <t>luzdsantana@outlook.com</t>
  </si>
  <si>
    <t>2/13/24 SB emailed for IR3 11/14/23 SB emailed for new job information - information is correct 10/30/23 WW left VM and text for IR1; WW sent follow-up email and VM 11/1/23 - available for IR1 10/27/23 SB called back and left VM after realizing Luz had called back day prior 10/26/23 SB called for IR1 and left VM 10/25/23 SB sent text for IR1 10/23/23 SB emailed for IR1 3/28/23 SB sent IR2 check in and request for IR3 1/12/23 CT Complete in CPC Orientation &amp;amp; Onboarding Webinar 1/10/23 confirmed IR2 Monday schedule SB 1/5/23 confirmed training for 1/12/23. SB responded and asked for IR2 Monday schedule (Bronx, Queens, Crotona) 1/4/23 SB followed up in email for training 12/19/22 CT left voicemail &amp;amp; sent text to schedule CPC Training 12/13/22 Sb sent text to schedule training 12/06/22 CT sent follow up email regarding training 11/03/22 CT sent congrats email 11/02/22 Passed screening with CT 11/1/22 SB send screening scheduling email</t>
  </si>
  <si>
    <t>76 Starr Street</t>
  </si>
  <si>
    <t>Healthfirst</t>
  </si>
  <si>
    <r>
      <rPr>
        <color rgb="FF1155CC"/>
        <sz val="10.0"/>
        <u/>
      </rPr>
      <t>Ismatu Barry</t>
    </r>
    <r>
      <rPr>
        <sz val="10.0"/>
      </rPr>
      <t xml:space="preserve">, </t>
    </r>
    <r>
      <rPr>
        <color rgb="FF1155CC"/>
        <sz val="10.0"/>
        <u/>
      </rPr>
      <t>Yamilette Rodriguez Franjul</t>
    </r>
    <r>
      <rPr>
        <sz val="10.0"/>
      </rPr>
      <t xml:space="preserve">, </t>
    </r>
    <r>
      <rPr>
        <color rgb="FF1155CC"/>
        <sz val="10.0"/>
        <u/>
      </rPr>
      <t>Norvia Tavarez</t>
    </r>
    <r>
      <rPr>
        <sz val="10.0"/>
      </rPr>
      <t xml:space="preserve">, </t>
    </r>
    <r>
      <rPr>
        <color rgb="FF1155CC"/>
        <sz val="10.0"/>
        <u/>
      </rPr>
      <t>Deisymar Martinez</t>
    </r>
    <r>
      <rPr>
        <sz val="10.0"/>
      </rPr>
      <t xml:space="preserve">, </t>
    </r>
    <r>
      <rPr>
        <color rgb="FF1155CC"/>
        <sz val="10.0"/>
        <u/>
      </rPr>
      <t>Josue Martinez</t>
    </r>
    <r>
      <rPr>
        <sz val="10.0"/>
      </rPr>
      <t xml:space="preserve">, </t>
    </r>
    <r>
      <rPr>
        <color rgb="FF1155CC"/>
        <sz val="10.0"/>
        <u/>
      </rPr>
      <t>Dayra Taveras</t>
    </r>
    <r>
      <rPr>
        <sz val="10.0"/>
      </rPr>
      <t xml:space="preserve">, </t>
    </r>
    <r>
      <rPr>
        <color rgb="FF1155CC"/>
        <sz val="10.0"/>
        <u/>
      </rPr>
      <t>Julian Duarte</t>
    </r>
    <r>
      <rPr>
        <sz val="10.0"/>
      </rPr>
      <t xml:space="preserve">, </t>
    </r>
    <r>
      <rPr>
        <color rgb="FF1155CC"/>
        <sz val="10.0"/>
        <u/>
      </rPr>
      <t>Angel Guzman</t>
    </r>
    <r>
      <rPr>
        <sz val="10.0"/>
      </rPr>
      <t xml:space="preserve">, </t>
    </r>
    <r>
      <rPr>
        <color rgb="FF1155CC"/>
        <sz val="10.0"/>
        <u/>
      </rPr>
      <t>Allison Perez</t>
    </r>
    <r>
      <rPr>
        <sz val="10.0"/>
      </rPr>
      <t xml:space="preserve">, </t>
    </r>
    <r>
      <rPr>
        <color rgb="FF1155CC"/>
        <sz val="10.0"/>
        <u/>
      </rPr>
      <t>Lesly Chucino</t>
    </r>
    <r>
      <rPr>
        <sz val="10.0"/>
      </rPr>
      <t xml:space="preserve"> and </t>
    </r>
    <r>
      <rPr>
        <color rgb="FF1155CC"/>
        <sz val="10.0"/>
        <u/>
      </rPr>
      <t>Kenry Aldana</t>
    </r>
  </si>
  <si>
    <t>ICHSBronx, CrotonaIHS</t>
  </si>
  <si>
    <t>Lynda</t>
  </si>
  <si>
    <t>Nwabuobi</t>
  </si>
  <si>
    <t>646-623-6387</t>
  </si>
  <si>
    <t>lynda.nwabuobi@gmail.com</t>
  </si>
  <si>
    <t>1/18/24 SB emailed for National Women Physician Day and to try and re-engage 12/27/22 CT asked for Wheels schedule for IR2, &amp;#34;Unfortunately I won?t be available in the near future. I?ll reach out if I?m able to mentor again.&amp;#34; Mark her as inactive  11/7/22 SB update profile with new job info. Old info: location &amp;#61; NYC, Job Title &amp;#61; Assistant Professor of Clinical Neurology, company name &amp;#61; Weill Cornell Medicine, Company website &amp;#61; https://weill.cornell.edu/ 10/5/22 SB messaged for IR1 availability 6/28/22 LG emailed about IRS with Ellis Prep - Lynda unable to participate in IRS 2/23/22 Lynda was matched with YABC for IR3 2022 and attended one session then dropped out due to increased job responsibilities 12/30/21 SB sent IR2 FY21-22 schedule list for matching Lynda cannot participate in IR1 21-22 10/8/21 SB Lynda cannot be a Champion for IR3 2020-2021 Available: Monday 9-1pm, Tuesday 1-6pm, Wed 9-1pm, Thursday unpredictable, Friday anytime except 12-1</t>
  </si>
  <si>
    <t>60 West 91st Street Apt C, NY, NY 10024</t>
  </si>
  <si>
    <t>WASHINGTON D.C.</t>
  </si>
  <si>
    <t>The Neurology Center</t>
  </si>
  <si>
    <t>FY 21 - 22, FY 19 - 20, FY 20 - 21</t>
  </si>
  <si>
    <r>
      <rPr>
        <color rgb="FF1155CC"/>
        <sz val="10.0"/>
        <u/>
      </rPr>
      <t>Jaliyha Eberhart</t>
    </r>
    <r>
      <rPr>
        <sz val="10.0"/>
      </rPr>
      <t xml:space="preserve">, </t>
    </r>
    <r>
      <rPr>
        <color rgb="FF1155CC"/>
        <sz val="10.0"/>
        <u/>
      </rPr>
      <t>Justin Pinero</t>
    </r>
    <r>
      <rPr>
        <sz val="10.0"/>
      </rPr>
      <t xml:space="preserve">, </t>
    </r>
    <r>
      <rPr>
        <color rgb="FF1155CC"/>
        <sz val="10.0"/>
        <u/>
      </rPr>
      <t>Scarlett Cotto</t>
    </r>
    <r>
      <rPr>
        <sz val="10.0"/>
      </rPr>
      <t xml:space="preserve">, </t>
    </r>
    <r>
      <rPr>
        <color rgb="FF1155CC"/>
        <sz val="10.0"/>
        <u/>
      </rPr>
      <t>Fatoumata Diallo</t>
    </r>
    <r>
      <rPr>
        <sz val="10.0"/>
      </rPr>
      <t xml:space="preserve">, </t>
    </r>
    <r>
      <rPr>
        <color rgb="FF1155CC"/>
        <sz val="10.0"/>
        <u/>
      </rPr>
      <t>Adama Bah</t>
    </r>
    <r>
      <rPr>
        <sz val="10.0"/>
      </rPr>
      <t xml:space="preserve">, </t>
    </r>
    <r>
      <rPr>
        <color rgb="FF1155CC"/>
        <sz val="10.0"/>
        <u/>
      </rPr>
      <t>Khadidia Traore</t>
    </r>
    <r>
      <rPr>
        <sz val="10.0"/>
      </rPr>
      <t xml:space="preserve"> and </t>
    </r>
    <r>
      <rPr>
        <color rgb="FF1155CC"/>
        <sz val="10.0"/>
        <u/>
      </rPr>
      <t>Mamdiara Ndiaye</t>
    </r>
  </si>
  <si>
    <t>NYC Mission - Bronx Community and Washington Irving YABC, CrotonaIHS, ELLIS</t>
  </si>
  <si>
    <t>Ayanna</t>
  </si>
  <si>
    <t>Lyons</t>
  </si>
  <si>
    <t>lyonsa29@gmail.com</t>
  </si>
  <si>
    <t>2/21/23 CT sent email about being Seminar Speaker for IHS Union Square 12/22/21 SB sent IR2 FY21-22 schedule list for matching JPS emailed on 2/22/21 to see which potential schedule could work for matching Ayanna for IR2 2020-2021 Ayanna attended a CPC Training Webinar on 1/16/2021 with JPS at 11 am est Ayanna was screened on 1/2/2021 by Jennifer Peterson-Sharma at 11 am est. Jennifer emailed Ayanna on 9/29/2020 to set up a Screening Call. Can attend up to two internship sessions a week</t>
  </si>
  <si>
    <t>144 Shoreline Dr. Atco, NJ 08004</t>
  </si>
  <si>
    <t>Atco</t>
  </si>
  <si>
    <t>The Petey Greene Program</t>
  </si>
  <si>
    <t>Seminars 21, FY 20 - 21</t>
  </si>
  <si>
    <r>
      <rPr>
        <color rgb="FF1155CC"/>
        <sz val="10.0"/>
        <u/>
      </rPr>
      <t>Herimar Bonifacio</t>
    </r>
    <r>
      <rPr>
        <sz val="10.0"/>
      </rPr>
      <t xml:space="preserve">, </t>
    </r>
    <r>
      <rPr>
        <color rgb="FF1155CC"/>
        <sz val="10.0"/>
        <u/>
      </rPr>
      <t>Tariana Garcia Encarnacion</t>
    </r>
    <r>
      <rPr>
        <sz val="10.0"/>
      </rPr>
      <t xml:space="preserve">, </t>
    </r>
    <r>
      <rPr>
        <color rgb="FF1155CC"/>
        <sz val="10.0"/>
        <u/>
      </rPr>
      <t>Jaiahna Gadsden</t>
    </r>
    <r>
      <rPr>
        <sz val="10.0"/>
      </rPr>
      <t xml:space="preserve"> and </t>
    </r>
    <r>
      <rPr>
        <color rgb="FF1155CC"/>
        <sz val="10.0"/>
        <u/>
      </rPr>
      <t>Ivelisse Valentin</t>
    </r>
  </si>
  <si>
    <t>QD24, CrotonaIHS, CypressHills</t>
  </si>
  <si>
    <t>Lucy</t>
  </si>
  <si>
    <t>lz442@icloud.com</t>
  </si>
  <si>
    <t>5/18/22 SB sent re-engagement email 12/27/21 SB sent IR2 FY21-22 schedule list for matching Lucy unreachable throughout IR1 FY 21-22 communications, marking as inactive 11/15/21 SB Hetal reached out to Lucy through the connect LinkedIn -- hopefully she replies (11/10/21) HJ called Lucy and left a VM for training and matching 10/20/21 JPS sent an email via Champions@speakhire.org to schedule a training webinar on 7/21/21. JPS emailed on 2/4/2021 to get scheduled for a training Followed up on 10/26/2020 Lucy responded unable to attend Training Webinars on 9/12 and 9/14, asked her about 9/21. Waiting for response. Emailed Lucy about attending a training webinar on 9/4/2020 and followed-up again on 9/9/2020. Lucy will have a maximum of two mentee pairs. Screening call conducted on 9/4/2020 at 12 pm by Jennifer Peterson-Sharma.  Screening call scheduled for 9/4/2020 Emailed 8/27/2020 about setting up screening call</t>
  </si>
  <si>
    <t>111 Mott Street 21</t>
  </si>
  <si>
    <t>Universal Mccann World Wide</t>
  </si>
  <si>
    <t>Maha</t>
  </si>
  <si>
    <t>Khalawi</t>
  </si>
  <si>
    <t>m.alkhalawi@gmail.com</t>
  </si>
  <si>
    <t>4/3/23 updated job info from &amp;#34;Associate director of Innovation&amp;#34; at &amp;#34;Ernst &amp;amp; Young&amp;#34; to  Leading Innovation and Sustainability at Wipro Middle East. Need to update bio 3/29/23 emailed SB - not available for IR3, new position at work. SB asked for updated position info 3/22/23 SB sent Maha email about IR3 availability 1/27/23 CT Maha not available throughout Feb &amp;amp; March. Reach out for IR3 1/26/23 CT asked for IR2 availability with Wheels schedule Maha in exit survey said she does not want to continue- 5/26/22 SB called Maha, she meant only for the next round. She is okay to continue to be a Champion, but we should match her with some stronger students next round especially if we can do a culture match as well. Hetal updated her email address upon request from mahafkhalawi@gmail.com to what it is now on 1/25/22 Maha shared her completed IG with JPS on 6/29/21 Maha attended a training on 6/27/21 with JPS. She has a completed IG but has difficulty downloading it. Emailed her the onboarding materials on August 31st 2020 for Training Followed up with her September 3rd 2020 Maha was screening on 3/27/2020 by Dona Rehm</t>
  </si>
  <si>
    <t>601 executive towers, business bay</t>
  </si>
  <si>
    <t>Dubai</t>
  </si>
  <si>
    <t>Wipro Middle East</t>
  </si>
  <si>
    <r>
      <rPr>
        <color rgb="FF1155CC"/>
        <sz val="10.0"/>
        <u/>
      </rPr>
      <t>Joshua Jimenez</t>
    </r>
    <r>
      <rPr>
        <sz val="10.0"/>
      </rPr>
      <t xml:space="preserve"> and </t>
    </r>
    <r>
      <rPr>
        <color rgb="FF1155CC"/>
        <sz val="10.0"/>
        <u/>
      </rPr>
      <t>Genesis Mercado</t>
    </r>
  </si>
  <si>
    <t>Marissa</t>
  </si>
  <si>
    <t>Arciola</t>
  </si>
  <si>
    <t>914-433-6953</t>
  </si>
  <si>
    <t>maarciola@gmail.com</t>
  </si>
  <si>
    <t>7/18/23 WW emailed for IRS, PC team followed up with text and call 3/14/23 CT called about taking over group of Interns for IR2. Very busy and not available the next few months but reach out for future rounds. Not available for IR1. CT 8/23/22 Reenaged December 2021 and through a call in January to match for IR2 and also asked for text to share.  12/27/21 SB sent follow up 12/21/21 SB sent IR2 FY21-22 schedule list for matching</t>
  </si>
  <si>
    <t>25-68 36th Street, Astoria NY</t>
  </si>
  <si>
    <t>Astoria, NY</t>
  </si>
  <si>
    <t>Altice USA</t>
  </si>
  <si>
    <r>
      <rPr>
        <color rgb="FF1155CC"/>
        <sz val="10.0"/>
        <u/>
      </rPr>
      <t>Yanquel Hernandez</t>
    </r>
    <r>
      <rPr>
        <sz val="10.0"/>
      </rPr>
      <t xml:space="preserve">, </t>
    </r>
    <r>
      <rPr>
        <color rgb="FF1155CC"/>
        <sz val="10.0"/>
        <u/>
      </rPr>
      <t>Nadilka Hernandez</t>
    </r>
    <r>
      <rPr>
        <sz val="10.0"/>
      </rPr>
      <t xml:space="preserve"> and </t>
    </r>
    <r>
      <rPr>
        <color rgb="FF1155CC"/>
        <sz val="10.0"/>
        <u/>
      </rPr>
      <t>Frailyn Cruz</t>
    </r>
  </si>
  <si>
    <t>Mc Daid</t>
  </si>
  <si>
    <t>macmanhatten@gmail.com</t>
  </si>
  <si>
    <t>Alternative email:  mac.int.design@gmail.com 3/3/23 SB sent follow up email to Christopher 2/13/23 started screening call with SB - was going well, because it had been a while since he applied and wanted to know more about the programs before continuing the screening process. SB to send over info 2/9/23 CT Chris schedule screening call for 2/13/23 2/9/23 CT sent re-engagement email 5/24/22 SB sent re-engagement email Screening invite sent 9/2/21</t>
  </si>
  <si>
    <t>Macmanhatten@gmail.com</t>
  </si>
  <si>
    <t>Owner Mac Interior Design INC</t>
  </si>
  <si>
    <t>Madhuri (Maddy)</t>
  </si>
  <si>
    <t>Koushik</t>
  </si>
  <si>
    <t>madhurikoushik@gmail.com</t>
  </si>
  <si>
    <t>5/10/24 - Emailed re social media content 10/11/23 no longer a board member, should be okay to continue as Champion but not sure what engagement we will get from her Led CCC 5/18/23 Board Member, SPEAKHIRE Email: madhurikoushik@speakhire.org 4/28/23 passed training with SB 4/24/23 SB texted for training 3/24/23 Confirmed group for IR3 and dates but said, &amp;#34;might have conflicts in the first 2 weeks of June (its the week of my husband's birthday and I will be out that week). Will let you know once things are finalized.&amp;#34; 3/23/23 SB sent About Interns for IR3 3/22/23 was going to individually fill out screening form (SB sent), but HJ seeing if she can screen for practice for new team members </t>
  </si>
  <si>
    <t>2441 66th Ave SE Mercer Island Washington 98040</t>
  </si>
  <si>
    <t>Mercer Island</t>
  </si>
  <si>
    <t>Twitter</t>
  </si>
  <si>
    <r>
      <rPr>
        <color rgb="FF1155CC"/>
        <sz val="10.0"/>
        <u/>
      </rPr>
      <t>Yancen Rodriguez</t>
    </r>
    <r>
      <rPr>
        <sz val="10.0"/>
      </rPr>
      <t xml:space="preserve">, </t>
    </r>
    <r>
      <rPr>
        <color rgb="FF1155CC"/>
        <sz val="10.0"/>
        <u/>
      </rPr>
      <t>Matthew Wright</t>
    </r>
    <r>
      <rPr>
        <sz val="10.0"/>
      </rPr>
      <t xml:space="preserve"> and </t>
    </r>
    <r>
      <rPr>
        <color rgb="FF1155CC"/>
        <sz val="10.0"/>
        <u/>
      </rPr>
      <t>Cristobal Cespedes</t>
    </r>
  </si>
  <si>
    <t>QueensPrepAcad, CrotonaIHS</t>
  </si>
  <si>
    <t>Madhuri</t>
  </si>
  <si>
    <t>Sesha Sarma</t>
  </si>
  <si>
    <t>madhuris.sarma@gmail.com</t>
  </si>
  <si>
    <t>2/3/23 HJ called and left a vm to see if she's still interested in Championing -- asked for IR2 Wheels since we still need 2 HS Champions 1/17/23 CT sent follow up email for IR2 1/10/23 CT asked for IR2 availability with Wheels schedule 7/7/22 LG emailed Soiree invite; Madhuri is unavailable for IR1 4/12/22 SB texted and asked for FY21-22 IR3, Madhuri on maternity leave and unable to Champion at this time, try for next FY - Texts/phone probably better for contact Completed Onboarding and Training 7/27/21 SB Madhuri was screened on 7/5/21 by JPS JPS sent screening call email on 6/29/21</t>
  </si>
  <si>
    <t>259 Greenfield Ave, San Mateo, CA, 94403</t>
  </si>
  <si>
    <t>San Mateo</t>
  </si>
  <si>
    <t>Orum.io</t>
  </si>
  <si>
    <r>
      <rPr>
        <color rgb="FF1155CC"/>
        <sz val="10.0"/>
        <u/>
      </rPr>
      <t>Cristobal Cespedes</t>
    </r>
    <r>
      <rPr>
        <sz val="10.0"/>
      </rPr>
      <t xml:space="preserve">, </t>
    </r>
    <r>
      <rPr>
        <color rgb="FF1155CC"/>
        <sz val="10.0"/>
        <u/>
      </rPr>
      <t>Matthew Wright</t>
    </r>
    <r>
      <rPr>
        <sz val="10.0"/>
      </rPr>
      <t xml:space="preserve">, </t>
    </r>
    <r>
      <rPr>
        <color rgb="FF1155CC"/>
        <sz val="10.0"/>
        <u/>
      </rPr>
      <t>Matthew Wright</t>
    </r>
    <r>
      <rPr>
        <sz val="10.0"/>
      </rPr>
      <t xml:space="preserve"> and </t>
    </r>
    <r>
      <rPr>
        <color rgb="FF1155CC"/>
        <sz val="10.0"/>
        <u/>
      </rPr>
      <t>Miguel Angel Duarte Guiterrez</t>
    </r>
  </si>
  <si>
    <t>Bela</t>
  </si>
  <si>
    <t>Madrigal</t>
  </si>
  <si>
    <t>madrigal@adobe.com</t>
  </si>
  <si>
    <t>1/10/24 SB called - Bella moved to Brazil today so she will be tied up for the next few months but would love to stay on the list for future rounds 1/8/24 SB emailed for IR2 Crotona schedule 10/6/23 WW emailed for IR1 3/3/23 SB sent email about IR3 availability for Crotona and About Interns 1/13/23 SB sent follow up email 1/10/23 SB emailed for IR2 match 4/14/22 Not available for Seminars the next few months. CT 2/11/22 Completed Orientation and Onboarding Training SB 02/02/22 Screening Call passed, added to training, sent congrats email 1/31/22 SB sent screening scheduling email</t>
  </si>
  <si>
    <t>1898 Calabazas Blvd.</t>
  </si>
  <si>
    <t>Santa Clara, California</t>
  </si>
  <si>
    <t>Santa Clara</t>
  </si>
  <si>
    <t>Adobe</t>
  </si>
  <si>
    <r>
      <rPr>
        <color rgb="FF1155CC"/>
        <sz val="10.0"/>
        <u/>
      </rPr>
      <t>Jhony Diaz</t>
    </r>
    <r>
      <rPr>
        <sz val="10.0"/>
      </rPr>
      <t xml:space="preserve">, </t>
    </r>
    <r>
      <rPr>
        <color rgb="FF1155CC"/>
        <sz val="10.0"/>
        <u/>
      </rPr>
      <t>Anderson Martinez</t>
    </r>
    <r>
      <rPr>
        <sz val="10.0"/>
      </rPr>
      <t xml:space="preserve">, </t>
    </r>
    <r>
      <rPr>
        <color rgb="FF1155CC"/>
        <sz val="10.0"/>
        <u/>
      </rPr>
      <t>Zeyad Marzouk</t>
    </r>
    <r>
      <rPr>
        <sz val="10.0"/>
      </rPr>
      <t xml:space="preserve"> and </t>
    </r>
    <r>
      <rPr>
        <color rgb="FF1155CC"/>
        <sz val="10.0"/>
        <u/>
      </rPr>
      <t>Johana Gonzalez</t>
    </r>
  </si>
  <si>
    <t>Mallory</t>
  </si>
  <si>
    <t>Bogard</t>
  </si>
  <si>
    <t>MalloryBogard@gmail.com</t>
  </si>
  <si>
    <t>3/30/23 SB texted to see if she would be available  11/29/22 CT called Mallory to check in with her. She's super busy at the moment because her business is doing so great. She does not have capacity to participate as Champion but would like us to reach out in March 2023 again to check in with her.  Use her Mallory's personal email (MalloryBogard@gmail.com) instead of work email (Mallory@serhant.com). CT Mallory is very busy until end of September. Reach out to her after September for CPC Training &amp;amp; IR1. CT Passed screening on 6/9/22 with SB and LG SB &amp;amp; LG sent screening scheduling email 6/8/22</t>
  </si>
  <si>
    <t>33 Bond St, PH16</t>
  </si>
  <si>
    <t>self emplyed - assocated with Ryan Serhant's brokerage</t>
  </si>
  <si>
    <t>Malini</t>
  </si>
  <si>
    <t>Ramnarine</t>
  </si>
  <si>
    <t>malramnarine@gmail.com</t>
  </si>
  <si>
    <t>Hetal called Malini on 1/5/22 since Malini unsubscribed from the mailing list in December to see if she's still interested -- left vm 01/05/22 CT sent follow up email for matching 12/29/21 SB sent IR2 FY21-22 schedule list for matching 12/14/21 SB left Malini a voicemail 12/13/21 SB sent text asking for match for FY21-22 IR1 Doubled Checked 1/19 (KW) Malini responded to JPS's re-engagement email on 1/5/2021 saying that she is able to continue with this process, no refresher training needed. Malini, it appears, still needs to be trained. Emailed her onboarding materials august 28th 2020  Scheduled her training for September 8th 12pm-2pm but didn't show up - said she got mixed up with time. Malini was screened on 1/04/2020 by Dona Rehm.</t>
  </si>
  <si>
    <t>1281 NW 101 way Plantation</t>
  </si>
  <si>
    <t>Fort Lauderdale, Florida</t>
  </si>
  <si>
    <t>Fort Lauderdale</t>
  </si>
  <si>
    <t>Norwegian Cruise Lines Holdings</t>
  </si>
  <si>
    <t>Monique</t>
  </si>
  <si>
    <t>Rochell Anderson</t>
  </si>
  <si>
    <t>manderson53@mgh.Harvard.edu</t>
  </si>
  <si>
    <t>3/5/24 WW emailed for IR3 7/17/23 - SB sent email for IRS, BC called &amp;amp; left VM,  SB sent follow up text - Not available for IRS2/24/23 SB emailed Monique IR3 Wheels availability request and about Interns - asking for IR1 1/25/23 CT not available for IR2, reach out for IR3 1/25/23 CT sent follow up for IR2 1/23/23 CT sent email asking with Wheels schedule for IR2 10/11/22 SB texted Monique for bio, headshot,  resume 10/4/22 SB confirmed Monique for Ellis group 10/3/22 SB followed up to confirm match 9/29/22 SB asking for ICHS Bronx match availability - emailed back and forth about details 8/4/22 Monique messaged SB to let us know she should be available in the fall (IR1). SB updated email from  mra9t@virginia.edu to manderson53@mgh.Harvard.edu. Sending her an Instructional guide (cant find hers) and info about the Community convo 12/29/21 SB sent IR2 FY21-22 schedule list for matching Hetal Jani spoke with Monique on November 7, 2020 for a mentee match, but her schedule is too busy -- Wednesdays she has clinic. She'll look to spread the word.</t>
  </si>
  <si>
    <t>2410 Berkshire Place Apt 48, Charlottesville, VA 22901</t>
  </si>
  <si>
    <t>Boston, MASSACHUSETTS</t>
  </si>
  <si>
    <t>Boston</t>
  </si>
  <si>
    <t>National Institutes of Health</t>
  </si>
  <si>
    <t>FY 22 - 23, FY 17 - 18</t>
  </si>
  <si>
    <r>
      <rPr>
        <color rgb="FF1155CC"/>
        <sz val="10.0"/>
        <u/>
      </rPr>
      <t>Elaisa Vinicio</t>
    </r>
    <r>
      <rPr>
        <sz val="10.0"/>
      </rPr>
      <t xml:space="preserve">, </t>
    </r>
    <r>
      <rPr>
        <color rgb="FF1155CC"/>
        <sz val="10.0"/>
        <u/>
      </rPr>
      <t>Nana Keita</t>
    </r>
    <r>
      <rPr>
        <sz val="10.0"/>
      </rPr>
      <t xml:space="preserve">, </t>
    </r>
    <r>
      <rPr>
        <color rgb="FF1155CC"/>
        <sz val="10.0"/>
        <u/>
      </rPr>
      <t>Sabrina Galay</t>
    </r>
    <r>
      <rPr>
        <sz val="10.0"/>
      </rPr>
      <t xml:space="preserve">, </t>
    </r>
    <r>
      <rPr>
        <color rgb="FF1155CC"/>
        <sz val="10.0"/>
        <u/>
      </rPr>
      <t>Maradiatou Kassim</t>
    </r>
    <r>
      <rPr>
        <sz val="10.0"/>
      </rPr>
      <t xml:space="preserve"> and </t>
    </r>
    <r>
      <rPr>
        <color rgb="FF1155CC"/>
        <sz val="10.0"/>
        <u/>
      </rPr>
      <t>Natala Reid-Small</t>
    </r>
  </si>
  <si>
    <t>ELLIS, HS for Global Citizenship</t>
  </si>
  <si>
    <t>Mandy</t>
  </si>
  <si>
    <t>Coligan</t>
  </si>
  <si>
    <t>425-218-8264</t>
  </si>
  <si>
    <t>mandydr@gmail.com</t>
  </si>
  <si>
    <t>7/18/23 WW emailed for IRS, PC team followed up with text and call 3/7/23 SB sent text for IR3 3/1/23 SB sent follow up email to Mandy 2/27/23 CT called to check in but Mandy was busy and wants to call back, sent text 2/24/23 SB emailed Mandy IR3 availability request and about Interns 2/7/23 CT sent follow up email 1/17/23 CT sent follow up email 1/10/23 CT sent check in email 10/5/22 SB talked to on phone - not available for IR1 but interested in IR2. 12/30/21 CT called &amp;amp; left voicemail 12/28/21 SB sent a text about match for IR1 FY21-22</t>
  </si>
  <si>
    <t>809 Limestone Dr Allison Park PA 15101</t>
  </si>
  <si>
    <t>Greater Pittsburgh Area</t>
  </si>
  <si>
    <t>Allison Park</t>
  </si>
  <si>
    <t>Community College of Allegheny County</t>
  </si>
  <si>
    <t>Monica</t>
  </si>
  <si>
    <t>Manglani</t>
  </si>
  <si>
    <t>manglanm@gmail.com</t>
  </si>
  <si>
    <t>8/18/23 - AT sent re-engagement message on LinkedIn. Awaiting response. 8/8/23 - AT emailed and sent re-engagement txt. Awaiting response. 4/3/23 CT sent follow up about Screening Call 2/22/23 CT sent follow up email to re-engage 2/9/23 CT sent re-engagement email 5/24/22 SB sent re-engagement email HH email 8/5/21, HH voicemail/email 7/29/21, HH voicemail/text 7/21/21, Emailed on 8/31/2020 to request resume. No response.</t>
  </si>
  <si>
    <t>723 Stag Court</t>
  </si>
  <si>
    <t>Hershey</t>
  </si>
  <si>
    <t>Hummelstown</t>
  </si>
  <si>
    <t>Penn State College of Medicine</t>
  </si>
  <si>
    <t>Manisha</t>
  </si>
  <si>
    <t>Sareen</t>
  </si>
  <si>
    <t>manisha_sareen@yahoo.com</t>
  </si>
  <si>
    <t>1/17/23 CT marked her as inactive because of no communication from her end 1/17/23 CT called but voicemail full, sent text 1/9/23 CT sent check in text 1/5/23 CT sent checking in text 10/11/22 CT left voicemail &amp;amp; sent text 8/15/22 SB called, left voicmail and sent text to try to get an updated email 8/11/22 SB messaged Manisha on Linkedin to try to re-engage. No responses to phone and email bounces back 7/7/22 LG called, emailed for IRS availability 12/30/21 CT called, voicemail full 12/30/21 SB sent IR2 FY21-22 schedule list for matching 12/28/21 SB sent a text about match for IR1 FY21-22 JPS emailed on 2/9/2021 to check Manisha's availability to matching &amp;#43; sent refresher document - EMAIL ADDRESS CAME BACK AS &amp;#34;NOT FOUND&amp;#34;</t>
  </si>
  <si>
    <t>83-30 Vietor Avenue, Elmhurst, NY 11373</t>
  </si>
  <si>
    <t>Flushing</t>
  </si>
  <si>
    <t>One Love Foundation</t>
  </si>
  <si>
    <t>Maria</t>
  </si>
  <si>
    <t>Graciela Burn</t>
  </si>
  <si>
    <t>mariagburn@gmail.com</t>
  </si>
  <si>
    <t>1/11/24 SB sent text about IR2 crotona 1/10/24 SB emailed for IR2 Crotona 11/2/23 SB Updated job title from Marketing Associate to Senior Marketing Strategy Manager  10/31/23 SB sent text for IR1 - not available, has a meeting at that time 10/25/23 SB sent email for IR1 7/18/23 SB followed up about dates via text - did not hear back 7/17/23 - SB sent email for IRS, BC called &amp;amp; left VM,  SB sent follow up text - checking with work, SB sending dates 7/13/22 SB emailed for IRS 3/7/23 SB sent text about IR3 3/1/23 SB sent follow up email 2/24/23 SB emailed for Wheels availability and sent about Interns 7/25/22 SB asked for IRS 3/8/22 Maria said she is getting her MBA and cannot participate in next two rounds but should be good for IR1 for FY22-23 SB 12/22/21 SB sent IR2 FY21-22 schedule list for matching Moved from 2232 Grand Canal, Irvine to Chicago in May 2021 (HJ, May 10,2021) Maria will watch the CPC Training Webinar presentation video individually and will join in on the second half of the live webinar training session scheduled for 2/26/21 to engage in the discussion portion of the training.  JPS sent congratulations email on 2/18/21 &amp;#43; email to schedule a training Maria had a screening call on 2/17/21 with Malak Baker JPS emailed on 2/10/21 to see if Maria could be a champion for the IR2 20-21 session &amp;#43; schedule a screening JPS followed up on 2/1/2021 for screening call. Doubled checked on 1/26 (KW) JPS emailed on 1/20/21 to schedule a screening call</t>
  </si>
  <si>
    <t>The Walt Disney Company</t>
  </si>
  <si>
    <t>Seminars 22, Seminars 21, FY 23 - 24, FY 21 - 22, FY 20 - 21</t>
  </si>
  <si>
    <r>
      <rPr>
        <color rgb="FF1155CC"/>
        <sz val="10.0"/>
        <u/>
      </rPr>
      <t>Julian Duarte</t>
    </r>
    <r>
      <rPr>
        <sz val="10.0"/>
      </rPr>
      <t xml:space="preserve">, </t>
    </r>
    <r>
      <rPr>
        <color rgb="FF1155CC"/>
        <sz val="10.0"/>
        <u/>
      </rPr>
      <t>Fania Minaya</t>
    </r>
    <r>
      <rPr>
        <sz val="10.0"/>
      </rPr>
      <t xml:space="preserve">, </t>
    </r>
    <r>
      <rPr>
        <color rgb="FF1155CC"/>
        <sz val="10.0"/>
        <u/>
      </rPr>
      <t>Andy Caba</t>
    </r>
    <r>
      <rPr>
        <sz val="10.0"/>
      </rPr>
      <t xml:space="preserve">, </t>
    </r>
    <r>
      <rPr>
        <color rgb="FF1155CC"/>
        <sz val="10.0"/>
        <u/>
      </rPr>
      <t>Leswin Garcia</t>
    </r>
    <r>
      <rPr>
        <sz val="10.0"/>
      </rPr>
      <t xml:space="preserve">, </t>
    </r>
    <r>
      <rPr>
        <color rgb="FF1155CC"/>
        <sz val="10.0"/>
        <u/>
      </rPr>
      <t>Fatima Magana</t>
    </r>
    <r>
      <rPr>
        <sz val="10.0"/>
      </rPr>
      <t xml:space="preserve">, </t>
    </r>
    <r>
      <rPr>
        <color rgb="FF1155CC"/>
        <sz val="10.0"/>
        <u/>
      </rPr>
      <t>Jhony Diaz</t>
    </r>
    <r>
      <rPr>
        <sz val="10.0"/>
      </rPr>
      <t xml:space="preserve">, </t>
    </r>
    <r>
      <rPr>
        <color rgb="FF1155CC"/>
        <sz val="10.0"/>
        <u/>
      </rPr>
      <t>Iyana Rankin</t>
    </r>
    <r>
      <rPr>
        <sz val="10.0"/>
      </rPr>
      <t xml:space="preserve">, </t>
    </r>
    <r>
      <rPr>
        <color rgb="FF1155CC"/>
        <sz val="10.0"/>
        <u/>
      </rPr>
      <t>Claribelisa Gonzalez</t>
    </r>
    <r>
      <rPr>
        <sz val="10.0"/>
      </rPr>
      <t xml:space="preserve">, </t>
    </r>
    <r>
      <rPr>
        <color rgb="FF1155CC"/>
        <sz val="10.0"/>
        <u/>
      </rPr>
      <t>Maria De La Cruz</t>
    </r>
    <r>
      <rPr>
        <sz val="10.0"/>
      </rPr>
      <t xml:space="preserve"> and </t>
    </r>
    <r>
      <rPr>
        <color rgb="FF1155CC"/>
        <sz val="10.0"/>
        <u/>
      </rPr>
      <t>Nicole Molano</t>
    </r>
  </si>
  <si>
    <t>P2GBronx, ClaremontIHS, CypressHills, HSEI, CrotonaIHS, FlushingIHS, ICHSBronx</t>
  </si>
  <si>
    <t>Mariana</t>
  </si>
  <si>
    <t>Tejeida-Olvera</t>
  </si>
  <si>
    <t>mariana.tolv@gmail.com</t>
  </si>
  <si>
    <t>Doesn't want to continue anymore due to high time commitment. Marked as inactive. CT 8/18/22 3/16/22 She seems a bit more strict on male students. Next round match her with all female students. May need star training for Bias training on working with young men and different personality types. SB 02/03/22 Completed CPC Orientation &amp;amp; Onboarding Training CT 02/01/22 Passed Screening Call CT Spanish is her mother tongue (HJ 1/25/22) 1/24/22 SB sent screening scheduling email</t>
  </si>
  <si>
    <t>2122 Massachusetts Av NW</t>
  </si>
  <si>
    <t>International institute on race equality and human rights</t>
  </si>
  <si>
    <r>
      <rPr>
        <color rgb="FF1155CC"/>
        <sz val="10.0"/>
        <u/>
      </rPr>
      <t>Edison Vacacela</t>
    </r>
    <r>
      <rPr>
        <sz val="10.0"/>
      </rPr>
      <t xml:space="preserve">, </t>
    </r>
    <r>
      <rPr>
        <color rgb="FF1155CC"/>
        <sz val="10.0"/>
        <u/>
      </rPr>
      <t>Josimar Lucero</t>
    </r>
    <r>
      <rPr>
        <sz val="10.0"/>
      </rPr>
      <t xml:space="preserve">, </t>
    </r>
    <r>
      <rPr>
        <color rgb="FF1155CC"/>
        <sz val="10.0"/>
        <u/>
      </rPr>
      <t>Julia Pontes</t>
    </r>
    <r>
      <rPr>
        <sz val="10.0"/>
      </rPr>
      <t xml:space="preserve"> and </t>
    </r>
    <r>
      <rPr>
        <color rgb="FF1155CC"/>
        <sz val="10.0"/>
        <u/>
      </rPr>
      <t>Osvaldo Rodriguez</t>
    </r>
  </si>
  <si>
    <t>Silva Aranha</t>
  </si>
  <si>
    <t>marianasaranha@gmail.com</t>
  </si>
  <si>
    <t>3/22/23 SB sent Mariana text about IR3 availability - responded, &amp;#34;I'll be out of the country at this time. Thank you for keeping me in mind.&amp;#34; 1/19/23 emailed SB, &amp;#34;Unfortunately I do not have the bandwidth right now to participate in the program.&amp;#34; 1/17/23 SB sent follow up email 1/11/23 SB emailed for Ellis for IR2 10/20/22 SB emailed for wheels match 7/13/22 SB contacted for IRS match - unavailable due to work travel over the next few months Mariana attended a CPC Training Webinar on 1/16/2021 with JPS at 11 am est Jennifer Peterson-Sharma screened Mariana on 1/4/2021 at 11 am est Mariana is scheduled for a screening call on 1/4/2021 at 11:00 am est Jennifer emailed Mariana on 9/29/2020 to set up a Screening Call.</t>
  </si>
  <si>
    <t>31 The Crescent apt 32 - Montclair NJ 07042</t>
  </si>
  <si>
    <t>Montclair NJ</t>
  </si>
  <si>
    <t>Montclair</t>
  </si>
  <si>
    <t>Merck Animal Health</t>
  </si>
  <si>
    <r>
      <rPr>
        <color rgb="FF1155CC"/>
        <sz val="10.0"/>
        <u/>
      </rPr>
      <t>Amizo Kante</t>
    </r>
    <r>
      <rPr>
        <sz val="10.0"/>
      </rPr>
      <t xml:space="preserve">, </t>
    </r>
    <r>
      <rPr>
        <color rgb="FF1155CC"/>
        <sz val="10.0"/>
        <u/>
      </rPr>
      <t>Mohamed Danso</t>
    </r>
    <r>
      <rPr>
        <sz val="10.0"/>
      </rPr>
      <t xml:space="preserve">, </t>
    </r>
    <r>
      <rPr>
        <color rgb="FF1155CC"/>
        <sz val="10.0"/>
        <u/>
      </rPr>
      <t>Luis Parra Pestana</t>
    </r>
    <r>
      <rPr>
        <sz val="10.0"/>
      </rPr>
      <t xml:space="preserve">, </t>
    </r>
    <r>
      <rPr>
        <color rgb="FF1155CC"/>
        <sz val="10.0"/>
        <u/>
      </rPr>
      <t>Bryan Payana</t>
    </r>
    <r>
      <rPr>
        <sz val="10.0"/>
      </rPr>
      <t xml:space="preserve">, </t>
    </r>
    <r>
      <rPr>
        <color rgb="FF1155CC"/>
        <sz val="10.0"/>
        <u/>
      </rPr>
      <t>Manuela Salazar</t>
    </r>
    <r>
      <rPr>
        <sz val="10.0"/>
      </rPr>
      <t xml:space="preserve"> and </t>
    </r>
    <r>
      <rPr>
        <color rgb="FF1155CC"/>
        <sz val="10.0"/>
        <u/>
      </rPr>
      <t>Jose Montalvan</t>
    </r>
  </si>
  <si>
    <t>Marinee</t>
  </si>
  <si>
    <t>Lees</t>
  </si>
  <si>
    <t>marineelees@gmail.com</t>
  </si>
  <si>
    <t>1/24/23 CT working full time again and not available during day (8am to 5 pm est) 1/24/23 CT sent text asking for IR2 with wheels schedule 1/24/23 CT sent follow up for training 1/10/23 CT sent follow up regarding CPC training 11/22/22 CT sent re-engagement email with training dates Not available for IR1. CT 8/18/22 12/22/21 SB sent IR2 FY21-22 schedule list for matching Passed screening 11/15/21 SB SB 10/28/21 SB sent text to reschedule screening SB 10/27/21 Marinee did not show up for screening, tried to email and text, no response Training scheduled for 10/27/21 SB sent screening scheduling email on 10/18</t>
  </si>
  <si>
    <t>4049 Green Drake Drive Wake Forest, NC 27587</t>
  </si>
  <si>
    <t>Wake Forest, NC</t>
  </si>
  <si>
    <t>Wake Forest</t>
  </si>
  <si>
    <t>NC</t>
  </si>
  <si>
    <t>Dr. Amy See, DDS &amp; UNC School of Dentistry</t>
  </si>
  <si>
    <r>
      <rPr>
        <color rgb="FF1155CC"/>
        <sz val="10.0"/>
        <u/>
      </rPr>
      <t>Gema Alarcon</t>
    </r>
    <r>
      <rPr>
        <sz val="10.0"/>
      </rPr>
      <t xml:space="preserve"> and </t>
    </r>
    <r>
      <rPr>
        <color rgb="FF1155CC"/>
        <sz val="10.0"/>
        <u/>
      </rPr>
      <t>Manuela Osorno</t>
    </r>
  </si>
  <si>
    <t>Mariann</t>
  </si>
  <si>
    <t>Melicharek Kessler</t>
  </si>
  <si>
    <t>516-286-4441</t>
  </si>
  <si>
    <t>marmelflor64@gmail.com</t>
  </si>
  <si>
    <t>3/22/23 SB sent text for IR3 1/3/23 CT called &amp;amp; sent text for IR2 12/27/22 CT sent follow up text for IR2 12/22/22 CT sent text for IR2 12/19/2 CT followed up for IR2 12/14/22 CT followed up for IR2 12/08/22 CT asked about Wheels schedule for IR2 12/27/21 SB sent follow up 12/21/21 SB sent IR2 FY21-22 schedule list for matching Hetal contacted Mariann a few times even connecting on LinkedIn -- she finally responded by text 11/11/21 saying she was going through some personal stuff and we should reach out in 2022 January for the next round Mariann's work email is mmelicharek@citymd.net Mariann completed her onboarding form 4/15/21 Mariann attended a training webinar on 4/10/21 but has yet to submit the onboarding form (as of 4/12/21). JPS followed up on 4/12/21 to ask her to complete it. Mariann was screened on 3/18/21 by JPS JPS sent an re-engagement/screening call email on 2/22/21 Marked as inactive/yellow because determined to be unresponsive candidate (according to Foundational Mentor Spreadsheet) as of June 18, 2019</t>
  </si>
  <si>
    <t>115 Cypress Drive Kings Park NY 11754</t>
  </si>
  <si>
    <t>Kings Park</t>
  </si>
  <si>
    <r>
      <rPr>
        <color rgb="FF1155CC"/>
        <sz val="10.0"/>
        <u/>
      </rPr>
      <t>Raimelis Garcia</t>
    </r>
    <r>
      <rPr>
        <sz val="10.0"/>
      </rPr>
      <t xml:space="preserve"> and </t>
    </r>
    <r>
      <rPr>
        <color rgb="FF1155CC"/>
        <sz val="10.0"/>
        <u/>
      </rPr>
      <t>Oskarina Cepeda</t>
    </r>
  </si>
  <si>
    <t>Issue 10,11 - 100</t>
  </si>
  <si>
    <t>Maryana</t>
  </si>
  <si>
    <t>Ivlev</t>
  </si>
  <si>
    <t>maryanaivlev@gmail.com</t>
  </si>
  <si>
    <t>1/11/23 not available for IR2, SB asked for IR3 - not available for IR3 1/9/23 SB sent follow up email about IR2 match - Maryana said she is not available, SB followed up to see if it is for the round or schedule 1/4/23 SB emailed for Ellis match for IR2 7/27/22 Maryana will not be able to participate in IR1 22 due to busy work schedule. Reach out next year again. CT 01/12/22 Completed CPC Orientation &amp;amp; Onboarding Training CT 12/29/21 congrats email sent with trainings and full IR2 schedule 12/28/21 passed screening SB Sent Screening Invitation 12/22/2021 CT</t>
  </si>
  <si>
    <t>765 Anderson Ave, Apt. 2-7</t>
  </si>
  <si>
    <t>Cliffside Park, NJ</t>
  </si>
  <si>
    <t>Cliffside Park</t>
  </si>
  <si>
    <t>Benjamin Moore</t>
  </si>
  <si>
    <r>
      <rPr>
        <color rgb="FF1155CC"/>
        <sz val="10.0"/>
        <u/>
      </rPr>
      <t>Yasmine El Himdi</t>
    </r>
    <r>
      <rPr>
        <sz val="10.0"/>
      </rPr>
      <t xml:space="preserve">, </t>
    </r>
    <r>
      <rPr>
        <color rgb="FF1155CC"/>
        <sz val="10.0"/>
        <u/>
      </rPr>
      <t>Raya Tovmasyan</t>
    </r>
    <r>
      <rPr>
        <sz val="10.0"/>
      </rPr>
      <t xml:space="preserve">, </t>
    </r>
    <r>
      <rPr>
        <color rgb="FF1155CC"/>
        <sz val="10.0"/>
        <u/>
      </rPr>
      <t>Nigora Uktamboeva</t>
    </r>
    <r>
      <rPr>
        <sz val="10.0"/>
      </rPr>
      <t xml:space="preserve">, </t>
    </r>
    <r>
      <rPr>
        <color rgb="FF1155CC"/>
        <sz val="10.0"/>
        <u/>
      </rPr>
      <t>Malika Bahronbekova</t>
    </r>
    <r>
      <rPr>
        <sz val="10.0"/>
      </rPr>
      <t xml:space="preserve"> and </t>
    </r>
    <r>
      <rPr>
        <color rgb="FF1155CC"/>
        <sz val="10.0"/>
        <u/>
      </rPr>
      <t>Michelove jeanbaptiste</t>
    </r>
  </si>
  <si>
    <t>IHS Health, IHS Lafayette</t>
  </si>
  <si>
    <t>Mary Anne</t>
  </si>
  <si>
    <t>Maples</t>
  </si>
  <si>
    <t>maryanne.maples@cscglobal.com</t>
  </si>
  <si>
    <t>2/9/23 CT sent follow up text 2/6/23 CT left voicemail &amp;amp; sent text for IR2 1/10/23 SB follow up email for IR2 1/6/23 SB email for IR2 10/19/22 SB followed up for wheels match - unable to do IR1, asking for IR2 10/13/22 SB emailed for wheels 5/31/22 SB marked her yellow. Mary-Anne bowed out of IR3 FY21-22 mid round. She had jury duty for 2 sessions and then when she rejoined, the students were a bit late or absent. She was frustrated about that and the audio from the classroom. She said she had problem at work and needed to drop this round. She wishes to participate in future rounds. She will need STAR training. Completed Onboarding and Orientation Webinar 1/28/22 SB 12/4/21 SB sent congrats email with training dates and schedules for IR2 Passed screening on 1/3/22 SB Sent screening invite 12/16/2021 CT</t>
  </si>
  <si>
    <t>711 Muirwood Drive Oceanside, CA 92057</t>
  </si>
  <si>
    <t>CSC Global</t>
  </si>
  <si>
    <r>
      <rPr>
        <color rgb="FF1155CC"/>
        <sz val="10.0"/>
        <u/>
      </rPr>
      <t>Blair Vales</t>
    </r>
    <r>
      <rPr>
        <sz val="10.0"/>
      </rPr>
      <t xml:space="preserve">, </t>
    </r>
    <r>
      <rPr>
        <color rgb="FF1155CC"/>
        <sz val="10.0"/>
        <u/>
      </rPr>
      <t>Bradley Edwards</t>
    </r>
    <r>
      <rPr>
        <sz val="10.0"/>
      </rPr>
      <t xml:space="preserve">, </t>
    </r>
    <r>
      <rPr>
        <color rgb="FF1155CC"/>
        <sz val="10.0"/>
        <u/>
      </rPr>
      <t>Genesis Araujo</t>
    </r>
    <r>
      <rPr>
        <sz val="10.0"/>
      </rPr>
      <t xml:space="preserve">, </t>
    </r>
    <r>
      <rPr>
        <color rgb="FF1155CC"/>
        <sz val="10.0"/>
        <u/>
      </rPr>
      <t>Victor Rivas</t>
    </r>
    <r>
      <rPr>
        <sz val="10.0"/>
      </rPr>
      <t xml:space="preserve"> and </t>
    </r>
    <r>
      <rPr>
        <color rgb="FF1155CC"/>
        <sz val="10.0"/>
        <u/>
      </rPr>
      <t>Dayanara Angulo Riascos</t>
    </r>
  </si>
  <si>
    <t>QueensPrepAcad, IHS Health</t>
  </si>
  <si>
    <t>Matthew</t>
  </si>
  <si>
    <t>Roberson</t>
  </si>
  <si>
    <t>matthew.roberson@seattle.gov</t>
  </si>
  <si>
    <t>2/3/23 completed training with SB 12/06/22 CT sent follow up regarding training 11/30/22 CT sent follow up email regarding training 9/8/22 Screening passed, sent congrats email. CT 9/6/22 CT scheduled screening call for 9/8/22 8/15/22 SB sent follow up to schedule screening call Wants to be a Seminar and/or Pathway Days Speaker for now. Not able to participate in FY Internship Rounds. CT 8/4/22</t>
  </si>
  <si>
    <t>610 5th av Seattle wa 98104</t>
  </si>
  <si>
    <t>Seattle Police Department</t>
  </si>
  <si>
    <t>Seminars 22, Seminars 23</t>
  </si>
  <si>
    <t>Maxine</t>
  </si>
  <si>
    <t>Antoinette Mitchell</t>
  </si>
  <si>
    <t>347-217-8003</t>
  </si>
  <si>
    <t>maxine.mitchell@gmail.com</t>
  </si>
  <si>
    <t>3/20/23 SB sent text about IR3 3/17/23 SB sent follow up email for IR3 3/14/23 SB emailed for IR3 10/04/22 Not available for IR1 due to new job. CT 4/18/22 Not available for Seminars over the next few months. CT 1/10/22 SB sent follow up email 1/5/22 SB sent IR2 FY21-22 schedule list for matching JPS emailed on 1/5/2021 to check her engagement status, no response as of 1/14/2021. Followed up on 1/14/2021 Hetal called on March 19th 2020 during COVID-19 but she has children now home from school and is WFH. Can't at this time but willing to mentor at a later time. </t>
  </si>
  <si>
    <t>34 Albermarle Avenue, Valley Stream, New York, 11580</t>
  </si>
  <si>
    <t>Fresh Meadows, NY</t>
  </si>
  <si>
    <t>Fresh Meadows</t>
  </si>
  <si>
    <t>Northwell Health</t>
  </si>
  <si>
    <t>Mario</t>
  </si>
  <si>
    <t>Badillo</t>
  </si>
  <si>
    <t>mbadillor@gmail.com</t>
  </si>
  <si>
    <t>He is more active on Whatsapp 2/13/24 SB sent email for IR3 1/5/24 SB had PQ message on Whatsapp for IR2 -- not available for IR2 but interested in IR3 1/3/24 SB emailed for IR2 9/26/23 WW emailed for IR1 - not available 7/14/23 emailed back SB, not available for IRS but interested in IR1 7/13/23 SB sent email for IRS 4/28/23 passed training with SB 3/29/23 SB emailed for IR3 3/21/23 signed up for Training on 4/28/23 SB 3/20/23 SB emailed follow up for training 3/16/23 LLT asked to be Seminar speaker for Crotona IHS Passed screening call with SB 3/9/23 2/28/23 scheduled screening call for 3/9/23 SB 2/27/23 CT sent follow up to schedule screening 2/21/23 CT sent follow up to schedule Screening Call 2/6/23 CT sent email to schedule Screening Call</t>
  </si>
  <si>
    <t>Ecuador</t>
  </si>
  <si>
    <t>Proaktio</t>
  </si>
  <si>
    <r>
      <rPr>
        <color rgb="FF1155CC"/>
        <sz val="10.0"/>
        <u/>
      </rPr>
      <t>Jefferson Colon</t>
    </r>
    <r>
      <rPr>
        <sz val="10.0"/>
      </rPr>
      <t xml:space="preserve">, </t>
    </r>
    <r>
      <rPr>
        <color rgb="FF1155CC"/>
        <sz val="10.0"/>
        <u/>
      </rPr>
      <t>Ansel Castro</t>
    </r>
    <r>
      <rPr>
        <sz val="10.0"/>
      </rPr>
      <t xml:space="preserve">, </t>
    </r>
    <r>
      <rPr>
        <color rgb="FF1155CC"/>
        <sz val="10.0"/>
        <u/>
      </rPr>
      <t>Karina Tejada</t>
    </r>
    <r>
      <rPr>
        <sz val="10.0"/>
      </rPr>
      <t xml:space="preserve">, </t>
    </r>
    <r>
      <rPr>
        <color rgb="FF1155CC"/>
        <sz val="10.0"/>
        <u/>
      </rPr>
      <t>Hayes Mendez</t>
    </r>
    <r>
      <rPr>
        <sz val="10.0"/>
      </rPr>
      <t xml:space="preserve">, </t>
    </r>
    <r>
      <rPr>
        <color rgb="FF1155CC"/>
        <sz val="10.0"/>
        <u/>
      </rPr>
      <t>Diego Covarrubias</t>
    </r>
    <r>
      <rPr>
        <sz val="10.0"/>
      </rPr>
      <t xml:space="preserve"> and </t>
    </r>
    <r>
      <rPr>
        <color rgb="FF1155CC"/>
        <sz val="10.0"/>
        <u/>
      </rPr>
      <t>Yancen Rodriguez</t>
    </r>
  </si>
  <si>
    <t>Maghee</t>
  </si>
  <si>
    <t>Disch</t>
  </si>
  <si>
    <t>mdisch@acc.org</t>
  </si>
  <si>
    <t>8/18/23 - AT sent re-engagement message on LinkedIn. Awaiting response. 8/8/23 - AT emailed and sent re-engagement txt. Awaiting response. 11/21/22 follow up email for screening 8/18/22 SB sent text to see availability for screening 8/15/22 SB emailed Maghee to see if she has availability this week for a screening 8/11/22 Maghee let us know her coworker got covid and she had to fill in - that is why she missed the screening. She wants to reschedule. SB responded asking her availability for a reschedule. 8/10/22 SB followed up for screening call Rescheduled screening for 8/8/22, did not show. SB emailed and sent text to try to get her on. Sent email to reschedule 7/28/22 SB sent screening scheduling form</t>
  </si>
  <si>
    <t>1401 Pennsylvania ave SE Apt 709</t>
  </si>
  <si>
    <t>American College of Cardiology</t>
  </si>
  <si>
    <t>Melissa</t>
  </si>
  <si>
    <t>Mozelle Schad</t>
  </si>
  <si>
    <t>858-231-1411</t>
  </si>
  <si>
    <t>melificent214@gmail.com</t>
  </si>
  <si>
    <t>5/9/24 WW met with Melissa and she's open to be back for both FY and Seminar 11/22/22 CT replied to email addressing her concerns and explaining about the &amp;#34;Title One Schools&amp;#34; and that most from immigrant backgrounds don't have the same resources as others. 11/22/22 Melissa will be travelling at the beginning of February so not be available for IR2. She felt low engagement from interns during last rounds. See her email &amp;#34; I have two weeks of work travel in February so it would not be a good start time. Also, I have to be honest, unless the format has changed, I feel like the current format is not as productive as it should be. Most times, the students are not in an environment where they can hear well or talk and are distracted by all the other students around them. They don't seem to have specific goals for the sessions and don't ask many questions. It's a lot of time out of my work schedule and without specific topics, structure or attention, it hasn't felt very beneficial on either side. Have any changes been made?&amp;#34; CT Updated profile with new job details etc. Don't use  Melissa.schad@cscglobal.com anymore. Updated email in her profile. CT 8/24/22 Not available for IR1 due to new job but open to Seminars. CT 8/24/22 6/16/22 Melissa got a new job. SB emailed Melissa asking for information. 3/14/22 Not available for IR3 due to very busy work schedule in April. Reach out for next round. CT Updated email from Sdmels3988@gmail.com to what it is now.  Hetal got Melissa's bio and headshot for her Seminars 1/9/2022 Updated email from tomelissaschad371@gmail.com to  Sdmels3988@gmail.com Marked as inactive/yellow because not yet Screened as of June 18, 2019</t>
  </si>
  <si>
    <t>5419 Lake Murray Blvd #4, La Mesa CA</t>
  </si>
  <si>
    <t>Atlanta</t>
  </si>
  <si>
    <t>PowerPlan, Inc.</t>
  </si>
  <si>
    <r>
      <rPr>
        <color rgb="FF1155CC"/>
        <sz val="10.0"/>
        <u/>
      </rPr>
      <t>Irene Almonte</t>
    </r>
    <r>
      <rPr>
        <sz val="10.0"/>
      </rPr>
      <t xml:space="preserve">, </t>
    </r>
    <r>
      <rPr>
        <color rgb="FF1155CC"/>
        <sz val="10.0"/>
        <u/>
      </rPr>
      <t>Jalen Lynn</t>
    </r>
    <r>
      <rPr>
        <sz val="10.0"/>
      </rPr>
      <t xml:space="preserve">, </t>
    </r>
    <r>
      <rPr>
        <color rgb="FF1155CC"/>
        <sz val="10.0"/>
        <u/>
      </rPr>
      <t>Johnfree Carrasco</t>
    </r>
    <r>
      <rPr>
        <sz val="10.0"/>
      </rPr>
      <t xml:space="preserve">, </t>
    </r>
    <r>
      <rPr>
        <color rgb="FF1155CC"/>
        <sz val="10.0"/>
        <u/>
      </rPr>
      <t>Omar Camara</t>
    </r>
    <r>
      <rPr>
        <sz val="10.0"/>
      </rPr>
      <t xml:space="preserve">, </t>
    </r>
    <r>
      <rPr>
        <color rgb="FF1155CC"/>
        <sz val="10.0"/>
        <u/>
      </rPr>
      <t>Akram mehdi</t>
    </r>
    <r>
      <rPr>
        <sz val="10.0"/>
      </rPr>
      <t xml:space="preserve">, </t>
    </r>
    <r>
      <rPr>
        <color rgb="FF1155CC"/>
        <sz val="10.0"/>
        <u/>
      </rPr>
      <t>Luis Chimbo</t>
    </r>
    <r>
      <rPr>
        <sz val="10.0"/>
      </rPr>
      <t xml:space="preserve"> and </t>
    </r>
    <r>
      <rPr>
        <color rgb="FF1155CC"/>
        <sz val="10.0"/>
        <u/>
      </rPr>
      <t>Navier Rojas</t>
    </r>
  </si>
  <si>
    <t>ClaremontIHS, CypressHills</t>
  </si>
  <si>
    <t>Dallmeyer</t>
  </si>
  <si>
    <t>melissa.dallmeyer@gmail.com</t>
  </si>
  <si>
    <t>11/22/22 CT sent re-engagement email with training dates 6/2/22 CT Screening Passed, sent Congrats email along with training dates 5/24/22 SB sent re-engagement email Sent reminder 11/2/21 SB Screening scheduling email sent 10/22/21 SB</t>
  </si>
  <si>
    <t>8717 Jones Ave Nw</t>
  </si>
  <si>
    <t>Avalara</t>
  </si>
  <si>
    <t>Meliza</t>
  </si>
  <si>
    <t>Fernandez</t>
  </si>
  <si>
    <t>Meliza.fernandez@gmail.com</t>
  </si>
  <si>
    <t>1/10/23 CT sent check in text 1/3/23 CT followed up 12/19/22 CT sent follow up email 12/13/22 CT sent re-engagement email Pathways Speaker</t>
  </si>
  <si>
    <t>Melody</t>
  </si>
  <si>
    <t>Jia Fang</t>
  </si>
  <si>
    <t>mfang6895@gmail.com</t>
  </si>
  <si>
    <t>3/22/23 SB sent text for IR3 2/6/23 CT left voicemail &amp;amp; sent text for IR2 2/2/23 CT left voicemail &amp;amp; sent text asking for IR2 with Wheels schedule 1/13/23 SB sent follow up email 1/10/23 SB sent email for IR2 match 12/28/21 SB sent IR2 FY21-22 schedule list for matching Melody is able to be matched for round two 2020-2021 internship session but is unavailable 2/3. Melody was trained on 9/14/2020 by Jennifer Peterson-Sharma and Kiesha Charles. Melody is scheduled for a training webinar on September 14, 7:30 pm, with Jennifer Peterson-Sharma. Melody is currently working in the emergency room as a medical student. She will be a physician in a year. She said that her schedule is not solidified yet and it would be difficult to accommodate mentees on the same time and day every week. She said she would communicate with SPEAK when her schedule is more solid. Screening call was conducted on 9/2/2020 at 12pm EST with Jennifer Peterson-Sharma. Screening call schedule for 9/2/2020 Emailed on 8/27/2020 about setting up screening call</t>
  </si>
  <si>
    <t>305 Wild Rose Way</t>
  </si>
  <si>
    <t>Chicago Medical School at RFUMS</t>
  </si>
  <si>
    <r>
      <rPr>
        <color rgb="FF1155CC"/>
        <sz val="10.0"/>
        <u/>
      </rPr>
      <t>Angely Li Zheng</t>
    </r>
    <r>
      <rPr>
        <sz val="10.0"/>
      </rPr>
      <t xml:space="preserve">, </t>
    </r>
    <r>
      <rPr>
        <color rgb="FF1155CC"/>
        <sz val="10.0"/>
        <u/>
      </rPr>
      <t>Shikha Chauhan</t>
    </r>
    <r>
      <rPr>
        <sz val="10.0"/>
      </rPr>
      <t xml:space="preserve">, </t>
    </r>
    <r>
      <rPr>
        <color rgb="FF1155CC"/>
        <sz val="10.0"/>
        <u/>
      </rPr>
      <t>Batma Ramazanova</t>
    </r>
    <r>
      <rPr>
        <sz val="10.0"/>
      </rPr>
      <t xml:space="preserve"> and </t>
    </r>
    <r>
      <rPr>
        <color rgb="FF1155CC"/>
        <sz val="10.0"/>
        <u/>
      </rPr>
      <t>Akhmadzhon Vakhidov</t>
    </r>
  </si>
  <si>
    <t>FlushingIHS, GWHS</t>
  </si>
  <si>
    <t>Michael</t>
  </si>
  <si>
    <t>Dougherty</t>
  </si>
  <si>
    <t>212-384-8322</t>
  </si>
  <si>
    <t>Mfdougherty@fbi.gov</t>
  </si>
  <si>
    <t>3/2/23 CT sent email asking to be Speaker for BUSHWICKCHS Seminar Second email address Mdougherty7647@gmail.com 9/20/22 Keep in mind: Michael is not allowed to use Zoom while at work which makes it harder for him to participate in Seminars and FY. CT</t>
  </si>
  <si>
    <t>66 Old Road Brewster, NY 10509</t>
  </si>
  <si>
    <t>Brewster</t>
  </si>
  <si>
    <t>F.B.I.</t>
  </si>
  <si>
    <t>FY 24 - 25, Seminars 23, Seminars 22</t>
  </si>
  <si>
    <r>
      <rPr>
        <color rgb="FF1155CC"/>
        <sz val="10.0"/>
        <u/>
      </rPr>
      <t>Andrea Moreno</t>
    </r>
    <r>
      <rPr>
        <sz val="10.0"/>
      </rPr>
      <t xml:space="preserve"> and </t>
    </r>
    <r>
      <rPr>
        <color rgb="FF1155CC"/>
        <sz val="10.0"/>
        <u/>
      </rPr>
      <t>Ruth (Camila) Sailema</t>
    </r>
  </si>
  <si>
    <t>IHSUnionSquare, BUSHWICKCHS, P2GManhattan</t>
  </si>
  <si>
    <t>Meghan</t>
  </si>
  <si>
    <t>Bethany Gunther</t>
  </si>
  <si>
    <t>mgunther2015@gmail.com</t>
  </si>
  <si>
    <t>7/17/23 SB emailed for IRS 01/05/22 CT sent follow up email for matching 12/30/21 SB sent IR2 FY21-22 schedule list for matching Reached out to Meghan multiple times for IR2 multiple times with no response Education with Ecstacy Holland internship rounds 2 2017-2018</t>
  </si>
  <si>
    <t>957 Burdette Dr Downingtown pa 19335</t>
  </si>
  <si>
    <t>Mikey</t>
  </si>
  <si>
    <t>Bedney</t>
  </si>
  <si>
    <t>mike.bedney@gmail.com</t>
  </si>
  <si>
    <t>3/3/23 Mikey emailed he is available for IR3 at wheels schedule, SB sent him dates and tentative group to confirm 2/3/23 completed training with SB (has lord of the rings posters in background, chatted with SB about that) 1/27/23 CT please add his work email to all calendar invites mikey.bedney@abbott.com 1/27/23 CT Mikey confirmed session schedule over phone 1/26/23 CT sent follow up email 1/24/23 CT sent congrats email with training dates and wheels schedule to confirm 1/24/23 CT passed screening with HJ on 1/23/23 and confirmed Wheels schedule Second email: Mikey.bedney@abbott.com-  Send match announcement and calendar invites to both emails so he's sure to have it 1/20/23 SB sent screening call email</t>
  </si>
  <si>
    <t>8540 SW Parkview Loop</t>
  </si>
  <si>
    <t>Beaverton Oregon</t>
  </si>
  <si>
    <t>Beaverton</t>
  </si>
  <si>
    <t>OR</t>
  </si>
  <si>
    <t>Abbott Laboratories</t>
  </si>
  <si>
    <r>
      <rPr>
        <color rgb="FF1155CC"/>
        <sz val="10.0"/>
        <u/>
      </rPr>
      <t>Leudis Rosario</t>
    </r>
    <r>
      <rPr>
        <sz val="10.0"/>
      </rPr>
      <t xml:space="preserve">, </t>
    </r>
    <r>
      <rPr>
        <color rgb="FF1155CC"/>
        <sz val="10.0"/>
        <u/>
      </rPr>
      <t>Yorlan Espinal</t>
    </r>
    <r>
      <rPr>
        <sz val="10.0"/>
      </rPr>
      <t xml:space="preserve">, </t>
    </r>
    <r>
      <rPr>
        <color rgb="FF1155CC"/>
        <sz val="10.0"/>
        <u/>
      </rPr>
      <t>Victoriano Sosa</t>
    </r>
    <r>
      <rPr>
        <sz val="10.0"/>
      </rPr>
      <t xml:space="preserve">, </t>
    </r>
    <r>
      <rPr>
        <color rgb="FF1155CC"/>
        <sz val="10.0"/>
        <u/>
      </rPr>
      <t>Jason Martinez</t>
    </r>
    <r>
      <rPr>
        <sz val="10.0"/>
      </rPr>
      <t xml:space="preserve">, </t>
    </r>
    <r>
      <rPr>
        <color rgb="FF1155CC"/>
        <sz val="10.0"/>
        <u/>
      </rPr>
      <t>Angel Tavarez</t>
    </r>
    <r>
      <rPr>
        <sz val="10.0"/>
      </rPr>
      <t xml:space="preserve">, </t>
    </r>
    <r>
      <rPr>
        <color rgb="FF1155CC"/>
        <sz val="10.0"/>
        <u/>
      </rPr>
      <t>Jeyrent Cid Martinez</t>
    </r>
    <r>
      <rPr>
        <sz val="10.0"/>
      </rPr>
      <t xml:space="preserve">, </t>
    </r>
    <r>
      <rPr>
        <color rgb="FF1155CC"/>
        <sz val="10.0"/>
        <u/>
      </rPr>
      <t>Sebastian Cruz</t>
    </r>
    <r>
      <rPr>
        <sz val="10.0"/>
      </rPr>
      <t xml:space="preserve"> and </t>
    </r>
    <r>
      <rPr>
        <color rgb="FF1155CC"/>
        <sz val="10.0"/>
        <u/>
      </rPr>
      <t>Emanuel Ortiz</t>
    </r>
  </si>
  <si>
    <t>Min Jung</t>
  </si>
  <si>
    <t>Park</t>
  </si>
  <si>
    <t>minjung.park@umassglobal.edu</t>
  </si>
  <si>
    <t>1/10/24 SB emailed for IR2 Union Square 2/23/23 CT talked to Jenny over the phone. Jenny still has bad morning sickness and not able to continue with IR2. We can reach out for future rounds, maybe summer round or next academic year. 1/30/23 CT asked for IR2 with Wheels schedule 1/19/23 SB sent IR1 thank you and asked for IR2 11/3/22 confirmed Wheels match SB 10/27/22 Completed Orientation &amp;amp; Onboarding Training CT Also goes by Jenny.  She prefers Korean students if possible, but will work with whoever 10/14/22 agreed to wheels time and signed up 10/12/22 passed screening with SB 10/11/22 SB sent screening email</t>
  </si>
  <si>
    <t>3385 Michelson Dr. Apt 323 Irvine CA 92612</t>
  </si>
  <si>
    <t>Irvine, CA</t>
  </si>
  <si>
    <r>
      <rPr>
        <color rgb="FF1155CC"/>
        <sz val="10.0"/>
        <u/>
      </rPr>
      <t>Yoana Reyes</t>
    </r>
    <r>
      <rPr>
        <sz val="10.0"/>
      </rPr>
      <t xml:space="preserve">, </t>
    </r>
    <r>
      <rPr>
        <color rgb="FF1155CC"/>
        <sz val="10.0"/>
        <u/>
      </rPr>
      <t>Raquel Guerrero</t>
    </r>
    <r>
      <rPr>
        <sz val="10.0"/>
      </rPr>
      <t xml:space="preserve">, </t>
    </r>
    <r>
      <rPr>
        <color rgb="FF1155CC"/>
        <sz val="10.0"/>
        <u/>
      </rPr>
      <t>Jayson Munoz</t>
    </r>
    <r>
      <rPr>
        <sz val="10.0"/>
      </rPr>
      <t xml:space="preserve"> and </t>
    </r>
    <r>
      <rPr>
        <color rgb="FF1155CC"/>
        <sz val="10.0"/>
        <u/>
      </rPr>
      <t>Alexa Barrueco</t>
    </r>
  </si>
  <si>
    <t>Mirela</t>
  </si>
  <si>
    <t>Alexe</t>
  </si>
  <si>
    <t>917-650-4545</t>
  </si>
  <si>
    <t>mirelaalexe1@gmail.com</t>
  </si>
  <si>
    <t>5/24/22 SB sent re-engagement email Sent scheduling a screening email 3/2/21. SU. Hetal sent a screening email 03/04/21. Soneya send a follow up - screening email 3/9/21. Mirela pick up the phone call and said to call her back on thursday 3/18/2021. SU. Sent a revise email to schedule a screening call 3/19/2021. SU. Mirela states she is unable to commit to becoming a champion at the moment because she is currently building a house and moving. she states she can do the next cycle and to reach out to her again. 3/22/2021. SU. Marked as inactive/yellow because not yet Screened as of June 18, 2019</t>
  </si>
  <si>
    <t>90 Highwood Ave Tenafly NJ 07670</t>
  </si>
  <si>
    <t>Van Cortlandt Coop Federal Credit Union</t>
  </si>
  <si>
    <t>Missie</t>
  </si>
  <si>
    <t>415-652-9563</t>
  </si>
  <si>
    <t>missiemiranda@gmail.com</t>
  </si>
  <si>
    <t>3/28/23 SB sent text about IR3 10/11/22 Not available until after April 23. CT 12/30/21 SB sent IR2 FY21-22 schedule list for matching</t>
  </si>
  <si>
    <t>59 Iron Horse Lane Walnut Creek, CA 94597</t>
  </si>
  <si>
    <t>Walnut Creek, CA</t>
  </si>
  <si>
    <t>Walnut Creek</t>
  </si>
  <si>
    <t>Missie Miranda Consulting/Yoga</t>
  </si>
  <si>
    <r>
      <rPr>
        <color rgb="FF1155CC"/>
        <sz val="10.0"/>
        <u/>
      </rPr>
      <t>Oceanne Compaore</t>
    </r>
    <r>
      <rPr>
        <sz val="10.0"/>
      </rPr>
      <t xml:space="preserve">, </t>
    </r>
    <r>
      <rPr>
        <color rgb="FF1155CC"/>
        <sz val="10.0"/>
        <u/>
      </rPr>
      <t>Amizo Kante</t>
    </r>
    <r>
      <rPr>
        <sz val="10.0"/>
      </rPr>
      <t xml:space="preserve">, </t>
    </r>
    <r>
      <rPr>
        <color rgb="FF1155CC"/>
        <sz val="10.0"/>
        <u/>
      </rPr>
      <t>Oumou Diallo</t>
    </r>
    <r>
      <rPr>
        <sz val="10.0"/>
      </rPr>
      <t xml:space="preserve">, </t>
    </r>
    <r>
      <rPr>
        <color rgb="FF1155CC"/>
        <sz val="10.0"/>
        <u/>
      </rPr>
      <t>Elsa Pop</t>
    </r>
    <r>
      <rPr>
        <sz val="10.0"/>
      </rPr>
      <t xml:space="preserve">, </t>
    </r>
    <r>
      <rPr>
        <color rgb="FF1155CC"/>
        <sz val="10.0"/>
        <u/>
      </rPr>
      <t>Oscar Pardo</t>
    </r>
    <r>
      <rPr>
        <sz val="10.0"/>
      </rPr>
      <t xml:space="preserve">, </t>
    </r>
    <r>
      <rPr>
        <color rgb="FF1155CC"/>
        <sz val="10.0"/>
        <u/>
      </rPr>
      <t>Fatoumata Barry</t>
    </r>
    <r>
      <rPr>
        <sz val="10.0"/>
      </rPr>
      <t xml:space="preserve">, </t>
    </r>
    <r>
      <rPr>
        <color rgb="FF1155CC"/>
        <sz val="10.0"/>
        <u/>
      </rPr>
      <t>Adama Bah</t>
    </r>
    <r>
      <rPr>
        <sz val="10.0"/>
      </rPr>
      <t xml:space="preserve"> and </t>
    </r>
    <r>
      <rPr>
        <color rgb="FF1155CC"/>
        <sz val="10.0"/>
        <u/>
      </rPr>
      <t>Kasarah Windley</t>
    </r>
  </si>
  <si>
    <t>ELLIS, FlushingIHS, ICHSBronx, Academy of Medical Technology</t>
  </si>
  <si>
    <t>Mihira</t>
  </si>
  <si>
    <t>Vedula Karra</t>
  </si>
  <si>
    <t>703-938-4863 or 703-795-0799</t>
  </si>
  <si>
    <t>mkarra@usaid.gov</t>
  </si>
  <si>
    <t>7/17/23 SB emailed for IRS, BC called &amp;amp; left VM,  SB sent follow up text - Not available for IRS 2/28/23 Crotona schedule does not work, sent Union Square and wheels SB 2/27/23 Note: if Mihira agrees to match, we need resume (and/or most recent job information), headshot,  bio 2/27/23 SB emailed Mihira about availability and About Interns 2/7/23 CT not available for Thursday mornings because of standing meeting. Reach out for IR3 with different school schedules. 2/7/23 CT asked for IR2 availability with Wheels schedule 10/12/22 SB followed up with Mihira for match 10/6/22 SB emailed for ICHS bronx match Yellow because she sent study materials to mentee without permission from SPEAKHIRE team; asked mentee for private medical information (add to policy); connected mentees with her mom for tutoring without consulting SPEAKHIRE (Note was probably by SY in December 2019 -- and SY had put her as red. Hetal changed to Yellow and requires training) Mihira donated $150 fall 2020</t>
  </si>
  <si>
    <t>700 Marshall Rd., SW, Vienna, VA 22180</t>
  </si>
  <si>
    <t>Virginia and Washington DC</t>
  </si>
  <si>
    <t>Vienna</t>
  </si>
  <si>
    <t>USAID</t>
  </si>
  <si>
    <t>Marcus</t>
  </si>
  <si>
    <t>mls325@lehigh.edu</t>
  </si>
  <si>
    <t>Mohammed</t>
  </si>
  <si>
    <t>Baldiwala</t>
  </si>
  <si>
    <t>mohammed@wisdomworthspreading.com</t>
  </si>
  <si>
    <t>1/11/23 CT sent follow up email 01/03/23 CT sent follow up email 12/21/22 CT sent email to check in  4/11/22 Will only present Seminars on life topics not tech topics. CT 2/11/22 Completed Orientation and Onboarding Training SB 02/03/22 Didn't show for training but will participate in Feb 11th training CT 01/27/22 Passed Screening Call, sent out Congrats email &amp;amp; invitation for training CT 1/24/22 Sent Screening Call email CT</t>
  </si>
  <si>
    <t>9779 Gaylord Pkwy Apt#416 Frisco TX-75035</t>
  </si>
  <si>
    <t>Frisco TX</t>
  </si>
  <si>
    <t>Frisco</t>
  </si>
  <si>
    <t>T-Mobile</t>
  </si>
  <si>
    <r>
      <rPr>
        <color rgb="FF1155CC"/>
        <sz val="10.0"/>
        <u/>
      </rPr>
      <t>Fabian Kuclo</t>
    </r>
    <r>
      <rPr>
        <sz val="10.0"/>
      </rPr>
      <t xml:space="preserve">, </t>
    </r>
    <r>
      <rPr>
        <color rgb="FF1155CC"/>
        <sz val="10.0"/>
        <u/>
      </rPr>
      <t>Jose Romero</t>
    </r>
    <r>
      <rPr>
        <sz val="10.0"/>
      </rPr>
      <t xml:space="preserve"> and </t>
    </r>
    <r>
      <rPr>
        <color rgb="FF1155CC"/>
        <sz val="10.0"/>
        <u/>
      </rPr>
      <t>Mehedi Hasan</t>
    </r>
  </si>
  <si>
    <t>FlushingIHS, IHS Health</t>
  </si>
  <si>
    <t>Mark</t>
  </si>
  <si>
    <t>Swift</t>
  </si>
  <si>
    <t>mrkswft@gmail.com</t>
  </si>
  <si>
    <t>5/10/24 - Emailed re mothers day social media content 1/18/24 SB emailed for Black History Month Donated money to Interns for FY22-23 4/27/23 SB contacted because he PCs know that he might be unable to continue with round because he might be going to switch to 12 hour shifts  Confusion about training invites - SB sent video and completed training that way 4/3/23 passed screening with SB and agreed to IR3 3/29/23 SB sent follow up for screening 3/27/23 SB sent screening scheduling email Referral form Christina Broomes</t>
  </si>
  <si>
    <t>10 School Street #2</t>
  </si>
  <si>
    <t>Boston, MA</t>
  </si>
  <si>
    <t>Moderna</t>
  </si>
  <si>
    <r>
      <rPr>
        <rFont val="arial"/>
        <color rgb="FF1155CC"/>
        <u/>
      </rPr>
      <t>Ephraim Orisakiya</t>
    </r>
    <r>
      <rPr>
        <rFont val="arial"/>
        <color rgb="FF222222"/>
      </rPr>
      <t xml:space="preserve">, </t>
    </r>
    <r>
      <rPr>
        <rFont val="arial"/>
        <color rgb="FF1155CC"/>
        <u/>
      </rPr>
      <t>Jaymarcus Desir</t>
    </r>
    <r>
      <rPr>
        <rFont val="arial"/>
        <color rgb="FF222222"/>
      </rPr>
      <t xml:space="preserve">, </t>
    </r>
    <r>
      <rPr>
        <rFont val="arial"/>
        <color rgb="FF1155CC"/>
        <u/>
      </rPr>
      <t>Jayde Smoak</t>
    </r>
    <r>
      <rPr>
        <rFont val="arial"/>
        <color rgb="FF222222"/>
      </rPr>
      <t xml:space="preserve"> and </t>
    </r>
    <r>
      <rPr>
        <rFont val="arial"/>
        <color rgb="FF1155CC"/>
        <u/>
      </rPr>
      <t>Aliyah Maliq</t>
    </r>
  </si>
  <si>
    <t>Sahana</t>
  </si>
  <si>
    <t>Mukherjee</t>
  </si>
  <si>
    <t>mukherjee.sahana@gmail.com</t>
  </si>
  <si>
    <t>8/18/23 - AT sent re-engagement message on LinkedIn. Awaiting response. 8/8/23 - AT emailed and sent re-engagement txt. Awaiting response. 5/10/23 SB sent text about screening 3/9/23 CT sent follow up email to schedule screening 3/6/23 SB sent screening email</t>
  </si>
  <si>
    <t>55 Sagamore Drive</t>
  </si>
  <si>
    <t>New Providence</t>
  </si>
  <si>
    <t>Citigroup / Unveiled: Bridging the Gap to Sponsorship</t>
  </si>
  <si>
    <t>Muna</t>
  </si>
  <si>
    <t>Hassen</t>
  </si>
  <si>
    <t>muna.m.hassen@gmail.com</t>
  </si>
  <si>
    <t>3/8/24 WW emailed for IR3 1/9/24 WW emailed for IR2 Ellis 12/19/22 Confirmed for Queens/Bronx/Crotona schedule SB 12/15/22 responded saying, &amp;#34;I was wondering if I could be paired with a student that does M/W/F instead. 4-4:45 works for me but not on Tues/Thurs at the moment.&amp;#34; SB emailed back other available schedules 12/14/22 SB emailed for Ellis match 12/01/22 CT Completed Orientation &amp;amp; Onboarding Webinar 11/3/22 - Signed up for 12/1/22 training call. SB 10/28/22 passed screening with SB 10/23/22 scheduled screening with CT on 10/27 SB 10/19/22 SB sent screening email - Muna is a 2022 Grad so she may not have the experience to be a Champion - depends on work experiences and internships. Will screen and see. May be fine for Seminars</t>
  </si>
  <si>
    <t>8134 Mandan Terrace</t>
  </si>
  <si>
    <t>Greenbelt, Maryland but will be relocating to Philadelphia, PA</t>
  </si>
  <si>
    <t>Kepler Group</t>
  </si>
  <si>
    <t>Lata</t>
  </si>
  <si>
    <t>Murti</t>
  </si>
  <si>
    <t>murti@umassglobal.edu</t>
  </si>
  <si>
    <t>1/12/24 only available Weekdays between 12:15pm-5pm est for any sort of phone messaging/outreach - Anything before or after that she is with family. SB 11/14/23 SB updated job from Associate professor to just professor 10/12/23 WW sent Interns info to confirm 9/28/23 Lata sent #ChampionItForward video 9/22/23 WW emailed for IR1; followed up 9/27 and Lata agreed to IR1 Donated money to Interns for FY22-23 5/10/23 Lata mentioned her department at work is going away so she will likely be looking for a job. Said she should be able to do FY in the fall and Seminars in the spring/winter. 3/31/23 SB emailed about GCHS seminars 3/3/23 CT not available for IR3 and summer round. Reach out for FY starting fall 23 - emailed &amp;#34;Please note that due to a book project I am co-editing and writing for, I am not available to be a Champion during Round 3 or this summer. I do hope to be a Champion again in Fall 2023.&amp;#34; 1/25/23 CT not available for wheels, asked for other session schedule 1/24/23 CT asked for IR2 availability with wheels schedule 9/20/22 match request sent to Lata SB, confirmed group Did a round and Pathways Days quickly -- needs a break until AY22-23 (HJ 4/1/22) Completed Onboarding and Orientation Webinar 1/28/22 SB 01/20/22 CT sent Orientation &amp;amp; Onboarding email Screened by Hetal 1/20/22 1/10/22 SB sent screening scheduling email</t>
  </si>
  <si>
    <t>4756 S. Blosser Rd., Santa Maria, CA 93455</t>
  </si>
  <si>
    <t>Santa Maria, California</t>
  </si>
  <si>
    <t>Seminars 23, FY 21 - 22, FY 22 - 23, FY 23 - 24</t>
  </si>
  <si>
    <r>
      <rPr>
        <color rgb="FF1155CC"/>
        <sz val="10.0"/>
        <u/>
      </rPr>
      <t>Laura Puentes</t>
    </r>
    <r>
      <rPr>
        <sz val="10.0"/>
      </rPr>
      <t xml:space="preserve">, </t>
    </r>
    <r>
      <rPr>
        <color rgb="FF1155CC"/>
        <sz val="10.0"/>
        <u/>
      </rPr>
      <t>Jaritza Ortega</t>
    </r>
    <r>
      <rPr>
        <sz val="10.0"/>
      </rPr>
      <t xml:space="preserve">, </t>
    </r>
    <r>
      <rPr>
        <color rgb="FF1155CC"/>
        <sz val="10.0"/>
        <u/>
      </rPr>
      <t>Dylan Fabre</t>
    </r>
    <r>
      <rPr>
        <sz val="10.0"/>
      </rPr>
      <t xml:space="preserve">, </t>
    </r>
    <r>
      <rPr>
        <color rgb="FF1155CC"/>
        <sz val="10.0"/>
        <u/>
      </rPr>
      <t>Susana Franco Lopez</t>
    </r>
    <r>
      <rPr>
        <sz val="10.0"/>
      </rPr>
      <t xml:space="preserve">, </t>
    </r>
    <r>
      <rPr>
        <color rgb="FF1155CC"/>
        <sz val="10.0"/>
        <u/>
      </rPr>
      <t>Robeliza Nunez</t>
    </r>
    <r>
      <rPr>
        <sz val="10.0"/>
      </rPr>
      <t xml:space="preserve">, </t>
    </r>
    <r>
      <rPr>
        <color rgb="FF1155CC"/>
        <sz val="10.0"/>
        <u/>
      </rPr>
      <t>Sergio Avila</t>
    </r>
    <r>
      <rPr>
        <sz val="10.0"/>
      </rPr>
      <t xml:space="preserve">, </t>
    </r>
    <r>
      <rPr>
        <color rgb="FF1155CC"/>
        <sz val="10.0"/>
        <u/>
      </rPr>
      <t>Sebastian Francisco</t>
    </r>
    <r>
      <rPr>
        <sz val="10.0"/>
      </rPr>
      <t xml:space="preserve">, </t>
    </r>
    <r>
      <rPr>
        <color rgb="FF1155CC"/>
        <sz val="10.0"/>
        <u/>
      </rPr>
      <t>Emili Ordonez</t>
    </r>
    <r>
      <rPr>
        <sz val="10.0"/>
      </rPr>
      <t xml:space="preserve">, </t>
    </r>
    <r>
      <rPr>
        <color rgb="FF1155CC"/>
        <sz val="10.0"/>
        <u/>
      </rPr>
      <t>Katerin Vasquez</t>
    </r>
    <r>
      <rPr>
        <sz val="10.0"/>
      </rPr>
      <t xml:space="preserve">, </t>
    </r>
    <r>
      <rPr>
        <color rgb="FF1155CC"/>
        <sz val="10.0"/>
        <u/>
      </rPr>
      <t>Ana Almanzar</t>
    </r>
    <r>
      <rPr>
        <sz val="10.0"/>
      </rPr>
      <t xml:space="preserve">, </t>
    </r>
    <r>
      <rPr>
        <color rgb="FF1155CC"/>
        <sz val="10.0"/>
        <u/>
      </rPr>
      <t>Jatziry Guity</t>
    </r>
    <r>
      <rPr>
        <sz val="10.0"/>
      </rPr>
      <t xml:space="preserve">, </t>
    </r>
    <r>
      <rPr>
        <color rgb="FF1155CC"/>
        <sz val="10.0"/>
        <u/>
      </rPr>
      <t>Anny Garcia</t>
    </r>
    <r>
      <rPr>
        <sz val="10.0"/>
      </rPr>
      <t xml:space="preserve">, </t>
    </r>
    <r>
      <rPr>
        <color rgb="FF1155CC"/>
        <sz val="10.0"/>
        <u/>
      </rPr>
      <t>Kerly Rodriguez</t>
    </r>
    <r>
      <rPr>
        <sz val="10.0"/>
      </rPr>
      <t xml:space="preserve">, </t>
    </r>
    <r>
      <rPr>
        <color rgb="FF1155CC"/>
        <sz val="10.0"/>
        <u/>
      </rPr>
      <t>Jorge Lopez</t>
    </r>
    <r>
      <rPr>
        <sz val="10.0"/>
      </rPr>
      <t xml:space="preserve">, </t>
    </r>
    <r>
      <rPr>
        <color rgb="FF1155CC"/>
        <sz val="10.0"/>
        <u/>
      </rPr>
      <t>Ashwini Borela</t>
    </r>
    <r>
      <rPr>
        <sz val="10.0"/>
      </rPr>
      <t xml:space="preserve">, </t>
    </r>
    <r>
      <rPr>
        <color rgb="FF1155CC"/>
        <sz val="10.0"/>
        <u/>
      </rPr>
      <t>Jatziry Guity</t>
    </r>
    <r>
      <rPr>
        <sz val="10.0"/>
      </rPr>
      <t xml:space="preserve">, </t>
    </r>
    <r>
      <rPr>
        <color rgb="FF1155CC"/>
        <sz val="10.0"/>
        <u/>
      </rPr>
      <t>Lisbeth Peña</t>
    </r>
    <r>
      <rPr>
        <sz val="10.0"/>
      </rPr>
      <t xml:space="preserve">, </t>
    </r>
    <r>
      <rPr>
        <color rgb="FF1155CC"/>
        <sz val="10.0"/>
        <u/>
      </rPr>
      <t>Edwin Leiva</t>
    </r>
    <r>
      <rPr>
        <sz val="10.0"/>
      </rPr>
      <t xml:space="preserve"> and </t>
    </r>
    <r>
      <rPr>
        <color rgb="FF1155CC"/>
        <sz val="10.0"/>
        <u/>
      </rPr>
      <t>Allison Perez</t>
    </r>
  </si>
  <si>
    <t>GCHS, FlushingIHS, CrotonaIHS, ICHSBronx, IHSUnionSquare</t>
  </si>
  <si>
    <t xml:space="preserve">“Sophia was supportive with every aspect of the presentation. I always appreciate the opportunity to connect and impact young people, and SPEAKHIRE makes that possible. Even with a lot to cover in a short amount of time, I walked away feeling like I was able to share something valuable. This platform is such an important way to reach and inspire students.” (2023)
</t>
  </si>
  <si>
    <t>Issue 7</t>
  </si>
  <si>
    <t>Muzammil</t>
  </si>
  <si>
    <t>Iqbal</t>
  </si>
  <si>
    <t>muzzammil_ibrahim96@yahoo.com</t>
  </si>
  <si>
    <t>Does not have relevant US work or college experience. Sent email asking him to reapply when he does (already applied twice so there are two profiles). 1/3/22 SB</t>
  </si>
  <si>
    <t>A64/1khudadad colony bismillah apartment flat#9Karachi Pakistan</t>
  </si>
  <si>
    <t>Karachi Pakistan</t>
  </si>
  <si>
    <t>Garment Shop business</t>
  </si>
  <si>
    <t>+923052662165</t>
  </si>
  <si>
    <t>Banned</t>
  </si>
  <si>
    <t>male applicant who said he was from pakistan and emailed constantly about working with SPEAK to get a visa to come to the US </t>
  </si>
  <si>
    <t>A64/1khudadad colony Karachi Pakistan</t>
  </si>
  <si>
    <t>A64/1khudadad colony karachi pakistan</t>
  </si>
  <si>
    <t xml:space="preserve">Karachi airport in gerrys danata chake in staff </t>
  </si>
  <si>
    <t>Does not have relevant US work or college experience. Sent email asking him to reapply when he does (already applied twice so there are two profiles). 1/3/22 SB Second profile / application from this Champion, English limited. Will need to write an email to send</t>
  </si>
  <si>
    <t>Millennium mall main Rashid minas road Gullshan-e-iqbal Karachi Pakistan Shop#236 floorU2</t>
  </si>
  <si>
    <t>A64/1khudadad colony bismillah apartment flat#9,karachi ,Pakistan.</t>
  </si>
  <si>
    <t>Own business</t>
  </si>
  <si>
    <t>Kelly</t>
  </si>
  <si>
    <t>Lynn Knarr</t>
  </si>
  <si>
    <t>484-335-8715</t>
  </si>
  <si>
    <t>my2angels108@msn.com</t>
  </si>
  <si>
    <t>4/19/22 Not available for IR3 due to medical issues with her daughter. CT 3/8/22 Sent email for IR3 availability CT 2/2/22 Hetal and Kelly spoke about expanding to wider PA (Berks County, Lancaster County, Lehigh County) -- she's going to follow up  2/2/22 - she's a systems analyst and programmer for the Berks County IU; also life coaching and PhD in sociology 01/13/22 Passed Screening Call; Kelly will send over updated resume, sent training &amp;amp; IR2 schedule email CT 01/12/22 Had to cancel Screening Call again, keep her a discontinued for now until she finds time to participate CT 01/06/22 Didn't show for Screening Call due to a personal issue CT 01/05/22 Had to cancel Screening Call CT</t>
  </si>
  <si>
    <t>60 N Pearl St, Wernersville, PA 19565</t>
  </si>
  <si>
    <t>Pennsylvania</t>
  </si>
  <si>
    <t>Wernersville</t>
  </si>
  <si>
    <t>Be Able Too</t>
  </si>
  <si>
    <t>Natsumi</t>
  </si>
  <si>
    <t>Komatani</t>
  </si>
  <si>
    <t>650-427-0822</t>
  </si>
  <si>
    <t>n.komatani@gmail.com</t>
  </si>
  <si>
    <t>11/21/23 Update phone number from 6192528179 to 650-427-0822 SB 9/20/23 WW sent MA 9/18/23 WW emailed for IR1 and she is available; Interns info sent 7/27/23 Natsumi replied to CCC invite asking when she can participate again, SB replied asking if IR1 might work, she said to follow up when we have more details about schedules 11/1/22 Nasumi emailed, &amp;#34;I have to take it back. I cannot join this quarter due to business travel to Japan. I will be out of country in Nov/Dec. So It's really hard for me to cover the responsibilities. Please take my name out.&amp;#34; Interested in IR2 SB 10/11/22 confirmed QPA availability. SB 10/5/22 SB emailed to see if available for QPA match Available for IR1 CT 9/13/22 Hetal updated Natsumi's email as per her request on 1/3/22 (old email: natsumi.komatani@gmail.com) 12/22/21 SB sent IR2 FY21-22 schedule list for matching 12/14/21 SB sent Natsumi an email and text 12/13/21 SB called Natsumi - phone not currently accepting calls. Text sent. Natsumi attended a training webinar on 3/28/21 with JPS Natsumi attended a Screening Call on 3/3/21 with JPS This email did not work so Hetal added a new email off her resume: n.komatani@gmail.com (HJ, 2/20/21) Double checked 1/26 (KW)</t>
  </si>
  <si>
    <t>762 Hammond Way Milpitas CA 95035</t>
  </si>
  <si>
    <t>Milpitas CA</t>
  </si>
  <si>
    <t>Mercari US</t>
  </si>
  <si>
    <r>
      <rPr>
        <color rgb="FF1155CC"/>
        <sz val="10.0"/>
        <u/>
      </rPr>
      <t>Ayele Dounou</t>
    </r>
    <r>
      <rPr>
        <sz val="10.0"/>
      </rPr>
      <t xml:space="preserve">, </t>
    </r>
    <r>
      <rPr>
        <color rgb="FF1155CC"/>
        <sz val="10.0"/>
        <u/>
      </rPr>
      <t>Sara Paez</t>
    </r>
    <r>
      <rPr>
        <sz val="10.0"/>
      </rPr>
      <t xml:space="preserve">, </t>
    </r>
    <r>
      <rPr>
        <color rgb="FF1155CC"/>
        <sz val="10.0"/>
        <u/>
      </rPr>
      <t>Justin Martinez</t>
    </r>
    <r>
      <rPr>
        <sz val="10.0"/>
      </rPr>
      <t xml:space="preserve">, </t>
    </r>
    <r>
      <rPr>
        <color rgb="FF1155CC"/>
        <sz val="10.0"/>
        <u/>
      </rPr>
      <t>Angelica Rubiera</t>
    </r>
    <r>
      <rPr>
        <sz val="10.0"/>
      </rPr>
      <t xml:space="preserve">, </t>
    </r>
    <r>
      <rPr>
        <color rgb="FF1155CC"/>
        <sz val="10.0"/>
        <u/>
      </rPr>
      <t>Romel Elvir Villanueva</t>
    </r>
    <r>
      <rPr>
        <sz val="10.0"/>
      </rPr>
      <t xml:space="preserve">, </t>
    </r>
    <r>
      <rPr>
        <color rgb="FF1155CC"/>
        <sz val="10.0"/>
        <u/>
      </rPr>
      <t>Isaiah Callender</t>
    </r>
    <r>
      <rPr>
        <sz val="10.0"/>
      </rPr>
      <t xml:space="preserve">, </t>
    </r>
    <r>
      <rPr>
        <color rgb="FF1155CC"/>
        <sz val="10.0"/>
        <u/>
      </rPr>
      <t>Akira Quezada</t>
    </r>
    <r>
      <rPr>
        <sz val="10.0"/>
      </rPr>
      <t xml:space="preserve">, </t>
    </r>
    <r>
      <rPr>
        <color rgb="FF1155CC"/>
        <sz val="10.0"/>
        <u/>
      </rPr>
      <t>Ishmael Callender</t>
    </r>
    <r>
      <rPr>
        <sz val="10.0"/>
      </rPr>
      <t xml:space="preserve">, </t>
    </r>
    <r>
      <rPr>
        <color rgb="FF1155CC"/>
        <sz val="10.0"/>
        <u/>
      </rPr>
      <t>Aliyah Maliq</t>
    </r>
    <r>
      <rPr>
        <sz val="10.0"/>
      </rPr>
      <t xml:space="preserve"> and </t>
    </r>
    <r>
      <rPr>
        <color rgb="FF1155CC"/>
        <sz val="10.0"/>
        <u/>
      </rPr>
      <t>Isaiah Callender</t>
    </r>
  </si>
  <si>
    <t>ICHSBronx, CrotonaIHS, QueensPrepAcad</t>
  </si>
  <si>
    <t>Nadine</t>
  </si>
  <si>
    <t>Shahbaz</t>
  </si>
  <si>
    <t>202-445-5520</t>
  </si>
  <si>
    <t>nadineshahbaz@gmail.com</t>
  </si>
  <si>
    <t>10/04/22 Not available for IR1 due to new job. CT 4/4/22 Not available for any Seminars the next few weeks. Just had a newborn. CT 1/10/22 SB sent follow up email 1/5/22 SB sent IR2 FY21-22 schedule list for matching - Hetal marked as active on 3/24 and emailed requesting resume, bio, head shot to complete profile - Nadine replied to Hetal on 3/23 to say yes she can mentor and share the word - Hetal called on March 19.2020 to reengage and left a voice message </t>
  </si>
  <si>
    <t>395 Broadway, Apt 8C, New York, NY 10013</t>
  </si>
  <si>
    <t>Solid Starts</t>
  </si>
  <si>
    <t>Naina</t>
  </si>
  <si>
    <t>nainamehta243@gmail.com</t>
  </si>
  <si>
    <t>7/17/23 SB emailed for IRS 12/30/21 CT called, no answer &amp;amp; not able to leave voicemail 12/30/21 SB sent IR2 FY21-22 schedule list for matching 12/28/21 SB sent a text about match for IR1 FY21-22 Double checked on 1/28 KW</t>
  </si>
  <si>
    <t>445 5th avenue, new york, ny 10016</t>
  </si>
  <si>
    <t>Deloitte Consulting</t>
  </si>
  <si>
    <t>Sovana Dahal</t>
  </si>
  <si>
    <t>HS for Global Citizenship</t>
  </si>
  <si>
    <t>Nika</t>
  </si>
  <si>
    <t>Daniella Ankou</t>
  </si>
  <si>
    <t>nankou@usaid.gov</t>
  </si>
  <si>
    <t>8/18/23 - AT sent re-engagement message on LinkedIn. Awaiting response. 8/8/23 - AT emailed and sent re-engagement txt. Awaiting response. 4/3/23 CT sent follow up to schedule Screening Call 2/22/23 CT sent follow up to re-engage 2/9/23 CT sent re-engagement email 5/24/22 SB sent re-engagement email HH email 8/5/21, HH voicemail/text/email 7/28/21, HH voicemail/text (answering machine said it was Patrick Moore?) 7/20/21, JPS emailed 6/2/21 JPS sent an outreach email on 6/2/21</t>
  </si>
  <si>
    <t>Nasteshia</t>
  </si>
  <si>
    <t>Robinson</t>
  </si>
  <si>
    <t>Nasteshia.m.robinson.mil@mail.mil</t>
  </si>
  <si>
    <t>old FY champion, no record in kintone chef at military</t>
  </si>
  <si>
    <t>Rincy Roy</t>
  </si>
  <si>
    <t>Natalie</t>
  </si>
  <si>
    <t>Oniszk-De Vincenzi</t>
  </si>
  <si>
    <t>nataliedevincenzi@gmail.com</t>
  </si>
  <si>
    <t>5/18/22 SB sent re-engagement email 3/21/22 Not available for IR3 CT Natalie received a congratulations email, but she emailed JPS on 8/11/21 and said: &amp;#34;Since we last spoke, my schedule has filled up a lot more and I?m not sure at this time I would be able to dedicate my time to Speakhire. I still am really excited about the opportunity,  would like to contribute in the future. This was a difficult decision, but something I believe I need to do for my mental health so I am not too spread thin. Could you please reach back out in December as I should be more free then?&amp;#34; She is marked inactive/green, but we should reach back out in December. Natalie was screened on 7/26/21 with JPS. JPS sent a congratulations email on 7/27/21 and asked Natalie if she would be able to attend the training on 8/14/21. JPS followed up once more on 7/21/21 &amp;amp; reminded Natalie that she said she would book a Screening Call (but hasn't). Asked if she is still interested in continuing with this process. Screening email already sent. 2/16/21 SU. Soneya Uddin send a follow up email to Natalie 2/19/21. SU. Natalie responded back on 2/16/21 regarding time accuracy for screening call scheduling she states the time slot shows available time 5 am. Left a follow up voicemail 2/20/21. SU. Natalie picked up phone call she states she is located in PST. and is currently in EST. she states she will schedule a screening call for 2/3/21. SU. 2/25/21. JPS emailed on 4/21/21. KW doubled checked on 1/26/21 AA emailed 1/25/21 address not found. wrong email address</t>
  </si>
  <si>
    <t>3925 Malibu Vista Drive</t>
  </si>
  <si>
    <t>Lykke</t>
  </si>
  <si>
    <r>
      <rPr>
        <color rgb="FF1155CC"/>
        <sz val="10.0"/>
        <u/>
      </rPr>
      <t>Hamzah Saleh</t>
    </r>
    <r>
      <rPr>
        <sz val="10.0"/>
      </rPr>
      <t xml:space="preserve"> and </t>
    </r>
    <r>
      <rPr>
        <color rgb="FF1155CC"/>
        <sz val="10.0"/>
        <u/>
      </rPr>
      <t>Omar Piron II</t>
    </r>
  </si>
  <si>
    <t>Jane Miller</t>
  </si>
  <si>
    <t>nataliemillervmd@gmail.com</t>
  </si>
  <si>
    <t>Donated money to Interns for FY22-23 1/9/23 CT confirmed Wheels schedule 1/9/23 CT Emailed wheels schedule 12/30/21 SB sent IR2 FY21-22 schedule list for matching Double checked 1/26 KW</t>
  </si>
  <si>
    <t>15910 Bald Eagle School Rd. Brandywine MD 20613</t>
  </si>
  <si>
    <t>Brandywine</t>
  </si>
  <si>
    <t>FDA</t>
  </si>
  <si>
    <t>FY 22 - 23, FY 20 - 21, FY 17 - 18</t>
  </si>
  <si>
    <r>
      <rPr>
        <color rgb="FF1155CC"/>
        <sz val="10.0"/>
        <u/>
      </rPr>
      <t>Leilany Ortiz</t>
    </r>
    <r>
      <rPr>
        <sz val="10.0"/>
      </rPr>
      <t xml:space="preserve">, </t>
    </r>
    <r>
      <rPr>
        <color rgb="FF1155CC"/>
        <sz val="10.0"/>
        <u/>
      </rPr>
      <t>Israel Martinez</t>
    </r>
    <r>
      <rPr>
        <sz val="10.0"/>
      </rPr>
      <t xml:space="preserve">, </t>
    </r>
    <r>
      <rPr>
        <color rgb="FF1155CC"/>
        <sz val="10.0"/>
        <u/>
      </rPr>
      <t>Jefferson Colon</t>
    </r>
    <r>
      <rPr>
        <sz val="10.0"/>
      </rPr>
      <t xml:space="preserve">, </t>
    </r>
    <r>
      <rPr>
        <color rgb="FF1155CC"/>
        <sz val="10.0"/>
        <u/>
      </rPr>
      <t>Yoana Reyes</t>
    </r>
    <r>
      <rPr>
        <sz val="10.0"/>
      </rPr>
      <t xml:space="preserve">, </t>
    </r>
    <r>
      <rPr>
        <color rgb="FF1155CC"/>
        <sz val="10.0"/>
        <u/>
      </rPr>
      <t>hatouma doucoure</t>
    </r>
    <r>
      <rPr>
        <sz val="10.0"/>
      </rPr>
      <t xml:space="preserve">, </t>
    </r>
    <r>
      <rPr>
        <color rgb="FF1155CC"/>
        <sz val="10.0"/>
        <u/>
      </rPr>
      <t>leilany ortiz</t>
    </r>
    <r>
      <rPr>
        <sz val="10.0"/>
      </rPr>
      <t xml:space="preserve"> and </t>
    </r>
    <r>
      <rPr>
        <color rgb="FF1155CC"/>
        <sz val="10.0"/>
        <u/>
      </rPr>
      <t>Vanessa Garcia</t>
    </r>
  </si>
  <si>
    <t>WheelsNYC, ICHSBronx, American History</t>
  </si>
  <si>
    <t>Natasha</t>
  </si>
  <si>
    <t>Patterson</t>
  </si>
  <si>
    <t>natashalpatterson@gmail.com</t>
  </si>
  <si>
    <t>1/12/24 emailed SB &amp;#34;The best times for me that are consistent are in the evenings 5-6pm CST which may be too late for interns.  Or before 8 CST. Are there any one time opportunities or events where I can still be involved with the program?  Are there any opportunities for Saturdays?&amp;#34; SB replied that we can reach out if something pops up in her availability and that we can reach out in the future to see if her availability has changed 1/5/24 SB emailed for IR2 4/25/23 not available for IR3 SB 4/18/23 SB sent email for IR3 1/10/23 SB sent follow up email for match - Natasha responded saying due to work conflicts the Ellis schedule does not work. SB sent other schedules 1/5/23 SB emailed for IR2 - Ellis match 7/14/22 Completed CPC training with CT Prefers sessions that are early morning or late afternoon 5/31/22 passed screening with SB 5/24/22 SB sent re-engagement email 3/29/22 SB sent follow up email 3/14/22 SB sent screening scheduling email</t>
  </si>
  <si>
    <t>1620 S. Michigan Ave Unit 614</t>
  </si>
  <si>
    <t>Chicago Public Schools</t>
  </si>
  <si>
    <t>Neeharika</t>
  </si>
  <si>
    <t>neeha.curtis@gmail.com</t>
  </si>
  <si>
    <t>Not available for IR1. CT 8/16/22 5/25/22 passed screening with SB 5/24/22 SB sent re-engagement email HH called they are interested just use the gmail (neeha.curtis@gmail.com) to reach theme 7/21/21 - updated from ncurtis@woio.com Jennifer Peterson-Sharma sent a follow-up email for the screening call on 9/9/2020 Emailed on 8/27/2020 about setting up screening call</t>
  </si>
  <si>
    <t>441 regatta drive</t>
  </si>
  <si>
    <t>Cleveland, Ohio</t>
  </si>
  <si>
    <t>Cleveland</t>
  </si>
  <si>
    <t>WOIO-TV</t>
  </si>
  <si>
    <t>Neeti</t>
  </si>
  <si>
    <t>Nayak</t>
  </si>
  <si>
    <t>857-928-9372</t>
  </si>
  <si>
    <t>neenayak@amazon.com</t>
  </si>
  <si>
    <t>7/18/23 WW emailed for IRS, PQ followed up with a call - Neeti asked to be called at 4:30 pm, SB called but no answer left VM 10/11/22 Available for IR1 for Tuesdays 4:00 - 4:45 pm EST. CT Updated email from neetinayak@alumni.harvard.edu to neenayak@amazon.com 3/1/22 SB called for match, left VM and text 1/10/22 SB sent follow up email 1/5/22 SB sent IR2 FY21-22 schedule list for matching Neeti served as a SPEAKHIRE Seminar speaker in spring 2021 and Hetal updated her title from Product engineer at https://www.esri.com/en-us/about/about-esri/overview to Amazon title (11/7/2021) JPS sent Neeti a re-engagement email on 1/6/2021, with no response as of 1/14/2021. Neeti was also sent a potential match email on 1/8/2021 and a follow-up on 1/11/2021. Again, no response as of 1/14/2021. - Hetal called on March 19, 2020 -- she was happy to hear from us. She had never heard or missed an email from Scotney after submitting her Instructional Guide. Happy to help. </t>
  </si>
  <si>
    <t>1400 Barton Road, Apt 1315, LA</t>
  </si>
  <si>
    <t>Redlands CA</t>
  </si>
  <si>
    <t>Redlands</t>
  </si>
  <si>
    <t>Amazon</t>
  </si>
  <si>
    <t>Seminars 22, Seminars 21, FY 21 - 22, FY 22 - 23, FY 20 - 21</t>
  </si>
  <si>
    <r>
      <rPr>
        <color rgb="FF1155CC"/>
        <sz val="10.0"/>
        <u/>
      </rPr>
      <t>Rasheed Abdulla</t>
    </r>
    <r>
      <rPr>
        <sz val="10.0"/>
      </rPr>
      <t xml:space="preserve">, </t>
    </r>
    <r>
      <rPr>
        <color rgb="FF1155CC"/>
        <sz val="10.0"/>
        <u/>
      </rPr>
      <t>Yasmin Abdulla</t>
    </r>
    <r>
      <rPr>
        <sz val="10.0"/>
      </rPr>
      <t xml:space="preserve">, </t>
    </r>
    <r>
      <rPr>
        <color rgb="FF1155CC"/>
        <sz val="10.0"/>
        <u/>
      </rPr>
      <t>Aboubacar Barry</t>
    </r>
    <r>
      <rPr>
        <sz val="10.0"/>
      </rPr>
      <t xml:space="preserve">, </t>
    </r>
    <r>
      <rPr>
        <color rgb="FF1155CC"/>
        <sz val="10.0"/>
        <u/>
      </rPr>
      <t>Akram Mehdi</t>
    </r>
    <r>
      <rPr>
        <sz val="10.0"/>
      </rPr>
      <t xml:space="preserve">, </t>
    </r>
    <r>
      <rPr>
        <color rgb="FF1155CC"/>
        <sz val="10.0"/>
        <u/>
      </rPr>
      <t>Darwin Guerrero</t>
    </r>
    <r>
      <rPr>
        <sz val="10.0"/>
      </rPr>
      <t xml:space="preserve">, </t>
    </r>
    <r>
      <rPr>
        <color rgb="FF1155CC"/>
        <sz val="10.0"/>
        <u/>
      </rPr>
      <t>Francheska Caraballo</t>
    </r>
    <r>
      <rPr>
        <sz val="10.0"/>
      </rPr>
      <t xml:space="preserve">, </t>
    </r>
    <r>
      <rPr>
        <color rgb="FF1155CC"/>
        <sz val="10.0"/>
        <u/>
      </rPr>
      <t>Daina Charles</t>
    </r>
    <r>
      <rPr>
        <sz val="10.0"/>
      </rPr>
      <t xml:space="preserve"> and </t>
    </r>
    <r>
      <rPr>
        <color rgb="FF1155CC"/>
        <sz val="10.0"/>
        <u/>
      </rPr>
      <t>Ousmane Diallo</t>
    </r>
  </si>
  <si>
    <t>IHSUnionSquare, CypressHills, ELLIS, ClaremontIHS</t>
  </si>
  <si>
    <t>Neha</t>
  </si>
  <si>
    <t>Ganjoo</t>
  </si>
  <si>
    <t>nehaaganjoo@gmail.com</t>
  </si>
  <si>
    <t>3/29/23 SB messaged for IR3 11/22/22 CT sent re-engagement email with training dates 9/30/22 Not available for IR1. CT 5/18/22 SB sent re-engagement email Screening passed 11/12/21, congrats email sent 11/15/21 SB Screening scheduled for 11/10 (texts may work best with Neha) 11/2/21 SB sent screening scheduling link via text SB sent screening scheduling email 10/11 Contact of Madhuri Koushik</t>
  </si>
  <si>
    <t>36575 Mulberry St, Newark California</t>
  </si>
  <si>
    <t>Newark</t>
  </si>
  <si>
    <t>Zoom</t>
  </si>
  <si>
    <t>Seminars 21, FY 21 - 22</t>
  </si>
  <si>
    <r>
      <rPr>
        <color rgb="FF1155CC"/>
        <sz val="10.0"/>
        <u/>
      </rPr>
      <t>Fabiana Justiniano</t>
    </r>
    <r>
      <rPr>
        <sz val="10.0"/>
      </rPr>
      <t xml:space="preserve"> and </t>
    </r>
    <r>
      <rPr>
        <color rgb="FF1155CC"/>
        <sz val="10.0"/>
        <u/>
      </rPr>
      <t>Asia Atta</t>
    </r>
  </si>
  <si>
    <t>CypressHills, FlushingIHS</t>
  </si>
  <si>
    <t>Singla</t>
  </si>
  <si>
    <t>281-450-3607</t>
  </si>
  <si>
    <t>nehasingla3@gmail.com</t>
  </si>
  <si>
    <t>1/11/24 WW emailed for IR2 Ellis Updated job info to Head of Talent Management at Lucid Motors from Director, Talent Management at Visa Referenced Linkedin profile for match announcement until Neha able to give us updated information 12/20/22 - Has a weekly meeting at Ellis time (Tuesdays 4:00 pm est), SB sent other schedules, Mondays at 3 work best for her but will have to reschedule first session because she will be returning from traveling abroad 12/19/22 SB emailed for ellis schedule for IR2 10/19/22 SB followed up for Wheels match - Available but traveling until 11/14/22, so session 1 will need to be rescheduled - actually no available for 1/3 of sessions &amp;amp; out of the country from mid-January to early February. Reach out to for IR2 10/14/22 SB asked for wheels availability 9/12/22 available for IR1. CT 7/14/22 Completed CPC training with CT 5/18/22 SB sent re-engagement email 1/24/22 SB called about IR2 matching, parents are sick and may need to travel abroad in coming month, asked to be reached back out to for IR3 Neha emailed on 2/21/21 that she is really busy but would love to support FY21-22. Reach back in September. (HJ, 2/21/21) JPS emailed on 2/4/2021 to schedule her for a training Screening Call was conducted on 3/30/2020 by Dona Rehm</t>
  </si>
  <si>
    <t>400 Mariners Island Blvd Unit 207</t>
  </si>
  <si>
    <t>San Mateo, CA</t>
  </si>
  <si>
    <t>Lucid Motors</t>
  </si>
  <si>
    <r>
      <rPr>
        <color rgb="FF1155CC"/>
        <sz val="10.0"/>
        <u/>
      </rPr>
      <t>Taliana Valencia</t>
    </r>
    <r>
      <rPr>
        <sz val="10.0"/>
      </rPr>
      <t xml:space="preserve">, </t>
    </r>
    <r>
      <rPr>
        <color rgb="FF1155CC"/>
        <sz val="10.0"/>
        <u/>
      </rPr>
      <t>Olivia Richmyr Paul Joseph</t>
    </r>
    <r>
      <rPr>
        <sz val="10.0"/>
      </rPr>
      <t xml:space="preserve">, </t>
    </r>
    <r>
      <rPr>
        <color rgb="FF1155CC"/>
        <sz val="10.0"/>
        <u/>
      </rPr>
      <t>Jaymarcus Desir</t>
    </r>
    <r>
      <rPr>
        <sz val="10.0"/>
      </rPr>
      <t xml:space="preserve"> and </t>
    </r>
    <r>
      <rPr>
        <color rgb="FF1155CC"/>
        <sz val="10.0"/>
        <u/>
      </rPr>
      <t>Nerely Roa</t>
    </r>
  </si>
  <si>
    <t>Nikhita</t>
  </si>
  <si>
    <t>Pai</t>
  </si>
  <si>
    <t>917-242-5186</t>
  </si>
  <si>
    <t>nikhita.kamath@gmail.com</t>
  </si>
  <si>
    <t>4/3/23 CT sent follow up with CPC training dates 2/22/23 CT sent follow up email to re-engage 2/9/23 CT sent re-engagement email 5/18/22 SB sent re-engagement email 1/10/21 SB sent schedules for FY21-22 IR2 Doubled Checked 1/19 (KW) Sent her a follow up since covid August 28th 2020 Got back to me September 3rd 2020 Emailed her onboarding materials september 3rd 2020 Nikhita was screened on 1/13/2020 by Dona Rehm contacted for screening call 1/7</t>
  </si>
  <si>
    <t>2729 John F Kennedy Blvd Apt 2C, Jersey City, NJ 07306</t>
  </si>
  <si>
    <t>New York (I live in Jersey City)</t>
  </si>
  <si>
    <t>Viventium</t>
  </si>
  <si>
    <t>Nilesh</t>
  </si>
  <si>
    <t>Murthy</t>
  </si>
  <si>
    <t>nileshmurthy@gmail.com</t>
  </si>
  <si>
    <t>3/28/24 WW emailed for IR3 12/27/22 SB reached out for updated reference info 9/21/22 SB sent request for IR1 Nilesh was trained on 10/26/2020 by Jennifer Peterson-Sharma Nilesh was screened on 10/7/2020 by Jennifer Peterson-Sharma at 11 am Emailed on 9/29/2020 to schedule a screening call</t>
  </si>
  <si>
    <t>1024 Evelyn Avenue, Albany, CA</t>
  </si>
  <si>
    <t>San Francisco Bay Area</t>
  </si>
  <si>
    <r>
      <rPr>
        <color rgb="FF1155CC"/>
        <sz val="10.0"/>
        <u/>
      </rPr>
      <t>Ismatu Barry</t>
    </r>
    <r>
      <rPr>
        <sz val="10.0"/>
      </rPr>
      <t xml:space="preserve">, </t>
    </r>
    <r>
      <rPr>
        <color rgb="FF1155CC"/>
        <sz val="10.0"/>
        <u/>
      </rPr>
      <t>Cheikh Ka</t>
    </r>
    <r>
      <rPr>
        <sz val="10.0"/>
      </rPr>
      <t xml:space="preserve">, </t>
    </r>
    <r>
      <rPr>
        <color rgb="FF1155CC"/>
        <sz val="10.0"/>
        <u/>
      </rPr>
      <t>Magby Orellana</t>
    </r>
    <r>
      <rPr>
        <sz val="10.0"/>
      </rPr>
      <t xml:space="preserve">, </t>
    </r>
    <r>
      <rPr>
        <color rgb="FF1155CC"/>
        <sz val="10.0"/>
        <u/>
      </rPr>
      <t>Ehsanullah Sulimanzoy</t>
    </r>
    <r>
      <rPr>
        <sz val="10.0"/>
      </rPr>
      <t xml:space="preserve">, </t>
    </r>
    <r>
      <rPr>
        <color rgb="FF1155CC"/>
        <sz val="10.0"/>
        <u/>
      </rPr>
      <t>Matiullah Sulimanzoy</t>
    </r>
    <r>
      <rPr>
        <sz val="10.0"/>
      </rPr>
      <t xml:space="preserve">, </t>
    </r>
    <r>
      <rPr>
        <color rgb="FF1155CC"/>
        <sz val="10.0"/>
        <u/>
      </rPr>
      <t>Ousmane Diallo</t>
    </r>
    <r>
      <rPr>
        <sz val="10.0"/>
      </rPr>
      <t xml:space="preserve"> and </t>
    </r>
    <r>
      <rPr>
        <color rgb="FF1155CC"/>
        <sz val="10.0"/>
        <u/>
      </rPr>
      <t>Daina Charles</t>
    </r>
  </si>
  <si>
    <t>ICHSBronx, Frankford, NYC Mission - Emma Lazarus</t>
  </si>
  <si>
    <t>Nilima</t>
  </si>
  <si>
    <t>Rao</t>
  </si>
  <si>
    <t>nimirao@rocketmail.com</t>
  </si>
  <si>
    <t>01/05/22 CT sent follow up email for matching 12/30/21 SB sent IR2 FY21-22 schedule list for matching JPS sent another email on 7/22/21 - it appears Nilima already went through screening with Scotney and may have already done training. Want to follow up on her status as a Champion. HH disconnected call/text 7/20/21 JPS sent an outreach email on 6/2/21 Reach out to Nilima using different communication approaches around 3 - 5 times and make a decision about how to move forward June 30, 2021 (HJ, 6/2/2021) Passed screening on 7/25/19 with Scotney. Appears she already went through training as well, but has not provided a Mentor Instructional Guide - might need to attend a refresher training</t>
  </si>
  <si>
    <t>20 San Clemente, Irvine CA 92602</t>
  </si>
  <si>
    <t xml:space="preserve">Irvine </t>
  </si>
  <si>
    <t>Niki</t>
  </si>
  <si>
    <t>Pham</t>
  </si>
  <si>
    <t>nipt49@gmail.com</t>
  </si>
  <si>
    <t>3/21/23 SB sent text about IR3 availability 1/17/23 CT not available for IR2, reach out again for IR3 1/17/23 CT sent follow up email for IR2 1/10/23 CT asked for IR2 availability with Wheels schedule 9/29/22 Niki unavailable for IR1 SB 9/28/22 SB called, Niki did not have time to talk so SB followed up with text 9/27/22 SB messaged for IR1 match 9/23/22 SB asked for IR1 for ICHS Bronx CT followed up with her in reference email to confirm she's available for IR1. 8/10/22 7/5/22 contacted for a match - unable to do twice a week but should be available in the fall Sent text for match on 11/5/21 SB Training scheduled for 11/5/21 SB Screening passed on 8/25/21 SB Sent screening scheduling email 8/23/21 SB</t>
  </si>
  <si>
    <t>703 MCINTOSH BEND DR, stafford</t>
  </si>
  <si>
    <t>Host Healthcare</t>
  </si>
  <si>
    <r>
      <rPr>
        <color rgb="FF1155CC"/>
        <sz val="10.0"/>
        <u/>
      </rPr>
      <t>Isaiah Callender</t>
    </r>
    <r>
      <rPr>
        <sz val="10.0"/>
      </rPr>
      <t xml:space="preserve"> and </t>
    </r>
    <r>
      <rPr>
        <color rgb="FF1155CC"/>
        <sz val="10.0"/>
        <u/>
      </rPr>
      <t>Blair Vales</t>
    </r>
  </si>
  <si>
    <t>Nisha</t>
  </si>
  <si>
    <t>Mathew</t>
  </si>
  <si>
    <t>nishamathew00@gmail.com</t>
  </si>
  <si>
    <t>10/30/23 WW called - Nisha can't do this round due to busy schedule 10/24/23 SB sent message about IR1 10/23/23 SB emailed for IR1 Not available during working hours Mo-Fr, only after 5pm. 4/18/22 CT 12/22/21 SB sent IR2 FY21-22 schedule list for matching 12/14/21 SB called Nisha, she is unable for FY21-22 IR1, asked to reach back out in January for IR2 12/13/21 SB sent text for match for IR1 FY21-22 Double checked 1/26 (KW) Hetal Texted on March 19th, 2020 during COVID-19 Support SPEAK by being in the L'Oreal Paris WOW video in June 2019</t>
  </si>
  <si>
    <t>146 Clifton Place Apt 3B Brooklyn, NY 11238</t>
  </si>
  <si>
    <t>The Estée Lauder Companies Inc.</t>
  </si>
  <si>
    <r>
      <rPr>
        <color rgb="FF1155CC"/>
        <sz val="10.0"/>
        <u/>
      </rPr>
      <t>Gabriella bella</t>
    </r>
    <r>
      <rPr>
        <color rgb="FF1155CC"/>
        <sz val="10.0"/>
        <u/>
      </rPr>
      <t xml:space="preserve"> and </t>
    </r>
    <r>
      <rPr>
        <color rgb="FF1155CC"/>
        <sz val="10.0"/>
        <u/>
      </rPr>
      <t>Anastasiia Smetaniuk</t>
    </r>
  </si>
  <si>
    <t>Millenium HS - NYC, GWHS</t>
  </si>
  <si>
    <t>Nishika</t>
  </si>
  <si>
    <t>Vidanage-Lulejian</t>
  </si>
  <si>
    <t>nishika.vidanage@gmail.com</t>
  </si>
  <si>
    <t>7/18/23 WW emailed for IRS, PQ followed up with call and text, not available for IRS but interested in IR1 3/22/23 SB sent text for IR3 availability - responded with &amp;#34;I don't think I am able to participate this time. I am teaching a class at a local college in addition to my full time job. Additionally, I am leadership in 3 clubs at Lehigh and we are busy this spring. Please think of me in the summer or fall.&amp;#34; 12/12/22 for the next round Nishika participates in she needs stronger Interns 11/18/22 for IR1 Nishika had 1 Intern show up to session 1 and none for session 2. She felt disrespected and did not want to reschedule. Program Coordinators working with school to improve attendance. SB to check in with her 9/13/22 SB sent match request for IR1, Nishika emailed back right away confirming the match 7/522 LG spoke with Nishika - she is unavailable for IRS but interested in IR1  6/29/22 SB contacted for IRS match 12/22/21 SB sent IR2 FY21-22 schedule list for matching Completed training on 12/1/21 with SB Passed screening on 11/29/21 SB Sent congrats email 11/15/21 SB, still need to screen Screening scheduled for 11/22/21 11/10/21 SB sent screening scheduling email</t>
  </si>
  <si>
    <t>112 Raymond Lane, North Wales PA 19454</t>
  </si>
  <si>
    <t>North Wales, Pennsylvania</t>
  </si>
  <si>
    <t>North Wales</t>
  </si>
  <si>
    <t>Katmai Government Services</t>
  </si>
  <si>
    <r>
      <rPr>
        <color rgb="FF1155CC"/>
        <sz val="10.0"/>
        <u/>
      </rPr>
      <t>Audrey Made Mewoli</t>
    </r>
    <r>
      <rPr>
        <sz val="10.0"/>
      </rPr>
      <t xml:space="preserve">, </t>
    </r>
    <r>
      <rPr>
        <color rgb="FF1155CC"/>
        <sz val="10.0"/>
        <u/>
      </rPr>
      <t>Razina Issoufou</t>
    </r>
    <r>
      <rPr>
        <sz val="10.0"/>
      </rPr>
      <t xml:space="preserve">, </t>
    </r>
    <r>
      <rPr>
        <color rgb="FF1155CC"/>
        <sz val="10.0"/>
        <u/>
      </rPr>
      <t>Mously Thiam</t>
    </r>
    <r>
      <rPr>
        <sz val="10.0"/>
      </rPr>
      <t xml:space="preserve">, </t>
    </r>
    <r>
      <rPr>
        <color rgb="FF1155CC"/>
        <sz val="10.0"/>
        <u/>
      </rPr>
      <t>Halimatou Sacko</t>
    </r>
    <r>
      <rPr>
        <sz val="10.0"/>
      </rPr>
      <t xml:space="preserve">, </t>
    </r>
    <r>
      <rPr>
        <color rgb="FF1155CC"/>
        <sz val="10.0"/>
        <u/>
      </rPr>
      <t>Djaka Kante</t>
    </r>
    <r>
      <rPr>
        <sz val="10.0"/>
      </rPr>
      <t xml:space="preserve">, </t>
    </r>
    <r>
      <rPr>
        <color rgb="FF1155CC"/>
        <sz val="10.0"/>
        <u/>
      </rPr>
      <t>Rafialy Carrasco</t>
    </r>
    <r>
      <rPr>
        <sz val="10.0"/>
      </rPr>
      <t xml:space="preserve">, </t>
    </r>
    <r>
      <rPr>
        <color rgb="FF1155CC"/>
        <sz val="10.0"/>
        <u/>
      </rPr>
      <t>Bradley Edwards</t>
    </r>
    <r>
      <rPr>
        <sz val="10.0"/>
      </rPr>
      <t xml:space="preserve"> and </t>
    </r>
    <r>
      <rPr>
        <color rgb="FF1155CC"/>
        <sz val="10.0"/>
        <u/>
      </rPr>
      <t>Naveer Ramsarran</t>
    </r>
  </si>
  <si>
    <t>ELLIS, QueensPrepAcad</t>
  </si>
  <si>
    <t>Ifeoma</t>
  </si>
  <si>
    <t>Nnamani</t>
  </si>
  <si>
    <t>nnamani.anne@gmail.com</t>
  </si>
  <si>
    <t>3/3/23 passed screening with SB 2/23/23 CT updated job title 2/22/23 CT sent follow up email to re-engage 2/21/23 CT sent email about being Seminar Speaker for IHS US 2/9/23 CT sent re-engagement email 5/24/22 SB sent re-engagement email 12/21/21 SB sent IR2 FY21-22 schedule list for matching Screening scheduling email sent by SB on 10/28/21</t>
  </si>
  <si>
    <t>House 4 , Goddy Nnamani Close , Golf Estate</t>
  </si>
  <si>
    <t>Lagos , Nigeria</t>
  </si>
  <si>
    <t>H&amp;O Medical Concierge Services</t>
  </si>
  <si>
    <t>Noel</t>
  </si>
  <si>
    <t>Blanco</t>
  </si>
  <si>
    <t>noelmblanco2023@gmail.com</t>
  </si>
  <si>
    <t>Upon looking at her resume, she may not have relevant US experience and currently works at organization that is US based but may do similar work - if she schedules a call we'll do it but we probably should not chase her because she may not be a good fit Follow up sent 6/5/23 SB Screening email sent 5/30/23 SB DOB - 05/24/2023</t>
  </si>
  <si>
    <t>1117 Sahud-Ulan Tanza Cavite 4108 Philippines</t>
  </si>
  <si>
    <t>Kadakareer</t>
  </si>
  <si>
    <t>Namrata</t>
  </si>
  <si>
    <t>Ramani</t>
  </si>
  <si>
    <t>nramani26@gmail.com</t>
  </si>
  <si>
    <t>3/4/24 WW emailed for IR3 1/9/24 not available for IR2 SB 1/8/24 SB emailed for IR2 Crotona schedule 3/16/23 emailed SB not available for IR3 3/15/23 emailed SB not available at days given, sending other schedules 3/14/23 SB sent follow up email about IR3 3/10/23 SB emailed about IR3 crotona availability 12/28/22 CT not available for Wheels schedule IR2, asked for other session times 12/27/22 CT asked for IR2 availability Wheels schedule 7/6/22 LG called, texted for IRS availability 12/22/21 SB sent IR2 FY21-22 schedule list for matching 12/20/21 completed onboarding training with SB and CT Namrata was screened on 3/8/21 with JPS JPS reached out to Namrata on 2/22/21 to schedule screening call</t>
  </si>
  <si>
    <t>25-8 Franklin Court</t>
  </si>
  <si>
    <t>HMH Palisades Medical Center</t>
  </si>
  <si>
    <r>
      <rPr>
        <color rgb="FF1155CC"/>
        <sz val="10.0"/>
        <u/>
      </rPr>
      <t>Naim Bakere</t>
    </r>
    <r>
      <rPr>
        <sz val="10.0"/>
      </rPr>
      <t xml:space="preserve"> and </t>
    </r>
    <r>
      <rPr>
        <color rgb="FF1155CC"/>
        <sz val="10.0"/>
        <u/>
      </rPr>
      <t>Naimatou Sefou Moussa</t>
    </r>
  </si>
  <si>
    <t>Nuoya</t>
  </si>
  <si>
    <t>Li</t>
  </si>
  <si>
    <t>nuoyali.nl@gmail.com</t>
  </si>
  <si>
    <t>2/7/23 CT call could not be connected due to restrictions on line. Sent text to check in. 1/11/23 CT sent follow up email 12/21/22 CT sent follow up email 12/13/22 CT sent email to check in with Nuoya about continuing to participate as a Champion 11/28/22 unsubscribed from newsletter SB 11/22/22 CT sent re-engagement email with training dates HJ Messaged Samar Deen, who had brought Nuoya if Nuoya was interested in continuing since she abandoned her IR2 group by not coming to the last 2 sessions - Samar reached out to her and confirmed she just has some personal issues right now but is interested for future rounds (HJ 4/13/22) 2/21/22 SB texted to follow up about training 2/18/22 SB sent follow up email 2/16/22 SB sent congrats and training email 2/16/22 Passed screening with SB 2/14/22 SB sent screening and asked for flushing</t>
  </si>
  <si>
    <t>350 E82nd</t>
  </si>
  <si>
    <r>
      <rPr>
        <color rgb="FF1155CC"/>
        <sz val="10.0"/>
        <u/>
      </rPr>
      <t>Chuanxun Li</t>
    </r>
    <r>
      <rPr>
        <sz val="10.0"/>
      </rPr>
      <t xml:space="preserve">, </t>
    </r>
    <r>
      <rPr>
        <color rgb="FF1155CC"/>
        <sz val="10.0"/>
        <u/>
      </rPr>
      <t>Chenghao Yang</t>
    </r>
    <r>
      <rPr>
        <sz val="10.0"/>
      </rPr>
      <t xml:space="preserve">, </t>
    </r>
    <r>
      <rPr>
        <color rgb="FF1155CC"/>
        <sz val="10.0"/>
        <u/>
      </rPr>
      <t>Zhihui Guo</t>
    </r>
    <r>
      <rPr>
        <sz val="10.0"/>
      </rPr>
      <t xml:space="preserve"> and </t>
    </r>
    <r>
      <rPr>
        <color rgb="FF1155CC"/>
        <sz val="10.0"/>
        <u/>
      </rPr>
      <t>Long Xiong Long</t>
    </r>
  </si>
  <si>
    <t>Nikita</t>
  </si>
  <si>
    <t>Catharine Viswasam</t>
  </si>
  <si>
    <t>nviswas1@jhu.edu</t>
  </si>
  <si>
    <t>1/23/23 CT sent follow up email for IR2 1/17/23 CT asked for IR2 availability with Wheels schedule 1/10/23 CT sent check in email 4/13/22 SB texted for match, responded saying that phone number (713 301 0637) is no longer Nikita's, removed from profile 1/10/22 SB sent schedules for FY21-22 IR2 Doubled Checked 1/19 (KW) JPS emailed on 1/5/2021 to check her engagement status, no response as of 1/14/2021. Followed up on 1/14/2021.</t>
  </si>
  <si>
    <t>1708 E Pratt St #2, Baltimore, MD, 21231</t>
  </si>
  <si>
    <t>Baltimore, MD</t>
  </si>
  <si>
    <t>Baltimore</t>
  </si>
  <si>
    <t>Johns Hopkins School of Public Health, Center for Public Health and Human Rights</t>
  </si>
  <si>
    <r>
      <rPr>
        <color rgb="FF1155CC"/>
        <sz val="10.0"/>
        <u/>
      </rPr>
      <t>Bianka Pena</t>
    </r>
    <r>
      <rPr>
        <sz val="10.0"/>
      </rPr>
      <t xml:space="preserve">, </t>
    </r>
    <r>
      <rPr>
        <color rgb="FF1155CC"/>
        <sz val="10.0"/>
        <u/>
      </rPr>
      <t>Sanzida Chowdhury</t>
    </r>
    <r>
      <rPr>
        <sz val="10.0"/>
      </rPr>
      <t xml:space="preserve">, </t>
    </r>
    <r>
      <rPr>
        <color rgb="FF1155CC"/>
        <sz val="10.0"/>
        <u/>
      </rPr>
      <t>Saima Akter</t>
    </r>
    <r>
      <rPr>
        <sz val="10.0"/>
      </rPr>
      <t xml:space="preserve"> and </t>
    </r>
    <r>
      <rPr>
        <color rgb="FF1155CC"/>
        <sz val="10.0"/>
        <u/>
      </rPr>
      <t>Khadidia Traore</t>
    </r>
  </si>
  <si>
    <t>Odera</t>
  </si>
  <si>
    <t>Ekwunife</t>
  </si>
  <si>
    <t>oekwunife1@gmail.com</t>
  </si>
  <si>
    <t>1/26/24 replyed to CCC invite asking to unsubscribe. SB replied to see if she is still interested in being a mentor at all. Still inactive for now, pending discontinue status 2/18/23 Emailed SB, &amp;#34;Thank you once again for the invitation for this opportunity. After careful consideration, I unfortunately will not be able to commit to this program at this time. In full transparency, I am currently in a career transition and will not be able to contribute wholeheartedly to this program as I would prefer to. In the future, as things stabilize, I will reconnect with you for future opportunities with SpeakHire. Thank you&amp;#34; - marking inactive 2/16/23 scheduled training for 3/16/23 2/14/23 SB sent follow up for training 2/8/23 passed screening call with SB - sending congrats with Wheels request for IR2 2/7/23 CT scheduled Screening Call for 2/8/23 1/30/23 CT sent follow up 1/23/23 CT sent follow up to schedule screening 1/18/23 SB sent screening scheduling email</t>
  </si>
  <si>
    <t>12413 Alamance Way</t>
  </si>
  <si>
    <t>Maryland, USA</t>
  </si>
  <si>
    <t>Upper Marlboro</t>
  </si>
  <si>
    <t>U.S. FDA (Food and Drug Administration)</t>
  </si>
  <si>
    <t>Oheneba</t>
  </si>
  <si>
    <t>Afriyie</t>
  </si>
  <si>
    <t>ohen.afriyie@gmail.com</t>
  </si>
  <si>
    <t>Hero Quotes: &amp;#34;Gives me great pride to help folks grow in their careers&amp;#34; / &amp;#34;Great organization. It was a good experience&amp;#34; 7/31/23 - 110 hours of service (5 IR*18 hours) &amp;#43; (5 Seminars * 4 hours) - Bronze award received on August 16th, 2023 7/17/23 SB sent follow up about IRS dates - tried to make it work but too many reschedules would be needed, asked about ad-hoc sessions 7/14/23 SB Sent full list of dates for IRS 7/13/23 SB sent text for IRS Donated money to Interns for FY22-23 7/11/23 SB emailed about IRS 3/14/23 CT left voicemail &amp;amp; sent text about taking over group of Interns for IR2 3/7/23 CT left voicemail &amp;amp; sent text regarding Seminar 3/6/23 CT sent follow up email regarding Seminar 3/2/23 CT sent email asking to be Speaker for  BUSHWICKCHS Seminar 2/28/23 CT sent follow up text to Ohen with Wheels group for IR2 2/27/23 SB messaged ohen to see if he could be a replacement CPC for IR2 9/19/22 SB messaged Ohen for Ellis match - confirmed match 9/15/22 SB asked for IR1 match with Ellis BMW confirmed by text on 8/4 for IR1 he is okay with any group. Very understanding 3/8/22 Sent email for IR3 availability CT 01/12/22 Completed CPC Orientation &amp;amp; Onboarding Training CT 12/28/21 Congrats/Training scheduling email sent with full list of schedules for IR2 FY21-22 Passed screening on 12/23/21 SB, updated job title since Ohen said he is getting promoted in the next two weeks (from Senior Manager to Associate Director)  12/21/21 SB sent screening nudge Sent screening email 12/07/21 CT</t>
  </si>
  <si>
    <t>108-136 MLK JR BLVD APT B1115 NEWARK, NJ 07104</t>
  </si>
  <si>
    <t>Newark, NJ</t>
  </si>
  <si>
    <t>Protiviti</t>
  </si>
  <si>
    <r>
      <rPr>
        <color rgb="FF1155CC"/>
        <sz val="10.0"/>
        <u/>
      </rPr>
      <t>Genesis Mercado</t>
    </r>
    <r>
      <rPr>
        <sz val="10.0"/>
      </rPr>
      <t xml:space="preserve">, </t>
    </r>
    <r>
      <rPr>
        <color rgb="FF1155CC"/>
        <sz val="10.0"/>
        <u/>
      </rPr>
      <t>Rohan Basavaraj</t>
    </r>
    <r>
      <rPr>
        <sz val="10.0"/>
      </rPr>
      <t xml:space="preserve">, </t>
    </r>
    <r>
      <rPr>
        <color rgb="FF1155CC"/>
        <sz val="10.0"/>
        <u/>
      </rPr>
      <t>Gary Hernandez</t>
    </r>
    <r>
      <rPr>
        <sz val="10.0"/>
      </rPr>
      <t xml:space="preserve">, </t>
    </r>
    <r>
      <rPr>
        <color rgb="FF1155CC"/>
        <sz val="10.0"/>
        <u/>
      </rPr>
      <t>Jeremy Rodriguez</t>
    </r>
    <r>
      <rPr>
        <sz val="10.0"/>
      </rPr>
      <t xml:space="preserve">, </t>
    </r>
    <r>
      <rPr>
        <color rgb="FF1155CC"/>
        <sz val="10.0"/>
        <u/>
      </rPr>
      <t>Mario Brito</t>
    </r>
    <r>
      <rPr>
        <sz val="10.0"/>
      </rPr>
      <t xml:space="preserve">, </t>
    </r>
    <r>
      <rPr>
        <color rgb="FF1155CC"/>
        <sz val="10.0"/>
        <u/>
      </rPr>
      <t>Awa Ndiaye</t>
    </r>
    <r>
      <rPr>
        <sz val="10.0"/>
      </rPr>
      <t xml:space="preserve">, </t>
    </r>
    <r>
      <rPr>
        <color rgb="FF1155CC"/>
        <sz val="10.0"/>
        <u/>
      </rPr>
      <t>Fatou Diedhiou</t>
    </r>
    <r>
      <rPr>
        <sz val="10.0"/>
      </rPr>
      <t xml:space="preserve">, </t>
    </r>
    <r>
      <rPr>
        <color rgb="FF1155CC"/>
        <sz val="10.0"/>
        <u/>
      </rPr>
      <t>Dipson Khatri Chhetri</t>
    </r>
    <r>
      <rPr>
        <sz val="10.0"/>
      </rPr>
      <t xml:space="preserve">, </t>
    </r>
    <r>
      <rPr>
        <color rgb="FF1155CC"/>
        <sz val="10.0"/>
        <u/>
      </rPr>
      <t>Yiengchuk Dorji</t>
    </r>
    <r>
      <rPr>
        <sz val="10.0"/>
      </rPr>
      <t xml:space="preserve">, </t>
    </r>
    <r>
      <rPr>
        <color rgb="FF1155CC"/>
        <sz val="10.0"/>
        <u/>
      </rPr>
      <t>Niloy Ahmed</t>
    </r>
    <r>
      <rPr>
        <sz val="10.0"/>
      </rPr>
      <t xml:space="preserve">, </t>
    </r>
    <r>
      <rPr>
        <color rgb="FF1155CC"/>
        <sz val="10.0"/>
        <u/>
      </rPr>
      <t>Ariel Cedeno</t>
    </r>
    <r>
      <rPr>
        <sz val="10.0"/>
      </rPr>
      <t xml:space="preserve">, </t>
    </r>
    <r>
      <rPr>
        <color rgb="FF1155CC"/>
        <sz val="10.0"/>
        <u/>
      </rPr>
      <t>Samuel Ortiz</t>
    </r>
    <r>
      <rPr>
        <sz val="10.0"/>
      </rPr>
      <t xml:space="preserve">, </t>
    </r>
    <r>
      <rPr>
        <color rgb="FF1155CC"/>
        <sz val="10.0"/>
        <u/>
      </rPr>
      <t>Luis Acevedo</t>
    </r>
    <r>
      <rPr>
        <sz val="10.0"/>
      </rPr>
      <t xml:space="preserve"> and </t>
    </r>
    <r>
      <rPr>
        <color rgb="FF1155CC"/>
        <sz val="10.0"/>
        <u/>
      </rPr>
      <t>Justin Jimenez</t>
    </r>
  </si>
  <si>
    <t>BUSHWICKCHS, SOF, WheelsNYC, ELLIS, IHS Health, HSEI</t>
  </si>
  <si>
    <t>Issue 7, Issue 10, Issue 11</t>
  </si>
  <si>
    <t>Issue 7 - 12/14/20
Issue 10,11 - 2/8/22</t>
  </si>
  <si>
    <t>Issue 7 - 50
Issue 10,11 - 100 + $50 Summit ticket</t>
  </si>
  <si>
    <t>Oishee Dasgupta</t>
  </si>
  <si>
    <t>Dasgupta</t>
  </si>
  <si>
    <t>oishee.d@gmail.com</t>
  </si>
  <si>
    <t>1/23/23 CT left voicemail &amp;amp; sent text for IR2 1/13/23 SB texted for IR2 1/10/23 SB email follow up for IR2 1/6/23 SB emailed for IR2 Union Square 7/5/22 LG reached out for IRS availability, CT sent reference email and she let us know that she won't be available for IR1, reach out again in October about IR2 and references. 8/2/22 Not available for IR1. Reach out in October for next round and references. CT 8/2/22 Only did FY 21-22 IR3. Follow up with again to reengage 7/5/22 LG reached out for IRS availability 4/13 passed screening with SB 4/7/22 SB sent screening scheduling email</t>
  </si>
  <si>
    <t>1326 Spruce Street Apt 1208</t>
  </si>
  <si>
    <t>Johnson and Johnson</t>
  </si>
  <si>
    <r>
      <rPr>
        <color rgb="FF1155CC"/>
        <sz val="10.0"/>
        <u/>
      </rPr>
      <t>Steffania Molina</t>
    </r>
    <r>
      <rPr>
        <sz val="10.0"/>
      </rPr>
      <t xml:space="preserve">, </t>
    </r>
    <r>
      <rPr>
        <color rgb="FF1155CC"/>
        <sz val="10.0"/>
        <u/>
      </rPr>
      <t>Ilsy Hernandez</t>
    </r>
    <r>
      <rPr>
        <sz val="10.0"/>
      </rPr>
      <t xml:space="preserve"> and </t>
    </r>
    <r>
      <rPr>
        <color rgb="FF1155CC"/>
        <sz val="10.0"/>
        <u/>
      </rPr>
      <t>Ashley Sosa</t>
    </r>
  </si>
  <si>
    <t>Olga</t>
  </si>
  <si>
    <t>747-272-4546</t>
  </si>
  <si>
    <t>olgavpatel@gmail.com</t>
  </si>
  <si>
    <t>7/17/23 - SB sent email for IRS, BC called &amp;amp; left VM,  SB sent follow up text 1/9/23 CT sent text for IR2 1/3/23 CT sent follow up for IR2 12/27/22 CT sent follow up for IR2 12/19/22 CT asked for IR2 availability with wheels schedule Olga does note respond well to texts but does answer phone calls Brought in son for Seminars. Did not send in presentation for very end. Olga attended a CPC Training on 4/10/21 with JPS. Olga was screened by JPS on 4/7/21 JPS emailed on 2/3/2021 to schedule a Screening Call Double checked 1/26 (KW)</t>
  </si>
  <si>
    <t>1437 E Mountain St., Glendale, CA 91207, Glendale</t>
  </si>
  <si>
    <r>
      <rPr>
        <color rgb="FF1155CC"/>
        <sz val="10.0"/>
        <u/>
      </rPr>
      <t>Subham Saud</t>
    </r>
    <r>
      <rPr>
        <sz val="10.0"/>
      </rPr>
      <t xml:space="preserve">, </t>
    </r>
    <r>
      <rPr>
        <color rgb="FF1155CC"/>
        <sz val="10.0"/>
        <u/>
      </rPr>
      <t>Lady Calle</t>
    </r>
    <r>
      <rPr>
        <sz val="10.0"/>
      </rPr>
      <t xml:space="preserve">, </t>
    </r>
    <r>
      <rPr>
        <color rgb="FF1155CC"/>
        <sz val="10.0"/>
        <u/>
      </rPr>
      <t>Europe Oli</t>
    </r>
    <r>
      <rPr>
        <sz val="10.0"/>
      </rPr>
      <t xml:space="preserve">, </t>
    </r>
    <r>
      <rPr>
        <color rgb="FF1155CC"/>
        <sz val="10.0"/>
        <u/>
      </rPr>
      <t>Jose Romero</t>
    </r>
    <r>
      <rPr>
        <sz val="10.0"/>
      </rPr>
      <t xml:space="preserve">, </t>
    </r>
    <r>
      <rPr>
        <color rgb="FF1155CC"/>
        <sz val="10.0"/>
        <u/>
      </rPr>
      <t>Francisco Dominguez</t>
    </r>
    <r>
      <rPr>
        <sz val="10.0"/>
      </rPr>
      <t xml:space="preserve">, </t>
    </r>
    <r>
      <rPr>
        <color rgb="FF1155CC"/>
        <sz val="10.0"/>
        <u/>
      </rPr>
      <t>Alex Aquino Cruz</t>
    </r>
    <r>
      <rPr>
        <sz val="10.0"/>
      </rPr>
      <t xml:space="preserve">, </t>
    </r>
    <r>
      <rPr>
        <color rgb="FF1155CC"/>
        <sz val="10.0"/>
        <u/>
      </rPr>
      <t>Emely Payano</t>
    </r>
    <r>
      <rPr>
        <sz val="10.0"/>
      </rPr>
      <t xml:space="preserve">, </t>
    </r>
    <r>
      <rPr>
        <color rgb="FF1155CC"/>
        <sz val="10.0"/>
        <u/>
      </rPr>
      <t>Samar Chaudhry</t>
    </r>
    <r>
      <rPr>
        <sz val="10.0"/>
      </rPr>
      <t xml:space="preserve">, </t>
    </r>
    <r>
      <rPr>
        <color rgb="FF1155CC"/>
        <sz val="10.0"/>
        <u/>
      </rPr>
      <t>Luisa Rosario</t>
    </r>
    <r>
      <rPr>
        <sz val="10.0"/>
      </rPr>
      <t xml:space="preserve">, </t>
    </r>
    <r>
      <rPr>
        <color rgb="FF1155CC"/>
        <sz val="10.0"/>
        <u/>
      </rPr>
      <t>Samar Chaudhry</t>
    </r>
    <r>
      <rPr>
        <sz val="10.0"/>
      </rPr>
      <t xml:space="preserve"> and </t>
    </r>
    <r>
      <rPr>
        <color rgb="FF1155CC"/>
        <sz val="10.0"/>
        <u/>
      </rPr>
      <t>Hanbin Wan</t>
    </r>
  </si>
  <si>
    <t>HSEI, IHS Health, ClaremontIHS, FlushingIHS</t>
  </si>
  <si>
    <t>Otito</t>
  </si>
  <si>
    <t>Frances Iwuchukwu</t>
  </si>
  <si>
    <t>otty31@yahoo.com</t>
  </si>
  <si>
    <t>4/3/24 WW emailed for IR3 3/7/23 SB sent message for IR3 - replied &amp;#34;would have loved to help but this semester only Wednesday mornings before 1pm work for now&amp;#34; SB said we can follow up for future rounds and Otito replied she was looking forward to it 3/1/23 Job update on Linkedin - ask for info when she gets in contact 3/1/23 SB emailed about IR3 availability for Wheels and about Interns 1/18/23 CT left voicemail &amp;amp; sent text for IR2 availability 1/13/23 SB sent follow up email 1/10/23 SB emailed for IR2 Not available for IR1 but wants to return for IR2. CT 8/10/22 7/5/22 LG reached out for IRS availability 3/9 &amp;#34;not be available until next Winter/Spring as I would be taking a Sabbatical from work and would not be around physically.&amp;#34; Reach back out to for IR2 FY22-22 SB 12/17, SB sent Otito a text for IR1 FY21-22 match, she responded saying she is busy with work currently and wished to be reached back out to in April 22 Otito attended a CPC training on 4/10/21 with JPS J PS emailed follow up email for Otito &amp;amp; asked if she could accommodate a match for IR2 20-21. Otito responded on 2/15/21 saying, &amp;#34;Unfortunately the dates for this particualr match do not work for me as I have to be out of the country for a funeral for about three weeks in March. I hope the next match would work for both the interns and myself.  Looking forward to hearing from you about that. Thank you so much.&amp;#34; JPS responded asking about IR3 availability. JPS screened on 2/10/2021 JPS emailed on 2/3/2021 to schedule a Screening Call Doubled checked on 1/26 (KW)</t>
  </si>
  <si>
    <t>70 Averell Drive, Morris Plains, NJ</t>
  </si>
  <si>
    <t>Morris Plains, NJ</t>
  </si>
  <si>
    <t>Fairleigh Dickinson University</t>
  </si>
  <si>
    <r>
      <rPr>
        <color rgb="FF1155CC"/>
        <sz val="10.0"/>
        <u/>
      </rPr>
      <t>Islam Aldodoo</t>
    </r>
    <r>
      <rPr>
        <sz val="10.0"/>
      </rPr>
      <t xml:space="preserve"> and </t>
    </r>
    <r>
      <rPr>
        <color rgb="FF1155CC"/>
        <sz val="10.0"/>
        <u/>
      </rPr>
      <t>Sanzida Chowdhury</t>
    </r>
  </si>
  <si>
    <t>GWHS, ELLIS</t>
  </si>
  <si>
    <t>Pamela</t>
  </si>
  <si>
    <t>Calvo</t>
  </si>
  <si>
    <t>p.calvo.e1@gmail.com</t>
  </si>
  <si>
    <t>3/1/24 WW emailed for IR3 10/23/23 SB sent email to secondar email address 10/18/23 SB emailed for IR1 and re-engagement Asked not to have her picture used in ads or published externally (okay with the match announcements - ask for anything else). SB Other email - pamelucha84@gmail.com 6/23/23 SB emailed to check in and see if she might be available for IRS 1/5/23 Hetal messaged on whatsapp for training for SB - She had messaged from another email saying - &amp;#34;a family situation has surfaced and it will impact my availability for the next 6 months.&amp;#34; Reach back out for IRS or IR1 in 2023 1/4/23 SB followed up for training  12/27/22 CT sent follow up email regarding training 12/20/22 CT sent follow up to schedule training 12/16/22 Pamela missed training, SB emailed to schedule another 12/5/22 SB followed up for training 11/30/22 SB sent screening email - passed screening with SB</t>
  </si>
  <si>
    <t>Costa Rica</t>
  </si>
  <si>
    <t>TCCC</t>
  </si>
  <si>
    <t>Paola</t>
  </si>
  <si>
    <t>Lopez</t>
  </si>
  <si>
    <t>paola.lopez.zelaya@gmail.com</t>
  </si>
  <si>
    <t>3/14/24 WW emailed for IR3 1/12/24 with Paola's masters school schedule she cannot make IR2 (and likely IR3 work) - she is very interested in FY 24-25 possibly for IRS or IR1 SB 1/9/24 SB called Paola, she said she really loves the program and wants to participate. She is working part time and starting her masters, so things are busy. But she will look at the schedule and see if she can make it work - will let us know by EOD 1/8/24 SB emailed for IR2 Crotona schedule 3/1/23 SB sent Paola follow up 2/24/23 SB emailed Paola IR3 Wheels availability request and about Interns 1/12/23 SB emailed back - none of the times worked for her and we are unable to shift the times. Perhaps for IR3 1/5/23 in office Tues and Wed now - unable to do those schedules so SB sent other schedules 1/4/23 SB followed up via email for IR2 12/15/22 SB emailed for Union Square match 4/27/22 Not available for Seminars until fall due to travelling abroad. CT 02/03/22 Completed CPC Orientation &amp;amp; Onboarding Training CT 01/24/22 Invited to CPC Training CT 04/01/22 Sent follow up email CT Sent Instructional Guide &amp;amp; Handbook 12/21/2021 CT Screening passed on 12/21/2021 by CT Screening scheduled for 12/21 SB 12/17 screening scheduling email sent SB</t>
  </si>
  <si>
    <t>156 East 33rd St</t>
  </si>
  <si>
    <t>New York, New York</t>
  </si>
  <si>
    <t>The Medici Group</t>
  </si>
  <si>
    <r>
      <rPr>
        <color rgb="FF1155CC"/>
        <sz val="10.0"/>
        <u/>
      </rPr>
      <t>Paola Munoz</t>
    </r>
    <r>
      <rPr>
        <sz val="10.0"/>
      </rPr>
      <t xml:space="preserve">, </t>
    </r>
    <r>
      <rPr>
        <color rgb="FF1155CC"/>
        <sz val="10.0"/>
        <u/>
      </rPr>
      <t>Ancly Tzul</t>
    </r>
    <r>
      <rPr>
        <sz val="10.0"/>
      </rPr>
      <t xml:space="preserve">, </t>
    </r>
    <r>
      <rPr>
        <color rgb="FF1155CC"/>
        <sz val="10.0"/>
        <u/>
      </rPr>
      <t>David Reynoso Fernandez</t>
    </r>
    <r>
      <rPr>
        <sz val="10.0"/>
      </rPr>
      <t xml:space="preserve">, </t>
    </r>
    <r>
      <rPr>
        <color rgb="FF1155CC"/>
        <sz val="10.0"/>
        <u/>
      </rPr>
      <t>Juan David Baron</t>
    </r>
    <r>
      <rPr>
        <sz val="10.0"/>
      </rPr>
      <t xml:space="preserve">, </t>
    </r>
    <r>
      <rPr>
        <color rgb="FF1155CC"/>
        <sz val="10.0"/>
        <u/>
      </rPr>
      <t>Enmanuel Gervacio Rodriguez</t>
    </r>
    <r>
      <rPr>
        <sz val="10.0"/>
      </rPr>
      <t xml:space="preserve">, </t>
    </r>
    <r>
      <rPr>
        <color rgb="FF1155CC"/>
        <sz val="10.0"/>
        <u/>
      </rPr>
      <t>Shiraylin Marine Torres</t>
    </r>
    <r>
      <rPr>
        <sz val="10.0"/>
      </rPr>
      <t xml:space="preserve">, </t>
    </r>
    <r>
      <rPr>
        <color rgb="FF1155CC"/>
        <sz val="10.0"/>
        <u/>
      </rPr>
      <t>Andrea Guevara</t>
    </r>
    <r>
      <rPr>
        <sz val="10.0"/>
      </rPr>
      <t xml:space="preserve"> and </t>
    </r>
    <r>
      <rPr>
        <color rgb="FF1155CC"/>
        <sz val="10.0"/>
        <u/>
      </rPr>
      <t>Edison Vacacela</t>
    </r>
  </si>
  <si>
    <t>FlushingIHS, ClaremontIHS, IHSUnionSquare</t>
  </si>
  <si>
    <t>Shaili</t>
  </si>
  <si>
    <t>Parikh</t>
  </si>
  <si>
    <t>parikhshaili4@gmail.com</t>
  </si>
  <si>
    <t>2/3/23 Hetal was able to reach Shaili by phone. She said she is traveling tonight to India until March 5th. We can send her an email with the refresher document -- wants to do mentoring over Seminar first. We can also send her training dates and her old IG. Follow up with text or call on March 8th, to confirm training and set her up with match for IR3. 1/11/23 CT left voicemail &amp;amp; sent text 1/5/23 CT sent checking in text 01/03/23 CT sent follow up email 12/20/22 CT sent follow up email 12/13/22 CT sent checking in email 12/22/21 SB sent IR2 FY21-22 schedule list for matching Doubled Checked 1/19 (KW) Emailed her on august 28th 2020 to follow up since covid she responded but didnt reply after i sent her the onboarding materials Emailed her again September 3rd for a follow and she responded with the finished onboarding form. Scheduled training call for September 8th 12-2pm with Kiesha, Jennifer  Peterson and Hetal Did training with Hetal, Kiesha and Jennifer Peterson September 9th 2020 Shaili was screened on 3/26/2020 by Dona Rehm</t>
  </si>
  <si>
    <t>211 E 35th St 1D New York</t>
  </si>
  <si>
    <t>Neuralify</t>
  </si>
  <si>
    <t>Pavan</t>
  </si>
  <si>
    <t>Gourisetty</t>
  </si>
  <si>
    <t>pavan.gourisetty@gmail.com</t>
  </si>
  <si>
    <t>2/22/23 CT sent follow up email to re-engage 2/9/23 CT sent re-engagement email Pavan attended a training on 3/22/21 with JPS. He has not submitted onboarding materials as of that date. Pavan was scheduled to attend a training webinar on 3/8/21 but did not show up. Sent follow up email on 3/10/21 to determine status moving forward. Pavan passed screening call with Hetal on 3/4/2021 Double checked 1/26 (KW)</t>
  </si>
  <si>
    <t>1395 Sharp Court, Campbell</t>
  </si>
  <si>
    <t>Makerspad.ai</t>
  </si>
  <si>
    <r>
      <rPr>
        <color rgb="FF1155CC"/>
        <sz val="10.0"/>
        <u/>
      </rPr>
      <t>Johnfree Carrasco</t>
    </r>
    <r>
      <rPr>
        <sz val="10.0"/>
      </rPr>
      <t xml:space="preserve"> and </t>
    </r>
    <r>
      <rPr>
        <color rgb="FF1155CC"/>
        <sz val="10.0"/>
        <u/>
      </rPr>
      <t>Nusrat Jahan</t>
    </r>
  </si>
  <si>
    <t>Patrick</t>
  </si>
  <si>
    <t>Burris</t>
  </si>
  <si>
    <t>pjburris11@gmail.com</t>
  </si>
  <si>
    <t>5/10/24 - Emailed re social media content for mothers day 3/1/24 WW emailed for IR3 1/9/24 WW emailed for IR2 Ellis 11/3/23 SB emailed for Ellis 4/13/23 Completed Orientation &amp;amp; Onboarding Training CT 3/15/23 CT just started new job and would like to adjust first before committing to any Seminars or FY. Better fit in summer. 3/14/23 CT asked to be Speaker for Wheels Seminar 3/9/23 Passed screening with SB - sending congrats email 3/7/23 SB sent screening email</t>
  </si>
  <si>
    <t>335 Granville Street, Gahanna, Ohio 4323 United States</t>
  </si>
  <si>
    <t>Gahanna, Ohio</t>
  </si>
  <si>
    <t>Gahanna</t>
  </si>
  <si>
    <t>Sterling Infosystems, Inc</t>
  </si>
  <si>
    <t>Poonam</t>
  </si>
  <si>
    <t>Sethi</t>
  </si>
  <si>
    <t>poonam507@gmail.com</t>
  </si>
  <si>
    <t>4/3/23 CT sent follow up with CPC training dates 2/22/23 CT sent follow up email to re-engage 2/9/23 CT sent re-engagement email 5/18/22 SB sent re-engagement email Doubled Checked 1/19 (KW)</t>
  </si>
  <si>
    <t>35 Hudson Street, Apt 2202-W, Jersey City, NJ 07302</t>
  </si>
  <si>
    <t>NY/NJ</t>
  </si>
  <si>
    <t>Lewis Brisbois Bisgaard and Smith</t>
  </si>
  <si>
    <t>Preeti</t>
  </si>
  <si>
    <t>Thyparampil</t>
  </si>
  <si>
    <t>preetithyparampil@gmail.com</t>
  </si>
  <si>
    <t>7/17/23 SB emailed for IRS 3/1/23 SB emailed Preeti about IR3 availability and about Interns - she responded with &amp;#34;Sorry not available for the foreseeable future.&amp;#34; 10/11/22 Not available for IR1 and not in the near future due to a lot going on at work and at home. CT 12/30/21 SB sent IR2 FY21-22 schedule list for matching</t>
  </si>
  <si>
    <t>2240 W North Ave, Unit 4E Chicago IL 60647</t>
  </si>
  <si>
    <t>Northwestern University Hospital</t>
  </si>
  <si>
    <t>Issue 5, Issue 6, Issue 7, Issue 10, Issue 11</t>
  </si>
  <si>
    <t>6,7 - 12/14/20
10,11 - 2/8/22</t>
  </si>
  <si>
    <t>Issue 6,7 - 200
Issue 10,11 - 100 + $50 Summit ticket</t>
  </si>
  <si>
    <t>Prithvi</t>
  </si>
  <si>
    <t>Mattur</t>
  </si>
  <si>
    <t>prithvimattur@gmail.com</t>
  </si>
  <si>
    <t>2/13/23 Jen to take over from Prithvi for IR2 because she is unable to make many sessions, Prithvi confirmed for IR3 SB 10/13/22 SB emailed for wheels match - unable to meet at that time 02/03/22 Completed CPC Orientation &amp;amp; Onboarding Training CT 02/02/22 CT She will be available for IR3 for following session schedules:  Tuesday from 1:45 pm est. to 2:30 pm  est Tuesday from 2:15 pm est. to 3:00 pm  est  Wednesday from 2:45 pm est. to 3:30 pm  est  1/20 passed screening with SB, sending follow up email with training and schedule info 1/17/22 SB followed up 1/13/22 SB sent screening scheduling email</t>
  </si>
  <si>
    <t>Xilinx Inc (AMD)</t>
  </si>
  <si>
    <r>
      <rPr>
        <color rgb="FF1155CC"/>
        <sz val="10.0"/>
        <u/>
      </rPr>
      <t>Kaddijatou Sey</t>
    </r>
    <r>
      <rPr>
        <sz val="10.0"/>
      </rPr>
      <t xml:space="preserve">, </t>
    </r>
    <r>
      <rPr>
        <color rgb="FF1155CC"/>
        <sz val="10.0"/>
        <u/>
      </rPr>
      <t>Jose Salas</t>
    </r>
    <r>
      <rPr>
        <sz val="10.0"/>
      </rPr>
      <t xml:space="preserve">, </t>
    </r>
    <r>
      <rPr>
        <color rgb="FF1155CC"/>
        <sz val="10.0"/>
        <u/>
      </rPr>
      <t>Diego Dinardi</t>
    </r>
    <r>
      <rPr>
        <sz val="10.0"/>
      </rPr>
      <t xml:space="preserve">, </t>
    </r>
    <r>
      <rPr>
        <color rgb="FF1155CC"/>
        <sz val="10.0"/>
        <u/>
      </rPr>
      <t>Julia Aliessa</t>
    </r>
    <r>
      <rPr>
        <sz val="10.0"/>
      </rPr>
      <t xml:space="preserve">, </t>
    </r>
    <r>
      <rPr>
        <color rgb="FF1155CC"/>
        <sz val="10.0"/>
        <u/>
      </rPr>
      <t>Melany Lopez</t>
    </r>
    <r>
      <rPr>
        <sz val="10.0"/>
      </rPr>
      <t xml:space="preserve"> and </t>
    </r>
    <r>
      <rPr>
        <color rgb="FF1155CC"/>
        <sz val="10.0"/>
        <u/>
      </rPr>
      <t>Bintou Diop</t>
    </r>
  </si>
  <si>
    <t>Pritika</t>
  </si>
  <si>
    <t>Kumar</t>
  </si>
  <si>
    <t>pritikac@gmail.com</t>
  </si>
  <si>
    <t>3/29/23 confirmed IR3 group with SB, said, &amp;#34;I will be out of town May 17 and May 24&amp;#34; 3/27/23 SB texted Pritika to see if she had a chance to look over about Interns email 3/24/23 SB sent text to confirm email addresses -   pkumar@rstreet.org  no longer a good address - SB asked for updated job info - &amp;#34;I am taking a break so no job updates :)&amp;#34; 3/23/23 SB sent text for IR3 availability - responded &amp;#34;Hi Sophia. I would be available but I am out of town from  April 5-16 with no access ti phone or tech.&amp;#34; SB followed up 1/4/23 CT sent text  12/27/22 CT sent follow up on references Not available for IR1 but reach out for IR2. CT 8/9/22 Add in  pkumar@rstreet.org  to Match Announcements (1/19/22 HJ) Hetal spoke with Pritika - she would love to match with bangla/bengali speakers (cultural match) along with career -- she can do AY21-22 IR2 and wants to join the board 1/7/22  Completed onboarding and orientation webinar on 11/5/21 SB Rescheduled for the same day and completed screening call on 9/29/21 SB Scheduled screening for 9/29/21, did not show up or respond to contact. Emailed to reschedule SB sent screening email on 9/28/21 SB</t>
  </si>
  <si>
    <t>7737 Tanglewood Ct, Minneapolis MN 55439</t>
  </si>
  <si>
    <t xml:space="preserve">Minneapolis </t>
  </si>
  <si>
    <t>MN</t>
  </si>
  <si>
    <t>R STREET INSTITUTE</t>
  </si>
  <si>
    <t>Seminars 22, FY 22 - 23, FY 21 - 22</t>
  </si>
  <si>
    <r>
      <rPr>
        <color rgb="FF1155CC"/>
        <sz val="10.0"/>
        <u/>
      </rPr>
      <t>Kerly Rodriguez</t>
    </r>
    <r>
      <rPr>
        <sz val="10.0"/>
      </rPr>
      <t xml:space="preserve">, </t>
    </r>
    <r>
      <rPr>
        <color rgb="FF1155CC"/>
        <sz val="10.0"/>
        <u/>
      </rPr>
      <t>Jorge Lopez</t>
    </r>
    <r>
      <rPr>
        <sz val="10.0"/>
      </rPr>
      <t xml:space="preserve">, </t>
    </r>
    <r>
      <rPr>
        <color rgb="FF1155CC"/>
        <sz val="10.0"/>
        <u/>
      </rPr>
      <t>Ashwini Borela</t>
    </r>
    <r>
      <rPr>
        <sz val="10.0"/>
      </rPr>
      <t xml:space="preserve">, </t>
    </r>
    <r>
      <rPr>
        <color rgb="FF1155CC"/>
        <sz val="10.0"/>
        <u/>
      </rPr>
      <t>Stephanie Sosa</t>
    </r>
    <r>
      <rPr>
        <sz val="10.0"/>
      </rPr>
      <t xml:space="preserve">, </t>
    </r>
    <r>
      <rPr>
        <color rgb="FF1155CC"/>
        <sz val="10.0"/>
        <u/>
      </rPr>
      <t>Myrny St Vil</t>
    </r>
    <r>
      <rPr>
        <sz val="10.0"/>
      </rPr>
      <t xml:space="preserve">, </t>
    </r>
    <r>
      <rPr>
        <color rgb="FF1155CC"/>
        <sz val="10.0"/>
        <u/>
      </rPr>
      <t>Genesis Araujo</t>
    </r>
    <r>
      <rPr>
        <sz val="10.0"/>
      </rPr>
      <t xml:space="preserve">, </t>
    </r>
    <r>
      <rPr>
        <color rgb="FF1155CC"/>
        <sz val="10.0"/>
        <u/>
      </rPr>
      <t>Evelyn Guaman</t>
    </r>
    <r>
      <rPr>
        <sz val="10.0"/>
      </rPr>
      <t xml:space="preserve"> and </t>
    </r>
    <r>
      <rPr>
        <color rgb="FF1155CC"/>
        <sz val="10.0"/>
        <u/>
      </rPr>
      <t>Zeyad Marzouk</t>
    </r>
  </si>
  <si>
    <t>P2GBronx, IHSUnionSquare, IHS Health, FlushingIHS</t>
  </si>
  <si>
    <t>Priyanka</t>
  </si>
  <si>
    <t>Mara</t>
  </si>
  <si>
    <t>priyanka.mara@gmail.com</t>
  </si>
  <si>
    <t>3/14/23 SB sent follow up email about IR3 3/9/23 SB sent email about IR3 Union Square availability 1/10/22 SB sent follow up email Priyanka can do IR1 21-22 but is also pregnant and due end of January -- will be out for a bit after that (HJ, 10/12/21) Priyanka attended a training with JPS on 5/8/21 Priyanka had a Screening Call with SU on 3/31/21</t>
  </si>
  <si>
    <t>649 27th Avenue, San Francisco, CA 94121</t>
  </si>
  <si>
    <t>Bohlin Cywinski Jackson</t>
  </si>
  <si>
    <r>
      <rPr>
        <color rgb="FF1155CC"/>
        <sz val="10.0"/>
        <u/>
      </rPr>
      <t>Zhihui Guo</t>
    </r>
    <r>
      <rPr>
        <sz val="10.0"/>
      </rPr>
      <t xml:space="preserve">, </t>
    </r>
    <r>
      <rPr>
        <color rgb="FF1155CC"/>
        <sz val="10.0"/>
        <u/>
      </rPr>
      <t>Qingyang Lin</t>
    </r>
    <r>
      <rPr>
        <sz val="10.0"/>
      </rPr>
      <t xml:space="preserve"> and </t>
    </r>
    <r>
      <rPr>
        <color rgb="FF1155CC"/>
        <sz val="10.0"/>
        <u/>
      </rPr>
      <t>Maria De La Cruz</t>
    </r>
  </si>
  <si>
    <t>FlushingIHS, ClaremontIHS</t>
  </si>
  <si>
    <t>Dixit</t>
  </si>
  <si>
    <t>732 737 4054</t>
  </si>
  <si>
    <t>priyankadixit04@gmail.com</t>
  </si>
  <si>
    <t>7/11/23 SB called -not available for IRS, should be available after September for IR1 7/10/23 SB sent text for IRS 7/7/23 SB emailed for IRS 10/11/22 Not available for IR1. Will be away and reconnect in 2023. CT HJ updated the company from iCIMS to what it is now  1/5/22 SB sent IR2 FY21-22 schedule list for matching</t>
  </si>
  <si>
    <t>12, Stagecoach Drive, Holmdel</t>
  </si>
  <si>
    <t>Holmdel, NJ</t>
  </si>
  <si>
    <t>Holmdel</t>
  </si>
  <si>
    <r>
      <rPr>
        <color rgb="FF1155CC"/>
        <sz val="10.0"/>
        <u/>
      </rPr>
      <t>Yomar Matias</t>
    </r>
    <r>
      <rPr>
        <sz val="10.0"/>
      </rPr>
      <t xml:space="preserve">, </t>
    </r>
    <r>
      <rPr>
        <color rgb="FF1155CC"/>
        <sz val="10.0"/>
        <u/>
      </rPr>
      <t>Angelica Reynoso</t>
    </r>
    <r>
      <rPr>
        <sz val="10.0"/>
      </rPr>
      <t xml:space="preserve">, </t>
    </r>
    <r>
      <rPr>
        <color rgb="FF1155CC"/>
        <sz val="10.0"/>
        <u/>
      </rPr>
      <t>Sergio Avila</t>
    </r>
    <r>
      <rPr>
        <sz val="10.0"/>
      </rPr>
      <t xml:space="preserve">, </t>
    </r>
    <r>
      <rPr>
        <color rgb="FF1155CC"/>
        <sz val="10.0"/>
        <u/>
      </rPr>
      <t>Jalen Lynn</t>
    </r>
    <r>
      <rPr>
        <sz val="10.0"/>
      </rPr>
      <t xml:space="preserve"> and </t>
    </r>
    <r>
      <rPr>
        <color rgb="FF1155CC"/>
        <sz val="10.0"/>
        <u/>
      </rPr>
      <t>Chitra Srikishun</t>
    </r>
  </si>
  <si>
    <t>CrotonaIHS, Academy of Medical Technology</t>
  </si>
  <si>
    <t>Ping</t>
  </si>
  <si>
    <t>Wang</t>
  </si>
  <si>
    <t>pwang95@gmail.com</t>
  </si>
  <si>
    <t>4/18/23 SB emailed for IR3 3/27/23 SB sent text for IR3 2/6/23 CT not available for IR2, very busy 2/6/23 CT left voicemail &amp;amp; sent text for IR2 2/2/23 CT left voicemail &amp;amp; sent text asking for IR2 with Wheels schedule 1/13/23 SB sent follow up email for IR2 1/10/23 SB emailed Ping for IR2 3/21/22 CT not available for IR3 12/28/21 SB sent IR2 FY21-22 schedule list for matching 12/20/21 completed onboarding training with SB and CT Hetal conducted her screening call after Ping replied saying she's available tomorrow 11/19/21 11/18/21 SB left Ping a voicemail and sent email Ping got in contact and was having a family health problem. Said she would schedule a screening and confirm match asap. 11/16/21 SB</t>
  </si>
  <si>
    <t>PO Box 9192</t>
  </si>
  <si>
    <t>SF Bay Area (South Bay)</t>
  </si>
  <si>
    <t>Self-employed</t>
  </si>
  <si>
    <r>
      <rPr>
        <color rgb="FF1155CC"/>
        <sz val="10.0"/>
        <u/>
      </rPr>
      <t>Yongjian Dai</t>
    </r>
    <r>
      <rPr>
        <sz val="10.0"/>
      </rPr>
      <t xml:space="preserve">, </t>
    </r>
    <r>
      <rPr>
        <color rgb="FF1155CC"/>
        <sz val="10.0"/>
        <u/>
      </rPr>
      <t>Chenghao Yang</t>
    </r>
    <r>
      <rPr>
        <sz val="10.0"/>
      </rPr>
      <t xml:space="preserve"> and </t>
    </r>
    <r>
      <rPr>
        <color rgb="FF1155CC"/>
        <sz val="10.0"/>
        <u/>
      </rPr>
      <t>Jingru Feng</t>
    </r>
  </si>
  <si>
    <t>Princess</t>
  </si>
  <si>
    <t>Scott</t>
  </si>
  <si>
    <t>pyscott22@gmail.com</t>
  </si>
  <si>
    <t>3/29/23 SB texted for IR3 11/30/22 SB updated job from  RISE Innovation Associate at The Baker Institute to Civil Associate 1 at Michael Baker Int. 10/6/22 Princess let Sophia know that because of her Fellowship she cannot be a Champion at this time and to reach out around May 2023 to see if her schedule is more clear. Marking inactive for now. 10/5/22 SB followed up on match request 10/3/22 SB asked for Queens match 10/3/22 SB asked for Queens match PQT confirmed by text on 8/4 for IR1 She only did 1 round (Romina and Phue) 4/12/22 Not available for IR3 due to busy semester. CT Completed Onboarding and Orientation Webinar 1/28/22 SB 01/20/22 CT Screening passed, sent out training calendar invite, handbook &amp;amp; instructional guide 01/05/22 CT sent screening invitation &amp;amp; training schedule</t>
  </si>
  <si>
    <t>107 Norman Drive, Pittsburgh, PA 15236</t>
  </si>
  <si>
    <t>Bethlehem, PA</t>
  </si>
  <si>
    <t>Bethlehem</t>
  </si>
  <si>
    <t>Michael Baker Int.</t>
  </si>
  <si>
    <r>
      <rPr>
        <color rgb="FF1155CC"/>
        <sz val="10.0"/>
        <u/>
      </rPr>
      <t>Phue Naing</t>
    </r>
    <r>
      <rPr>
        <sz val="10.0"/>
      </rPr>
      <t xml:space="preserve"> and </t>
    </r>
    <r>
      <rPr>
        <color rgb="FF1155CC"/>
        <sz val="10.0"/>
        <u/>
      </rPr>
      <t>Romina Sulaimonova</t>
    </r>
  </si>
  <si>
    <t>Quynh</t>
  </si>
  <si>
    <t>Giao Thi Tran</t>
  </si>
  <si>
    <t>Quynh.tran.onel@gmail.com</t>
  </si>
  <si>
    <t>10/5/22 Sb called and left VM about IR1 availability 12/30/21 SB sent IR2 FY21-22 schedule list for matching Reached out to Quynh several times to match her for the R2 2020-2021 internship session. She replied saying her company was making a pivot and, along with many personal life changes, she is unable to commit for 3-6 months fully to the program, but would still be open to discussing a possible R3 match when the time comes. </t>
  </si>
  <si>
    <t>257 S Spring St #3G, Los Angeles, CA 90012</t>
  </si>
  <si>
    <t>WKDY (startup)</t>
  </si>
  <si>
    <r>
      <rPr>
        <color rgb="FF1155CC"/>
        <sz val="10.0"/>
        <u/>
      </rPr>
      <t>Lenee Goggins</t>
    </r>
    <r>
      <rPr>
        <sz val="10.0"/>
      </rPr>
      <t xml:space="preserve"> and </t>
    </r>
    <r>
      <rPr>
        <color rgb="FF1155CC"/>
        <sz val="10.0"/>
        <u/>
      </rPr>
      <t>Arianna Francisco</t>
    </r>
  </si>
  <si>
    <t>Rachel</t>
  </si>
  <si>
    <t>Dao</t>
  </si>
  <si>
    <t>rachel.d317@gmail.com</t>
  </si>
  <si>
    <t>3/4/24 WW emailed for IR3 12/13/22 Rachel provided Daniel Lee with references and said she would be available for Seminars. CT Rachel is a PA so her schedule changes (may only know 3 weeks in advance) - not available for FY. Maybe Seminars will work. She also said she would send over the professional reference info. 10/4/22 SB 7/5/22 Rachel emailed to let us know she got a new position at work. SB responded asking for updated resume and for IR1 availability 2/11/22 Completed Orientation and Onboarding Training SB 1/18/22 Rachel added to 1/28 training, asked to start Championing in the fall due to starting a new job. SB responded asking for new job info and about starting for IR3 or IRS 01/13/22 Passed Screening, sent training &amp;amp; IR2 schedule email CT 1/10/22 SB sent screening scheduling email</t>
  </si>
  <si>
    <t>4920 Springfield Blvd.</t>
  </si>
  <si>
    <t>Rajnarind</t>
  </si>
  <si>
    <t>Kaur</t>
  </si>
  <si>
    <t>917 680 9209</t>
  </si>
  <si>
    <t>rajnarind@gmail.com</t>
  </si>
  <si>
    <t>She's had an issue with pretty much every group she's had with a ton of assumptions about their motivation.  We need to teach her to be patient and flexible. For this reason she is one star. Hetal Jani reached out by phone on November 18th to step in quickly for Said and Abdalmanaim of Frankford and she agreed immediately! Completed training with Kiesha, Jennifer and Hetal September 8th 2020 Scheduled training call with Kiesha, Jennifer Peterson and Hetal on September 8th at 12-2pm Emailed her onboarding materials on August 28th 2020</t>
  </si>
  <si>
    <t>5 Brentwood Place</t>
  </si>
  <si>
    <t>Monroe Township</t>
  </si>
  <si>
    <r>
      <rPr>
        <color rgb="FF1155CC"/>
        <sz val="10.0"/>
        <u/>
      </rPr>
      <t>Mama Kouyate</t>
    </r>
    <r>
      <rPr>
        <sz val="10.0"/>
      </rPr>
      <t xml:space="preserve">, </t>
    </r>
    <r>
      <rPr>
        <color rgb="FF1155CC"/>
        <sz val="10.0"/>
        <u/>
      </rPr>
      <t>Noashin Sarker</t>
    </r>
    <r>
      <rPr>
        <sz val="10.0"/>
      </rPr>
      <t xml:space="preserve">, </t>
    </r>
    <r>
      <rPr>
        <color rgb="FF1155CC"/>
        <sz val="10.0"/>
        <u/>
      </rPr>
      <t>Aicha Doukoure</t>
    </r>
    <r>
      <rPr>
        <sz val="10.0"/>
      </rPr>
      <t xml:space="preserve">, </t>
    </r>
    <r>
      <rPr>
        <color rgb="FF1155CC"/>
        <sz val="10.0"/>
        <u/>
      </rPr>
      <t>Afrida Ahmed</t>
    </r>
    <r>
      <rPr>
        <sz val="10.0"/>
      </rPr>
      <t xml:space="preserve">, </t>
    </r>
    <r>
      <rPr>
        <color rgb="FF1155CC"/>
        <sz val="10.0"/>
        <u/>
      </rPr>
      <t>Abdalmanaim Salah</t>
    </r>
    <r>
      <rPr>
        <sz val="10.0"/>
      </rPr>
      <t xml:space="preserve"> and </t>
    </r>
    <r>
      <rPr>
        <color rgb="FF1155CC"/>
        <sz val="10.0"/>
        <u/>
      </rPr>
      <t>Said Rustamov</t>
    </r>
  </si>
  <si>
    <t>ELLIS, Frankford</t>
  </si>
  <si>
    <t>Rashad</t>
  </si>
  <si>
    <t>Arps</t>
  </si>
  <si>
    <t>rarps@yahoo.com</t>
  </si>
  <si>
    <t>alternative email: rarps@leomail.tamuc.edu 2/24/23 - looks like they do not have required experience, SB sent email inviting him to reapply when they do</t>
  </si>
  <si>
    <t>4690 Eldorado Pkwy #513</t>
  </si>
  <si>
    <t>Commerce, TX</t>
  </si>
  <si>
    <t>Commerce</t>
  </si>
  <si>
    <t>Renata</t>
  </si>
  <si>
    <t>Lozano Giral</t>
  </si>
  <si>
    <t>renata.giral@gmail.com</t>
  </si>
  <si>
    <t>3/1/24 WW emailed for IR3 1/16/24 SB sent text 1/10/24 SB emailed for IR2 Crotona 3/3/23 texted SB, &amp;#34;taking a sabbatical this year and traveling around so my time zone and schedule are very uncertain for the time being&amp;#34; 12/22/21 SB sent IR2 FY21-22 schedule list for matching Completed training 11/12/21 SB Training scheduled for 11/12/21 SB Screening passed 11/8/21 SB.</t>
  </si>
  <si>
    <t>318 U St NW Unit B Washington DC 20001</t>
  </si>
  <si>
    <t>Verra</t>
  </si>
  <si>
    <r>
      <rPr>
        <color rgb="FF1155CC"/>
        <sz val="10.0"/>
        <u/>
      </rPr>
      <t>Luis Chicas</t>
    </r>
    <r>
      <rPr>
        <sz val="10.0"/>
      </rPr>
      <t xml:space="preserve">, </t>
    </r>
    <r>
      <rPr>
        <color rgb="FF1155CC"/>
        <sz val="10.0"/>
        <u/>
      </rPr>
      <t>Emelin Arzu</t>
    </r>
    <r>
      <rPr>
        <sz val="10.0"/>
      </rPr>
      <t xml:space="preserve">, </t>
    </r>
    <r>
      <rPr>
        <color rgb="FF1155CC"/>
        <sz val="10.0"/>
        <u/>
      </rPr>
      <t>Adriel Tavarez Tavarez</t>
    </r>
    <r>
      <rPr>
        <sz val="10.0"/>
      </rPr>
      <t xml:space="preserve">, </t>
    </r>
    <r>
      <rPr>
        <color rgb="FF1155CC"/>
        <sz val="10.0"/>
        <u/>
      </rPr>
      <t>Sebastian Francisco</t>
    </r>
    <r>
      <rPr>
        <sz val="10.0"/>
      </rPr>
      <t xml:space="preserve">, </t>
    </r>
    <r>
      <rPr>
        <color rgb="FF1155CC"/>
        <sz val="10.0"/>
        <u/>
      </rPr>
      <t>Kimberlin Ruiz</t>
    </r>
    <r>
      <rPr>
        <sz val="10.0"/>
      </rPr>
      <t xml:space="preserve">, </t>
    </r>
    <r>
      <rPr>
        <color rgb="FF1155CC"/>
        <sz val="10.0"/>
        <u/>
      </rPr>
      <t>Christian Guzman Jerez</t>
    </r>
    <r>
      <rPr>
        <sz val="10.0"/>
      </rPr>
      <t xml:space="preserve">, </t>
    </r>
    <r>
      <rPr>
        <color rgb="FF1155CC"/>
        <sz val="10.0"/>
        <u/>
      </rPr>
      <t>Genesis Martinez</t>
    </r>
    <r>
      <rPr>
        <sz val="10.0"/>
      </rPr>
      <t xml:space="preserve"> and </t>
    </r>
    <r>
      <rPr>
        <color rgb="FF1155CC"/>
        <sz val="10.0"/>
        <u/>
      </rPr>
      <t>Meybelin Nicole Marquez</t>
    </r>
  </si>
  <si>
    <t>Vanessa</t>
  </si>
  <si>
    <t>rg.vanessa@gmail.com</t>
  </si>
  <si>
    <t>3/1/24 WW emailed for IR3 1/11/23 SB sent email about IR2 Crotona 3/28/22 not available for IR3 CT 12/28/21 delivering baby in mid Jan, cannot participate in IR2 SB 12/22/21 SB sent IR2 FY21-22 schedule list for matching 11/9/21 Completed onboarding and orientation webinar SB Passed screening on 10/6/21 screening scheduled for 10/6/21 SB sent screening scheduling email on 10/5/21 SB</t>
  </si>
  <si>
    <t>705 Crandon Boulevard, Unit 406 Key Biscayne, FL 33149</t>
  </si>
  <si>
    <t>Miami</t>
  </si>
  <si>
    <t>Miama</t>
  </si>
  <si>
    <t>i'MAGiNT LiFE</t>
  </si>
  <si>
    <r>
      <rPr>
        <color rgb="FF1155CC"/>
        <sz val="10.0"/>
        <u/>
      </rPr>
      <t>Bairon Villanueva</t>
    </r>
    <r>
      <rPr>
        <sz val="10.0"/>
      </rPr>
      <t xml:space="preserve"> and </t>
    </r>
    <r>
      <rPr>
        <color rgb="FF1155CC"/>
        <sz val="10.0"/>
        <u/>
      </rPr>
      <t>Abner Abreu</t>
    </r>
  </si>
  <si>
    <t>Rita</t>
  </si>
  <si>
    <t>Deo Barber</t>
  </si>
  <si>
    <t>831.295.3111</t>
  </si>
  <si>
    <t>ritabarber@gmail.com</t>
  </si>
  <si>
    <t>10/03/22 Never trained, had issues with basic onboarding processes like references and cooperating on Seminars approach,  messaged Hetal 10/03/22 that she found another org to volunteer with. If she would like to come back, she would have to reach out to us and be willing to go through Champion training immediately and comply with reference checks. CT 5/18/22 SB sent re-engagement email JPS reached out to Rita 5/19/21 and 5/25/21 for summer round JPS sent congratulations email on 2/23/21 &amp;#43; to schedule a training Hetal Jani screened Rita on 2/22/21 -- passed Double checked 1/26 (KW)</t>
  </si>
  <si>
    <t>1216 Rockhaven Drive, San Jose</t>
  </si>
  <si>
    <t>Ritika</t>
  </si>
  <si>
    <t>Naik</t>
  </si>
  <si>
    <t>732-322-6179</t>
  </si>
  <si>
    <t>ritikanaik@gmail.com</t>
  </si>
  <si>
    <t>11/15/23 Ritika donated $1000 possibly because of Philanthropy Day posts or because Star Training showed her how serious we are about doing right by those we serve or both 9/27/23 Ritika sent #ChampionItForward video 7/17/23 SB send email for IRS 1/20/23 SB emailed for Union Square schedule for IR2 - agreed to match 10/17/22 Unavailable for Wheels - &amp;#34; two weekly standing meetings between 10 and 11&amp;#34; SB 10/13/22 SB emailed for wheels match She's had an issue with pretty much every group she's had with a ton of assumptions about their motivation.  We need to teach her to be patient and flexible. For this reason she is one star. Ritika donated $250 on Giving Tuesday 2020 Ritika matched at last minute request for MR1 20-21 Ritika indicated available for mentoring 2020-2021 Mentoring session on 3/25; Ritika felt Mahfuja and Afrida weren't sharing when she asked them to share things in advance; she said she was busy at this time because of COVID-19 unlike others -- feels like the girls are making the sessions ineffective by not following through; Probably needs sensitivity training Donated through website on 12/23/19</t>
  </si>
  <si>
    <t>192 Nebula Road, Piscataway, NJ 08854</t>
  </si>
  <si>
    <t>Otsuka America Pharmaceutical</t>
  </si>
  <si>
    <t>FY 20 - 21, FY 21 - 22, FY 22 - 23</t>
  </si>
  <si>
    <r>
      <rPr>
        <color rgb="FF1155CC"/>
        <sz val="10.0"/>
        <u/>
      </rPr>
      <t>Ana Almeida</t>
    </r>
    <r>
      <rPr>
        <sz val="10.0"/>
      </rPr>
      <t xml:space="preserve">, </t>
    </r>
    <r>
      <rPr>
        <color rgb="FF1155CC"/>
        <sz val="10.0"/>
        <u/>
      </rPr>
      <t>Rinchen Wangmo</t>
    </r>
    <r>
      <rPr>
        <sz val="10.0"/>
      </rPr>
      <t xml:space="preserve">, </t>
    </r>
    <r>
      <rPr>
        <color rgb="FF1155CC"/>
        <sz val="10.0"/>
        <u/>
      </rPr>
      <t>Alexander Torres</t>
    </r>
    <r>
      <rPr>
        <sz val="10.0"/>
      </rPr>
      <t xml:space="preserve">, </t>
    </r>
    <r>
      <rPr>
        <color rgb="FF1155CC"/>
        <sz val="10.0"/>
        <u/>
      </rPr>
      <t>Lisvany Guzman</t>
    </r>
    <r>
      <rPr>
        <sz val="10.0"/>
      </rPr>
      <t xml:space="preserve">, </t>
    </r>
    <r>
      <rPr>
        <color rgb="FF1155CC"/>
        <sz val="10.0"/>
        <u/>
      </rPr>
      <t>Noelia Pimentel</t>
    </r>
    <r>
      <rPr>
        <sz val="10.0"/>
      </rPr>
      <t xml:space="preserve">, </t>
    </r>
    <r>
      <rPr>
        <color rgb="FF1155CC"/>
        <sz val="10.0"/>
        <u/>
      </rPr>
      <t>Wildainy Martinez</t>
    </r>
    <r>
      <rPr>
        <sz val="10.0"/>
      </rPr>
      <t xml:space="preserve">, </t>
    </r>
    <r>
      <rPr>
        <color rgb="FF1155CC"/>
        <sz val="10.0"/>
        <u/>
      </rPr>
      <t>Wasin Shihab</t>
    </r>
    <r>
      <rPr>
        <sz val="10.0"/>
      </rPr>
      <t xml:space="preserve">, </t>
    </r>
    <r>
      <rPr>
        <color rgb="FF1155CC"/>
        <sz val="10.0"/>
        <u/>
      </rPr>
      <t>Aminata Kebe</t>
    </r>
    <r>
      <rPr>
        <sz val="10.0"/>
      </rPr>
      <t xml:space="preserve">, </t>
    </r>
    <r>
      <rPr>
        <color rgb="FF1155CC"/>
        <sz val="10.0"/>
        <u/>
      </rPr>
      <t>Keren Mejia Calderon</t>
    </r>
    <r>
      <rPr>
        <sz val="10.0"/>
      </rPr>
      <t xml:space="preserve">, </t>
    </r>
    <r>
      <rPr>
        <color rgb="FF1155CC"/>
        <sz val="10.0"/>
        <u/>
      </rPr>
      <t>Kaddijatou Sey</t>
    </r>
    <r>
      <rPr>
        <sz val="10.0"/>
      </rPr>
      <t xml:space="preserve">, </t>
    </r>
    <r>
      <rPr>
        <color rgb="FF1155CC"/>
        <sz val="10.0"/>
        <u/>
      </rPr>
      <t>Hatouma Doucoure</t>
    </r>
    <r>
      <rPr>
        <sz val="10.0"/>
      </rPr>
      <t xml:space="preserve">, </t>
    </r>
    <r>
      <rPr>
        <color rgb="FF1155CC"/>
        <sz val="10.0"/>
        <u/>
      </rPr>
      <t>Zakaria Billa</t>
    </r>
    <r>
      <rPr>
        <sz val="10.0"/>
      </rPr>
      <t xml:space="preserve">, </t>
    </r>
    <r>
      <rPr>
        <color rgb="FF1155CC"/>
        <sz val="10.0"/>
        <u/>
      </rPr>
      <t>Wendy Ouedraogo</t>
    </r>
    <r>
      <rPr>
        <sz val="10.0"/>
      </rPr>
      <t xml:space="preserve">, </t>
    </r>
    <r>
      <rPr>
        <color rgb="FF1155CC"/>
        <sz val="10.0"/>
        <u/>
      </rPr>
      <t>Albert D Leon Johnson</t>
    </r>
    <r>
      <rPr>
        <sz val="10.0"/>
      </rPr>
      <t xml:space="preserve">, </t>
    </r>
    <r>
      <rPr>
        <color rgb="FF1155CC"/>
        <sz val="10.0"/>
        <u/>
      </rPr>
      <t>Bibi Borber</t>
    </r>
    <r>
      <rPr>
        <sz val="10.0"/>
      </rPr>
      <t xml:space="preserve"> and </t>
    </r>
    <r>
      <rPr>
        <color rgb="FF1155CC"/>
        <sz val="10.0"/>
        <u/>
      </rPr>
      <t>Saidatou Diallo</t>
    </r>
  </si>
  <si>
    <t>IHSUnionSquare, ClaremontIHS, ICHSBronx, CrotonaIHS, Frankford</t>
  </si>
  <si>
    <t>Issue 6,7 - 12/14/20
Issue 10,11 - 2/8/22</t>
  </si>
  <si>
    <t>Issue 6,7 - 300
Issue 10,11 - 100</t>
  </si>
  <si>
    <t>Kemi</t>
  </si>
  <si>
    <t>Shoyinka</t>
  </si>
  <si>
    <t>Rockpointeservices@gmail.com</t>
  </si>
  <si>
    <t>Not available for Seminars at the moment. Working full-time now. CT 9/19/22 Not available for IR1. 8/9/22 CT Follow up with her about doing IR1, 8/3/22 CT asked in reference call email Needs a strong group 6/28/22 and 6/29 LG contacted for IRS availability; Kemi is unavailable for IRS 3/21/22 Not available for IR3 CT 02/03/22 Completed CPC Orientation &amp;amp; Onboarding Training CT 1/28/22 Unable to attend training, SB sent text about rescheduling 01/04/22 Sent follow up email CT Sent Instructional Guide &amp;amp; Handbook 12/21/2021 CT Screening call passed on 12/21/2021 by CT Screening scheduling email sent 12/21/21 SB</t>
  </si>
  <si>
    <t>7 Millwright dr. Glen mills PA 19342</t>
  </si>
  <si>
    <t>Glen Mills</t>
  </si>
  <si>
    <t>Pelham Pharmacy</t>
  </si>
  <si>
    <r>
      <rPr>
        <color rgb="FF1155CC"/>
        <sz val="10.0"/>
        <u/>
      </rPr>
      <t>Ashley Rodriguez</t>
    </r>
    <r>
      <rPr>
        <sz val="10.0"/>
      </rPr>
      <t xml:space="preserve">, </t>
    </r>
    <r>
      <rPr>
        <color rgb="FF1155CC"/>
        <sz val="10.0"/>
        <u/>
      </rPr>
      <t>Genesis Araujo</t>
    </r>
    <r>
      <rPr>
        <sz val="10.0"/>
      </rPr>
      <t xml:space="preserve">, </t>
    </r>
    <r>
      <rPr>
        <color rgb="FF1155CC"/>
        <sz val="10.0"/>
        <u/>
      </rPr>
      <t>Victor Rivas</t>
    </r>
    <r>
      <rPr>
        <sz val="10.0"/>
      </rPr>
      <t xml:space="preserve"> and </t>
    </r>
    <r>
      <rPr>
        <color rgb="FF1155CC"/>
        <sz val="10.0"/>
        <u/>
      </rPr>
      <t>Dayanara Angulo Riascos</t>
    </r>
  </si>
  <si>
    <t>Romina</t>
  </si>
  <si>
    <t>Tome</t>
  </si>
  <si>
    <t>rominatome@gmail.com</t>
  </si>
  <si>
    <t>3/15/24 WW texted for IR3, she's not available - &amp;#34; Let me reach out to you when I'm ready. &amp;#34; 9/22/23 Romina emailed &amp;#34; I'm pregnant and expecting a baby for December &amp;#34; 9/21/23 WW emailed for IR1 7/18/23 WW emailed for IRS, FG texted, unavailable for IRS but interested in IR1 1/27/23 SB updated bio, job info,  job duties 1/9/23 agreed to IR2 Monday schedule - SB emailed for updated resume 1/6/23 emailed for IR2 Crotona match 10/5/22 SB followed up requesting updated information 9/29/22 Romina let SB know she cannot due IR1 because she is starting a new job in Nov, but is interested in IR2. SB responded asking for new job info 9/28/22 SB emailed for ellis match Interested in IR1 SB 7/19/22 12/21/21 SB sent IR2 FY21-22 schedule list for matching Romina attended a training on 6/27/21 JPS screened on 6/15/21 at 1 pm est JPS sent a screening call email on 6/9/21</t>
  </si>
  <si>
    <t>412 N Alfred Street, Apartment 4, Alexandria VA 22314</t>
  </si>
  <si>
    <t>Inter-American Development Bank</t>
  </si>
  <si>
    <r>
      <rPr>
        <color rgb="FF1155CC"/>
        <sz val="10.0"/>
        <u/>
      </rPr>
      <t>Daniela Ysamar Nunez Sanches</t>
    </r>
    <r>
      <rPr>
        <sz val="10.0"/>
      </rPr>
      <t xml:space="preserve">, </t>
    </r>
    <r>
      <rPr>
        <color rgb="FF1155CC"/>
        <sz val="10.0"/>
        <u/>
      </rPr>
      <t>Marina Diaz</t>
    </r>
    <r>
      <rPr>
        <sz val="10.0"/>
      </rPr>
      <t xml:space="preserve">, </t>
    </r>
    <r>
      <rPr>
        <color rgb="FF1155CC"/>
        <sz val="10.0"/>
        <u/>
      </rPr>
      <t>Lesly Chucino</t>
    </r>
    <r>
      <rPr>
        <sz val="10.0"/>
      </rPr>
      <t xml:space="preserve">, </t>
    </r>
    <r>
      <rPr>
        <color rgb="FF1155CC"/>
        <sz val="10.0"/>
        <u/>
      </rPr>
      <t>Nixon Vergara</t>
    </r>
    <r>
      <rPr>
        <sz val="10.0"/>
      </rPr>
      <t xml:space="preserve">, </t>
    </r>
    <r>
      <rPr>
        <color rgb="FF1155CC"/>
        <sz val="10.0"/>
        <u/>
      </rPr>
      <t>Stephanie Sosa</t>
    </r>
    <r>
      <rPr>
        <sz val="10.0"/>
      </rPr>
      <t xml:space="preserve">, </t>
    </r>
    <r>
      <rPr>
        <color rgb="FF1155CC"/>
        <sz val="10.0"/>
        <u/>
      </rPr>
      <t>Yamile Bastidas</t>
    </r>
    <r>
      <rPr>
        <sz val="10.0"/>
      </rPr>
      <t xml:space="preserve">, </t>
    </r>
    <r>
      <rPr>
        <color rgb="FF1155CC"/>
        <sz val="10.0"/>
        <u/>
      </rPr>
      <t>Shirley Cullqui</t>
    </r>
    <r>
      <rPr>
        <sz val="10.0"/>
      </rPr>
      <t xml:space="preserve">, </t>
    </r>
    <r>
      <rPr>
        <color rgb="FF1155CC"/>
        <sz val="10.0"/>
        <u/>
      </rPr>
      <t>Jeymi Rodiguez</t>
    </r>
    <r>
      <rPr>
        <sz val="10.0"/>
      </rPr>
      <t xml:space="preserve">, </t>
    </r>
    <r>
      <rPr>
        <color rgb="FF1155CC"/>
        <sz val="10.0"/>
        <u/>
      </rPr>
      <t>Fredis Chavez Portillo</t>
    </r>
    <r>
      <rPr>
        <sz val="10.0"/>
      </rPr>
      <t xml:space="preserve">, </t>
    </r>
    <r>
      <rPr>
        <color rgb="FF1155CC"/>
        <sz val="10.0"/>
        <u/>
      </rPr>
      <t>Erick Buitrago</t>
    </r>
    <r>
      <rPr>
        <sz val="10.0"/>
      </rPr>
      <t xml:space="preserve">, </t>
    </r>
    <r>
      <rPr>
        <color rgb="FF1155CC"/>
        <sz val="10.0"/>
        <u/>
      </rPr>
      <t>Nancy Giron</t>
    </r>
    <r>
      <rPr>
        <sz val="10.0"/>
      </rPr>
      <t xml:space="preserve">, </t>
    </r>
    <r>
      <rPr>
        <color rgb="FF1155CC"/>
        <sz val="10.0"/>
        <u/>
      </rPr>
      <t>Douglas Carrasco Carcamo</t>
    </r>
    <r>
      <rPr>
        <sz val="10.0"/>
      </rPr>
      <t xml:space="preserve">, </t>
    </r>
    <r>
      <rPr>
        <color rgb="FF1155CC"/>
        <sz val="10.0"/>
        <u/>
      </rPr>
      <t>Nanci Garcia</t>
    </r>
    <r>
      <rPr>
        <sz val="10.0"/>
      </rPr>
      <t xml:space="preserve">, </t>
    </r>
    <r>
      <rPr>
        <color rgb="FF1155CC"/>
        <sz val="10.0"/>
        <u/>
      </rPr>
      <t>Douglas Carrasco Carcamo</t>
    </r>
    <r>
      <rPr>
        <sz val="10.0"/>
      </rPr>
      <t xml:space="preserve">, </t>
    </r>
    <r>
      <rPr>
        <color rgb="FF1155CC"/>
        <sz val="10.0"/>
        <u/>
      </rPr>
      <t>Micaias Infante</t>
    </r>
    <r>
      <rPr>
        <sz val="10.0"/>
      </rPr>
      <t xml:space="preserve">, </t>
    </r>
    <r>
      <rPr>
        <color rgb="FF1155CC"/>
        <sz val="10.0"/>
        <u/>
      </rPr>
      <t>Maria Mejia</t>
    </r>
    <r>
      <rPr>
        <sz val="10.0"/>
      </rPr>
      <t xml:space="preserve">, </t>
    </r>
    <r>
      <rPr>
        <color rgb="FF1155CC"/>
        <sz val="10.0"/>
        <u/>
      </rPr>
      <t>Denuar Batiz</t>
    </r>
    <r>
      <rPr>
        <sz val="10.0"/>
      </rPr>
      <t xml:space="preserve"> and </t>
    </r>
    <r>
      <rPr>
        <color rgb="FF1155CC"/>
        <sz val="10.0"/>
        <u/>
      </rPr>
      <t>Ousmane Nabe</t>
    </r>
  </si>
  <si>
    <t>CrotonaIHS, IHS Health, FlushingIHS, ELLIS</t>
  </si>
  <si>
    <t>Roopa</t>
  </si>
  <si>
    <t>Kohli</t>
  </si>
  <si>
    <t>213 519 8932</t>
  </si>
  <si>
    <t>roopakohli88@gmail.com</t>
  </si>
  <si>
    <t>10/30/23 WW left VM and text for IR1 10/25/23 SB sent email for IR1 7/17/23 - SB sent email for IRS, BC called &amp;amp; left VM,  SB sent follow up text 12/30/21 SB sent IR2 FY21-22 schedule list for matching Owns cosmetics development and distribution company</t>
  </si>
  <si>
    <t>7315 Residencia Newport Beach, CA 92660</t>
  </si>
  <si>
    <t>Eurolux Corporation</t>
  </si>
  <si>
    <r>
      <rPr>
        <color rgb="FF1155CC"/>
        <sz val="10.0"/>
        <u/>
      </rPr>
      <t>Anastasiia Smetaniuk</t>
    </r>
    <r>
      <rPr>
        <sz val="10.0"/>
      </rPr>
      <t xml:space="preserve"> and </t>
    </r>
    <r>
      <rPr>
        <color rgb="FF1155CC"/>
        <sz val="10.0"/>
        <u/>
      </rPr>
      <t>Lylia Belbegra</t>
    </r>
  </si>
  <si>
    <t>Rosie</t>
  </si>
  <si>
    <t>Chu</t>
  </si>
  <si>
    <t>rosie3chu@gmail.com</t>
  </si>
  <si>
    <t>5/10/2024 - AT emailed regarding social media content 4/28/23 passed training with SB 4/27/23 SB texted about training passed screening with SB 4/18/23 - sending congrats</t>
  </si>
  <si>
    <t>2001 Altura Dr Concord, CA 94519</t>
  </si>
  <si>
    <t>Concord</t>
  </si>
  <si>
    <t>Rosie Chu Designs</t>
  </si>
  <si>
    <r>
      <rPr>
        <color rgb="FF1155CC"/>
        <sz val="10.0"/>
        <u/>
      </rPr>
      <t>Rinchen Wangmo</t>
    </r>
    <r>
      <rPr>
        <sz val="10.0"/>
      </rPr>
      <t xml:space="preserve">, </t>
    </r>
    <r>
      <rPr>
        <color rgb="FF1155CC"/>
        <sz val="10.0"/>
        <u/>
      </rPr>
      <t>Jhan Motta</t>
    </r>
    <r>
      <rPr>
        <sz val="10.0"/>
      </rPr>
      <t xml:space="preserve"> and </t>
    </r>
    <r>
      <rPr>
        <color rgb="FF1155CC"/>
        <sz val="10.0"/>
        <u/>
      </rPr>
      <t>Jaime Lara</t>
    </r>
  </si>
  <si>
    <t>ROUSSOSS</t>
  </si>
  <si>
    <t>DEMISSE</t>
  </si>
  <si>
    <t>+254768494209</t>
  </si>
  <si>
    <t>rusosde@gmail.com</t>
  </si>
  <si>
    <t>May not have relevant US experience, possible for Seminar Speaker - SB 1/10/22 SB sent screening scheduling email</t>
  </si>
  <si>
    <t>P.O.BOX 18591-00500 NAIROBI</t>
  </si>
  <si>
    <t>NAIROBI, KENYA</t>
  </si>
  <si>
    <t>MUSHROOM KENYA</t>
  </si>
  <si>
    <t>Ryane</t>
  </si>
  <si>
    <t>Montanez</t>
  </si>
  <si>
    <t>ryane.montanez@gmail.com</t>
  </si>
  <si>
    <t>3/4/24 WW emailed for IR3 3/3/23 agreed to IR3 match SB 3/1/23 SB sent follow up email 2/24/23 SB emailed Ryane about IR3 Wheels availability and about Interns 11/1/22 SB emailed for Wheels match 7/14/22 SB contacted for IRS completed training with SB on 4/8/22 3/14/22 passed screening with SB, sending congrats/training email 3/7/22 Screening scheduling email sent SB</t>
  </si>
  <si>
    <t>93 Rapelye St apt 2D</t>
  </si>
  <si>
    <t>Skip Hop Inc</t>
  </si>
  <si>
    <r>
      <rPr>
        <color rgb="FF1155CC"/>
        <sz val="10.0"/>
        <u/>
      </rPr>
      <t>Dania Alshami</t>
    </r>
    <r>
      <rPr>
        <sz val="10.0"/>
      </rPr>
      <t xml:space="preserve">, </t>
    </r>
    <r>
      <rPr>
        <color rgb="FF1155CC"/>
        <sz val="10.0"/>
        <u/>
      </rPr>
      <t>Nadilka Hernandez</t>
    </r>
    <r>
      <rPr>
        <sz val="10.0"/>
      </rPr>
      <t xml:space="preserve">, </t>
    </r>
    <r>
      <rPr>
        <color rgb="FF1155CC"/>
        <sz val="10.0"/>
        <u/>
      </rPr>
      <t>Paula Arias</t>
    </r>
    <r>
      <rPr>
        <sz val="10.0"/>
      </rPr>
      <t xml:space="preserve">, </t>
    </r>
    <r>
      <rPr>
        <color rgb="FF1155CC"/>
        <sz val="10.0"/>
        <u/>
      </rPr>
      <t>Stephanie Mendoza</t>
    </r>
    <r>
      <rPr>
        <sz val="10.0"/>
      </rPr>
      <t xml:space="preserve">, </t>
    </r>
    <r>
      <rPr>
        <color rgb="FF1155CC"/>
        <sz val="10.0"/>
        <u/>
      </rPr>
      <t>Genesis Mercado</t>
    </r>
    <r>
      <rPr>
        <sz val="10.0"/>
      </rPr>
      <t xml:space="preserve">, </t>
    </r>
    <r>
      <rPr>
        <color rgb="FF1155CC"/>
        <sz val="10.0"/>
        <u/>
      </rPr>
      <t>Jeremy Rodriguez</t>
    </r>
    <r>
      <rPr>
        <sz val="10.0"/>
      </rPr>
      <t xml:space="preserve">, </t>
    </r>
    <r>
      <rPr>
        <color rgb="FF1155CC"/>
        <sz val="10.0"/>
        <u/>
      </rPr>
      <t>Brandon Nunez</t>
    </r>
    <r>
      <rPr>
        <sz val="10.0"/>
      </rPr>
      <t xml:space="preserve"> and </t>
    </r>
    <r>
      <rPr>
        <color rgb="FF1155CC"/>
        <sz val="10.0"/>
        <u/>
      </rPr>
      <t>Richard Murillo</t>
    </r>
  </si>
  <si>
    <t>IHS Health, GWHS, WheelsNYC</t>
  </si>
  <si>
    <t>Simone</t>
  </si>
  <si>
    <t>Lavery</t>
  </si>
  <si>
    <t>ryansisi@yahoo.com</t>
  </si>
  <si>
    <t>11/17/22 Simone emailed SB, &amp;#34;My husband is undergoing chemotherapy for his bladder cancer. He had it removed now the treatment begins.....my Front office Manager dislocated his rotating cuff&amp;#34; SB responded wishing her well and that we can reach out for future rounds - marking inactive for now 11/16/22 SB followed up with Simone to see if she need to withdraw from the round or as a Champion all together 11/14/22 Simone emailed SB saying, &amp;#34;I am so saddened that I have to withdraw from the Champion program.&amp;#34; SB followed up for clarification or to see if there could be a solution 11/11/22 SB emailed after first session with Wheels to get phone number - Simone had tech issues with first session and had to leave early 10/23/22 confirmed Wheels availability 10/19/22 SB emailed for Wheels availability 10/14/22 Simone passed training with SB 10/12/22 Simone signed up for 10/14/22 training SB 10/11/22 SB followed up to see if she can train 9/12/22 SB messaged Simone on linkedin, she replied, &amp;#34;I have received your emails and I am sorry I meant to reply but I got extremely busy and very short staffed. I have been working 7 days...I am still very interested I just need a few weeks as the new hires will be trained and ready to work alone&amp;#34; re-engage in a few weeks 8/18/22 SB sent follow up email to schedule training 8/16/22 passed screening SB 8/15/22 SB sent reminder for screening 8/8/22 SB sent screening scheduling email</t>
  </si>
  <si>
    <t>Meyer Jabara Hotels</t>
  </si>
  <si>
    <t>Hafeeja (Hafiza)</t>
  </si>
  <si>
    <t>Jameela Stratton</t>
  </si>
  <si>
    <t>585-748-7650</t>
  </si>
  <si>
    <t>s.h.jameela@gmail.com</t>
  </si>
  <si>
    <t>2/3/23 HJ called and left a vm; if no reply by 3/3/23, mark orange and inactive and note the date 11/17/22 HJ to call 9/14/22 Not available for IR1. Emailed saying she is no longer interested CT Hetal emailed her on 1/20 and she followed up on 1/21/22 saying she was still interested but just unavailable right now  01/05/22 CT sent follow up email for matching 12/30/21 SB sent IR2 FY21-22 schedule list for matching JPS emailed on 2/9/2021 to check Hafeeja's availability for matching &amp;#43; sent refresher document</t>
  </si>
  <si>
    <t>1505 Canal Street, Milpitas, CA 95035</t>
  </si>
  <si>
    <t xml:space="preserve">Samsung </t>
  </si>
  <si>
    <t>Sam</t>
  </si>
  <si>
    <t>McConnell</t>
  </si>
  <si>
    <t>+19177709679</t>
  </si>
  <si>
    <t>s.mcconnell@mac.com</t>
  </si>
  <si>
    <t>&amp;#34;Hi there. Please do not contact my references. I?m unable to participate w Speakhire due to my schedule. Thanks!&amp;#34; CT 08/10/22 3/18/22 Not available for any seminars and sessions this year. Very busy at work. CT 12/22/21 SB sent IR2 FY21-22 schedule list for matching 12/14/21 Sam unable to do IR1 FY21-22, asked for IR2 and to help recruit SB 12/13/21 SB reached-out via text to match for FY21-22 IR1 Sam's schedule is unpredictable because of the nature of his job and working on sets. It can be difficult for him to agree to a schedule of the same time and day every week for nine weeks. For this reason, reach out to him when we have an Intern who is very interested in film and is flexible to perhaps accommodate Sam's schedule. Sam attended a CPC Training on 4/10/21 with JPS Sam was screened on 3/15/21 by SU JPS emailed on 3/11/21 to schedule a Screening Call</t>
  </si>
  <si>
    <t>2668 Larmar Road, Los Angeles CA 90068</t>
  </si>
  <si>
    <t>Self, McConnell / Hauser, Inc.</t>
  </si>
  <si>
    <t>Javier Esteves</t>
  </si>
  <si>
    <t>Samar</t>
  </si>
  <si>
    <t>Deen</t>
  </si>
  <si>
    <t>sa462@cornell.edu</t>
  </si>
  <si>
    <t>1/18/24 - from linkedin: Samar got new position as  Adjunct Professor at Yeshiva University - check with her when next in contact and update profile once confirmed 7/17/23  BC called; her VM box is full &amp;amp; cannot accept messages at this time. Sent text msg. - replied teaching summer course and not available 7/14/23 SB texted Samar for IRS 7/13/23 SB emailed for IRS 3/29/23 SB sent text about IR3 3/2/23 CT sent email asking to be Speaker for  BUSHWICKCHS Seminar 9/16/22 Samar confirmed that she could do the Wheels schedule for IR1 - Thur mornings 9/15/22 SB texted Samar about match - not available Tuesdays 4-4:45. Asking for Wheels instead 9/13/22 SB sent match request for IR1 CT asked in reference email 8/9/22 interested in IR1 8/12/22 Updated email from samar.deen@ibm.com to sa462@cornell.edu 8/11/22 SB messaged because her email is bouncing back, asked for updated one. 6/13/22 Left position as a Data Scientist at IBM LG 3/21/22 Not available for IR3 CT SAMAR PREFERS BOTH EMAILS TO BE ADDED TO MATCH ANNOUNCEMENTS: sa462@cornell.edu Completed training 11/12/21 SB Screening call completed 11/11/21 by Hetal  Hetal called Samar directly on 11/8/21 -- she didn't get the emails. Scheduled screening with her on the phone.  11/2/21 SB sent screening scheduling link via text Sent follow up 10/12/21 Sent screening scheduling email 10/6/21 SB</t>
  </si>
  <si>
    <t>272 Manhattan Ave</t>
  </si>
  <si>
    <t>Microsoft Cloud Data Science</t>
  </si>
  <si>
    <t>Seminars 22, FY 21 - 22, FY 22 - 23</t>
  </si>
  <si>
    <r>
      <rPr>
        <color rgb="FF1155CC"/>
        <sz val="10.0"/>
        <u/>
      </rPr>
      <t>Marwin Silverio Rodriguez</t>
    </r>
    <r>
      <rPr>
        <sz val="10.0"/>
      </rPr>
      <t xml:space="preserve">, </t>
    </r>
    <r>
      <rPr>
        <color rgb="FF1155CC"/>
        <sz val="10.0"/>
        <u/>
      </rPr>
      <t>Samuel Rodriguez</t>
    </r>
    <r>
      <rPr>
        <sz val="10.0"/>
      </rPr>
      <t xml:space="preserve">, </t>
    </r>
    <r>
      <rPr>
        <color rgb="FF1155CC"/>
        <sz val="10.0"/>
        <u/>
      </rPr>
      <t>Yorlan Espinal</t>
    </r>
    <r>
      <rPr>
        <sz val="10.0"/>
      </rPr>
      <t xml:space="preserve">, </t>
    </r>
    <r>
      <rPr>
        <color rgb="FF1155CC"/>
        <sz val="10.0"/>
        <u/>
      </rPr>
      <t>Emanuel Ortiz</t>
    </r>
    <r>
      <rPr>
        <sz val="10.0"/>
      </rPr>
      <t xml:space="preserve">, </t>
    </r>
    <r>
      <rPr>
        <color rgb="FF1155CC"/>
        <sz val="10.0"/>
        <u/>
      </rPr>
      <t>Jeyrent Cid Martinez</t>
    </r>
    <r>
      <rPr>
        <sz val="10.0"/>
      </rPr>
      <t xml:space="preserve">, </t>
    </r>
    <r>
      <rPr>
        <color rgb="FF1155CC"/>
        <sz val="10.0"/>
        <u/>
      </rPr>
      <t>Robert Morillo</t>
    </r>
    <r>
      <rPr>
        <sz val="10.0"/>
      </rPr>
      <t xml:space="preserve">, </t>
    </r>
    <r>
      <rPr>
        <color rgb="FF1155CC"/>
        <sz val="10.0"/>
        <u/>
      </rPr>
      <t>Michaell Morban</t>
    </r>
    <r>
      <rPr>
        <sz val="10.0"/>
      </rPr>
      <t xml:space="preserve">, </t>
    </r>
    <r>
      <rPr>
        <color rgb="FF1155CC"/>
        <sz val="10.0"/>
        <u/>
      </rPr>
      <t>Jayson Munoz</t>
    </r>
    <r>
      <rPr>
        <sz val="10.0"/>
      </rPr>
      <t xml:space="preserve"> and </t>
    </r>
    <r>
      <rPr>
        <color rgb="FF1155CC"/>
        <sz val="10.0"/>
        <u/>
      </rPr>
      <t>Sijia Su</t>
    </r>
  </si>
  <si>
    <t>WheelsNYC, SOF, P2GManhattan, ELLIS, FlushingIHS</t>
  </si>
  <si>
    <t>Sahabia</t>
  </si>
  <si>
    <t>sabz.shsu@gmail.com</t>
  </si>
  <si>
    <t>Needs reminders for sessions to help confirm schedule / attendance 7/15/23 SB emailed for IRS 12/13/21 SB asked for match for FY21-22 IR1, unable for this round Sahabia replied: &amp;#34;Unfortunately 2pm won?t work for me since I work during those hours. This month I won?t be available, however in March I can be available on Friday?s 12pm CST time.&amp;#34; JPS emailed on 2/9/2021 to see if Sahabia could be on standby for a IR2 20-21 match  Sahabia was trained on 9/28/2020 with Kiesha Charles and Jennifer Peterson-Sharma schedule for training with kiesha and jennifer on september 28th at 7:30 b Sent resume on 8/31/2020 Emailed on 8/31/2020 to request resume Scheduled screening with kiesha on September 7th at 12pm</t>
  </si>
  <si>
    <t>3109 Gillespie st Houston TX 77020</t>
  </si>
  <si>
    <t>Entergy services</t>
  </si>
  <si>
    <r>
      <rPr>
        <color rgb="FF1155CC"/>
        <sz val="10.0"/>
        <u/>
      </rPr>
      <t>Niloy Ahmed</t>
    </r>
    <r>
      <rPr>
        <sz val="10.0"/>
      </rPr>
      <t xml:space="preserve">, </t>
    </r>
    <r>
      <rPr>
        <color rgb="FF1155CC"/>
        <sz val="10.0"/>
        <u/>
      </rPr>
      <t>Europe Oli</t>
    </r>
    <r>
      <rPr>
        <sz val="10.0"/>
      </rPr>
      <t xml:space="preserve">, </t>
    </r>
    <r>
      <rPr>
        <color rgb="FF1155CC"/>
        <sz val="10.0"/>
        <u/>
      </rPr>
      <t>Shobha Gurung</t>
    </r>
    <r>
      <rPr>
        <sz val="10.0"/>
      </rPr>
      <t xml:space="preserve">, </t>
    </r>
    <r>
      <rPr>
        <color rgb="FF1155CC"/>
        <sz val="10.0"/>
        <u/>
      </rPr>
      <t>Asmaa Alkhadashi</t>
    </r>
    <r>
      <rPr>
        <sz val="10.0"/>
      </rPr>
      <t xml:space="preserve">, </t>
    </r>
    <r>
      <rPr>
        <color rgb="FF1155CC"/>
        <sz val="10.0"/>
        <u/>
      </rPr>
      <t>Arwa Alhaj</t>
    </r>
    <r>
      <rPr>
        <sz val="10.0"/>
      </rPr>
      <t xml:space="preserve">, </t>
    </r>
    <r>
      <rPr>
        <color rgb="FF1155CC"/>
        <sz val="10.0"/>
        <u/>
      </rPr>
      <t>Leila Titikpina</t>
    </r>
    <r>
      <rPr>
        <sz val="10.0"/>
      </rPr>
      <t xml:space="preserve"> and </t>
    </r>
    <r>
      <rPr>
        <color rgb="FF1155CC"/>
        <sz val="10.0"/>
        <u/>
      </rPr>
      <t>Yamin Titikpina</t>
    </r>
  </si>
  <si>
    <t>IHS Health, ELLIS</t>
  </si>
  <si>
    <t>Saima</t>
  </si>
  <si>
    <t>Malik</t>
  </si>
  <si>
    <t>saima.malik@thebuildingpeople.com</t>
  </si>
  <si>
    <t>1/9/24 WW emailed for IR2 Ellis Donated money to Interns for FY22-23 3/27/23 CT called &amp;amp; sent text about being Wheels Seminar Speaker 2/28/23 Updated email from smalik@avantusfederal.com to saima.malik@thebuildingpeople.com 2/28/23 agreed to IR2 match SB 2/27/23 SB contacted to see if she could step in as a replacement CPC for IR2 11/1/22 SB asked for IR1 7/14/22 SB contacted for IRS 3/21/22 Not available for IR3 CT 02/03/22 Completed CPC Orientation &amp;amp; Onboarding Training CT 1/24/22 Sent CPC Training email CT Hetal screened Saima on 1/21/22</t>
  </si>
  <si>
    <t>8316 Lilly Stone Drive, Bethesda, MD 20817</t>
  </si>
  <si>
    <t>Bethesda</t>
  </si>
  <si>
    <t>Avantus Federal</t>
  </si>
  <si>
    <t>FY 22 - 23, FY 23 - 24, Seminars 22, FY 21 - 22</t>
  </si>
  <si>
    <r>
      <rPr>
        <color rgb="FF1155CC"/>
        <sz val="10.0"/>
        <u/>
      </rPr>
      <t>Valentina Abreu</t>
    </r>
    <r>
      <rPr>
        <sz val="10.0"/>
      </rPr>
      <t xml:space="preserve">, </t>
    </r>
    <r>
      <rPr>
        <color rgb="FF1155CC"/>
        <sz val="10.0"/>
        <u/>
      </rPr>
      <t>Alexa Veloz Balbuena</t>
    </r>
    <r>
      <rPr>
        <sz val="10.0"/>
      </rPr>
      <t xml:space="preserve">, </t>
    </r>
    <r>
      <rPr>
        <color rgb="FF1155CC"/>
        <sz val="10.0"/>
        <u/>
      </rPr>
      <t>Fatou Diedhiou</t>
    </r>
    <r>
      <rPr>
        <sz val="10.0"/>
      </rPr>
      <t xml:space="preserve">, </t>
    </r>
    <r>
      <rPr>
        <color rgb="FF1155CC"/>
        <sz val="10.0"/>
        <u/>
      </rPr>
      <t>Razina Issoufou</t>
    </r>
    <r>
      <rPr>
        <sz val="10.0"/>
      </rPr>
      <t xml:space="preserve">, </t>
    </r>
    <r>
      <rPr>
        <color rgb="FF1155CC"/>
        <sz val="10.0"/>
        <u/>
      </rPr>
      <t>Nana Keita</t>
    </r>
    <r>
      <rPr>
        <sz val="10.0"/>
      </rPr>
      <t xml:space="preserve">, </t>
    </r>
    <r>
      <rPr>
        <color rgb="FF1155CC"/>
        <sz val="10.0"/>
        <u/>
      </rPr>
      <t>Joseph (Joe) Fisher</t>
    </r>
    <r>
      <rPr>
        <sz val="10.0"/>
      </rPr>
      <t xml:space="preserve">, </t>
    </r>
    <r>
      <rPr>
        <color rgb="FF1155CC"/>
        <sz val="10.0"/>
        <u/>
      </rPr>
      <t>Soulemane Lah</t>
    </r>
    <r>
      <rPr>
        <sz val="10.0"/>
      </rPr>
      <t xml:space="preserve">, </t>
    </r>
    <r>
      <rPr>
        <color rgb="FF1155CC"/>
        <sz val="10.0"/>
        <u/>
      </rPr>
      <t>Ina Hoxhaj</t>
    </r>
    <r>
      <rPr>
        <sz val="10.0"/>
      </rPr>
      <t xml:space="preserve">, </t>
    </r>
    <r>
      <rPr>
        <color rgb="FF1155CC"/>
        <sz val="10.0"/>
        <u/>
      </rPr>
      <t>Sanjida Fnu</t>
    </r>
    <r>
      <rPr>
        <sz val="10.0"/>
      </rPr>
      <t xml:space="preserve">, </t>
    </r>
    <r>
      <rPr>
        <color rgb="FF1155CC"/>
        <sz val="10.0"/>
        <u/>
      </rPr>
      <t>Subham Saud</t>
    </r>
    <r>
      <rPr>
        <sz val="10.0"/>
      </rPr>
      <t xml:space="preserve"> and </t>
    </r>
    <r>
      <rPr>
        <color rgb="FF1155CC"/>
        <sz val="10.0"/>
        <u/>
      </rPr>
      <t>Lady Calle</t>
    </r>
  </si>
  <si>
    <t>ELLIS, IHSUnionSquare, IHS Health</t>
  </si>
  <si>
    <t>Sana</t>
  </si>
  <si>
    <t>Ahmad</t>
  </si>
  <si>
    <t>sanaahmad112@gmail.com</t>
  </si>
  <si>
    <t>7/6/22 LG called for IRS availability, Sana is unavailable during her residency Sana attended a training on 3/8/21 with JPS Sana scheduled a screening call for March 6th but then messaged and said she could do earlier if needed and met with Hetal Jani on Feb 27th -- passed screening and said she could do IR2 FY20-21 so go ahead and match her. She might be able to take 2 pairs on if needed.  Sana was sent a screening call email on 2/20/21</t>
  </si>
  <si>
    <t>52 Phelps Ave New Brunswick NJ 08901</t>
  </si>
  <si>
    <t>New Brunswick NJ</t>
  </si>
  <si>
    <t>Rutgers University</t>
  </si>
  <si>
    <r>
      <rPr>
        <color rgb="FF1155CC"/>
        <sz val="10.0"/>
        <u/>
      </rPr>
      <t>Munir Ahmad Bakhtyar</t>
    </r>
    <r>
      <rPr>
        <sz val="10.0"/>
      </rPr>
      <t xml:space="preserve">, </t>
    </r>
    <r>
      <rPr>
        <color rgb="FF1155CC"/>
        <sz val="10.0"/>
        <u/>
      </rPr>
      <t>Masooma Chaudhry</t>
    </r>
    <r>
      <rPr>
        <sz val="10.0"/>
      </rPr>
      <t xml:space="preserve">, </t>
    </r>
    <r>
      <rPr>
        <color rgb="FF1155CC"/>
        <sz val="10.0"/>
        <u/>
      </rPr>
      <t>Ariah Martin</t>
    </r>
    <r>
      <rPr>
        <sz val="10.0"/>
      </rPr>
      <t xml:space="preserve"> and </t>
    </r>
    <r>
      <rPr>
        <color rgb="FF1155CC"/>
        <sz val="10.0"/>
        <u/>
      </rPr>
      <t>Dijonay Mogg</t>
    </r>
  </si>
  <si>
    <t>QueensPrepAcad, FlushingIHS</t>
  </si>
  <si>
    <t>Llontop</t>
  </si>
  <si>
    <t>sandra.llonttop@gmail.com</t>
  </si>
  <si>
    <t>3/1/24 WW emailed for IR3 1/31/23 CT Sandra let Priscila know she's pregnant and can't champion for a while. 1/31/23 CT left voicemail &amp;amp; sent text to ask for IR2 with Wheels schedule. 1/10/23 SB sent follow up email for IR2 1/6/23 SB emailed for IR2 1/6/22 SB followed up for IR2 12/22/21 SB sent IR2 FY21-22 schedule list for matching 11/17/21 SB updated career fields to include business, journalism,  health sciences Completed training 11/12/21 SB 11/11/21 Sandra passed screening SB</t>
  </si>
  <si>
    <t>6141 May River St, Las Vegas NV 89148</t>
  </si>
  <si>
    <t>Capital one financial co</t>
  </si>
  <si>
    <r>
      <rPr>
        <color rgb="FF1155CC"/>
        <sz val="10.0"/>
        <u/>
      </rPr>
      <t>Sisely Hernandez</t>
    </r>
    <r>
      <rPr>
        <sz val="10.0"/>
      </rPr>
      <t xml:space="preserve">, </t>
    </r>
    <r>
      <rPr>
        <color rgb="FF1155CC"/>
        <sz val="10.0"/>
        <u/>
      </rPr>
      <t>Valentina Guerrero</t>
    </r>
    <r>
      <rPr>
        <sz val="10.0"/>
      </rPr>
      <t xml:space="preserve">, </t>
    </r>
    <r>
      <rPr>
        <color rgb="FF1155CC"/>
        <sz val="10.0"/>
        <u/>
      </rPr>
      <t>Wendy Choc Coc</t>
    </r>
    <r>
      <rPr>
        <sz val="10.0"/>
      </rPr>
      <t xml:space="preserve">, </t>
    </r>
    <r>
      <rPr>
        <color rgb="FF1155CC"/>
        <sz val="10.0"/>
        <u/>
      </rPr>
      <t>Nanci Garcia</t>
    </r>
    <r>
      <rPr>
        <sz val="10.0"/>
      </rPr>
      <t xml:space="preserve">, </t>
    </r>
    <r>
      <rPr>
        <color rgb="FF1155CC"/>
        <sz val="10.0"/>
        <u/>
      </rPr>
      <t>Enyerson Martinez</t>
    </r>
    <r>
      <rPr>
        <sz val="10.0"/>
      </rPr>
      <t xml:space="preserve">, </t>
    </r>
    <r>
      <rPr>
        <color rgb="FF1155CC"/>
        <sz val="10.0"/>
        <u/>
      </rPr>
      <t>Tatiana Cardona</t>
    </r>
    <r>
      <rPr>
        <sz val="10.0"/>
      </rPr>
      <t xml:space="preserve">, </t>
    </r>
    <r>
      <rPr>
        <color rgb="FF1155CC"/>
        <sz val="10.0"/>
        <u/>
      </rPr>
      <t>Angelica Reynoso</t>
    </r>
    <r>
      <rPr>
        <sz val="10.0"/>
      </rPr>
      <t xml:space="preserve"> and </t>
    </r>
    <r>
      <rPr>
        <color rgb="FF1155CC"/>
        <sz val="10.0"/>
        <u/>
      </rPr>
      <t>Licsy Reyes</t>
    </r>
  </si>
  <si>
    <t>FlushingIHS, CrotonaIHS</t>
  </si>
  <si>
    <t>Fatima</t>
  </si>
  <si>
    <t>Ramadan Sanz</t>
  </si>
  <si>
    <t>sanzfatima@hotmail.com</t>
  </si>
  <si>
    <t>21-39 74th St, East Elmhurst, NY, 11370</t>
  </si>
  <si>
    <t>New York City, NY</t>
  </si>
  <si>
    <t>World Education Services, Inc.</t>
  </si>
  <si>
    <r>
      <rPr>
        <color rgb="FF1155CC"/>
        <sz val="10.0"/>
        <u/>
      </rPr>
      <t>Ciara Cruz</t>
    </r>
    <r>
      <rPr>
        <sz val="10.0"/>
      </rPr>
      <t xml:space="preserve">, </t>
    </r>
    <r>
      <rPr>
        <color rgb="FF1155CC"/>
        <sz val="10.0"/>
        <u/>
      </rPr>
      <t>Anjalie Ramkissoon</t>
    </r>
    <r>
      <rPr>
        <sz val="10.0"/>
      </rPr>
      <t xml:space="preserve">, </t>
    </r>
    <r>
      <rPr>
        <color rgb="FF1155CC"/>
        <sz val="10.0"/>
        <u/>
      </rPr>
      <t>Akemi Liz</t>
    </r>
    <r>
      <rPr>
        <sz val="10.0"/>
      </rPr>
      <t xml:space="preserve"> and </t>
    </r>
    <r>
      <rPr>
        <color rgb="FF1155CC"/>
        <sz val="10.0"/>
        <u/>
      </rPr>
      <t>Yosandy Liz</t>
    </r>
  </si>
  <si>
    <t>Sriramya</t>
  </si>
  <si>
    <t>Ayyagari</t>
  </si>
  <si>
    <t>301-339-4552</t>
  </si>
  <si>
    <t>sayyag3@uic.edu</t>
  </si>
  <si>
    <t>7/18/23 WW emailed for IRS, PC team followed up with text and call 3/22/23 SB sent text for IR3 availability 2/6/23 CT left voicemail &amp;amp; sent text for IR2 2/2/23 CT left voicemail &amp;amp; sent text asking for IR2 with Wheels schedule 7/12/22 texted SB, unavailable for IRS 6/29/22 LG left voicemail and sent text for IRS 1/5/22 SB sent IR2 FY21-22 schedule list for matching JPS emailed on 1/5/2021 to check her engagement status, no response as of 1/14/2021. Followed up on 1/14/2021</t>
  </si>
  <si>
    <t>11 S Green Street Unit 1007 Chicago, IL 60607</t>
  </si>
  <si>
    <t>Alsberg Lab, Department of Bioengineering. University of Illinois Chicago</t>
  </si>
  <si>
    <r>
      <rPr>
        <color rgb="FF1155CC"/>
        <sz val="10.0"/>
        <u/>
      </rPr>
      <t>Tasnim Jahan</t>
    </r>
    <r>
      <rPr>
        <sz val="10.0"/>
      </rPr>
      <t xml:space="preserve">, </t>
    </r>
    <r>
      <rPr>
        <color rgb="FF1155CC"/>
        <sz val="10.0"/>
        <u/>
      </rPr>
      <t>Saima Akter</t>
    </r>
    <r>
      <rPr>
        <sz val="10.0"/>
      </rPr>
      <t xml:space="preserve">, </t>
    </r>
    <r>
      <rPr>
        <color rgb="FF1155CC"/>
        <sz val="10.0"/>
        <u/>
      </rPr>
      <t>Heidy Zapata</t>
    </r>
    <r>
      <rPr>
        <sz val="10.0"/>
      </rPr>
      <t xml:space="preserve"> and </t>
    </r>
    <r>
      <rPr>
        <color rgb="FF1155CC"/>
        <sz val="10.0"/>
        <u/>
      </rPr>
      <t>Chamely Lantigua</t>
    </r>
  </si>
  <si>
    <t>ELLIS, ClaremontIHS</t>
  </si>
  <si>
    <t>Susan</t>
  </si>
  <si>
    <t>Boxman</t>
  </si>
  <si>
    <t>susanboxman@gmail.com</t>
  </si>
  <si>
    <t>7/11/23 SB updated email to susanboxman@gmail.com from sboxman@philasd.org - looking for new job currently 6/29/23 SB sent a text to try and re-engage for IRS 6/28/23 SB called and left VM about re-engagement and IRS 5/10/23 emailed bounced back SB 12/21/21 SB sent IR2 FY21-22 schedule list for matching Susan attended a CPC Training Webinar on 1/16/2021 with JPS at 11 am est Susan was screened on 1/2/2021 by Jennifer Peterson-Sharma at 8:30 am est. Jennifer emailed Susan on 9/29/2020 to set up a Screening Call.</t>
  </si>
  <si>
    <t>403 Gordon Rd, Ambler, Philadelphia</t>
  </si>
  <si>
    <t>Philadelphia PA</t>
  </si>
  <si>
    <t>Philadelphia School District</t>
  </si>
  <si>
    <r>
      <rPr>
        <color rgb="FF1155CC"/>
        <sz val="10.0"/>
        <u/>
      </rPr>
      <t>Manifer Triunfel</t>
    </r>
    <r>
      <rPr>
        <sz val="10.0"/>
      </rPr>
      <t xml:space="preserve">, </t>
    </r>
    <r>
      <rPr>
        <color rgb="FF1155CC"/>
        <sz val="10.0"/>
        <u/>
      </rPr>
      <t>Magby Orellana</t>
    </r>
    <r>
      <rPr>
        <sz val="10.0"/>
      </rPr>
      <t xml:space="preserve">, </t>
    </r>
    <r>
      <rPr>
        <color rgb="FF1155CC"/>
        <sz val="10.0"/>
        <u/>
      </rPr>
      <t>Herimar Bonifacio</t>
    </r>
    <r>
      <rPr>
        <sz val="10.0"/>
      </rPr>
      <t xml:space="preserve">, </t>
    </r>
    <r>
      <rPr>
        <color rgb="FF1155CC"/>
        <sz val="10.0"/>
        <u/>
      </rPr>
      <t>Ivania Posada</t>
    </r>
    <r>
      <rPr>
        <sz val="10.0"/>
      </rPr>
      <t xml:space="preserve">, </t>
    </r>
    <r>
      <rPr>
        <color rgb="FF1155CC"/>
        <sz val="10.0"/>
        <u/>
      </rPr>
      <t>Hongning Wei</t>
    </r>
    <r>
      <rPr>
        <sz val="10.0"/>
      </rPr>
      <t xml:space="preserve"> and </t>
    </r>
    <r>
      <rPr>
        <color rgb="FF1155CC"/>
        <sz val="10.0"/>
        <u/>
      </rPr>
      <t>Souleymane Bah</t>
    </r>
  </si>
  <si>
    <t>ICHSBronx, CrotonaIHS, NYC Mission - Emma Lazarus</t>
  </si>
  <si>
    <t>Samantha</t>
  </si>
  <si>
    <t>Cadorniga</t>
  </si>
  <si>
    <t>(718) 764 7382</t>
  </si>
  <si>
    <t>scadorniga@gmail.com</t>
  </si>
  <si>
    <t>3/1/24 WW emailed for IR3 1/8/24 SB emailed for IR2 Crotona schedule 3/22/23 SB sent text about IR3 availability 1/23/23 CT left voicemail &amp;amp; sent text for IR2 1/17/23 CT sent follow up email for IR2 1/9/23 CT asked for IR2 availability with Wheels schedule 7/5/22 SB contacted for IRS match Completed Onboarding and Orientation Webinar 1/28/22 SB 1/21/22 Sent Orientation &amp;amp; Onboarding Training email, request for bio and headshot HJ made active green and screened by phone, scheduled her for training,  identified a match on 1/21/22 Still active with Pilipino American Unity for Progress (UniPro)  https://www.unipronow.org/ https://www.unipronow.org/contact Conversational Spanish -- can be matched with somebody who needs support feeling more comfortable speaking English No response. Discontinue/orange on 7/21/21. If reaches back out, still needs to go through screening. Screening email already sent. 2/16/21 SU. Soneya Uddin send a follow up email to Samantha 2/19/21. SU.Left voicemail follow up. 2/20/21. SU. Left a voicemail 2/25/21.SU. JPS called on 4/21/21 and left voicemail. Double checked 1/26 (KW)</t>
  </si>
  <si>
    <t>1730 Marine Parkway, Brooklyn, NY, 11234</t>
  </si>
  <si>
    <t>New York Presbyterian Brooklyn</t>
  </si>
  <si>
    <r>
      <rPr>
        <color rgb="FF1155CC"/>
        <sz val="10.0"/>
        <u/>
      </rPr>
      <t>Jaylin Rosa Gonzalez</t>
    </r>
    <r>
      <rPr>
        <sz val="10.0"/>
      </rPr>
      <t xml:space="preserve">, </t>
    </r>
    <r>
      <rPr>
        <color rgb="FF1155CC"/>
        <sz val="10.0"/>
        <u/>
      </rPr>
      <t>Maria Ramirez</t>
    </r>
    <r>
      <rPr>
        <sz val="10.0"/>
      </rPr>
      <t xml:space="preserve"> and </t>
    </r>
    <r>
      <rPr>
        <color rgb="FF1155CC"/>
        <sz val="10.0"/>
        <u/>
      </rPr>
      <t>Jariel Fernandez</t>
    </r>
  </si>
  <si>
    <t>Scotney</t>
  </si>
  <si>
    <t>Young</t>
  </si>
  <si>
    <t>scotney.young@gmail.com</t>
  </si>
  <si>
    <t>new timezone not available for most FY times 5/31/23 let HJ know she is moving to Kampala Uganda &amp;#34;I'll reach out to SPEAKHIRE once my schedule clears up after my move.&amp;#34; SB 4/17/23 not available for IR3 SB Led CCC 1/6/23 WW 10/3/22 Confirmed she can do Ellis times for a match but requested only 2 Interns BMW sent text on 8/4,  CT followed up on Bryan's text from last week in reference email 8/8/22, available for IR1 8/8/22 CT 12/22/21 SB sent IR2 FY21-22 schedule list for matching</t>
  </si>
  <si>
    <t>Washington D.C.</t>
  </si>
  <si>
    <t>Doorways</t>
  </si>
  <si>
    <r>
      <rPr>
        <color rgb="FF1155CC"/>
        <sz val="10.0"/>
        <u/>
      </rPr>
      <t>Maria Cuahuiz Del Carmen</t>
    </r>
    <r>
      <rPr>
        <sz val="10.0"/>
      </rPr>
      <t xml:space="preserve">, </t>
    </r>
    <r>
      <rPr>
        <color rgb="FF1155CC"/>
        <sz val="10.0"/>
        <u/>
      </rPr>
      <t>Yumeiry Mauricio</t>
    </r>
    <r>
      <rPr>
        <sz val="10.0"/>
      </rPr>
      <t xml:space="preserve">, </t>
    </r>
    <r>
      <rPr>
        <color rgb="FF1155CC"/>
        <sz val="10.0"/>
        <u/>
      </rPr>
      <t>Greisi Colon</t>
    </r>
    <r>
      <rPr>
        <sz val="10.0"/>
      </rPr>
      <t xml:space="preserve">, </t>
    </r>
    <r>
      <rPr>
        <color rgb="FF1155CC"/>
        <sz val="10.0"/>
        <u/>
      </rPr>
      <t>Takezo Fujita Ostman</t>
    </r>
    <r>
      <rPr>
        <sz val="10.0"/>
      </rPr>
      <t xml:space="preserve">, </t>
    </r>
    <r>
      <rPr>
        <color rgb="FF1155CC"/>
        <sz val="10.0"/>
        <u/>
      </rPr>
      <t>Avril Mejia</t>
    </r>
    <r>
      <rPr>
        <sz val="10.0"/>
      </rPr>
      <t xml:space="preserve">, </t>
    </r>
    <r>
      <rPr>
        <color rgb="FF1155CC"/>
        <sz val="10.0"/>
        <u/>
      </rPr>
      <t>Keren Mejia Calderon</t>
    </r>
    <r>
      <rPr>
        <sz val="10.0"/>
      </rPr>
      <t xml:space="preserve">, </t>
    </r>
    <r>
      <rPr>
        <color rgb="FF1155CC"/>
        <sz val="10.0"/>
        <u/>
      </rPr>
      <t>Claribelisa Gonzalez</t>
    </r>
    <r>
      <rPr>
        <sz val="10.0"/>
      </rPr>
      <t xml:space="preserve">, </t>
    </r>
    <r>
      <rPr>
        <color rgb="FF1155CC"/>
        <sz val="10.0"/>
        <u/>
      </rPr>
      <t>Joselyn Guaraca</t>
    </r>
    <r>
      <rPr>
        <sz val="10.0"/>
      </rPr>
      <t xml:space="preserve">, </t>
    </r>
    <r>
      <rPr>
        <color rgb="FF1155CC"/>
        <sz val="10.0"/>
        <u/>
      </rPr>
      <t>Michael Steven Paredes Franco</t>
    </r>
    <r>
      <rPr>
        <sz val="10.0"/>
      </rPr>
      <t xml:space="preserve">, </t>
    </r>
    <r>
      <rPr>
        <color rgb="FF1155CC"/>
        <sz val="10.0"/>
        <u/>
      </rPr>
      <t>Robeliza Nunez</t>
    </r>
    <r>
      <rPr>
        <sz val="10.0"/>
      </rPr>
      <t xml:space="preserve"> and </t>
    </r>
    <r>
      <rPr>
        <color rgb="FF1155CC"/>
        <sz val="10.0"/>
        <u/>
      </rPr>
      <t>Norvia Tavarez</t>
    </r>
  </si>
  <si>
    <t>WheelsNYC, IHSUnionSquare, ELLIS, ClaremontIHS, ICHSBronx, CrotonaIHS</t>
  </si>
  <si>
    <t>Saloni</t>
  </si>
  <si>
    <t>Dudziak</t>
  </si>
  <si>
    <t>sdudziak@gmail.com</t>
  </si>
  <si>
    <t>7/11/22 SB followed up about email via text 7/5/22 SB emailed for screening - email bounced back. Texted to get a correct email 02/03/22 Completed CPC Orientation &amp;amp; Onboarding Training CT Screening email sent 1/31/22 SB</t>
  </si>
  <si>
    <t>Sentry.io</t>
  </si>
  <si>
    <t>Seema</t>
  </si>
  <si>
    <t>seemadixit@gmail.com</t>
  </si>
  <si>
    <t>7/13/23 SB texted for IRS - not available 7/12/23 SB emailed for IRS 2/28/23 Seema responded saying she cannot participate in this round because work is too busy right now SB 2/24/23 SB emailed Seema about IR3 Wheels availability and about Interns 1/12/23 responded via text - unavailable for IR2 due to being busy at work - SB asked for IR3 1/11/23 SB sent text for IR2 1/3/23 SB texted to check in on Seema - going to ask for IR2 12/20/22 SB sent follow up email for ellis match 12/14/22 SB emailed for Ellis match 9/13/22 Not available for IR1. CT 7/5/22 SB contacted for IRS match - unable to do this round 3/21/22 Not available for IR3 CT 12/27/21 SB sent follow up 12/21/21 SB sent IR2 FY21-22 schedule list for matching double checked on 1/26 KW Hetal called on March 19 2020 to see if she can support during COVID-19. She said of course and will share. </t>
  </si>
  <si>
    <t>81 Hampton Rd, Sharon, MA - 02067</t>
  </si>
  <si>
    <t>Sharon</t>
  </si>
  <si>
    <t>Rhode Island Department of Health</t>
  </si>
  <si>
    <t>FY 17 - 18, FY 20 - 21, FY 21 - 22</t>
  </si>
  <si>
    <r>
      <rPr>
        <color rgb="FF1155CC"/>
        <sz val="10.0"/>
        <u/>
      </rPr>
      <t>Karyn Jean Jacques</t>
    </r>
    <r>
      <rPr>
        <sz val="10.0"/>
      </rPr>
      <t xml:space="preserve">, </t>
    </r>
    <r>
      <rPr>
        <color rgb="FF1155CC"/>
        <sz val="10.0"/>
        <u/>
      </rPr>
      <t>Ashmel Martinez</t>
    </r>
    <r>
      <rPr>
        <sz val="10.0"/>
      </rPr>
      <t xml:space="preserve">, </t>
    </r>
    <r>
      <rPr>
        <color rgb="FF1155CC"/>
        <sz val="10.0"/>
        <u/>
      </rPr>
      <t>Bianka Pena</t>
    </r>
    <r>
      <rPr>
        <sz val="10.0"/>
      </rPr>
      <t xml:space="preserve">, </t>
    </r>
    <r>
      <rPr>
        <color rgb="FF1155CC"/>
        <sz val="10.0"/>
        <u/>
      </rPr>
      <t>Ivelisse Valentin</t>
    </r>
    <r>
      <rPr>
        <sz val="10.0"/>
      </rPr>
      <t xml:space="preserve">, </t>
    </r>
    <r>
      <rPr>
        <color rgb="FF1155CC"/>
        <sz val="10.0"/>
        <u/>
      </rPr>
      <t>Rakdh Alzukary</t>
    </r>
    <r>
      <rPr>
        <sz val="10.0"/>
      </rPr>
      <t xml:space="preserve">, </t>
    </r>
    <r>
      <rPr>
        <color rgb="FF1155CC"/>
        <sz val="10.0"/>
        <u/>
      </rPr>
      <t>Mahmoud Ahmed</t>
    </r>
    <r>
      <rPr>
        <sz val="10.0"/>
      </rPr>
      <t xml:space="preserve">, </t>
    </r>
    <r>
      <rPr>
        <color rgb="FF1155CC"/>
        <sz val="10.0"/>
        <u/>
      </rPr>
      <t>Nayeli Cruz</t>
    </r>
    <r>
      <rPr>
        <sz val="10.0"/>
      </rPr>
      <t xml:space="preserve">, </t>
    </r>
    <r>
      <rPr>
        <color rgb="FF1155CC"/>
        <sz val="10.0"/>
        <u/>
      </rPr>
      <t>Sushil Magar</t>
    </r>
    <r>
      <rPr>
        <sz val="10.0"/>
      </rPr>
      <t xml:space="preserve">, </t>
    </r>
    <r>
      <rPr>
        <color rgb="FF1155CC"/>
        <sz val="10.0"/>
        <u/>
      </rPr>
      <t>Fatimah Jawneh</t>
    </r>
    <r>
      <rPr>
        <sz val="10.0"/>
      </rPr>
      <t xml:space="preserve"> and </t>
    </r>
    <r>
      <rPr>
        <color rgb="FF1155CC"/>
        <sz val="10.0"/>
        <u/>
      </rPr>
      <t>Jessica Castillo</t>
    </r>
  </si>
  <si>
    <t>American History, ELLIS, CypressHills, IHS Health</t>
  </si>
  <si>
    <t>Steven</t>
  </si>
  <si>
    <t>Flores</t>
  </si>
  <si>
    <t>sflores2292@gmail.com</t>
  </si>
  <si>
    <t>He / They pronouns 12/1/22 emailed SB &amp;#34;Currently my schedule is 830am- 8pm so even 45 minutes it?s tough to squeeze in.&amp;#34; SB followed up to ask to reach out when/if schedule lightens up and to share about SPEAKHIRE. Marking inactive 11/28/22 SB followed up with text about participating as a Champion 11/21/22 SB followed up via email to try to and re-engage 8/20/22 Steven emailed, &amp;#34;Due to new employment opportunities I will be unable to be a champion do you conflict of schedule. Thank you for the opportunity and I hope to work with you all in the future.&amp;#34; Emailed back to see if possible to Champion when the school year starts. 8/4/22 passed screening with SB 8/2/22 SB sent screening scheduling follow up 7/29/22 SB sent screening scheduling email</t>
  </si>
  <si>
    <t>Apt #104 12998 Mallory Cir</t>
  </si>
  <si>
    <t>Orlando, Florida</t>
  </si>
  <si>
    <t>Orlando</t>
  </si>
  <si>
    <t>Applied Behavior Center for autism</t>
  </si>
  <si>
    <t>Stephanie</t>
  </si>
  <si>
    <t>Grandjacques</t>
  </si>
  <si>
    <t>sgrandjacques@yahoo.com</t>
  </si>
  <si>
    <t>3/9/23 emailed SB back, &amp;#34; I can't do this time. Middle of the day is hard for me.&amp;#34; sending Wheels schedule to see if it could work 3/7/23 SB forwarded email to other address 3/1/23 SB  sent Stephanie follow up email about IR3 match 2/24/23 SB emailed Stephanie about IR3 Union Square availability and about Interns 12/19/22 Stephanie is not available for IR2, reach out for IR3. CT 12/08/22 CT asked about Wheels schedule for IR2 Due to a work firewall email sent to that address (sgrandjacques@bcj.com) are often not viewed, instead send to updated address (sgrandjacques@yahoo.com) -1/10/22 SB 12/22/21 SB sent IR2 FY21-22 schedule list for matching Work emails sometimes get caught in firewall, if no response try phone or personal email ( sgrandjacques@yahoo.com ) 10/8/21 SB - Wednesdays are busy days at work for her, reached out to see if she could make other schedules work Stephanie attended a Training Webinar with JPS on 4/10/21. Stephanie was screened on 3/31/21 with JPS JPS sent email to schedule screening call on 3/19/21</t>
  </si>
  <si>
    <t>49 GEARY ST</t>
  </si>
  <si>
    <t>Berkeley/ San Francisco, CA</t>
  </si>
  <si>
    <r>
      <rPr>
        <color rgb="FF1155CC"/>
        <sz val="10.0"/>
        <u/>
      </rPr>
      <t>Nigora Uktamboeva</t>
    </r>
    <r>
      <rPr>
        <sz val="10.0"/>
      </rPr>
      <t xml:space="preserve">, </t>
    </r>
    <r>
      <rPr>
        <color rgb="FF1155CC"/>
        <sz val="10.0"/>
        <u/>
      </rPr>
      <t>Laziz Djuraev</t>
    </r>
    <r>
      <rPr>
        <sz val="10.0"/>
      </rPr>
      <t xml:space="preserve">, </t>
    </r>
    <r>
      <rPr>
        <color rgb="FF1155CC"/>
        <sz val="10.0"/>
        <u/>
      </rPr>
      <t>Antonia Ajtzalam</t>
    </r>
    <r>
      <rPr>
        <sz val="10.0"/>
      </rPr>
      <t xml:space="preserve">, </t>
    </r>
    <r>
      <rPr>
        <color rgb="FF1155CC"/>
        <sz val="10.0"/>
        <u/>
      </rPr>
      <t>Axel Almonte</t>
    </r>
    <r>
      <rPr>
        <sz val="10.0"/>
      </rPr>
      <t xml:space="preserve">, </t>
    </r>
    <r>
      <rPr>
        <color rgb="FF1155CC"/>
        <sz val="10.0"/>
        <u/>
      </rPr>
      <t>Melvin Martinez</t>
    </r>
    <r>
      <rPr>
        <sz val="10.0"/>
      </rPr>
      <t xml:space="preserve"> and </t>
    </r>
    <r>
      <rPr>
        <color rgb="FF1155CC"/>
        <sz val="10.0"/>
        <u/>
      </rPr>
      <t>Abdalmanaim Salah</t>
    </r>
  </si>
  <si>
    <t>IHS Lafayette, IHS Health, Frankford</t>
  </si>
  <si>
    <t>Nerissa</t>
  </si>
  <si>
    <t>Shamji</t>
  </si>
  <si>
    <t>shamji.nerissa@gmail.com</t>
  </si>
  <si>
    <t>8/18/23 - AT sent re-engagement message on LinkedIn. Awaiting response. 8/8/23 - AT emailed and sent re-engagement txt. Awaiting response. Hetal tried Nerissa again with the email subject: One last outreach -- interest in serving as a mentor? on October 21st -- Nerissa replied favorably to schedule a screening (HJ, 10/21/21) -- marked as gray and prospect Never responded to outreach since applying in 2019, marked discontinued/orange. Screening email already sent. 2/15/21 SU. Soneya Uddin send a follow up email to Nerissa 2/17/21. SU. Phone # does not work. 2/25/21. SU. sent an email to Nesseria if she can provide another number to get touch 3/2/21. SU. Reached out on Linkedin on 4/21/21. JPS. No response. Hetal marked as gray on 2/13/21 to move through onboarding process uploaded to Kintone but marked as inactive/yellow until screening complete - never responded to Scotney outreach</t>
  </si>
  <si>
    <t>3676 McRae Crescent, Port Coquitlam</t>
  </si>
  <si>
    <t>Port Coquitlam</t>
  </si>
  <si>
    <t>World Financial Group</t>
  </si>
  <si>
    <t>Shi</t>
  </si>
  <si>
    <t>sharonshi21@gmail.com</t>
  </si>
  <si>
    <t>1/12/24 available for Union square SB 1/10/24 SB emailed for IR2 Union Square 4/25/23 not available for IR3 4/24/23 SB checked to see if Crotona schedule may work 4/18/23 Sharon unavailable for IR3 Wheels Schedule 2/23/23 CT sent email asking to be Speaker for IHS Union Square Seminar 1/17/23 confirmed Ellis schedule for IR2 SB 1/13/23 SB emailed for IR2 10/18/22 Sharon recently had a baby and cannot participate in IR1 or CCC (probs seminars too). But asked to be considered for programs after the new year. Follow up for IR2 in Jan 2023 or late December 2022. SB Updated job title to Commercialisation Manager Hetal updated Sharon's company from Twitter to Bonsai Sharon attended a training on 5/8/21 with JPS Sharon was screened by SU</t>
  </si>
  <si>
    <t>4601 Lawton Ln W, San Francisco, CA</t>
  </si>
  <si>
    <t>Vouched</t>
  </si>
  <si>
    <t>Seminars 23, Seminars 22, Seminars 21, FY 23 - 24, FY 22 - 23, FY 21 - 22</t>
  </si>
  <si>
    <r>
      <rPr>
        <color rgb="FF1155CC"/>
        <sz val="10.0"/>
        <u/>
      </rPr>
      <t>Emiliano Hernandez</t>
    </r>
    <r>
      <rPr>
        <sz val="10.0"/>
      </rPr>
      <t xml:space="preserve">, </t>
    </r>
    <r>
      <rPr>
        <color rgb="FF1155CC"/>
        <sz val="10.0"/>
        <u/>
      </rPr>
      <t>Soulemane Lah</t>
    </r>
    <r>
      <rPr>
        <sz val="10.0"/>
      </rPr>
      <t xml:space="preserve">, </t>
    </r>
    <r>
      <rPr>
        <color rgb="FF1155CC"/>
        <sz val="10.0"/>
        <u/>
      </rPr>
      <t>Enyer Cabrera</t>
    </r>
    <r>
      <rPr>
        <sz val="10.0"/>
      </rPr>
      <t xml:space="preserve">, </t>
    </r>
    <r>
      <rPr>
        <color rgb="FF1155CC"/>
        <sz val="10.0"/>
        <u/>
      </rPr>
      <t>Wendinso Kabore</t>
    </r>
    <r>
      <rPr>
        <sz val="10.0"/>
      </rPr>
      <t xml:space="preserve">, </t>
    </r>
    <r>
      <rPr>
        <color rgb="FF1155CC"/>
        <sz val="10.0"/>
        <u/>
      </rPr>
      <t>Stheysis (Stacy) Genao</t>
    </r>
    <r>
      <rPr>
        <sz val="10.0"/>
      </rPr>
      <t xml:space="preserve">, </t>
    </r>
    <r>
      <rPr>
        <color rgb="FF1155CC"/>
        <sz val="10.0"/>
        <u/>
      </rPr>
      <t>Audrey Made Mewoli</t>
    </r>
    <r>
      <rPr>
        <sz val="10.0"/>
      </rPr>
      <t xml:space="preserve">, </t>
    </r>
    <r>
      <rPr>
        <color rgb="FF1155CC"/>
        <sz val="10.0"/>
        <u/>
      </rPr>
      <t>Fatima Traore</t>
    </r>
    <r>
      <rPr>
        <sz val="10.0"/>
      </rPr>
      <t xml:space="preserve">, </t>
    </r>
    <r>
      <rPr>
        <color rgb="FF1155CC"/>
        <sz val="10.0"/>
        <u/>
      </rPr>
      <t>Alisson Galay</t>
    </r>
    <r>
      <rPr>
        <sz val="10.0"/>
      </rPr>
      <t xml:space="preserve">, </t>
    </r>
    <r>
      <rPr>
        <color rgb="FF1155CC"/>
        <sz val="10.0"/>
        <u/>
      </rPr>
      <t>Mously Thiam</t>
    </r>
    <r>
      <rPr>
        <sz val="10.0"/>
      </rPr>
      <t xml:space="preserve">, </t>
    </r>
    <r>
      <rPr>
        <color rgb="FF1155CC"/>
        <sz val="10.0"/>
        <u/>
      </rPr>
      <t>Mame Fatime Sarr</t>
    </r>
    <r>
      <rPr>
        <sz val="10.0"/>
      </rPr>
      <t xml:space="preserve">, </t>
    </r>
    <r>
      <rPr>
        <color rgb="FF1155CC"/>
        <sz val="10.0"/>
        <u/>
      </rPr>
      <t>Emmanuel Rezil</t>
    </r>
    <r>
      <rPr>
        <sz val="10.0"/>
      </rPr>
      <t xml:space="preserve">, </t>
    </r>
    <r>
      <rPr>
        <color rgb="FF1155CC"/>
        <sz val="10.0"/>
        <u/>
      </rPr>
      <t>Edison Lam</t>
    </r>
    <r>
      <rPr>
        <sz val="10.0"/>
      </rPr>
      <t xml:space="preserve"> and </t>
    </r>
    <r>
      <rPr>
        <color rgb="FF1155CC"/>
        <sz val="10.0"/>
        <u/>
      </rPr>
      <t>Siyu Liu</t>
    </r>
  </si>
  <si>
    <t>IHSUnionSquare, FlushingIHS, ClaremontIHS, CrotonaIHS, CypressHills, ELLIS</t>
  </si>
  <si>
    <t>Shawn</t>
  </si>
  <si>
    <t>shawn.c.adams@rtx.com</t>
  </si>
  <si>
    <t>WW sent re-engagement email for training 10/12/23, he replied: &amp;#34;I?ve unfortunately been over-run by time commitments and had to withdraw from the process for now.  Perhaps in the future I may have the bandwidth to provide the time and attention your program deserves.&amp;#34; Alternate email: Shawn.C.Adams@raytheon.com 7/27/23 Emailed, &amp;#34;I apologize for missing the orientation, as I had something come up last minute.  I really do want to take part in your program, but at this time I am spread a bit too thin and would not be able to fully commit.  I can reach out in the future when I have less on my plate and pick up where I left off.&amp;#34; SB replied letting him know we can follow up. Try to re-engage in about 3 month (beginning of October) for IR1 or possibly IR2 Missed his training 7/25/23 WW 6/26/23 SB sent follow up email for training - signed up for training on 7/25/23 6/16/23 SB sent follow up about training - got email auto response back, on vacation until 6/26/23 will follow up then 6/9/23 passed screening with SB 6/5/23 SB called Shawn and scheduled screening for 6/9/23 5/10/23 SB sent text for screening 5/4/23 SB sent follow up email for screening 5/1/23 SB sent screening email</t>
  </si>
  <si>
    <t>1209 Alder Ave</t>
  </si>
  <si>
    <t>Oregon</t>
  </si>
  <si>
    <t>Coos Bay</t>
  </si>
  <si>
    <t>Raytheon Technologies</t>
  </si>
  <si>
    <t>Sher</t>
  </si>
  <si>
    <t>L. Pasquini</t>
  </si>
  <si>
    <t>Sher_pasquini@wvi.org</t>
  </si>
  <si>
    <t>4/3/23 CT sent follow up to schedule Screening Call 2/22/23 CT sent follow up email to re-engage 2/9/23 CT sent re-engagement email 5/24/22 SB sent re-engagement email JPS sent refresher doc &amp;#43; asked Sher if she would like to attend a training this week (2/22/21) Soneya Uddin follow up with Sher for screening call 2/12/21. JPS emailed on 2/7/2021 to schedule a Screening Call</t>
  </si>
  <si>
    <t>Santa Clarita</t>
  </si>
  <si>
    <t>Santa Clarita California</t>
  </si>
  <si>
    <t>World Vision International</t>
  </si>
  <si>
    <t>Shoshana</t>
  </si>
  <si>
    <t>Leon</t>
  </si>
  <si>
    <t>shoshana823@hotmail.com</t>
  </si>
  <si>
    <t>3/8/24 WW emailed for IR3 3/7/23 SB sent message about IR3 3/1/23 SB sent follow up email  2/24/23 SB emailed Shoshana about IR3 Wheels availability and about Interns 1/7/22 passed training SB 12/21/2 SB sent Shoshana a follow up email Passed screening on 12/16/21 SB, congrats plus possible IR1 match email sent Screening scheduled for 12/16/21 12/13/21 SB sent screening scheduling email</t>
  </si>
  <si>
    <t>2224 W Davis Road, Phoenix, AZ 85023</t>
  </si>
  <si>
    <t>Phoenix, Arizona</t>
  </si>
  <si>
    <t>Phoenix</t>
  </si>
  <si>
    <t>CSAA IG</t>
  </si>
  <si>
    <r>
      <rPr>
        <color rgb="FF1155CC"/>
        <sz val="10.0"/>
        <u/>
      </rPr>
      <t>Alexza Martinez</t>
    </r>
    <r>
      <rPr>
        <sz val="10.0"/>
      </rPr>
      <t xml:space="preserve"> and </t>
    </r>
    <r>
      <rPr>
        <color rgb="FF1155CC"/>
        <sz val="10.0"/>
        <u/>
      </rPr>
      <t>Rukhshona Sharofova</t>
    </r>
  </si>
  <si>
    <t>IHSUnionSquare, GWHS</t>
  </si>
  <si>
    <t>Shwetha</t>
  </si>
  <si>
    <t>Gopalan</t>
  </si>
  <si>
    <t>360-259-0674</t>
  </si>
  <si>
    <t>shwetha.gopi.scar@gmail.com</t>
  </si>
  <si>
    <t>Hetal had Samar Deen look her up on Microsoft system -- she now lives in Vancouver, so phone number (360-259-0674) is old. Need to update. (4/18/23) 5/17/22 SB sent re-engagement email 01/05/22 CT sent follow up email for matching Hetal called and left a vm to also try and re-engage 1/3/22 12/31/21 Unsubscribed from the Newsletter SB 12/30/21 SB sent IR2 FY21-22 schedule list for matching JPS emailed on 7/19/21 to see if Shweta is able to attend the training webinar on August 14 at 11 am est Shwetha told Hetal that she is currently moving to a different country and cannot participate -- check back in August she said (HJ, 2/25/2021) JPS emailed on 2/22/21 to see if Swetha could accommodate a match for Queens Academy IR2 2020-2021 Norrell spoke with Swetha 05/18/2020. Swetha does not have time mentor and will reach out to Norrell when she does.  Passed a screening call - received congratulations email in Dec 2018</t>
  </si>
  <si>
    <t>1929 Crisanto Ave , Mountain View CA</t>
  </si>
  <si>
    <t>Simon</t>
  </si>
  <si>
    <t>Winograd</t>
  </si>
  <si>
    <t>simonjbwinograd@gmail.com</t>
  </si>
  <si>
    <t>11/22/22 CT sent re-engagement email with training dates  3/11/22 Did not show up to training or respond to contact yet SB 2/22/22 Didn't show up to CPC Training. Called but he was busy and couldn't make it. CT Passed Screening 2/15/22 SB SB sent screening scheduling email 2/11/22</t>
  </si>
  <si>
    <t>Quindío, Colombia</t>
  </si>
  <si>
    <t>Self Employed</t>
  </si>
  <si>
    <r>
      <rPr>
        <color rgb="FF1155CC"/>
        <sz val="10.0"/>
        <u/>
      </rPr>
      <t>Jhojanly Mendez</t>
    </r>
    <r>
      <rPr>
        <sz val="10.0"/>
      </rPr>
      <t xml:space="preserve">, </t>
    </r>
    <r>
      <rPr>
        <color rgb="FF1155CC"/>
        <sz val="10.0"/>
        <u/>
      </rPr>
      <t>Shiraylin Marine Torres</t>
    </r>
    <r>
      <rPr>
        <sz val="10.0"/>
      </rPr>
      <t xml:space="preserve">, </t>
    </r>
    <r>
      <rPr>
        <color rgb="FF1155CC"/>
        <sz val="10.0"/>
        <u/>
      </rPr>
      <t>Ilse Cotiy Tambriz</t>
    </r>
    <r>
      <rPr>
        <sz val="10.0"/>
      </rPr>
      <t xml:space="preserve"> and </t>
    </r>
    <r>
      <rPr>
        <color rgb="FF1155CC"/>
        <sz val="10.0"/>
        <u/>
      </rPr>
      <t>Edgar Silverio</t>
    </r>
  </si>
  <si>
    <t>Swathi</t>
  </si>
  <si>
    <t>Koundinya</t>
  </si>
  <si>
    <t>skoundinya@linkedin.com</t>
  </si>
  <si>
    <t>3/3/23 emailed SB, &amp;#34;Sorry but my schedule is super swamped this year&amp;#34; reach out for FY 23-24  3/2/23 SB followed up via email 2/27/23 SB emailed about availability for IR3 Queens and About Interns 1/9/23 CT Swathi is interested in participating in IR3. Check in with her when it gets closer to April. 1/4/23 CT called &amp;amp; sent text to check in 3/21/22 Not available for IR3 due to urgent family matters. CT Swathi attended a training on 3/28/21 with JPS Swathi was screened on 3/9/21 by JPS KW doubled checked on 1/19</t>
  </si>
  <si>
    <t>640 Kingswood Way Los Altos CA 94022</t>
  </si>
  <si>
    <t>Los Altos</t>
  </si>
  <si>
    <t>LinkedIn</t>
  </si>
  <si>
    <r>
      <rPr>
        <color rgb="FF1155CC"/>
        <sz val="10.0"/>
        <u/>
      </rPr>
      <t>Akira Quezada</t>
    </r>
    <r>
      <rPr>
        <sz val="10.0"/>
      </rPr>
      <t xml:space="preserve">, </t>
    </r>
    <r>
      <rPr>
        <color rgb="FF1155CC"/>
        <sz val="10.0"/>
        <u/>
      </rPr>
      <t>Yovangely Mejia</t>
    </r>
    <r>
      <rPr>
        <sz val="10.0"/>
      </rPr>
      <t xml:space="preserve">, </t>
    </r>
    <r>
      <rPr>
        <color rgb="FF1155CC"/>
        <sz val="10.0"/>
        <u/>
      </rPr>
      <t>Manuela Salazar</t>
    </r>
    <r>
      <rPr>
        <sz val="10.0"/>
      </rPr>
      <t xml:space="preserve"> and </t>
    </r>
    <r>
      <rPr>
        <color rgb="FF1155CC"/>
        <sz val="10.0"/>
        <u/>
      </rPr>
      <t>Madina Raufi</t>
    </r>
  </si>
  <si>
    <t>Sunkyung</t>
  </si>
  <si>
    <t>skpark1@gmail.com</t>
  </si>
  <si>
    <t>confirmed Seminar Speaker for PS 130, March 26th in person 1/11/24 not available at Crotona schedule, SB sent Ellis 1/10/24 SB emailed for IR2 Crotona 10/31/23 SB emailed to see if she may have anyone in her network that could be a Champion for Ellis group Quote about Soiree: &amp;#34;I thought the soirée was wonderful, I shared my thoughts and appreciation with Hetal &amp;#x1f60a; I enjoyed every single speech and it was so touching to see Mouhamed?s video message! I feel so inspired by the work that goes into Speakhire and the interns? (both past and present) stories of perseverance, determination,  leadership. I left the evening feeling energized and motivated and look forward to many future internship rounds. I was completely surprised and taken aback by the President?s Volunteer Service Award andI thought the soirée was wonderful, I shared my thoughts and appreciation with Hetal &amp;#x1f60a; I enjoyed every single speech and it was so touching to see Mouhamed?s video message! I feel so inspired by the work that goes into Speakhire and the interns? (both past and present) stories of perseverance, determination,  leadership. I left the evening feeling energized and motivated and look forward to many future internship rounds. I was completely surprised and taken aback by the President?s Volunteer Service Award and medal, so grateful and appreciative of the honor! medal, so grateful and appreciative of the honor!&amp;#34; Hero Quotes: &amp;#34;I remember being an immigrant student and wanted to be a source of inspiration, guidance,  support to immigrant high schoolers.&amp;#34; / &amp;#34;I really enjoyed meeting each week with Mouhamed and Zakaria. At first I wasn't sure if I could be the mentor they needed to pursue their interests in health sciences, but quickly found ways to connect and develop their goals further. They held each other accountable and brought a positive and supportive energy to each session,  I am so grateful!&amp;#34; / &amp;#34;I really enjoyed meeting both Nazim and Sanat. I had sessions where I was 1:1 with both of them and that gave them both a bit more time to open up, which was nice! I feel that after the 1:1 they were able to speak more freely and I was able to get to know them - sometimes when we were all together on the call they would be a little shy and not as willing to share.&amp;#34; / &amp;#34;I really enjoyed the experience - the 9 sessions went by really quickly!&amp;#34; 7/31/23 - 108 hours of service (6 IR*18 hours) &amp;#43; (2 Seminars * 4 hours) - Bronze award received on August 16th, 2023 7/17/23 - SB sent email for IRS, BC called &amp;amp; left VM,  SB sent follow up text - Not available for IRS but interested in IR1 7/14/23 SB sent text for IRS 7/13/23 SB sent email for IRS 4/25/23 not available for IR3 2/10/23 CT left voicemail &amp;amp; text asking for IR2 Wheels schedule 12/27/22 SB reached out for updated reference info 10/3/22 Confirmed wheel availability SB 9/29/22 SB emailed for IR1 wheels match Interested in IR1 9/12/22 SB 4/7/2022 Hetal updated her company to The Floral Society from MOSCOT (http://ww.moscot.com) 01/05/22 CT sent follow up email for matching 12/22/21 SB sent IR2 FY21-22 schedule list for matching Sunkyung attended a CPC Training Webinar on 1/16/2021 with JPS at 11 am est Hetal Jani conducted screening call on NOvember 6, 2020 -- passed with flying colors Jennifer Peterson-Sharma emailed Sunkyung on 10/27/2020 to schedule a Mentor Screening Call.</t>
  </si>
  <si>
    <t>1133 Warburton Avenue Apt 617N, Yonkers, NY 10701</t>
  </si>
  <si>
    <t>Yonkers</t>
  </si>
  <si>
    <t>The Floral Society</t>
  </si>
  <si>
    <t>Seminars 24, FY 23 - 24, FY 22 - 23, FY 21 - 22, FY 20 - 21</t>
  </si>
  <si>
    <r>
      <rPr>
        <color rgb="FF1155CC"/>
        <sz val="10.0"/>
        <u/>
      </rPr>
      <t>Fatou Diedhiou</t>
    </r>
    <r>
      <rPr>
        <sz val="10.0"/>
      </rPr>
      <t xml:space="preserve">, </t>
    </r>
    <r>
      <rPr>
        <color rgb="FF1155CC"/>
        <sz val="10.0"/>
        <u/>
      </rPr>
      <t>Khadim Ka</t>
    </r>
    <r>
      <rPr>
        <sz val="10.0"/>
      </rPr>
      <t xml:space="preserve">, </t>
    </r>
    <r>
      <rPr>
        <color rgb="FF1155CC"/>
        <sz val="10.0"/>
        <u/>
      </rPr>
      <t>Mazaher (Moon) Mohamed</t>
    </r>
    <r>
      <rPr>
        <sz val="10.0"/>
      </rPr>
      <t xml:space="preserve">, </t>
    </r>
    <r>
      <rPr>
        <color rgb="FF1155CC"/>
        <sz val="10.0"/>
        <u/>
      </rPr>
      <t>Rashel Cabreja</t>
    </r>
    <r>
      <rPr>
        <sz val="10.0"/>
      </rPr>
      <t xml:space="preserve">, </t>
    </r>
    <r>
      <rPr>
        <color rgb="FF1155CC"/>
        <sz val="10.0"/>
        <u/>
      </rPr>
      <t>Anais Martinez</t>
    </r>
    <r>
      <rPr>
        <sz val="10.0"/>
      </rPr>
      <t xml:space="preserve">, </t>
    </r>
    <r>
      <rPr>
        <color rgb="FF1155CC"/>
        <sz val="10.0"/>
        <u/>
      </rPr>
      <t>Chrisnelly Garcia</t>
    </r>
    <r>
      <rPr>
        <sz val="10.0"/>
      </rPr>
      <t xml:space="preserve">, </t>
    </r>
    <r>
      <rPr>
        <color rgb="FF1155CC"/>
        <sz val="10.0"/>
        <u/>
      </rPr>
      <t>Hayes Mendez</t>
    </r>
    <r>
      <rPr>
        <sz val="10.0"/>
      </rPr>
      <t xml:space="preserve">, </t>
    </r>
    <r>
      <rPr>
        <color rgb="FF1155CC"/>
        <sz val="10.0"/>
        <u/>
      </rPr>
      <t>Jhoana Guevara</t>
    </r>
    <r>
      <rPr>
        <sz val="10.0"/>
      </rPr>
      <t xml:space="preserve">, </t>
    </r>
    <r>
      <rPr>
        <color rgb="FF1155CC"/>
        <sz val="10.0"/>
        <u/>
      </rPr>
      <t>Wilenie De Jesus Lancer</t>
    </r>
    <r>
      <rPr>
        <sz val="10.0"/>
      </rPr>
      <t xml:space="preserve">, </t>
    </r>
    <r>
      <rPr>
        <color rgb="FF1155CC"/>
        <sz val="10.0"/>
        <u/>
      </rPr>
      <t>Brandon Nunez</t>
    </r>
    <r>
      <rPr>
        <sz val="10.0"/>
      </rPr>
      <t xml:space="preserve">, </t>
    </r>
    <r>
      <rPr>
        <color rgb="FF1155CC"/>
        <sz val="10.0"/>
        <u/>
      </rPr>
      <t>Steisy Rodriguez</t>
    </r>
    <r>
      <rPr>
        <sz val="10.0"/>
      </rPr>
      <t xml:space="preserve">, </t>
    </r>
    <r>
      <rPr>
        <color rgb="FF1155CC"/>
        <sz val="10.0"/>
        <u/>
      </rPr>
      <t>Xilena Toris</t>
    </r>
    <r>
      <rPr>
        <sz val="10.0"/>
      </rPr>
      <t xml:space="preserve">, </t>
    </r>
    <r>
      <rPr>
        <color rgb="FF1155CC"/>
        <sz val="10.0"/>
        <u/>
      </rPr>
      <t>Aaliyah Aybar</t>
    </r>
    <r>
      <rPr>
        <sz val="10.0"/>
      </rPr>
      <t xml:space="preserve">, </t>
    </r>
    <r>
      <rPr>
        <color rgb="FF1155CC"/>
        <sz val="10.0"/>
        <u/>
      </rPr>
      <t>Mariama Diallo</t>
    </r>
    <r>
      <rPr>
        <sz val="10.0"/>
      </rPr>
      <t xml:space="preserve">, </t>
    </r>
    <r>
      <rPr>
        <color rgb="FF1155CC"/>
        <sz val="10.0"/>
        <u/>
      </rPr>
      <t>Jariel Fernandez</t>
    </r>
    <r>
      <rPr>
        <sz val="10.0"/>
      </rPr>
      <t xml:space="preserve">, </t>
    </r>
    <r>
      <rPr>
        <color rgb="FF1155CC"/>
        <sz val="10.0"/>
        <u/>
      </rPr>
      <t>Johalyn Perez</t>
    </r>
    <r>
      <rPr>
        <sz val="10.0"/>
      </rPr>
      <t xml:space="preserve">, </t>
    </r>
    <r>
      <rPr>
        <color rgb="FF1155CC"/>
        <sz val="10.0"/>
        <u/>
      </rPr>
      <t>Cleidy Ramirez</t>
    </r>
    <r>
      <rPr>
        <sz val="10.0"/>
      </rPr>
      <t xml:space="preserve">, </t>
    </r>
    <r>
      <rPr>
        <color rgb="FF1155CC"/>
        <sz val="10.0"/>
        <u/>
      </rPr>
      <t>Yuzhi Fang</t>
    </r>
    <r>
      <rPr>
        <sz val="10.0"/>
      </rPr>
      <t xml:space="preserve">, </t>
    </r>
    <r>
      <rPr>
        <color rgb="FF1155CC"/>
        <sz val="10.0"/>
        <u/>
      </rPr>
      <t>Elian Acosta</t>
    </r>
    <r>
      <rPr>
        <sz val="10.0"/>
      </rPr>
      <t xml:space="preserve">, </t>
    </r>
    <r>
      <rPr>
        <color rgb="FF1155CC"/>
        <sz val="10.0"/>
        <u/>
      </rPr>
      <t>Mouhamed Samb</t>
    </r>
    <r>
      <rPr>
        <sz val="10.0"/>
      </rPr>
      <t xml:space="preserve">, </t>
    </r>
    <r>
      <rPr>
        <color rgb="FF1155CC"/>
        <sz val="10.0"/>
        <u/>
      </rPr>
      <t>Zakaria Billa</t>
    </r>
    <r>
      <rPr>
        <sz val="10.0"/>
      </rPr>
      <t xml:space="preserve">, </t>
    </r>
    <r>
      <rPr>
        <color rgb="FF1155CC"/>
        <sz val="10.0"/>
        <u/>
      </rPr>
      <t>Nazim Bolotbekova</t>
    </r>
    <r>
      <rPr>
        <sz val="10.0"/>
      </rPr>
      <t xml:space="preserve">, </t>
    </r>
    <r>
      <rPr>
        <color rgb="FF1155CC"/>
        <sz val="10.0"/>
        <u/>
      </rPr>
      <t>Sanat Gaybullov</t>
    </r>
    <r>
      <rPr>
        <sz val="10.0"/>
      </rPr>
      <t xml:space="preserve"> and </t>
    </r>
    <r>
      <rPr>
        <color rgb="FF1155CC"/>
        <sz val="10.0"/>
        <u/>
      </rPr>
      <t>ansel castro</t>
    </r>
  </si>
  <si>
    <t>DeSoto 130, ELLIS, IHS Health, ClaremontIHS, WheelsNYC, FlushingIHS, ICHSBronx, GWHS</t>
  </si>
  <si>
    <t>Sloka</t>
  </si>
  <si>
    <t>Iyengar</t>
  </si>
  <si>
    <t>803-235-1116</t>
  </si>
  <si>
    <t>slokaiyengar2014@gmail.com</t>
  </si>
  <si>
    <t>4/3/23 CT sent follow up with CPC training dates 2/22/23 CT sent follow up on checking in email 2/9/23 CT sent check in email Not available for IR1 due to being very busy. 8/15/22 CT 5/18/22 SB sent re-engagement email Sloka replied to re-engagement email on 2/22/21 and said to reach back out to her in a couple of weeks (April - Round Three 2020-2021) Emailed her august 28th to set up a training call She said she isn't able to move forward in the process because she has a new job and has a-lot to do Sloka was screened on 3/26/2020 by Dona Rehm.</t>
  </si>
  <si>
    <t>583, 215th street, apt A2</t>
  </si>
  <si>
    <t>Bayside</t>
  </si>
  <si>
    <t>American Museum of Natural History</t>
  </si>
  <si>
    <t>Sarah Anne</t>
  </si>
  <si>
    <t>Mead Lupberger</t>
  </si>
  <si>
    <t>slupberger@proton.me</t>
  </si>
  <si>
    <t>3/1/24 WW emailed for IR3 1/18/24 not available for IR2 - started new job, SB asked for updated job info - new email is &amp;#34;slupberger@proton.me&amp;#34; - changed from Slupberger@gmail.com 1/11/23 SB sent email about IR2 Crotona 7/17/23 - SB sent email for IRS, BC called &amp;amp; left VM,  SB sent follow up text - Not available for IRS, just got back from medical leave and will be traveling a lot for work, but interested in IR1 Not available for Seminars until end of June. Not available for IR3 due to travelling. 4/7/22 CT 12/22/21 SB sent IR2 FY21-22 schedule list for matching Sarah asked to have her title updated to what it is now from Environmental sustainability and social justice,  my title is Landscapes Manager and her location from Calle Roma 463, Miraflores, Lima, Peru to what it is now -- DC (HJ, 11/10/21)</t>
  </si>
  <si>
    <t>D.C.</t>
  </si>
  <si>
    <t>Rainforest Alliance</t>
  </si>
  <si>
    <r>
      <rPr>
        <color rgb="FF1155CC"/>
        <sz val="10.0"/>
        <u/>
      </rPr>
      <t>Sergio Avila</t>
    </r>
    <r>
      <rPr>
        <sz val="10.0"/>
      </rPr>
      <t xml:space="preserve">, </t>
    </r>
    <r>
      <rPr>
        <color rgb="FF1155CC"/>
        <sz val="10.0"/>
        <u/>
      </rPr>
      <t>Sebastian Francisco</t>
    </r>
    <r>
      <rPr>
        <sz val="10.0"/>
      </rPr>
      <t xml:space="preserve">, </t>
    </r>
    <r>
      <rPr>
        <color rgb="FF1155CC"/>
        <sz val="10.0"/>
        <u/>
      </rPr>
      <t>Erika Matias</t>
    </r>
    <r>
      <rPr>
        <sz val="10.0"/>
      </rPr>
      <t xml:space="preserve">, </t>
    </r>
    <r>
      <rPr>
        <color rgb="FF1155CC"/>
        <sz val="10.0"/>
        <u/>
      </rPr>
      <t>Shirley Cullqui</t>
    </r>
    <r>
      <rPr>
        <sz val="10.0"/>
      </rPr>
      <t xml:space="preserve">, </t>
    </r>
    <r>
      <rPr>
        <color rgb="FF1155CC"/>
        <sz val="10.0"/>
        <u/>
      </rPr>
      <t>Stephanie Mendoza</t>
    </r>
    <r>
      <rPr>
        <sz val="10.0"/>
      </rPr>
      <t xml:space="preserve">, </t>
    </r>
    <r>
      <rPr>
        <color rgb="FF1155CC"/>
        <sz val="10.0"/>
        <u/>
      </rPr>
      <t>Miguel Gonzalez</t>
    </r>
    <r>
      <rPr>
        <sz val="10.0"/>
      </rPr>
      <t xml:space="preserve">, </t>
    </r>
    <r>
      <rPr>
        <color rgb="FF1155CC"/>
        <sz val="10.0"/>
        <u/>
      </rPr>
      <t>Sabrina Ashurova</t>
    </r>
    <r>
      <rPr>
        <sz val="10.0"/>
      </rPr>
      <t xml:space="preserve"> and </t>
    </r>
    <r>
      <rPr>
        <color rgb="FF1155CC"/>
        <sz val="10.0"/>
        <u/>
      </rPr>
      <t>Sayyora Khadjimatova</t>
    </r>
  </si>
  <si>
    <t>CypressHills, CrotonaIHS, IHS Health, GWHS</t>
  </si>
  <si>
    <t>Smrithi</t>
  </si>
  <si>
    <t>Prem</t>
  </si>
  <si>
    <t>smrpre@gmail.com</t>
  </si>
  <si>
    <t>12/27/22 CT not available for IR2, maybe second half of next year 12/08/22 CT asked about Wheels schedule for IR2 Smrithi attended a training webinar on 3/28/21 with JPS Smrithi was screened on 3/15/21 by JPS JPS emailed on 2/22/21 to schedule Smrithi for a screening call</t>
  </si>
  <si>
    <t>170 Vasser Drive, Piscataway, NJ, 08854</t>
  </si>
  <si>
    <t>Rutgers Robert Wood Johnson Medical School</t>
  </si>
  <si>
    <r>
      <rPr>
        <color rgb="FF1155CC"/>
        <sz val="10.0"/>
        <u/>
      </rPr>
      <t>Ahnaf Chowdhury</t>
    </r>
    <r>
      <rPr>
        <sz val="10.0"/>
      </rPr>
      <t xml:space="preserve"> and </t>
    </r>
    <r>
      <rPr>
        <color rgb="FF1155CC"/>
        <sz val="10.0"/>
        <u/>
      </rPr>
      <t>I Chean (Veronica) Hung</t>
    </r>
  </si>
  <si>
    <t>Suzette</t>
  </si>
  <si>
    <t>Nicole Bennett</t>
  </si>
  <si>
    <t>267-972-8302</t>
  </si>
  <si>
    <t>snbenn@hotmail.com</t>
  </si>
  <si>
    <t>7/18/23 WW emailed for IRS, PQ called- Not available for Summer Round. Asked if fall would work. 1/26/23 CT left voicemail &amp;amp; text for Suzette to confirm group of Interns for IR2 1/6/23 SB emailed for Queens match for IR2 - Suzette confirmed 5/4/22 Sophia reached out to ask about Wheels -- Hetal reached out to her and confirmed that she can do Tuesday (Wheels) but has class starting 9 in-person so she needs to start 8:15 am; Hetal asking Bryan to confirm 12/30/21 SB sent IR2 FY21-22 schedule list for matching JPS reached out to Suzette about a potential IR3 match on 4/7/21. No response. JPS reached out to schedule Suzette for a training (twice in feb 2021 and another time in March 2021). Suzette never responded. Soneya reached out three times via email (and called) during Feb of 2021. No response.  Hetal was able to reach her by phone and she said she completed screening and Instructional Guide -- can look for it in her email and send over. She can do a refresher training (2/19/21, HJ) Screening email already sent. 2/12/21 SU.</t>
  </si>
  <si>
    <t>7142 Limekiln Pike, Philadelphia PA 19138</t>
  </si>
  <si>
    <t>CAEL - Council for Adults and Experiential Learning &amp; Independent Starter School</t>
  </si>
  <si>
    <r>
      <rPr>
        <color rgb="FF1155CC"/>
        <sz val="10.0"/>
        <u/>
      </rPr>
      <t>Lisy Sanchez</t>
    </r>
    <r>
      <rPr>
        <sz val="10.0"/>
      </rPr>
      <t xml:space="preserve">, </t>
    </r>
    <r>
      <rPr>
        <color rgb="FF1155CC"/>
        <sz val="10.0"/>
        <u/>
      </rPr>
      <t>Jaylin Rosa Gonzalez</t>
    </r>
    <r>
      <rPr>
        <sz val="10.0"/>
      </rPr>
      <t xml:space="preserve">, </t>
    </r>
    <r>
      <rPr>
        <color rgb="FF1155CC"/>
        <sz val="10.0"/>
        <u/>
      </rPr>
      <t>Maria Ramirez</t>
    </r>
    <r>
      <rPr>
        <sz val="10.0"/>
      </rPr>
      <t xml:space="preserve">, </t>
    </r>
    <r>
      <rPr>
        <color rgb="FF1155CC"/>
        <sz val="10.0"/>
        <u/>
      </rPr>
      <t>Amonique Wynter</t>
    </r>
    <r>
      <rPr>
        <sz val="10.0"/>
      </rPr>
      <t xml:space="preserve">, </t>
    </r>
    <r>
      <rPr>
        <color rgb="FF1155CC"/>
        <sz val="10.0"/>
        <u/>
      </rPr>
      <t>Matthew Wright</t>
    </r>
    <r>
      <rPr>
        <sz val="10.0"/>
      </rPr>
      <t xml:space="preserve"> and </t>
    </r>
    <r>
      <rPr>
        <color rgb="FF1155CC"/>
        <sz val="10.0"/>
        <u/>
      </rPr>
      <t>Ephraim Orisakiya</t>
    </r>
  </si>
  <si>
    <t>WheelsNYC, QueensPrepAcad</t>
  </si>
  <si>
    <t>Sonya</t>
  </si>
  <si>
    <t>sonyarobinsonn@gmail.com</t>
  </si>
  <si>
    <t>8/18/23 - AT sent re-engagement message on LinkedIn. Awaiting response. 8/8/23 - AT sent re-engagement email. Awaiting response. 11/22/22 CT sent re-engagement email 5/24/22 SB sent re-engagement email 11/29/21 SB sent screening scheduling email</t>
  </si>
  <si>
    <t>178 Rue du Chateau des Rentiers</t>
  </si>
  <si>
    <t>Paris, France</t>
  </si>
  <si>
    <t>n/a (student at emlyon business school)</t>
  </si>
  <si>
    <t>Ebunoluwa</t>
  </si>
  <si>
    <t>Sotubo</t>
  </si>
  <si>
    <t>607-379-4553</t>
  </si>
  <si>
    <t>sotubo.ebun@gmail.com</t>
  </si>
  <si>
    <t>7/18/23 WW emailed for IRS, PC team followed up with text and call 10/5/22 Will not be available for IR2 b/c of busy workload 10/5/22 Messaged not available for IR1. SB responded asking for future rounds. 6/15/22 FY 21-22 IR3 she had low engagement from Interns and felt discouraged. Resulting in her feeling that re-scheduling sessions was not worth it. Give her a break for IRS and give her stronger students next round. 3/25/22 SB emailed asking for Seminar on 4/12 12/28/21 cannot do rounds in Jan-March, reach back out for rounds in April or after, SB 12/22/21 SB sent IR2 FY21-22 schedule list for matching JPS emailed on 2/10/21 to see if Ebun could be a champion for the IR2 20-21 session Ebunoluwa attended another CPC Training Webinar on 1/16/2021 with JPS at 11 am est</t>
  </si>
  <si>
    <t>227 Snyder Hill Rd, Ithaca</t>
  </si>
  <si>
    <t>Seattle, Washington</t>
  </si>
  <si>
    <t>Amazon Web Services (AWS)</t>
  </si>
  <si>
    <r>
      <rPr>
        <color rgb="FF1155CC"/>
        <sz val="10.0"/>
        <u/>
      </rPr>
      <t>Emely Nolasco</t>
    </r>
    <r>
      <rPr>
        <sz val="10.0"/>
      </rPr>
      <t xml:space="preserve">, </t>
    </r>
    <r>
      <rPr>
        <color rgb="FF1155CC"/>
        <sz val="10.0"/>
        <u/>
      </rPr>
      <t>Mouhamed Barry</t>
    </r>
    <r>
      <rPr>
        <sz val="10.0"/>
      </rPr>
      <t xml:space="preserve">, </t>
    </r>
    <r>
      <rPr>
        <color rgb="FF1155CC"/>
        <sz val="10.0"/>
        <u/>
      </rPr>
      <t>Shahzodabonu Davronova</t>
    </r>
    <r>
      <rPr>
        <sz val="10.0"/>
      </rPr>
      <t xml:space="preserve">, </t>
    </r>
    <r>
      <rPr>
        <color rgb="FF1155CC"/>
        <sz val="10.0"/>
        <u/>
      </rPr>
      <t>Khadim Ndiaye</t>
    </r>
    <r>
      <rPr>
        <sz val="10.0"/>
      </rPr>
      <t xml:space="preserve"> and </t>
    </r>
    <r>
      <rPr>
        <color rgb="FF1155CC"/>
        <sz val="10.0"/>
        <u/>
      </rPr>
      <t>Marwin Silverio Rodriguez</t>
    </r>
  </si>
  <si>
    <t>ClaremontIHS, ELLIS, NYC Mission - Emma Lazarus</t>
  </si>
  <si>
    <t>Issue 11 - 2/15/22</t>
  </si>
  <si>
    <t>Issue 11 - Jesse Spivack donated on behalf of Ebun 100</t>
  </si>
  <si>
    <t>Madhumitha</t>
  </si>
  <si>
    <t>Sowndararajan</t>
  </si>
  <si>
    <t>412-515-5347</t>
  </si>
  <si>
    <t>sowndararajan.madhumitha@gmail.com</t>
  </si>
  <si>
    <t>9/14/23 helped co-host a CCC 3/27/23 CT left voicemail &amp;amp; text asking to be Wheels Seminar Speaker 9/12/22 Not available for IR1 due to travelling to India in Nov &amp;amp; Dec. CT 3/21/22 CT not available for IR3 1/10/22 SB sent follow up email 1/5/22 SB sent IR2 FY21-22 schedule list for matching Madhumitha attended a CPC Training Webinar on 1/16/2021 with JPS at 11 am est Madhumitha shared on LinkedIn for mentors on March 23rd, 2020 - Hetal called to re-engage and left a voice message on 3/19/2020, Madhumitha and Hetal connected that evening and Madhumitha is happy to help out and share - uploaded to Kintone but marked as inactive/yellow until screening complete</t>
  </si>
  <si>
    <t>3071 Southwycke Terrace, Fremont, CA</t>
  </si>
  <si>
    <r>
      <rPr>
        <color rgb="FF1155CC"/>
        <sz val="10.0"/>
        <u/>
      </rPr>
      <t>Rasoul Sher Ahmad</t>
    </r>
    <r>
      <rPr>
        <sz val="10.0"/>
      </rPr>
      <t xml:space="preserve">, </t>
    </r>
    <r>
      <rPr>
        <color rgb="FF1155CC"/>
        <sz val="10.0"/>
        <u/>
      </rPr>
      <t>Asia Atta</t>
    </r>
    <r>
      <rPr>
        <sz val="10.0"/>
      </rPr>
      <t xml:space="preserve">, </t>
    </r>
    <r>
      <rPr>
        <color rgb="FF1155CC"/>
        <sz val="10.0"/>
        <u/>
      </rPr>
      <t>Baseria Atta</t>
    </r>
    <r>
      <rPr>
        <sz val="10.0"/>
      </rPr>
      <t xml:space="preserve">, </t>
    </r>
    <r>
      <rPr>
        <color rgb="FF1155CC"/>
        <sz val="10.0"/>
        <u/>
      </rPr>
      <t>Youssef Marzouk</t>
    </r>
    <r>
      <rPr>
        <sz val="10.0"/>
      </rPr>
      <t xml:space="preserve">, </t>
    </r>
    <r>
      <rPr>
        <color rgb="FF1155CC"/>
        <sz val="10.0"/>
        <u/>
      </rPr>
      <t>Aicha Doukoure</t>
    </r>
    <r>
      <rPr>
        <sz val="10.0"/>
      </rPr>
      <t xml:space="preserve">, </t>
    </r>
    <r>
      <rPr>
        <color rgb="FF1155CC"/>
        <sz val="10.0"/>
        <u/>
      </rPr>
      <t>Afrida Ahmed</t>
    </r>
    <r>
      <rPr>
        <sz val="10.0"/>
      </rPr>
      <t xml:space="preserve">, </t>
    </r>
    <r>
      <rPr>
        <color rgb="FF1155CC"/>
        <sz val="10.0"/>
        <u/>
      </rPr>
      <t>Sanzida Chowdhury</t>
    </r>
    <r>
      <rPr>
        <sz val="10.0"/>
      </rPr>
      <t xml:space="preserve"> and </t>
    </r>
    <r>
      <rPr>
        <color rgb="FF1155CC"/>
        <sz val="10.0"/>
        <u/>
      </rPr>
      <t>Naimatou Sefou Moussa</t>
    </r>
  </si>
  <si>
    <t>ClaremontIHS, CypressHills, QD24, FlushingIHS, ELLIS</t>
  </si>
  <si>
    <t>Issue 7, Issue 9, Issue 10, Issue 11</t>
  </si>
  <si>
    <t>Issue 7 - 12/14/20
Issue 9,10,11 - 2/8/22</t>
  </si>
  <si>
    <t xml:space="preserve">Issue 7 - 50
Issue 9,10,11 - 200 Summit ticket </t>
  </si>
  <si>
    <t>Sarrouf</t>
  </si>
  <si>
    <t>ssarrouf29@gmail.com</t>
  </si>
  <si>
    <t>1/10/24 emailed SB &amp;#34;I think it is best you take me off the list at this point. It's been so long since my training session with Speakhire and  my teaching load next quarter increases. The best time for me is from Sept-December.&amp;#34; 1/9/24 SB sent email for IR2 Crotona 7/7/23 Sandra S messaged SB, on holiday and won't be available until after 8/17. SB offered to send fall schedules when we get them 7/6/23 SB received an email from Sandra saying OOO until 7/14, sent a text about IRS 7/5/23 SB emailed again for IRS 6/26/23 SB emailed to see if available for IRS 2/28/23 Emailed &amp;#34;Shoot! I teach next quarter on Monday and Wedensdays from 10-12 PST.  (Which means i'm not really available from 9-1 those days).&amp;#34; - SB asked for wheels. None of the available times work - interested in next FY 2/24/23 SB emailed Sandra about IR3 Union Square availability and about Interns 1/12/23 emailed SB that this quarter is too busy for her at work and that she is interested in IR3 1/11/23 SB emailed for Ellis for IR2 11/3/22 Interested in IR2 SB 11/2/22 Not available for IR1 SB 10/14/22 Sandra emailed, &amp;#34;The earliest I am available is 8:30 am Pacific time, 11:30 EST, weekdays.&amp;#34; SB 10/13/22 SB emailed for wheels match 9/16/22 passed training with SB 3/15/22 available for fall sessions in 2022 (IR 1 2022) CT 3/15/22 CT Screening passed, sent Congrats email 3/9/22 SB sent screening scheduling email</t>
  </si>
  <si>
    <t>2335 Redwood Ct.</t>
  </si>
  <si>
    <t>Los Osos- California</t>
  </si>
  <si>
    <t>Los Osos</t>
  </si>
  <si>
    <t>Soraya</t>
  </si>
  <si>
    <t>Senosier</t>
  </si>
  <si>
    <t>202-758-5045</t>
  </si>
  <si>
    <t>ssenosier@gmail.com</t>
  </si>
  <si>
    <t>7/27/23 Soraya texted back explained she was on a work trip and will not available for IRS, SB asked about IR1 - she said she would be available 7/18/23 WW emailed for IRS, FG followed up with call and text 4/24/23 SB messaged about IR3 4/17/23 SB emailed for IR3 1/12/23 may speak Spanish - check comfort level in next communication 12/27/22 Don't reach out to her about references. They have been contacted in the past. CT 10/6/22 Soraya emailed back saying she cannot fo Thursdays but can due Mon/Tues. Hetal responded letting them know CRA team will be in contact on Thur or Fri. SB 10/5/22 SB called Soraya, interested in IR1 asked for details to be sent in email. SB sent over after call 6/15/22 FY 21-22 IR3 she had low engagement from Interns and felt discouraged. Resulting in her feeling that re-scheduling sessions was not worth it. Give her a break for IRS and give her stronger students next round. &amp;#34;Hello sophia. My apologies I forgot to respond to the message I was working on my Research program for an MA I'm completing. I am going to sit out of the next session it's been 2 years of study Plus work and other obligations. I'd like to take a bit of a rest.&amp;#34; 3/23/22 SB 12/28/21 SB sent IR2 FY21-22 schedule list for matching Norrell spoke with Soraya 03/20/202 regarding mentoring during COVID-19. She said yes, but dependent on schedule.</t>
  </si>
  <si>
    <t>1825 Summit place N.W., apt 102 Washington D.C. 20009</t>
  </si>
  <si>
    <t>International Development Bank</t>
  </si>
  <si>
    <r>
      <rPr>
        <color rgb="FF1155CC"/>
        <sz val="10.0"/>
        <u/>
      </rPr>
      <t>Josie Joseph</t>
    </r>
    <r>
      <rPr>
        <sz val="10.0"/>
      </rPr>
      <t xml:space="preserve">, </t>
    </r>
    <r>
      <rPr>
        <color rgb="FF1155CC"/>
        <sz val="10.0"/>
        <u/>
      </rPr>
      <t>Madusu Jabateh</t>
    </r>
    <r>
      <rPr>
        <sz val="10.0"/>
      </rPr>
      <t xml:space="preserve">, </t>
    </r>
    <r>
      <rPr>
        <color rgb="FF1155CC"/>
        <sz val="10.0"/>
        <u/>
      </rPr>
      <t>Mamadu Drame</t>
    </r>
    <r>
      <rPr>
        <sz val="10.0"/>
      </rPr>
      <t xml:space="preserve">, </t>
    </r>
    <r>
      <rPr>
        <color rgb="FF1155CC"/>
        <sz val="10.0"/>
        <u/>
      </rPr>
      <t>Adama Bah</t>
    </r>
    <r>
      <rPr>
        <sz val="10.0"/>
      </rPr>
      <t xml:space="preserve">, </t>
    </r>
    <r>
      <rPr>
        <color rgb="FF1155CC"/>
        <sz val="10.0"/>
        <u/>
      </rPr>
      <t>Rasel Ali</t>
    </r>
    <r>
      <rPr>
        <sz val="10.0"/>
      </rPr>
      <t xml:space="preserve">, </t>
    </r>
    <r>
      <rPr>
        <color rgb="FF1155CC"/>
        <sz val="10.0"/>
        <u/>
      </rPr>
      <t>Aliyah Maliq</t>
    </r>
    <r>
      <rPr>
        <sz val="10.0"/>
      </rPr>
      <t xml:space="preserve">, </t>
    </r>
    <r>
      <rPr>
        <color rgb="FF1155CC"/>
        <sz val="10.0"/>
        <u/>
      </rPr>
      <t>Karla Arriola</t>
    </r>
    <r>
      <rPr>
        <sz val="10.0"/>
      </rPr>
      <t xml:space="preserve">, </t>
    </r>
    <r>
      <rPr>
        <color rgb="FF1155CC"/>
        <sz val="10.0"/>
        <u/>
      </rPr>
      <t>Amonique Wynter</t>
    </r>
    <r>
      <rPr>
        <sz val="10.0"/>
      </rPr>
      <t xml:space="preserve">, </t>
    </r>
    <r>
      <rPr>
        <color rgb="FF1155CC"/>
        <sz val="10.0"/>
        <u/>
      </rPr>
      <t>D'marjia Rankine</t>
    </r>
    <r>
      <rPr>
        <sz val="10.0"/>
      </rPr>
      <t xml:space="preserve"> and </t>
    </r>
    <r>
      <rPr>
        <color rgb="FF1155CC"/>
        <sz val="10.0"/>
        <u/>
      </rPr>
      <t>Jason Garcia</t>
    </r>
  </si>
  <si>
    <t>GWHS, ClaremontIHS, ICHSBronx, QueensPrepAcad</t>
  </si>
  <si>
    <t>Venu</t>
  </si>
  <si>
    <t>GR</t>
  </si>
  <si>
    <t>starnelceo@gmail.com</t>
  </si>
  <si>
    <t>2/24/23 Did not meet requirements (SB sent email) - does not seem to have relevant US experience</t>
  </si>
  <si>
    <t>India</t>
  </si>
  <si>
    <t>RMIT University Mentor</t>
  </si>
  <si>
    <t>Mikhin</t>
  </si>
  <si>
    <t>908-347-7526</t>
  </si>
  <si>
    <t>suemikhin@gmail.com</t>
  </si>
  <si>
    <t>2/27/23 CT sent follow up regarding training &amp;amp; info to update profile 2/21/23 passed screening with SB - sending training email and request for bio, pic,  updated resume 2/21/23 CT sent follow up regarding Screening Call 2/16/23 CT Susan wants to become a CPC, sent her email to pick screening time slot. 2/9/23 CT sent re-engagement email 5/22/22 SB sent re-engagement email Susan replied to outreach on 7/21/21 and said that she started a new position on 7/19/21 and &amp;#34;really need to focus on learning my new role now.  Maybe next year?&amp;#34; JPS  asked if we should follow up near November when the next Foundational Year begins (via Champions@speakhire.org) HH (Hend) called on 7/20/21 and Susan said she wanted an email with more information about the program. JPS sent email on 7/20/21. JPS sent an outreach email on 6/2/21 asked to unsubscribe from our mentor email list on June 4th -- saying work is busy and she'll 'sign back up' later -- does this mean we reach out to her to see if she's still interested in mentoring? (HJ, 6/4/2020)</t>
  </si>
  <si>
    <t>6811 Signature Circle, Alexandria, VA 22310</t>
  </si>
  <si>
    <t>Virginia</t>
  </si>
  <si>
    <t>Department of State</t>
  </si>
  <si>
    <t>Sumeyya</t>
  </si>
  <si>
    <t>Ashraf Khan</t>
  </si>
  <si>
    <t>917-576-7970</t>
  </si>
  <si>
    <t>sumeyya.ashraf@aya.yale.edu</t>
  </si>
  <si>
    <t>12/30/21 SB sent IR2 FY21-22 schedule list for matching</t>
  </si>
  <si>
    <t>1688 Pine Street, San Francisco, CA 94109</t>
  </si>
  <si>
    <r>
      <rPr>
        <color rgb="FF1155CC"/>
        <sz val="10.0"/>
        <u/>
      </rPr>
      <t>Jahzion Plummer</t>
    </r>
    <r>
      <rPr>
        <sz val="10.0"/>
      </rPr>
      <t xml:space="preserve"> and </t>
    </r>
    <r>
      <rPr>
        <color rgb="FF1155CC"/>
        <sz val="10.0"/>
        <u/>
      </rPr>
      <t>Bradley Edwards</t>
    </r>
  </si>
  <si>
    <t>Sunaina</t>
  </si>
  <si>
    <t>617-417-9662</t>
  </si>
  <si>
    <t>Sunaimeh@gmail.com</t>
  </si>
  <si>
    <t>Facilitate for connections: 11/1 WW sent email, 11/7 Sunaina said will follow up with ppl on the list, 11/13 WW follow up again 10/10/23 info-session set for Oct 23, 7PM EST 9/20/23 Meeting for info session - need Star training - Star 1 She has reservations about sharing certain success stories from her FY rounds - notable incidents include students passing around food and some taking shifts at Burger King while being on the call, leading to doubts about the genuine participation of everyone. 9/17/23 WW emailed for Champion-led info session, Sunaina agreed 7/17/23 - SB sent email for IRS, BC called &amp;amp; left VM,  SB sent follow up text Led CCC 3/30/23 Sunaina made the #ChampionItForward video 7/17/23 SB send email for IRS 4/25/23 SB emailed for IR3 Keep in mind for meeting of California Champions and board 1/31/23 Confirmed group with HJ over phone for IR2. Mentioned new last name is Mehta (old last name is  Sainath) because of divorce. Left HP 2 weeks ago due to burnout - keep job info the same for this round, but check in for an update for future rounds 1/17/23 SB emailed Ellis schedule 12/16/22 emailed back saying - &amp;#34; I?m pretty flexible at the moment. Ideally not Thursday as it?s very early for me.&amp;#34; SB told her we would let her know what group we have in mind for her and can check the schedule then 12/13/22 SB followed up with email about IR2 12/7/22 SB sent schedules for IR2 12/6/22 HJ let SB know  Sunaina is interested in IR2 10/11/22 Not available for IR1. CT 3/14/22 Not available for IR3 but reach out for future rounds. CT HJ updated her last name from Sainath to Mehta and her email address from sunaina.sainath@gmail.com to what it is now Struggles with her interns and their involvement. Open to being a champion again but we will need to find strong matches for her next round. 8/17/21 SB Sunaina emailed Hetal on 3/26/2020 saying she'd love to help during COVID-19. Hetal called on March 19, 2020 to re-engage and marked as Active mentor because Sunaina has donated previously during campaigns.  Donated June 2019 </t>
  </si>
  <si>
    <t>6217 Village Green Drive, Carlsbad</t>
  </si>
  <si>
    <t>Seminars 21, FY 22 - 23, FY 21 - 22</t>
  </si>
  <si>
    <r>
      <rPr>
        <color rgb="FF1155CC"/>
        <sz val="10.0"/>
        <u/>
      </rPr>
      <t>Mohamed Danso</t>
    </r>
    <r>
      <rPr>
        <sz val="10.0"/>
      </rPr>
      <t xml:space="preserve">, </t>
    </r>
    <r>
      <rPr>
        <color rgb="FF1155CC"/>
        <sz val="10.0"/>
        <u/>
      </rPr>
      <t>Aboubacar Barry</t>
    </r>
    <r>
      <rPr>
        <sz val="10.0"/>
      </rPr>
      <t xml:space="preserve">, </t>
    </r>
    <r>
      <rPr>
        <color rgb="FF1155CC"/>
        <sz val="10.0"/>
        <u/>
      </rPr>
      <t>Mario Brito</t>
    </r>
    <r>
      <rPr>
        <sz val="10.0"/>
      </rPr>
      <t xml:space="preserve">, </t>
    </r>
    <r>
      <rPr>
        <color rgb="FF1155CC"/>
        <sz val="10.0"/>
        <u/>
      </rPr>
      <t>Giosmar (Gio) De Luna</t>
    </r>
    <r>
      <rPr>
        <sz val="10.0"/>
      </rPr>
      <t xml:space="preserve">, </t>
    </r>
    <r>
      <rPr>
        <color rgb="FF1155CC"/>
        <sz val="10.0"/>
        <u/>
      </rPr>
      <t>Walter Ramos</t>
    </r>
    <r>
      <rPr>
        <sz val="10.0"/>
      </rPr>
      <t xml:space="preserve">, </t>
    </r>
    <r>
      <rPr>
        <color rgb="FF1155CC"/>
        <sz val="10.0"/>
        <u/>
      </rPr>
      <t>Qingyang Lin</t>
    </r>
    <r>
      <rPr>
        <sz val="10.0"/>
      </rPr>
      <t xml:space="preserve">, </t>
    </r>
    <r>
      <rPr>
        <color rgb="FF1155CC"/>
        <sz val="10.0"/>
        <u/>
      </rPr>
      <t>Liuyi Qiu</t>
    </r>
    <r>
      <rPr>
        <sz val="10.0"/>
      </rPr>
      <t xml:space="preserve"> and </t>
    </r>
    <r>
      <rPr>
        <color rgb="FF1155CC"/>
        <sz val="10.0"/>
        <u/>
      </rPr>
      <t>Homero Mendoza</t>
    </r>
  </si>
  <si>
    <t>CypressHills, ELLIS, FlushingIHS</t>
  </si>
  <si>
    <t>Susanna</t>
  </si>
  <si>
    <t>Margareta Sabahi</t>
  </si>
  <si>
    <t>susannasabahi@gmail.com</t>
  </si>
  <si>
    <t>8/18 - AT sent re-engagement message on LinkedIn. Awaiting response. 8/8/2023 - AT sent a re-engagement email to check if they would still like to Champion at SPEAKHIRE. Awaiting response.  4/3/23 CT sent follow up with CPC training dates 2/22/23 CT sent follow up email to re-engage 2/9/23 CT sent re-engagement email 11/22/22 CT sent re-engagement email with training dates 5/18/22 SB sent re-engagement email 12/27/21 SB sent follow up 12/21/21 SB sent IR2 FY21-22 schedule list for matching Susanna had put this as her job title when she applied: &amp;#34;Self Employed (2 Small consultancy businesses) and PT work at an International Firlm as a Career Consultant&amp;#34; but Hetal updated to her current job title and company on LinkedIn -- employed there as of April 2021 (HJ 10/22/21) Susanna was screened by SU on 3/6/21 JPS emailed on 2/9/2021 to check status uploaded to Kintone but marked as inactive/yellow until screening complete</t>
  </si>
  <si>
    <t>18 Delgado Place, San Francisco</t>
  </si>
  <si>
    <t>Korn Ferry &amp; Planet Simple (owner), @Roomrevive (owner), Lee Hecht Harrison</t>
  </si>
  <si>
    <t>Simpkins</t>
  </si>
  <si>
    <t>susans@slac.stanford.edu</t>
  </si>
  <si>
    <t>5/24/22 SB sent re-engagement email Sent scheduling a screening email 3/2/21. SU. Hetal sent a screening email 03/04/21. Soneya send a follow up - screening email 3/9/21. Susan states she cant commit to becoming a mentor at the moment cause she is in maternity leave. Will send a reminder again in the next cycle. 3/17/2021. SU. Marked as inactive/yellow because labeled as &amp;#34;unavailable&amp;#34; on Foundational Mentor Sheet</t>
  </si>
  <si>
    <t>3130 Alpine Rd, STE 288-190 Portola Valley, CA 94028</t>
  </si>
  <si>
    <t>Portola Valley, CA</t>
  </si>
  <si>
    <t>Portola Valley</t>
  </si>
  <si>
    <t>Stanford University SLAC National Accelerator Laboratory</t>
  </si>
  <si>
    <t>Philipose</t>
  </si>
  <si>
    <t>917-288-8593</t>
  </si>
  <si>
    <t>susanvp@gmail.com</t>
  </si>
  <si>
    <t>2/16/24 SB notes from HJ - Susan had surgery last year, dont reach out for Championing right now 1/18/24 SB emailed for National Women Physician Day and to try and re-engage 3/7/23 SB sent message for IR3 3/1/23 SB emailed for IR3 and sent About Interns 12/15/22 CT Not available for IR2. Busy until Mid-March with extra work. Asked for IR3. 12/08/22 CT asked about Wheels schedule for IR2 8/15/22 SB followed up about email 8/11/22 SB messaged because her email is bouncing back, asked for updated one. 3/21/22 Not available for IR3 CT Round One availability as of 10/9/2020: 11/4, 11/14 at 4 pm, 11/18,  12/9 confirmed ER Surgeon - schedule has to be flexible</t>
  </si>
  <si>
    <t>Queens NY</t>
  </si>
  <si>
    <t>Jamaica Hospital</t>
  </si>
  <si>
    <r>
      <rPr>
        <color rgb="FF1155CC"/>
        <sz val="10.0"/>
        <u/>
      </rPr>
      <t>Shabiha Rahman</t>
    </r>
    <r>
      <rPr>
        <sz val="10.0"/>
      </rPr>
      <t xml:space="preserve">, </t>
    </r>
    <r>
      <rPr>
        <color rgb="FF1155CC"/>
        <sz val="10.0"/>
        <u/>
      </rPr>
      <t>Saima Akter</t>
    </r>
    <r>
      <rPr>
        <sz val="10.0"/>
      </rPr>
      <t xml:space="preserve">, </t>
    </r>
    <r>
      <rPr>
        <color rgb="FF1155CC"/>
        <sz val="10.0"/>
        <u/>
      </rPr>
      <t>Ashmel Martinez</t>
    </r>
    <r>
      <rPr>
        <sz val="10.0"/>
      </rPr>
      <t xml:space="preserve"> and </t>
    </r>
    <r>
      <rPr>
        <color rgb="FF1155CC"/>
        <sz val="10.0"/>
        <u/>
      </rPr>
      <t>Bianka Pena</t>
    </r>
  </si>
  <si>
    <t>SOF, ELLIS</t>
  </si>
  <si>
    <t>Issue 10,11 - $100</t>
  </si>
  <si>
    <t>Syed</t>
  </si>
  <si>
    <t>Hussain</t>
  </si>
  <si>
    <t>syed@civilian.com</t>
  </si>
  <si>
    <t>Syed was trained on 10/20/2020 at 5:15 pm EST by Jennifer Peterson-Sharma Syed was screened on 9/29/2020 at 4:30 pm by Jennifer Peterson-Sharma Syed is scheduled for a Screening Call on 9/29/2020. Emailed on 9/28/2020 about scheduling a Mentor Screening Call</t>
  </si>
  <si>
    <t>3661 Alabama St, San Diego</t>
  </si>
  <si>
    <t>Civilian</t>
  </si>
  <si>
    <r>
      <rPr>
        <color rgb="FF1155CC"/>
        <sz val="10.0"/>
        <u/>
      </rPr>
      <t>Nazim Bolotbekova</t>
    </r>
    <r>
      <rPr>
        <sz val="10.0"/>
      </rPr>
      <t xml:space="preserve"> and </t>
    </r>
    <r>
      <rPr>
        <color rgb="FF1155CC"/>
        <sz val="10.0"/>
        <u/>
      </rPr>
      <t>Sanat Gaybullov</t>
    </r>
  </si>
  <si>
    <t>Zhou</t>
  </si>
  <si>
    <t>szhou3492@gmail.com</t>
  </si>
  <si>
    <t>7/15/23 SB emailed for IRS 3/21/22 Not available for IR3 CT 12/28/21 SB sent IR2 FY21-22 schedule list for matching Stephanie was trained on 9/12/2020 with Jennifer Peterson-Sharma and Kiesha Charles. Stephanie is scheduled to complete the Training Webinar on 9/12/2020. Is someone who would like to only have one mentee pair matched to start. Screening call was conducted on 9/1/2020 at 3pm with Jennifer Peterson-Sharma. She passed but is someone who may need additional training/reminders to remain focused on mentee during this process. Otherwise great. Screening call set up for 9/1/2020 at 3 pm EST Emailed on 8/27/2020 about setting up screening call.</t>
  </si>
  <si>
    <t>1675 Hays St. #203 San Leandro CA 94577</t>
  </si>
  <si>
    <t>Great Place to Work</t>
  </si>
  <si>
    <r>
      <rPr>
        <color rgb="FF1155CC"/>
        <sz val="10.0"/>
        <u/>
      </rPr>
      <t>Jia Meng Woon</t>
    </r>
    <r>
      <rPr>
        <sz val="10.0"/>
      </rPr>
      <t xml:space="preserve">, </t>
    </r>
    <r>
      <rPr>
        <color rgb="FF1155CC"/>
        <sz val="10.0"/>
        <u/>
      </rPr>
      <t>Xiuyan Piao</t>
    </r>
    <r>
      <rPr>
        <sz val="10.0"/>
      </rPr>
      <t xml:space="preserve">, </t>
    </r>
    <r>
      <rPr>
        <color rgb="FF1155CC"/>
        <sz val="10.0"/>
        <u/>
      </rPr>
      <t>Asmaa Alkhadashi</t>
    </r>
    <r>
      <rPr>
        <sz val="10.0"/>
      </rPr>
      <t xml:space="preserve"> and </t>
    </r>
    <r>
      <rPr>
        <color rgb="FF1155CC"/>
        <sz val="10.0"/>
        <u/>
      </rPr>
      <t>Arwa Alhaj</t>
    </r>
  </si>
  <si>
    <t>FlushingIHS, ELLIS</t>
  </si>
  <si>
    <t>Oluwatomisin (Tomi)</t>
  </si>
  <si>
    <t>Adesokan</t>
  </si>
  <si>
    <t>862-250-3223</t>
  </si>
  <si>
    <t>tadesokan@gmail.com</t>
  </si>
  <si>
    <t>3/4/24 WW emailed for IR3 2/7/23 CT called, Tomi is not available until September 23 1/5/23 SB called Tomi - answered but she was in a meeting and said she would call back, SB followed up with text 1/3/23 SB sent another follow up 12/20/22 SB followed up for IR2 matching 12/16/22 SB emailed for match 4/20/22 Not available for IR3. CT 1/10/22 SB sent follow up email 1/5/22 SB sent IR2 FY21-22 schedule list for matching</t>
  </si>
  <si>
    <t>22 Wiley Court, morris plains</t>
  </si>
  <si>
    <t>New Jersey/ New York</t>
  </si>
  <si>
    <t>Music Choice</t>
  </si>
  <si>
    <t>FY 20 - 21, FY 19 - 20</t>
  </si>
  <si>
    <r>
      <rPr>
        <color rgb="FF1155CC"/>
        <sz val="10.0"/>
        <u/>
      </rPr>
      <t>Mama Kouyate</t>
    </r>
    <r>
      <rPr>
        <sz val="10.0"/>
      </rPr>
      <t xml:space="preserve">, </t>
    </r>
    <r>
      <rPr>
        <color rgb="FF1155CC"/>
        <sz val="10.0"/>
        <u/>
      </rPr>
      <t>Mimi Kante</t>
    </r>
    <r>
      <rPr>
        <sz val="10.0"/>
      </rPr>
      <t xml:space="preserve">, </t>
    </r>
    <r>
      <rPr>
        <color rgb="FF1155CC"/>
        <sz val="10.0"/>
        <u/>
      </rPr>
      <t>Soiree Williams</t>
    </r>
    <r>
      <rPr>
        <sz val="10.0"/>
      </rPr>
      <t xml:space="preserve">, </t>
    </r>
    <r>
      <rPr>
        <color rgb="FF1155CC"/>
        <sz val="10.0"/>
        <u/>
      </rPr>
      <t>Destiny Perry</t>
    </r>
    <r>
      <rPr>
        <sz val="10.0"/>
      </rPr>
      <t xml:space="preserve"> and </t>
    </r>
    <r>
      <rPr>
        <color rgb="FF1155CC"/>
        <sz val="10.0"/>
        <u/>
      </rPr>
      <t>Cilicia Cummings</t>
    </r>
  </si>
  <si>
    <t>ELLIS, East Brunswick HS</t>
  </si>
  <si>
    <t>Tania</t>
  </si>
  <si>
    <t>tanialopez0128@gmail.com</t>
  </si>
  <si>
    <t>3/7/23 Tania emailed, &amp;#34;I will not be available for the next two years. I?m currently pregnant and plan on focusing as much as possible on my pregnancy and baby. I can email you guys if anything changes and hope to be available later on in the future.&amp;#34; - marking inactive. Follow up for IR3 2025 SB 3/6/23 not available for IR3 SB 7/12/22 unavailable for IR1 SB 7/12/22 SB messaged for IRS match - Tania unavailable for IRS 3/28 CT not available for IR3 12/22/21 SB sent IR2 FY21-22 schedule list for matching Tania said on 10/27/2020 that she is unable to mentor for the Round One sessions that begin in November of 2020 (JPS, October 2020) Hetal called on March 19, 2020 during COVID-19 and she agreed to help. In a masters program right now. Speaks Spanish. Can share the word.  Norrell spoke with Tania May 9th, 2020. Tania cannot mentor right now and might be more free in the fall. Do not reach out until Fall 2020</t>
  </si>
  <si>
    <t>431 Audubon Ave</t>
  </si>
  <si>
    <t>The Legal Aid Society</t>
  </si>
  <si>
    <t>FY 21 - 22, FY 17 - 18</t>
  </si>
  <si>
    <r>
      <rPr>
        <color rgb="FF1155CC"/>
        <sz val="10.0"/>
        <u/>
      </rPr>
      <t>Eliana Cabral</t>
    </r>
    <r>
      <rPr>
        <sz val="10.0"/>
      </rPr>
      <t xml:space="preserve">, </t>
    </r>
    <r>
      <rPr>
        <color rgb="FF1155CC"/>
        <sz val="10.0"/>
        <u/>
      </rPr>
      <t>Chanely Astacio</t>
    </r>
    <r>
      <rPr>
        <sz val="10.0"/>
      </rPr>
      <t xml:space="preserve">, </t>
    </r>
    <r>
      <rPr>
        <color rgb="FF1155CC"/>
        <sz val="10.0"/>
        <u/>
      </rPr>
      <t>Reina Guardado</t>
    </r>
    <r>
      <rPr>
        <sz val="10.0"/>
      </rPr>
      <t xml:space="preserve"> and </t>
    </r>
    <r>
      <rPr>
        <color rgb="FF1155CC"/>
        <sz val="10.0"/>
        <u/>
      </rPr>
      <t>Mimi Agbobli</t>
    </r>
  </si>
  <si>
    <t>ELLIS, American History</t>
  </si>
  <si>
    <t>Tanusree</t>
  </si>
  <si>
    <t>Munshi</t>
  </si>
  <si>
    <t>510-673-1992</t>
  </si>
  <si>
    <t>tanusreemunshi@yahoo.com</t>
  </si>
  <si>
    <t>10/04/22 Not available until after her graduation in 2024. Fulltime work and part time school at the moment. CT 1/10/22 SB sent follow up email 1/5/22 SB sent IR2 FY21-22 schedule list for matching JPS emailed on 1/5/2021 to check her engagement status, no response as of 1/14/2021. Followed up on 1/14/2021.</t>
  </si>
  <si>
    <t>38883 Helen Way, Fremont</t>
  </si>
  <si>
    <r>
      <rPr>
        <color rgb="FF1155CC"/>
        <sz val="10.0"/>
        <u/>
      </rPr>
      <t>Kiara Hernandez Sosa</t>
    </r>
    <r>
      <rPr>
        <sz val="10.0"/>
      </rPr>
      <t xml:space="preserve"> and </t>
    </r>
    <r>
      <rPr>
        <color rgb="FF1155CC"/>
        <sz val="10.0"/>
        <u/>
      </rPr>
      <t>Wendy Urias</t>
    </r>
  </si>
  <si>
    <t>Tanya</t>
  </si>
  <si>
    <t>Toko</t>
  </si>
  <si>
    <t>818-554-6609</t>
  </si>
  <si>
    <t>tanyatoko1@gmail.com</t>
  </si>
  <si>
    <t>Tanya made the #ChampionItForward video 12/13/22 SB emailed to follow up for IR2 - Tanya responded saying Mondays worked best for you 12/9/22 Wheels time too early - dropping kids off at school - SB emailed other times 12/08/22 CT asked about Wheels schedule for IR2 12/22/21 SB sent IR2 FY21-22 schedule list for matching Emailed references on 9/29/2020 Tanya was trained on 9/28/2020 at 7:30 pm EST with Jennifer Peterson-Sharma and Kiesha Charles. Tanya has signed up for a Training Webinar on 9/28/2020. She submitted her onboarding material on 9/22/2020. Tanya said she would be able to accommodate the match at either 11 am Wed or 1pm Wed, though she would prefer 1 pm.  Emailed Tanya on 9/11/2020 to ask if she would be able to accommodate a mentee match for Wed. at 8 am or Wed. at 10 am.  Tanya would like to start with one mentor pair,  she prefers to be matched with mentees of a similar background/language, if possible. Mentor Screening Call conducted on 9/10/2020 by Jennifer Peterson-Sharma at 2 pm EST. Mentor Screening Call is scheduled for 9/9/2020. Emailed on 8/31/2020 about setting up screening call</t>
  </si>
  <si>
    <t>14301 Lorne St, LA, CA</t>
  </si>
  <si>
    <t>Los Angeles area</t>
  </si>
  <si>
    <t>Brookfield Properties</t>
  </si>
  <si>
    <t>Seminars 22, FY 20 - 21, FY 21 - 22</t>
  </si>
  <si>
    <r>
      <rPr>
        <color rgb="FF1155CC"/>
        <sz val="10.0"/>
        <u/>
      </rPr>
      <t>Karidjatou Kone</t>
    </r>
    <r>
      <rPr>
        <sz val="10.0"/>
      </rPr>
      <t xml:space="preserve">, </t>
    </r>
    <r>
      <rPr>
        <color rgb="FF1155CC"/>
        <sz val="10.0"/>
        <u/>
      </rPr>
      <t>Mohamed Danso</t>
    </r>
    <r>
      <rPr>
        <sz val="10.0"/>
      </rPr>
      <t xml:space="preserve">, </t>
    </r>
    <r>
      <rPr>
        <color rgb="FF1155CC"/>
        <sz val="10.0"/>
        <u/>
      </rPr>
      <t>Naimatou Sefou Moussa</t>
    </r>
    <r>
      <rPr>
        <sz val="10.0"/>
      </rPr>
      <t xml:space="preserve">, </t>
    </r>
    <r>
      <rPr>
        <color rgb="FF1155CC"/>
        <sz val="10.0"/>
        <u/>
      </rPr>
      <t>Assane Thiam</t>
    </r>
    <r>
      <rPr>
        <sz val="10.0"/>
      </rPr>
      <t xml:space="preserve">, </t>
    </r>
    <r>
      <rPr>
        <color rgb="FF1155CC"/>
        <sz val="10.0"/>
        <u/>
      </rPr>
      <t>Ousmane Nabe</t>
    </r>
    <r>
      <rPr>
        <sz val="10.0"/>
      </rPr>
      <t xml:space="preserve">, </t>
    </r>
    <r>
      <rPr>
        <color rgb="FF1155CC"/>
        <sz val="10.0"/>
        <u/>
      </rPr>
      <t>Djaka Kante</t>
    </r>
    <r>
      <rPr>
        <sz val="10.0"/>
      </rPr>
      <t xml:space="preserve">, </t>
    </r>
    <r>
      <rPr>
        <color rgb="FF1155CC"/>
        <sz val="10.0"/>
        <u/>
      </rPr>
      <t>Bibi Borber</t>
    </r>
    <r>
      <rPr>
        <sz val="10.0"/>
      </rPr>
      <t xml:space="preserve">, </t>
    </r>
    <r>
      <rPr>
        <color rgb="FF1155CC"/>
        <sz val="10.0"/>
        <u/>
      </rPr>
      <t>Saidatou Diallo</t>
    </r>
    <r>
      <rPr>
        <sz val="10.0"/>
      </rPr>
      <t xml:space="preserve">, </t>
    </r>
    <r>
      <rPr>
        <color rgb="FF1155CC"/>
        <sz val="10.0"/>
        <u/>
      </rPr>
      <t>Safiatou Jalloh</t>
    </r>
    <r>
      <rPr>
        <sz val="10.0"/>
      </rPr>
      <t xml:space="preserve">, </t>
    </r>
    <r>
      <rPr>
        <color rgb="FF1155CC"/>
        <sz val="10.0"/>
        <u/>
      </rPr>
      <t>Leila Titikpina</t>
    </r>
    <r>
      <rPr>
        <sz val="10.0"/>
      </rPr>
      <t xml:space="preserve">, </t>
    </r>
    <r>
      <rPr>
        <color rgb="FF1155CC"/>
        <sz val="10.0"/>
        <u/>
      </rPr>
      <t>Amizo Kante</t>
    </r>
    <r>
      <rPr>
        <sz val="10.0"/>
      </rPr>
      <t xml:space="preserve"> and </t>
    </r>
    <r>
      <rPr>
        <color rgb="FF1155CC"/>
        <sz val="10.0"/>
        <u/>
      </rPr>
      <t>Mimi Kante</t>
    </r>
  </si>
  <si>
    <t>IHSUnionSquare, ELLIS, CrotonaIHS, Frankford</t>
  </si>
  <si>
    <t>Issue 5, Issue 7, Issue 9, Issue 10, Issue 11, Issue 8</t>
  </si>
  <si>
    <t>7 - 12/14/20
8,9,10,11 - 2/8/22</t>
  </si>
  <si>
    <t xml:space="preserve">Issue 7 - 75
Issue 8,9,10,11 - 100 donated on behalf of by David Stifter + $650 self + $100 for Leila gift + 50 Summit ticket </t>
  </si>
  <si>
    <t>Tara</t>
  </si>
  <si>
    <t>Shajan</t>
  </si>
  <si>
    <t>tarasajan@yahoo.com</t>
  </si>
  <si>
    <t>HJ called Tara 2/3/23 and reached her -- she said in a meeting and will call back (4:50 pm est.) 1/5/23 SB sent text about IR2 availability - Tara unavailable right now due to a busy schedule asked to be reached back out to in September of 2023. SB asked about references - only  Dincil george is still good to reach out to, said she would send a replacement and their info 1/3/23 SB followed up for IR2 availability 12/27/22 SB followed up in email about availability 12/19/22 Tara emailed back saying she will check schedule tomorrow and let us know. SB 12/15/22 SB followed up for IR2 match 12/13/22 SB emailed for IR2 Monday availability Not available for IR1 but reach out for IR2. CT 09/29/22 She served in the Army and can be Matched for pilots, Armed Services. She only did IR2 New position?  7/5/22 LG called, texted for IRS availability 2/22/22 SB sent congrats email with training info Charlotte reached out on Feb 20, Hetal followed up to schedule her for screening on 2/21/22 -- passed screening (she came to us from a CRP (NAINA: https://speakhire.kintone.com/k/44/show#record&amp;#61;5) Followed up again 10/12/21 SB Followed up on 10/5/21 SB Tara asked for more appointment slots, SB told her how to access following weeks on the schedule 10/24/21 Sent screening scheduling email on 9/22/21</t>
  </si>
  <si>
    <t>57 Mckinley Ave , Albertson NY 11507</t>
  </si>
  <si>
    <t>New york</t>
  </si>
  <si>
    <t>Albertson</t>
  </si>
  <si>
    <t>Montefiore Medical Center</t>
  </si>
  <si>
    <r>
      <rPr>
        <color rgb="FF1155CC"/>
        <sz val="10.0"/>
        <u/>
      </rPr>
      <t>Ana Fabian</t>
    </r>
    <r>
      <rPr>
        <sz val="10.0"/>
      </rPr>
      <t xml:space="preserve">, </t>
    </r>
    <r>
      <rPr>
        <color rgb="FF1155CC"/>
        <sz val="10.0"/>
        <u/>
      </rPr>
      <t>Greisi Colon</t>
    </r>
    <r>
      <rPr>
        <sz val="10.0"/>
      </rPr>
      <t xml:space="preserve">, </t>
    </r>
    <r>
      <rPr>
        <color rgb="FF1155CC"/>
        <sz val="10.0"/>
        <u/>
      </rPr>
      <t>Aboubacar Sidiki Djoumande</t>
    </r>
    <r>
      <rPr>
        <sz val="10.0"/>
      </rPr>
      <t xml:space="preserve"> and </t>
    </r>
    <r>
      <rPr>
        <color rgb="FF1155CC"/>
        <sz val="10.0"/>
        <u/>
      </rPr>
      <t>Enmanuel Gervacio Rodriguez</t>
    </r>
  </si>
  <si>
    <t>Tatiana</t>
  </si>
  <si>
    <t>Nechaeva</t>
  </si>
  <si>
    <t>tatiana.g.nechaeva@gmail.com</t>
  </si>
  <si>
    <t>1/4/22 unavailable for IR2 - &amp;#34;my schedule is client driven and I m often pulled into meetings last minute and also in the car a lot&amp;#34; SB responded asking if she knew anyone who may be interested in being a Champion and that we would reach out for future rounds 1/3/23 SB followed up about Monday schedule for IR2 12/20/22 emailed &amp;#34;Mondays work better for me but some I may not be available due to work and client meetings.&amp;#34; - SB responded with Monday session dates and asked which ones would have conflicts 12/19/22 emailed saying, &amp;#34;Tuesday at 4pm doesn?t work for me as I have a recurring meeting at work&amp;#34; SB emailed other schedules 12/15/22 SB emailed for ellis match 9/21/22 Not available for IR1 but probably in early 2023 again. CT 7/5/22 SB emailed for IRS match 4/1/22 Not available for IR3 CT 1/6/22 SB sent follow up email about IR2 12/21/21 SB sent Tatiana a text about match for IR1 FY21-22 Double checked 1/26 (KW) Hetal called her on March 19th and left a message to see if she can support during COVID 19</t>
  </si>
  <si>
    <t>Natick MA 01760</t>
  </si>
  <si>
    <t xml:space="preserve">Boston </t>
  </si>
  <si>
    <t>JP Morgan</t>
  </si>
  <si>
    <t>FY 20 - 21, FY 21 - 22, FY 17 - 18</t>
  </si>
  <si>
    <r>
      <rPr>
        <color rgb="FF1155CC"/>
        <sz val="10.0"/>
        <u/>
      </rPr>
      <t>Amizo Kante</t>
    </r>
    <r>
      <rPr>
        <sz val="10.0"/>
      </rPr>
      <t xml:space="preserve">, </t>
    </r>
    <r>
      <rPr>
        <color rgb="FF1155CC"/>
        <sz val="10.0"/>
        <u/>
      </rPr>
      <t>Alpha Sylla</t>
    </r>
    <r>
      <rPr>
        <sz val="10.0"/>
      </rPr>
      <t xml:space="preserve">, </t>
    </r>
    <r>
      <rPr>
        <color rgb="FF1155CC"/>
        <sz val="10.0"/>
        <u/>
      </rPr>
      <t>Dilnoza Hakberdieva</t>
    </r>
    <r>
      <rPr>
        <sz val="10.0"/>
      </rPr>
      <t xml:space="preserve">, </t>
    </r>
    <r>
      <rPr>
        <color rgb="FF1155CC"/>
        <sz val="10.0"/>
        <u/>
      </rPr>
      <t>Mahliyo Kilichkulova</t>
    </r>
    <r>
      <rPr>
        <sz val="10.0"/>
      </rPr>
      <t xml:space="preserve">, </t>
    </r>
    <r>
      <rPr>
        <color rgb="FF1155CC"/>
        <sz val="10.0"/>
        <u/>
      </rPr>
      <t>Carlos Cela</t>
    </r>
    <r>
      <rPr>
        <sz val="10.0"/>
      </rPr>
      <t xml:space="preserve">, </t>
    </r>
    <r>
      <rPr>
        <color rgb="FF1155CC"/>
        <sz val="10.0"/>
        <u/>
      </rPr>
      <t>Carlos Hernandez</t>
    </r>
    <r>
      <rPr>
        <sz val="10.0"/>
      </rPr>
      <t xml:space="preserve">, </t>
    </r>
    <r>
      <rPr>
        <color rgb="FF1155CC"/>
        <sz val="10.0"/>
        <u/>
      </rPr>
      <t>Rony Velasco</t>
    </r>
    <r>
      <rPr>
        <sz val="10.0"/>
      </rPr>
      <t xml:space="preserve">, </t>
    </r>
    <r>
      <rPr>
        <color rgb="FF1155CC"/>
        <sz val="10.0"/>
        <u/>
      </rPr>
      <t>Batma Ramazanova</t>
    </r>
    <r>
      <rPr>
        <sz val="10.0"/>
      </rPr>
      <t xml:space="preserve">, </t>
    </r>
    <r>
      <rPr>
        <color rgb="FF1155CC"/>
        <sz val="10.0"/>
        <u/>
      </rPr>
      <t>Zuura Ramazanova</t>
    </r>
    <r>
      <rPr>
        <sz val="10.0"/>
      </rPr>
      <t xml:space="preserve">, </t>
    </r>
    <r>
      <rPr>
        <color rgb="FF1155CC"/>
        <sz val="10.0"/>
        <u/>
      </rPr>
      <t>Begayim Makenova</t>
    </r>
    <r>
      <rPr>
        <sz val="10.0"/>
      </rPr>
      <t xml:space="preserve"> and </t>
    </r>
    <r>
      <rPr>
        <color rgb="FF1155CC"/>
        <sz val="10.0"/>
        <u/>
      </rPr>
      <t>Darina Pugach</t>
    </r>
  </si>
  <si>
    <t>ELLIS, GWHS, FlushingIHS</t>
  </si>
  <si>
    <t>Issue 5, Issue 7, Issue 11</t>
  </si>
  <si>
    <t>Issue 7 - 12/17/20
Issue 11 - Feb 2022</t>
  </si>
  <si>
    <t>Issue 7 - 150</t>
  </si>
  <si>
    <t>Tiffany</t>
  </si>
  <si>
    <t>Soojung Park</t>
  </si>
  <si>
    <t>714-308-8482</t>
  </si>
  <si>
    <t>tfnypark@gmail.com</t>
  </si>
  <si>
    <t>1/9/24 SB sent email for IR2 Crotona 10/31/23 SB added and messaged on linkedin 10/31/23 SB called, left VM and sent text 10/30/23 SB emailed for IR1 7/18/23 WW emailed for IRS, PC team followed up with text and call 3/10/23 SB sent text about IR3 3/16/23 SB emailed about IR3 2/9/23 CT sent follow up for IR2 2/7/23 CT asked for IR2 availability with Wheels schedule 3/14/22 Not available for IR3 due to busy work schedule. Reach out for next round. CT 1/24/22 SB called about IR2 matching voicemail full, sent text Text and phone calls are a better method to reach Tiffany 1/7/22 passed training SB SB 10/14 updated email from tiffanysoojungpark@gmail.com</t>
  </si>
  <si>
    <t>1636 Camden Place Fullerton, CA 92833</t>
  </si>
  <si>
    <t>Cult Gaia</t>
  </si>
  <si>
    <r>
      <rPr>
        <color rgb="FF1155CC"/>
        <sz val="10.0"/>
        <u/>
      </rPr>
      <t>Ariel Guaman</t>
    </r>
    <r>
      <rPr>
        <sz val="10.0"/>
      </rPr>
      <t xml:space="preserve">, </t>
    </r>
    <r>
      <rPr>
        <color rgb="FF1155CC"/>
        <sz val="10.0"/>
        <u/>
      </rPr>
      <t>Cesar Misael Orellana Riera</t>
    </r>
    <r>
      <rPr>
        <sz val="10.0"/>
      </rPr>
      <t xml:space="preserve">, </t>
    </r>
    <r>
      <rPr>
        <color rgb="FF1155CC"/>
        <sz val="10.0"/>
        <u/>
      </rPr>
      <t>Jose Rivera</t>
    </r>
    <r>
      <rPr>
        <sz val="10.0"/>
      </rPr>
      <t xml:space="preserve">, </t>
    </r>
    <r>
      <rPr>
        <color rgb="FF1155CC"/>
        <sz val="10.0"/>
        <u/>
      </rPr>
      <t>Meybelin Nicole Marquez</t>
    </r>
    <r>
      <rPr>
        <sz val="10.0"/>
      </rPr>
      <t xml:space="preserve">, </t>
    </r>
    <r>
      <rPr>
        <color rgb="FF1155CC"/>
        <sz val="10.0"/>
        <u/>
      </rPr>
      <t>Laura Puentes</t>
    </r>
    <r>
      <rPr>
        <sz val="10.0"/>
      </rPr>
      <t xml:space="preserve"> and </t>
    </r>
    <r>
      <rPr>
        <color rgb="FF1155CC"/>
        <sz val="10.0"/>
        <u/>
      </rPr>
      <t>Luis Cardenas</t>
    </r>
  </si>
  <si>
    <t>Suarez</t>
  </si>
  <si>
    <t>908-601-5905</t>
  </si>
  <si>
    <t>tiffanys@spotify.com</t>
  </si>
  <si>
    <t>10/23/23 may no longer be at Spotify (check when next in contact) 7/15/23 SB emailed for IRS 3/28/23 SB sent text about IR3 Tiffany reached back out to Hetal on 1/24 saying new job in management plus small kid -- can't manage it all well (reach back out for AY22-23 IR1) Hetal and Tiffany spoke on 1/21/22 -- she;s doing technical recruitment for app development (STEM/Business) but because also now at Spotify previously NBA can speak to Entertainment/Lifestyle new mom (6 month old baby boy Wyatt) - any reschedules to 4:15 Thursdays  12/30/21 SB sent IR2 FY21-22 schedule list for matching SB sent email and text on 11/16/21 for IR1 match JPS emailed on 2/9/2021 to see if tiffany could be on standy for IR2 20-21 matching - email address came back as &amp;#34;not found&amp;#34; Needs a strong mentee or additional prepping (Scotney Young notes from December 2019, HJ Feb 2021) Tiffany was a bit flaky but can she be trained to be accountable? (HJ, February 2021)</t>
  </si>
  <si>
    <t>904 Florence ave. Union Beach, NJ 07735</t>
  </si>
  <si>
    <t>Hazlet, NJ</t>
  </si>
  <si>
    <t>Hazlet</t>
  </si>
  <si>
    <t>Spotify</t>
  </si>
  <si>
    <r>
      <rPr>
        <color rgb="FF1155CC"/>
        <sz val="10.0"/>
        <u/>
      </rPr>
      <t>Sheyla Linares</t>
    </r>
    <r>
      <rPr>
        <sz val="10.0"/>
      </rPr>
      <t xml:space="preserve"> and </t>
    </r>
    <r>
      <rPr>
        <color rgb="FF1155CC"/>
        <sz val="10.0"/>
        <u/>
      </rPr>
      <t>Jaileen Estevez</t>
    </r>
  </si>
  <si>
    <t>Timothy</t>
  </si>
  <si>
    <t>Edingfield</t>
  </si>
  <si>
    <t>Tim.edingfield@gmail.com</t>
  </si>
  <si>
    <t>10/18/22 CT marked as abandoned (see notes below) 5/24/22 SB sent re-engagement email HH called on 7/28/21 and Timothy said that he does not have the time to participate in the program SU sent screening call email 2/12/21</t>
  </si>
  <si>
    <t>2833 A. St, North Bend</t>
  </si>
  <si>
    <t>North Bend OR</t>
  </si>
  <si>
    <t>North Bend</t>
  </si>
  <si>
    <t>Kintone</t>
  </si>
  <si>
    <t>Trupti</t>
  </si>
  <si>
    <t>Kotadia</t>
  </si>
  <si>
    <t>201-962-0320</t>
  </si>
  <si>
    <t>tlkotadia@gmail.com</t>
  </si>
  <si>
    <t>1/24/22 SB called about IR2 matching - asked to be removed from mailing list and will reach out when work lightens up, offered to follow up for future rounds and she declines saying she will let us know - marking as inactive Trupti reached back out to say she can train in the meanwhile so she's ready for a match when available (HJ, 2/22/21) Trupti responded to JPS' outreach emails on 2/7/2021 by saying: &amp;#34;Unfortunately I?m not available to volunteer at this time. Can I reach out when things free up?&amp;#34; Let her know that absolutely, she should let us know when her availability changes. JPS emailed on 2/4/2021 to get scheduled for a training call Screening Call conducted on 9/13/2020 by Kiesha Charles Emailed on 8/31/2020 about setting up screening call</t>
  </si>
  <si>
    <t>2 Gold Street Apt 1013, New York, NY 10038</t>
  </si>
  <si>
    <t>Tracy</t>
  </si>
  <si>
    <t>Pullman</t>
  </si>
  <si>
    <t>tpullman@gmail.com</t>
  </si>
  <si>
    <t>3/8/24 WW emailed for IR3 - &amp;#34;Thank you for thinking of me! I lost my job in January, so I am super focused on finding work right now. If something changes, though, I will let you know!&amp;#34; 10/11/22 SB followed up again for availability - unable to do IR1 asking for IR2 10/4/22 SB followed up for availability 9/30/22 Wheels time does not work for Tracy, SB emailed asking if Ellis or Queens time worked. Tracy checking dates and will let us know 9/29/22 SB emailed for wheels match Tracy interested in IR1 - 7/20/22 SB, CT followed up with her in reference email to confirm she's available for IR1. 8/10/22 12/22/21 SB sent IR2 FY21-22 schedule list for matching 10.27.2021 - Hetal updated Tracy's company from Director of Marketing at 8x8 (https://www.8x8.com 675 Creekside Campbell, CA 95008) to FluentStream after seeing her new role VP of Marketing post on LinkedIn Tracy attended a training webinar on 3/22/21 with JPS.  Tracy had her second screening call on 3/11/21 with Annie Kuo. Because she passed her second screening call, JPS sent her a congratulations email on 3/17/21. Original screening call notes by Purvi was: &amp;#34;I believe Tracy should be rejected. She did not have any knowledge of what immigrant youth go through and was not sure how to answer any questions related to immigrants/ethnicities. She just wants to volunteer and does not have a preference where. Nothing specific to Speak.&amp;#34; Tracy was marked red originally. She will be handed to another screener to conduct a second screening call. If failed twice, then Tracy will be marked red.  Tracy was screened on 2/9/2021 by Purvi Shah JPS emailed Tracy on 2/7/2021 to schedule a Screening Call</t>
  </si>
  <si>
    <t>15048 Brewster Ave San Jose, CA 95124</t>
  </si>
  <si>
    <t>FluentStream</t>
  </si>
  <si>
    <t>Seminars 22, FY 21 - 22, FY 20 - 21</t>
  </si>
  <si>
    <r>
      <rPr>
        <color rgb="FF1155CC"/>
        <sz val="10.0"/>
        <u/>
      </rPr>
      <t>Allan Chiquito</t>
    </r>
    <r>
      <rPr>
        <sz val="10.0"/>
      </rPr>
      <t xml:space="preserve">, </t>
    </r>
    <r>
      <rPr>
        <color rgb="FF1155CC"/>
        <sz val="10.0"/>
        <u/>
      </rPr>
      <t>Yesica Fila</t>
    </r>
    <r>
      <rPr>
        <sz val="10.0"/>
      </rPr>
      <t xml:space="preserve">, </t>
    </r>
    <r>
      <rPr>
        <color rgb="FF1155CC"/>
        <sz val="10.0"/>
        <u/>
      </rPr>
      <t>Joselyn Guaraca</t>
    </r>
    <r>
      <rPr>
        <sz val="10.0"/>
      </rPr>
      <t xml:space="preserve">, </t>
    </r>
    <r>
      <rPr>
        <color rgb="FF1155CC"/>
        <sz val="10.0"/>
        <u/>
      </rPr>
      <t>Michael Steven Paredes Franco</t>
    </r>
    <r>
      <rPr>
        <sz val="10.0"/>
      </rPr>
      <t xml:space="preserve">, </t>
    </r>
    <r>
      <rPr>
        <color rgb="FF1155CC"/>
        <sz val="10.0"/>
        <u/>
      </rPr>
      <t>Abigail Rodriguez Bautista</t>
    </r>
    <r>
      <rPr>
        <sz val="10.0"/>
      </rPr>
      <t xml:space="preserve"> and </t>
    </r>
    <r>
      <rPr>
        <color rgb="FF1155CC"/>
        <sz val="10.0"/>
        <u/>
      </rPr>
      <t>Eimy Alexandra Carpio Cuesta</t>
    </r>
  </si>
  <si>
    <t>CrotonaIHS, FlushingIHS, ICHSBronx</t>
  </si>
  <si>
    <t>Rashi</t>
  </si>
  <si>
    <t>Tripathi</t>
  </si>
  <si>
    <t>tripathi.rashi@gmail.com</t>
  </si>
  <si>
    <t>5/18/22 SB sent re-engagement email 1/24/22 SB call, VM,  text 1/10/22 SB sent follow up email 1/5/22 SB sent IR2 FY21-22 schedule list for matching</t>
  </si>
  <si>
    <t>45 Woodland Way, Dayton</t>
  </si>
  <si>
    <t>South Brunswick, NJ</t>
  </si>
  <si>
    <t>South Brunswick</t>
  </si>
  <si>
    <t>Tulsi</t>
  </si>
  <si>
    <t>tulsi1020@yahoo.com</t>
  </si>
  <si>
    <t>01/03/23 CT sent follow up email regarding training 11/22/22 CT sent re-engagement email with training dates 09/29/22 CT called Tulsi. She is only available in the afternoon after 5 pm EST. 12/27/21 SB sent follow up 12/21/21 SB sent IR2 FY21-22 schedule list for matching Unable to do IR1 FY21-22, traveling to India Jan-Feb 2022, put as tentative for IR2 Sent congrats email and match availability 11/15/21 SB Passed screening 11/12/21 SB Hetal called Tulsi directly November 8th, 2021 -- got her on the line (she came from Keyuri) and said she wasn't interested because no one called her for the screening but she didn't realize it's virtual -- Hetal confirmed the screening with her directly while on the phone  SB sent screening scheduling email on 10/18/21</t>
  </si>
  <si>
    <t>6721 Felton Way, Carmel IN 46033</t>
  </si>
  <si>
    <t>Carmel</t>
  </si>
  <si>
    <t>Capgemini</t>
  </si>
  <si>
    <t>Valentina</t>
  </si>
  <si>
    <t>Sanabria</t>
  </si>
  <si>
    <t>valensa_98@hotmail.com</t>
  </si>
  <si>
    <t>8/18/23 - AT sent re-engagement message on LinkedIn. Awaiting response. 8/8/23 - AT emailed and sent re-engagement txt. Awaiting response. 6/14/23 SB sent text to see if she is still interested 5/15/23 SB called Valentina - referral from Elise George, asked to get screening info sent by email - SB sent 5/10/23 SB sent text for screening 3/29/23 SB sent follow up for screening 3/22/23 SB sent screening email </t>
  </si>
  <si>
    <t>8312 Valley View Cir Riverside, CA 92508</t>
  </si>
  <si>
    <t>El Sol Neighborhood Educational Center</t>
  </si>
  <si>
    <t>Vanessa Torres</t>
  </si>
  <si>
    <t>Soares Ferreira</t>
  </si>
  <si>
    <t>vanessatorresf@hotmail.com</t>
  </si>
  <si>
    <t>8/18/23 - AT sent re-engagement message on LinkedIn. Awaiting response. 8/8/23 - AT emailed and sent re-engagement txt. Awaiting response. 4/3/23 CT sent follow up email about Screening Call 2/22/23 CT sent follow up email to re-engage 2/9/23 CT sent re-engagement email 5/24/22 SB sent re-engagement email HH email 8/5/21, HH voicemail/email 7/29/21, HH voicemail/text 7/21/21, Jennifer followed up on 12/1/2020 to schedule a Screening Call. No reply as of 12/1/2020. Jennifer Peterson-Sharma emailed on 11/27/2020 to schedule a Screening Call. </t>
  </si>
  <si>
    <t>203 Sussex Street, Harrison, NJ</t>
  </si>
  <si>
    <t>Harrison, NJ</t>
  </si>
  <si>
    <t>Bayer</t>
  </si>
  <si>
    <t>Vrunda</t>
  </si>
  <si>
    <t>vashah@ucdavis.edu</t>
  </si>
  <si>
    <t>2/23/23 CT Vrunda said she will graduate in summer and to reach out for Screening Call after August 2023 2/23/23 CT not available for IHS Union Square Seminar schedule but wants to contacted with other schedules. Followed up to schedule Screening Call as well. 2/21/23 CT sent email about being Seminar Speaker for IHS US 2/9/23 CT sent follow up re-engagement email 11/22/22 CT sent re-engagement email 5/24/22 SB sent re-engagement email HH called 7/28/21. Vrunda said she is intersted and would like to know more about the time commitment and who she would be mentoring. JPS sent a follow-up email via champions@speakhire.org on 7/29/21 Soneya Uddin send a follow up with Vrunda for screening call 2/12/21.Hetal has called Vrunda and she will get back a later time. She seem super friendly will send a reminder. 2/19/21. Left a voicemail / email. 2/25/21. SU. Hetal called Vrunda on 2/19/21 to schedule screening; was in class -- she said she'll check email or we can call her back on Saturday (HJ) Soneya Uddin follow up with Vrunda for screening call 2/12/21. JPS emailed on 2/3/2021 to schedule a Screening Call</t>
  </si>
  <si>
    <t>4092 Polonius Circle, Fremont, CA 94555</t>
  </si>
  <si>
    <t>UC Davis School of Law</t>
  </si>
  <si>
    <t>Ballenas</t>
  </si>
  <si>
    <t>vballenas@gmail.com</t>
  </si>
  <si>
    <t>Reached out multiple times via email and text, no training dates worked. Did a round though. 4/29/22 passed screening SB</t>
  </si>
  <si>
    <t>Glen Oaks, NY</t>
  </si>
  <si>
    <t>Glen Oaks</t>
  </si>
  <si>
    <t>Mount Sinai Hospital</t>
  </si>
  <si>
    <r>
      <rPr>
        <color rgb="FF1155CC"/>
        <sz val="10.0"/>
        <u/>
      </rPr>
      <t>Ligia Espinoza</t>
    </r>
    <r>
      <rPr>
        <sz val="10.0"/>
      </rPr>
      <t xml:space="preserve">, </t>
    </r>
    <r>
      <rPr>
        <color rgb="FF1155CC"/>
        <sz val="10.0"/>
        <u/>
      </rPr>
      <t>Luis Rodriguez</t>
    </r>
    <r>
      <rPr>
        <sz val="10.0"/>
      </rPr>
      <t xml:space="preserve">, </t>
    </r>
    <r>
      <rPr>
        <color rgb="FF1155CC"/>
        <sz val="10.0"/>
        <u/>
      </rPr>
      <t>Amelia Rodriguez</t>
    </r>
    <r>
      <rPr>
        <sz val="10.0"/>
      </rPr>
      <t xml:space="preserve"> and </t>
    </r>
    <r>
      <rPr>
        <color rgb="FF1155CC"/>
        <sz val="10.0"/>
        <u/>
      </rPr>
      <t>Valentina Jaque</t>
    </r>
  </si>
  <si>
    <t>Violeta</t>
  </si>
  <si>
    <t>Furculita</t>
  </si>
  <si>
    <t>646-243-3734</t>
  </si>
  <si>
    <t>vfm224@stern.nyu.edu</t>
  </si>
  <si>
    <t>8/18 - AT sent re-engagement message on LinkedIn. Awaiting response. 8/8/2023 - AT sent a re-engagement email &amp;#43; text to check if they would still like to Champion at SPEAKHIRE. Awaiting response.  7/17/23 - SB sent email for IRS, BC called &amp;amp; left VM,  SB sent follow up text 7/5/22 SB emailed for IRS match 01/05/22 CT sent follow up email for matching 12/30/21 CT called &amp;amp; left voicemail 12/30/21 SB sent IR2 FY21-22 schedule list for matching 12/28/21 SB sent a text about match for IR1 FY21-22 JPS followed up on 2/17/2021 - no response as of this date. JPS emailed on 2/9/2021 to see Violeta's availability for matching and sent refresher document Hetal called on 3/26/2020 to see about mentoring during COVID-19 and left a voice message</t>
  </si>
  <si>
    <t>164 south Oxford St apt 2 A, Brooklyn, NY, NY 11217</t>
  </si>
  <si>
    <t>BNY Mellon Wealth Management</t>
  </si>
  <si>
    <t>Vaidehi</t>
  </si>
  <si>
    <t>Gajjar</t>
  </si>
  <si>
    <t>vgajjar504@gmail.com</t>
  </si>
  <si>
    <t>8/18 - AT sent re-engagement message on LinkedIn. Awaiting response. 8/8/2023 - AT sent a re-engagement email and text to check if they would still like to Champion at SPEAKHIRE. Awaiting response.  3/22/23 SB sent text for IR3 availability 2/27/23 CT left voicemail &amp;amp; sent text to check in 2/7/23 CT sent follow up email 1/17/23 CT sent follow up email 1/10/23 CT sent check in email Hetal updated her email from vaidehi.gajjar@browngirlmagazine.com to what it is now 1/12/22 12/21/21 SB sent a text about match for IR1 FY21-22 JPS emailed on 2/8/2021 to try and confirm Claremont match for IR2 20-21 Completed training with Kiesha, Jennifer and Hetal September 8th 2020 Scheduled training call with Kiesha, Hetal and Jennifer on September 8th 2020 at 12-2pm  Emailed her onboarding materials on august 28th 2020</t>
  </si>
  <si>
    <t>608 Bluff Pointe Columbia, SC 29212</t>
  </si>
  <si>
    <t>Columbia, SC</t>
  </si>
  <si>
    <t>Columbia</t>
  </si>
  <si>
    <t>SC</t>
  </si>
  <si>
    <t>Lexington Medical Center</t>
  </si>
  <si>
    <t>Vi</t>
  </si>
  <si>
    <t>Bui</t>
  </si>
  <si>
    <t>302-540-5384</t>
  </si>
  <si>
    <t>vi.truc.bui@gmail.com</t>
  </si>
  <si>
    <t>Vi messaged Charlotte and then Hetal that she's busy and wants to be discontinued -- DO NOT REACH OUT (HJ 1/20/22) 12/30/21 SB sent IR2 FY21-22 schedule list for matching</t>
  </si>
  <si>
    <t>Asian American LEAD</t>
  </si>
  <si>
    <t>Vicki</t>
  </si>
  <si>
    <t>Pollack</t>
  </si>
  <si>
    <t>516-456-5022</t>
  </si>
  <si>
    <t>vickipollack1983@gmail.com</t>
  </si>
  <si>
    <t>18/8/23 - AT sent re-engagement message on LinkedIn. Awaiting response. 8/8/23 - AT emailed and sent re-engagement txt. Awaiting response. 4/3/23 CT sent follow up to schedule Screening Call 2/22/23 CT sent follow up email to re-engage 2/9/23 CT sent re-engagement email 5/24/22 SB sent re-engagement email HH called is interested would like to know more and like to pursue (include time commintments in email) 7/20/21 JPS sent outreach email from Champions@speakhire.org on 7/20/21</t>
  </si>
  <si>
    <t>59 Upper Sheep Pasture Road East Setauket, NY 11733</t>
  </si>
  <si>
    <t>East Setauket, Long Island</t>
  </si>
  <si>
    <t>Self Employeed</t>
  </si>
  <si>
    <t>Teman</t>
  </si>
  <si>
    <t>vickiteman2@gmail.com</t>
  </si>
  <si>
    <t>1/3/24 WW emailed for IR2 - she's unavailable for Ellis schedule 12/15/22 confirmed Ellis schedule for IR2 12/9/22 SB emailed for ellis match 11/21/22 Interested in IR2, prefers females because she thinks they show more engagement. CT 11/7/22 Unavailable for wheels 10/28/22 SB emailed for wheels 8/12/22 Interested in IR1 SB Needs STAR training - did not show up to last few sessions, communicated with Interns via text to reschedule and did not tell SPEAKHIRE 7/13/22 SB messaged for IRS match - unavailable but interested for IR1 3/21/22 Not available for IR3 CT 1/5/22 SB sent IR2 FY21-22 schedule list for matching She is dealing with some personal issues and can't be available until IR2 9/27/21 SB Doubled Checked 1/19 (KW)</t>
  </si>
  <si>
    <t>185 East 85th Street, New york</t>
  </si>
  <si>
    <r>
      <rPr>
        <color rgb="FF1155CC"/>
        <sz val="10.0"/>
        <u/>
      </rPr>
      <t>Zakaria Billa</t>
    </r>
    <r>
      <rPr>
        <sz val="10.0"/>
      </rPr>
      <t xml:space="preserve">, </t>
    </r>
    <r>
      <rPr>
        <color rgb="FF1155CC"/>
        <sz val="10.0"/>
        <u/>
      </rPr>
      <t>Michael David Paredes</t>
    </r>
    <r>
      <rPr>
        <sz val="10.0"/>
      </rPr>
      <t xml:space="preserve">, </t>
    </r>
    <r>
      <rPr>
        <color rgb="FF1155CC"/>
        <sz val="10.0"/>
        <u/>
      </rPr>
      <t>Naveer Ramsarran</t>
    </r>
    <r>
      <rPr>
        <sz val="10.0"/>
      </rPr>
      <t xml:space="preserve">, </t>
    </r>
    <r>
      <rPr>
        <color rgb="FF1155CC"/>
        <sz val="10.0"/>
        <u/>
      </rPr>
      <t>Saidatou Diallo</t>
    </r>
    <r>
      <rPr>
        <sz val="10.0"/>
      </rPr>
      <t xml:space="preserve">, </t>
    </r>
    <r>
      <rPr>
        <color rgb="FF1155CC"/>
        <sz val="10.0"/>
        <u/>
      </rPr>
      <t>Abdalmanaim Salah</t>
    </r>
    <r>
      <rPr>
        <sz val="10.0"/>
      </rPr>
      <t xml:space="preserve">, </t>
    </r>
    <r>
      <rPr>
        <color rgb="FF1155CC"/>
        <sz val="10.0"/>
        <u/>
      </rPr>
      <t>Naimatou Sefou Moussa</t>
    </r>
    <r>
      <rPr>
        <sz val="10.0"/>
      </rPr>
      <t xml:space="preserve">, </t>
    </r>
    <r>
      <rPr>
        <color rgb="FF1155CC"/>
        <sz val="10.0"/>
        <u/>
      </rPr>
      <t>Afrida Ahmed</t>
    </r>
    <r>
      <rPr>
        <sz val="10.0"/>
      </rPr>
      <t xml:space="preserve">, </t>
    </r>
    <r>
      <rPr>
        <color rgb="FF1155CC"/>
        <sz val="10.0"/>
        <u/>
      </rPr>
      <t>Mahfuja Khatun</t>
    </r>
    <r>
      <rPr>
        <sz val="10.0"/>
      </rPr>
      <t xml:space="preserve"> and </t>
    </r>
    <r>
      <rPr>
        <color rgb="FF1155CC"/>
        <sz val="10.0"/>
        <u/>
      </rPr>
      <t>Noashin Sarker</t>
    </r>
  </si>
  <si>
    <t>ICHSBronx, QueensPrepAcad, Frankford, ELLIS</t>
  </si>
  <si>
    <t>Issue 7, Issue 11</t>
  </si>
  <si>
    <t>Issue 7 - 12/16/20
Issue 11 - Feb 2022</t>
  </si>
  <si>
    <t>Vignesh</t>
  </si>
  <si>
    <t>Sundar</t>
  </si>
  <si>
    <t>vigneshsun87@gmail.com</t>
  </si>
  <si>
    <t>5/10/24 - AT emailed regarding Mother'sDay Social media content 9/18/23 WW emailed for IR1 7/18/23 WW emailed for IRS, emailed back and confirmed, but we already had a CPC confirm, SB asked for IR1 Donated money to Interns for FY22-23 4/28/23 passed training with SB Passed screening with SB and agreed to IR3 match - sending about and congrats Screening with SB 4/17/23</t>
  </si>
  <si>
    <t>3071 Southwycke Terrace Fremont, CA 94536</t>
  </si>
  <si>
    <t>View Inc.</t>
  </si>
  <si>
    <r>
      <rPr>
        <color rgb="FF1155CC"/>
        <sz val="10.0"/>
        <u/>
      </rPr>
      <t>Alexander Torres</t>
    </r>
    <r>
      <rPr>
        <sz val="10.0"/>
      </rPr>
      <t xml:space="preserve">, </t>
    </r>
    <r>
      <rPr>
        <color rgb="FF1155CC"/>
        <sz val="10.0"/>
        <u/>
      </rPr>
      <t>Maria Castro</t>
    </r>
    <r>
      <rPr>
        <sz val="10.0"/>
      </rPr>
      <t xml:space="preserve"> and </t>
    </r>
    <r>
      <rPr>
        <color rgb="FF1155CC"/>
        <sz val="10.0"/>
        <u/>
      </rPr>
      <t>Christopher Auquilla</t>
    </r>
  </si>
  <si>
    <t>Suze</t>
  </si>
  <si>
    <t>Vilsaint</t>
  </si>
  <si>
    <t>vilsaintsuze@gmail.com</t>
  </si>
  <si>
    <t>8/18 - AT sent re-engagement message on LinkedIn. Awaiting response. 8/8/2023 - AT sent a re-engagement email and txt to check if they would still like to Champion at SPEAKHIRE. Awaiting response.  4/3/23 CT sent follow up with CPC training dates 2/22/23 CT sent follow up email to re-engage 2/9/23 CT sent re-engagement email 5/18/22 SB sent re-engagement email SB called, left VM,  texted about IR availability 1/24/22 Suze had a Screening Call on 3/3/21 with JPS Screening email already sent. 2/12/21 SU. Double checked 1/26 (KW)</t>
  </si>
  <si>
    <t>108 Union Rd apt 2C, Spring Valley</t>
  </si>
  <si>
    <t>Spring Valley, NY</t>
  </si>
  <si>
    <t>Spring Valley</t>
  </si>
  <si>
    <t>SpringHills Senior Communities</t>
  </si>
  <si>
    <r>
      <rPr>
        <color rgb="FF1155CC"/>
        <sz val="10.0"/>
        <u/>
      </rPr>
      <t>Masooma Chaudhry</t>
    </r>
    <r>
      <rPr>
        <sz val="10.0"/>
      </rPr>
      <t xml:space="preserve"> and </t>
    </r>
    <r>
      <rPr>
        <color rgb="FF1155CC"/>
        <sz val="10.0"/>
        <u/>
      </rPr>
      <t>Luis Parra Pestana</t>
    </r>
  </si>
  <si>
    <t>Srishti</t>
  </si>
  <si>
    <t>Viyulie</t>
  </si>
  <si>
    <t>848-667-6663</t>
  </si>
  <si>
    <t>viyulies@gmail.com</t>
  </si>
  <si>
    <t>18/8/23 - AT sent re-engagement message on LinkedIn. Awaiting response. 8/8/23 - AT emailed and sent re-engagement txt. Awaiting response. 4/3/23 CT sent follow to schedule Screening Call 2/22/23 CT sent follow up email to re-engage 2/9/23 CT sent re-engagement email 5/24/22 SB sent re-engagement email Hetal called on 1/21/22 and left a voice message to reengage HH email 8/5/21, HH email 7/29/21, HH voicemail 7/28/21, HH voicemail/text 7/20/21</t>
  </si>
  <si>
    <t>18 Duchess Drive Monroe Township</t>
  </si>
  <si>
    <t>Vatsala</t>
  </si>
  <si>
    <t>Sarathy</t>
  </si>
  <si>
    <t>vjsarathy@gmail.com</t>
  </si>
  <si>
    <t>Donated to Interns for FY22-23 3/31/23 SB emailed about GCHS seminars 3/7/23 confirmed group for IR3 - may need to reschedule a session or two in April b/c of travel 3/3/23 emailed SB saying interested in Wheels schedule - SB sent dates and about Interns to confirm 9/23/22 SB confirmed Vatsala for match 9/22/22 SB messaged Vatsala for ICHS Bronx match 9/20/22 match request sent to Vatsala SB CT asked in reference email 8/4/22, available for IR1. CT 8/4/22 12/20/21 completed onboarding training with SB and CT Vatsala passed training and was sent congrats email 11/15/21 SB Vatsala confirmed a screening for 11/11 and Hetal reached out to ask her if she can do a Flushing IHS FY21.22IR1 match -- she agreed right away.  11/2/21 SB sent screening scheduling email</t>
  </si>
  <si>
    <t>735 Florales Dr</t>
  </si>
  <si>
    <t>Palo Alto, CA</t>
  </si>
  <si>
    <t>Palo Alto</t>
  </si>
  <si>
    <t>Seminars 23, FY 22 - 23, FY 21 - 22</t>
  </si>
  <si>
    <r>
      <rPr>
        <color rgb="FF1155CC"/>
        <sz val="10.0"/>
        <u/>
      </rPr>
      <t>Leudis Rosario</t>
    </r>
    <r>
      <rPr>
        <sz val="10.0"/>
      </rPr>
      <t xml:space="preserve">, </t>
    </r>
    <r>
      <rPr>
        <color rgb="FF1155CC"/>
        <sz val="10.0"/>
        <u/>
      </rPr>
      <t>Wilson Infante</t>
    </r>
    <r>
      <rPr>
        <sz val="10.0"/>
      </rPr>
      <t xml:space="preserve">, </t>
    </r>
    <r>
      <rPr>
        <color rgb="FF1155CC"/>
        <sz val="10.0"/>
        <u/>
      </rPr>
      <t>Josue Lantigua</t>
    </r>
    <r>
      <rPr>
        <sz val="10.0"/>
      </rPr>
      <t xml:space="preserve">, </t>
    </r>
    <r>
      <rPr>
        <color rgb="FF1155CC"/>
        <sz val="10.0"/>
        <u/>
      </rPr>
      <t>Yorlan Espinal</t>
    </r>
    <r>
      <rPr>
        <sz val="10.0"/>
      </rPr>
      <t xml:space="preserve">, </t>
    </r>
    <r>
      <rPr>
        <color rgb="FF1155CC"/>
        <sz val="10.0"/>
        <u/>
      </rPr>
      <t>Amy Perez</t>
    </r>
    <r>
      <rPr>
        <sz val="10.0"/>
      </rPr>
      <t xml:space="preserve">, </t>
    </r>
    <r>
      <rPr>
        <color rgb="FF1155CC"/>
        <sz val="10.0"/>
        <u/>
      </rPr>
      <t>Anny Garcia</t>
    </r>
    <r>
      <rPr>
        <sz val="10.0"/>
      </rPr>
      <t xml:space="preserve">, </t>
    </r>
    <r>
      <rPr>
        <color rgb="FF1155CC"/>
        <sz val="10.0"/>
        <u/>
      </rPr>
      <t>Ayele Dounou</t>
    </r>
    <r>
      <rPr>
        <sz val="10.0"/>
      </rPr>
      <t xml:space="preserve">, </t>
    </r>
    <r>
      <rPr>
        <color rgb="FF1155CC"/>
        <sz val="10.0"/>
        <u/>
      </rPr>
      <t>Carlos Salgado</t>
    </r>
    <r>
      <rPr>
        <sz val="10.0"/>
      </rPr>
      <t xml:space="preserve">, </t>
    </r>
    <r>
      <rPr>
        <color rgb="FF1155CC"/>
        <sz val="10.0"/>
        <u/>
      </rPr>
      <t>Gafar Aliyev</t>
    </r>
    <r>
      <rPr>
        <sz val="10.0"/>
      </rPr>
      <t xml:space="preserve">, </t>
    </r>
    <r>
      <rPr>
        <color rgb="FF1155CC"/>
        <sz val="10.0"/>
        <u/>
      </rPr>
      <t>Fernando Zelaya</t>
    </r>
    <r>
      <rPr>
        <sz val="10.0"/>
      </rPr>
      <t xml:space="preserve">, </t>
    </r>
    <r>
      <rPr>
        <color rgb="FF1155CC"/>
        <sz val="10.0"/>
        <u/>
      </rPr>
      <t>Abdulghani Ali</t>
    </r>
    <r>
      <rPr>
        <sz val="10.0"/>
      </rPr>
      <t xml:space="preserve">, </t>
    </r>
    <r>
      <rPr>
        <color rgb="FF1155CC"/>
        <sz val="10.0"/>
        <u/>
      </rPr>
      <t>Rasoul Sher Ahmad</t>
    </r>
    <r>
      <rPr>
        <sz val="10.0"/>
      </rPr>
      <t xml:space="preserve"> and </t>
    </r>
    <r>
      <rPr>
        <color rgb="FF1155CC"/>
        <sz val="10.0"/>
        <u/>
      </rPr>
      <t>Baseria Atta</t>
    </r>
  </si>
  <si>
    <t>GCHS, WheelsNYC, ICHSBronx, IHS Lafayette, FlushingIHS</t>
  </si>
  <si>
    <t>Prasanna</t>
  </si>
  <si>
    <t>Vijayanathan</t>
  </si>
  <si>
    <t>vprasanna.1310@gmail.com</t>
  </si>
  <si>
    <t>Donated money to Interns for FY22-23 Board member 10/11/22  available for IR1, Mondays 3:00 - 3:45 pm EST CT Only had one round (FY 21-22 IR3) with good interns. Open to working with any group completed training with SB on 4/8/22 3/28/22 Screening passed, sent Congrats email &amp;amp; training invite. CT 3/19 SB sent screening scheduling email</t>
  </si>
  <si>
    <t>133 Paperbark Ter</t>
  </si>
  <si>
    <t>Sunnyvale, CA</t>
  </si>
  <si>
    <t>Sunnyvale</t>
  </si>
  <si>
    <t>Seminars 22, FY 21 - 22, FY 22 - 23, FY 24 - 25</t>
  </si>
  <si>
    <r>
      <rPr>
        <color rgb="FF1155CC"/>
        <sz val="10.0"/>
        <u/>
      </rPr>
      <t>Sanjida Fnu</t>
    </r>
    <r>
      <rPr>
        <sz val="10.0"/>
      </rPr>
      <t xml:space="preserve">, </t>
    </r>
    <r>
      <rPr>
        <color rgb="FF1155CC"/>
        <sz val="10.0"/>
        <u/>
      </rPr>
      <t>Mehedi Hasan</t>
    </r>
    <r>
      <rPr>
        <sz val="10.0"/>
      </rPr>
      <t xml:space="preserve">, </t>
    </r>
    <r>
      <rPr>
        <color rgb="FF1155CC"/>
        <sz val="10.0"/>
        <u/>
      </rPr>
      <t>Alessandro Pineda</t>
    </r>
    <r>
      <rPr>
        <sz val="10.0"/>
      </rPr>
      <t xml:space="preserve">, </t>
    </r>
    <r>
      <rPr>
        <color rgb="FF1155CC"/>
        <sz val="10.0"/>
        <u/>
      </rPr>
      <t>Alessandro Guzman</t>
    </r>
    <r>
      <rPr>
        <sz val="10.0"/>
      </rPr>
      <t xml:space="preserve">, </t>
    </r>
    <r>
      <rPr>
        <color rgb="FF1155CC"/>
        <sz val="10.0"/>
        <u/>
      </rPr>
      <t>Ismatu Barry</t>
    </r>
    <r>
      <rPr>
        <sz val="10.0"/>
      </rPr>
      <t xml:space="preserve">, </t>
    </r>
    <r>
      <rPr>
        <color rgb="FF1155CC"/>
        <sz val="10.0"/>
        <u/>
      </rPr>
      <t>Aliyah Maliq</t>
    </r>
    <r>
      <rPr>
        <sz val="10.0"/>
      </rPr>
      <t xml:space="preserve">, </t>
    </r>
    <r>
      <rPr>
        <color rgb="FF1155CC"/>
        <sz val="10.0"/>
        <u/>
      </rPr>
      <t>Jaymarcus Desir</t>
    </r>
    <r>
      <rPr>
        <sz val="10.0"/>
      </rPr>
      <t xml:space="preserve">, </t>
    </r>
    <r>
      <rPr>
        <color rgb="FF1155CC"/>
        <sz val="10.0"/>
        <u/>
      </rPr>
      <t>Cristobal Cespedes</t>
    </r>
    <r>
      <rPr>
        <sz val="10.0"/>
      </rPr>
      <t xml:space="preserve">, </t>
    </r>
    <r>
      <rPr>
        <color rgb="FF1155CC"/>
        <sz val="10.0"/>
        <u/>
      </rPr>
      <t>Andrea Moreno</t>
    </r>
    <r>
      <rPr>
        <sz val="10.0"/>
      </rPr>
      <t xml:space="preserve"> and </t>
    </r>
    <r>
      <rPr>
        <color rgb="FF1155CC"/>
        <sz val="10.0"/>
        <u/>
      </rPr>
      <t>Luz Gutierrez</t>
    </r>
  </si>
  <si>
    <t>CypressHills, IHS Health, ICHSBronx, QueensPrepAcad, IHSUnionSquare</t>
  </si>
  <si>
    <t>Waad</t>
  </si>
  <si>
    <t>Massoud</t>
  </si>
  <si>
    <t>346-455-89307</t>
  </si>
  <si>
    <t>waad.masoud@hotmail.com</t>
  </si>
  <si>
    <t>7/18/23 WW emailed for IRS 11/14/22 Not available for any commitment until year 23/24: &amp;#34;I would like to add that I, unfortunately, will not be available until the next academic year 23/24. I am in the process of submitting my Ph.D. thesis and it is taking up a lot of my time.&amp;#34; CT 10/11/22 Not available for IR1, reach out for IR2. CT 01/05/22 CT sent follow up email for matching 12/30/21 SB sent IR2 FY21-22 schedule list for matching JPS communicated with Waad in October 2020,  had some concerns with English fluency. She also struggled to make time for re-training initial training call. But, she speaks Arabic so let's see how we can re-engage. </t>
  </si>
  <si>
    <t>Carrer del Rosselló, 154 Barcelona 08036, Spain</t>
  </si>
  <si>
    <t>Barcelona</t>
  </si>
  <si>
    <r>
      <rPr>
        <color rgb="FF1155CC"/>
        <sz val="10.0"/>
        <u/>
      </rPr>
      <t>Samuel Rodriguez</t>
    </r>
    <r>
      <rPr>
        <sz val="10.0"/>
      </rPr>
      <t xml:space="preserve">, </t>
    </r>
    <r>
      <rPr>
        <color rgb="FF1155CC"/>
        <sz val="10.0"/>
        <u/>
      </rPr>
      <t>Ciara Cruz</t>
    </r>
    <r>
      <rPr>
        <sz val="10.0"/>
      </rPr>
      <t xml:space="preserve"> and </t>
    </r>
    <r>
      <rPr>
        <color rgb="FF1155CC"/>
        <sz val="10.0"/>
        <u/>
      </rPr>
      <t>Tiasha Grullon</t>
    </r>
  </si>
  <si>
    <t>Robert</t>
  </si>
  <si>
    <t>Wadams</t>
  </si>
  <si>
    <t>wadamrb@gmail.com</t>
  </si>
  <si>
    <t>AT emailed e mothers day social media content on 5/10/24 WW emailed for IR1 5/23/23 CT Completed CPC Orientation &amp;amp; Onboarding Webinar 3/27/23 SB sent Robert training invite and dates for IR3 3/24/23 emailed SB that he will let us know his schedule over the next few days 3/21/23 SB sent follow up email about training and IR3 3/17/23 passed screening with SB - sending congrats and IR3 request 2/27/23 CT sent follow up email to schedule screening 2/21/23 SB emailed for screening Reference of Donald Johnson (current CPC)</t>
  </si>
  <si>
    <t>6 Bristel Road</t>
  </si>
  <si>
    <t>Bristol Myers Squibb</t>
  </si>
  <si>
    <r>
      <rPr>
        <color rgb="FF1155CC"/>
        <sz val="10.0"/>
        <u/>
      </rPr>
      <t>Jason Martinez</t>
    </r>
    <r>
      <rPr>
        <sz val="10.0"/>
      </rPr>
      <t xml:space="preserve">, </t>
    </r>
    <r>
      <rPr>
        <color rgb="FF1155CC"/>
        <sz val="10.0"/>
        <u/>
      </rPr>
      <t>Victoriano Sosa</t>
    </r>
    <r>
      <rPr>
        <sz val="10.0"/>
      </rPr>
      <t xml:space="preserve"> and </t>
    </r>
    <r>
      <rPr>
        <color rgb="FF1155CC"/>
        <sz val="10.0"/>
        <u/>
      </rPr>
      <t>Samuel Rodriguez</t>
    </r>
  </si>
  <si>
    <t>Weber</t>
  </si>
  <si>
    <t>weber@UMassglobal.edu</t>
  </si>
  <si>
    <t>11/30/23 SB marking Frank as yellow. After requesting to be in round, he attended two sessions and was unhappy with student behavior. He was also dismissive of requests for feedback from a year 2 Intern. He quit the round &amp;amp; told SPEAKHIRE, &amp;#34;I won?t be participating in this session. I?m going to put my energy into an activity where I feel I can do more good.&amp;#34; and refused to have a phone call. Don't seek him out but if he returns and wants to be matched again, start him on STAR training - level 1 beginning. 11/14/23 SB called, left VM, &amp;amp; texted to see if he could take over IR1 group from Donald - Frank agreed and SB sent over about Interns Formerly a clinical Psychologist with the US Air Force 3/20/23 SB sent text for IR3 3/16/23 SB emailed for IR3 Union Square 10/14/22 SB emailed for Wheels availability - agreed to availability 02/03/22 Completed CPC Orientation &amp;amp; Onboarding Training CT 02/03/22 Passed Screening Call, sent congrats email with training reminder CT HIS SPANISH IS RUSTY (HJ 1/27/22) Screening scheduling email sent - SB 1/26/22</t>
  </si>
  <si>
    <t>7261 Roycroft Drive</t>
  </si>
  <si>
    <t>Roseville, CA</t>
  </si>
  <si>
    <t>Roseville</t>
  </si>
  <si>
    <t>University of Massachusetts - Global Campus</t>
  </si>
  <si>
    <r>
      <rPr>
        <color rgb="FF1155CC"/>
        <sz val="10.0"/>
        <u/>
      </rPr>
      <t>Yamile Bastidas</t>
    </r>
    <r>
      <rPr>
        <sz val="10.0"/>
      </rPr>
      <t xml:space="preserve">, </t>
    </r>
    <r>
      <rPr>
        <color rgb="FF1155CC"/>
        <sz val="10.0"/>
        <u/>
      </rPr>
      <t>Patricia Manrique</t>
    </r>
    <r>
      <rPr>
        <sz val="10.0"/>
      </rPr>
      <t xml:space="preserve">, </t>
    </r>
    <r>
      <rPr>
        <color rgb="FF1155CC"/>
        <sz val="10.0"/>
        <u/>
      </rPr>
      <t>Juliana Claire Cahumnas</t>
    </r>
    <r>
      <rPr>
        <sz val="10.0"/>
      </rPr>
      <t xml:space="preserve">, </t>
    </r>
    <r>
      <rPr>
        <color rgb="FF1155CC"/>
        <sz val="10.0"/>
        <u/>
      </rPr>
      <t>Kiara Paulino</t>
    </r>
    <r>
      <rPr>
        <sz val="10.0"/>
      </rPr>
      <t xml:space="preserve">, </t>
    </r>
    <r>
      <rPr>
        <color rgb="FF1155CC"/>
        <sz val="10.0"/>
        <u/>
      </rPr>
      <t>Emely Payano</t>
    </r>
    <r>
      <rPr>
        <sz val="10.0"/>
      </rPr>
      <t xml:space="preserve">, </t>
    </r>
    <r>
      <rPr>
        <color rgb="FF1155CC"/>
        <sz val="10.0"/>
        <u/>
      </rPr>
      <t>Aura Caraballo</t>
    </r>
    <r>
      <rPr>
        <sz val="10.0"/>
      </rPr>
      <t xml:space="preserve">, </t>
    </r>
    <r>
      <rPr>
        <color rgb="FF1155CC"/>
        <sz val="10.0"/>
        <u/>
      </rPr>
      <t>Stephanie Leonzo</t>
    </r>
    <r>
      <rPr>
        <sz val="10.0"/>
      </rPr>
      <t xml:space="preserve">, </t>
    </r>
    <r>
      <rPr>
        <color rgb="FF1155CC"/>
        <sz val="10.0"/>
        <u/>
      </rPr>
      <t>Rana Musleh</t>
    </r>
    <r>
      <rPr>
        <sz val="10.0"/>
      </rPr>
      <t xml:space="preserve">, </t>
    </r>
    <r>
      <rPr>
        <color rgb="FF1155CC"/>
        <sz val="10.0"/>
        <u/>
      </rPr>
      <t>Luis Grullon</t>
    </r>
    <r>
      <rPr>
        <sz val="10.0"/>
      </rPr>
      <t xml:space="preserve"> and </t>
    </r>
    <r>
      <rPr>
        <color rgb="FF1155CC"/>
        <sz val="10.0"/>
        <u/>
      </rPr>
      <t>Dina Lagua</t>
    </r>
  </si>
  <si>
    <t>IHS Health, ClaremontIHS, IHSUnionSquare, WheelsNYC</t>
  </si>
  <si>
    <t>Weina</t>
  </si>
  <si>
    <t>weeeina@gmail.com</t>
  </si>
  <si>
    <t>7/17/23 - SB sent email for IRS, BC called &amp;amp; left VM,  SB sent follow up text - Not available for IRS, asking for IR1 4/25/23 not available for IR3 SB 4/24/23 SB messaged for Ir3 4/21/23 SB emailed thank you and IR3 request 4/17/23 SB emailed for IR3 1/19/23 confirmed Monday schedule for IR2 SB 1/13/23 email SB, &amp;#34;I am potentially available but will have to check with my manager at work prior to being able to commit fully. Please remind me in a week if you have not yet heard a response from me&amp;#34; 1/11/23 SB emailed for IR2 for Mondays Hetal met Weina in person in NYC on 10/19 -- she donated through Benevity for Abbott's giving month. Hetal updated her company place and company url to Abbott from Zymergen https://www.zymergen.com/. Need to confirm her job title and updated bio/headshot before sending out a new match (10/20/21) 9/20/22 Not available for IR1 CT 3/21/22 Not available for IR3 CT 1/6/22 SB sent follow up email for IR2 12/27/21 SB sent IR2 FY21-22 schedule list for matching JPS followed up on 2/17/21 - no response as of yet. JPS emailed on 2/9/21 to ask about Weina's availability to be a Champion for IR2 20-21.  Reached out to Weina for R2 2020-2021 match, but she was not available.  Emailed on 9/28/2020 about a potential mentee match for round 3</t>
  </si>
  <si>
    <t>507 Oak St. San Francisco, CA 94102</t>
  </si>
  <si>
    <t>Abbott</t>
  </si>
  <si>
    <t>Seminars 21, FY 22 - 23, FY 21 - 22, FY 17 - 18</t>
  </si>
  <si>
    <r>
      <rPr>
        <color rgb="FF1155CC"/>
        <sz val="10.0"/>
        <u/>
      </rPr>
      <t>Cristobal Cespedes</t>
    </r>
    <r>
      <rPr>
        <sz val="10.0"/>
      </rPr>
      <t xml:space="preserve">, </t>
    </r>
    <r>
      <rPr>
        <color rgb="FF1155CC"/>
        <sz val="10.0"/>
        <u/>
      </rPr>
      <t>Jayde Smoak</t>
    </r>
    <r>
      <rPr>
        <sz val="10.0"/>
      </rPr>
      <t xml:space="preserve">, </t>
    </r>
    <r>
      <rPr>
        <color rgb="FF1155CC"/>
        <sz val="10.0"/>
        <u/>
      </rPr>
      <t>Aliyah Maliq</t>
    </r>
    <r>
      <rPr>
        <sz val="10.0"/>
      </rPr>
      <t xml:space="preserve">, </t>
    </r>
    <r>
      <rPr>
        <color rgb="FF1155CC"/>
        <sz val="10.0"/>
        <u/>
      </rPr>
      <t>Abbah Fatima</t>
    </r>
    <r>
      <rPr>
        <sz val="10.0"/>
      </rPr>
      <t xml:space="preserve">, </t>
    </r>
    <r>
      <rPr>
        <color rgb="FF1155CC"/>
        <sz val="10.0"/>
        <u/>
      </rPr>
      <t>Ketevan Antidze</t>
    </r>
    <r>
      <rPr>
        <sz val="10.0"/>
      </rPr>
      <t xml:space="preserve">, </t>
    </r>
    <r>
      <rPr>
        <color rgb="FF1155CC"/>
        <sz val="10.0"/>
        <u/>
      </rPr>
      <t>Gafar Aliyev</t>
    </r>
    <r>
      <rPr>
        <sz val="10.0"/>
      </rPr>
      <t xml:space="preserve">, </t>
    </r>
    <r>
      <rPr>
        <color rgb="FF1155CC"/>
        <sz val="10.0"/>
        <u/>
      </rPr>
      <t>Maria Barrera</t>
    </r>
    <r>
      <rPr>
        <sz val="10.0"/>
      </rPr>
      <t xml:space="preserve"> and </t>
    </r>
    <r>
      <rPr>
        <color rgb="FF1155CC"/>
        <sz val="10.0"/>
        <u/>
      </rPr>
      <t>Vanessa Ramirez Tapia</t>
    </r>
  </si>
  <si>
    <t>CypressHills, QueensPrepAcad, IHS Lafayette, HS for Global Citizenship</t>
  </si>
  <si>
    <t>Wendy</t>
  </si>
  <si>
    <t>Velasquez Ebanks</t>
  </si>
  <si>
    <t>wendy.velasquezebanks@gmail.com</t>
  </si>
  <si>
    <t>10/23/23 WW sent Interns profiles, Wendy agreed to matching; MA sent 10/10/23 WW emailed for IR1 - agreed to match 9/14/23 helped co-host a CCC 7/14/23 emailed SB, &amp;#34;I got into a national program (NSF-I Corps) through my fellowship at Cornell University. So it is kind of like an accelerated summer class,  besides that I'm preparing for a big test coming up.&amp;#34; interested in IR1 7/12/23 SB emailed for IRS 4/24/23 LLT sent email asking about being Seminar Speaker for Crotona 11/3/22 Has been asked as back up for Seminars and FY, make sure to try not to in future so she feels valued 11/2/22 asked for last minute wheels 8/12/22  Interested in IR1 but need to follow up due to change happening at her job SB Did FY 21-22 IR2, IR3. Didn't do IRS. She is okay with any group. Very understanding and great with the students. Speaks Spanish 6/22/22 Wendy unable to participate in IRS, she asked for IR1 dates to plan for them. SB emailed back and let her know IR1 is set to begin in November 1/21/22 Completed Orientation &amp;amp; Onboarding training CT 1/10/22 passed screening with SB, training and IR2 schedule email sent 1/5/22 SB sent Screening scheduling email</t>
  </si>
  <si>
    <t>8200 West Amarillo Blvd Apt 405 Amarillo Texas 79124</t>
  </si>
  <si>
    <t>Amarillo</t>
  </si>
  <si>
    <t>Attebury Grain LLC</t>
  </si>
  <si>
    <t>Seminars 23, Seminars 22, FY 21 - 22, FY 22 - 23, FY 23 - 24, FY 24 - 25</t>
  </si>
  <si>
    <r>
      <rPr>
        <color rgb="FF1155CC"/>
        <sz val="10.0"/>
        <u/>
      </rPr>
      <t>Gelber Garcia</t>
    </r>
    <r>
      <rPr>
        <sz val="10.0"/>
      </rPr>
      <t xml:space="preserve">, </t>
    </r>
    <r>
      <rPr>
        <color rgb="FF1155CC"/>
        <sz val="10.0"/>
        <u/>
      </rPr>
      <t>Fernando Zelaya</t>
    </r>
    <r>
      <rPr>
        <sz val="10.0"/>
      </rPr>
      <t xml:space="preserve">, </t>
    </r>
    <r>
      <rPr>
        <color rgb="FF1155CC"/>
        <sz val="10.0"/>
        <u/>
      </rPr>
      <t>Carlos Salgado</t>
    </r>
    <r>
      <rPr>
        <sz val="10.0"/>
      </rPr>
      <t xml:space="preserve">, </t>
    </r>
    <r>
      <rPr>
        <color rgb="FF1155CC"/>
        <sz val="10.0"/>
        <u/>
      </rPr>
      <t>Luis Rodriguez</t>
    </r>
    <r>
      <rPr>
        <sz val="10.0"/>
      </rPr>
      <t xml:space="preserve">, </t>
    </r>
    <r>
      <rPr>
        <color rgb="FF1155CC"/>
        <sz val="10.0"/>
        <u/>
      </rPr>
      <t>Helena Bedward</t>
    </r>
    <r>
      <rPr>
        <sz val="10.0"/>
      </rPr>
      <t xml:space="preserve">, </t>
    </r>
    <r>
      <rPr>
        <color rgb="FF1155CC"/>
        <sz val="10.0"/>
        <u/>
      </rPr>
      <t>Ephraim Orisakiya</t>
    </r>
    <r>
      <rPr>
        <sz val="10.0"/>
      </rPr>
      <t xml:space="preserve">, </t>
    </r>
    <r>
      <rPr>
        <color rgb="FF1155CC"/>
        <sz val="10.0"/>
        <u/>
      </rPr>
      <t>Ytaliashe Joseph</t>
    </r>
    <r>
      <rPr>
        <sz val="10.0"/>
      </rPr>
      <t xml:space="preserve">, </t>
    </r>
    <r>
      <rPr>
        <color rgb="FF1155CC"/>
        <sz val="10.0"/>
        <u/>
      </rPr>
      <t>Katherine Ruano</t>
    </r>
    <r>
      <rPr>
        <sz val="10.0"/>
      </rPr>
      <t xml:space="preserve">, </t>
    </r>
    <r>
      <rPr>
        <color rgb="FF1155CC"/>
        <sz val="10.0"/>
        <u/>
      </rPr>
      <t>Rafat Galeana</t>
    </r>
    <r>
      <rPr>
        <sz val="10.0"/>
      </rPr>
      <t xml:space="preserve">, </t>
    </r>
    <r>
      <rPr>
        <color rgb="FF1155CC"/>
        <sz val="10.0"/>
        <u/>
      </rPr>
      <t>Ellinghton Lugo</t>
    </r>
    <r>
      <rPr>
        <sz val="10.0"/>
      </rPr>
      <t xml:space="preserve">, </t>
    </r>
    <r>
      <rPr>
        <color rgb="FF1155CC"/>
        <sz val="10.0"/>
        <u/>
      </rPr>
      <t>Leswin Garcia</t>
    </r>
    <r>
      <rPr>
        <sz val="10.0"/>
      </rPr>
      <t xml:space="preserve">, </t>
    </r>
    <r>
      <rPr>
        <color rgb="FF1155CC"/>
        <sz val="10.0"/>
        <u/>
      </rPr>
      <t>Ketevan Antidze</t>
    </r>
    <r>
      <rPr>
        <sz val="10.0"/>
      </rPr>
      <t xml:space="preserve">, </t>
    </r>
    <r>
      <rPr>
        <color rgb="FF1155CC"/>
        <sz val="10.0"/>
        <u/>
      </rPr>
      <t>Abbah Fatima</t>
    </r>
    <r>
      <rPr>
        <sz val="10.0"/>
      </rPr>
      <t xml:space="preserve">, </t>
    </r>
    <r>
      <rPr>
        <color rgb="FF1155CC"/>
        <sz val="10.0"/>
        <u/>
      </rPr>
      <t>Abdelrahman Mohamed</t>
    </r>
    <r>
      <rPr>
        <sz val="10.0"/>
      </rPr>
      <t xml:space="preserve">, </t>
    </r>
    <r>
      <rPr>
        <color rgb="FF1155CC"/>
        <sz val="10.0"/>
        <u/>
      </rPr>
      <t>Genesis Moreno</t>
    </r>
    <r>
      <rPr>
        <sz val="10.0"/>
      </rPr>
      <t xml:space="preserve">, </t>
    </r>
    <r>
      <rPr>
        <color rgb="FF1155CC"/>
        <sz val="10.0"/>
        <u/>
      </rPr>
      <t>Michell Benavidez</t>
    </r>
    <r>
      <rPr>
        <sz val="10.0"/>
      </rPr>
      <t xml:space="preserve">, </t>
    </r>
    <r>
      <rPr>
        <color rgb="FF1155CC"/>
        <sz val="10.0"/>
        <u/>
      </rPr>
      <t>Edwin Orduna</t>
    </r>
    <r>
      <rPr>
        <sz val="10.0"/>
      </rPr>
      <t xml:space="preserve">, </t>
    </r>
    <r>
      <rPr>
        <color rgb="FF1155CC"/>
        <sz val="10.0"/>
        <u/>
      </rPr>
      <t>Jesus (Daniel) Leon</t>
    </r>
    <r>
      <rPr>
        <sz val="10.0"/>
      </rPr>
      <t xml:space="preserve">, </t>
    </r>
    <r>
      <rPr>
        <color rgb="FF1155CC"/>
        <sz val="10.0"/>
        <u/>
      </rPr>
      <t>Kenry Aldana</t>
    </r>
    <r>
      <rPr>
        <sz val="10.0"/>
      </rPr>
      <t xml:space="preserve"> and </t>
    </r>
    <r>
      <rPr>
        <color rgb="FF1155CC"/>
        <sz val="10.0"/>
        <u/>
      </rPr>
      <t>Ellinghton Lugo</t>
    </r>
  </si>
  <si>
    <t>P2GBronx, IHS Health, IHS Lafayette, QueensPrepAcad, ICHSBronx, CrotonaIHS, IHSUnionSquare</t>
  </si>
  <si>
    <t>Uribe</t>
  </si>
  <si>
    <t>westonuribe99@gmail.com</t>
  </si>
  <si>
    <t>Needs strong students - last group left him feeling unconfident Weston attended a CPC Training on 4/10/21 with JPS Weston was screened by SU on 4/6/21 JPS sent screening call email on 2/25/21</t>
  </si>
  <si>
    <t>770 Locust Ave., Boulder, CO 80304</t>
  </si>
  <si>
    <t>Freedom Robotics</t>
  </si>
  <si>
    <r>
      <rPr>
        <color rgb="FF1155CC"/>
        <sz val="10.0"/>
        <u/>
      </rPr>
      <t>Sanat Gaybullov</t>
    </r>
    <r>
      <rPr>
        <sz val="10.0"/>
      </rPr>
      <t xml:space="preserve"> and </t>
    </r>
    <r>
      <rPr>
        <color rgb="FF1155CC"/>
        <sz val="10.0"/>
        <u/>
      </rPr>
      <t>Akhmadzhon Vakhidov</t>
    </r>
  </si>
  <si>
    <t>wilsona@antoinelawfirm.com</t>
  </si>
  <si>
    <t>3/3/23 emailed SB, &amp;#34; Sorry, I?m still not able to commit at this time.  But if any of them wants to send me questions or a have a one-off virtual meeting, I would be more than happy to oblige.&amp;#34; 3/2/23 CT sent email asking to be Speaker for BUSHWICKCHS Seminar 3/1/23 SB emailed for availability for IR3 and sent about Interns 12/16/22 SB emailed for queens/bronx/crotona match - not available  for IR2, asked for IR3 BMW sent text on 8/4. He replied on 8/9 and said is is going to be traveling. Wants to be contacted for IR2 . BMW Not available for IR1. Reach out for IR2. CT 8/9/22 Needs a strong group 6/24 Wilson unavailable for IRS, will possibly be available in the fall for IR1 SB completed training with SB on 4/8/22 Not available for Seminars between 2:30 to 3:15 pm EST due to school pick up. 4/7/22 CT 4/4/22 Passed screening. Congrats/training email sent. SB 3/29/22 SB sent screening scheduling email</t>
  </si>
  <si>
    <t>542 Morristown road linden nj 07036</t>
  </si>
  <si>
    <t>542 Morristown Rd, Linden NJ 07036</t>
  </si>
  <si>
    <t>Linden</t>
  </si>
  <si>
    <t>The Antoine Law Firm, LLC</t>
  </si>
  <si>
    <r>
      <rPr>
        <color rgb="FF1155CC"/>
        <sz val="10.0"/>
        <u/>
      </rPr>
      <t>Myrny St Vil</t>
    </r>
    <r>
      <rPr>
        <sz val="10.0"/>
      </rPr>
      <t xml:space="preserve">, </t>
    </r>
    <r>
      <rPr>
        <color rgb="FF1155CC"/>
        <sz val="10.0"/>
        <u/>
      </rPr>
      <t>Angelo De La Cruz</t>
    </r>
    <r>
      <rPr>
        <sz val="10.0"/>
      </rPr>
      <t xml:space="preserve"> and </t>
    </r>
    <r>
      <rPr>
        <color rgb="FF1155CC"/>
        <sz val="10.0"/>
        <u/>
      </rPr>
      <t>Afrin Tripti</t>
    </r>
  </si>
  <si>
    <t>IHSUnionSquare, IHS Health</t>
  </si>
  <si>
    <t>Hennessy</t>
  </si>
  <si>
    <t>845-405-1911</t>
  </si>
  <si>
    <t>wperruna@gmail.com</t>
  </si>
  <si>
    <t>4/3/23 CT sent follow up to schedule Screening Call 2/22/23 CT sent follow up email to re-engage 2/9/23 CT sent re-engagement email 5/24/22 SB sent re-engagement email HH email 8/5/21, HH voicemail/email 7/29/21, HH text (phone disconnected when called) 7/20/2021, SU sent outreach email on 3/2/21, 3/4/21, 3/9/21, 3/22. No response. JPS emailed on 4/22/21. SU sent outreach email on 3/2/21, 3/4/21, 3/9/21, 3/22. No response. JPS emailed on 4/22/21. uploaded to Kintone but marked as inactive/yellow until screening complete</t>
  </si>
  <si>
    <t>472 Mountain View Ave., Hurley, NY</t>
  </si>
  <si>
    <t>LaGrangeville, NY</t>
  </si>
  <si>
    <t>Hurley</t>
  </si>
  <si>
    <t>Health Quest</t>
  </si>
  <si>
    <t>Wilfredo</t>
  </si>
  <si>
    <t>Rosado</t>
  </si>
  <si>
    <t>wrosado2@me.com</t>
  </si>
  <si>
    <t>Pathways days speaker</t>
  </si>
  <si>
    <t>Yann</t>
  </si>
  <si>
    <t>Rousseau</t>
  </si>
  <si>
    <t>y.rousseau@barnes-international.com</t>
  </si>
  <si>
    <t>3/1/24 WW emailed for IR3 4/24/23 SB emailed for GCHS Seminar 3/16/23 LLT asked to be Seminar Speaker for Crotona IHS 12/16/22 completed training with SB 11/30/22 CT sent follow up email regarding training Sent Congrats email 6/16/22 CT Screening Call passed on 6/15/22 with CT. I left important notes about Seminars and FY in Screening Notes. He's only available for Seminars at this point and will let us know if he's available for FY. CT LG sent screening call scheduling email 6/14/22</t>
  </si>
  <si>
    <t>295 Madison Ave - Ste 901 - New York NY 10017</t>
  </si>
  <si>
    <t>BARNES New York</t>
  </si>
  <si>
    <t>GCHS</t>
  </si>
  <si>
    <t>Yada</t>
  </si>
  <si>
    <t>Treesukosol</t>
  </si>
  <si>
    <t>562-985-2116</t>
  </si>
  <si>
    <t>yada.treesukosol@csulb.edu</t>
  </si>
  <si>
    <t>1/23/23 SB emailed for IR2 - Yada responded that she is not available 9/14/22 Not available for IR1. CT Not available for Seminars for the next few months. 5/2/22 CT Yada attended a training on 3/8/21 with JPS Yada was screened on 3/2/21 by SU Double checked 1/26 (KW)</t>
  </si>
  <si>
    <t>California State University Long Beach, Department of Psychology 1250 Bellflower Blvd</t>
  </si>
  <si>
    <t>Long Beach</t>
  </si>
  <si>
    <t>California State University</t>
  </si>
  <si>
    <r>
      <rPr>
        <color rgb="FF1155CC"/>
        <sz val="10.0"/>
        <u/>
      </rPr>
      <t>Mayerli Torres</t>
    </r>
    <r>
      <rPr>
        <sz val="10.0"/>
      </rPr>
      <t xml:space="preserve">, </t>
    </r>
    <r>
      <rPr>
        <color rgb="FF1155CC"/>
        <sz val="10.0"/>
        <u/>
      </rPr>
      <t>Laziz Djuraev</t>
    </r>
    <r>
      <rPr>
        <sz val="10.0"/>
      </rPr>
      <t xml:space="preserve">, </t>
    </r>
    <r>
      <rPr>
        <color rgb="FF1155CC"/>
        <sz val="10.0"/>
        <u/>
      </rPr>
      <t>Malika Bahronbekova</t>
    </r>
    <r>
      <rPr>
        <sz val="10.0"/>
      </rPr>
      <t xml:space="preserve">, </t>
    </r>
    <r>
      <rPr>
        <color rgb="FF1155CC"/>
        <sz val="10.0"/>
        <u/>
      </rPr>
      <t>Axel Almonte</t>
    </r>
    <r>
      <rPr>
        <sz val="10.0"/>
      </rPr>
      <t xml:space="preserve">, </t>
    </r>
    <r>
      <rPr>
        <color rgb="FF1155CC"/>
        <sz val="10.0"/>
        <u/>
      </rPr>
      <t>Daina Charles</t>
    </r>
    <r>
      <rPr>
        <sz val="10.0"/>
      </rPr>
      <t xml:space="preserve">, </t>
    </r>
    <r>
      <rPr>
        <color rgb="FF1155CC"/>
        <sz val="10.0"/>
        <u/>
      </rPr>
      <t>Hongning Wei</t>
    </r>
    <r>
      <rPr>
        <sz val="10.0"/>
      </rPr>
      <t xml:space="preserve">, </t>
    </r>
    <r>
      <rPr>
        <color rgb="FF1155CC"/>
        <sz val="10.0"/>
        <u/>
      </rPr>
      <t>Bryan Payana</t>
    </r>
    <r>
      <rPr>
        <sz val="10.0"/>
      </rPr>
      <t xml:space="preserve"> and </t>
    </r>
    <r>
      <rPr>
        <color rgb="FF1155CC"/>
        <sz val="10.0"/>
        <u/>
      </rPr>
      <t>Joanna Veletanga</t>
    </r>
  </si>
  <si>
    <t>ClaremontIHS, IHS Lafayette, NYC Mission - Emma Lazarus, FlushingIHS</t>
  </si>
  <si>
    <t>Yadhira Del Carmen</t>
  </si>
  <si>
    <t>Arroyo Cruz</t>
  </si>
  <si>
    <t>551-276-9086</t>
  </si>
  <si>
    <t>yadhirarroyo@gmail.com</t>
  </si>
  <si>
    <t>3/20/24 WW sent re-engagement message on LinkedIn 3/1/22 Email updated from yadhira.arroyo@outlook.com to  yadhirarroyo@gmail.com 01/13/22 not available for IR2; currently in master program; available next year again 12/21/21 SB sent IR2 FY21-22 schedule list for matching -11/2/21 SB called Yadhira, she is getting her masters and working, unable to participate this round - Hetal called and texted 10/28/21 -10/20 SB left Yadhira a voicemail -10/14 SB left Yadhira a voicemail -10/13 SB sent Yadhira email JPS emailed on 1/5/2021 to check her engagement status, no response as of 1/14/2021. Followed up on 1/14/2021 Yadhira did finish mentoring with Bianka Pena Khadidia Traore MR1 2019 -Yadhira isn't reliable with communication but a great mentor IF she shows up as expected</t>
  </si>
  <si>
    <t>130 Roanoke St</t>
  </si>
  <si>
    <t>Monroe Township, NJ</t>
  </si>
  <si>
    <t>XPO Logistics</t>
  </si>
  <si>
    <r>
      <rPr>
        <color rgb="FF1155CC"/>
        <sz val="10.0"/>
        <u/>
      </rPr>
      <t>Bianka Pena</t>
    </r>
    <r>
      <rPr>
        <sz val="10.0"/>
      </rPr>
      <t xml:space="preserve"> and </t>
    </r>
    <r>
      <rPr>
        <color rgb="FF1155CC"/>
        <sz val="10.0"/>
        <u/>
      </rPr>
      <t>Khadidia Traore</t>
    </r>
  </si>
  <si>
    <t>Yagna</t>
  </si>
  <si>
    <t>Pathak</t>
  </si>
  <si>
    <t>yagnes87@gmail.com</t>
  </si>
  <si>
    <t>Yan</t>
  </si>
  <si>
    <t>Guan</t>
  </si>
  <si>
    <t>408-797-7908</t>
  </si>
  <si>
    <t>yanguan@gmail.com</t>
  </si>
  <si>
    <t>12/27/21 SB sent IR2 FY21-22 schedule list for matching</t>
  </si>
  <si>
    <t>6041 Wellfleet Way, San Jose, CA 95129</t>
  </si>
  <si>
    <t>Lam Research</t>
  </si>
  <si>
    <r>
      <rPr>
        <color rgb="FF1155CC"/>
        <sz val="10.0"/>
        <u/>
      </rPr>
      <t>Ana Fabian</t>
    </r>
    <r>
      <rPr>
        <sz val="10.0"/>
      </rPr>
      <t xml:space="preserve">, </t>
    </r>
    <r>
      <rPr>
        <color rgb="FF1155CC"/>
        <sz val="10.0"/>
        <u/>
      </rPr>
      <t>Edgar Silverio</t>
    </r>
    <r>
      <rPr>
        <sz val="10.0"/>
      </rPr>
      <t xml:space="preserve">, </t>
    </r>
    <r>
      <rPr>
        <color rgb="FF1155CC"/>
        <sz val="10.0"/>
        <u/>
      </rPr>
      <t>Jhojanly Mendez</t>
    </r>
    <r>
      <rPr>
        <sz val="10.0"/>
      </rPr>
      <t xml:space="preserve">, </t>
    </r>
    <r>
      <rPr>
        <color rgb="FF1155CC"/>
        <sz val="10.0"/>
        <u/>
      </rPr>
      <t>Alex Aquino Cruz</t>
    </r>
    <r>
      <rPr>
        <sz val="10.0"/>
      </rPr>
      <t xml:space="preserve">, </t>
    </r>
    <r>
      <rPr>
        <color rgb="FF1155CC"/>
        <sz val="10.0"/>
        <u/>
      </rPr>
      <t>Mariama Toure</t>
    </r>
    <r>
      <rPr>
        <sz val="10.0"/>
      </rPr>
      <t xml:space="preserve">, </t>
    </r>
    <r>
      <rPr>
        <color rgb="FF1155CC"/>
        <sz val="10.0"/>
        <u/>
      </rPr>
      <t>Wasin Shihab</t>
    </r>
    <r>
      <rPr>
        <sz val="10.0"/>
      </rPr>
      <t xml:space="preserve">, </t>
    </r>
    <r>
      <rPr>
        <color rgb="FF1155CC"/>
        <sz val="10.0"/>
        <u/>
      </rPr>
      <t>Vy Vo</t>
    </r>
    <r>
      <rPr>
        <sz val="10.0"/>
      </rPr>
      <t xml:space="preserve">, </t>
    </r>
    <r>
      <rPr>
        <color rgb="FF1155CC"/>
        <sz val="10.0"/>
        <u/>
      </rPr>
      <t>JiaJie Liu</t>
    </r>
    <r>
      <rPr>
        <sz val="10.0"/>
      </rPr>
      <t xml:space="preserve"> and </t>
    </r>
    <r>
      <rPr>
        <color rgb="FF1155CC"/>
        <sz val="10.0"/>
        <u/>
      </rPr>
      <t>Bohan Yang</t>
    </r>
  </si>
  <si>
    <t>Yeji</t>
  </si>
  <si>
    <t>yeggslee@gmail.com</t>
  </si>
  <si>
    <t>DO NOT ADD TO EMAIL UNLESS TO RE-ENGAGE 8/4/22 Yeji replied saying she is no longer interested in volunteering due to other time commitments. Hetal followed up to see if this would change for a later round. Yeji responded saying she would let us know if things changed. Marking inactive for now. 8/3/22 - Yeji received an email for CCC and emailed saying she had asked to be removed from mailing list. Hetal replied asking if she wanted to continue as Champion and, if not, why not. Waiting on reply.  6/30/22 Asked to be removed from list after Soiree invite email from LG 12/31/21 Unsubscribed from newsletter SB Completed Onboarding and Training 7/27/21 SB Yeji was screened on 6/10/21 by JPS JPS sent a screening call email on 6/3/21</t>
  </si>
  <si>
    <t>120 Powell St</t>
  </si>
  <si>
    <t>ZS Associates</t>
  </si>
  <si>
    <r>
      <rPr>
        <color rgb="FF1155CC"/>
        <sz val="10.0"/>
        <u/>
      </rPr>
      <t>Jeymi Rodiguez</t>
    </r>
    <r>
      <rPr>
        <sz val="10.0"/>
      </rPr>
      <t xml:space="preserve"> and </t>
    </r>
    <r>
      <rPr>
        <color rgb="FF1155CC"/>
        <sz val="10.0"/>
        <u/>
      </rPr>
      <t>Shichuan Zhou</t>
    </r>
  </si>
  <si>
    <t>Yodit</t>
  </si>
  <si>
    <t>Haile</t>
  </si>
  <si>
    <t>yodithaile1@gmail.com</t>
  </si>
  <si>
    <t>4/26/23 not available for IR3 SB 4/25/23 SB emailed for IR3 1/5/22 unavailable for IR2 due to being busy, SB asked if IR3 might work 1/3/23 SB sent follow up email about IR2 12/15/22 SB followed up for Ellis match 12/9/22 SB emailed for ellis match Not available for IR1but wants to participate in future rounds. CT 8/23/22 12/22/21 SB sent IR2 FY21-22 schedule list for matching Completed training 11/12/21 SB Passed screening 11/2/21 SB, sent congrats and training email. Training scheduled for 11/5/21 Screening scheduling email sent 10/22/21 SB</t>
  </si>
  <si>
    <t>114 manorwood cresent</t>
  </si>
  <si>
    <t>Ottawa</t>
  </si>
  <si>
    <t>ON</t>
  </si>
  <si>
    <t>ABIS</t>
  </si>
  <si>
    <r>
      <rPr>
        <color rgb="FF1155CC"/>
        <sz val="10.0"/>
        <u/>
      </rPr>
      <t>Siyan Wu</t>
    </r>
    <r>
      <rPr>
        <sz val="10.0"/>
      </rPr>
      <t xml:space="preserve"> and </t>
    </r>
    <r>
      <rPr>
        <color rgb="FF1155CC"/>
        <sz val="10.0"/>
        <u/>
      </rPr>
      <t>Susana Franco Lopez</t>
    </r>
  </si>
  <si>
    <t>Archana</t>
  </si>
  <si>
    <t>Srinivasan</t>
  </si>
  <si>
    <t>201 273 1166</t>
  </si>
  <si>
    <t>archanas1919@gmail.com</t>
  </si>
  <si>
    <t>9/12/23 WW sent follow-up email for rescheduling screening call 9/7/23 WW sent text and left VM for rescheduling screening call 9/5/23 WW sent email for rescheduling screening call 8/23/23 Archana showed up for screening but didn't notice its duration for 30-45 min, had something come up and wanted to reschedule - WW 8/18/23 SB followed up for screening 8/10/23 SB emailed for screening</t>
  </si>
  <si>
    <t>4610 Center Blvd Long Island City, New York 11109 United States</t>
  </si>
  <si>
    <t>Citibank</t>
  </si>
  <si>
    <t>Thomas</t>
  </si>
  <si>
    <t>678-382-9041</t>
  </si>
  <si>
    <t>cthomas8462@gmail.com</t>
  </si>
  <si>
    <t>5.10.24 - Emailed re Mothers Day Social medial content - AT 1/10/23  agreed to lead a info session, tentative Feb 20 7pm est 11/3/23 SB emailed for Ellis - agreed to time, SB sending about 9/8/23 completed training with SB 8/18/23 SB sent follow up email about training, Christina replied and signed up for training on 9/8/23 Passed Screening on 8/7/23 by AT</t>
  </si>
  <si>
    <t>33 SE 8th St Apt 310 Boca Raton, Florida 33432 United States</t>
  </si>
  <si>
    <t>Boca Raton</t>
  </si>
  <si>
    <t>Nana Technologies Inc.</t>
  </si>
  <si>
    <r>
      <rPr>
        <color rgb="FF1155CC"/>
        <sz val="10.0"/>
        <u/>
      </rPr>
      <t>Fatou Diedhiou</t>
    </r>
    <r>
      <rPr>
        <sz val="10.0"/>
      </rPr>
      <t xml:space="preserve">, </t>
    </r>
    <r>
      <rPr>
        <color rgb="FF1155CC"/>
        <sz val="10.0"/>
        <u/>
      </rPr>
      <t>Mazaher (Moon) Mohamed</t>
    </r>
    <r>
      <rPr>
        <sz val="10.0"/>
      </rPr>
      <t xml:space="preserve">, </t>
    </r>
    <r>
      <rPr>
        <color rgb="FF1155CC"/>
        <sz val="10.0"/>
        <u/>
      </rPr>
      <t>Walter Tello</t>
    </r>
    <r>
      <rPr>
        <sz val="10.0"/>
      </rPr>
      <t xml:space="preserve"> and </t>
    </r>
    <r>
      <rPr>
        <color rgb="FF1155CC"/>
        <sz val="10.0"/>
        <u/>
      </rPr>
      <t>Khadim Ka</t>
    </r>
  </si>
  <si>
    <t>Megan</t>
  </si>
  <si>
    <t>Leasher</t>
  </si>
  <si>
    <t>1 937-623-787</t>
  </si>
  <si>
    <t>megankleasher@gmail.com</t>
  </si>
  <si>
    <t>05/10 - AT emailed re social media content for Mothers day 1/9/24 asked to be reached back out to in June 1/8/24 SB sent follow up email about training 1/3/24 WW text for re-engagement and sent new training dates 10/19/23 emailed SB, &amp;#34;I think it's best I complete the guide and go through training in January, as I just started a new job, moved,  am wedding planning for our December 1 wedding :) I have quite a bit on my plate and am struggling to keep these details straight!  Would it be possible for someone to reconnect with me in January to select a training date?&amp;#34; SB replied yes and that we will follow up Signed up for training scheduled for 10/20/23 SB 9/14/23 SB sent follow up email for training 9/12/23 SB sent congrats email with training dates 9/11/23 passed screening with SB - getting married and starting a new job, only available for Seminars fall 2023 9/5/23 SB emailed for screening - Megan signed up for screening on 9/11/23</t>
  </si>
  <si>
    <t>216 Park Ave #1 Newport, Kentucky 41071 United States</t>
  </si>
  <si>
    <t>Kentucky, United States</t>
  </si>
  <si>
    <t>Newport</t>
  </si>
  <si>
    <t>KY</t>
  </si>
  <si>
    <t>Cincinnati Children's</t>
  </si>
  <si>
    <t>Kevin</t>
  </si>
  <si>
    <t>Godfrey</t>
  </si>
  <si>
    <t>GodfreyKevinA@gmail.com</t>
  </si>
  <si>
    <t>2/16/24 completed training with SB 1/24/24 SB updated email to GodfreyKevinA@gmail.com from kevin.godfrey@frontiersin.org 1/17/24 Kevin text asking for training dates and update: He's experiencing layoff and don't have access to current email address. WW asked for alternative email 1/3/24 WW text for training; he asked about summer session, reach out for IRS Wanted to withdraw his application 10/2/23 - &amp;#34;I regretfully have to withdraw my application to become a Champion at this time. There are circumstances I have to attend to that would rob myself and the interns of my full attention if I do not deal with them.&amp;#34;, &amp;#34;I do hope in the future, I can engage fully in this rewarding initiative.&amp;#34; Signed up for training scheduled for 10/2/23 SB 9/14/23 SB sent follow up email for training 9/12/23 SB sent congrats email with training dates 9/11/23 passed screening with SB</t>
  </si>
  <si>
    <t>3616 Palmer Avenue Bronx, New York 10466 United States</t>
  </si>
  <si>
    <t>Frontiers Media</t>
  </si>
  <si>
    <t>Abad</t>
  </si>
  <si>
    <t>carlos27124@gmail.com</t>
  </si>
  <si>
    <t>11/1/23 WW sent MA for IR1 10/18/23 SB sent email follow up for IR1 10/13/23 Carlos emailed back that one of the dates for IR1 worked for him, SB replied clarifying that we were asking about the whole schedule. 10/6/23 SB emailed for IR1 9/22/23 SB followed up about training dates - signed up for training on 10/20 9/19/23 passed screening with SB- sent email to schedule training</t>
  </si>
  <si>
    <t>GMDH Streamline</t>
  </si>
  <si>
    <r>
      <rPr>
        <color rgb="FF1155CC"/>
        <sz val="10.0"/>
        <u/>
      </rPr>
      <t>Yancen Rodriguez</t>
    </r>
    <r>
      <rPr>
        <sz val="10.0"/>
      </rPr>
      <t xml:space="preserve">, </t>
    </r>
    <r>
      <rPr>
        <color rgb="FF1155CC"/>
        <sz val="10.0"/>
        <u/>
      </rPr>
      <t>Kevin Duran</t>
    </r>
    <r>
      <rPr>
        <sz val="10.0"/>
      </rPr>
      <t xml:space="preserve"> and </t>
    </r>
    <r>
      <rPr>
        <color rgb="FF1155CC"/>
        <sz val="10.0"/>
        <u/>
      </rPr>
      <t>Lesly Chucino</t>
    </r>
  </si>
  <si>
    <t>Prasad</t>
  </si>
  <si>
    <t>priyanka.prasad04@yahoo.com</t>
  </si>
  <si>
    <t>2/8/24 WW emailed for IR3 9/25/23 passed screening call by WW - sent email to schedule training 9/21/23 SB sent screening email</t>
  </si>
  <si>
    <t>5629 Timberline Trl</t>
  </si>
  <si>
    <t>Ohio</t>
  </si>
  <si>
    <t>Hudson</t>
  </si>
  <si>
    <t>Progressive Insurance</t>
  </si>
  <si>
    <r>
      <rPr>
        <color rgb="FF1155CC"/>
        <sz val="10.0"/>
        <u/>
      </rPr>
      <t>Erick Cuzco Cualchi</t>
    </r>
    <r>
      <rPr>
        <sz val="10.0"/>
      </rPr>
      <t xml:space="preserve"> and </t>
    </r>
    <r>
      <rPr>
        <color rgb="FF1155CC"/>
        <sz val="10.0"/>
        <u/>
      </rPr>
      <t>Mathias Flores</t>
    </r>
  </si>
  <si>
    <t>Steve</t>
  </si>
  <si>
    <t>Walker</t>
  </si>
  <si>
    <t>1 (209) 602-5288</t>
  </si>
  <si>
    <t>steveswalker@google.com</t>
  </si>
  <si>
    <t>Try to find out how he got his job - see if it is through connections 12/15/23 passed screening with SB 11/20/23 Steve emailed in response to newsletter saying he is interested in a seminar (on a topic we do not offer - Finding and landing your dream job:  researching opportunities, networking,  interview skills) Sb followed up saying we needed to schedule him for a training before anything else - signed up fro training on 12/15 11/15/23 SB followed up for training 11/9/23 passed screening with SB 9/26/ SB sent follow up email for screening 9/21/23 SB sent screening email</t>
  </si>
  <si>
    <t>5764 N Orange Blossom Trl PMB 94054 Orlando, Florida 32810 United States</t>
  </si>
  <si>
    <t>June</t>
  </si>
  <si>
    <t>Chung</t>
  </si>
  <si>
    <t>chung.ju12@gmail.com</t>
  </si>
  <si>
    <t>5/10//24 - AT emailed re social media content 1/3/24 her close family member experiencing a major health decline - wants to delay orientation &amp;amp; involvement til March/April 11/17/23 rescheduled traiing to 1/3/24 10/12/23 WW texted for sponsor session, follow-up 10/25/23 10/7/23 June signed up for training on November 17th: 11am - 1pm 9/28/23 passed screening by WW, training email sent 9/27/23 SB sent email for screening call</t>
  </si>
  <si>
    <t>662 Pacific St. Unit 9N</t>
  </si>
  <si>
    <t>Meta</t>
  </si>
  <si>
    <t>Dessie</t>
  </si>
  <si>
    <t>Hristov</t>
  </si>
  <si>
    <t>dessie.hristov@gmail.com</t>
  </si>
  <si>
    <t>5/10/24 - AT emailed re Mothers day content 1/8/24 SB sent text to reschedule training - rescheduled for 1/31/24 1/3/24 Dessie didn't show up for the training, WW text &amp;amp; sent follow-up email passed screening 10/25/23 WW; WW follow up with training dates 11/2/23; said she's available for 1/3/24 via text</t>
  </si>
  <si>
    <t>Castile Dr Altamonte Springs, Florida 32714 United States</t>
  </si>
  <si>
    <t>Altamonte Springs</t>
  </si>
  <si>
    <t>Liberty mutual insurance</t>
  </si>
  <si>
    <t>Jonathan</t>
  </si>
  <si>
    <t>Pinque</t>
  </si>
  <si>
    <t>JonathanPinque@speakhire.org</t>
  </si>
  <si>
    <t>514 Gramatan avenue Mount vernon, New York 10552 United States</t>
  </si>
  <si>
    <t>Mt Vernon</t>
  </si>
  <si>
    <t>New York Presbyterian</t>
  </si>
  <si>
    <r>
      <rPr>
        <color rgb="FF1155CC"/>
        <sz val="10.0"/>
        <u/>
      </rPr>
      <t>Leswin Garcia</t>
    </r>
    <r>
      <rPr>
        <sz val="10.0"/>
      </rPr>
      <t xml:space="preserve">, </t>
    </r>
    <r>
      <rPr>
        <color rgb="FF1155CC"/>
        <sz val="10.0"/>
        <u/>
      </rPr>
      <t>Yoleinny Sosa Marte</t>
    </r>
    <r>
      <rPr>
        <sz val="10.0"/>
      </rPr>
      <t xml:space="preserve">, </t>
    </r>
    <r>
      <rPr>
        <color rgb="FF1155CC"/>
        <sz val="10.0"/>
        <u/>
      </rPr>
      <t>Lia Luciano</t>
    </r>
    <r>
      <rPr>
        <sz val="10.0"/>
      </rPr>
      <t xml:space="preserve"> and </t>
    </r>
    <r>
      <rPr>
        <color rgb="FF1155CC"/>
        <sz val="10.0"/>
        <u/>
      </rPr>
      <t>Kevin Duran</t>
    </r>
  </si>
  <si>
    <t>Gary</t>
  </si>
  <si>
    <t>Blinth</t>
  </si>
  <si>
    <t>404-661-6701</t>
  </si>
  <si>
    <t>talentacquisition1@gmail.com</t>
  </si>
  <si>
    <t>2/8/24 WW emailed for IR3 SPEAKHIRE board member 12/15/23 passed screening with SB 12/13/23 passed screening with SB 12/8/23 SB sent follow up for screening 12/6/23 SB emailed to schedule screening</t>
  </si>
  <si>
    <t>121 McCook Way Kennesaw, Georgia 30144 United States</t>
  </si>
  <si>
    <t>Kennesaw</t>
  </si>
  <si>
    <t>GA</t>
  </si>
  <si>
    <t>Humana Inc</t>
  </si>
  <si>
    <t>Reina</t>
  </si>
  <si>
    <t>Teeger</t>
  </si>
  <si>
    <t>reinateeger@gmail.com</t>
  </si>
  <si>
    <t>Screening scheduled for 3/7/24 SB</t>
  </si>
  <si>
    <t>96 Ivy Way Port Washington, New York 11050 United States</t>
  </si>
  <si>
    <t>Port Washington</t>
  </si>
  <si>
    <t>Retired</t>
  </si>
  <si>
    <r>
      <rPr>
        <color rgb="FF1155CC"/>
        <sz val="10.0"/>
        <u/>
      </rPr>
      <t>Lleilin Guerra</t>
    </r>
    <r>
      <rPr>
        <sz val="10.0"/>
      </rPr>
      <t xml:space="preserve">, </t>
    </r>
    <r>
      <rPr>
        <color rgb="FF1155CC"/>
        <sz val="10.0"/>
        <u/>
      </rPr>
      <t>Miguel Angel Duarte Guiterrez</t>
    </r>
    <r>
      <rPr>
        <sz val="10.0"/>
      </rPr>
      <t xml:space="preserve"> and </t>
    </r>
    <r>
      <rPr>
        <color rgb="FF1155CC"/>
        <sz val="10.0"/>
        <u/>
      </rPr>
      <t>Jazir Cabrera</t>
    </r>
  </si>
  <si>
    <t>Issue 5,6,7 - Handed in person 2020
Issue 8,9,10,11 - 2/8/22</t>
  </si>
  <si>
    <t>Ribadeneyra</t>
  </si>
  <si>
    <t>tribadeneyra@nassaucountyny.gov</t>
  </si>
  <si>
    <t>1/8/24 SB called and left VM about rescheduling screening 1/4/23 SB sent text about screening 1/2/24 SB followed up about rescheduling screening call Signed up for screening call on 12/28/23 -&amp;gt; did not show up, SB emailed and messaged but no response, SB emailed to reschedule 12/26/23 SB sent screening email</t>
  </si>
  <si>
    <t>51 Cody Avenue Glen Head, New York 11545 United States</t>
  </si>
  <si>
    <t>Glen Head</t>
  </si>
  <si>
    <t>Dr. Unnatti</t>
  </si>
  <si>
    <t>Jain</t>
  </si>
  <si>
    <t>dr.unnattijain@genzandu.com</t>
  </si>
  <si>
    <t>1/29/24 SB sent follow up for training 1/9/24 passed screening with SB 1/3/24 SB emailed to schedule screening - she owns a business that also coaches youth so she may have a conflicting interest and be looking to recruit or learn about our programming - be aware during screening. FACEBOOK @dr.unnattijain TIKTOK @dr.unnattijain</t>
  </si>
  <si>
    <t>4622 Battenburg Lane Fairfax, Virginia 22030 United States</t>
  </si>
  <si>
    <t>Fairfax</t>
  </si>
  <si>
    <t>GenZ&amp;U</t>
  </si>
  <si>
    <t>Arun</t>
  </si>
  <si>
    <t>Saxena</t>
  </si>
  <si>
    <t>arunsaxena4u@yahoo.com</t>
  </si>
  <si>
    <t>1/25/24 screened with SB - marked as yellow and sent to WW to schedule follow up  1/24/24 SB sent screening email</t>
  </si>
  <si>
    <t>Krista</t>
  </si>
  <si>
    <t>Lundgren</t>
  </si>
  <si>
    <t>krista.divincenzo@gmail.com</t>
  </si>
  <si>
    <t>3/1/24 WW emailed for Seminar Completed orientation and training on 2/28/24 WW INSTAGRAM krista.lundgren</t>
  </si>
  <si>
    <t>322 Brookside Dr Gardner, Massachusetts 01440 United States</t>
  </si>
  <si>
    <t>Gardner</t>
  </si>
  <si>
    <t>Massachusetts State Police Crime Laboratory</t>
  </si>
  <si>
    <t>Lady</t>
  </si>
  <si>
    <t>Freire</t>
  </si>
  <si>
    <t>ladyfreire@gmail.com</t>
  </si>
  <si>
    <t>05/10 - AT Emailed re Mothers Day content Instagram -  @lacaroldunlop</t>
  </si>
  <si>
    <t>Nipomo</t>
  </si>
  <si>
    <t>REACH</t>
  </si>
  <si>
    <r>
      <rPr>
        <color rgb="FF1155CC"/>
        <sz val="10.0"/>
        <u/>
      </rPr>
      <t>Aneeda (Winnie) Vongnorkeo</t>
    </r>
    <r>
      <rPr>
        <sz val="10.0"/>
      </rPr>
      <t xml:space="preserve"> and </t>
    </r>
    <r>
      <rPr>
        <color rgb="FF1155CC"/>
        <sz val="10.0"/>
        <u/>
      </rPr>
      <t>Aryna Maletskaya</t>
    </r>
  </si>
  <si>
    <t>Jing</t>
  </si>
  <si>
    <t>Yuan</t>
  </si>
  <si>
    <t>yuanjing@yahoo.com</t>
  </si>
  <si>
    <t>2 Redwood Court West Windsor Township, New Jersey 08550 United States</t>
  </si>
  <si>
    <t>Township</t>
  </si>
  <si>
    <t>Silva</t>
  </si>
  <si>
    <t>msilva@flushingbank.com</t>
  </si>
  <si>
    <t>131-16 135th St SOUTH OZONE PARK, New York 11420 United States</t>
  </si>
  <si>
    <t>Jamaica</t>
  </si>
  <si>
    <t>Flushing BAnk</t>
  </si>
  <si>
    <t>Christopher (Chris)</t>
  </si>
  <si>
    <t>Herrera</t>
  </si>
  <si>
    <t>610-570-5421</t>
  </si>
  <si>
    <t>cah213@lehigh.edu</t>
  </si>
  <si>
    <t>Mailing address  414 Hanover Ave Allentown, Pennsylvania 18109 United States</t>
  </si>
  <si>
    <t>3935 W Minor St Emmaus, Pennsylvania 18049 United States</t>
  </si>
  <si>
    <t>Emmaus</t>
  </si>
  <si>
    <r>
      <rPr>
        <color rgb="FF1155CC"/>
        <sz val="10.0"/>
        <u/>
      </rPr>
      <t>Polina Malinovska</t>
    </r>
    <r>
      <rPr>
        <sz val="10.0"/>
      </rPr>
      <t xml:space="preserve">, </t>
    </r>
    <r>
      <rPr>
        <color rgb="FF1155CC"/>
        <sz val="10.0"/>
        <u/>
      </rPr>
      <t>Enyer Cabrera</t>
    </r>
    <r>
      <rPr>
        <sz val="10.0"/>
      </rPr>
      <t xml:space="preserve"> and </t>
    </r>
    <r>
      <rPr>
        <color rgb="FF1155CC"/>
        <sz val="10.0"/>
        <u/>
      </rPr>
      <t>Valeriia (Lera) Chernobaeva</t>
    </r>
  </si>
  <si>
    <t>McFarland</t>
  </si>
  <si>
    <t>785-213-2741</t>
  </si>
  <si>
    <t>j.mcfarland@wesleyjamesgrp.com</t>
  </si>
  <si>
    <t>5/28/24 WW: update new email:  j.mcfarland@wesleyjamesgrp.com  from john.mcfarland@odgersberndtson.com</t>
  </si>
  <si>
    <t>1911 Kings Cross NW Atlanta, Georgia 30318 United States</t>
  </si>
  <si>
    <t>Odgers Berndtson</t>
  </si>
  <si>
    <r>
      <rPr>
        <color rgb="FF1155CC"/>
        <sz val="10.0"/>
        <u/>
      </rPr>
      <t>Kesang Penjor</t>
    </r>
    <r>
      <rPr>
        <sz val="10.0"/>
      </rPr>
      <t xml:space="preserve"> and </t>
    </r>
    <r>
      <rPr>
        <color rgb="FF1155CC"/>
        <sz val="10.0"/>
        <u/>
      </rPr>
      <t>Mayra (May) Poma</t>
    </r>
  </si>
  <si>
    <t>YAZMIN</t>
  </si>
  <si>
    <t>PARIAMACHI</t>
  </si>
  <si>
    <t>dr_pariamachi_rx@hotmail.com</t>
  </si>
  <si>
    <t>PERU</t>
  </si>
  <si>
    <t>IDM</t>
  </si>
  <si>
    <t>FY 24 - 25</t>
  </si>
  <si>
    <r>
      <rPr>
        <color rgb="FF1155CC"/>
        <sz val="10.0"/>
        <u/>
      </rPr>
      <t>Ibraheem Ahmed</t>
    </r>
    <r>
      <rPr>
        <sz val="10.0"/>
      </rPr>
      <t xml:space="preserve">, </t>
    </r>
    <r>
      <rPr>
        <color rgb="FF1155CC"/>
        <sz val="10.0"/>
        <u/>
      </rPr>
      <t>Edwin Orduna</t>
    </r>
    <r>
      <rPr>
        <sz val="10.0"/>
      </rPr>
      <t xml:space="preserve"> and </t>
    </r>
    <r>
      <rPr>
        <color rgb="FF1155CC"/>
        <sz val="10.0"/>
        <u/>
      </rPr>
      <t>Ashly Quezada</t>
    </r>
  </si>
  <si>
    <t>Isabel</t>
  </si>
  <si>
    <t>Flores Mendoza</t>
  </si>
  <si>
    <t>isamafm@gmail.com</t>
  </si>
  <si>
    <t>Lima, Perú</t>
  </si>
  <si>
    <t>I am my own boss</t>
  </si>
  <si>
    <t>Jimena</t>
  </si>
  <si>
    <t>Montane Azpiri</t>
  </si>
  <si>
    <t>jimenamontane@speakhire.org</t>
  </si>
  <si>
    <t>3/1/24 WW emailed for IR3 1/12/24 not available for IR2 SB 1/10/24 SB emailed for IR2 10/30/23 not available for IR1 said hopefully next time SB 10/27/23 SB emailed for IR1 4/17/23 not available for IR3 SB 3/16/23 CT Completed CPC Training 3/16/23 CT followed up regarding screening form to fill out 3/1/23 CT sent screening form to fill out by herself instead of screening call 2/28/23 CT sent email about CPC training &amp;amp; screening call 2/9/23 CT shared one-pager &amp;amp; training video to prepare her better for FY sessions 2/9/23 CT Jimena is a SPEAKHIRE DL Facilitator who jumped in to take on a group of Wheels Interns for IR2</t>
  </si>
  <si>
    <t>Veracruz, Mexico</t>
  </si>
  <si>
    <t>I'm a freelancer: specialist in sustainable tourism and environmental education,  outdoor education instructor</t>
  </si>
  <si>
    <r>
      <rPr>
        <color rgb="FF1155CC"/>
        <sz val="10.0"/>
        <u/>
      </rPr>
      <t>Ashley Diaz</t>
    </r>
    <r>
      <rPr>
        <sz val="10.0"/>
      </rPr>
      <t xml:space="preserve">, </t>
    </r>
    <r>
      <rPr>
        <color rgb="FF1155CC"/>
        <sz val="10.0"/>
        <u/>
      </rPr>
      <t>Raquel Guerrero</t>
    </r>
    <r>
      <rPr>
        <sz val="10.0"/>
      </rPr>
      <t xml:space="preserve">, </t>
    </r>
    <r>
      <rPr>
        <color rgb="FF1155CC"/>
        <sz val="10.0"/>
        <u/>
      </rPr>
      <t>Daylan Peralta</t>
    </r>
    <r>
      <rPr>
        <sz val="10.0"/>
      </rPr>
      <t xml:space="preserve">, </t>
    </r>
    <r>
      <rPr>
        <color rgb="FF1155CC"/>
        <sz val="10.0"/>
        <u/>
      </rPr>
      <t>Alexa Barrueco</t>
    </r>
    <r>
      <rPr>
        <sz val="10.0"/>
      </rPr>
      <t xml:space="preserve"> and </t>
    </r>
    <r>
      <rPr>
        <color rgb="FF1155CC"/>
        <sz val="10.0"/>
        <u/>
      </rPr>
      <t>Stephanie Leonzo</t>
    </r>
  </si>
  <si>
    <t>Fernanda</t>
  </si>
  <si>
    <t>lasletrasdefer@gmail.com</t>
  </si>
  <si>
    <t>Creación de contenido</t>
  </si>
  <si>
    <t>FY 24 - 25, FY 23 - 24</t>
  </si>
  <si>
    <r>
      <rPr>
        <color rgb="FF1155CC"/>
        <sz val="10.0"/>
        <u/>
      </rPr>
      <t>Luz Gutierrez</t>
    </r>
    <r>
      <rPr>
        <sz val="10.0"/>
      </rPr>
      <t xml:space="preserve">, </t>
    </r>
    <r>
      <rPr>
        <color rgb="FF1155CC"/>
        <sz val="10.0"/>
        <u/>
      </rPr>
      <t>Matheus Teodoro</t>
    </r>
    <r>
      <rPr>
        <sz val="10.0"/>
      </rPr>
      <t xml:space="preserve">, </t>
    </r>
    <r>
      <rPr>
        <color rgb="FF1155CC"/>
        <sz val="10.0"/>
        <u/>
      </rPr>
      <t>Marthiel Cruz</t>
    </r>
    <r>
      <rPr>
        <sz val="10.0"/>
      </rPr>
      <t xml:space="preserve">, </t>
    </r>
    <r>
      <rPr>
        <color rgb="FF1155CC"/>
        <sz val="10.0"/>
        <u/>
      </rPr>
      <t>Claudelys Gonzalez</t>
    </r>
    <r>
      <rPr>
        <sz val="10.0"/>
      </rPr>
      <t xml:space="preserve">, </t>
    </r>
    <r>
      <rPr>
        <color rgb="FF1155CC"/>
        <sz val="10.0"/>
        <u/>
      </rPr>
      <t>Fania Minaya</t>
    </r>
    <r>
      <rPr>
        <sz val="10.0"/>
      </rPr>
      <t xml:space="preserve">, </t>
    </r>
    <r>
      <rPr>
        <color rgb="FF1155CC"/>
        <sz val="10.0"/>
        <u/>
      </rPr>
      <t>Luz Gutierrez</t>
    </r>
    <r>
      <rPr>
        <sz val="10.0"/>
      </rPr>
      <t xml:space="preserve"> and </t>
    </r>
    <r>
      <rPr>
        <color rgb="FF1155CC"/>
        <sz val="10.0"/>
        <u/>
      </rPr>
      <t>Matheus Teodoro</t>
    </r>
  </si>
  <si>
    <t>Sonia J</t>
  </si>
  <si>
    <t>Jimenez Mercado</t>
  </si>
  <si>
    <t>soniajackeline@gmail.com</t>
  </si>
  <si>
    <t>San Luis, Lima, Peru</t>
  </si>
  <si>
    <t>I am a freelance</t>
  </si>
  <si>
    <t>Shashikala</t>
  </si>
  <si>
    <t>Giridhar Krishnan</t>
  </si>
  <si>
    <t>chicago_partners@yahoo.com</t>
  </si>
  <si>
    <t>15661 Caldas De Reyes</t>
  </si>
  <si>
    <t>Poway Unified School District</t>
  </si>
  <si>
    <t>Debasmita</t>
  </si>
  <si>
    <t>Ray</t>
  </si>
  <si>
    <t>debasmitaray18@gmail.com</t>
  </si>
  <si>
    <t>Completed orientation and training on 2/28/24 WW Training scheduled for 2/28/24 SB 1/29/24 SB sent follow up for training 1/17/24 passed screening with SB 1/11/24 SB sent screening email</t>
  </si>
  <si>
    <t>6162 Homer Ct</t>
  </si>
  <si>
    <t>Pleasanton</t>
  </si>
  <si>
    <t>OFX</t>
  </si>
  <si>
    <t>Ranjini</t>
  </si>
  <si>
    <t>Sankaranarayanan</t>
  </si>
  <si>
    <t>ranjinishankar07@gmail.com</t>
  </si>
  <si>
    <t>1/9/24 agreed to IR2 Union Square schedule, will be traveling so SB is confirming potential reschedule dates 12/29/23 SB emailed for IR2, sent Ellis schedule 10/2/23 c ompleted orientation and training - WW 9/19/23 signed up for training on 10/2/23 SB 9/18/23 SB sent email to follow up about training date 9/13/23 passed screening with SB and PQ - congrats email sent 9/8/23 SB sent screening email Needs to be uploaded to new platform - not sure where this person got the application link (typeform one)</t>
  </si>
  <si>
    <t>439 Pensdale Rd, Decatur, GA 30030 USA</t>
  </si>
  <si>
    <t>Decatur, GA, USA</t>
  </si>
  <si>
    <t>Decatur</t>
  </si>
  <si>
    <t>Dr. Larry J. Anderson, Emory University</t>
  </si>
  <si>
    <r>
      <rPr>
        <color rgb="FF1155CC"/>
        <sz val="10.0"/>
        <u/>
      </rPr>
      <t>Kesang Penjor</t>
    </r>
    <r>
      <rPr>
        <sz val="10.0"/>
      </rPr>
      <t xml:space="preserve">, </t>
    </r>
    <r>
      <rPr>
        <color rgb="FF1155CC"/>
        <sz val="10.0"/>
        <u/>
      </rPr>
      <t>Mathias Flores</t>
    </r>
    <r>
      <rPr>
        <sz val="10.0"/>
      </rPr>
      <t xml:space="preserve"> and </t>
    </r>
    <r>
      <rPr>
        <color rgb="FF1155CC"/>
        <sz val="10.0"/>
        <u/>
      </rPr>
      <t>Joseph (Joe) Fisher</t>
    </r>
  </si>
  <si>
    <t>Palki Kaur</t>
  </si>
  <si>
    <t>Patpatia</t>
  </si>
  <si>
    <t>palki@pharmacyservices.co.nz</t>
  </si>
  <si>
    <t>Failed screening with SB and WW 5/12/23 SB sent screening email - will need to see if she has any relevant US experience</t>
  </si>
  <si>
    <t>Auckland, NZ</t>
  </si>
  <si>
    <t>Pharmacy Care Group</t>
  </si>
  <si>
    <t>Marco</t>
  </si>
  <si>
    <t>Jaramillo</t>
  </si>
  <si>
    <t>marcojaramillohenao@gmail.com</t>
  </si>
  <si>
    <t>4/26/23 emailed SB, &amp;#34;Due to personal complications, I have to withdraw my application to volunteer with your organization. I wish you the best of luck with your project and trust that you will find a better-suited candidate for the role.&amp;#34; discontinuing  4/25/23 SB sent email for screening 3/13/23 SB sent screening email</t>
  </si>
  <si>
    <t>Rionegro, Colombia</t>
  </si>
  <si>
    <t>Ayca</t>
  </si>
  <si>
    <t>Sezgin</t>
  </si>
  <si>
    <t>+13058797911</t>
  </si>
  <si>
    <t>aycaandac@gmail.com</t>
  </si>
  <si>
    <t>Screened with Lizet, worried about her only being interested in using content for her own job. Deciding not continue with her 3/16/23 SB sent scheduling email for second screening with Lizet 3/15/23 screening with SB - marking yellow 3/6/23 SB sent screening email</t>
  </si>
  <si>
    <t>480 Rantoul St. Unit 219 Beverly,MA</t>
  </si>
  <si>
    <t>Beverly,MA</t>
  </si>
  <si>
    <t>Beverly</t>
  </si>
  <si>
    <t>Certified Career Coach-Freelance</t>
  </si>
  <si>
    <t>Omar</t>
  </si>
  <si>
    <t>Ghorab</t>
  </si>
  <si>
    <t>omarghorab77@yahoo.com</t>
  </si>
  <si>
    <t>1/6/23 after a lack of response to multiple forms and attempts at communication SB marking as discontinued. Can be marked as continued if he ever gets back into contact 1/4/23 SB followed up via email for training 12/27/22 CT followed up regarding training 12/19/22 CT sent Omar follow up regarding CPC Training 12/05/22 CT sent Omar follow up email regarding webinar. 12/01/22 CT Omar did not show up for training 11/29/22 SB followed up for training 11/22/23 passed screening with SB (see screening notes for important info) 11/15/22 Second time no show for scheduled screening call. Signed up for screening call with gmail account omarghorab77@gmail.com. Sent reschedule email. CT 11/14/22 SB followed up to reschedule screening via email 11/9/22 No show for screening. SB emailed to reschedule 11/7/22 SB sent screening scheduling email</t>
  </si>
  <si>
    <t>Pharmscript LLC</t>
  </si>
  <si>
    <t>Pharmscript</t>
  </si>
  <si>
    <t>Tina</t>
  </si>
  <si>
    <t>Loarte-Rodriguez</t>
  </si>
  <si>
    <t>+19175328536</t>
  </si>
  <si>
    <t>tloarterodriguez@me.com</t>
  </si>
  <si>
    <t>2/8/23 no responses to any contact. Marking discontinued. SB 1/6/23 SB texted for screening 1/4/23 SB emailed for screening 12/13/22 SB called, left VM,  sent text to schedule screening 11/30/22 SB sent follow up text for screening scheduling 11/28/22 no show to screening - SB emailed and texted to try and get online. SB followed up with email to reschedule. Tina responded to Text saying she would need to reschedule, SB responded with info and link Scheduled screening for 11/28/22 SB Followed up fro screening 11/21/22  11/1/22 SB texted for screening call scheduling  10/28/22 SB followed up for screening 10/25/22 SB sent screening scheduling email</t>
  </si>
  <si>
    <t>44 Cloos Road</t>
  </si>
  <si>
    <t>Bristol CT</t>
  </si>
  <si>
    <t>Bristol</t>
  </si>
  <si>
    <t>Wheeler</t>
  </si>
  <si>
    <t>Kristina</t>
  </si>
  <si>
    <t>King</t>
  </si>
  <si>
    <t>+19492307752</t>
  </si>
  <si>
    <t>kking15@mail.umassglobal.edu</t>
  </si>
  <si>
    <t>1/22/23 Kristina said, &amp;#34;I am no longer available for this volunteer opportunity&amp;#34;. HJ followed up to see if she could clarify. Kristina emailed &amp;#34;I'm not interested at this time.&amp;#34; Marking as discontinued. SB 1/9/23 SB followed up in email for screening 3/16/22 &amp;#34;Can you please keep me on the list of Career Pathways Champion applicants? I would like to start next year, in the March/April 2023 timeframe.&amp;#34; Email to SB 3/14/22 SB sent screening scheduling email</t>
  </si>
  <si>
    <t>124 Duranzo Aisle</t>
  </si>
  <si>
    <t>Chermain</t>
  </si>
  <si>
    <t>Jennings</t>
  </si>
  <si>
    <t>+19728558334</t>
  </si>
  <si>
    <t>info@cjenningsllc.com</t>
  </si>
  <si>
    <t>Screening notes: Chermain seemed kind during the call but her response to a question involving what she hopes to gain she talked about learning about the organization and how it works. This raised concerns. Marking as discontinued &amp;amp; abandoned  Screened yellow 2/15/22 SB 2/9/22 SB sent screening scheduling email</t>
  </si>
  <si>
    <t>1222 Roxton Dr.</t>
  </si>
  <si>
    <t>Saint Louis, MO</t>
  </si>
  <si>
    <t>Saint Louis</t>
  </si>
  <si>
    <t>Self-Employed: C.JENNINGS LLC</t>
  </si>
  <si>
    <t>Sandhya</t>
  </si>
  <si>
    <t>Jain-Patel</t>
  </si>
  <si>
    <t>+12123005965</t>
  </si>
  <si>
    <t>sandhya.jain@gmail.com</t>
  </si>
  <si>
    <t>She does not want to continue. In sessions she was not a good match and not empathetic. Was not involved in sessions. Had a lot of assumptions. Thought she knew whats best about how to do program better. Marking as red abandoned  8/27/22 LG emailed about checking references, Sandhya said she is unavailable for 2&amp;#43; years because of life changes 02/03/22 Completed CPC Orientation &amp;amp; Onboarding Training CT 2/1/22 passed screening SB 1/24/22 Sent CPC Training email 1/24/22 SB sent screening scheduling email</t>
  </si>
  <si>
    <t>149 Skillman Ave, 5A</t>
  </si>
  <si>
    <t>Self-employed - SRC Partners</t>
  </si>
  <si>
    <r>
      <rPr>
        <color rgb="FF1155CC"/>
        <sz val="10.0"/>
        <u/>
      </rPr>
      <t>Fatima Magana</t>
    </r>
    <r>
      <rPr>
        <sz val="10.0"/>
      </rPr>
      <t xml:space="preserve">, </t>
    </r>
    <r>
      <rPr>
        <color rgb="FF1155CC"/>
        <sz val="10.0"/>
        <u/>
      </rPr>
      <t>Longyu Lin</t>
    </r>
    <r>
      <rPr>
        <sz val="10.0"/>
      </rPr>
      <t xml:space="preserve">, </t>
    </r>
    <r>
      <rPr>
        <color rgb="FF1155CC"/>
        <sz val="10.0"/>
        <u/>
      </rPr>
      <t>Luis Cardenas</t>
    </r>
    <r>
      <rPr>
        <sz val="10.0"/>
      </rPr>
      <t xml:space="preserve"> and </t>
    </r>
    <r>
      <rPr>
        <color rgb="FF1155CC"/>
        <sz val="10.0"/>
        <u/>
      </rPr>
      <t>Edison Lam</t>
    </r>
  </si>
  <si>
    <t>GWENDOLYN</t>
  </si>
  <si>
    <t>MURPH</t>
  </si>
  <si>
    <t>+17189638077</t>
  </si>
  <si>
    <t>murphg@nychhc.org</t>
  </si>
  <si>
    <t>6/8/22 Gwendolyn is no longer interested being a Champion with SPEAKHIRE. She was not happy with her match of interns and didn't want to give program a second chance. She stopped participating in internship round and didn't finish it. Don't reach out to her anymore. CT Abandon Gwendolyn if no response by 5/30/22 CT 3/8/22 Sent email for IR3 availability CT 02/22/22 Phone call: Gwendolyn doesn't want to continue with IR2 because she's taken on too much with her busy schedule. She would like only English speaking students &amp;amp; they have to be committed. We can reach out for IR3 and see if her schedule allows to take on a group but only Wednesdays. We have to talk to her about her expectations towards interns again. CT 02/03/22 Phone call: Gwendolyn  will wait with the MOU to see how the round of her being a Champion will go. CT Completed Onboarding and Orientation Webinar 1/28/22 SB 01/27/22 Screening Call passed CT 01/24/22 Sent Screening Call email CT 01/19/22 Sent CPC Training email &amp;amp; added to training CT</t>
  </si>
  <si>
    <t>760 Broadway, Bklyn, ny</t>
  </si>
  <si>
    <t>NYC Health + Hospitals / Woodhull - Brooklyn, NY</t>
  </si>
  <si>
    <t>NYC Health + Hospitals/ Woodhull</t>
  </si>
  <si>
    <t>Luna</t>
  </si>
  <si>
    <t>212-614-6481 preferred then +525543267293</t>
  </si>
  <si>
    <t>lmartinez@ccrjustice.org</t>
  </si>
  <si>
    <t>Marked her as inactive. She does not want to be a part of SPEAKHIRE anymore at all and wants to be taken off all communications. She said she regrets that she ever signed up as a mentor. CT 8/22/22 Shows very little empathy for the students we work with and assumes they are not serious despite being told of the challenges they face (HJ 3/8/22) Hetal marked as orange. She was not moved through the process properly,  this could have led to her biases. She has not properly screened but talked with Hetal by email a bit where Hetal provided information and scheduled a training for April but her assumptions are blocking her from moving through the process.  Use this phone number 212-614-6481 1/6/22 SB sent screening invite email</t>
  </si>
  <si>
    <t>300 W 135th St Apt. 6E, Brooklyn NY, 10030</t>
  </si>
  <si>
    <t>Center for Constitutional Rights</t>
  </si>
  <si>
    <r>
      <rPr>
        <color rgb="FF1155CC"/>
        <sz val="10.0"/>
        <u/>
      </rPr>
      <t>Sebastien Sierra</t>
    </r>
    <r>
      <rPr>
        <sz val="10.0"/>
      </rPr>
      <t xml:space="preserve">, </t>
    </r>
    <r>
      <rPr>
        <color rgb="FF1155CC"/>
        <sz val="10.0"/>
        <u/>
      </rPr>
      <t>Eliexer Santos</t>
    </r>
    <r>
      <rPr>
        <sz val="10.0"/>
      </rPr>
      <t xml:space="preserve">, </t>
    </r>
    <r>
      <rPr>
        <color rgb="FF1155CC"/>
        <sz val="10.0"/>
        <u/>
      </rPr>
      <t>Anthony Mazariegos</t>
    </r>
    <r>
      <rPr>
        <sz val="10.0"/>
      </rPr>
      <t xml:space="preserve"> and </t>
    </r>
    <r>
      <rPr>
        <color rgb="FF1155CC"/>
        <sz val="10.0"/>
        <u/>
      </rPr>
      <t>Jannatul Monalisa</t>
    </r>
  </si>
  <si>
    <t>NYC Mission - Bronx Community and Washington Irving YABC</t>
  </si>
  <si>
    <t>Andy</t>
  </si>
  <si>
    <t>Bolanos</t>
  </si>
  <si>
    <t>+13476627714</t>
  </si>
  <si>
    <t>andyrb92@gmail.com</t>
  </si>
  <si>
    <t>Army recruiters bailed after matching,  a few sessions once they realized that they could not recruit students Passed screening on 11/15/21</t>
  </si>
  <si>
    <t>9131 queens blvd</t>
  </si>
  <si>
    <t>U.S ARMY</t>
  </si>
  <si>
    <r>
      <rPr>
        <color rgb="FF1155CC"/>
        <sz val="10.0"/>
        <u/>
      </rPr>
      <t>Carlos Ramirez</t>
    </r>
    <r>
      <rPr>
        <sz val="10.0"/>
      </rPr>
      <t xml:space="preserve"> and </t>
    </r>
    <r>
      <rPr>
        <color rgb="FF1155CC"/>
        <sz val="10.0"/>
        <u/>
      </rPr>
      <t>Nanci Garcia</t>
    </r>
  </si>
  <si>
    <t>Maria G</t>
  </si>
  <si>
    <t>Burn (D)</t>
  </si>
  <si>
    <t>+16302722167</t>
  </si>
  <si>
    <t>mariagguiaburn@gmail.com</t>
  </si>
  <si>
    <t>Got nervous and bailed after matching</t>
  </si>
  <si>
    <t>2232 blackmoor park lane Lexington KY 40509</t>
  </si>
  <si>
    <t>Lexington.</t>
  </si>
  <si>
    <t>Lexington</t>
  </si>
  <si>
    <t>Not employed</t>
  </si>
  <si>
    <t>XIONG</t>
  </si>
  <si>
    <t>+15029561149</t>
  </si>
  <si>
    <t>xiong.xiong2.mil@army.mil</t>
  </si>
  <si>
    <t>Xiong was matched and then pulled out and pulled out David Loaiza, Santosh K.C., y Bolanos,  Johnny Wang - he's their commander and said he didn't want them wasting their time. Hetal marked him discontinued/red (12/1/21) 11/23/21 SB sent screening info 11/2/21 SB sent another screening nudge and onboarding materials Screening email sent 10/28/21 SB</t>
  </si>
  <si>
    <t>3640 main st</t>
  </si>
  <si>
    <t>FLUSHING</t>
  </si>
  <si>
    <t>US ARMY</t>
  </si>
  <si>
    <r>
      <rPr>
        <color rgb="FF1155CC"/>
        <sz val="10.0"/>
        <u/>
      </rPr>
      <t>Wendy Choc Coc</t>
    </r>
    <r>
      <rPr>
        <sz val="10.0"/>
      </rPr>
      <t xml:space="preserve"> and </t>
    </r>
    <r>
      <rPr>
        <color rgb="FF1155CC"/>
        <sz val="10.0"/>
        <u/>
      </rPr>
      <t>Ariel Guaman</t>
    </r>
  </si>
  <si>
    <t>SANTOSH</t>
  </si>
  <si>
    <t>KC</t>
  </si>
  <si>
    <t>+14104124936</t>
  </si>
  <si>
    <t>santosh.kc2.mil@army.mil</t>
  </si>
  <si>
    <t>12/1/21 Santosh backed out of the program after being matched and attending some sessions - the army recruiters only want to participate if they can actually recruit the students SB 11/4/21 passed screening, training scheduled for 11/5 SB 11/2/21 SB sent another screening nudge and onboarding materials SB sent screening scheduling email 10/28/21</t>
  </si>
  <si>
    <t>75-25 153rd St, Apt 601, Kew Garden Hills, NY 11367</t>
  </si>
  <si>
    <t>US Army</t>
  </si>
  <si>
    <t>Johnny</t>
  </si>
  <si>
    <t>+13477336639</t>
  </si>
  <si>
    <t>fan.wang2.mil@army.mil</t>
  </si>
  <si>
    <t>Army recruiters bailed after matching,  a few sessions once they realized that they could not recruit students 11/23/21 SB sent screening info 11/2/21 SB sent another screening nudge and onboarding materials AIRFORCE/AIR TRAINING 10/25/21 SB screening scheduling email sent</t>
  </si>
  <si>
    <t>3640 Main St Flushing NY 11354</t>
  </si>
  <si>
    <t>Army Recruiting</t>
  </si>
  <si>
    <r>
      <rPr>
        <color rgb="FF1155CC"/>
        <sz val="10.0"/>
        <u/>
      </rPr>
      <t>Chuanxun Li</t>
    </r>
    <r>
      <rPr>
        <sz val="10.0"/>
      </rPr>
      <t xml:space="preserve"> and </t>
    </r>
    <r>
      <rPr>
        <color rgb="FF1155CC"/>
        <sz val="10.0"/>
        <u/>
      </rPr>
      <t>Sijia Su</t>
    </r>
  </si>
  <si>
    <t>DAVID</t>
  </si>
  <si>
    <t>LOAIZA</t>
  </si>
  <si>
    <t>+19173341589</t>
  </si>
  <si>
    <t>david.a.loaizacardenas.mil@army.mil</t>
  </si>
  <si>
    <t>Army recruiters bailed after matching,  a few sessions once they realized that they could not recruit students Completed training webinar 11/5/21 SB Passed screening on 11/4/21 SB 11/2/21 SB sent another screening nudge and onboarding materials Can be matched on Police or Armed Services 10/25/21 SB sent screening scheduling email</t>
  </si>
  <si>
    <t>36-40 main street flushing NY 11354</t>
  </si>
  <si>
    <t>NEW YORK CITY</t>
  </si>
  <si>
    <r>
      <rPr>
        <color rgb="FF1155CC"/>
        <sz val="10.0"/>
        <u/>
      </rPr>
      <t>Marilyn Arroyo</t>
    </r>
    <r>
      <rPr>
        <sz val="10.0"/>
      </rPr>
      <t xml:space="preserve"> and </t>
    </r>
    <r>
      <rPr>
        <color rgb="FF1155CC"/>
        <sz val="10.0"/>
        <u/>
      </rPr>
      <t>Cesar Misael Orellana Riera</t>
    </r>
  </si>
  <si>
    <t>Kenya</t>
  </si>
  <si>
    <t>Medina</t>
  </si>
  <si>
    <t>+16463851655</t>
  </si>
  <si>
    <t>kenya.medina50@gmail.com</t>
  </si>
  <si>
    <t>1/23/23 CT called Kenya. She said that she asked to be removed from SPEAKHIRE via email before and that she's no longer interested in volunteering and not to reach out again. Marked her as discontinued.  1/17/23 CT sent follow up email for IR2 1/10/23 CT asked for IR2 availability with Wheels schedule Not available for IR1. CT 9/7/22 Hetal spoke to Kenya March 1 -- she said she has other volunteer commitments so she'll  reach back out but we can try reaching her again in September 2022 12/22/21 SB sent IR2 FY21-22 schedule list for matching 11/16/21 SB resent training info Kenya added to 11/9/21 training, no show Screening call passed 11/2/21 SB HJ reached out by text 10/31/21 to move her forward because have her for a match FY 21-22 IR1 Sent screening scheduling email on 10/20/21 SB</t>
  </si>
  <si>
    <t>3050 89th street East Elmhurst, New York 11369</t>
  </si>
  <si>
    <t>Keyuri Patel</t>
  </si>
  <si>
    <r>
      <rPr>
        <color rgb="FF1155CC"/>
        <sz val="10.0"/>
        <u/>
      </rPr>
      <t>Anderson Berrios</t>
    </r>
    <r>
      <rPr>
        <sz val="10.0"/>
      </rPr>
      <t xml:space="preserve"> and </t>
    </r>
    <r>
      <rPr>
        <color rgb="FF1155CC"/>
        <sz val="10.0"/>
        <u/>
      </rPr>
      <t>Diana Chima</t>
    </r>
  </si>
  <si>
    <t>Melanie</t>
  </si>
  <si>
    <t>Nunez</t>
  </si>
  <si>
    <t>+16266064261</t>
  </si>
  <si>
    <t>nunezmelanie0628@gmail.com</t>
  </si>
  <si>
    <t>Believed this to be a job / hiring opportunity, upon clarification she was no longer interested SB Scheduled screening under the name  Jazzybelle Melodia Missed call, second Screening scheduling email sent 9/21/21 SB Screening scheduled for 9/20/21</t>
  </si>
  <si>
    <t>P.O. Box 2980</t>
  </si>
  <si>
    <t>Lancaster, CA</t>
  </si>
  <si>
    <t>Lancaster</t>
  </si>
  <si>
    <t>Amazon DPS1</t>
  </si>
  <si>
    <t>Brian</t>
  </si>
  <si>
    <t>Blackwell</t>
  </si>
  <si>
    <t>+18782080725</t>
  </si>
  <si>
    <t>bcblackwell62@gmail.com</t>
  </si>
  <si>
    <t>12/13/21 SB - For FY21-22 IR1, Brian's attendance was inconsistent, part way through the round he abruptly left by responding to match announcement thread saying due to personal reasons he had to withdraw as a Champion. Hetal responded asking for clarity and left voicemail. Brian has yet to follow up (as of 12/16/21). Brian said he was unhappy with his Interns lack of interest. Hetal marked red. Loren H has stepped in as Champion for Devin and Isaiah Completed onboarding and orientation webinar on 11/5/21 SB Screening called passed 9/1/21</t>
  </si>
  <si>
    <t>159 Village Drive, Cranberry Twp, PA 16066</t>
  </si>
  <si>
    <t>Cranberry Township, PA</t>
  </si>
  <si>
    <t>Cranberry Township</t>
  </si>
  <si>
    <t>Wabtec Corporation</t>
  </si>
  <si>
    <r>
      <rPr>
        <color rgb="FF1155CC"/>
        <sz val="10.0"/>
        <u/>
      </rPr>
      <t>Ishmael Callender</t>
    </r>
    <r>
      <rPr>
        <sz val="10.0"/>
      </rPr>
      <t xml:space="preserve"> and </t>
    </r>
    <r>
      <rPr>
        <color rgb="FF1155CC"/>
        <sz val="10.0"/>
        <u/>
      </rPr>
      <t>Devin Rhodie</t>
    </r>
  </si>
  <si>
    <t>Wegner</t>
  </si>
  <si>
    <t>+12313294008</t>
  </si>
  <si>
    <t>laurwegs656@gmail.com</t>
  </si>
  <si>
    <t>1/12/23 asked to be removed from all communication and is no longer interested in being a CPC At Grad School, marked inactive SB 7/21 JPS sent screening call email on 6/11/21</t>
  </si>
  <si>
    <t>734 Rock Creek Church Road, Washington DC 20010</t>
  </si>
  <si>
    <t>Platform LLC</t>
  </si>
  <si>
    <t>Ballensweig</t>
  </si>
  <si>
    <t>+15169462607</t>
  </si>
  <si>
    <t>gary.ballensweig@gmail.com</t>
  </si>
  <si>
    <t>Gary responded to JPS's screening call email on 5/14/21 with: &amp;#34;Jennifer...I am not moving forward with Speakhire at this time...thank you for the opportunity to participate...I will reach back out should I decide to re-engage&amp;#34; JPS sent screening call email on 5/11/21</t>
  </si>
  <si>
    <t>29 Renee road</t>
  </si>
  <si>
    <t>Syosset NY</t>
  </si>
  <si>
    <t>Syosset</t>
  </si>
  <si>
    <t>retired/ UPS</t>
  </si>
  <si>
    <t>Ammarah</t>
  </si>
  <si>
    <t>Shaikh</t>
  </si>
  <si>
    <t>+16612648004</t>
  </si>
  <si>
    <t>ammarrah@gmail.com</t>
  </si>
  <si>
    <t>Ammarah is no longer interested in being a Champion 9/22/21 SB Ammarah attended a CPC Training on 4/10/21 with JPS Ammarah was screened on 4/5/21 by MB</t>
  </si>
  <si>
    <t>132 Paramount, Irvine CA 92618</t>
  </si>
  <si>
    <t>Irvine, California</t>
  </si>
  <si>
    <t>Cardinal Health</t>
  </si>
  <si>
    <r>
      <rPr>
        <color rgb="FF1155CC"/>
        <sz val="10.0"/>
        <u/>
      </rPr>
      <t>Leilany Ortiz</t>
    </r>
    <r>
      <rPr>
        <sz val="10.0"/>
      </rPr>
      <t xml:space="preserve"> and </t>
    </r>
    <r>
      <rPr>
        <color rgb="FF1155CC"/>
        <sz val="10.0"/>
        <u/>
      </rPr>
      <t>Adama Bah</t>
    </r>
  </si>
  <si>
    <t>Behraam</t>
  </si>
  <si>
    <t>Baqai</t>
  </si>
  <si>
    <t>+17145987675</t>
  </si>
  <si>
    <t>behraam.baqai@medtronic.com</t>
  </si>
  <si>
    <t>12/13/21 SB asked for match for FY21-22 IR1, said he was unable, when asked for IR2 and to share responded with &amp;#34;No thank you. I think it's best to have your champs in EST. It was a bit difficult for me as a working person doing est calls and having to accommodate changes&amp;#34; - marking as disconinued Behraam attended a CPC Training on 4/10/21 with JPS Behraam was screened by SU</t>
  </si>
  <si>
    <t>132 Paramount</t>
  </si>
  <si>
    <t>Medtronic</t>
  </si>
  <si>
    <r>
      <rPr>
        <color rgb="FF1155CC"/>
        <sz val="10.0"/>
        <u/>
      </rPr>
      <t>Dante Matthews</t>
    </r>
    <r>
      <rPr>
        <sz val="10.0"/>
      </rPr>
      <t xml:space="preserve"> and </t>
    </r>
    <r>
      <rPr>
        <color rgb="FF1155CC"/>
        <sz val="10.0"/>
        <u/>
      </rPr>
      <t>Bindadevi Sukhandan</t>
    </r>
  </si>
  <si>
    <t>Jamal</t>
  </si>
  <si>
    <t>+19723392230</t>
  </si>
  <si>
    <t>mjamal8819@gmail.com</t>
  </si>
  <si>
    <t>JPS sent email to schedule screening call on 3/19/21</t>
  </si>
  <si>
    <t>3500 Garrott Street Apt 8 Houston, TX 77006</t>
  </si>
  <si>
    <t>Harris County Precinct 2</t>
  </si>
  <si>
    <t>Flood</t>
  </si>
  <si>
    <t>+17328041028</t>
  </si>
  <si>
    <t>Danielle.flood1027@gmail.com</t>
  </si>
  <si>
    <t>2/7/23 CT Danielle replied to text letting us know that she is no longer interested to be a Champion. Marked her as discontinued. 2/7/23 CT left voicemail &amp;amp; sent text to check in 1/11/23 CT left voicemail &amp;amp; sent text 01/03/23 CT sent follow up email 12/20/22 CT sent follow up email 12/13/22 CT sent email to check in  9/30/22 Not available for IR1. CT 7/7/22 LG called, emailed for IRS availability 3/28/22 CT not available for IR3 12/22/21 SB sent IR2 FY21-22 schedule list for matching Danielle not able to participate in 21, try for 22 SB Danielle attended a training on 2/27/21 with JPS Danielle was screened by JPS on 2/24/21 Danielle was sent a screening call email on 2/21/21</t>
  </si>
  <si>
    <t>417 Willowbrook Drive</t>
  </si>
  <si>
    <t>North Brunswick</t>
  </si>
  <si>
    <t>Robert Wood Johnson Medical School (student)</t>
  </si>
  <si>
    <r>
      <rPr>
        <color rgb="FF1155CC"/>
        <sz val="10.0"/>
        <u/>
      </rPr>
      <t>Ahnaf Chowdhury</t>
    </r>
    <r>
      <rPr>
        <sz val="10.0"/>
      </rPr>
      <t xml:space="preserve"> and </t>
    </r>
    <r>
      <rPr>
        <color rgb="FF1155CC"/>
        <sz val="10.0"/>
        <u/>
      </rPr>
      <t>Madina Raufi</t>
    </r>
  </si>
  <si>
    <t>Ranfla</t>
  </si>
  <si>
    <t>+13473757507</t>
  </si>
  <si>
    <t>daniellaranfla@gmail.com</t>
  </si>
  <si>
    <t>Sophia reached out to Jennifer and got a Peruvian automated message so Priscila called and spoke to her. Jennifer was under the impression she didn't pass screening. Hetal decided to call the reference from whom Jennifer came, Maya,  Maya said Jennifer is no longer interested (10/18/21, HJ) JPS emailed if she could be available for March 8, 2021 training (HJ, 3/2/21) JPS emailed on 2/5/2021 to schedule a Screening Call and she passed </t>
  </si>
  <si>
    <t>502 W 152nd Street Apt 2, New York</t>
  </si>
  <si>
    <t>Marshalls</t>
  </si>
  <si>
    <t>Susmita</t>
  </si>
  <si>
    <t>De</t>
  </si>
  <si>
    <t>312-206-9212</t>
  </si>
  <si>
    <t>susmita.s.de@gmail.com</t>
  </si>
  <si>
    <t>Unresponsive after last outreach - marked discontinued/orange. If she reaches back out, she needs to go through screening. Soneya Uddin follow up with Susmita for screening call 2/12/21. Susmita has responded through phone call and she will get let us know 2/19/21. SU. Left a voicemail 2/25/21. SU HJ emailed her on 3/1 -- discontinue if we don't hear back Soneya Uddin follow up for a screening call with Susmita 2/12/21. JPS emailed on 2/7/2021 to schedule a Screening Call</t>
  </si>
  <si>
    <t xml:space="preserve">345 Clinton Ave, Apt 3A, Brooklyn </t>
  </si>
  <si>
    <t>Slalom</t>
  </si>
  <si>
    <t>Ines</t>
  </si>
  <si>
    <t>Anous</t>
  </si>
  <si>
    <t>+12124701276</t>
  </si>
  <si>
    <t>ines.anous@jjay.cuny.edu</t>
  </si>
  <si>
    <t>Hetal discontinued on 1/27/22 since Maya said she wanted something paid  Ines was screened by JPS at 8:15 am est on 2/2/2021 JPS sent email on 1/25/21 to schedule a screening call.</t>
  </si>
  <si>
    <t>6806 4th Ave Apt 3R. Brooklyn, NY 11220</t>
  </si>
  <si>
    <t>Brooklyn NY</t>
  </si>
  <si>
    <t>Borough of Manhattan Community College (BMCC)</t>
  </si>
  <si>
    <t>Rea</t>
  </si>
  <si>
    <t>Loretta</t>
  </si>
  <si>
    <t>realoretta@gmail.com</t>
  </si>
  <si>
    <t>10/18/22 CT marked as abandoned (see notes below) 5/24/22 SB sent re-engagement email Unresponsive - marked discontinued/orange on 8/9/21. Needs to screen if re-engaged. HH email 8/5/21, HH text/email (phone was disconnected) 7/28/2021 JPS emailed on 2/7/21, 3/1/21,  4/22/21 - no response. Will try calling her one more time. If no response, discontinue. 7/22/21 SU emailed follow up for screening on 2/12/21 and followed up on 2/14/21 - no response. Rea emailed Arwa and said she can screen on January 31st, 2021 (AA). She did not reach out or schedule a screening. JPS emailed on 2/7/2021 to schedule a Screening Call</t>
  </si>
  <si>
    <t>199 New Montgomery St. #310, San Francisco</t>
  </si>
  <si>
    <t>Toast</t>
  </si>
  <si>
    <t>Jane</t>
  </si>
  <si>
    <t>Cardwell</t>
  </si>
  <si>
    <t>jcardwell@delawarenorth.com</t>
  </si>
  <si>
    <t>Abandoned on 3/1/21 because we have no way to reach her - both email and phone are not working. Soneya Uddin follow up with Jane for screening call 2/12/21. Fail email attempt --- was not able to reach Jane with her provided email.  JPS emailed on 2/3/2021 to schedule a Screening Call</t>
  </si>
  <si>
    <t>64740 Wuksachi avenue, Sequoia National Park, CA, 93262</t>
  </si>
  <si>
    <t>Sequoia National Park</t>
  </si>
  <si>
    <t>U.S. Fish and Wildlife Service (USFWS)</t>
  </si>
  <si>
    <t>Aasheesh</t>
  </si>
  <si>
    <t>Tandon</t>
  </si>
  <si>
    <t>atandon70@gmail.com</t>
  </si>
  <si>
    <t>Because she stated she is not interested and is unresponsive, marked discontinued/orange on 7/22/21. If she reaches back out, she needs to go through screening. Soneya Uddin follow up with Aasheesh for screening call 2/12/21 and again on 2/14/21. Aasheesh replied and said she doesn't remember applying and is no longer interested. SPEAKHIRE followed up on 2/15/21 and 2/21/21 to remind her of our organization and whether she was still interested - no reply.  JPS emailed on 2/3/2021 to schedule a Screening Call and followed up on 2/4/21.</t>
  </si>
  <si>
    <t>3500 Granada Avenue, Apt 358, Santa Clara, CA - 95051</t>
  </si>
  <si>
    <t>Nutanix</t>
  </si>
  <si>
    <t>Margaret</t>
  </si>
  <si>
    <t>Weiss</t>
  </si>
  <si>
    <t>Margaret.weiss@gmail.com</t>
  </si>
  <si>
    <t>Hetal moved her to discontinued on March 22, 2021 Hetal called her on 2/19/21 and the phone doesn't ring. (HJ) Soneya Uddin follow up with Margaret for screening call 2/12/21. JPS emailed on 2/3/2021 to schedule a Screening Call</t>
  </si>
  <si>
    <t>493 Milltown Rd, Bridgewater NJ 08807</t>
  </si>
  <si>
    <t>Bridgewater</t>
  </si>
  <si>
    <t>Wipro Limited</t>
  </si>
  <si>
    <t>Marinna</t>
  </si>
  <si>
    <t>Bernal</t>
  </si>
  <si>
    <t>marinnab18@gmail.com</t>
  </si>
  <si>
    <t>No response to several outreach attempts - marked discontinued/orange. If she reached back out, she still needs to go through screening. Soneya Uddin send a follow up with Marinna for screening call 2/12/21. Soneya Uddin left a voicemail 2/19/21. Left a voicemail. SU. Sent a email if she is still interested 3/2/21.SU. HJ sent an email on 3/4 -- if no reply -- discontinue. JPS emailed 2/3/21, 2/4/21 and 4/22/21. Tried to reach out on LinkedIn but she does not have one or provided one. JPS emailed on 2/3/2021 to schedule a Screening Call Send her resume on 6/19/19</t>
  </si>
  <si>
    <t>2698 Sandalwood dr., El Centro, CA 92243</t>
  </si>
  <si>
    <t>El Centro</t>
  </si>
  <si>
    <t>Brawley Elementary School District</t>
  </si>
  <si>
    <t>Vira</t>
  </si>
  <si>
    <t>Egli</t>
  </si>
  <si>
    <t>vmags23@gmail.com</t>
  </si>
  <si>
    <t>Has never responded to communication efforts (phone, email, text) since applying. Moved to discontinued/orange. If she reaches out again, still needs to go through screening. Soneya Uddin send a follow up with Vira for screening call 2/12/21. Soneya Uddin left a voicemail 2/19/21. SU. Left a voicemail. 2/25/21. SU. JPS emailed on 4/22/21. Tried to reach out on LinkedIn but her profile has blocked messages. JPS followed up on 2/7/2021 JPS emailed on 1/20/21 to schedule a screening call</t>
  </si>
  <si>
    <t>8258 Onyx Ave, Rancho Cucamonga</t>
  </si>
  <si>
    <t>Southern California</t>
  </si>
  <si>
    <t>Why-Story, LLC (self-employed)</t>
  </si>
  <si>
    <t>Deepika</t>
  </si>
  <si>
    <t>Narul</t>
  </si>
  <si>
    <t>Deepika.narula@capgemini.com</t>
  </si>
  <si>
    <t>Left multiple voicemails and emails during outreach and never heard back from Deepika JPS left a voicemail on 2/18/21 Screening email already sent. 2/12/21 SU.</t>
  </si>
  <si>
    <t>161 N Civic Dr., Apt. 372, Walnut Creek, CA 94596</t>
  </si>
  <si>
    <t>Veronica</t>
  </si>
  <si>
    <t>Oglesby</t>
  </si>
  <si>
    <t>Veronica.oglesby@gmail.com</t>
  </si>
  <si>
    <t>JPS left a voicemail on 2/18/21 Screening email already sent. 2/12/21 SU.</t>
  </si>
  <si>
    <t>11503 Trinity Park way, Bakersfield</t>
  </si>
  <si>
    <t>Bakersfield</t>
  </si>
  <si>
    <t>May Rome</t>
  </si>
  <si>
    <t>Melaniemrome@yahoo.com</t>
  </si>
  <si>
    <t>Hetal abandoned her on March 2nd, 2021 -- looks like she provides fee for college counseling service.  JPS emailed on 2/7/2021 to schedule a Screening Call</t>
  </si>
  <si>
    <t>18141 Rancho St., Tarzana, CA</t>
  </si>
  <si>
    <t>Tarzana, CA</t>
  </si>
  <si>
    <t>Tarzana</t>
  </si>
  <si>
    <t>Surbhi</t>
  </si>
  <si>
    <t>Mahamwal</t>
  </si>
  <si>
    <t>surbhi.mahamwal@gmail.com</t>
  </si>
  <si>
    <t>10/18/22 CT marked her as discontinued (see SU notes 2/22/21) 5/24/22 SB sent re-engagement email Surbhi has responded back requesting screening email to be sent to her personal email. I have already forward the screening email to her personal email. SU. 02/12/21. Surbhi is no longer interested in the speakhire she is currently moving. 2/22/21. SU. Hetal spoke with Surbhi on 3/2/21 and she said she has personal stuff -- feel free to reach back in September 2021 Surbhi has responded back requesting screening email to be sent to her personal email. I have already forward the screening email to her personal email. SU. 02/12/21; HJ updated email on Kintone profile 2/12/21 Soneya reached out on 2/12/21 for screening -- Surbhi provided update personal email. This one will be phased out:Smahamwal@watermarkinsights.com (HJ, 2/12/21)</t>
  </si>
  <si>
    <t xml:space="preserve">7804 Hana Road, Edison </t>
  </si>
  <si>
    <t>Watermark Insights</t>
  </si>
  <si>
    <t>Kathy</t>
  </si>
  <si>
    <t>Fountaine</t>
  </si>
  <si>
    <t>718-956-2921</t>
  </si>
  <si>
    <t>Kathyjo4261@yahoo.com</t>
  </si>
  <si>
    <t>Never responded to outreach after applying - discontinued JPS left a voicemail on 2/18/21 Screening email already sent. 2/12/21 SU.</t>
  </si>
  <si>
    <t>2960 Avenue R, Brooklyn, NY  11229</t>
  </si>
  <si>
    <t>Advisor Group</t>
  </si>
  <si>
    <t>Josef</t>
  </si>
  <si>
    <t>Farrar</t>
  </si>
  <si>
    <t>626-695-2087</t>
  </si>
  <si>
    <t>josef.farrar@gmail.com</t>
  </si>
  <si>
    <t>JPS - we had a match for him and wanted to lump screening/training, but his emails reflected unprofessionalism (ie. whole email body in subject line),  then he didn't show up for a screening -- he thought it was for a different day,  said he was available in that moment -- communication and tech, organizational skills lacking. Submitted his Instructional Guide on 1/14/21 but it was blank. (JPS, 2/22/21) Double checked 1/26 (KW)</t>
  </si>
  <si>
    <t>1015 Darby Road, San Marino, CA 91108</t>
  </si>
  <si>
    <t>San Marino, CA</t>
  </si>
  <si>
    <t>San Marino</t>
  </si>
  <si>
    <t>Newmark Knigh Frank</t>
  </si>
  <si>
    <t>Ebona</t>
  </si>
  <si>
    <t>Mais</t>
  </si>
  <si>
    <t>ebonamenen@gmail.com</t>
  </si>
  <si>
    <t>Ebona stated she is no longer interested in being a Champion 8/16/21 SB Ebona attended a training webinar on 3/22/21 with JPS Ebona was screened on 3/5/21 by SU Ebona did not show up for the Screening Call schedule for 8:15 am est on 2/26/21 JPS emailed on 2/3/2021 to schedule a Screening Call Double checked 1/26 (KW)</t>
  </si>
  <si>
    <t>Abdelaziz Abowasa</t>
  </si>
  <si>
    <t>ahmed.abowasa@gmail.com</t>
  </si>
  <si>
    <t>Have heard nothing from Ahmed after JPS followed up for screening on Feb 7th. Marked inactive 2/22/21; HJ abandoned on 2/26/21 JPS followed up with Ahmed once again on 2/7/2021 to see if Ahmed is interested in continuing in this process to becoming a SPEAKHIRE Champion Was scheduled for a Screening Call on 2/5/2021 with JPS at 8:15 am est, but did not show up to the call. JPS emailed on 2/3/2021 to schedule a Screening Call Double checked 1/26 (KW)</t>
  </si>
  <si>
    <t>15/7 mokattam , Cairo</t>
  </si>
  <si>
    <t>Cairo</t>
  </si>
  <si>
    <t>National Bank of Kuwait</t>
  </si>
  <si>
    <t>Jeffrey</t>
  </si>
  <si>
    <t>Meyerson</t>
  </si>
  <si>
    <t>jeff@softwareengineeringdaily.com</t>
  </si>
  <si>
    <t>Banned for behavior at screening call Was supposed to be screened on 2/19/21. Came on the call via phone and was difficult to hear, didn?t seem super interested or present, left call after two minutes without explanation. I?ve emailed to follow up. MB Doubled checked on 1/19 (KW)</t>
  </si>
  <si>
    <t xml:space="preserve">338 Main St, San Francisco </t>
  </si>
  <si>
    <t>Software Engineering Daily</t>
  </si>
  <si>
    <t>Danella</t>
  </si>
  <si>
    <t>Abdul-Barr</t>
  </si>
  <si>
    <t>danellabarr@fast-foundation.com</t>
  </si>
  <si>
    <t>Still no response from Danella by 3/2/21 so HJ Abandoned and discontinued Soneya U. found a new email since .org wasn't working -- HJ updated to new email with .com -- see if outreach works now (2/15/21) JPS emailed on 2/3/2021 to schedule a screening call Doubled Checked 1/19 (KW)</t>
  </si>
  <si>
    <t>1700 Market Street, Suit 1005, Philadelphia PA 19103</t>
  </si>
  <si>
    <t>Families Achieving Success Together, Inc</t>
  </si>
  <si>
    <t>Irma</t>
  </si>
  <si>
    <t>Corzo</t>
  </si>
  <si>
    <t>(442) 247 9844</t>
  </si>
  <si>
    <t>yolasig@gmail.com</t>
  </si>
  <si>
    <t>Screening email already sent. 2/12/21 SU. Emailed a follow up with Irma. 2/15/21 SU. JPS left voicemail on 2/19/21. SU had left a voicemail. 2/22/21. JPS left voicemail on 4/21/21. Screening email already sent. 2/12/21 SU. Double checked 1/26 (KW)</t>
  </si>
  <si>
    <t>14655 Jelan Ave, Apple Valley</t>
  </si>
  <si>
    <t>Apple Valley</t>
  </si>
  <si>
    <t>I do not have a current job</t>
  </si>
  <si>
    <t>Adam</t>
  </si>
  <si>
    <t>Colton Lorts</t>
  </si>
  <si>
    <t>adamlorts@gmail.com</t>
  </si>
  <si>
    <t>Said on March 4th, 2021 no longer interested when Hetal emailed. HJ discontinued and abandoned. Was scheduled for a screening call on 2/27/21 with SU and did not show up Double checked 1/26 (KW)</t>
  </si>
  <si>
    <t>1 Daniel Burnham CT APT 714 San Francisco, CA 94109</t>
  </si>
  <si>
    <t>Zachary</t>
  </si>
  <si>
    <t>Murphy</t>
  </si>
  <si>
    <t>zachary_murphy@urmc.rochester.edu</t>
  </si>
  <si>
    <t>10/18/22 CT marked as abandoned (see notes below) 5/24/22 SB sent re-engagement email No response. Dicontinue/orange 7/21/21 Screening email already sent. 2/15/21 SU. Soneya Uddin send a follow up email to Zachary 2/17/21. SU. Left a voicemail. 2/20/21. SU. Left a voicemail. 2/25/21. SU. JPS emailed on 4/21/21. Zachary scheduled a screening call with SU but did not show up Double checked 1/26 (KW)</t>
  </si>
  <si>
    <t>13 Emilia Circle, Rochester</t>
  </si>
  <si>
    <t>University of Rochester, St. John Fisher College</t>
  </si>
  <si>
    <t>Mullins</t>
  </si>
  <si>
    <t>anna.mullins@hyatt.com</t>
  </si>
  <si>
    <t>on Maternity Leave until June 1st - WW 2/27/24 5/16 WW  Anna is open to the possibility of future participation once her schedule permits 3/16/23 CT Anna is up for future Seminars but needs a strong school/group of students 3/16/23 CT Explained different Seminar experiences &amp;amp; asked if she would consider being a Seminar Speaker or Champion in future rounds 3/13/23 CT Doesn't want to be a Seminar in the future because of feeling like previous Seminar was not beneficial for participants.  2/21/23 CT sent email about being Seminar Speaker for IHS US work email  anna.radulovich@hyatt.com  CT 4/20/22 Don't use this email address annaradulovich@gmail.com. Goes to spam a lot. Use the one in profile. CT 10/13/21 SB updated company name with new Job Anna attended a training session on 2/27/21 with JPS JPS followed up with congratulations &amp;#43; training scheduling on 2/22/21 Screened with Sonya Uddin on 2/20/21 while Hetal Jani observed Double checked 1/26 (KW)</t>
  </si>
  <si>
    <t>Hyatt</t>
  </si>
  <si>
    <t>Rebecca</t>
  </si>
  <si>
    <t>Natalie Parke</t>
  </si>
  <si>
    <t>610-390-4711</t>
  </si>
  <si>
    <t>rebeccanparke@gmail.com</t>
  </si>
  <si>
    <t>Hetal marked as Discontinued Grey on March 27, 2023 -- Rebecca has never trained, she asked to be removed from mailing lists,  is not engaged.  1/17/22, emailed SB in response to IR2 matching request- asked to unsubscribe from emails. SB followed up asking if she was still interested in being a Champion. Marking as inactive for now Was reaching out for FY21-22: 10/27 left vm, 10/20 left vm,10/14 left voice mail, 10/12 sent text, 10/11 emailed. SB JPS reached out to Rebecca via email on 5/21/21 and 5/25/21 to ask about her availability to participate in the summer 2021 Internship Round. No response. Screening Call with Rebecca went really well. JPS reached out to schedule the training on 3/17/21, 3/25/21, 4/2/21, 4/19/21, 5/11/21. Rebecca only responded once on 3/17/21 to say that none of the available training times worked for her.  Rebecca was screened on 3/11/21 by JPS Rebecca had scheduled a Screening Call on 3/4/21 with JPS. However, Rebecca entered the Screening via her phone/audio. When asked if she could turn her video camera on at this time, she said she could not (based on the audio, it was clear that she was driving in the car). Rebecca suggested that she could reschedule the Screening Call for another time. Double checked 1/26 (KW)</t>
  </si>
  <si>
    <t>New Tripoli</t>
  </si>
  <si>
    <t>STV</t>
  </si>
  <si>
    <t>Kevin Mang</t>
  </si>
  <si>
    <t>Kuate Fodouop</t>
  </si>
  <si>
    <t>kevin.kuate@gmail.com</t>
  </si>
  <si>
    <t>Screening email already sent. 2/16/21 SU. Soneya Uddin send a follow up email to Kevin 2/19/21. SU. Left a voicemail follow up. 2/20/21 SU. JPS emailed on 2/7/2021 to schedule a Screening Call Double checked 1/26 (KW)</t>
  </si>
  <si>
    <t>Mos.com</t>
  </si>
  <si>
    <t>Ariel</t>
  </si>
  <si>
    <t>Sabrina Brigmann</t>
  </si>
  <si>
    <t>arielbrigmann@gmail.com</t>
  </si>
  <si>
    <t>8/12/21 voicemail&amp;#43;follow up email replied said does not want to continue, email 8/3/21 HH Double checked 1/26 (KW)</t>
  </si>
  <si>
    <t>25852 Bellis Dr, Valencia</t>
  </si>
  <si>
    <t>Valencia</t>
  </si>
  <si>
    <t>Nordstrom</t>
  </si>
  <si>
    <r>
      <rPr>
        <color rgb="FF1155CC"/>
        <sz val="10.0"/>
        <u/>
      </rPr>
      <t>Melany Ortiz</t>
    </r>
    <r>
      <rPr>
        <sz val="10.0"/>
      </rPr>
      <t xml:space="preserve"> and </t>
    </r>
    <r>
      <rPr>
        <color rgb="FF1155CC"/>
        <sz val="10.0"/>
        <u/>
      </rPr>
      <t>Manifer Triunfel</t>
    </r>
  </si>
  <si>
    <t>Daineroy</t>
  </si>
  <si>
    <t>Allen</t>
  </si>
  <si>
    <t>daine.allenn@gmail.com</t>
  </si>
  <si>
    <t>Screening email already sent. 2/16/21 SU. Danieroy responded back does not recall applying to speakhire - not interested anymore -- discontinue. 2/16/21. SU Double checked 1/26 (KW)</t>
  </si>
  <si>
    <t xml:space="preserve">Grove Place District, Mandeville Manchester </t>
  </si>
  <si>
    <t>AFC Jamaica</t>
  </si>
  <si>
    <t>Jared</t>
  </si>
  <si>
    <t>Zlotnick</t>
  </si>
  <si>
    <t>jared.zlotnick@gmail.com</t>
  </si>
  <si>
    <t>Jared reached out on 2/26/21 and said: &amp;#34;I really enjoyed our conversation and would love to support SPEAKHIRE. Though, at this time, I'm a little concerned about the administrative requirements for mentorship and think it's best if I reach out again when I have more bandwidth to commit.&amp;#34; Given his lack of commitment to be trained &amp;amp; the notes in his screening call, Jared has been moved to yellow/discontinue. If he reaches back out after 2/26/21 to continue with the program, he will need a second screening call.  Jared would best be matched with someone who is more high performing or has leadership skills (check screening call notes) Jared was screened on 2/23/21 by Jennifer Peterson-Sharma Double checked on 1/26 (KW)</t>
  </si>
  <si>
    <t>50 Franklin Street, Apt 11A, NY</t>
  </si>
  <si>
    <t xml:space="preserve">New York </t>
  </si>
  <si>
    <t>Ehab</t>
  </si>
  <si>
    <t>Amin</t>
  </si>
  <si>
    <t>eamin1@verizon.net</t>
  </si>
  <si>
    <t>Seemed enthusiastic and scheduled a screening call when Soneya Uddin followed up but missed his screening on 2/20/21 and didn't reply to any emails or phone calls; marked yellow for now but mark red, discontinued on March 10th, 2021 if he does not reply by then. (HJ, 2/21/21) JPS emailed on 2/7/2021 to schedule a Screening Call Double checked on 1/26 (KW)</t>
  </si>
  <si>
    <t>1745 Indian run road, Malvern</t>
  </si>
  <si>
    <t>Malvern PA</t>
  </si>
  <si>
    <t>Malvern</t>
  </si>
  <si>
    <t>Cloudologyinc</t>
  </si>
  <si>
    <t>Zwiren</t>
  </si>
  <si>
    <t>JZ@bettergrowthconsulting.com</t>
  </si>
  <si>
    <t>2/23/23 CT Janelle replied to our email &amp;#34;Got your note Charlotte,  I agree. But, unfortunately, I am not as interested as I thought I would be in Speakhire after speaking with you. The mission that comes through the video with Hetal Jani speaking is clear but was not transferred in our discussion. I felt there was not a clear vision of what Speakhire wanted to achieve overall, with no talking points about what has been achieved so far,  mostly how one could help - from those who have helped, with examples  - was also not clear. Best of luck as the concept is noble.&amp;#34; 2/22/23 CT sent &amp;#34;Failed Screening Call&amp;#34; email 2/21/23 CT met with Janelle &amp;amp; marked her as banned, red. Didn't pass Screening, see notes. Don't reach out to her again. 2/21/23 CT Janelle had emergency meeting with client and cancel screening call 2/14/23 CT scheduled screening call for 2/21/23 When screening -- see if she's looking for clients in anyway/poaching 2/9/23 CT sent re-engagement email 5/24/22 SB sent re-engagement email Janelle responded to JPS email saying she is still interested. JPS responded on 4/22/21 by sending a link to book a Screening Call. Janelle never did. JPS sent another email on 7/21/21 asking if she will book a Screening Call. If she does not, we can discontinue. Seems she keeps leading us on but has no follow-through. Screening email already sent. 2/16/21 SU. Soneya Uddin send a follow up email to Janelle 2/19/21. SU. Janelles voicemail is full and cannot accept voicemail 2/20/21. SU. Janelle pick up and stated to email her back on (BetterbrandingLLC@gmail.com) subject: per telephone conversation regarding mentoring. She seem super interested in becoming a mentor and would like to take on more mentees. Need to follow up with her sending a remindar. 2/20/21. SU. JPS emailed on 4/21/21. Doubled checked on 1/26 (KW) When SU sent outreach email, Janelle responded after several emails saying to look at her CV. We told her we already have her CV on file and she stopped replying.</t>
  </si>
  <si>
    <t>3 Palmer Square West, Princeton</t>
  </si>
  <si>
    <t>Princeton New Jersey</t>
  </si>
  <si>
    <t>Princeton</t>
  </si>
  <si>
    <t>Better Growth Consulting</t>
  </si>
  <si>
    <t>Nicolla</t>
  </si>
  <si>
    <t>Martin</t>
  </si>
  <si>
    <t>nicolla.martin19@gmail.com</t>
  </si>
  <si>
    <t>Did not show up to call schedule for 2/19/21 and was previously short/rude with Soneya on the phone that same day. Screening email already sent. 2/12/21 SU. Doubled checked on 1/26 (KW)</t>
  </si>
  <si>
    <t>106-01 215th Street, Queens Village</t>
  </si>
  <si>
    <t>Queens Community House</t>
  </si>
  <si>
    <t>Farah</t>
  </si>
  <si>
    <t>Anita Minwalla</t>
  </si>
  <si>
    <t>+6592221145</t>
  </si>
  <si>
    <t>farahminwalla@gmail.com</t>
  </si>
  <si>
    <t>Never screened -- when reached out for screening, emailed back that she was working full-time and studying for PMP certification so she doesn't have the time; Hetal marked as discontinued and told her to reach back if and when she is ready (HJ 2/17/2021) KW double checked on 1/19</t>
  </si>
  <si>
    <t>28 Alexandra View, Singapore</t>
  </si>
  <si>
    <t>Singapore</t>
  </si>
  <si>
    <t xml:space="preserve">Maker Lab </t>
  </si>
  <si>
    <t>sguz69@gmail.com</t>
  </si>
  <si>
    <t>Hetal emailed Stephanie on 2/25/21 to reschedule her screening - she replied right away. Soneya Uddin following up (check screening notes section) JPS followed up on 2/17/21 to schedule Stephanie for a training JPS followed up on 2/7/21 JPS reached out on 2/4/2021 to schedule her for a training KW doubled checked on 1/19</t>
  </si>
  <si>
    <t>40 church st, Central Islip</t>
  </si>
  <si>
    <t>central islip</t>
  </si>
  <si>
    <t>district attorney office</t>
  </si>
  <si>
    <t>Bosket</t>
  </si>
  <si>
    <t>848 333 8581</t>
  </si>
  <si>
    <t>tb363@cornell.edu</t>
  </si>
  <si>
    <t>Reference said he no longer wished to be a champion - marked as discontinued 7/26/21 SB JPS emailed on 7/20/21 to follow up on Thomas informing SPEAKHIRE that he no longer has time to be a Champion. Thomas replied on 11/30/2020 to say he was camping and would like to have a Screening Call the week of December 7th.  Jennifer Peterson-Sharma emailed on 11/27/2020 to schedule a Screening Call.</t>
  </si>
  <si>
    <t xml:space="preserve">PO Box 25, Callicoon </t>
  </si>
  <si>
    <t>Callicoon NY</t>
  </si>
  <si>
    <t>Callicoon</t>
  </si>
  <si>
    <t>Parsons School of Design</t>
  </si>
  <si>
    <t>Duran</t>
  </si>
  <si>
    <t>andresduran98@gmail.com</t>
  </si>
  <si>
    <t>Andres scheduled a Screening Call on 2/8/21 but did not show up. JPS reached out to check his interest in moving forward andres replied, &amp;#34;I have committed to another role elsewhere. Thank you for your time and consideration.&amp;#34; Jennifer Peterson-Sharma followed up with Andres again on 1/1/2021. Jennifer followed up on 12/1/2020 to schedule a Screening Call. No reply as of 12/1/2020. Jennifer Peterson-Sharma emailed on 11/27/2020 to schedule a Screening Call.</t>
  </si>
  <si>
    <t>8016 Falcon Park Street</t>
  </si>
  <si>
    <t>Savanna</t>
  </si>
  <si>
    <t>Louise Brown</t>
  </si>
  <si>
    <t>savannabrown25@gmail.com</t>
  </si>
  <si>
    <t>Jennifer Peterson-Sharma followed up with Savanna for the third time following her unexcused absence for her Screening Call on 1/1/2021. She has been notified that her profile will move to discontinued if there is no reply &amp;amp; she can reach out to SPEAK if her status changes in the future. Jennifer followed up with Savanna on 12/29/2020 to see if she is interested in still being screened. Savanna did not show up for her screening call on 10/30/2020 Savanna emailed on 10/20/2020 to reschedule the screening to 10/30/2020 at 3 pm EST. Savanna is scheduled for a Screening Call on 10/23/2020 Jennifer Peterson-Sharma emailed Savannah to schedule a Screening Call on 10/12/2020.</t>
  </si>
  <si>
    <t>1433 Harding Ave Hershey, PA</t>
  </si>
  <si>
    <t>Hershey, PA</t>
  </si>
  <si>
    <t>Penn State University</t>
  </si>
  <si>
    <t>Ashley</t>
  </si>
  <si>
    <t>Wu</t>
  </si>
  <si>
    <t>contact.ashleywu@gmail.com</t>
  </si>
  <si>
    <t>3/21/22 Not available for IR3. Asked to be removed from list. CT Ashley attended a training on 2/26/21 with JPS JPS emailed Ashley on 2/22/21 to see if she could accommodate a Flushings International match for IR2 2020-2021  Ashley emailed on 10/26/2020 and said: &amp;#34;After thinking about this over the weekend, I decided that I?d like to volunteer in-person at a community center near where I live. With my mom being sick, I realized I need a more flexible commitment for the time being.&amp;#34; She is now marked as discontinued/green. Jennifer Peterson-Sharma screened Ashley on 10/14/2020 at 11 am. Ashley is scheduled for a Screening Call on 10/14/2020. Jennifer Peterson-Sharma emailed Ashley on 10/12/2020 to schedule a Screening Call.</t>
  </si>
  <si>
    <t>321 West 110th Street, 15C, New York, NY, 10026</t>
  </si>
  <si>
    <t>Self-Employed, Freelance Contractor</t>
  </si>
  <si>
    <r>
      <rPr>
        <color rgb="FF1155CC"/>
        <sz val="10.0"/>
        <u/>
      </rPr>
      <t>Jiaying Zhu</t>
    </r>
    <r>
      <rPr>
        <sz val="10.0"/>
      </rPr>
      <t xml:space="preserve">, </t>
    </r>
    <r>
      <rPr>
        <color rgb="FF1155CC"/>
        <sz val="10.0"/>
        <u/>
      </rPr>
      <t>Chenming Tian</t>
    </r>
    <r>
      <rPr>
        <sz val="10.0"/>
      </rPr>
      <t xml:space="preserve">, </t>
    </r>
    <r>
      <rPr>
        <color rgb="FF1155CC"/>
        <sz val="10.0"/>
        <u/>
      </rPr>
      <t>Hanbin Wan</t>
    </r>
    <r>
      <rPr>
        <sz val="10.0"/>
      </rPr>
      <t xml:space="preserve"> and </t>
    </r>
    <r>
      <rPr>
        <color rgb="FF1155CC"/>
        <sz val="10.0"/>
        <u/>
      </rPr>
      <t>Xinyao Yang</t>
    </r>
  </si>
  <si>
    <t>Olabode (Bode)</t>
  </si>
  <si>
    <t>Ogundare</t>
  </si>
  <si>
    <t>oogun007@gmail.com</t>
  </si>
  <si>
    <t>10/18/22 CT marked as discontinued &amp;amp; abandoned (see notes below) 5/24/22 SB sent re-engagement email HH voicemail/text 7/21/21 Has had several rounds of email outreach, but has been unresponsive JPS sent follow-up engagement emails on 5/27/21 and 6/3/21 because mailbox was full and could not leave a voicemail. Jennifer Peterson-Sharma followed up with Bode on 1/1/2021 to schedule a Screening Call. Followed up with Bode about scheduling a Screening Call on 9/28/2020 Emailed on 9/21/2020 to schedule a Mentor Screening Call</t>
  </si>
  <si>
    <t>5560 Livingston Terrace Oxon Hill MD 20745</t>
  </si>
  <si>
    <t>Capital One</t>
  </si>
  <si>
    <t>Schochet</t>
  </si>
  <si>
    <t>rschochet.phd@gmail.com</t>
  </si>
  <si>
    <t>Rachel did IR1 20-21 and then said she did not want to be considered for further rounds in the Exit Survey  Rachel was trained on 10/20/2020 at 5:15 pm by Jennifer Peterson-Sharma. There has been difficulties with Rachel in scheduling her for a Training Webinar. She appears interested but always seems to have a scheduling conflict. She was supposed to attend the 10/12 Training Webinar but cancelled last minute due to multiple technical difficulties with being unable to fill out the Instructional Guide. She is now scheduled for the 10/20 Training Webinar, but her technological skills and scheduling conflicts are something to watch and note for future correspondence. Rachel wants to start with just one mentee pair during her first mentoring round. Rachel was screened on 9/17/2020 at 5 pm by Jennifer Peterson-Sharma. Jennifer Peterson-Sharma emailed on 9/11/2020 to schedule a Screening Call. </t>
  </si>
  <si>
    <t>322 University St., Healdsburg, CA</t>
  </si>
  <si>
    <t>Healdsburg/San Francisco, CA</t>
  </si>
  <si>
    <t>Healdsburg/San Francisco</t>
  </si>
  <si>
    <r>
      <rPr>
        <color rgb="FF1155CC"/>
        <sz val="10.0"/>
        <u/>
      </rPr>
      <t>Sezim Bolotbekova</t>
    </r>
    <r>
      <rPr>
        <sz val="10.0"/>
      </rPr>
      <t xml:space="preserve"> and </t>
    </r>
    <r>
      <rPr>
        <color rgb="FF1155CC"/>
        <sz val="10.0"/>
        <u/>
      </rPr>
      <t>Islam Aldodoo</t>
    </r>
  </si>
  <si>
    <t>Raufu</t>
  </si>
  <si>
    <t>Riliwan Ganiyu</t>
  </si>
  <si>
    <t>mercywealthy0@gmail.com</t>
  </si>
  <si>
    <t>Screening email already sent. 2/12/21 SU. Emailed to request resume on 9/11/2020</t>
  </si>
  <si>
    <t>Lagos</t>
  </si>
  <si>
    <t>Kwara, Nigeria</t>
  </si>
  <si>
    <t>Love and Life Motivational Speech and Writing</t>
  </si>
  <si>
    <t>Leana</t>
  </si>
  <si>
    <t>Huynh</t>
  </si>
  <si>
    <t>leanahuynh@gmail.com</t>
  </si>
  <si>
    <t>Leana has not responded to any outreach and unsubscribed from newsletter in May 2021 - discontinued Doubled Checked 1/19 (KW) Unsubscribed from mailing list on December 2nd.  Called on 9/3/2020 showing interest in becoming mentor. Jennifer reached out to her requesting resume and references on 9/3/2020. Leana responded to the email on 9/3/2020 and said: &amp;#34;I won?t be able to volunteer because I can?t fulfill your requirements. Please remove my information.&amp;#34; First screening call conducted 1/13/2020 by Dona Rehm. Dona suggested a second screening call be completed. Her comments: &amp;#34;Was not able to figure out exactly why Leana wants to mentor and what skill sets she has to offer. Resume was not in
the application and her answers were very vague. Tried to tease out information from her, but it was a struggle.
Would recommend a potential second screening call.&amp;#34;</t>
  </si>
  <si>
    <t>1223 Wilshire Blvd. 107, Santa Monica, CA 90403</t>
  </si>
  <si>
    <t>Maanas</t>
  </si>
  <si>
    <t>Bukkuri</t>
  </si>
  <si>
    <t>msbukkuri@gmail.com</t>
  </si>
  <si>
    <t>10/18/22 CT marked as abandoned (see notes below) 5/24/22 SB sent re-engagement email Unresponsive to outreach - discontinue/orange JPS 8/9/21 HH email 8/5/21, HH email 7/29/21. HH phone disconecred sent text anyway 7/21/21 He applied when we were only accepting female-identifying Champions. Was told he was not eligible. JPS sent an email on 7/21/21 explaining that we now accept Champions of all genders and asking him to complete the Screening Call. JP followed up about the mentor screening call on 9/9/2020 Emailed 8/27/2020 about setting up screening call</t>
  </si>
  <si>
    <t>12463 Locke Cir</t>
  </si>
  <si>
    <t>We The Project</t>
  </si>
  <si>
    <t>Ta'Sha Swayzer</t>
  </si>
  <si>
    <t>aprilt.swayzer@gmail.com</t>
  </si>
  <si>
    <t>Grey for now. She showed interest but does not have 2 years of experience. This was explained to her in email on 8/24/2020. She was encouraged to apply again later.</t>
  </si>
  <si>
    <t>Logos Christian Fellowship</t>
  </si>
  <si>
    <t>Pastor Isaac Neal</t>
  </si>
  <si>
    <t>Mel</t>
  </si>
  <si>
    <t>Reyes</t>
  </si>
  <si>
    <t>mrtech@gmail.com</t>
  </si>
  <si>
    <t>5/24/22 SB sent re-engagement email Mel unsubscribed from the newsletter December 2020 -- moving to discontinued (Hetal) Mel has not responded to follow-up emails or engaged in several weeks, as of 10/13/2020. Emailed Mel on 9/14/2020 to ask if he has the materials ready to submit on the Mentor Onboarding Form. He said he will work on it that day. As of 9/16/2020, his materials are still not uploaded.  Mel was scheduled to be trained on 9/12/2020 but did not show up to training. He emailed afterwards to say that he was not feeling well and wants to reschedule. Mel would like to only mentor one pair initially. Screening call conducted on 9/1/2020 at 5:00 PM EST by Jennifer Peterson-Sharma.  Screening call scheduled for 9/1/2020 Emailed on 8/27/2020 about setting up screening call</t>
  </si>
  <si>
    <t>5340 Las Virgenes Road #10</t>
  </si>
  <si>
    <t>Calabasas, CA</t>
  </si>
  <si>
    <t>Calabasas</t>
  </si>
  <si>
    <t>Synchrony</t>
  </si>
  <si>
    <t>Lily</t>
  </si>
  <si>
    <t>650-347-3004</t>
  </si>
  <si>
    <t>lilyxchu@gmail.com</t>
  </si>
  <si>
    <t>August 24, 2021 -- Hetal discontinued Lily after Lily was upset by how we reached out to her references without first notifying her. She replied to Hetal's email, which tried to explain how our current reliance on intern support is why we reached out to the references so late, but she said she checked with her relative who is in nonprofit management and said he recommended she no longer volunteer for an organization that &amp;#34; does not comply with standard professional practices &amp;#34;. Lily was upset by the bio we had put forth in her first Match Announcement, claiming that it did not accurately describe who she was -- JPS had edited the bio for Match Announcement email brevity and it was okayed by Hetal Lily was trained on 9/14/2020 by Jennifer Peterson-Sharma and Kiesha Charles. Lily is signed up for a Training Webinar on 9/14/2020 at 7:30 pm EST with Kiesha Charles and Jennifer Peterson-Sharma. Lily wants to start being considered for a match in the January 2021 round (not in November 2020). She wants to be matched with only one mentee pair to begin with.  Screened on 9/4/2020 at 2 pm by Jennifer Peterson-Sharma. Screening call schedule for 9/4/2020   Emailed on 8/27/2020 about setting up screening call</t>
  </si>
  <si>
    <t>16 Lorton Avenue, Unit 4</t>
  </si>
  <si>
    <t>Burlingame, CA</t>
  </si>
  <si>
    <t>Medicine / Public Health</t>
  </si>
  <si>
    <r>
      <rPr>
        <color rgb="FF1155CC"/>
        <sz val="10.0"/>
        <u/>
      </rPr>
      <t>I Chean (Veronica) Hung</t>
    </r>
    <r>
      <rPr>
        <sz val="10.0"/>
      </rPr>
      <t xml:space="preserve">, </t>
    </r>
    <r>
      <rPr>
        <color rgb="FF1155CC"/>
        <sz val="10.0"/>
        <u/>
      </rPr>
      <t>Jiaying Zhu</t>
    </r>
    <r>
      <rPr>
        <sz val="10.0"/>
      </rPr>
      <t xml:space="preserve">, </t>
    </r>
    <r>
      <rPr>
        <color rgb="FF1155CC"/>
        <sz val="10.0"/>
        <u/>
      </rPr>
      <t>Ashmel Martinez</t>
    </r>
    <r>
      <rPr>
        <sz val="10.0"/>
      </rPr>
      <t xml:space="preserve"> and </t>
    </r>
    <r>
      <rPr>
        <color rgb="FF1155CC"/>
        <sz val="10.0"/>
        <u/>
      </rPr>
      <t>Yamin Titikpina</t>
    </r>
  </si>
  <si>
    <t>Indraneel</t>
  </si>
  <si>
    <t>Rakshit</t>
  </si>
  <si>
    <t>indraneel.raxit@gmail.com</t>
  </si>
  <si>
    <t>10/18/22 CT marked as abandoned (see notes below) HH called not interested Followed up on 9/18/2020 regarding resume. Indraneel still has yet to respond. Emailed on 8/27/2020 to request resume</t>
  </si>
  <si>
    <t>53 Westgate Dr, Annandale, NJ, 08801</t>
  </si>
  <si>
    <t>Craig</t>
  </si>
  <si>
    <t>Alan Humphreys</t>
  </si>
  <si>
    <t>925-998-8919</t>
  </si>
  <si>
    <t>craig.humphreys@alumni.stanford.edu</t>
  </si>
  <si>
    <t>Craig has not responded to any email correspondence. (JPS, October 2020) Emailed on 9/22/2020 to request a second screening call with Hetal Jani. Craig was screened on 9/14/2020 by Jennifer Peterson-Sharma. Craig is scheduled for a Screening Call on 9/14/2020. JP sent a follow-up email for a Mentor Screening Call on 9/9/2020 Emailed on 8/27/2020 about setting up Screening Call</t>
  </si>
  <si>
    <t>POB 370307 Las Vegas, NV 89137-0307</t>
  </si>
  <si>
    <t>Las Vegas, NV</t>
  </si>
  <si>
    <t>TransPac Systems</t>
  </si>
  <si>
    <t>Ben</t>
  </si>
  <si>
    <t>Kuson Junya</t>
  </si>
  <si>
    <t>bjunya@gmail.com</t>
  </si>
  <si>
    <t>10/18/22 CT marked as abandoned (see notes below) 5/24/22 SB sent re-engagement email Unresponsive - discontinued/orange; has to screen if re-engaged. HH email 8/5/21, HH email 7/29/21, HH phone disconecred sent text anyway 7/21/21 He applied when we were only accepting female-identifying Champions. Was told he was not eligible. JPS sent an email on 7/21/21 explaining that we now accept Champions of all genders and asking him to complete the Screening Call. JPS sent a follow-up email about a Mentor Screening Call on 9/9/2020. Emailed 8/27/2020 about setting sup screening call</t>
  </si>
  <si>
    <t>1615 W 218th St APT #8 Torrance, CA 90501</t>
  </si>
  <si>
    <t>Torrance, CA</t>
  </si>
  <si>
    <t>Torrance</t>
  </si>
  <si>
    <t>Staff Me Up Inc.</t>
  </si>
  <si>
    <t>Ryan</t>
  </si>
  <si>
    <t>Claire Hirsch</t>
  </si>
  <si>
    <t>ryanhirsch415@yahoo.com</t>
  </si>
  <si>
    <t>Unresponsive / lack of professional experience - marked discontinued 8/9/21 JPS. Needs to screen if re-engaged. HH email 8/5/21, HH voicemail/email 7/29/21, HH voicemail/text 7/21/21, Jennifer Peterson-Sharma emailed on 9/11/2020 to schedule a Screening Call.  Ryan sent their resume on 9/11/2020. Created one via LinkedIn. Emailed on 8/31/2020 to request resume. Ryan said that they have had the same job for 4 years and has never needed a resume so they don't have one. They asked if LinkedIn was okay,  we responded saying that we ask for resumes from all of our Champions. </t>
  </si>
  <si>
    <t>100 Buckingham Dr.Apt 159</t>
  </si>
  <si>
    <t xml:space="preserve">Santa Clara </t>
  </si>
  <si>
    <t xml:space="preserve">Insight Global </t>
  </si>
  <si>
    <t>Lourdes</t>
  </si>
  <si>
    <t>Duarte Davila</t>
  </si>
  <si>
    <t>lourdarte213@gmail.com</t>
  </si>
  <si>
    <t>No response from last outreach in Spanish. It appears there may be a language barrier and the individual is unresponsive. Marked discontinued/orange on 7/22/21. HH called will call back later sent text in spanish 7/21/21 JPS called in May 2021 but someone who only speaks Spanish picked up the phone, was unable to communicate Hetal moved this person to be reconsidered December, 2020 -- shifted to Gray, Prospect. Reach out for screening. No US context- not currently being considered</t>
  </si>
  <si>
    <t>lourdesduartedavila@gmail.com</t>
  </si>
  <si>
    <t xml:space="preserve">New Jersey </t>
  </si>
  <si>
    <t xml:space="preserve">The supreme chicken </t>
  </si>
  <si>
    <t>Sharlene</t>
  </si>
  <si>
    <t>Alexander Bleier</t>
  </si>
  <si>
    <t>summerfav1a@yahoo.com</t>
  </si>
  <si>
    <t>While call went well, Sharlene decided that she didn't feel confident that she could be a good mentor (moved to discontinue; HKJ, 12/28/2020)</t>
  </si>
  <si>
    <t>89 Adams St E</t>
  </si>
  <si>
    <t>Long Island, NY</t>
  </si>
  <si>
    <t>Island Advantage</t>
  </si>
  <si>
    <t>Rana</t>
  </si>
  <si>
    <t>Arshed Hafiz</t>
  </si>
  <si>
    <t>914-424-4297</t>
  </si>
  <si>
    <t>Ranaarshedhafiz@gmail.com</t>
  </si>
  <si>
    <t>HJ marked as discontinued on Feb 12, 21, after Rana replied to onboarding email to JPS saying she can no longer do the program Emailed her the onboarding materials on August 28th 2020 for Training She said she wasnt able to view the forms on her computer then went on to saying that she is unable to participate in this at this point in time</t>
  </si>
  <si>
    <t>7 Tower Rdg, Westport, CT-06880</t>
  </si>
  <si>
    <t>Westport</t>
  </si>
  <si>
    <t>City School District of New Rochelle</t>
  </si>
  <si>
    <t>Ibrahim</t>
  </si>
  <si>
    <t>AlRajhi</t>
  </si>
  <si>
    <t>ir66@outlook.com</t>
  </si>
  <si>
    <t>Responded to email listed on his resume -- outlook email Reached out to him for training and three times for a potential matched - never responded.</t>
  </si>
  <si>
    <t>IMPZ area, Dubai</t>
  </si>
  <si>
    <t>Aramco</t>
  </si>
  <si>
    <t>Pelumi</t>
  </si>
  <si>
    <t>Adeleke</t>
  </si>
  <si>
    <t>pelumi.adeleke@gmail.com</t>
  </si>
  <si>
    <t>10/18/22 CT marked as discontinued &amp;amp; abandoned because of no response in the past (Sent scheduling a screening email 3/2/21. SU.Hetal sent a screening email 03/04/21. Soneya send a follow up - screening email 3/9/21. She is not interested in pursuing because she has already applied to other voluteering positions.). 5/24/22 SB sent re-engagement email HH email 8/5/21, HH voicemail/email 7/29/21, HH voicemail/text 7/21/21, SU sent email outreach on 3/2/21, 3/4/21,  3/9/21. No response. Doubled Checked 1/19 (KW) contacted for screening call 12/30, 1/7 </t>
  </si>
  <si>
    <t>11029 Sherwood Grove, Houston, TX, USA</t>
  </si>
  <si>
    <t>Maryam</t>
  </si>
  <si>
    <t>Rezakhani</t>
  </si>
  <si>
    <t>maryamsrezakhani@gmail.com</t>
  </si>
  <si>
    <t>Doubled Checked 1/19 (KW) contacted for screening call 1/7</t>
  </si>
  <si>
    <t>Villa 71 /2 street 49b mirdifMakani number 41861 90810</t>
  </si>
  <si>
    <t xml:space="preserve">United Arab Emirates </t>
  </si>
  <si>
    <t xml:space="preserve">Self employed </t>
  </si>
  <si>
    <t>Pragyansmita</t>
  </si>
  <si>
    <t>PRAGYANSMITA@GMAIL.COM</t>
  </si>
  <si>
    <t>Unresponsive. Marked discontinued/orange/abandoned on 7/21/21. If she reaches back out, needs to go through screening. Sent scheduling a screening email 3/2/21. SU. Hetal sent a screening email 03/04/21. Soneya send a follow up - screening email 3/9/21. Left a voicemail for screening email. 3/12/21. SU. Left a voicemail for Pragyansmita. #/16/2021. SU. Sent a revise email to schedule a screening call 3/19/2021. SU. left a voicemail for Pragyansmita.3/24/2021.SU. JPS emailed on 4/21/21. Doubled Checked 1/19 (KW) contacted for screening call 12/30/2019, 1/7/2019</t>
  </si>
  <si>
    <t>22962 Lois Lane</t>
  </si>
  <si>
    <t>Hitachi Vantara Federal</t>
  </si>
  <si>
    <t>Selene</t>
  </si>
  <si>
    <t>Ceja</t>
  </si>
  <si>
    <t>seleneceja@gmail.com</t>
  </si>
  <si>
    <t>Selene did not respond at all to JPS outreach -- HJ discontinued (3/2/21) Doubled Checked 1/19 (KW) emailed her august 28th 2020 for check in since covid and she never responded sent her a follow up September 3rd 2020 and still didnt respond</t>
  </si>
  <si>
    <t xml:space="preserve">1735 Washtenaw Ave </t>
  </si>
  <si>
    <t xml:space="preserve">Ann Arbor </t>
  </si>
  <si>
    <t>Ann Arbor</t>
  </si>
  <si>
    <t>MI</t>
  </si>
  <si>
    <t>Valeria Andrea</t>
  </si>
  <si>
    <t>Flores Montoya</t>
  </si>
  <si>
    <t>vafm_2394@hotmail.com</t>
  </si>
  <si>
    <t>11/11/21 SB we tried to contact her for a match, she didn't respond,  she unsubcribed from.newsletter. making her discontinued Hetal called on 11/8/2021 -- went to voicemail. Hetal discontinuing.  -11/2/21 SB sent Valeria a text -10/28 SB sent Valeria email -10/20 SB left Valeria a voicemail -10/14 SB left Valeria a voicemail -10/13 SB sent email JPS sent an email via Champions@speakhire.org to schedule a training webinar on 7/21/21. SU sent outreach emails on 3/2/21, 3/4/21, 3/9/21,  3/19/21. No response. JPS emailed on 2/3/2021 to schedule a Screening Call. Followed up on 2/4/21 and 4/22/21. No response. Doubled Checked 1/19 (KW) Valeria passed screening, was sent materials and congratulations email 2/19/19. Valeria responded and said, &amp;#34;I'd like have more time to complete this, I have limit access to internet for the next couple of weeks. The soonest I'd be able to send this back to you would be at the middle of March, please let me know if this works!&amp;#34; contacted for screening call 12/30, 1/7</t>
  </si>
  <si>
    <t>6 Henley Dr</t>
  </si>
  <si>
    <t>Somerset, NJ</t>
  </si>
  <si>
    <t>Somerset</t>
  </si>
  <si>
    <t>SHI International Corp</t>
  </si>
  <si>
    <t>Angie</t>
  </si>
  <si>
    <t>Isbel Miguel</t>
  </si>
  <si>
    <t>angieisbel2493@gmail.com</t>
  </si>
  <si>
    <t>Doubled Checked 1/19 (KW) Just graduated college, no professional experience. Hung up on MRA during screening call when MRA said it might not be a good fit. </t>
  </si>
  <si>
    <t>730 E 166Th St Apt 7C Bronx, New York 10456</t>
  </si>
  <si>
    <t>Bronx New York</t>
  </si>
  <si>
    <t>Unemployed</t>
  </si>
  <si>
    <t>Shanell</t>
  </si>
  <si>
    <t>Mosley</t>
  </si>
  <si>
    <t>smosley@unicefusa.org</t>
  </si>
  <si>
    <t>Shanell messaged Soneya Uddin on 2/19/21 that she is no longer interested in participating. Emailed her the onboarding materials on August 28th 2020 for Training Responded to me on September 1st 2020 and said, She is very busy with her other work and isnt able to mentor right now</t>
  </si>
  <si>
    <t>320 S. Harrison St. #15m</t>
  </si>
  <si>
    <t>New Jersey/New York</t>
  </si>
  <si>
    <t>East Orange</t>
  </si>
  <si>
    <t>UNICEF USA</t>
  </si>
  <si>
    <t>Issue 6</t>
  </si>
  <si>
    <t>Weinstein</t>
  </si>
  <si>
    <t>danielle.weinstein@yahoo.com</t>
  </si>
  <si>
    <t>Danielle replied on 1/10/22 asking to be removed from the list -- Hetal reached out saying she'll be listed as inactive and she can reach out if she has any interest in the future. Hetal marked as discontinued 1/10/22  1/10/22 SB sent follow up email 1/5/22 SB sent IR2 FY21-22 schedule list for matching JPS sent an email via Champions@speakhire.org to schedule a training webinar on 7/21/21. Danielle unsubscribed from SPEAK Newsletter December 2020; moved to discontinued (Hetal Jani) Danielle emailed June 2020 asking to be removed from all Mentor email lists -- should we mark her as red? Dona commented that Danielle emailed to say she does not believe she has enough control over her schedule to commit to SPEAK December 26, 2019 passed screening with Scotney.</t>
  </si>
  <si>
    <t>121 Madison Ave Apt 7B</t>
  </si>
  <si>
    <t>Ernst &amp; Young (EY)</t>
  </si>
  <si>
    <t>Suraiya</t>
  </si>
  <si>
    <t>Khatun</t>
  </si>
  <si>
    <t>347-257-5212</t>
  </si>
  <si>
    <t>simplysuraiya@gmail.com</t>
  </si>
  <si>
    <t>Hetal called and emailed Suraiya multiple times in November; tried the email on her resume as well. No reply -- Hetal discontinuing 11/10/21 -11/2/21 SB called Suraiya phone will not accept incoming calls so I sent a text -10/27 SB emailing again -10/20 SB emailed Suraiya JPS left voicemail with Suraiya 2/17/21 to see if she could accommodate a match for IR2. Followed up with another call and text on 2/18/21. JPS emailed on 2/14/2021 to see if Suraiya could accommodate a match for IR2 20-21. JPS followed up on 2/17/2021 after receiving no response. JPS emailed on 1/5/2021 to check her engagement status, no response as of 1/14/2021. Followed up on 1/14/2021.</t>
  </si>
  <si>
    <t>31-18 35th street APT#5E ASTORIA, NY, 11106</t>
  </si>
  <si>
    <t>31-18 35th st APT 5E</t>
  </si>
  <si>
    <t>New York Edge</t>
  </si>
  <si>
    <r>
      <rPr>
        <color rgb="FF1155CC"/>
        <sz val="10.0"/>
        <u/>
      </rPr>
      <t>Sanzida Chowdhury</t>
    </r>
    <r>
      <rPr>
        <sz val="10.0"/>
      </rPr>
      <t xml:space="preserve"> and </t>
    </r>
    <r>
      <rPr>
        <color rgb="FF1155CC"/>
        <sz val="10.0"/>
        <u/>
      </rPr>
      <t>Khadidia Traore</t>
    </r>
  </si>
  <si>
    <t>Renna</t>
  </si>
  <si>
    <t>848-391-2930</t>
  </si>
  <si>
    <t>renna.patel@merck.com</t>
  </si>
  <si>
    <t>Unresponsive across several means of communication and for a prolonged period of time - marked discontinued/orange. Sent scheduling a screening email 3/2/21. SU. Hetal sent a screening email 03/04/21. Soneya send a follow up - screening email 3/9/21. Left a voicemail for Renna 3/16/2021. SU. Sent a revise email to schedule a screening call 3/19/2021. SU.left a voicemail for Renna. 3/24/2021.SU. JPS emailed on 4/22/21 and followed up on 5/27/21. No response. Hetal called to re-engage on March 19. 2020 but voicemail box full; texted from SPEAK google voice </t>
  </si>
  <si>
    <t>74 Hopkinson Ave Piscataway, NJ 08854, USA</t>
  </si>
  <si>
    <t>MERCK</t>
  </si>
  <si>
    <t>Renee</t>
  </si>
  <si>
    <t>Lyn Frey</t>
  </si>
  <si>
    <t>717-885-5338</t>
  </si>
  <si>
    <t>reneelfrey98@gmail.com</t>
  </si>
  <si>
    <t>Unresponsive - discontinued 8/9/21. Needs to screen if re-engaged. JPS HH email 8/5/21, HH voicemail/email 7/29/21, HH text (phone disconnected when called) 7/20/2021 JPS followed up on 5/27/21 and 6/3/21 JPS sent outreach email on 4/22/21 SU sent outreach email on 3/2/21, 3/4/21, 3/9/21, 3/19/21 - no response. Marked as inactive/yellow because not yet screened as of June 18, 2019</t>
  </si>
  <si>
    <t>482 N Pleasant Ave Dallastown</t>
  </si>
  <si>
    <t>York, PA</t>
  </si>
  <si>
    <t>York</t>
  </si>
  <si>
    <t>ENGEL</t>
  </si>
  <si>
    <t>Mital</t>
  </si>
  <si>
    <t>Desai</t>
  </si>
  <si>
    <t>512-739-5369</t>
  </si>
  <si>
    <t>mitald0308@gmail.com</t>
  </si>
  <si>
    <t>1/5/22 Unsubscribed from newsletter SB Hetal called to ask if she can quickly take on a mentee pair who seemed to be abandoned by the o original match and she agreed but still did not show on mentees matched MR 1 2019 and did not respond to emails/calls to Hetal or Scotney </t>
  </si>
  <si>
    <t>74 E 5th Ave, P-301, Collegeville</t>
  </si>
  <si>
    <t>Collegeville, PA</t>
  </si>
  <si>
    <t>Collegeville</t>
  </si>
  <si>
    <t>Pfizer</t>
  </si>
  <si>
    <t>Michelle</t>
  </si>
  <si>
    <t>Castillo</t>
  </si>
  <si>
    <t>732-277-7644</t>
  </si>
  <si>
    <t>michellecastillo85@gmail.com</t>
  </si>
  <si>
    <t>Soneya Uddin called Michelle on 2/25/21 and Michelle told her she was no longer interested, she was also unresponsive to all email outreach -- she has a lot going on at the moment and can't participate; marked as discontinued unless she reaches out to followup  (HJ, 2/25/21) uploaded to Kintone but marked as inactive/yellow until screening complete</t>
  </si>
  <si>
    <t>5 Richard Avenue, Hopelawn</t>
  </si>
  <si>
    <t>Hopelawn, NJ</t>
  </si>
  <si>
    <t>Hopelawn</t>
  </si>
  <si>
    <t>Raritan Bay Medical Center</t>
  </si>
  <si>
    <r>
      <rPr>
        <color rgb="FF1155CC"/>
        <sz val="10.0"/>
        <u/>
      </rPr>
      <t>Wilberto Velasquez</t>
    </r>
    <r>
      <rPr>
        <sz val="10.0"/>
      </rPr>
      <t xml:space="preserve">, </t>
    </r>
    <r>
      <rPr>
        <color rgb="FF1155CC"/>
        <sz val="10.0"/>
        <u/>
      </rPr>
      <t>Norvia Tavarez</t>
    </r>
    <r>
      <rPr>
        <sz val="10.0"/>
      </rPr>
      <t xml:space="preserve">, </t>
    </r>
    <r>
      <rPr>
        <color rgb="FF1155CC"/>
        <sz val="10.0"/>
        <u/>
      </rPr>
      <t>Robeliza Nunez</t>
    </r>
    <r>
      <rPr>
        <sz val="10.0"/>
      </rPr>
      <t xml:space="preserve"> and </t>
    </r>
    <r>
      <rPr>
        <color rgb="FF1155CC"/>
        <sz val="10.0"/>
        <u/>
      </rPr>
      <t>Daniela Gonzalez</t>
    </r>
  </si>
  <si>
    <t>Meredith</t>
  </si>
  <si>
    <t>McCracken</t>
  </si>
  <si>
    <t>973-525-2645</t>
  </si>
  <si>
    <t>MMCCRACKEN2013@GMAIL.COM</t>
  </si>
  <si>
    <t>Due to declining health over the past two years she is unable to participate. She still wishes to remain on the email list. 8/11/21 SB Sent scheduling a screening email 3/2/21. SU.Hetal sent a screening email 03/04/21. Soneya send a follow up - screening email 3/9/21. Left a voicemail to Meredith 3/16/2021. SU.Sent a revise email to schedule a screening call 3/19/2021. SU. left a voicemail for screening call scheduling . 3/24/2021.SU. Hetal reached out via SPEAKHIRE Linkedin on 4/20/21. No response. Orange/discontinued. Marked as inactive/yellow because not yet Screened as of June 18, 2019</t>
  </si>
  <si>
    <t>Milford PA</t>
  </si>
  <si>
    <t>Scranton, PA</t>
  </si>
  <si>
    <t>Scranton</t>
  </si>
  <si>
    <t>United Neighborhood Centers</t>
  </si>
  <si>
    <t>Maydelli</t>
  </si>
  <si>
    <t>Mendoza</t>
  </si>
  <si>
    <t>mendozamaydelli@gmail.com</t>
  </si>
  <si>
    <t>Unresponsive - discontinued/orange HH voicemail/text 7/20/21 Sent scheduling a screening email 3/2/21. SU Hetal sent a screening email 03/04/21 Soneya send a follow up - screening email 3/9/21. Sent a revise email to schedule a screening call 3/19/2021. SU. JPS emailed on 2/3/2021 to schedule a Screening Call &amp;amp; followed up on 2/4/21 uploaded to Kintone but marked as inactive/yellow until screening complete</t>
  </si>
  <si>
    <t xml:space="preserve">7743 Eton Av, Canoga Park </t>
  </si>
  <si>
    <t>Canoga Park, CA</t>
  </si>
  <si>
    <t>Canoga Park</t>
  </si>
  <si>
    <t>Dicino</t>
  </si>
  <si>
    <t>(609) 432-1583</t>
  </si>
  <si>
    <t>Mdicino@comcast.net</t>
  </si>
  <si>
    <t>Soneya U. reached out on 3/16/21 and spoke with her and Maria said that she doesn't check email -- possible discontinue? Soneya will follow up with Maria and report back if she can check her email and send an updated resume. HJ 3/16/21 Marked as inactive/yellow because not yet Screened as of June 18, 2019</t>
  </si>
  <si>
    <t>233 Sea Pine Drive, Egg Harbor Township, NJ 08234</t>
  </si>
  <si>
    <t>Self Employed/Disabled</t>
  </si>
  <si>
    <t>Magdalene</t>
  </si>
  <si>
    <t>Clare Nitschke</t>
  </si>
  <si>
    <t>952-693-8739</t>
  </si>
  <si>
    <t>magdalene.nitschke@am.jll.com</t>
  </si>
  <si>
    <t>Sent scheduling a screening email 3/2/21. SU. Hetal sent a screening email 03/04/21. Soneya send a follow up - screening email 3/9/21. Left a voicemail for Magdalene 3/17/2021. Sent a revise email to schedule a screening call 3/22/2021. SU. Soneya to call one more time - if no response, JPS will reach out perhaps by LinkedIn Marked as inactive/yellow because not yet Screened as of June 18, 2019</t>
  </si>
  <si>
    <t>12340 Rochester Ave #210, Los Angeles</t>
  </si>
  <si>
    <t>JLL</t>
  </si>
  <si>
    <t>Madiana</t>
  </si>
  <si>
    <t>Hedayet</t>
  </si>
  <si>
    <t>madianah@gmail.com</t>
  </si>
  <si>
    <t>Hetal called on 1/5/22 because she unsubscribed from mailing list and to see if she's still interested -- if no updates beyond this by Feb 2022, don't contact again. Hetal called on 10/4/21 to see if Madiana can be re-engaged -- left vm saying we have need for Arabic speaking Champions from North Africa, especially with her sector of business in tech. Sent scheduling a screening email 3/2/21. SU.Hetal sent a screening email 03/04/21. Soneya send a follow up - screening email 3/9/21. left a voicemail for Madiana 3/17/2021.SU.
Sent a revise email to schedule a screening call 3/22/2021. SU. Marked as inactive/yellow because not yet Screened as of June 18, 2019</t>
  </si>
  <si>
    <t>6400 Christie Ave, Emeryville</t>
  </si>
  <si>
    <t>EmeryvilleEmeryville</t>
  </si>
  <si>
    <t>Oculus VR</t>
  </si>
  <si>
    <t>Madeleine</t>
  </si>
  <si>
    <t>Lilly Oldaker</t>
  </si>
  <si>
    <t>madeleineoldaker@gmail.com</t>
  </si>
  <si>
    <t>Is unresponsive - showed interest on phone but has no social media and cannot get her to answer emails. Marked discontinued/orange. JPS emailed on 4/22/21 and 5/27/21 Sent scheduling a screening email 3/2/21. SU. Hetal sent a screening email 03/04/21. Soneya send a follow up - screening email 3/9/21. Madeleine pick up the phone call and said she is interested and will schedule a screening call 3/17/2021. SU.Sent a revise email to schedule a screening call 3/22/2021. SU. uploaded to Kintone but marked as inactive/yellow until screening complete</t>
  </si>
  <si>
    <t>88 Kobb Blvd, West Islip</t>
  </si>
  <si>
    <t>Stony Brook</t>
  </si>
  <si>
    <t>Developmental Disability Insitute</t>
  </si>
  <si>
    <t>Lynette Monica</t>
  </si>
  <si>
    <t>Sandoval Corning</t>
  </si>
  <si>
    <t>5305298905 - retired from work and no longer contactable here</t>
  </si>
  <si>
    <t>lcorning@rbhsd.org</t>
  </si>
  <si>
    <t>Sent scheduling a screening email 3/2/21. SU. Email bounced back 3/2/21. Hetal sent a screening email 03/04/21. Soneya send a follow up - screening email 3/9/21. uploaded to Kintone but marked as inactive/yellow until screening complete</t>
  </si>
  <si>
    <t>1260 Union Street, Red Bluff</t>
  </si>
  <si>
    <t>Red Bluff, CA</t>
  </si>
  <si>
    <t>Red Bluff</t>
  </si>
  <si>
    <t>Red Bluff High School</t>
  </si>
  <si>
    <t>Lynn Stroupe</t>
  </si>
  <si>
    <t>pstroupe21@gmail.com</t>
  </si>
  <si>
    <t>Sent scheduling a screening email 3/2/21. SU. Email bounced back 3/2/21. Hetal sent a screening email 03/04/21. Reached out on Linkedin on 4/21/21. JPS. Soneya send a follow up - screening email 3/9/21. Left a voicemail for Pamela 3/17/2021. SU. Sent a revise email to schedule a screening call 3/22/2021. SU. Reached out on Linkedin on 4/21/21. JPS. No response. Marked discontinued/orange. unsubscribed from SPEAK newsletter on December 2, 2020 uploaded to Kintone but marked as inactive/yellow until screening complete</t>
  </si>
  <si>
    <t>6519 Bayberry Street Oak Park CA 91377</t>
  </si>
  <si>
    <t>Oak Park</t>
  </si>
  <si>
    <t>Relypsa</t>
  </si>
  <si>
    <t>Electa Williams</t>
  </si>
  <si>
    <t>sosamantha@gmail.com</t>
  </si>
  <si>
    <t>HH called no longer interested, 7/20/21 SU sent outreach email on 3/2/21, 3/4/21, 3/9/21 and 3/22/21 - no response uploaded to Kintone but marked as inactive/yellow until screening complete</t>
  </si>
  <si>
    <t>3157 31st St, Apt 621, Astoria</t>
  </si>
  <si>
    <t>Teach For All</t>
  </si>
  <si>
    <t>Saudia</t>
  </si>
  <si>
    <t>Ganie</t>
  </si>
  <si>
    <t>908-821-5725</t>
  </si>
  <si>
    <t>saudia89@gmail.com</t>
  </si>
  <si>
    <t>JPS sent an email via Champions@speakhire.org to schedule a training webinar on 7/21/21. SU sent outreach emails on 3/2/21, 3/4/21, 3/9/21,  3/22/21 - no response. Was screened by Scotney beginning of 2018 (unsure when, but before February).</t>
  </si>
  <si>
    <t>Plainfield, NJ</t>
  </si>
  <si>
    <t>RStudio PBC</t>
  </si>
  <si>
    <t>Shella</t>
  </si>
  <si>
    <t>Leahy</t>
  </si>
  <si>
    <t>shellabrody67@gmail.com</t>
  </si>
  <si>
    <t>Hetal and Sophia followed up -- Hetal also reaching out on LinkedIn and getting a response from her but she does not follow through. Hetal discontinuing 11/3/21 JPS sent follow-up email once again through Champions@speakhire.org on 7/20/21 SU sent outreach email on 3/2/21, 3/4/21, 3/9/21,  3/19/21 - no response. JPS Reached out on Linkedin on 4/21/21 - Shella responded and said she is still interested &amp;amp; asked about next steps. JPS</t>
  </si>
  <si>
    <t>24347 1/2 Lucille ave, Lomita</t>
  </si>
  <si>
    <t>Torrance, California</t>
  </si>
  <si>
    <t>Centrelake Imaging and Oncology</t>
  </si>
  <si>
    <t>vanessa.luna1021@gmail.com</t>
  </si>
  <si>
    <t>Hetal knows Vanessa -- would not have time for this (HJ, 2/19/21)</t>
  </si>
  <si>
    <t>80 Dekalb Ave Brooklyn NY 11201</t>
  </si>
  <si>
    <t>Brookyln</t>
  </si>
  <si>
    <t>ImmSchools</t>
  </si>
  <si>
    <t>Tasha</t>
  </si>
  <si>
    <t>Butler</t>
  </si>
  <si>
    <t>tashatbutler@gmail.com</t>
  </si>
  <si>
    <t>Been consistently reaching out since applying, but Tasha has not even submitted a resume since 2018 - marked discontinued/orange. Sent scheduling a screening email 3/2/21. SU. Hetal sent a screening email 03/04/21. Soneya send a follow up - screening email 3/9/21. Left a voicemail for Tasha 3/17/2021. SU. Sent a revise email to schedule a screening call 3/22/2021. SU. Scotney reached out with Internship Round schedules in October 2019, but Tasha said no schedules worked for her. Tasha submitted an incomplete application. Scotney reached out on Feb 27, 2018 and March 6, 2018 to receive missing information, including resume.</t>
  </si>
  <si>
    <t>Middletown ny</t>
  </si>
  <si>
    <t>Middletown</t>
  </si>
  <si>
    <t>Independent Support Services</t>
  </si>
  <si>
    <t>Tamara</t>
  </si>
  <si>
    <t>Dattolo</t>
  </si>
  <si>
    <t>tamarakndkjn@yahoo.com</t>
  </si>
  <si>
    <t>uploaded to Kintone but marked as inactive/yellow until screening complete Sent scheduling a screening email 3/2/21. SU. Hetal sent a screening email 03/04/21. Soneya send a follow up - screening email 3/9/21. Tamara phone # has been changed or disconnected 3/17/2021. SU. Sent a revise email to schedule a screening call 3/22/2021. SU.</t>
  </si>
  <si>
    <t>71 US Highway 46, Mine Hill</t>
  </si>
  <si>
    <t>Mine Hill, NJ</t>
  </si>
  <si>
    <t xml:space="preserve">Mine Hill </t>
  </si>
  <si>
    <t>Not working</t>
  </si>
  <si>
    <t>Tahsin</t>
  </si>
  <si>
    <t>Loqman</t>
  </si>
  <si>
    <t>tloqman21@gmail.com</t>
  </si>
  <si>
    <t>HJ left a vm on 10/4/2021 saying we have need for Bangladeshi individuals especially those in technology. Unresponsive - marked discontinued/orange. HH voicemail/text 7/20/21 Sent a screening email follow up remindar 3/12/2021. Sent a screening email 3/17/2021. Sent screening call schedule email 3/19/2021. SU. Sent a revise email to schedule a screening call 3/22/2021. SU. Hetal made her a gray (HJ, 3/12/21) uploaded to Kintone but marked as inactive/yellow until screening complete Had been in brief correspondence with Jenny &amp;amp; Scotney from Dec 2018 - Aug 2019 but it does not appear that she ever completed a Screening Call</t>
  </si>
  <si>
    <t>947 Sohn Alloway Rd., Lyons, NY 14489</t>
  </si>
  <si>
    <t>Lyons, NY</t>
  </si>
  <si>
    <t>L3Harris Technologies</t>
  </si>
  <si>
    <t>Lola</t>
  </si>
  <si>
    <t>Adeyemo</t>
  </si>
  <si>
    <t>lola.adeyemo@thermofisher.com</t>
  </si>
  <si>
    <t>10/18/22 sent re-engagement email. &amp;#34;Got a bounce back -- she's no longer at Thermofisher and she's doing her own thing now. I think she's already doing coaching for immigrants and won't want to be a mentor.&amp;#34; HJ  JPS discovered on 7/27/21 that Lola received a congratulations email from Scotney on 2/21/19 - Lola has passed a Screening Call. However, she responded to Scotney's email on 4/15/19 and said, &amp;#34;Had some concerns about questions on references and at this time I have decided I will decline to participate and look for an organization closer to home and with a little more flexibility to accommodate my time.&amp;#34; HH voicemail/text 7/20/21 JPS called Lola on 2/17/21 to discuss screening call &amp;amp; potential match. No response, left voicemail. Screening email already sent. 2/12/21 SU. So, S.U. sent a follow up email to see if Lola is still interested at all 2/12/21. Followed up again on 2/14/21 and 2/15/21. Marked as inactive/yellow because labeled as &amp;#34;no longer available&amp;#34; on foundational mentor sheet</t>
  </si>
  <si>
    <t>Sapient Logic LLC</t>
  </si>
  <si>
    <t>Lina</t>
  </si>
  <si>
    <t>Nader Saddouq</t>
  </si>
  <si>
    <t>916-260-9580</t>
  </si>
  <si>
    <t>linasadouq@yahoo.com</t>
  </si>
  <si>
    <t>uploaded to Kintone but marked as inactive/yellow until screening complete</t>
  </si>
  <si>
    <t>1026 Olson Lane, APT 314</t>
  </si>
  <si>
    <t>El Dorado Hills, CA</t>
  </si>
  <si>
    <t>El Dorado Hills</t>
  </si>
  <si>
    <t>Newmark Knight Frank</t>
  </si>
  <si>
    <t>Lee Ann</t>
  </si>
  <si>
    <t>Manning Chan</t>
  </si>
  <si>
    <t>917-816-2633</t>
  </si>
  <si>
    <t>LChan225@hotmail.com</t>
  </si>
  <si>
    <t>10/18/22 CT marked as abandoned Double checked 1/26 (KW)</t>
  </si>
  <si>
    <t>238 East 89th Street, Apt. 1C, New York, NY 10128</t>
  </si>
  <si>
    <t>PwC</t>
  </si>
  <si>
    <t>Camille Reyes</t>
  </si>
  <si>
    <t>949-842-1334</t>
  </si>
  <si>
    <t>lauren.reyes@fanduel.com</t>
  </si>
  <si>
    <t>Unresponsive to extensive email and LinkedIn outreach; her phone # does not work. Discontinued/orange. Screening email already sent. 2/12/21 SU. Sent a follow up to Lauren saying we know it been a while and if she is still interested in the position. Lauren phone # is at the moment not currently accepting calls. SU. 2/19/21. Lauren phone # is not currently in service. 2/25/21. SU HJ emailed her on 3/1 -- discontinue if we don't hear back. Reached out on Linkedin on 4/21/21. JPS texted on 5/27/21 Screening email already sent. 2/12/21 SU. S.U. followed up with Lauren saying we know it's been awhile but we have greater need and hope she can go through onboarding process. (2/12/21, HJ) Sent resume April 2019. She was told we will be in touch but did not happen.</t>
  </si>
  <si>
    <t>6701 Center Drive West Suite 800, Los Angeles CA 90045"</t>
  </si>
  <si>
    <t>Culver City</t>
  </si>
  <si>
    <t>FanDuel</t>
  </si>
  <si>
    <t>Kathryn</t>
  </si>
  <si>
    <t>Mary Krupowicz</t>
  </si>
  <si>
    <t>41 79 693 83 01</t>
  </si>
  <si>
    <t>kkrupowicz@hotmail.com</t>
  </si>
  <si>
    <t>Isn't responding to extensive email outreach and does not have a U.S.-based number or LinkedIn that can be found. Marked discontinued/orange. SU sent scheduling a screening email 3/2/21. SU. Hetal sent a screening email 03/04/21. Soneya send a follow up - screening email 3/9/21. Sent a revise email to schedule a screening call 3/22/2021. SU JPS reached out to check status on 2/9/2021. Followed up on 4/22/21. No response. Marked as inactive/yellow because not yet screened as of June 18, 2019</t>
  </si>
  <si>
    <t>Rennweg 23, Basel Switzerland</t>
  </si>
  <si>
    <t>Basel Switzerland</t>
  </si>
  <si>
    <t>Novartis</t>
  </si>
  <si>
    <t>Leigh Taylor</t>
  </si>
  <si>
    <t>903-746-6383</t>
  </si>
  <si>
    <t>k.taylor2590@gmail.com</t>
  </si>
  <si>
    <t>5/24/22 SB sent re-engagement email Double checked 1/26 (KW) Unsubscibed from SPEAK newsletter December 2020 -- changed to Discontinued (Hetal Jani) Asked to be removed from Mentor Mailing List June 2020</t>
  </si>
  <si>
    <t>792 9th Ave 2 FS</t>
  </si>
  <si>
    <t xml:space="preserve">Findmine </t>
  </si>
  <si>
    <t>Jesse</t>
  </si>
  <si>
    <t>Marissa Jewell</t>
  </si>
  <si>
    <t>516-413-2586</t>
  </si>
  <si>
    <t>beadfromtheheart@gmail.com</t>
  </si>
  <si>
    <t>Jesse was scheduled for a Screening Call on 3/10/21 but did not show up. This is the second screening call Jesse has not appeared for. (HJ, 3/10/2021)</t>
  </si>
  <si>
    <t xml:space="preserve">2 Poplar place, Glen Cove </t>
  </si>
  <si>
    <t>Glen Cove</t>
  </si>
  <si>
    <t>glen cove</t>
  </si>
  <si>
    <t>Long Island University CW Post</t>
  </si>
  <si>
    <t>Jaine</t>
  </si>
  <si>
    <t>Briscoe-Price</t>
  </si>
  <si>
    <t>01829 271933</t>
  </si>
  <si>
    <t>jaine@jainebriscoe-price.co.uk</t>
  </si>
  <si>
    <t>Sent scheduling a screening email 3/2/21. SU.Hetal sent a screening email 03/04/21. Soneya send a follow up - screening email 3/9/21. Sent a revise email to schedule a screening call 3/19/2021. SU.</t>
  </si>
  <si>
    <t>6 Fern Close Bedwell Court Cross Lanes Wrexham LL130RZ</t>
  </si>
  <si>
    <t>Jaine Briscoe-Price Photography</t>
  </si>
  <si>
    <t>Ivayana</t>
  </si>
  <si>
    <t>Liggins</t>
  </si>
  <si>
    <t>415-425-8813</t>
  </si>
  <si>
    <t>ivyliggins@yahoo.com</t>
  </si>
  <si>
    <t>Unresponsive to extensive outreach - discontinued/orange 7/27/21. Needs to go through screening if re-engaged.  H H voicemail/text 7/20/21 Sent scheduling a screening email 3/2/21. SU. Hetal sent a screening email 03/04/21. Soneya send a follow up - screening email 3/9/21. Left a voicemail for Ivayana 3/17/2021. SU. Sent a revise email to schedule a screening call 3/22/2021. SU. uploaded to Kintone but marked as inactive/yellow until screening complete Scheduled a screening call with Scotney in May 2019 but did not show up to screening - was unresponsive to communication after</t>
  </si>
  <si>
    <t>30 Quickstep Ln #4, San Francisco, CA 94115, USA</t>
  </si>
  <si>
    <t>Greenberg</t>
  </si>
  <si>
    <t>Heather</t>
  </si>
  <si>
    <t>Rose Gallant</t>
  </si>
  <si>
    <t>585-329-2297</t>
  </si>
  <si>
    <t>hgallant@datto.com</t>
  </si>
  <si>
    <t>Sent scheduling a screening email 3/2/21. SU. Hetal sent a screening email 03/04/21. Soneya send a follow up - screening email 3/9/21. Left a voicemail for Heather 3/17/2021. SU. Sent a revise email to schedule a screening call 3/22/2021. SU. No response - marked discontinued/orange. Unavailable to mentor</t>
  </si>
  <si>
    <t>Rochester, New York</t>
  </si>
  <si>
    <t>Rochester NY</t>
  </si>
  <si>
    <t xml:space="preserve">Datto Inc. </t>
  </si>
  <si>
    <t>Haribani</t>
  </si>
  <si>
    <t>Sangeeta Malhotra</t>
  </si>
  <si>
    <t>415-657-6196</t>
  </si>
  <si>
    <t>bani@shipt.com</t>
  </si>
  <si>
    <t>Sent scheduling a screening email 3/2/21. SU. Hetal sent a screening email 03/04/21. Soneya send a follow up - screening email 3/9/21. Left a voicemail for Haribani 3/17/2021. SU. Sent a revise email to schedule a screening call 3/22/2021. SU. No response - marked discontinued/orange by JPS. Hetal called on 3/26/2020 and left a voice message to see if available to mentor during COVID-19</t>
  </si>
  <si>
    <t>Walmart</t>
  </si>
  <si>
    <t>Freeha</t>
  </si>
  <si>
    <t>Ihsan</t>
  </si>
  <si>
    <t>702-328-4536</t>
  </si>
  <si>
    <t>freeha.ihsan@yahoo.com</t>
  </si>
  <si>
    <t>Hetal met Freeha in 2018 and Freeha applied right away but never set up a screening call thereafter despite multiple outreach from the team (HJ, 4/16/21)</t>
  </si>
  <si>
    <t>145-30-22 Avenue Flushing,Queens, New York,11357</t>
  </si>
  <si>
    <t>Women's World Banking</t>
  </si>
  <si>
    <t>Cruz</t>
  </si>
  <si>
    <t>760-277-4083</t>
  </si>
  <si>
    <t>elise.cruz@wyn.com</t>
  </si>
  <si>
    <t>Tried to match her for IR3 20-21. She said the schedule would work for her. Signed up for a screening call time and never showed. Have not heard from her since. Sent a screening email follow up remindar 3/12/2021. SU. Elise has responded back and she will schedule a screening call. 3/12/2021. SU. Sent a screening call email 3/17/2021. SU. Sent email to Elise to schedule a screening call 3/19/2021. Called Elise and her phone number does not work. 3/22/2021. SU. Sent a revise email to schedule a screening call 3/19/2021. SU. JPS emailed on 4/22/21 uploaded to Kintone but marked as inactive/yellow until screening complete</t>
  </si>
  <si>
    <t>333 North Myers Street, Oceanside, CA. 92054</t>
  </si>
  <si>
    <t xml:space="preserve">San Marcos </t>
  </si>
  <si>
    <t xml:space="preserve">Wyndham Destinations </t>
  </si>
  <si>
    <t>Dieketseng (Dee)</t>
  </si>
  <si>
    <t>Mamohato Nova</t>
  </si>
  <si>
    <t>518-542-7913</t>
  </si>
  <si>
    <t>iamdeenova@gmail.com</t>
  </si>
  <si>
    <t>Hetal emailed on 2/13/21 because of match potential. Soneya Uddin left a for voicemail for Dee to reach out for the screening call/ or updating email address. 2/15/21 SU. Left a voicemail 2/20/21. SU. Left a follow up email, however her email does not work. 2/25/21. SU. Reached out on Linkedin on 4/21/21 - Dee responded and asked about her status, JPS let her know about Screening Call &amp;amp; she never responded. JPS. Hetal marked as gray and reached out for screening call on 2/13/21 uploaded to Kintone but marked as inactive/yellow until screening complete</t>
  </si>
  <si>
    <t>PO Box 10052, Albany NY 12201</t>
  </si>
  <si>
    <t>Albany</t>
  </si>
  <si>
    <t>Nova Consulting</t>
  </si>
  <si>
    <t>510-725-9020</t>
  </si>
  <si>
    <t>drodriguezortiz09@gmail.com</t>
  </si>
  <si>
    <t>Unresponsive and not a desirable background for our Interns (difficult to match) - marked discontinued/orange. Needs to go through screening if re-engaged. HH voicemail/text 7/20/21 - no response Dema Alhuraibi called on 10/6/20 and left a voice message. uploaded to Kintone but marked as inactive/yellow because labeled as gray in Foundational Mentor sheet</t>
  </si>
  <si>
    <t>1070 San Miguel Rd Apt D2</t>
  </si>
  <si>
    <t>Concord, CA</t>
  </si>
  <si>
    <t>Bertha</t>
  </si>
  <si>
    <t>deLanda</t>
  </si>
  <si>
    <t>510-378-4940</t>
  </si>
  <si>
    <t>bertha.delanda@abbott.com</t>
  </si>
  <si>
    <t>Hetal called Bertha on 10/27/21 and left a vm hoping to re-engage for a match Reached out, she had many issues with the program, when I explained to her she stopped responding SB Reached back out and she is willing to be a champion but only for &amp;#34;biological studies students&amp;#34; in a research capacity on nursing/doctor/healthcare &amp;#34;declined to continue with the mentorship&amp;#34; SB 8/12/21 JPS emailed on 2/9/2021 to try and confirm Claremont match for IR2 20-21 Hetal Jani email Bertha back and told her about our student population -- Bertha responded saying she better understand that she needed to be more empathetic (December 7th, 2020) Concerning that Bertha was upset about her 1st mentee pair (one student having camera off because she was sick and being absent one day; another saying he doesn't want to go to college but straight to work) and wrote the following in an email dated December 6th, 2020: &amp;#34;I would like to deal with students who are serious about their education.  Can you advise?&amp;#34; Should we continue to match her and work with her on training? ~Hetal Jani (December 8th, 2020) Bertha was trained on 11/30/2020 with Jennifer Peterson-Sharma at 4 pm EST. Scheduled screening call with Hetal Jani for November 20, 2020 just to confirm she goes through the process.  Hetal Jani reached on November 18th to ask for a quick match for Josie Joseph given shared Central American background and career interest. Hetal will take her through screening and training quickly and the pair will get started as well to ensure the round is completed on time.  Hetal reached out to re-engage on 10/6/2020 about mentoring Spanish speaking mentees and she said she was excited and would like to complete the process and be available.  Non-responsive, do not pursue </t>
  </si>
  <si>
    <t>4170 Corrigan Drive Fremont CA</t>
  </si>
  <si>
    <t>Alameda, California</t>
  </si>
  <si>
    <t>Alameda</t>
  </si>
  <si>
    <r>
      <rPr>
        <color rgb="FF1155CC"/>
        <sz val="10.0"/>
        <u/>
      </rPr>
      <t>Josie Joseph</t>
    </r>
    <r>
      <rPr>
        <sz val="10.0"/>
      </rPr>
      <t xml:space="preserve"> and </t>
    </r>
    <r>
      <rPr>
        <color rgb="FF1155CC"/>
        <sz val="10.0"/>
        <u/>
      </rPr>
      <t>Akhmadzhon Vakhidov</t>
    </r>
  </si>
  <si>
    <t>Auset</t>
  </si>
  <si>
    <t>Keona Burks</t>
  </si>
  <si>
    <t>424-521-2265</t>
  </si>
  <si>
    <t>ausetburks@gmail.com</t>
  </si>
  <si>
    <t>Not responsive since applying in 2019 &amp;amp; not desirable resume. Marked discontinued/orange. JPS sent follow-up emails on 5/27/21 and 6/3/21 JPS sent re-engagement email on 5/26/21 The phone number is unavailable. Hetal found this profile on March 5th, 2021 labeled as red and inactive without any explanation. Rescreen. </t>
  </si>
  <si>
    <t>13811 Shoemaker ave Norwalk,CA</t>
  </si>
  <si>
    <t>Norwalk, CA</t>
  </si>
  <si>
    <t>Norwalk</t>
  </si>
  <si>
    <t>LAUSD</t>
  </si>
  <si>
    <t>Adesola</t>
  </si>
  <si>
    <t>Kike Oshinoiki</t>
  </si>
  <si>
    <t>925-234-0033</t>
  </si>
  <si>
    <t>akoshinoiki@gmail.com</t>
  </si>
  <si>
    <t>HH called is no longer available due to schedule 7/21. Marked discontinued/orange. If she ever reaches back out, she still needs to go through screening. unsubscribed from SPEAK newsletter on December 2, 2020 uploaded to Kintone but marked as inactive/yellow until screening complete</t>
  </si>
  <si>
    <t>1368 Brooktrail Drive</t>
  </si>
  <si>
    <t xml:space="preserve">California </t>
  </si>
  <si>
    <t>Pittsburg</t>
  </si>
  <si>
    <t>Ursula</t>
  </si>
  <si>
    <t>Renee Wright</t>
  </si>
  <si>
    <t>206-941-9545</t>
  </si>
  <si>
    <t>wrightdr1@gmail.com</t>
  </si>
  <si>
    <t>JPS called on 5/26/21 and Ursula said she wanted her profile removed, she is tied up with other things now. </t>
  </si>
  <si>
    <t>Guidewire Software</t>
  </si>
  <si>
    <t>Rosalie</t>
  </si>
  <si>
    <t>Girard</t>
  </si>
  <si>
    <t>415-530-1812</t>
  </si>
  <si>
    <t>rgirard@coveo.com</t>
  </si>
  <si>
    <t>Reached out to Rosalie for a match FY21-22 IR1 ; she said she's switching companies and is no longer interested. Hetal discontinuing her 11/11/21 </t>
  </si>
  <si>
    <t>3716 Palos Verdes Way</t>
  </si>
  <si>
    <t>Coveo Software Corp</t>
  </si>
  <si>
    <r>
      <rPr>
        <sz val="10.0"/>
      </rPr>
      <t xml:space="preserve">Onyeda Melgar and </t>
    </r>
    <r>
      <rPr>
        <color rgb="FF1155CC"/>
        <sz val="10.0"/>
        <u/>
      </rPr>
      <t>Catalina Henriquez</t>
    </r>
  </si>
  <si>
    <t>Sarah</t>
  </si>
  <si>
    <t>Esmi</t>
  </si>
  <si>
    <t>917-982-9514</t>
  </si>
  <si>
    <t>skesmi2@gmail.com</t>
  </si>
  <si>
    <t>5/24/22 SB sent re-engagement email JPS emailed March 22, 2021. JPS emailed again 4/19/21. SU emailed 4 times from March 2 - March 19, 2021 to schedule Sarah for a Screening Call. No response. Marked discontinued/orange. Hetal reached out to Sarah regarding an LEF position on 4/13/21 and Sarah  responded immediately; Soneya's emails must be going to spam. (HJ, 4/16/21) Soneya Uddin reached out multiple times by email and received no response. (late winter to early spring '21)</t>
  </si>
  <si>
    <t>262 Quincy Street, #3 Brooklyn NY 11216</t>
  </si>
  <si>
    <t>Mental Hygiene Legal Service</t>
  </si>
  <si>
    <t>Sujatha</t>
  </si>
  <si>
    <t>Koduvayur</t>
  </si>
  <si>
    <t>847-345-4732</t>
  </si>
  <si>
    <t>kps80@hotmail.com</t>
  </si>
  <si>
    <t>1/20 CT call doesn't want to participate any longer in the program 12/30/21 SB sent IR2 FY21-22 schedule list for matching Jenny Hoefler conducted Sujatha's reference calls in Nov. 2018</t>
  </si>
  <si>
    <t>1859 Gramercy Pl</t>
  </si>
  <si>
    <t>Worcester Polytechnic Institute</t>
  </si>
  <si>
    <t>Hila</t>
  </si>
  <si>
    <t>Raen</t>
  </si>
  <si>
    <t>949-501-2296</t>
  </si>
  <si>
    <t>hraen1@gmail.com</t>
  </si>
  <si>
    <t>email 8/10/219 (not interested) HH HH email 8/5/21, HH voicemail/email 7/28/21</t>
  </si>
  <si>
    <t xml:space="preserve">Cognitive Care Solutions </t>
  </si>
  <si>
    <t>Yenory</t>
  </si>
  <si>
    <t>Pouncil</t>
  </si>
  <si>
    <t>718-679-6736</t>
  </si>
  <si>
    <t>yenoryg@gmail.com</t>
  </si>
  <si>
    <t>JPS emailed on 2/10/21 to see if yenory could be a champion for the IR2 20-21 session &amp;#43; schedule a screening. Followed up twice. A good match for 2 young women who need Spanish support -- education/empowerment work mostly (HJ, 2/10/21)</t>
  </si>
  <si>
    <t>St. Petersburg, Florida</t>
  </si>
  <si>
    <t>St. Petersburg, FL</t>
  </si>
  <si>
    <t>St. Petersburg</t>
  </si>
  <si>
    <t>Jessie</t>
  </si>
  <si>
    <t>801-400-8556</t>
  </si>
  <si>
    <t>jessicamedina777@gmail.com</t>
  </si>
  <si>
    <t>10/18/22 CT marked as abandoned (see notes below) 5/24/22 SB sent re-engagement email Screening email already sent. 2/12/21 SU. Sent a follow up to Jessie saying we know it been a while and if she is still interested in the position. Soneya Uddin left voicemail on 2/19/21. Left a voicemail 2/25/21. SU HJ emailed her on 3/1 -- discontinue if we don't hear back Jessie stated she will schedule a screening call. 3/22/2021. SU.Reached out on Linkedin on 4/21/21. JPS texted on 5/27/21 and Jessie said she was excited about the opportunity. Screening email already sent. 2/12/21 SU. S.U. sent a follow up to Jessie saying we know it's been a while since application -- we are reaching out because of our greater need. (2/12/21, HJ)</t>
  </si>
  <si>
    <t>505 W Broadway, apt 206, San Diego, CA 92101</t>
  </si>
  <si>
    <t>FEMX Quarters</t>
  </si>
  <si>
    <t>Lissette Guzman</t>
  </si>
  <si>
    <t>714-803-0040</t>
  </si>
  <si>
    <t>nutritionjessicag@gmail.com</t>
  </si>
  <si>
    <t>JPS called on 3/2/2021 to see if she wanted to move forward in the process because we had a match (HJ, 3/2/2021)</t>
  </si>
  <si>
    <t>215 S. Olive St. Anaheim CA 92805</t>
  </si>
  <si>
    <t>Anaheim</t>
  </si>
  <si>
    <t>Nyla</t>
  </si>
  <si>
    <t>nylatkhan@gmail.com</t>
  </si>
  <si>
    <t>1/17/22 busy and unresponsive, SB mark as discontinued orange 01/05/22 CT sent follow up email for matching 12/30/21 SB sent IR2 FY21-22 schedule list for matching Hetal made her inactive on 2/19/21 because Nyla is busy with her own venture -- missing screening form but she did got through all onboarding and she is a green. If she becomes less busy in the future, can make her active. (HJ, 2/19/21) Works in access to education and non-profit funding. </t>
  </si>
  <si>
    <t>NYU Steinhardt Edtech Incubator and Accelerator</t>
  </si>
  <si>
    <t>Kaya</t>
  </si>
  <si>
    <t>Rachel Schmandt</t>
  </si>
  <si>
    <t>kaya.schmandt@gmail.com</t>
  </si>
  <si>
    <t>Kaya no longer wishes to continue with the program. 8/31/21 SB Reached out to Kaya for 2020-2021 R2 but she said she was unavailable</t>
  </si>
  <si>
    <t>15 Leland St #3, Jamaica Plain MA 02130</t>
  </si>
  <si>
    <t xml:space="preserve">Boston, Massachusetts </t>
  </si>
  <si>
    <t>Doctoral Student at William James College / Psychology Intern at Arlington Youth Counseling Center</t>
  </si>
  <si>
    <t>Yvette</t>
  </si>
  <si>
    <t>Rosario-Perez</t>
  </si>
  <si>
    <t>yvette@inspireacademyms.com</t>
  </si>
  <si>
    <t>5/24/22 SB sent re-engagement email JPS sent follow-up emails on 5/27/21 and 6/3/21 JPS called on 5/26/21. Yvette was at work and could not talk, so JPS sent follow up email. Yvette and Hetal Jani connected in 2017 when Yvette was founding her school; she wanted SPEAK to be one of her school offered programs; and was interested in mentoring at the time -- she was too swamped to follow through. (December, 2020, HJ) Non-responsive</t>
  </si>
  <si>
    <t>582 Pelham RdUnit B</t>
  </si>
  <si>
    <t>New Rochelle</t>
  </si>
  <si>
    <t>Inspire Academy Middle School (has not opened yet)</t>
  </si>
  <si>
    <t>Danita</t>
  </si>
  <si>
    <t>Yvette Knox</t>
  </si>
  <si>
    <t>(909)730-2645</t>
  </si>
  <si>
    <t>stevieray50@att.net</t>
  </si>
  <si>
    <t>10/18/22 CT marked as abandoned (see notes below) 5/24/22 SB sent re-engagement email no show to screening</t>
  </si>
  <si>
    <t>711 Flora St.  Barstow Ca., 92311</t>
  </si>
  <si>
    <t>Barstow</t>
  </si>
  <si>
    <t>unemployed/student</t>
  </si>
  <si>
    <t>Alexis</t>
  </si>
  <si>
    <t>Victoria Murshed</t>
  </si>
  <si>
    <t>415-577-5253</t>
  </si>
  <si>
    <t>politicalrn@me.com</t>
  </si>
  <si>
    <t>10/18/22 CT marked as abandoned (see notes below) 5/24/22 SB sent re-engagement email Hetal called and left a voice message 1/21/22 to reengage JPS emailed 2/22/21 and 4/21/21. Alexis responded on 4/21/21 and said, &amp;#34;Thank you for reaching out. My schedule has recently changed and I will not be able to participate at this time. Thank you for checking. Have a good day.&amp;#34; Not available - not screened</t>
  </si>
  <si>
    <t>3400 Stevenson Blvd. Unit N28; Fremont, CA 94538</t>
  </si>
  <si>
    <t>Stanford Healthcare</t>
  </si>
  <si>
    <t>Ana</t>
  </si>
  <si>
    <t>Del Campo</t>
  </si>
  <si>
    <t>201 913 1541</t>
  </si>
  <si>
    <t>platanin2003@yahoo.com</t>
  </si>
  <si>
    <t>10/18/22 CT marked as abandoned (see notes below) 5/24/22 SB sent re-engagement email Unresponsive - marked discontinued/orange. Needs to screen if re-engaged. JPS 8/9/21 HH email 8/5/21, HH voicemail/email 7/28/21, HH voicemail/text 7/20/21, Scotney sent screening call email on 7/19/2018 and followed up on 7/23/18. Ana responded 7/24/18 saying she will check her calendar. Scotney followed up on 8/3/18. Ana never responded. Scotney asked for resume on 7/8/2018 and followed up again on 7/18/2018. Ana sent resume on 7/19/21. </t>
  </si>
  <si>
    <t>62 Essex Avenue</t>
  </si>
  <si>
    <t>iCorps Technologies</t>
  </si>
  <si>
    <t>Suzanne</t>
  </si>
  <si>
    <t>Gleason</t>
  </si>
  <si>
    <t>610-952-0529</t>
  </si>
  <si>
    <t>sgleason@gesnetwork.com</t>
  </si>
  <si>
    <t>10/18/22 CT marked as abandoned (see notes from SU 3/12/21) 5/24/22 SB sent re-engagement email Sent scheduling a screening email 3/2/21. SU.Left a voicemail. 3/6/21. SU. Hetal sent a screening email 03/04/21 Soneya send a follow up - screening email 3/9/21. left a voicemail for screening call 3/12/21. SU. Suzanne has pick up the phone call and said she isnt interested in becoming a mentor at the moment. 3/16/2021. SU. Not available at this time </t>
  </si>
  <si>
    <t>7101 Woodview Way, Malvern, PA  19355</t>
  </si>
  <si>
    <t>Global Employment Solutions</t>
  </si>
  <si>
    <t>Dafne Aurora</t>
  </si>
  <si>
    <t>Arzate Martinez</t>
  </si>
  <si>
    <t>dafnearzate@gmail.com</t>
  </si>
  <si>
    <t>Soneya U. tried emailing 3 times from March 2021 and heard nothing. Phone number also discontinued. Hetal discontinuing on March 19th, 2021. non-responsive</t>
  </si>
  <si>
    <t>California, moving to London, UK in August but willing to e-meet with mentees in the East Coast</t>
  </si>
  <si>
    <t>Rine</t>
  </si>
  <si>
    <t>(209) 623-8161</t>
  </si>
  <si>
    <t>julia.rine16@gmail.com</t>
  </si>
  <si>
    <t>Unresponsive - marked discontinued 8/9/21. Needs to screen if re-engaged. HH email 8/5/21, HH voicemail/email 7/28/21, HH voicemail/text 7/20/21, Non-responsive. Tried to schedule a Screening Call between Scotney and Julia in June 2018, but two of the suggested times did not work for Julia. After that, Scotney reached out 4 more times between June 20, 2018 and July 18, 2018, but Julia never responded again. </t>
  </si>
  <si>
    <t>6037 Market St, Oakland CA 94608</t>
  </si>
  <si>
    <t xml:space="preserve">Propeller </t>
  </si>
  <si>
    <t>Editha Zafra</t>
  </si>
  <si>
    <t>mariaedithazafra@gmail.com</t>
  </si>
  <si>
    <t>10/18/22 CT marked as abandoned Not available at this time - not yet screened</t>
  </si>
  <si>
    <t>557 Martinique Dr, Redwood City, CA 94065</t>
  </si>
  <si>
    <t>Redwood CIty</t>
  </si>
  <si>
    <t>Walgreens</t>
  </si>
  <si>
    <t>Korrie</t>
  </si>
  <si>
    <t>Christine Tucker</t>
  </si>
  <si>
    <t>315-280-4581</t>
  </si>
  <si>
    <t>korrie26@gmail.com</t>
  </si>
  <si>
    <t>not responsive, doesn't meet requirements</t>
  </si>
  <si>
    <t>303 Park st Sherrill MY 13461</t>
  </si>
  <si>
    <t>Sherrill</t>
  </si>
  <si>
    <t>Spirit Halloween</t>
  </si>
  <si>
    <t>Ladan</t>
  </si>
  <si>
    <t>Nasser Miremadi</t>
  </si>
  <si>
    <t>ladan.miremadi@gmail.com</t>
  </si>
  <si>
    <t>Unsubscribed from newsletter 11/16/21 (HJ) SB Ladan asked to be discontinued via email on 11/1/21 : &amp;#34; Sorry, this will be my fourth email to the company stating I?m not able or interested. I would appreciate being taken off your email list immediately. Thank you.&amp;#34; SB sent outreach email 10/12/21 HH email 8/5/21, HH voicemail/email 7/28/21, HH voicemail/text 7/20/21 JPS called and left voicemail June 2021 Not available at this time - not yet screened</t>
  </si>
  <si>
    <t>237 Carlisle Rd, Bedford, MA 01730</t>
  </si>
  <si>
    <t>Bedford</t>
  </si>
  <si>
    <t>Thom Child and Family Services</t>
  </si>
  <si>
    <t>Judith</t>
  </si>
  <si>
    <t>Socarras</t>
  </si>
  <si>
    <t>718-208-7230</t>
  </si>
  <si>
    <t>judisocarras@gmail.com</t>
  </si>
  <si>
    <t>HH email 8/5/21, HH voicemail/email 7/28/21, HH voicemail/text 7/20/21, JPS emailed 6/2/21 Double checked on 1/26 KW</t>
  </si>
  <si>
    <t>750 Ocean Ave Apt 2D Brooklyn NY 11226</t>
  </si>
  <si>
    <t>Counseling In the Schools</t>
  </si>
  <si>
    <t>Khorana</t>
  </si>
  <si>
    <t>nkhorana@gmail.com</t>
  </si>
  <si>
    <t>Has not responded to any outreach and unsubscribed from newsletter in May 2021 - discontinued Double checked 1/26 KW Neha has not responded to potential match emails for R2 2020-2021 Neha unsubscribed from newsletter December 2020 (HJ)</t>
  </si>
  <si>
    <t>5304 Haddon Place, McDonough, GA 30253</t>
  </si>
  <si>
    <t>McDonough</t>
  </si>
  <si>
    <t>Mercer University School of Medicine</t>
  </si>
  <si>
    <t>Karyn Jean Jacques</t>
  </si>
  <si>
    <t>Ann Hopkins</t>
  </si>
  <si>
    <t>hoffhop@gmail.com</t>
  </si>
  <si>
    <t>5/24/22 SB sent re-engagement email Double checked 1/26 (KW) Unsubscribed from newsletter December 2020 Not interested since 2018</t>
  </si>
  <si>
    <t>1616 Beverley Road, Apt 4E, Brooklyn NY 11226</t>
  </si>
  <si>
    <t>AKRF</t>
  </si>
  <si>
    <t>Florencia</t>
  </si>
  <si>
    <t>Victoria Lechin</t>
  </si>
  <si>
    <t>+971527595266</t>
  </si>
  <si>
    <t>florencialechin@gmail.com</t>
  </si>
  <si>
    <t>Unsubscribed &amp;amp; unresponsive - discontinued 8/9/21 HH email 8/5/21, HH email 7/28/2021, THERE IS NO PHONE NUMBER ON FILE. JPS sent email 3/2/21. JPS sent email 4/21/21. unsubscribed from SPEAK Newsletter on December 2, 2020</t>
  </si>
  <si>
    <t>290 East Main Street, Apt. 117</t>
  </si>
  <si>
    <t>Z7 Communications</t>
  </si>
  <si>
    <t>Melisa</t>
  </si>
  <si>
    <t>Bedoya</t>
  </si>
  <si>
    <t>melisabedoyam@gmail.com</t>
  </si>
  <si>
    <t>1/18/22 SB marked as discontinued orange, unresponsive for 2 years 01/05/22 CT sent follow up email for matching 12/30/21 SB sent IR2 FY21-22 schedule list for matching Hetal called on March 19, 2020 but the number wasn't working; said all circuits are busy</t>
  </si>
  <si>
    <t>230 E 87th ST Apt 2D</t>
  </si>
  <si>
    <t>Brittany</t>
  </si>
  <si>
    <t>Delores White</t>
  </si>
  <si>
    <t>brittanydelores.white@gmail.com</t>
  </si>
  <si>
    <t>Brittany is no longer interested (HJ, Feb 2021) Unsubscribed from our newsletter March 2020</t>
  </si>
  <si>
    <t>315 W 232nd Street Apt 6J</t>
  </si>
  <si>
    <t>City Year</t>
  </si>
  <si>
    <t>Anel</t>
  </si>
  <si>
    <t>Guel</t>
  </si>
  <si>
    <t>(915) 383-0293</t>
  </si>
  <si>
    <t>anelguel@gmail.com</t>
  </si>
  <si>
    <t>HH called no longer interested 7/20/2021. If she reaches back out - still needs to go through screening. JPS sent an outreach email on 6/2/21 Norrell spoke with Anel 05/18. She never finished application process. She is busy starting a Cannabis venture and will not be able to mentor. I offered to check back with her in six months (January 2021) and she said that would be good.</t>
  </si>
  <si>
    <t>1424 Tamarack Ave NW, Grand Rapids, MI 49504</t>
  </si>
  <si>
    <t>Grand Rapids</t>
  </si>
  <si>
    <t>Mallowfields</t>
  </si>
  <si>
    <t>Elyssa Aines</t>
  </si>
  <si>
    <t>781-801-4273</t>
  </si>
  <si>
    <t>seaines@gmail.com</t>
  </si>
  <si>
    <t>5/22/22 SB sent re-engagement email Discontinued - haven't heard from Stephanie and is otherwise engaged with other volunteer opportunities / community projects</t>
  </si>
  <si>
    <t>231 North Beacon St, Watertown, MA 02472</t>
  </si>
  <si>
    <t>Watertown</t>
  </si>
  <si>
    <t>Lown Institute</t>
  </si>
  <si>
    <t>Chevon</t>
  </si>
  <si>
    <t>Drew</t>
  </si>
  <si>
    <t>Chevon51@gmail.com</t>
  </si>
  <si>
    <t>5/22/22 SB sent re-engagement email Double checked on 1/26 KW Chevon said she could no longer serve as a mentor in early 2019 ~Hetal (10/7/2020)</t>
  </si>
  <si>
    <t>32 Broadway, New York, NY 10004</t>
  </si>
  <si>
    <t>Percolate</t>
  </si>
  <si>
    <t>Nwamaka</t>
  </si>
  <si>
    <t>Genevieve Ejebe</t>
  </si>
  <si>
    <t>nwamaka.ejebe@gmail.com</t>
  </si>
  <si>
    <t>9/15/22 Doesn't want to continue as Champion anymore. CT asked in reference email. Marked her as discontinued. CT Reached out to Nwamaka for a match FY21-22 IR1 but she replied by text saying she has 2 kids under 2 and can't help out right now . (HJ 10/29/21) 12/30/21 SB sent IR2 FY21-22 schedule list for matching Nwamaka replied to the previous email saying she &amp;#34;may be available next year&amp;#34; (2021-2022 program) Nwamaka replied on 2/12/21 saying &amp;#34;Sorry, I am not available. Good luck!&amp;#34; JPS responded by asking for more details about her availability (ex: Any availability this round? Round Three?) JPS emailed on 2/9/2021 to check Nwamaka's matching availability &amp;#43; sent refresher document Double checked on 1/26 KW</t>
  </si>
  <si>
    <t>Residence Les BungalowsDerrière le Casino Cap-VertRoute de l'hôtel de NgorDakar, Senegal</t>
  </si>
  <si>
    <t>NYC Law Department</t>
  </si>
  <si>
    <t>Jada Jones</t>
  </si>
  <si>
    <t>Anitha</t>
  </si>
  <si>
    <t>405-657-6483</t>
  </si>
  <si>
    <t>anitha717@gmail.com</t>
  </si>
  <si>
    <t>Double checked 1/26 (KW) Anitha responded to Jennifer Peterson-Sharma's re-engagement email by asking to be &amp;#34;taken off the list.&amp;#34; Hetal Jani contact Anitha November 16, 2020 to ask about a mentoring match but she wasn't available at the scheduled time. Norrell contacted on 05/04 ; she is not available. </t>
  </si>
  <si>
    <t>Evergreen School</t>
  </si>
  <si>
    <t>Teresa</t>
  </si>
  <si>
    <t>Antoinette Meier</t>
  </si>
  <si>
    <t>971-271-2219</t>
  </si>
  <si>
    <t>tmeier@teresameier.com</t>
  </si>
  <si>
    <t>Hetal discontinued this person -- she had applied long ago and wasn't really actively responding to post-app requests (HJ, 6/2/2021) Double checked 1/26 (KW)</t>
  </si>
  <si>
    <t>4629 SE Rockwood St Milwaukie, OR 97222</t>
  </si>
  <si>
    <t>Milwaukie</t>
  </si>
  <si>
    <t>Nahid</t>
  </si>
  <si>
    <t>Abazarnejad</t>
  </si>
  <si>
    <t>nahidabazarnjad@gmail.com</t>
  </si>
  <si>
    <t>HJ marked as discontinued on November 23, 2021 JPS sent an outreach email on 6/2/21 Double checked 1/26 (KW)</t>
  </si>
  <si>
    <t>56 Parkgate dr. Atlanta, GA 30328</t>
  </si>
  <si>
    <t>Kanoon</t>
  </si>
  <si>
    <t>Schiralli</t>
  </si>
  <si>
    <t>516-673-5370</t>
  </si>
  <si>
    <t>ans270@mail.harvard.edu</t>
  </si>
  <si>
    <t>7/15/22 Andrea responded to our email (let her know that we were passing on her application at this time) with &amp;#34;Good luck finding someone who will be as direct with students! :)&amp;#34; - further showing that she is too unprofessional and rude to work with Interns. 7/15 LG sent email - failed screening  7/11 LG and SB completed screening, marked RED (see screening notes) - Andrea had 2 screenings prior (we believe) and failed both - causing the creation of red, yellow, green statuses 7/5 SB sent follow up email to Andrea for screening Andrea scheduled screening but got confused about the time so she said she would reschedule 5/24/22 SB sent re-engagement email Doubled Checked 1/19 (KW) unsubscribed from SPEAK newsletter on December 2nd, 2020</t>
  </si>
  <si>
    <t>16 Suncrest Drive, Dix Hills</t>
  </si>
  <si>
    <t>NYC/Long Island (back and forth!)</t>
  </si>
  <si>
    <t>Dix Hills</t>
  </si>
  <si>
    <t xml:space="preserve">Self </t>
  </si>
  <si>
    <t>Malik (D)</t>
  </si>
  <si>
    <t>5/10/24 - Emailed re social media content for mothers day - AT 3/8/24 WW emailed for IR3 2/28/23 agreed to IR2 match SB 2/27/23 SB contacted to see if she could step in as a replacement CPC for IR2 11/1/22 SB asked for IR1 7/14/22 SB contacted for IRS 3/21/22 Not available for IR3 CT 02/03/22 Completed CPC Orientation &amp;amp; Onboarding Training CT 1/24/22 Sent CPC Training email CT Hetal screened Saima on 1/21/22</t>
  </si>
  <si>
    <r>
      <rPr>
        <color rgb="FF1155CC"/>
        <sz val="10.0"/>
        <u/>
      </rPr>
      <t>Valentina Abreu</t>
    </r>
    <r>
      <rPr>
        <sz val="10.0"/>
      </rPr>
      <t xml:space="preserve">, </t>
    </r>
    <r>
      <rPr>
        <color rgb="FF1155CC"/>
        <sz val="10.0"/>
        <u/>
      </rPr>
      <t>Alexa Veloz Balbuena</t>
    </r>
    <r>
      <rPr>
        <sz val="10.0"/>
      </rPr>
      <t xml:space="preserve">, </t>
    </r>
    <r>
      <rPr>
        <color rgb="FF1155CC"/>
        <sz val="10.0"/>
        <u/>
      </rPr>
      <t>Fatou Diedhiou</t>
    </r>
    <r>
      <rPr>
        <sz val="10.0"/>
      </rPr>
      <t xml:space="preserve">, </t>
    </r>
    <r>
      <rPr>
        <color rgb="FF1155CC"/>
        <sz val="10.0"/>
        <u/>
      </rPr>
      <t>Razina Issoufou</t>
    </r>
    <r>
      <rPr>
        <sz val="10.0"/>
      </rPr>
      <t xml:space="preserve">, </t>
    </r>
    <r>
      <rPr>
        <color rgb="FF1155CC"/>
        <sz val="10.0"/>
        <u/>
      </rPr>
      <t>Nana Keita</t>
    </r>
    <r>
      <rPr>
        <sz val="10.0"/>
      </rPr>
      <t xml:space="preserve">, </t>
    </r>
    <r>
      <rPr>
        <color rgb="FF1155CC"/>
        <sz val="10.0"/>
        <u/>
      </rPr>
      <t>Joseph (Joe) Fisher</t>
    </r>
    <r>
      <rPr>
        <sz val="10.0"/>
      </rPr>
      <t xml:space="preserve">, </t>
    </r>
    <r>
      <rPr>
        <color rgb="FF1155CC"/>
        <sz val="10.0"/>
        <u/>
      </rPr>
      <t>Soulemane Lah</t>
    </r>
    <r>
      <rPr>
        <sz val="10.0"/>
      </rPr>
      <t xml:space="preserve">, </t>
    </r>
    <r>
      <rPr>
        <color rgb="FF1155CC"/>
        <sz val="10.0"/>
        <u/>
      </rPr>
      <t>Ina Hoxhaj</t>
    </r>
    <r>
      <rPr>
        <sz val="10.0"/>
      </rPr>
      <t xml:space="preserve">, </t>
    </r>
    <r>
      <rPr>
        <color rgb="FF1155CC"/>
        <sz val="10.0"/>
        <u/>
      </rPr>
      <t>Lady Calle</t>
    </r>
    <r>
      <rPr>
        <sz val="10.0"/>
      </rPr>
      <t xml:space="preserve">, </t>
    </r>
    <r>
      <rPr>
        <color rgb="FF1155CC"/>
        <sz val="10.0"/>
        <u/>
      </rPr>
      <t>Sanjida Fnu</t>
    </r>
    <r>
      <rPr>
        <sz val="10.0"/>
      </rPr>
      <t xml:space="preserve"> and </t>
    </r>
    <r>
      <rPr>
        <color rgb="FF1155CC"/>
        <sz val="10.0"/>
        <u/>
      </rPr>
      <t>Subham Saud</t>
    </r>
  </si>
  <si>
    <t>Teman (D)</t>
  </si>
  <si>
    <t>5/10/24 - AT emailed regarding social media content for mothers day 12/15/22 confirmed Ellis schedule for IR2 12/9/22 SB emailed for ellis match 11/21/22 Interested in IR2, prefers females because she thinks they show more engagement. CT 11/7/22 Unavailable for wheels 10/28/22 SB emailed for wheels 8/12/22 Interested in IR1 SB Needs STAR training - did not show up to last few sessions, communicated with Interns via text to reschedule and did not tell SPEAKHIRE 7/13/22 SB messaged for IRS match - unavailable but interested for IR1 3/21/22 Not available for IR3 CT 1/5/22 SB sent IR2 FY21-22 schedule list for matching She is dealing with some personal issues and can't be available until IR2 9/27/21 SB Doubled Checked 1/19 (KW)</t>
  </si>
  <si>
    <t>Maldonado-Bowling (D)</t>
  </si>
  <si>
    <t>3/1/24 WW emailed for IR3 12/14/22 Carmen agreed to Ellis match 12/13/22 SB sent follow up email for IR2 matching 12/8/22 SB emailed for Ellis match 10/27/22 Completed Orientation &amp;amp; Onboarding Training CT Scheduled training for 10/27/22 SB 10/19/22 SB followed up to schedule screening 10/12/22 passed screening with SB 10/11/22 SB sent screening email</t>
  </si>
  <si>
    <t>Louisville, Ky</t>
  </si>
  <si>
    <t>Louisville</t>
  </si>
  <si>
    <t>Healthlinx</t>
  </si>
  <si>
    <t>Shi (D)</t>
  </si>
  <si>
    <t>DUPLICATE PROFILE 1/17/23 confirmed Ellis schedule for IR2 SB 1/13/23 SB emailed for IR2 10/18/22 Sharon recently had a baby and cannot participate in IR1 or CCC (probs seminars too). But asked to be considered for programs after the new year. Follow up for IR2 in Jan 2023 or late December 2022. SB Updated job title to Commercialisation Manager Hetal updated Sharon's company from Twitter to Bonsai Sharon attended a training on 5/8/21 with JPS Sharon was screened by SU</t>
  </si>
  <si>
    <t>4601 Lawton Ln W</t>
  </si>
  <si>
    <t>Vijayanathan (D)</t>
  </si>
  <si>
    <t>Board member 10/11/22  available for IR1, Mondays 3:00 - 3:45 pm EST CT Only had one round (FY 21-22 IR3) with good interns. Open to working with any group completed training with SB on 4/8/22 3/28/22 Screening passed, sent Congrats email &amp;amp; training invite. CT 3/19 SB sent screening scheduling email</t>
  </si>
  <si>
    <t>Daniel</t>
  </si>
  <si>
    <t>jungtaelee0128@gmail.com</t>
  </si>
  <si>
    <t>IHSUnionSquare, BUSHWICKCHS, WheelsNYC, CypressHills</t>
  </si>
  <si>
    <t>George (D)</t>
  </si>
  <si>
    <t>02/03/22 Completed CPC Orientation &amp;amp; Onboarding Training CT 01/26/22 Screening Call passed, sent out CPC training email &amp;amp; invite CT 1/17/22 SB sent screening scheduling email</t>
  </si>
  <si>
    <t>Majumdar (D)</t>
  </si>
  <si>
    <t>debaleena.majumdar@umassglobal.edu</t>
  </si>
  <si>
    <t>7/8/22 Debaleena emailed to let us know that she is moving to a new school at her university and will be too busy with program development for being a Champion in the fall. She said she should be available in spring 2023. Hetal responded to ask if her email will change. 02/03/22 Completed CPC Orientation &amp;amp; Onboarding Training CT 1/17/22 SB sent screening scheduling email</t>
  </si>
  <si>
    <t>Krishna (D)</t>
  </si>
  <si>
    <t>Completed Onboarding and Orientation Webinar 1/28/22 SB 01/25/22 Screening passed CT 01/24/22 Sent Screening Call &amp;amp; CPC Training email CT</t>
  </si>
  <si>
    <r>
      <rPr>
        <color rgb="FF1155CC"/>
        <sz val="10.0"/>
        <u/>
      </rPr>
      <t>Francis Calderon</t>
    </r>
    <r>
      <rPr>
        <sz val="10.0"/>
      </rPr>
      <t xml:space="preserve">, </t>
    </r>
    <r>
      <rPr>
        <color rgb="FF1155CC"/>
        <sz val="10.0"/>
        <u/>
      </rPr>
      <t>Fabiana Justiniano</t>
    </r>
    <r>
      <rPr>
        <sz val="10.0"/>
      </rPr>
      <t xml:space="preserve">, </t>
    </r>
    <r>
      <rPr>
        <color rgb="FF1155CC"/>
        <sz val="10.0"/>
        <u/>
      </rPr>
      <t>Zihan Zhang</t>
    </r>
    <r>
      <rPr>
        <sz val="10.0"/>
      </rPr>
      <t xml:space="preserve">, </t>
    </r>
    <r>
      <rPr>
        <color rgb="FF1155CC"/>
        <sz val="10.0"/>
        <u/>
      </rPr>
      <t>Ziyi Lin</t>
    </r>
    <r>
      <rPr>
        <sz val="10.0"/>
      </rPr>
      <t xml:space="preserve">, </t>
    </r>
    <r>
      <rPr>
        <color rgb="FF1155CC"/>
        <sz val="10.0"/>
        <u/>
      </rPr>
      <t>Ismatu Barry</t>
    </r>
    <r>
      <rPr>
        <sz val="10.0"/>
      </rPr>
      <t xml:space="preserve">, </t>
    </r>
    <r>
      <rPr>
        <color rgb="FF1155CC"/>
        <sz val="10.0"/>
        <u/>
      </rPr>
      <t>Gabriela Pena</t>
    </r>
    <r>
      <rPr>
        <sz val="10.0"/>
      </rPr>
      <t xml:space="preserve">, </t>
    </r>
    <r>
      <rPr>
        <color rgb="FF1155CC"/>
        <sz val="10.0"/>
        <u/>
      </rPr>
      <t>Karla Arriola</t>
    </r>
    <r>
      <rPr>
        <sz val="10.0"/>
      </rPr>
      <t xml:space="preserve">, </t>
    </r>
    <r>
      <rPr>
        <color rgb="FF1155CC"/>
        <sz val="10.0"/>
        <u/>
      </rPr>
      <t>Johalyn Perez</t>
    </r>
    <r>
      <rPr>
        <sz val="10.0"/>
      </rPr>
      <t xml:space="preserve">, </t>
    </r>
    <r>
      <rPr>
        <color rgb="FF1155CC"/>
        <sz val="10.0"/>
        <u/>
      </rPr>
      <t>Matthew Vargas</t>
    </r>
    <r>
      <rPr>
        <sz val="10.0"/>
      </rPr>
      <t xml:space="preserve">, </t>
    </r>
    <r>
      <rPr>
        <color rgb="FF1155CC"/>
        <sz val="10.0"/>
        <u/>
      </rPr>
      <t>Heiscelys Campusano</t>
    </r>
    <r>
      <rPr>
        <sz val="10.0"/>
      </rPr>
      <t xml:space="preserve">, </t>
    </r>
    <r>
      <rPr>
        <color rgb="FF1155CC"/>
        <sz val="10.0"/>
        <u/>
      </rPr>
      <t>Rowena Otero</t>
    </r>
    <r>
      <rPr>
        <sz val="10.0"/>
      </rPr>
      <t xml:space="preserve">, </t>
    </r>
    <r>
      <rPr>
        <color rgb="FF1155CC"/>
        <sz val="10.0"/>
        <u/>
      </rPr>
      <t>Shanick De Leon</t>
    </r>
    <r>
      <rPr>
        <sz val="10.0"/>
      </rPr>
      <t xml:space="preserve">, </t>
    </r>
    <r>
      <rPr>
        <color rgb="FF1155CC"/>
        <sz val="10.0"/>
        <u/>
      </rPr>
      <t>Anais Martinez</t>
    </r>
    <r>
      <rPr>
        <sz val="10.0"/>
      </rPr>
      <t xml:space="preserve">, </t>
    </r>
    <r>
      <rPr>
        <color rgb="FF1155CC"/>
        <sz val="10.0"/>
        <u/>
      </rPr>
      <t>Israel Martinez</t>
    </r>
    <r>
      <rPr>
        <sz val="10.0"/>
      </rPr>
      <t xml:space="preserve">, </t>
    </r>
    <r>
      <rPr>
        <color rgb="FF1155CC"/>
        <sz val="10.0"/>
        <u/>
      </rPr>
      <t>Kimberly Paulino</t>
    </r>
    <r>
      <rPr>
        <sz val="10.0"/>
      </rPr>
      <t xml:space="preserve">, </t>
    </r>
    <r>
      <rPr>
        <color rgb="FF1155CC"/>
        <sz val="10.0"/>
        <u/>
      </rPr>
      <t>Alejandra Minan Rodriguez</t>
    </r>
    <r>
      <rPr>
        <sz val="10.0"/>
      </rPr>
      <t xml:space="preserve">, </t>
    </r>
    <r>
      <rPr>
        <color rgb="FF1155CC"/>
        <sz val="10.0"/>
        <u/>
      </rPr>
      <t>Mayra Poma</t>
    </r>
    <r>
      <rPr>
        <sz val="10.0"/>
      </rPr>
      <t xml:space="preserve"> and </t>
    </r>
    <r>
      <rPr>
        <color rgb="FF1155CC"/>
        <sz val="10.0"/>
        <u/>
      </rPr>
      <t>Erick Cuzco Cualchi</t>
    </r>
  </si>
  <si>
    <t>Komatani (D)</t>
  </si>
  <si>
    <t>11/21/23 Update phone number from 6192528179 to 650-427-0822 SB Hetal updated Natsumi's email as per her request on 1/3/22 (old email: natsumi.komatani@gmail.com) 12/22/21 SB sent IR2 FY21-22 schedule list for matching 12/14/21 SB sent Natsumi an email and text 12/13/21 SB called Natsumi - phone not currently accepting calls. Text sent. Natsumi attended a training webinar on 3/28/21 with JPS Natsumi attended a Screening Call on 3/3/21 with JPS This email did not work so Hetal added a new email off her resume: n.komatani@gmail.com (HJ, 2/20/21) Double checked 1/26 (KW)</t>
  </si>
  <si>
    <t>Figueroa Gallardo (D)</t>
  </si>
  <si>
    <t xml:space="preserve"> (52) 998-136-186</t>
  </si>
  <si>
    <t>3/1/24 WW emailed for IR3 Currently in Mexico (1/19/22, HJ) 12/22/21 SB sent IR2 FY21-22 schedule list for matching Jannet updated her email and her number and said to contact her on whatsapp (this is her other number provided (512) 216-4973); she also wants to share with others in Mexico (11/8/21) Hetal reached her on Instagram 11/4/21 -- she provided her updated email address; this one is old jannetf@hotmail.com JPS sent an outreach email on 3/5/21 Hetal called on 3/26/2020 to see about mentoring during COVID-19 but couldn't get through. Sent email to see reach out. </t>
  </si>
  <si>
    <t>South Abington Township</t>
  </si>
  <si>
    <t>Esteban</t>
  </si>
  <si>
    <t>Proaño</t>
  </si>
  <si>
    <t>esenciahumana.proano@gmail.com</t>
  </si>
  <si>
    <t>1/10/24 SB emailed for IR2 Crotona 8/10/23 - 101 hours of service [true hours &amp;#61; 96] (4 IR*18 hours) &amp;#43; (4 Seminars * 4 hours) &amp;#43; (1 Pathways * 5) &amp;#43; (1 CCC host *1.5) - recognized/awarded at 8/23 Soiree Led CCC 5/18/23 4/4/23 confirmed availability for IR3 3/30/23 SB sent email for IR3 availability 3/2/23 CT sent email asking to be Seminar Speaker for IHS Union Square 11/3/22 SB emailed for wheels match- confirmed group 7/9/22 SB emailed for IRS match 3/21/22 Joined CPC Training as refresher CT Completed Onboarding and Orientation Webinar 1/28/22 SB 1/6/22 SB sent welcome email with trainings, asking to share,  schedules for IR2 Hetal scheduled him for a Seminar support meeting and ended up screening as well on January 5th 2022 </t>
  </si>
  <si>
    <t>Esencia Humana</t>
  </si>
  <si>
    <t>Seminars 23, Seminars 22, FY 21 - 22, FY 22 - 23, FY 23 - 24</t>
  </si>
  <si>
    <r>
      <rPr>
        <color rgb="FF1155CC"/>
        <sz val="10.0"/>
        <u/>
      </rPr>
      <t>Angelica Reynoso</t>
    </r>
    <r>
      <rPr>
        <sz val="10.0"/>
      </rPr>
      <t xml:space="preserve">, </t>
    </r>
    <r>
      <rPr>
        <color rgb="FF1155CC"/>
        <sz val="10.0"/>
        <u/>
      </rPr>
      <t>Omairi Cruz Tejada</t>
    </r>
    <r>
      <rPr>
        <sz val="10.0"/>
      </rPr>
      <t xml:space="preserve">, </t>
    </r>
    <r>
      <rPr>
        <color rgb="FF1155CC"/>
        <sz val="10.0"/>
        <u/>
      </rPr>
      <t>Luis Chicas</t>
    </r>
    <r>
      <rPr>
        <sz val="10.0"/>
      </rPr>
      <t xml:space="preserve">, </t>
    </r>
    <r>
      <rPr>
        <color rgb="FF1155CC"/>
        <sz val="10.0"/>
        <u/>
      </rPr>
      <t>Norvia Tavarez</t>
    </r>
    <r>
      <rPr>
        <sz val="10.0"/>
      </rPr>
      <t xml:space="preserve">, </t>
    </r>
    <r>
      <rPr>
        <color rgb="FF1155CC"/>
        <sz val="10.0"/>
        <u/>
      </rPr>
      <t>Katerin Vasquez</t>
    </r>
    <r>
      <rPr>
        <sz val="10.0"/>
      </rPr>
      <t xml:space="preserve">, </t>
    </r>
    <r>
      <rPr>
        <color rgb="FF1155CC"/>
        <sz val="10.0"/>
        <u/>
      </rPr>
      <t>Ana Almanzar</t>
    </r>
    <r>
      <rPr>
        <sz val="10.0"/>
      </rPr>
      <t xml:space="preserve">, </t>
    </r>
    <r>
      <rPr>
        <color rgb="FF1155CC"/>
        <sz val="10.0"/>
        <u/>
      </rPr>
      <t>Rohan Basavaraj</t>
    </r>
    <r>
      <rPr>
        <sz val="10.0"/>
      </rPr>
      <t xml:space="preserve">, </t>
    </r>
    <r>
      <rPr>
        <color rgb="FF1155CC"/>
        <sz val="10.0"/>
        <u/>
      </rPr>
      <t>Wilson Infante</t>
    </r>
    <r>
      <rPr>
        <sz val="10.0"/>
      </rPr>
      <t xml:space="preserve">, </t>
    </r>
    <r>
      <rPr>
        <color rgb="FF1155CC"/>
        <sz val="10.0"/>
        <u/>
      </rPr>
      <t>Daniel Ramirez</t>
    </r>
    <r>
      <rPr>
        <sz val="10.0"/>
      </rPr>
      <t xml:space="preserve">, </t>
    </r>
    <r>
      <rPr>
        <color rgb="FF1155CC"/>
        <sz val="10.0"/>
        <u/>
      </rPr>
      <t>Karilyne Suazo</t>
    </r>
    <r>
      <rPr>
        <sz val="10.0"/>
      </rPr>
      <t xml:space="preserve">, </t>
    </r>
    <r>
      <rPr>
        <color rgb="FF1155CC"/>
        <sz val="10.0"/>
        <u/>
      </rPr>
      <t>Julian Duarte</t>
    </r>
    <r>
      <rPr>
        <sz val="10.0"/>
      </rPr>
      <t xml:space="preserve">, </t>
    </r>
    <r>
      <rPr>
        <color rgb="FF1155CC"/>
        <sz val="10.0"/>
        <u/>
      </rPr>
      <t>Kenry Aldana</t>
    </r>
    <r>
      <rPr>
        <sz val="10.0"/>
      </rPr>
      <t xml:space="preserve">, </t>
    </r>
    <r>
      <rPr>
        <color rgb="FF1155CC"/>
        <sz val="10.0"/>
        <u/>
      </rPr>
      <t>Indira Yamileth Nunez Mateo</t>
    </r>
    <r>
      <rPr>
        <sz val="10.0"/>
      </rPr>
      <t xml:space="preserve">, </t>
    </r>
    <r>
      <rPr>
        <color rgb="FF1155CC"/>
        <sz val="10.0"/>
        <u/>
      </rPr>
      <t>Brenda Lara Mendoza</t>
    </r>
    <r>
      <rPr>
        <sz val="10.0"/>
      </rPr>
      <t xml:space="preserve">, </t>
    </r>
    <r>
      <rPr>
        <color rgb="FF1155CC"/>
        <sz val="10.0"/>
        <u/>
      </rPr>
      <t>Ruth Rodriguez</t>
    </r>
    <r>
      <rPr>
        <sz val="10.0"/>
      </rPr>
      <t xml:space="preserve">, </t>
    </r>
    <r>
      <rPr>
        <color rgb="FF1155CC"/>
        <sz val="10.0"/>
        <u/>
      </rPr>
      <t>Angel Guzman</t>
    </r>
    <r>
      <rPr>
        <sz val="10.0"/>
      </rPr>
      <t xml:space="preserve">, </t>
    </r>
    <r>
      <rPr>
        <color rgb="FF1155CC"/>
        <sz val="10.0"/>
        <u/>
      </rPr>
      <t>Josue Martinez</t>
    </r>
    <r>
      <rPr>
        <sz val="10.0"/>
      </rPr>
      <t xml:space="preserve">, </t>
    </r>
    <r>
      <rPr>
        <color rgb="FF1155CC"/>
        <sz val="10.0"/>
        <u/>
      </rPr>
      <t>Claudelys Gonzalez</t>
    </r>
    <r>
      <rPr>
        <sz val="10.0"/>
      </rPr>
      <t xml:space="preserve">, </t>
    </r>
    <r>
      <rPr>
        <color rgb="FF1155CC"/>
        <sz val="10.0"/>
        <u/>
      </rPr>
      <t>Miguel Angel Duarte Guiterrez</t>
    </r>
    <r>
      <rPr>
        <sz val="10.0"/>
      </rPr>
      <t xml:space="preserve"> and </t>
    </r>
    <r>
      <rPr>
        <color rgb="FF1155CC"/>
        <sz val="10.0"/>
        <u/>
      </rPr>
      <t>Jeremy Rodriguez</t>
    </r>
  </si>
  <si>
    <t>IHSUnionSquare, ICHSBronx, CrotonaIHS, WheelsNYC</t>
  </si>
  <si>
    <t>Hernandez (D)</t>
  </si>
  <si>
    <t>Loren attended a training on 6/15/21 with JPS Loren will attend a Champion Orientation &amp;amp; Onboarding webinar on 7/15/21 with JPS Loren was screened on 5/26/21 by JPS</t>
  </si>
  <si>
    <t>Cuevas Zambrano (D2)</t>
  </si>
  <si>
    <t>Griselda was screened by JPS on 7/30/21 - passed Griselda booked a screening call for 7/27/21 with JPS but did not show up to the call. JPS sent an email and tried to call Griselda's phone but she did not pick up &amp;amp; her voicemail box wasn't set up. Griselda responded to outreach on 7/21/21 and said, &amp;#34; Hi there! I will be moving to Zurich in 4 weeks. Can I still be part of this program?&amp;#34; We responded yes! HH called interested would like an email back 7/21 JPS sent outreach email from Champions@speakhire.org on 7/20/21 uploaded to Kintone but marked as inactive/yellow until screening complete</t>
  </si>
  <si>
    <t>Hsu (D)</t>
  </si>
  <si>
    <t>Completed onboarding and orientation webinar on 11/5/21 SB 10/27/21 SB sent congrats and training scheduling email 10/26/21 SB screening passed -  Prefers to be matched with someone with a similar background. 10/25/21 SB sent screening scheduling email</t>
  </si>
  <si>
    <t>Wang (D)</t>
  </si>
  <si>
    <t>12/20/21 completed onboarding training with SB and CT Hetal conducted her screening call after Ping replied saying she's available tomorrow 11/19/21 11/18/21 SB left Ping a voicemail and sent email Ping got in contact and was having a family health problem. Said she would schedule a screening and confirm match asap. 11/16/21 SB</t>
  </si>
  <si>
    <t>Mestres (D)</t>
  </si>
  <si>
    <t>Completed training on 12/1/21 with SB 11/24/21 congrats/training/match info email sent SB Passed screening 11/23/21 SB</t>
  </si>
  <si>
    <t>Parra</t>
  </si>
  <si>
    <t>Unreliable - will abandon Seminar or Session if job pops up, she's is sweet and passionate but inconsistent. 1/12/24 texted SB, &amp;#34;I'm available sometimes. I'd love to go ahead and take these coaching dates but don't want to cancel as my working schedule starts to fill up.&amp;#34; - still unreliable 1/10/24 SB emailed for IR2 Crotona 1/7/22 passed training SB Carolina mentioned she has not been receiving invite emails so add her work email as well to communications ( parrashoots@gmail.com ) Carolina passed screening 12/15/21 SB, congrats email sent Sent Screening Scheduling Email 12/06/21 CT</t>
  </si>
  <si>
    <r>
      <rPr>
        <color rgb="FF1155CC"/>
        <sz val="10.0"/>
        <u/>
      </rPr>
      <t>Anthony Mazariegos</t>
    </r>
    <r>
      <rPr>
        <sz val="10.0"/>
      </rPr>
      <t xml:space="preserve">, </t>
    </r>
    <r>
      <rPr>
        <color rgb="FF1155CC"/>
        <sz val="10.0"/>
        <u/>
      </rPr>
      <t>Alisha Ramos</t>
    </r>
    <r>
      <rPr>
        <sz val="10.0"/>
      </rPr>
      <t xml:space="preserve">, </t>
    </r>
    <r>
      <rPr>
        <color rgb="FF1155CC"/>
        <sz val="10.0"/>
        <u/>
      </rPr>
      <t>Crisffer Urena</t>
    </r>
    <r>
      <rPr>
        <sz val="10.0"/>
      </rPr>
      <t xml:space="preserve">, </t>
    </r>
    <r>
      <rPr>
        <color rgb="FF1155CC"/>
        <sz val="10.0"/>
        <u/>
      </rPr>
      <t>Oscar Pardo</t>
    </r>
    <r>
      <rPr>
        <sz val="10.0"/>
      </rPr>
      <t xml:space="preserve">, </t>
    </r>
    <r>
      <rPr>
        <color rgb="FF1155CC"/>
        <sz val="10.0"/>
        <u/>
      </rPr>
      <t>Elsa Pop</t>
    </r>
    <r>
      <rPr>
        <sz val="10.0"/>
      </rPr>
      <t xml:space="preserve">, </t>
    </r>
    <r>
      <rPr>
        <color rgb="FF1155CC"/>
        <sz val="10.0"/>
        <u/>
      </rPr>
      <t>Gema Alarcon</t>
    </r>
    <r>
      <rPr>
        <sz val="10.0"/>
      </rPr>
      <t xml:space="preserve">, </t>
    </r>
    <r>
      <rPr>
        <color rgb="FF1155CC"/>
        <sz val="10.0"/>
        <u/>
      </rPr>
      <t>Carlos Ramirez</t>
    </r>
    <r>
      <rPr>
        <sz val="10.0"/>
      </rPr>
      <t xml:space="preserve">, </t>
    </r>
    <r>
      <rPr>
        <color rgb="FF1155CC"/>
        <sz val="10.0"/>
        <u/>
      </rPr>
      <t>Homero Mendoza</t>
    </r>
    <r>
      <rPr>
        <sz val="10.0"/>
      </rPr>
      <t xml:space="preserve">, </t>
    </r>
    <r>
      <rPr>
        <color rgb="FF1155CC"/>
        <sz val="10.0"/>
        <u/>
      </rPr>
      <t>Claribel Escobar</t>
    </r>
    <r>
      <rPr>
        <sz val="10.0"/>
      </rPr>
      <t xml:space="preserve">, </t>
    </r>
    <r>
      <rPr>
        <color rgb="FF1155CC"/>
        <sz val="10.0"/>
        <u/>
      </rPr>
      <t>Kevin Portillo</t>
    </r>
    <r>
      <rPr>
        <sz val="10.0"/>
      </rPr>
      <t xml:space="preserve"> and </t>
    </r>
    <r>
      <rPr>
        <color rgb="FF1155CC"/>
        <sz val="10.0"/>
        <u/>
      </rPr>
      <t>Omairi Cruz Tejada</t>
    </r>
  </si>
  <si>
    <t>CrotonaIHS, NYC Mission - Bronx Community and Washington Irving YABC, FlushingIHS</t>
  </si>
  <si>
    <t>Johnson (D)</t>
  </si>
  <si>
    <t>Nico is active US Navy for the past 13 years Can be matched on Engineering and law enforcement / army Nico has basic Spanish (can understand at a minimum really) and told Hetal to take it off as a language. Can match on Spanish if the student puts 'Somewhat Comfortable' put shows higher proficiency and needs someone without the Spanish cruth. He can do Japanese (conversational) and ASL. (HJ, 10/20/21) Nico informed us on May 3rd, 2021 that he changed companies from Insight Global to Bravura (HJ) Nico attended a training on 2/26/21 with JPS JPS followed up on 2/20/21 &amp;#43; invited Nico to schedule a training Nico was screened on 2/19/21 by Malak Baker at 1 pm est Double checked 1/26 (KW)</t>
  </si>
  <si>
    <t>Panchalingam</t>
  </si>
  <si>
    <t>5/5/25 Hetal Emailed, she's in Nairobi, Kenya now -- works with USAID...will see funding cuts and may be somewhere else by December 2025 KW 1/17/24  WW emailed for sponsor session 8/1/22 Her job has become 70% of travelling &amp;amp; she's not able to commit to any rounds over the next school year. CT 6/29/22 Overseas until the first week of August. CT 5/3/22 Not available for Seminars in May. CT 3/8/22 Not available for IR3. CT 12/21/21 SB sent IR2 FY21-22 schedule list for matching Completed training on 12/1/21 with SB 11/30/21 SB sent congrats and training email 11/29/21 Jan passed screening SB 11/29/21 SB sent screening scheduling email</t>
  </si>
  <si>
    <r>
      <rPr>
        <color rgb="FF1155CC"/>
        <sz val="10.0"/>
        <u/>
      </rPr>
      <t>Tariana Garcia Encarnacion</t>
    </r>
    <r>
      <rPr>
        <sz val="10.0"/>
      </rPr>
      <t xml:space="preserve">, </t>
    </r>
    <r>
      <rPr>
        <color rgb="FF1155CC"/>
        <sz val="10.0"/>
        <u/>
      </rPr>
      <t>Emili Ordonez</t>
    </r>
    <r>
      <rPr>
        <sz val="10.0"/>
      </rPr>
      <t xml:space="preserve">, </t>
    </r>
    <r>
      <rPr>
        <color rgb="FF1155CC"/>
        <sz val="10.0"/>
        <u/>
      </rPr>
      <t>Jazling Garcia Garcia</t>
    </r>
    <r>
      <rPr>
        <sz val="10.0"/>
      </rPr>
      <t xml:space="preserve">, </t>
    </r>
    <r>
      <rPr>
        <color rgb="FF1155CC"/>
        <sz val="10.0"/>
        <u/>
      </rPr>
      <t>Melanny Pinzon</t>
    </r>
    <r>
      <rPr>
        <sz val="10.0"/>
      </rPr>
      <t xml:space="preserve">, </t>
    </r>
    <r>
      <rPr>
        <color rgb="FF1155CC"/>
        <sz val="10.0"/>
        <u/>
      </rPr>
      <t>Evelyn Guaman</t>
    </r>
    <r>
      <rPr>
        <sz val="10.0"/>
      </rPr>
      <t xml:space="preserve">, </t>
    </r>
    <r>
      <rPr>
        <color rgb="FF1155CC"/>
        <sz val="10.0"/>
        <u/>
      </rPr>
      <t>Yesica Fila</t>
    </r>
    <r>
      <rPr>
        <sz val="10.0"/>
      </rPr>
      <t xml:space="preserve">, </t>
    </r>
    <r>
      <rPr>
        <color rgb="FF1155CC"/>
        <sz val="10.0"/>
        <u/>
      </rPr>
      <t>Wendy Choc Coc</t>
    </r>
    <r>
      <rPr>
        <sz val="10.0"/>
      </rPr>
      <t xml:space="preserve"> and </t>
    </r>
    <r>
      <rPr>
        <color rgb="FF1155CC"/>
        <sz val="10.0"/>
        <u/>
      </rPr>
      <t>Marilyn Arroyo</t>
    </r>
  </si>
  <si>
    <t>IHSUnionSquare, CrotonaIHS, FlushingIHS</t>
  </si>
  <si>
    <t>SALCEDO (D)</t>
  </si>
  <si>
    <t>Completed training 11/12/21 SB Completed screening 11/9/21 SB Can be contacted via whats app Missed screening call on 9/22/21 - I think it was confusion from time zones. Sent rescheduling email SB Screening scheduling email sent 9/20/21 SB</t>
  </si>
  <si>
    <t>STOLTING ENTERPRISES</t>
  </si>
  <si>
    <t>Llontop (D)</t>
  </si>
  <si>
    <t>Completed training 11/12/21 SB 11/11/21 Sandra passed screening SB</t>
  </si>
  <si>
    <t>Lozano Giral (D)</t>
  </si>
  <si>
    <t>3/13/24 WW sent re-engagement email and about IR3 Completed training 11/12/21 SB Training scheduled for 11/12/21 SB Screening passed 11/8/21 SB.</t>
  </si>
  <si>
    <t>Cuevas Zambrano (D)</t>
  </si>
  <si>
    <t>Mawhirter (D)</t>
  </si>
  <si>
    <t>Given Abigail's hectic working schedule at the hospital, she watched the onboarding video in replacement of attending a webinar. Abigail was screened by SU on 3/23/21 Abigail responded 2/12/21 saying she was very interested in being matched but needs a heads up on the schedule because her working hours vary every week. JPS sent her the schedules to potentially match for IR3 20-21. JPS followed up on 2/10/21 email to see if abigail could be a champion for the IR2 20-21 session  JPS emailed on 2/10/2021 to schedule a screening call</t>
  </si>
  <si>
    <t>DIANA</t>
  </si>
  <si>
    <t>REÁTEGUI</t>
  </si>
  <si>
    <t>dianareateguivasquez@gmail.com</t>
  </si>
  <si>
    <t>9/26/22 SB emailed for training and wheel availability Might be available for IR1 depending on session time. CT 9/7/22 12/22/21 SB sent IR2 FY21-22 schedule list for matching 10/21 Due to job change unable to participate at this time. Asked to be reached out to again in a year Passed screening on 9/14/21 SB Screening call scheduled for 9/14/21 SB</t>
  </si>
  <si>
    <t>Lake Worth FL 33463</t>
  </si>
  <si>
    <t>Lake Worth</t>
  </si>
  <si>
    <t>Self employee</t>
  </si>
  <si>
    <t>Temowo (D)</t>
  </si>
  <si>
    <t>Joseph is an active duty military member Joseph attended a training session on 3/8/21 with JPS Joseph was screened on 2/15/21 by Malak Baker. JPS sent follow up email &amp;#43; invited Joseph to schedule a training JPS emailed on 2/7/2021 to schedule a Screening Call Double checked 1/26 (KW)</t>
  </si>
  <si>
    <t>Gill (D)</t>
  </si>
  <si>
    <t>Not available for IR1, fulltime mom and very busy at the moment. CT 8/17/22 JPS emailed on 1/5/2021 to check her engagement status, no response as of 1/14/2021. Followed up on 1/14/2021 Took a while when we contacted her in March 2020 about mentoring during COVID-19 but after getting clearance from DOE she can  Said she is only available in evenings - Feb 2019</t>
  </si>
  <si>
    <t>Boxman (D)</t>
  </si>
  <si>
    <t>sboxman@philasd.org</t>
  </si>
  <si>
    <t>Susan attended a CPC Training Webinar on 1/16/2021 with JPS at 11 am est Susan was screened on 1/2/2021 by Jennifer Peterson-Sharma at 8:30 am est. Jennifer emailed Susan on 9/29/2020 to set up a Screening Call.</t>
  </si>
  <si>
    <t>Dandy (D)</t>
  </si>
  <si>
    <t>7/5/22 LG reached out for IRS availability Lena is available for round one (11/2020) and is matched Lena was trained on 9/28/2020 at 7:30 pm EST by Jennifer Peterson-Sharma and Kiesha Charles. Hetal called on March 19, 2020. She's happy to help and share. Marked as Active. </t>
  </si>
  <si>
    <t>Seminars 23, Seminars 22, FY 21 - 22, FY 20 - 21</t>
  </si>
  <si>
    <r>
      <rPr>
        <color rgb="FF1155CC"/>
        <sz val="10.0"/>
        <u/>
      </rPr>
      <t>Maria Polanco</t>
    </r>
    <r>
      <rPr>
        <sz val="10.0"/>
      </rPr>
      <t xml:space="preserve">, </t>
    </r>
    <r>
      <rPr>
        <color rgb="FF1155CC"/>
        <sz val="10.0"/>
        <u/>
      </rPr>
      <t>Rassiel Munoz Gomez</t>
    </r>
    <r>
      <rPr>
        <sz val="10.0"/>
      </rPr>
      <t xml:space="preserve">, </t>
    </r>
    <r>
      <rPr>
        <color rgb="FF1155CC"/>
        <sz val="10.0"/>
        <u/>
      </rPr>
      <t>Mahmoud Ahmed</t>
    </r>
    <r>
      <rPr>
        <sz val="10.0"/>
      </rPr>
      <t xml:space="preserve">, </t>
    </r>
    <r>
      <rPr>
        <color rgb="FF1155CC"/>
        <sz val="10.0"/>
        <u/>
      </rPr>
      <t>Nayeli Cruz</t>
    </r>
    <r>
      <rPr>
        <sz val="10.0"/>
      </rPr>
      <t xml:space="preserve">, </t>
    </r>
    <r>
      <rPr>
        <color rgb="FF1155CC"/>
        <sz val="10.0"/>
        <u/>
      </rPr>
      <t>Oceanne Compaore</t>
    </r>
    <r>
      <rPr>
        <sz val="10.0"/>
      </rPr>
      <t xml:space="preserve">, </t>
    </r>
    <r>
      <rPr>
        <color rgb="FF1155CC"/>
        <sz val="10.0"/>
        <u/>
      </rPr>
      <t>Djaka Kante</t>
    </r>
    <r>
      <rPr>
        <sz val="10.0"/>
      </rPr>
      <t xml:space="preserve">, </t>
    </r>
    <r>
      <rPr>
        <color rgb="FF1155CC"/>
        <sz val="10.0"/>
        <u/>
      </rPr>
      <t>Fatoumata Diallo</t>
    </r>
    <r>
      <rPr>
        <sz val="10.0"/>
      </rPr>
      <t xml:space="preserve">, </t>
    </r>
    <r>
      <rPr>
        <color rgb="FF1155CC"/>
        <sz val="10.0"/>
        <u/>
      </rPr>
      <t>Wendy Ouedraogo</t>
    </r>
    <r>
      <rPr>
        <sz val="10.0"/>
      </rPr>
      <t xml:space="preserve">, </t>
    </r>
    <r>
      <rPr>
        <color rgb="FF1155CC"/>
        <sz val="10.0"/>
        <u/>
      </rPr>
      <t>Arwa Alhaj</t>
    </r>
    <r>
      <rPr>
        <sz val="10.0"/>
      </rPr>
      <t xml:space="preserve">, </t>
    </r>
    <r>
      <rPr>
        <color rgb="FF1155CC"/>
        <sz val="10.0"/>
        <u/>
      </rPr>
      <t>Noashin Sarker</t>
    </r>
    <r>
      <rPr>
        <sz val="10.0"/>
      </rPr>
      <t xml:space="preserve">, </t>
    </r>
    <r>
      <rPr>
        <color rgb="FF1155CC"/>
        <sz val="10.0"/>
        <u/>
      </rPr>
      <t>Mariama Diallo</t>
    </r>
    <r>
      <rPr>
        <sz val="10.0"/>
      </rPr>
      <t xml:space="preserve">, </t>
    </r>
    <r>
      <rPr>
        <color rgb="FF1155CC"/>
        <sz val="10.0"/>
        <u/>
      </rPr>
      <t>Abdurakhim Yunusov</t>
    </r>
    <r>
      <rPr>
        <sz val="10.0"/>
      </rPr>
      <t xml:space="preserve">, </t>
    </r>
    <r>
      <rPr>
        <color rgb="FF1155CC"/>
        <sz val="10.0"/>
        <u/>
      </rPr>
      <t>Aicha Doukoure</t>
    </r>
    <r>
      <rPr>
        <sz val="10.0"/>
      </rPr>
      <t xml:space="preserve"> and </t>
    </r>
    <r>
      <rPr>
        <color rgb="FF1155CC"/>
        <sz val="10.0"/>
        <u/>
      </rPr>
      <t>Safiatou Jalloh</t>
    </r>
  </si>
  <si>
    <t>BUSHWICKCHS, ICHSBronx, IHS Health, ELLIS, CrotonaIHS, NYC Mission - Emma Lazarus</t>
  </si>
  <si>
    <t>Maria José</t>
  </si>
  <si>
    <t>Montero Romero</t>
  </si>
  <si>
    <t>522223565272 (whatsapp</t>
  </si>
  <si>
    <t>maria.montero@orbis.org</t>
  </si>
  <si>
    <t>3/1/24 WW emailed for IR3 3/21/23 PT let SB know Maria responded about IR2 saying, &amp;#34;I just can?t sorry in the PMs I have my daughter and my partners two children without a nanny and in the mornings I have Orbis work and house stuff&amp;#34; 3/17/23 SB sent email about IR3 Wheels availability 1/11/23 PT sent whatsapp message (Hetal did not sent the original one) - not available 1/5/23 HJ to message on whatsapp about IR2 for SB 1/3/23 SB followed up about IR2 availability 12/20/22 SB followed up for IR2 matching - Maria responded that the Union Square time (Wed 2-2:45 pm est) is when she picks up her daughter from school so SB sent other schedules 12/16/22 SB emailed for union square match Not available for IR1 due to very busy work and life schedule. CT 08/16/2022 12/22/21 SB sent IR2 FY21-22 schedule list for matching Not available 12-4 Mexico TIme (1-5 EST) SB 10/11/21 Maria notified on 2/10/2021 that she cannot do another pair for the IR2 20-21 sessions JPS emailed on 2/9/2021 to see if Maria can take on a Claremont match for IR2 20-21 in addition to her first match. Maria was screened on 1/27/2021 by JPS at 9:30 pm ist JPS emailed on 1/23/21 to schedule a screening call </t>
  </si>
  <si>
    <t>Paseo Valencia 83, Parque de la Castellana, San Andrés Cholula , Puebla , México</t>
  </si>
  <si>
    <t>Puebla, México</t>
  </si>
  <si>
    <r>
      <rPr>
        <color rgb="FF1155CC"/>
        <sz val="10.0"/>
        <u/>
      </rPr>
      <t>Magby Orellana</t>
    </r>
    <r>
      <rPr>
        <sz val="10.0"/>
      </rPr>
      <t xml:space="preserve"> and </t>
    </r>
    <r>
      <rPr>
        <color rgb="FF1155CC"/>
        <sz val="10.0"/>
        <u/>
      </rPr>
      <t>Hasly Cortes</t>
    </r>
  </si>
  <si>
    <t>Lizbeth</t>
  </si>
  <si>
    <t>Álvarez</t>
  </si>
  <si>
    <t>787-402-6071</t>
  </si>
  <si>
    <t>liz.alvarezrivera@gmail.com</t>
  </si>
  <si>
    <t>1/10/23 SB left voice mail and sent text 1/8/24 SB emailed for IR2 Crotona schedule 7/18/23 WW emailed for IRS, FG followed up with call and text Not available for IR1. Coming back to work from maternity leave and still adjusting. CT 8/30/22 1/28/22 Not available for Seminars in the near future due to newborn. CT 12/22/21 SB sent IR2 FY21-22 schedule list for matching Norrell spoke with Lizbeth regarding mentoring during COVID-19. Lizbeth might be able to continue at 1hr a week but depends on her work schedule. </t>
  </si>
  <si>
    <t>132E 17th St. New York</t>
  </si>
  <si>
    <t>Miami, Florida</t>
  </si>
  <si>
    <t>Millicom (Tigo)</t>
  </si>
  <si>
    <t>FY 21 - 22, FY 19 - 20</t>
  </si>
  <si>
    <r>
      <rPr>
        <color rgb="FF1155CC"/>
        <sz val="10.0"/>
        <u/>
      </rPr>
      <t>Nancy Giron</t>
    </r>
    <r>
      <rPr>
        <sz val="10.0"/>
      </rPr>
      <t xml:space="preserve">, </t>
    </r>
    <r>
      <rPr>
        <color rgb="FF1155CC"/>
        <sz val="10.0"/>
        <u/>
      </rPr>
      <t>Erick Buitrago</t>
    </r>
    <r>
      <rPr>
        <sz val="10.0"/>
      </rPr>
      <t xml:space="preserve">, </t>
    </r>
    <r>
      <rPr>
        <color rgb="FF1155CC"/>
        <sz val="10.0"/>
        <u/>
      </rPr>
      <t>Irene Almonte</t>
    </r>
    <r>
      <rPr>
        <sz val="10.0"/>
      </rPr>
      <t xml:space="preserve"> and </t>
    </r>
    <r>
      <rPr>
        <color rgb="FF1155CC"/>
        <sz val="10.0"/>
        <u/>
      </rPr>
      <t>Kasarah Windley</t>
    </r>
  </si>
  <si>
    <t>Verónica Nataly</t>
  </si>
  <si>
    <t>Heredia Guzmán</t>
  </si>
  <si>
    <t>veronicaheredia55@hotmail.com</t>
  </si>
  <si>
    <t>12/30/21 SB sent IR2 FY21-22 schedule list for matching 10/25/21 SB update phone number to &amp;#43;593998391999 from 2038100159 Veronica needs some training but a very caring person and can be matched on language -- from Ecuador and keen interest in Korean culture (HJ, February 2021)</t>
  </si>
  <si>
    <t>Newark, NY</t>
  </si>
  <si>
    <t>Autoemployed</t>
  </si>
  <si>
    <t>Montane Azpiri (D)</t>
  </si>
  <si>
    <t>3/1/23 CT sent screening form to fill out by herself instead of screening call 2/28/23 CT sent email about CPC training &amp;amp; screening call 2/9/23 CT shared one-pager &amp;amp; training video to prepare her better for FY sessions 2/9/23 CT Jimena is a SPEAKHIRE DL Facilitator who jumped in to take on a group of Wheels Interns for IR2</t>
  </si>
  <si>
    <r>
      <rPr>
        <color rgb="FF1155CC"/>
        <sz val="10.0"/>
        <u/>
      </rPr>
      <t>Ashley Diaz</t>
    </r>
    <r>
      <rPr>
        <sz val="10.0"/>
      </rPr>
      <t xml:space="preserve">, </t>
    </r>
    <r>
      <rPr>
        <color rgb="FF1155CC"/>
        <sz val="10.0"/>
        <u/>
      </rPr>
      <t>Raquel Guerrero</t>
    </r>
    <r>
      <rPr>
        <sz val="10.0"/>
      </rPr>
      <t xml:space="preserve">, </t>
    </r>
    <r>
      <rPr>
        <color rgb="FF1155CC"/>
        <sz val="10.0"/>
        <u/>
      </rPr>
      <t>Daylan Peralta</t>
    </r>
    <r>
      <rPr>
        <sz val="10.0"/>
      </rPr>
      <t xml:space="preserve">, </t>
    </r>
    <r>
      <rPr>
        <color rgb="FF1155CC"/>
        <sz val="10.0"/>
        <u/>
      </rPr>
      <t>Alexa Barrueco</t>
    </r>
    <r>
      <rPr>
        <sz val="10.0"/>
      </rPr>
      <t xml:space="preserve"> and </t>
    </r>
    <r>
      <rPr>
        <color rgb="FF1155CC"/>
        <sz val="10.0"/>
        <u/>
      </rPr>
      <t>stephanie leonzo</t>
    </r>
  </si>
  <si>
    <t>Katrina</t>
  </si>
  <si>
    <t>Owens</t>
  </si>
  <si>
    <t>cschwanderj@tuttocitta.it</t>
  </si>
  <si>
    <t>HJ banned on 3/2/21 because of incomplete profile. </t>
  </si>
  <si>
    <t>NA</t>
  </si>
  <si>
    <t>nA</t>
  </si>
  <si>
    <t xml:space="preserve">Melody C Eric </t>
  </si>
  <si>
    <t xml:space="preserve">Bell-Gam </t>
  </si>
  <si>
    <t>melodybellgam@gmail.com</t>
  </si>
  <si>
    <t>Doubled Checked 1/19 (KW) Submitted to SPEAK Mag but didn't communicate around edits so was never published contacted for screening call 1/7; never heard back Was Acting Ambassador Development Associate but didn't follow through with work</t>
  </si>
  <si>
    <t xml:space="preserve">408 Santa Anita Lane </t>
  </si>
  <si>
    <t>Multiple</t>
  </si>
  <si>
    <t>Toms River</t>
  </si>
  <si>
    <t>Independent</t>
  </si>
  <si>
    <t xml:space="preserve">Rashmi </t>
  </si>
  <si>
    <t>Gupta</t>
  </si>
  <si>
    <t>rvgesq@gmail.com</t>
  </si>
  <si>
    <t>Double checked 1/26 KW</t>
  </si>
  <si>
    <t>330 East 38th Street, APT 22P, NY, NY 10016</t>
  </si>
  <si>
    <t>MTV Networks</t>
  </si>
  <si>
    <t>Epiphania Jarquin</t>
  </si>
  <si>
    <t>Maria Guia</t>
  </si>
  <si>
    <t>Burn</t>
  </si>
  <si>
    <t>Mom of Maria Burn Got nervous and bailed after matching Passed screening 11/5/21 with Hetal </t>
  </si>
  <si>
    <r>
      <rPr>
        <color rgb="FF1155CC"/>
        <sz val="10.0"/>
        <u/>
      </rPr>
      <t>Maria De La Cruz</t>
    </r>
    <r>
      <rPr>
        <sz val="10.0"/>
      </rPr>
      <t xml:space="preserve"> and </t>
    </r>
    <r>
      <rPr>
        <color rgb="FF1155CC"/>
        <sz val="10.0"/>
        <u/>
      </rPr>
      <t>Nicole Molano</t>
    </r>
  </si>
  <si>
    <t xml:space="preserve">Vicky </t>
  </si>
  <si>
    <t>Ha</t>
  </si>
  <si>
    <t>ha.vickyha@gmail.com</t>
  </si>
  <si>
    <t>8/8/23 - AT emailed and sent re-engagement txt. Said she does not wish to volunteer, AT followed up for reasoning. Marking discontinued 5/24/22 SB sent re-engagement email HH email 8/5/21, HH voicemail/email 7/29/21, HH voicemail/text 7/21/21 Screening email already sent. 2/16/21 SU.Soneya Uddin send a follow up email to Vicky 2/19/21. SU. Left a voicemail follow up 2/20/21. SU. left a voicemail 2/25/21. SU. Double checked 1/26 (KW)</t>
  </si>
  <si>
    <t>1082 Pennsylvania Ave, Apt 311, San Francisco</t>
  </si>
  <si>
    <t>tahsina.u.ahmed@gmail.com</t>
  </si>
  <si>
    <t>Mentored in 2017 - 2018; but then shifted to working as social work along with her City Council responsibilities and was unable to accept any new mentees after 2018. (Hetal, October 2020) </t>
  </si>
  <si>
    <t xml:space="preserve">Brandy </t>
  </si>
  <si>
    <t>Marie Jones</t>
  </si>
  <si>
    <t>brandy.jones00@gmail.com</t>
  </si>
  <si>
    <t>KW double checked on 1/19 Mentoring screening call conducted on august 31st 2020 at 4:00 pm with Hetal, Kiesha and Jennifer Peterson  Brandy said that she  may not have the same flexibility as she did for this quarter as she had  initially thought Said that she might be ready next year 2020 to take on this role but can?t for now  Brandy can take on 2 mentoring hours per week according to her application Hetal pulled Brandy's info from sheets not linked to Kintone on August 20th, 2020; Brandy had applied on July 14th.  Emailed her the onboarding materials on August 31st 2020 for Training Sent her a follow up on September 3rd 2020</t>
  </si>
  <si>
    <t>1 JFK Blvd, 14 B, Somerset, New Jersey</t>
  </si>
  <si>
    <t>Báez-Costa</t>
  </si>
  <si>
    <t>brendadecosta@gmail.com</t>
  </si>
  <si>
    <t>JPS Emailed on 2/3/2021 to schedule a screening call. Followed up on 2/4/21. No response. JPS called &amp;amp; left a voicemail. No response. Has been unresponsive with providing resume since applying &amp;amp; showed no sign of engagement with outreach for years - marked discontinued/orange. If she reaches back out, she needs to supply a resume &amp;amp; go through screening. Doubled Checked 1/19 (KW) Emailed on 8/30/2020 to request resume. No response. </t>
  </si>
  <si>
    <t>Tampa, Fl</t>
  </si>
  <si>
    <t>Tampa</t>
  </si>
  <si>
    <t>Baez Family Enterprise</t>
  </si>
  <si>
    <t xml:space="preserve">Akanksha </t>
  </si>
  <si>
    <t>sharma</t>
  </si>
  <si>
    <t>+91 9818899547</t>
  </si>
  <si>
    <t>akanksha3091@gmail.com</t>
  </si>
  <si>
    <t>Is located in India with no U.S. experience. Didn't complete Screening Call. Is unresponsive.  Emailed 8/31/2020 to set up screening call</t>
  </si>
  <si>
    <t xml:space="preserve">India </t>
  </si>
  <si>
    <t xml:space="preserve">Nestlé India limited </t>
  </si>
  <si>
    <t>Janice</t>
  </si>
  <si>
    <t>Agresti</t>
  </si>
  <si>
    <t>10/18/22 CT marked as abandoned non-responsive NO EMAIL OR NUMBER?</t>
  </si>
  <si>
    <t>lianadelgobbo@gmail.com</t>
  </si>
  <si>
    <t>Unsubscribed December 2020 (HKJ) Does not want to participate</t>
  </si>
  <si>
    <t>20 Willow Road, Apt 35</t>
  </si>
  <si>
    <t>Menlo Park</t>
  </si>
  <si>
    <t>Intuitive Surgical</t>
  </si>
  <si>
    <t xml:space="preserve">405-657-6483
</t>
  </si>
  <si>
    <t>Ecstacy Holland</t>
  </si>
  <si>
    <t>706-621-3890</t>
  </si>
  <si>
    <t>Ejebe</t>
  </si>
  <si>
    <t>763-229-9737</t>
  </si>
  <si>
    <t>954-560-7375</t>
  </si>
  <si>
    <t>Nilufar Khan</t>
  </si>
  <si>
    <t>chevon51@gmail.com</t>
  </si>
  <si>
    <t>Monique Melanie Rose Lawrence</t>
  </si>
  <si>
    <t>Rashmi</t>
  </si>
  <si>
    <t>Hub Intern ID</t>
  </si>
  <si>
    <t>Hub User ID</t>
  </si>
  <si>
    <t>Country of Origin</t>
  </si>
  <si>
    <t>Continent of Origin</t>
  </si>
  <si>
    <t>Gender</t>
  </si>
  <si>
    <t>Birthdate</t>
  </si>
  <si>
    <t>Current Age</t>
  </si>
  <si>
    <r>
      <rPr>
        <b/>
        <color rgb="FF1155CC"/>
        <sz val="10.0"/>
        <u/>
      </rPr>
      <t>NYC City Council District</t>
    </r>
    <r>
      <rPr>
        <b/>
        <sz val="10.0"/>
      </rPr>
      <t xml:space="preserve"> (Personal Address)</t>
    </r>
  </si>
  <si>
    <t>Associated Partner Organization</t>
  </si>
  <si>
    <r>
      <rPr>
        <b/>
        <color rgb="FF1155CC"/>
        <sz val="10.0"/>
        <u/>
      </rPr>
      <t>NYC City Council District</t>
    </r>
    <r>
      <rPr>
        <b/>
        <sz val="10.0"/>
      </rPr>
      <t xml:space="preserve"> (School)</t>
    </r>
  </si>
  <si>
    <t>Ambassador</t>
  </si>
  <si>
    <t>Connected Champions</t>
  </si>
  <si>
    <t>Other Activities Participated in</t>
  </si>
  <si>
    <t>Sessions Attended vs not attended</t>
  </si>
  <si>
    <r>
      <rPr>
        <b/>
        <sz val="10.0"/>
      </rPr>
      <t xml:space="preserve">Quotes/Testimonials
</t>
    </r>
    <r>
      <rPr>
        <b/>
        <color rgb="FF1155CC"/>
        <sz val="10.0"/>
        <u/>
      </rPr>
      <t>Internship Session Feedback
Canva Posts</t>
    </r>
  </si>
  <si>
    <t>Alumni Outreach Status</t>
  </si>
  <si>
    <t>Events Invited To</t>
  </si>
  <si>
    <t>Awards</t>
  </si>
  <si>
    <t>Parent/Guardian Name</t>
  </si>
  <si>
    <t>Guardian Relationship to Intern</t>
  </si>
  <si>
    <t xml:space="preserve">Guardian Email
</t>
  </si>
  <si>
    <t xml:space="preserve">Guardian Phone Number
</t>
  </si>
  <si>
    <r>
      <rPr>
        <b/>
        <sz val="10.0"/>
      </rPr>
      <t xml:space="preserve">College Attended
</t>
    </r>
    <r>
      <rPr>
        <b/>
        <color rgb="FF1155CC"/>
        <sz val="10.0"/>
        <u/>
      </rPr>
      <t>Alumni Outreach</t>
    </r>
  </si>
  <si>
    <t>Outreach Notes</t>
  </si>
  <si>
    <t>Alum</t>
  </si>
  <si>
    <t>Unique</t>
  </si>
  <si>
    <t>Ngawang</t>
  </si>
  <si>
    <t>Tashi</t>
  </si>
  <si>
    <t>Male-identifying</t>
  </si>
  <si>
    <t>ngawangt14@nycstudents.net</t>
  </si>
  <si>
    <t>He emailed us in 6/26 giving his address. After that Ops. has been emailing to get him sharing more info (bank account #, etc.) We tried through his school too but, no response until now. 8/23- PQ</t>
  </si>
  <si>
    <t>Is5</t>
  </si>
  <si>
    <t>+17182056788</t>
  </si>
  <si>
    <t>NYC IS 5 NY</t>
  </si>
  <si>
    <t>WCSL5</t>
  </si>
  <si>
    <t>Osisiske</t>
  </si>
  <si>
    <t>Uncle/Aunt/Guardian</t>
  </si>
  <si>
    <t>Verni</t>
  </si>
  <si>
    <t>Perez</t>
  </si>
  <si>
    <t>Honduras</t>
  </si>
  <si>
    <t>North America</t>
  </si>
  <si>
    <t>vernip@nycstudents.net</t>
  </si>
  <si>
    <t>No.</t>
  </si>
  <si>
    <t>+19293965438</t>
  </si>
  <si>
    <t>Iris Vega</t>
  </si>
  <si>
    <t>Mother</t>
  </si>
  <si>
    <t>Munir ahmad</t>
  </si>
  <si>
    <t>Bakhtyar</t>
  </si>
  <si>
    <t>Afghanistan</t>
  </si>
  <si>
    <t>Asia</t>
  </si>
  <si>
    <t>mbakhtyar@flushinginternational.org</t>
  </si>
  <si>
    <t>+16466595476</t>
  </si>
  <si>
    <t>Flushing International High School NY</t>
  </si>
  <si>
    <t>BASHIR Ahmad</t>
  </si>
  <si>
    <t>Father</t>
  </si>
  <si>
    <t>bashirahmadbakhtyar786@gmail.com</t>
  </si>
  <si>
    <t>+19143127820</t>
  </si>
  <si>
    <t>Baseria</t>
  </si>
  <si>
    <t>Atta</t>
  </si>
  <si>
    <t>Female-identifying</t>
  </si>
  <si>
    <t>bibibaseria2019@flushinginternational.org</t>
  </si>
  <si>
    <t>HJ Changed language from not comfortable to very comfortable based on short answers </t>
  </si>
  <si>
    <t>147-10-41 Ave apt 5p flusing NY 11355</t>
  </si>
  <si>
    <t>+13478811966</t>
  </si>
  <si>
    <t>Atta Mohammad</t>
  </si>
  <si>
    <t>Inactive</t>
  </si>
  <si>
    <t>cristofe</t>
  </si>
  <si>
    <t>hernandez</t>
  </si>
  <si>
    <t>cristofe.hernandez@ichsbronx.org</t>
  </si>
  <si>
    <t>2600 creston av</t>
  </si>
  <si>
    <t>+19292458574</t>
  </si>
  <si>
    <t>ICHS-Bronx NY</t>
  </si>
  <si>
    <t>Ross hernandez</t>
  </si>
  <si>
    <t>bibiasia2019@flushinginternational.org</t>
  </si>
  <si>
    <t>147-10-41Ave flushing NY 11355</t>
  </si>
  <si>
    <t>Atta Mohammed</t>
  </si>
  <si>
    <t>matta2073@gmail.com</t>
  </si>
  <si>
    <t>Ehsanullah</t>
  </si>
  <si>
    <t>Sulimanzoy</t>
  </si>
  <si>
    <t>esulimanzoy2020@gmail.com</t>
  </si>
  <si>
    <t>school email: 10085622@philasd.org</t>
  </si>
  <si>
    <t>6063 ROOSEVELT BLVD #220, PHILADELPHIA, PA 19149-3340</t>
  </si>
  <si>
    <t>267-991-4981</t>
  </si>
  <si>
    <t>Frankford HS Philadelphia</t>
  </si>
  <si>
    <t>Philadelphia City Council District 10</t>
  </si>
  <si>
    <t>Suliman</t>
  </si>
  <si>
    <t>sahmadzay2010@gmail.com</t>
  </si>
  <si>
    <t>Matiullah</t>
  </si>
  <si>
    <t>msulimanzoy2020@gmail.com</t>
  </si>
  <si>
    <t>Mother's cell phone 2679914981 I came from Afghanistan in the spring of 2020 and went directly into remote learning because of COVID. Although remote learning was difficult, SPEAKHIRE and my Foundational Year Champions saw through my English learning and now I can speak better English to ensure my college success next year. I am hardworking, attentive, and competitive so I want to excel in my English studies and stand out amongst the competitors in my future film career. Even as an immigrant English learner from Afghanistan, I know I will make it big with the help of Career Pathways Champions.</t>
  </si>
  <si>
    <t>Rasoul Sher</t>
  </si>
  <si>
    <t>sher2019@flushinginternational.org</t>
  </si>
  <si>
    <t>Hetal changed from 'Very comfortable' to 'somewhat comfortable' from short responses (10.31.21)</t>
  </si>
  <si>
    <t>rent house the adrees is flushing main st zip 11355</t>
  </si>
  <si>
    <t>Rasoul  ghulam</t>
  </si>
  <si>
    <t>+19177045190</t>
  </si>
  <si>
    <t>Madina</t>
  </si>
  <si>
    <t>Raufi</t>
  </si>
  <si>
    <t>madina.rawofi@gmail.com</t>
  </si>
  <si>
    <t>71-71 Parsons Blvd Fresh Meadows, NY 11365 United States</t>
  </si>
  <si>
    <t>+17187993207</t>
  </si>
  <si>
    <t>I just love having this internship and meeting new people! 
Thank you so much. I would like to take this SPEAKHIRE internship next year.
Thank you for giving us an amazing internship program!</t>
  </si>
  <si>
    <t>Lema Raufi</t>
  </si>
  <si>
    <t>Sister</t>
  </si>
  <si>
    <t>Lema.raufi12@gmail.com</t>
  </si>
  <si>
    <t>+17187992619</t>
  </si>
  <si>
    <t>Mouhamed</t>
  </si>
  <si>
    <t>Samb</t>
  </si>
  <si>
    <t>Africa</t>
  </si>
  <si>
    <t>mouhamed.samb@ichsbronx.org</t>
  </si>
  <si>
    <t>Updated date/time for AY 21-22 for Monday 3pm - PQ 9/27/21</t>
  </si>
  <si>
    <t>W 181st Grand Ave</t>
  </si>
  <si>
    <t>Ngouille Cisse</t>
  </si>
  <si>
    <t>cisse55443@hotmail.com</t>
  </si>
  <si>
    <t>+19178701932</t>
  </si>
  <si>
    <t>Ina</t>
  </si>
  <si>
    <t>Hoxhaj</t>
  </si>
  <si>
    <t>Albania</t>
  </si>
  <si>
    <t>Europe</t>
  </si>
  <si>
    <t>2025_inahoxhaj@ihs-us.org</t>
  </si>
  <si>
    <t>Ina  Hoxhaj:  &amp;#34;I can to the United States from  Albania  when I was 15 years old. I am interested in architecture. I describe myself as creative, thoughtful, patient.&amp;#34; She is also interested in business and is still exploring her options for colleges.  Ina , we matched you based on your interest in business. Additional Email -  hoxhajina29@gmail.com</t>
  </si>
  <si>
    <t>235 E 84th St apt 33 New York, New York 10028 United States</t>
  </si>
  <si>
    <t>IHS - Union Square NY</t>
  </si>
  <si>
    <t xml:space="preserve">“SPEAKHIRE’s Foundation Year Program was the best fit for me since I researched much about it, and everyone who commented said how much this internship helped them choose the best career fit—just as it did for me. My Champion was very nice, understandable, and made us very comfortable during the sessions. I learned much about her career that would help me everywhere I go. I had two careers in mind, and the champion that SPEAKHIRE chose for me gave useful advice for both. I enjoyed every session; it was a great opportunity for anyone who is unsure about their future. Everything was clear, enjoyable, and I’m totally glad and grateful for this experience.”
</t>
  </si>
  <si>
    <t>Sebastjan Tinaj</t>
  </si>
  <si>
    <t>Brother in law</t>
  </si>
  <si>
    <t>sebastjantinaj93@gmail.com</t>
  </si>
  <si>
    <t>+1(845)287-3868</t>
  </si>
  <si>
    <t>Lylia</t>
  </si>
  <si>
    <t>Belbegra</t>
  </si>
  <si>
    <t>Algeria</t>
  </si>
  <si>
    <t>lylia.belbegra@gmail.com</t>
  </si>
  <si>
    <t>Bio as of 4/24/2020:  Hi, I'm  Lylia , a senior at George Washington High School. I am interested in being a dermatologist and beauty entrepreneur. I choose to do both because I always wanted to be a doctor but I also love makeup so I decided to combine both. I want to create my own skincare line and organic makeup that can be customized for different skin types and when being a dermatologist people with skin problems will come I will present them my skincare line and I will be able to customize them the perfect remedy for acne scars or something else</t>
  </si>
  <si>
    <t>2435 Tremont Street Apt. B, Philadelphia, PA</t>
  </si>
  <si>
    <t>215-251-4142</t>
  </si>
  <si>
    <t>George Washington High School Philadelphia</t>
  </si>
  <si>
    <t>Summit/Soiree 2023, ICAN</t>
  </si>
  <si>
    <t>belyaci@hotmail.com</t>
  </si>
  <si>
    <t>215-834-1269</t>
  </si>
  <si>
    <t>Yasir</t>
  </si>
  <si>
    <t>Sharifi</t>
  </si>
  <si>
    <t>yasirsharifi05@gmail.com</t>
  </si>
  <si>
    <t>He is on task all the time like her sister.</t>
  </si>
  <si>
    <t>154-12  71st Ave  Apt 86A</t>
  </si>
  <si>
    <t>+13473700295</t>
  </si>
  <si>
    <t>Ladouani</t>
  </si>
  <si>
    <t>adaml126@nycstudents.net</t>
  </si>
  <si>
    <t>civic_leadership Yes,when you can make differences in the community. community_impact volunteering in religious places. passionate_causes Helping the community in many different ways. sdg_awareness Yes community_help Because if we don&amp;#39;t do anything with the flaws of our community.It can impact life around it very dangerous, especially when some people try to make an effort to make America good again. So we should all do our part to make America better.</t>
  </si>
  <si>
    <t>45-55 39th St 47th Av New York, New York 11104 United States</t>
  </si>
  <si>
    <t>Thomas J. McCann Intermediate School IS 125Q</t>
  </si>
  <si>
    <t>IS125Q</t>
  </si>
  <si>
    <t>(347)345-9660</t>
  </si>
  <si>
    <t>Precious</t>
  </si>
  <si>
    <t>pgeorge109@gmail.com</t>
  </si>
  <si>
    <t>1/3/23 (Kendi) - updated email:  pgeorge109@gmail.com  old email:  mohoganybrown1@icloud.com Studying  Psychology in Rutgers North,Currently studying abroad in Rome, &amp;#34; introverted - extrovert, determined, motivated&amp;#34;</t>
  </si>
  <si>
    <t>63-65 Milford Avenue, Newark, NJ</t>
  </si>
  <si>
    <t>973-563-4786</t>
  </si>
  <si>
    <t>American History HS NJ</t>
  </si>
  <si>
    <t>Newark City Council</t>
  </si>
  <si>
    <t>Monique George</t>
  </si>
  <si>
    <t>mohoganybrown1@icloud.com</t>
  </si>
  <si>
    <t>973-277-3067</t>
  </si>
  <si>
    <t>Aisha</t>
  </si>
  <si>
    <t>Dawran</t>
  </si>
  <si>
    <t>aisha_dawran@flushinghighschool.org</t>
  </si>
  <si>
    <t>718-309-8008</t>
  </si>
  <si>
    <t>Flushing High School NY</t>
  </si>
  <si>
    <t>Fereshta Dawran</t>
  </si>
  <si>
    <t>Mariama</t>
  </si>
  <si>
    <t>Jarmegeh</t>
  </si>
  <si>
    <t>mariamajarmegeh@claremontihs.org</t>
  </si>
  <si>
    <t>united state</t>
  </si>
  <si>
    <t>+13473676794</t>
  </si>
  <si>
    <t>Claremont International High School NY</t>
  </si>
  <si>
    <t>fatoumata camara</t>
  </si>
  <si>
    <t>Ecstacy</t>
  </si>
  <si>
    <t>Holland</t>
  </si>
  <si>
    <t>azzureholland11@gmail.com</t>
  </si>
  <si>
    <t>11/15/22 - Changed career interest from education to computer science, have not stayed in touch with champion</t>
  </si>
  <si>
    <t>Summit 2025, Summit 2024</t>
  </si>
  <si>
    <t>Navarro</t>
  </si>
  <si>
    <t>cnavarro@amtnyc.org</t>
  </si>
  <si>
    <t>Academy of Medical Technology NY</t>
  </si>
  <si>
    <t>Soiree</t>
  </si>
  <si>
    <t>s.liawilliams20@gmail.com</t>
  </si>
  <si>
    <t>203-676-3510</t>
  </si>
  <si>
    <t>East Brunswick High School NJ</t>
  </si>
  <si>
    <t>Demietra Williams</t>
  </si>
  <si>
    <t>msdemietra2012@yahoo.com</t>
  </si>
  <si>
    <t>(646-206-7532)  (732-390-2032)</t>
  </si>
  <si>
    <t>Dariel</t>
  </si>
  <si>
    <t>lovely17auntie@gmail.com</t>
  </si>
  <si>
    <t>Expecting an Ambassador application from Dariel  In 250 ? 500 words, describe three traits which make you a leader and a strong student. I'm a good leader because I stand up for myself and others and I'm kind to other people no matter what they might look like or even if they treat me mean . In 100 ? 250 words, how can SPEAKHIRE help you you boost your own academic profile? This can help my academic profile because it could help me one in my career and it can help me with my transcript show the colleges that I was an activity student in my community . In 100 ? 250 words, what opportunities do young people who are immigrant and first-generation American currently have to gain awareness of career opportunities? As people of color we can now go to any school you want to no matter what people may say . You can get financial aid take out loans and you can go to any school you would like not just a HBUC In 250 ? 500 words, why you would succeed as a SPEAKHIRE for your grade at your school. If you do not meet all the requirements, explain why we should consider you for the position. I would succeed because I'm a people person I love to talk especially when I get to know a person or people. And I'm nice and friendly people are always opening up to me because I just listen . List the classes you will be taking the upcoming school year and any other activities which will keep you occupied. Please explain to us how many hours a week you will dedicate towards SPEAKHIRE and what your schedule will look like. Algebra 2 - it doesn't take me long with math all my homework would be done in 30 min 40 tops , English 11- this is another class that doesn't take me long it takes me 40 mins to do everything here Spanish 1- this takes me 30 mins because I usually have a understanding to it. Earth science is one of the subjects that I have a rocky time with but it take me a good hour with this one . Outline your main responsibilities as a SPEAKHIRE Ambassador: To be good ambassador I will be kind and understanding with others have good commutation skills.</t>
  </si>
  <si>
    <t>129-19 Harry Douglas Way, Jamaica Queens,Ny,11413</t>
  </si>
  <si>
    <t>+19294424179</t>
  </si>
  <si>
    <t>Queens Preparatory Academy NY</t>
  </si>
  <si>
    <t>Walter Harrison</t>
  </si>
  <si>
    <t>Jefferson</t>
  </si>
  <si>
    <t>Colon</t>
  </si>
  <si>
    <t>Dominican Republic</t>
  </si>
  <si>
    <t>jefferson.colon.24@wheels-student.org</t>
  </si>
  <si>
    <t>About Intern: He was born in the United States, but his family is from the Dominican Republic. He speaks English and Spanish. This would be his first round and year in the program. The jobs he listed that he is interested in are, &amp;#34;bussiness, nursing, lawyer, and marine bio.&amp;#34;</t>
  </si>
  <si>
    <t>152 frederick douglass 8th ave, new york, ny 10040</t>
  </si>
  <si>
    <t>+19176606746</t>
  </si>
  <si>
    <t>WHEELS NYC NY</t>
  </si>
  <si>
    <t>First Step</t>
  </si>
  <si>
    <t>jeffrey colon</t>
  </si>
  <si>
    <t>colonp_28@hotmail.com</t>
  </si>
  <si>
    <t>+13474757538</t>
  </si>
  <si>
    <t>Lehman</t>
  </si>
  <si>
    <t>Kritika</t>
  </si>
  <si>
    <t>Gurung</t>
  </si>
  <si>
    <t>kritikag3@nycstudents.net</t>
  </si>
  <si>
    <t>4602 47 Avenue Woodside NY,11377</t>
  </si>
  <si>
    <t>+17189370320</t>
  </si>
  <si>
    <t>NYC IS 125 NY</t>
  </si>
  <si>
    <t>karna gurung</t>
  </si>
  <si>
    <t>Brianna</t>
  </si>
  <si>
    <t>Prado</t>
  </si>
  <si>
    <t>email: brianna.prado.24@wheels-student.org The school elected to remove Shanick from IR2 and place into DL because of competing activities and poor attendance. SB 1/31/23 phone number: 6469615019 About Intern: The first Intern was born in the United States. She speaks English and Spanish. This is her first year and round in the program. The fields she listed that she is interested in are Journalism/Media, Law, Service/Hospitality.</t>
  </si>
  <si>
    <t>2265 Powell Ave New York New York 10462 United States</t>
  </si>
  <si>
    <t>Angelly</t>
  </si>
  <si>
    <t>angelly.hidalgo23@live.com</t>
  </si>
  <si>
    <t>Marcos</t>
  </si>
  <si>
    <t>Paulo</t>
  </si>
  <si>
    <t>Angola</t>
  </si>
  <si>
    <t>marcosp77@nycstudents.net</t>
  </si>
  <si>
    <t>high school of applied communication 3020 thomson ave thomson ave, New York 11101 United States</t>
  </si>
  <si>
    <t>High School of Applied Communication.</t>
  </si>
  <si>
    <t>HS for Applied Communications</t>
  </si>
  <si>
    <t>marcos paulo</t>
  </si>
  <si>
    <t>no</t>
  </si>
  <si>
    <t>(718)389-3163</t>
  </si>
  <si>
    <t>Ariah</t>
  </si>
  <si>
    <t>Antigua and Barbuda</t>
  </si>
  <si>
    <t>amartin.02.04.04@gmail.com</t>
  </si>
  <si>
    <t>In 250 ? 500 words, describe three traits which make you a leader and a strong student. I am the best option for the open ambassador position within the SPEAKHIRE Foundation. I say this because I am an excellent communicator, accountable and reliable, and I am self-motivated. I believe these traits make me the best candidate for this position. I am an excellent and effective communicator. I think the first step to becoming a good communicator is to first be a good listener. Through listening to what others have to say and really paying attention to their problems and issues one way can find the best way to help them. I feel this is what makes me a good communicator and an even better leader; I listen before taking action. I am accountable and reliable. If something needs to get done I?m the person you can call knowing that it?s going to be done. I take my responsibilities seriously and ensure that they are all completed to perfection. I hold myself accountable for all of my responsibilities. If something is not done on time or incorrectly I ensure to look back on my mistakes and improve to do better in the future. I am efficient, effective, and work quickly. All things that are required of a good leader and team-player. I am very self-motivated. I never give up on my goals and I am constantly working to improve. I keep going even if I am faced with challenges and things changing. I am a quick thinker and am able to think of solutions in any situation. I am the best choice for this position because I am a motivated, excellent communicator, accountable, reliable, and self-motivated. I am diligent and a team-player. I believe that through these qualities I will be an excellent ambassador. In 100 ? 250 words, how can SPEAKHIRE help you you boost your own academic profile? I believe that SPEAKHIRE can help boost my academic profile. It is a valuable resource that connects me to people within my chosen career. SPEAKHIRE also opens up doors for other internships to become available. It is a resource that I am glad I had the opportunity to partake in. Through SPEAKHIRE I have been given a mentor who helps me with my college and university planning. They guide me through the process and show me what the field is like. They are helping to prepare me for the future and that is an opportunity I am grateful for. I have also been exposed to various internships within my field. Through SPEAKHIRE and with the help of my mentor I have been able to apply to various internships. This has also helped to prepare me for job searching in the future. SPEAKHIRE has and continues to help me with my chosen career path. It has helped me meet professionals within the said career and introduce me to internship opportunities. These relations help me both now and in the future. In 100 ? 250 words, what opportunities do young people who are immigrant and first-generation American currently have to gain awareness of career opportunities? Immigrants and first-generation Americans can gain awareness of career opportunities through organizations like SPEAKHIRE. Through schools, community programs, and religious activities. These organizations tend to have limited space, funds, and outreach. Many immigrants and first-generation Americans have little opportunity to gain knowledge about various careers. As many opportunities are not easily accessible. These organizations may also not have the best options as many lack the funds needed. These organizations may also have a lack of outreach. Many industries run on a who knows who basis. Many professionals are more willing to give opportunities to people they already know. These organizations are mainly run by volunteers or individuals who may not have many connections within the industry. Although they try their best these organizations are of little to no help to most of the children attending. In 250 ? 500 words, why you would succeed as a SPEAKHIRE for your grade at your school. If you do not meet all the requirements, explain why we should consider you for the position. I would succeed as a SPEAKHIRE for my grade because I am driven, motivated, and a good leader. I say this because I am an excellent communicator, accountable and reliable, and I am self-motivated. I believe these traits make me the best person to represent SPEAKHIRE. SPEAKHIRE has opened up doors for other internships to become available. It is a resource that I am glad I had the opportunity to partake in. Through listening to what others have to say and really paying attention to their problems and issues one way can find the best way to help them.I take my responsibilities seriously and ensure that they are all completed to perfection. I hold myself accountable for all of my responsibilities. If something is not done on time or incorrectly I ensure to look back on my mistakes and improve to do better in the future. I am very self-motivated. I never give up on my goals and I am constantly working to improve. I keep going even if I am faced with challenges and things changing. I am a quick thinker and am able to think of solutions in any situation. As an immigrant I have little to no opportunity to gain knowledge about various careers.Through SPEAKHIRE I have been given a mentor who helps me with my college and university planning. They guide me through the process and show me what the field is like. I want to help others in my school be giving them the same opportunity. I want for others to gain the knowledge and help that I have. I am the best choice for this position because I am a motivated, excellent communicator, accountable, reliable, and self-motivated. I am diligent and a team-player. I believe that through these qualities I will be an excellent ambassador. List the classes you will be taking the upcoming school year and any other activities which will keep you occupied. Please explain to us how many hours a week you will dedicate towards SPEAKHIRE and what your schedule will look like. I am unsure of the courses that I will be taking next but I will not be participating in any other activities. I am willing to dedicate 20 hours or more towards SPEAKHIRE weekly. Outline your main responsibilities as a SPEAKHIRE Ambassador: To contact individuals in my school who are apart of SPEAKHIRE with any important information and to be a line of communication between SPEAKHIRE and the interns.</t>
  </si>
  <si>
    <t>239-15 148th Ave. Rosedale NY 11422</t>
  </si>
  <si>
    <t>+13478459174</t>
  </si>
  <si>
    <t>Marcia Brown</t>
  </si>
  <si>
    <t>brownmarcia64@gmail.com</t>
  </si>
  <si>
    <t>+13478459642</t>
  </si>
  <si>
    <t>Raya</t>
  </si>
  <si>
    <t>Tovmasyan</t>
  </si>
  <si>
    <t>Armenia</t>
  </si>
  <si>
    <t>rtovmasyan@inths.org</t>
  </si>
  <si>
    <t>Hetal changed language from 'Very Comfortable' to 'Somewhat comfortable' based on app responses (1/10/22)</t>
  </si>
  <si>
    <t>2435 E 28t ST,Brooklyn,NY 11235</t>
  </si>
  <si>
    <t>+19293702594</t>
  </si>
  <si>
    <t>IHS - Lafayette NY</t>
  </si>
  <si>
    <t>Ruzanna  Tovmasyan</t>
  </si>
  <si>
    <t>ruzanna291@gmail.com</t>
  </si>
  <si>
    <t>+13472645354</t>
  </si>
  <si>
    <t>Gafar</t>
  </si>
  <si>
    <t>Aliyev</t>
  </si>
  <si>
    <t>Azerbaijan</t>
  </si>
  <si>
    <t>aaliyev@inths.org</t>
  </si>
  <si>
    <t>3100 Brighton 7 street Apt 45 New York Brooklyn 11235</t>
  </si>
  <si>
    <t>+19177046076</t>
  </si>
  <si>
    <t>Javid Aliyev</t>
  </si>
  <si>
    <t>djavausa@gmail.com</t>
  </si>
  <si>
    <t>+13474471094</t>
  </si>
  <si>
    <t>Mayra</t>
  </si>
  <si>
    <t>mayrag17@nycstudents.net</t>
  </si>
  <si>
    <t>100-20, 37 Avenue, 1A Corona, NY 11368</t>
  </si>
  <si>
    <t>+13478636986</t>
  </si>
  <si>
    <t>CASA (CORONA ARTS AND SCIENCES ACADEMY) NY</t>
  </si>
  <si>
    <t>CASA</t>
  </si>
  <si>
    <t>Eugenia Ramos</t>
  </si>
  <si>
    <t>Jalen</t>
  </si>
  <si>
    <t>Lynn</t>
  </si>
  <si>
    <t>jlynn103700@gmail.com</t>
  </si>
  <si>
    <t>8100 shore front parkway 2T</t>
  </si>
  <si>
    <t>347-733-5359</t>
  </si>
  <si>
    <t>Gregory Lynn</t>
  </si>
  <si>
    <t>Bughug335@cs.com</t>
  </si>
  <si>
    <t>347-219-5791</t>
  </si>
  <si>
    <t>Nasif</t>
  </si>
  <si>
    <t>Zaman</t>
  </si>
  <si>
    <t>Bangladesh</t>
  </si>
  <si>
    <t>nasifbishal56@gmail.com</t>
  </si>
  <si>
    <t>146 52 Tuskegee Airmen Way, Jamaica, NY, 11435</t>
  </si>
  <si>
    <t>+19292255322</t>
  </si>
  <si>
    <t>Farzana Sume</t>
  </si>
  <si>
    <t>farzanazamansume@gmail.com</t>
  </si>
  <si>
    <t>+19292162299</t>
  </si>
  <si>
    <t>Nusrat</t>
  </si>
  <si>
    <t>Jahan</t>
  </si>
  <si>
    <t>nusratjahan@claremontihs.org</t>
  </si>
  <si>
    <t>Nusrat was missing 2 physical calendar sessions in the calendar app but she had perfect attendance during FY20-22 IR2. Hetal added 2 as a count for her into the 2019 field</t>
  </si>
  <si>
    <t>2050 Davidson Avenue,Apt. 33. 10453</t>
  </si>
  <si>
    <t>Mohammad Alamgir</t>
  </si>
  <si>
    <t>mohammadalamgir746@gmail.com</t>
  </si>
  <si>
    <t>Afrida</t>
  </si>
  <si>
    <t>afrida.ahmed@ellisprep.com</t>
  </si>
  <si>
    <t>currently attending CUNY Lehman College (10/2023)</t>
  </si>
  <si>
    <t>229 E. Kingsbridge Road, New York</t>
  </si>
  <si>
    <t>929-497-4582</t>
  </si>
  <si>
    <t>ELLIS Preparatory NY</t>
  </si>
  <si>
    <t>ELLIS Prep</t>
  </si>
  <si>
    <t>Rokeya Akther</t>
  </si>
  <si>
    <t>altafuddin608@gmail.com</t>
  </si>
  <si>
    <t xml:space="preserve">Lehman College </t>
  </si>
  <si>
    <t>Wasin</t>
  </si>
  <si>
    <t>Shihab</t>
  </si>
  <si>
    <t>wasinshihab@gmail.com</t>
  </si>
  <si>
    <t>2426 Fuller street 1F, Bronx NY, 10461</t>
  </si>
  <si>
    <t>+19298108070</t>
  </si>
  <si>
    <t>Tahmina Imam</t>
  </si>
  <si>
    <t>asraful1234@gmail.com</t>
  </si>
  <si>
    <t>+16466737164</t>
  </si>
  <si>
    <t>City College of New York</t>
  </si>
  <si>
    <t>Ahnaf</t>
  </si>
  <si>
    <t>ahnaf2019@flushinginternational.org</t>
  </si>
  <si>
    <t>2637 91st Street East Elmhurst, Queens, NY 11369</t>
  </si>
  <si>
    <t>Farhana Chowdhury</t>
  </si>
  <si>
    <t>chyrouf@gmail.com</t>
  </si>
  <si>
    <t>+13479444349</t>
  </si>
  <si>
    <t>Hunter's</t>
  </si>
  <si>
    <t>Jada</t>
  </si>
  <si>
    <t>Jones</t>
  </si>
  <si>
    <t>862-438-4235</t>
  </si>
  <si>
    <t>tatumktaylor@yahoo.com</t>
  </si>
  <si>
    <t>862-576-4219</t>
  </si>
  <si>
    <t>Alison</t>
  </si>
  <si>
    <t>Argentina</t>
  </si>
  <si>
    <t>South America</t>
  </si>
  <si>
    <t>avargas2@inths.org</t>
  </si>
  <si>
    <t>2212 east 16 street 3fl Brooklyn NY 11229</t>
  </si>
  <si>
    <t>+16469864659</t>
  </si>
  <si>
    <t>Licet Liliana Vargas</t>
  </si>
  <si>
    <t>licetvargas1985@gmail.com</t>
  </si>
  <si>
    <t>+13473619705</t>
  </si>
  <si>
    <t>Sanzida</t>
  </si>
  <si>
    <t>sanzida.chowdhury@ellisprep.com</t>
  </si>
  <si>
    <t>Wrong phone number on file</t>
  </si>
  <si>
    <t>3055 Decatur Ave #6E 10467,bronx NYC</t>
  </si>
  <si>
    <t>+19294745408</t>
  </si>
  <si>
    <t>Shawkat Chowdhury</t>
  </si>
  <si>
    <t>Sanzidac7@gmail.com</t>
  </si>
  <si>
    <t>631-703-1693</t>
  </si>
  <si>
    <t>Afrin</t>
  </si>
  <si>
    <t>Tripti</t>
  </si>
  <si>
    <t>afrint4@nycstudents.net</t>
  </si>
  <si>
    <t>33-35 76th street apt- 3D jackson heights 11372 NY</t>
  </si>
  <si>
    <t>+19294016204</t>
  </si>
  <si>
    <t>IHS - Health Sciences NY</t>
  </si>
  <si>
    <t>Kamrun Nahar</t>
  </si>
  <si>
    <t>naharkamrun061@gmail.com</t>
  </si>
  <si>
    <t>+19292612709</t>
  </si>
  <si>
    <t>Layan</t>
  </si>
  <si>
    <t>Alkhawaja</t>
  </si>
  <si>
    <t>Bahrain</t>
  </si>
  <si>
    <t>727-623-2377</t>
  </si>
  <si>
    <t>Abraham Lincoln HS Philadelphia</t>
  </si>
  <si>
    <t xml:space="preserve">Abraham Lincoln HS </t>
  </si>
  <si>
    <t>h2anani@yahoo.com</t>
  </si>
  <si>
    <t>Sanjida</t>
  </si>
  <si>
    <t>Fnu</t>
  </si>
  <si>
    <t>sanjidafnu@gmail.com</t>
  </si>
  <si>
    <t>35-15, 94street Apt 2E Jackson height , NY11372</t>
  </si>
  <si>
    <t>+13477387591</t>
  </si>
  <si>
    <t>nurnobinyc@gmail.com</t>
  </si>
  <si>
    <t>+19293263737</t>
  </si>
  <si>
    <t>Tasrifa</t>
  </si>
  <si>
    <t>Sultana</t>
  </si>
  <si>
    <t>2023_tasrifasultana@ihs-us.org</t>
  </si>
  <si>
    <t>1231 Commonwealth ave Bronx, NY 10472</t>
  </si>
  <si>
    <t>+13477015582</t>
  </si>
  <si>
    <t>Farida Yasmin</t>
  </si>
  <si>
    <t>Ayaat</t>
  </si>
  <si>
    <t>Hoque</t>
  </si>
  <si>
    <t>ay4at.h@gmail.com</t>
  </si>
  <si>
    <t>37-25 61st street apt 4E Woodside Queens, New York 11377 United States</t>
  </si>
  <si>
    <t>+13473376206</t>
  </si>
  <si>
    <t>MaspethTownHall</t>
  </si>
  <si>
    <t xml:space="preserve">"I loved the experience of working with my cohort and making friends while learning about my preferred career field. I learned about pharmaceutical firms, diversity rates for physicians, and how to avoid burnout in the medical field. I also discovered that I have emotional intelligence, which will help me in leadership roles. This course made me consider careers like cardiology, pharmacy, and psychology more seriously!"
</t>
  </si>
  <si>
    <t>Kaniz Fatema</t>
  </si>
  <si>
    <t>kfatema1120@gmail.com</t>
  </si>
  <si>
    <t>Ayman</t>
  </si>
  <si>
    <t>Rahat</t>
  </si>
  <si>
    <t>aymanr12@nycstudents.net</t>
  </si>
  <si>
    <t>40-11-72nd street Woodside, New York 11377 United States</t>
  </si>
  <si>
    <t>The Walter H. Crowley School of Leadership at I.S. 5 .</t>
  </si>
  <si>
    <t>Mohammad Anis Uddin Molla</t>
  </si>
  <si>
    <t>anis.u01234@gmail.com</t>
  </si>
  <si>
    <t>Thanwer</t>
  </si>
  <si>
    <t>Mahmud</t>
  </si>
  <si>
    <t>thanwer.mahmud@gmail.com</t>
  </si>
  <si>
    <t>Applied summer 2021 but then told Grace Beniquez that he did not want to do it for the summer (HJ, 7/14/2021)</t>
  </si>
  <si>
    <t>1257 ward avenue bronx. 10472</t>
  </si>
  <si>
    <t>+16469057352</t>
  </si>
  <si>
    <t>Mohammed hussain</t>
  </si>
  <si>
    <t>mohammedhussain.personal@gmail.com</t>
  </si>
  <si>
    <t>Nabiha</t>
  </si>
  <si>
    <t>Momin</t>
  </si>
  <si>
    <t>nabiham7836@nycstudents.net</t>
  </si>
  <si>
    <t>Reasoning N/A Business Idea I want there to be more secerity cameras and a bit more cops in the subways to prevent people from fighting. Social Problem subway</t>
  </si>
  <si>
    <t>40-15 61 ST Apt 6H woodside, New York 11377 United States</t>
  </si>
  <si>
    <t>Thomas J. McCann Intermediate School IS 125Q.</t>
  </si>
  <si>
    <t>Shahnaz Khan</t>
  </si>
  <si>
    <t>khanshahnaz21@gmail.com</t>
  </si>
  <si>
    <t>Niloy</t>
  </si>
  <si>
    <t>niloyahmed2005@gmail.com</t>
  </si>
  <si>
    <t>40-15-76 st Elmhurst 11373 New york</t>
  </si>
  <si>
    <t>+19294241424</t>
  </si>
  <si>
    <t>Begum kulsuma</t>
  </si>
  <si>
    <t>Niloyahmed2005@gmail.com</t>
  </si>
  <si>
    <t>+19294356271</t>
  </si>
  <si>
    <t>Shafayata (Chefonfire)</t>
  </si>
  <si>
    <t>Ahmmed</t>
  </si>
  <si>
    <t>shafayata3@nycstudents.net</t>
  </si>
  <si>
    <t>Additional Email ahmmed.shafayat@gmail.com</t>
  </si>
  <si>
    <t>45-43 44 street 4d New York city, New York 11377 United States</t>
  </si>
  <si>
    <t>jahanara akter</t>
  </si>
  <si>
    <t>ahmmed.mishu@gmail.com</t>
  </si>
  <si>
    <t>Rubaya</t>
  </si>
  <si>
    <t>Nasrin</t>
  </si>
  <si>
    <t>rubayanasrin.student@hseigators.org</t>
  </si>
  <si>
    <t>1270 Gerard Ave, Bronx-NY, 10452</t>
  </si>
  <si>
    <t>+19176407690</t>
  </si>
  <si>
    <t>HS for Excellence and Innovation NY</t>
  </si>
  <si>
    <t>HSEI</t>
  </si>
  <si>
    <t>MD Rahim</t>
  </si>
  <si>
    <t>abrusa751@gmail.com</t>
  </si>
  <si>
    <t>+16467097859</t>
  </si>
  <si>
    <t>Yusuf</t>
  </si>
  <si>
    <t>muhammady19@nycstudents.net</t>
  </si>
  <si>
    <t>45-48 42 Street 1E Sunnyside, New York 11104 United States</t>
  </si>
  <si>
    <t>(347)213-5716</t>
  </si>
  <si>
    <t>Fatema Akter</t>
  </si>
  <si>
    <t>MRK131989@gmail.com</t>
  </si>
  <si>
    <t>Aiza</t>
  </si>
  <si>
    <t>Azad</t>
  </si>
  <si>
    <t>aiza.azad23@gmail.com</t>
  </si>
  <si>
    <t>46-08 74th Street 11373 New York City, New York 11373 United States</t>
  </si>
  <si>
    <t>(929)590-8818</t>
  </si>
  <si>
    <t>Mily Choudhury</t>
  </si>
  <si>
    <t>choudhurymily@yahoo.com</t>
  </si>
  <si>
    <t>(347)806-1164</t>
  </si>
  <si>
    <t>ABAAN</t>
  </si>
  <si>
    <t>kingabaan3@gmail.com</t>
  </si>
  <si>
    <t>civic_leadership Civic leadership involves actively engaging with local issues, advocating for social change, and collaborating with others to improve communities community_impact I can teach how to improve the recycling. passionate_causes sorry i don&amp;#39;t know sdg_awareness i kind of learned Sustainable Development Goals. community_help I think to solve the recyclable problem.</t>
  </si>
  <si>
    <t>5061 43 street Woodside New york, New York 11377 United States</t>
  </si>
  <si>
    <t>Mohammed Ehsan</t>
  </si>
  <si>
    <t>Dr.Ehsan1972@gmail.com</t>
  </si>
  <si>
    <t>(347)596-8509</t>
  </si>
  <si>
    <t>Humayra</t>
  </si>
  <si>
    <t>Barsha</t>
  </si>
  <si>
    <t>h.barsha@ihsph.org</t>
  </si>
  <si>
    <t>52 argyle Rd Brooklyn NY 11218</t>
  </si>
  <si>
    <t>+16315683700</t>
  </si>
  <si>
    <t>IHS - Prospect Heights NY</t>
  </si>
  <si>
    <t>IHSProspectHeights</t>
  </si>
  <si>
    <t>Humaun Kabir</t>
  </si>
  <si>
    <t>Brooklyn College</t>
  </si>
  <si>
    <t>Symphony</t>
  </si>
  <si>
    <t>Uddin</t>
  </si>
  <si>
    <t>symphonyu@nycstudents.net</t>
  </si>
  <si>
    <t>5559 Metropolitan Ave 2nd floor Ridgewood, New York 11385 United States</t>
  </si>
  <si>
    <t>Melanie Rivera</t>
  </si>
  <si>
    <t>M.rivera8207@gmail.com</t>
  </si>
  <si>
    <t>Ishmam</t>
  </si>
  <si>
    <t>i.tahsin2020@flushinginternational.org</t>
  </si>
  <si>
    <t>168-38 104 Ave Jamaica 11433</t>
  </si>
  <si>
    <t>+19545947205</t>
  </si>
  <si>
    <t>Tasmin Mely</t>
  </si>
  <si>
    <t>Jackeline</t>
  </si>
  <si>
    <t>Susano Moran</t>
  </si>
  <si>
    <t>jackeline.moran@casa311.com</t>
  </si>
  <si>
    <t>104 41 41st Ave Queens, NY 11368</t>
  </si>
  <si>
    <t>+13472887412</t>
  </si>
  <si>
    <t>Paulino susano</t>
  </si>
  <si>
    <t>Samia</t>
  </si>
  <si>
    <t>Tasnim</t>
  </si>
  <si>
    <t>samiat19@nycstudents.net</t>
  </si>
  <si>
    <t>61-07 woodside ave</t>
  </si>
  <si>
    <t>+17184138715</t>
  </si>
  <si>
    <t>Summit 2024</t>
  </si>
  <si>
    <t>Jasim Uddin Dakua</t>
  </si>
  <si>
    <t>Saifa</t>
  </si>
  <si>
    <t>Jui</t>
  </si>
  <si>
    <t>saifasabrinj@nycstudents.net</t>
  </si>
  <si>
    <t>Additional Email juisaifa7@gmail.com civic_leadership Yes. Civic leadership is when someone helps guide and improve their community by addressing public issues and encouraging others to get involved. It means using your voice and actions to make a positive difference in society. community_impact I make an impact in my community by helping others through volunteering, supporting local events, and being kind and respectful to those around me. I also try to stay informed about important issues and speak up when I see something that needs to change. passionate_causes I am passionate about helping the environment and making sure everyone has equal opportunities. I care about the environment because protecting nature helps ensure a healthy future for all living things, and I support equality because everyone deserves to be treated fairly and have the chance to succeed, no matter who they are or where they come from. sdg_awareness Yes, I have learned about the Sustainable Development Goals (SDGs). They are a set of 17 global goals created by the United Nations to help end poverty, protect the planet, and ensure peace and prosperity for all by 2030. community_help Everyone should get involved in helping their community because it creates a better, safer, and more supportive place for everyone to live. When people work together to solve problems and support each other, it builds stronger connections and improves life for everyone.</t>
  </si>
  <si>
    <t>61-07 Woodside Ave Woodside New York City, New York 11377 United States</t>
  </si>
  <si>
    <t>(347)901-7164</t>
  </si>
  <si>
    <t>Shabiha Sabnom</t>
  </si>
  <si>
    <t>mitu999213@nycstudents.net</t>
  </si>
  <si>
    <t>(718)413-3658</t>
  </si>
  <si>
    <t>Ashik</t>
  </si>
  <si>
    <t>Irfan</t>
  </si>
  <si>
    <t>ashikeirfan2013@gmail.com</t>
  </si>
  <si>
    <t>Reasoning N/A Business Idea get them to talk more Social Problem introverts get shy</t>
  </si>
  <si>
    <t>7038 Broadway Jackson Heights, New York 11372 United States</t>
  </si>
  <si>
    <t>Summit 2025</t>
  </si>
  <si>
    <t>Aminul Islam Mohammed</t>
  </si>
  <si>
    <t>dhakadxb16@gmail.com</t>
  </si>
  <si>
    <t>Mary</t>
  </si>
  <si>
    <t>Anene</t>
  </si>
  <si>
    <t>mary.a.anene@gmail.com</t>
  </si>
  <si>
    <t>104-25 210 street 11429 new york queens village</t>
  </si>
  <si>
    <t>+19294000474</t>
  </si>
  <si>
    <t>DMLL</t>
  </si>
  <si>
    <t>faith ikomi</t>
  </si>
  <si>
    <t>Grandparent</t>
  </si>
  <si>
    <t>Mary.a.anene@gmail.com</t>
  </si>
  <si>
    <t>(917) 442-9481</t>
  </si>
  <si>
    <t>Mehedi</t>
  </si>
  <si>
    <t>Hasan</t>
  </si>
  <si>
    <t>mehedihasan200516@gmail.com</t>
  </si>
  <si>
    <t>88-19 219st ,Queens village. NY 11427</t>
  </si>
  <si>
    <t>+19292061542</t>
  </si>
  <si>
    <t>Fatima Jannath</t>
  </si>
  <si>
    <t>noosrat.jahan17@gmail.com</t>
  </si>
  <si>
    <t>+13472413502</t>
  </si>
  <si>
    <t>Maliha</t>
  </si>
  <si>
    <t>Rahman</t>
  </si>
  <si>
    <t>malihar12@nycstudents.net</t>
  </si>
  <si>
    <t>Additional Email - knownasmaliha19@gmail.com</t>
  </si>
  <si>
    <t>92-83 219 st queens village, New York 11428 United States</t>
  </si>
  <si>
    <t>(929)602-8634</t>
  </si>
  <si>
    <t>Van Buren High School</t>
  </si>
  <si>
    <t>Van Buren HS</t>
  </si>
  <si>
    <t>marjina akter</t>
  </si>
  <si>
    <t>marjinaa20@gmail.com</t>
  </si>
  <si>
    <t>(347)894-6094</t>
  </si>
  <si>
    <t>Seam</t>
  </si>
  <si>
    <t>PatwaRy</t>
  </si>
  <si>
    <t>seamp@nycstudents.net</t>
  </si>
  <si>
    <t>Elmhurst,ny 11373</t>
  </si>
  <si>
    <t>+16467503868</t>
  </si>
  <si>
    <t>Actor, patwRy</t>
  </si>
  <si>
    <t>Moni</t>
  </si>
  <si>
    <t>saram4208@nycstudents.net</t>
  </si>
  <si>
    <t>NYC woodside, queens</t>
  </si>
  <si>
    <t>MD Jahidul Islam</t>
  </si>
  <si>
    <t>Liza</t>
  </si>
  <si>
    <t>Islam</t>
  </si>
  <si>
    <t>lizaislam973@gmail.com</t>
  </si>
  <si>
    <t>Maleeha</t>
  </si>
  <si>
    <t>Rashid</t>
  </si>
  <si>
    <t>email: Maleeha.Rashid@yahoo.com</t>
  </si>
  <si>
    <t>aminurrashid@yahoo.com</t>
  </si>
  <si>
    <t>Mahfuja</t>
  </si>
  <si>
    <t>mahfuja.khatun@ellisprep.com</t>
  </si>
  <si>
    <t>Mukter Hossain</t>
  </si>
  <si>
    <t>mahfujamitu29@gmail.com</t>
  </si>
  <si>
    <t>Akter</t>
  </si>
  <si>
    <t>saima.akter@ellisprep.com</t>
  </si>
  <si>
    <t>Completed FY 2019 - 2020 but doing it for a second year. Called on 11/16 and stated that she will do the essay tonight.</t>
  </si>
  <si>
    <t xml:space="preserve">3186 rochambeau avn apt 4f bronx ny 10467 </t>
  </si>
  <si>
    <t>347-323-7059</t>
  </si>
  <si>
    <t>speak is the best to find your goal, basically what you intersted on</t>
  </si>
  <si>
    <t>929-575-0464</t>
  </si>
  <si>
    <t>tasnim.jahan@ellisprep.com</t>
  </si>
  <si>
    <t>1/3/22 (Kendi) - updated phone number: 9293518988 from old number: 929-497-5976  Freshman at Hunter College, undeclared but thinking about Health Sciences Completed FY 2019 - 2020 but continued on into FY 2020 - 2021 through school (ELLIS Prep)</t>
  </si>
  <si>
    <t>Hunter College</t>
  </si>
  <si>
    <t>Mahia</t>
  </si>
  <si>
    <t>mahiac4@nycstudents.net</t>
  </si>
  <si>
    <t>Bronx Bridges High School 08X432 NY</t>
  </si>
  <si>
    <t>"#Cheers4Careers,"</t>
  </si>
  <si>
    <t>Tamannna</t>
  </si>
  <si>
    <t>ta3466257@gmail.com</t>
  </si>
  <si>
    <t>929 660 5851</t>
  </si>
  <si>
    <t>hossain</t>
  </si>
  <si>
    <t>2023_mohammedhossain@ihs-us.org</t>
  </si>
  <si>
    <t>466 East 2 street 2fl Brooklyn NY 11218</t>
  </si>
  <si>
    <t>+19176189679</t>
  </si>
  <si>
    <t>Mosammat akter</t>
  </si>
  <si>
    <t>Ishmael</t>
  </si>
  <si>
    <t>Callender</t>
  </si>
  <si>
    <t>isaandishcallender@gmail.com</t>
  </si>
  <si>
    <t>148th avenue, rosedale, new york, 11422</t>
  </si>
  <si>
    <t>+13477068643</t>
  </si>
  <si>
    <t>Lisa Callender</t>
  </si>
  <si>
    <t>twobim@yahoo.com</t>
  </si>
  <si>
    <t>+13472564322</t>
  </si>
  <si>
    <t>Aryna</t>
  </si>
  <si>
    <t>Maletskaya</t>
  </si>
  <si>
    <t>Belarus</t>
  </si>
  <si>
    <t>2025_arynamaletskaya@ihs-us.org</t>
  </si>
  <si>
    <t>Aryna (pronounce as Ariana) Additional Email:  arinanyc2007@icloud.com</t>
  </si>
  <si>
    <t>515 East 7th street Brooklyn, New York 11218 United States</t>
  </si>
  <si>
    <t>Miraslava</t>
  </si>
  <si>
    <t>belinter.miroslava@mail.ru</t>
  </si>
  <si>
    <t>Sadi</t>
  </si>
  <si>
    <t>isadi143@gmail.com</t>
  </si>
  <si>
    <t>89 18 188th hollies, Queens NY-11423</t>
  </si>
  <si>
    <t>+13472856637</t>
  </si>
  <si>
    <t>Zinnat Islam</t>
  </si>
  <si>
    <t>+19294859192</t>
  </si>
  <si>
    <t>Khondoker</t>
  </si>
  <si>
    <t>k.rahman2018@flushinginternational.org</t>
  </si>
  <si>
    <t>In 250 ? 500 words, describe three traits which make you a leader and a strong student. The importance of integrity should be obvious. Though it may not necessarily be a metric in employee evaluations, integrity is essential for the individual and the organization. It?s especially important for top-level executives who are charting the organization?s course and making countless other significant decisions. Ability to Delegate Delegating is one of the core responsibilities of a leader, but it can be tricky to delegate effectively. The goal isn?t just to free yourself up ? it?s also to enable your direct reports, facilitate teamwork, provide autonomy, lead to better decision-making, and help your direct reports grow. In order to delegate well, you also need to build trust with your team. Communication Effective leadership and effective communication are intertwined. You need to be able to communicate in a variety of ways, from transmitting information to coaching your people. And you must be able to listen to and communicate with, a wide range of people across roles, social identities, and more. The quality and effectiveness of communication across your organization directly affect the success of your business strategy, too. The importance of integrity should be obvious. Though it may not necessarily be a metric in employee evaluations, integrity is essential for the individual and the organization. It?s especially important for top-level executives who are charting the organization?s course and making countless other significant decisions. Ability to Delegate Delegating is one of the core responsibilities of a leader, but it can be tricky to delegate effectively. The goal isn?t just to free yourself up ? it?s also to enable your direct reports, facilitate teamwork, provide autonomy, lead to better decision-making, and help your direct reports grow. In order to delegate well, you also need to build trust with your team. Communication Effective leadership and effective communication are intertwined. You need to be able to communicate in a variety of ways, from transmitting information to coaching your people. And you must be able to listen to and communicate with, a wide range of people across roles, social identities, and more. The quality and effectiveness of communication across your organization directly affect the success of your business strategy, too. In 100 ? 250 words, how can SPEAKHIRE help you you boost your own academic profile? Speakhire helps me boost my academic profile is too strong communicate in English and speak in a group of people. It also helps in the college to speak up. Communicate with others makes good connections. It also helps to be a good lecturer. Speakhire is important for me because sometimes I feel shy to speak this is the right time to strengthen my communication skills. Moreover, it helps to be a leader in the group. In 100 ? 250 words, what opportunities do young people who are immigrant and first-generation American currently have to gain awareness of career opportunities? I think for the immigrant and first-generation they should take this program. In 250 ? 500 words, why you would succeed as a SPEAKHIRE for your grade at your school. If you do not meet all the requirements, explain why we should consider you for the position. I think it is good to be a SPEAKHIRE for my grade at my school because this is my final year this is very important after this I have the second step in college so it important for me to attend the SPEAKHIRE to stronger my communication in English. Moreover, after this program, I will encourage my junior that they should attend this program. List the classes you will be taking the upcoming school year and any other activities which will keep you occupied. Please explain to us how many hours a week you will dedicate towards SPEAKHIRE and what your schedule will look like. In college, I am going to take computer science as my final major, and the activities I will take sports like badminton. Outline your main responsibilities as a SPEAKHIRE Ambassador: Meet with Foreign Leaders, Support Foreign Visits</t>
  </si>
  <si>
    <t>92-28 195 PL , Jamaica, Hollis, NY, 11423</t>
  </si>
  <si>
    <t>+16465772548</t>
  </si>
  <si>
    <t>Khondoker Salim</t>
  </si>
  <si>
    <t>k.salim.ny@gmail.com</t>
  </si>
  <si>
    <t>+13477258568</t>
  </si>
  <si>
    <t>Kesang</t>
  </si>
  <si>
    <t>Penjor</t>
  </si>
  <si>
    <t>Bhutan</t>
  </si>
  <si>
    <t>2025_kesangpenjor@ihs-us.org</t>
  </si>
  <si>
    <t>The X Intern was born in the United States, but raised in her home country Bhutan. She speaks English and Dzongkha. She is interested in health sciences, rescue and care. 11 In 250 ? 500 words, describe three traits which make you a leader and a strong student. Three essential traits that define me as both a leader and a strong student are my collaboration, communication, and listening skills. Firstly, my collaborative approach emphasizes teamwork, ensuring every member feels heard and valued. I create an inclusive environment, considering language barriers and distributing tasks based on individual strengths and interests. Secondly, my communication skills help me express my ideas/opinions thoughtfully, and encourage others to participate. Lastly, my strong listening skills contribute significantly to my leadership qualities and academic achievements as when I interact with others I listen to them genuinely and learn from them. Even with the language barrier I make sure to hear their point of view and make sure their voices are also heard by the team. In conclusion, my leadership and academic prowess are grounded in my collaborative mindset, effective communication, and strong listening skills. 12 In 100 ? 250 words, how can SPEAKHIRE help you you boost your own academic profile? Being a part of SPEAKHIRE holds the potential to significantly enhance my academic profile as this platform offers me a unique opportunity to gain in-depth insights into my chosen career field, also provides exposure to various professions and expands my knowledge horizon. Interacting with experts through SPEAKHIRE not only allows me to learn about different aspects of the industry but also serves as a valuable networking experience. Building connections with professionals in my field of interest can open doors to mentorship and potential opportunities.Lastly, SPEAKHIRE is a platform for personal growth and skill development. Engaging with industry experts will not only hone crucial skills such as time management, communication, but will help me prepare for my future career. 13 In 100 ? 250 words, what opportunities do young people who are immigrant and first-generation American currently have to gain awareness of career opportunities? Young immigrants and first-generation Americans have diverse avenues to explore career opportunities. Mentorship programs offer them networking and guidance. They are able to get counselling and career development resources from education institutions. They can get hands-on experience through internships and volunteer work. And through online platforms they can connect with professionals from different career fields and get advice/insights. Young immigrants and first-generation students can also get scholarship cater and government initiatives to fulfill their needs. These resources give young immigrants and first-generation students the ability to make informed decisions about their career paths, enhancing their overall success. 14 In 250 ? 500 words, why you would succeed as a SPEAKHIRE for your grade at your school. If you do not meet all the requirements, explain why we should consider you for the position. I am confident in my ability to succeed as a SPEAKHIRE for my grade at school as my strong work ethic and commitment to continuous improvement set me apart. I value diverse perspectives, especially those of immigrants, and believe in equal opportunities for education. Advocating for inclusivity, I am dedicated to ensuring the voices of immigrants are heard and valued in the educational landscape. While I may not possess every skill in abundance, I am committed to learning and adapting to contribute effectively to the SPEAKHIRE role. My alignment with the requirements, strong work ethic, commitment to inclusivity, and empathy make me a suitable candidate for the position. 15 List the classes you will be taking the upcoming school year and any other activities which will keep you occupied. Please explain to us how many hours a week you will dedicate towards SPEAKHIRE and what your schedule will look like. During school-College Now math, science, english, advisory, history, gym, math, art. After school on Mondays- WLG Tuesday- Peer tutoring and Oppnet Wednesday-SPEAKHIRE (2 to 3 hr) Thursday-SPEAKHIRE (2 to 3 hr) Friday- Peer Tutoring and SPEAKHIRE. Saturdays-college noe critical thinking class 16 Outline your main responsibilities as a SPEAKHIRE Ambassador: Be committed to coming to the meetings, Supporting peers, leading the SPEAKHIRE chapter club and build peer self awareness, leading comunity project.</t>
  </si>
  <si>
    <t>4165 53rd Street Apt#1F Woodside, New York 11377 United States</t>
  </si>
  <si>
    <t>929-418-6259</t>
  </si>
  <si>
    <t>Sonam Dechen</t>
  </si>
  <si>
    <t>sdchophel@gmail.com</t>
  </si>
  <si>
    <t>646-4203062</t>
  </si>
  <si>
    <t>Rinchen</t>
  </si>
  <si>
    <t>Wangmo</t>
  </si>
  <si>
    <t>2024_rinchenwangmo@ihs-us.org</t>
  </si>
  <si>
    <t>10/23-24 -- Cheers4 careers -- no communication, left vm, texts, PQ [BC 6/27] - spk w. Richen for S&amp;amp;S -- PQ 2023 Future Leader Award Recipient (Seminars) About - The X Intern came to America from Bhutan when she was 13 years old. She speaks English and Dzongkha. This is her first year and round in the program. One of the jobs that she listed that she is interested in is, ?neurosurgeon.? Bio - Rinchen Wangmo: Rinchen came to America from Bhutan when she was 13 years old. She is interested in a career in health sciences/medicine. Rinchen describes herself as friendly, smart, and kind. The colleges that she is interested in are, ?Harvard University, New York Medical College, and Hunter College.? Rinchen, we matched you based on your interest in health sciences/medicine.</t>
  </si>
  <si>
    <t>50-21 48st Sunny side, New York, 11377</t>
  </si>
  <si>
    <t>+13479512025</t>
  </si>
  <si>
    <t>Tashi Penjor</t>
  </si>
  <si>
    <t>tashipenjor20@gmail.com</t>
  </si>
  <si>
    <t>+13478066034</t>
  </si>
  <si>
    <t>Yiengchuk</t>
  </si>
  <si>
    <t>Dorji</t>
  </si>
  <si>
    <t xml:space="preserve">Quote from Paul Hastings Summit 2022: "So something I learned on Wednesday the 7th was, How I can manage and not procrastinate. As a high school student who also likes to go outside with friends and hang around, I do pile up a lot of stuff to do "later" so a lot of people during that session gave us their thoughts on what can be done and what they do and that really gave me and opened up new paths for me to do."~ Dorji
</t>
  </si>
  <si>
    <t xml:space="preserve">94-18-55th av elmhurt 11371
</t>
  </si>
  <si>
    <t xml:space="preserve">IHS - Health Sciences NY
</t>
  </si>
  <si>
    <t>Summit 2025, Summit 2024, Summit/Soiree 2023, "#Cheers4Careers,"</t>
  </si>
  <si>
    <t>shearb Dorji and kinley wangmo</t>
  </si>
  <si>
    <t>dorjishearb@gmail.com</t>
  </si>
  <si>
    <t>+19292648863</t>
  </si>
  <si>
    <t>Juan</t>
  </si>
  <si>
    <t>David Baron</t>
  </si>
  <si>
    <t>Colombia</t>
  </si>
  <si>
    <t>j.baron2018@flushinginternational.org</t>
  </si>
  <si>
    <t>108-58 50 av corona, NY, 11368</t>
  </si>
  <si>
    <t>+13478079565</t>
  </si>
  <si>
    <t>Juan cordero</t>
  </si>
  <si>
    <t>pavitas149@gmail.com</t>
  </si>
  <si>
    <t>+13478078371</t>
  </si>
  <si>
    <t>Jannatul</t>
  </si>
  <si>
    <t>Monalisa</t>
  </si>
  <si>
    <t>lisa26465@gmail.com</t>
  </si>
  <si>
    <t>Celine at (YABC) said Monalisa had graduated and has not been continuing any activities even though she said she would (March 29th, 2022)</t>
  </si>
  <si>
    <t>95-07 88st Ozone Park 11416, New York</t>
  </si>
  <si>
    <t>+13475109534</t>
  </si>
  <si>
    <t>NYC Mission - YABC/Bronx Community NY</t>
  </si>
  <si>
    <t>Beauty Khatun</t>
  </si>
  <si>
    <t>khatunbeauty584@yahoo.com</t>
  </si>
  <si>
    <t>+13478704512</t>
  </si>
  <si>
    <t>Fabiana</t>
  </si>
  <si>
    <t>Justiniano</t>
  </si>
  <si>
    <t>Bolivia</t>
  </si>
  <si>
    <t>fabiana2019@flushinginternational.org</t>
  </si>
  <si>
    <t>188 sutter av Brooklyn 11212</t>
  </si>
  <si>
    <t>+15164769650</t>
  </si>
  <si>
    <t>Rosmery Portales</t>
  </si>
  <si>
    <t>portales234@gmail.com</t>
  </si>
  <si>
    <t>+17188100304</t>
  </si>
  <si>
    <t>Yannelle</t>
  </si>
  <si>
    <t>Kunakey</t>
  </si>
  <si>
    <t>Benin</t>
  </si>
  <si>
    <t>yannellekunakey@gmail.com</t>
  </si>
  <si>
    <t>Made her inactive april 19th because she just could not commit to a match time after having matched her with Oishee Dasgupta (HJ, 4/19/22)</t>
  </si>
  <si>
    <t>8420 Pitkin avenue apt 1R Ozone Park 11417</t>
  </si>
  <si>
    <t>+13475458543</t>
  </si>
  <si>
    <t>Suzanne Dalmeida</t>
  </si>
  <si>
    <t>verane05@hotmail.com</t>
  </si>
  <si>
    <t>+13472798447</t>
  </si>
  <si>
    <t>Mayra (May)</t>
  </si>
  <si>
    <t>Poma</t>
  </si>
  <si>
    <t>2025_mayrapoma@ihs-us.org</t>
  </si>
  <si>
    <t>Attended Google: Code Next on Feb 21, 2024 - Has a Speakhire shirt Additional Email -  mayitagpm@gmail.com</t>
  </si>
  <si>
    <t>61-14 broadway 1 FL Woodside, New York 11377 United States</t>
  </si>
  <si>
    <t>Pamela Mita</t>
  </si>
  <si>
    <t>pmitaz@gmail.com</t>
  </si>
  <si>
    <t>Alejandra.</t>
  </si>
  <si>
    <t>Minan Rodriguez</t>
  </si>
  <si>
    <t>2025_alejandraminan@ihs-us.org</t>
  </si>
  <si>
    <t>460 49 st Brooklyn ap 13 zip 11220</t>
  </si>
  <si>
    <t>+19175866936</t>
  </si>
  <si>
    <t>Ruth Rodriguez</t>
  </si>
  <si>
    <t>Amer</t>
  </si>
  <si>
    <t>Godusevic</t>
  </si>
  <si>
    <t>Bosnia and Herzegovina</t>
  </si>
  <si>
    <t>amernyc2008@gmail.com</t>
  </si>
  <si>
    <t>Reasoning N/A Business Idea HomeFirst, a company centered around offering housing and opportunities to those in need. Social Problem Homeles</t>
  </si>
  <si>
    <t>2565 Colden Avenue Bronx, New York 10469 United States</t>
  </si>
  <si>
    <t>(929)877-2732</t>
  </si>
  <si>
    <t>NYCID</t>
  </si>
  <si>
    <t>Bernad Godusevic</t>
  </si>
  <si>
    <t>bekinycboy25@aol.com</t>
  </si>
  <si>
    <t>(347)306-2347</t>
  </si>
  <si>
    <t>Almina</t>
  </si>
  <si>
    <t>Hodzic</t>
  </si>
  <si>
    <t>267-331-1061</t>
  </si>
  <si>
    <t>dinetahodzic2012@comcast.com</t>
  </si>
  <si>
    <t>215-439-2968</t>
  </si>
  <si>
    <t>Yuxi</t>
  </si>
  <si>
    <t>Yang</t>
  </si>
  <si>
    <t>China</t>
  </si>
  <si>
    <t>yyang2019@flushinginternational.org</t>
  </si>
  <si>
    <t>HJ changed her language from not comfortable to somewhat comfortable based on the time of arrival to the U.S. and other short answer responses (10/11/21)</t>
  </si>
  <si>
    <t>42-18 College Point?Flushing?NY?11355</t>
  </si>
  <si>
    <t>+19294989159</t>
  </si>
  <si>
    <t>Qiangqin Lin</t>
  </si>
  <si>
    <t>709713576@qq.com</t>
  </si>
  <si>
    <t>+16462263011</t>
  </si>
  <si>
    <t>Pontes</t>
  </si>
  <si>
    <t>Brazil</t>
  </si>
  <si>
    <t>2023_juliapontes@ihs-us.org</t>
  </si>
  <si>
    <t>30 River Road, new york, NY 10044</t>
  </si>
  <si>
    <t>+19299339920</t>
  </si>
  <si>
    <t>Antonio Pontes</t>
  </si>
  <si>
    <t>+16466181399</t>
  </si>
  <si>
    <t>Matheus</t>
  </si>
  <si>
    <t>Teodoro</t>
  </si>
  <si>
    <t>matheust2@nycstudents.net</t>
  </si>
  <si>
    <t xml:space="preserve">450 west 147 street new york, New York 10031 United States
</t>
  </si>
  <si>
    <t xml:space="preserve">(646)853-9140
</t>
  </si>
  <si>
    <t xml:space="preserve">IHS - Union Square NY
</t>
  </si>
  <si>
    <t>Fernanda Teodoro</t>
  </si>
  <si>
    <t>fernanda110974@gmail.com</t>
  </si>
  <si>
    <t>(646)923-3313</t>
  </si>
  <si>
    <t>Arthur</t>
  </si>
  <si>
    <t>Barbosa</t>
  </si>
  <si>
    <t>2026_arthurdarocha@ihs-us.org</t>
  </si>
  <si>
    <t>Additional email -  2026_arthurdarocha@ihs-us.org</t>
  </si>
  <si>
    <t>812 New York Ave Union City, NJ 07087 Union City, New Jersey 07087 United States</t>
  </si>
  <si>
    <t>amanda da rocha</t>
  </si>
  <si>
    <t>art9058760@gmail.com</t>
  </si>
  <si>
    <t>Adissa</t>
  </si>
  <si>
    <t>Nakoulma</t>
  </si>
  <si>
    <t>Burkina Faso (Upper Volta)</t>
  </si>
  <si>
    <t>divinenak20@gmail.com</t>
  </si>
  <si>
    <t>31 Clinton Pl</t>
  </si>
  <si>
    <t>+19293235528</t>
  </si>
  <si>
    <t>(BTHS) Bronx Theatre High School NY</t>
  </si>
  <si>
    <t>JFK Campus</t>
  </si>
  <si>
    <t>Ami Thiombiano</t>
  </si>
  <si>
    <t>Wendinso</t>
  </si>
  <si>
    <t>Kabore</t>
  </si>
  <si>
    <t>2025_estellekabore@ihs-us.org</t>
  </si>
  <si>
    <t>The X Intern came to the United States when she was 14 years old from Burkina Faso. She speaks English and French. This is her second round in the program. She is interested in law, social sciences/psychology, entertainment/lifestyle, and real estate.</t>
  </si>
  <si>
    <t>3641 Willet Ave Bronx, New York 10467 United States</t>
  </si>
  <si>
    <t>+19294972304</t>
  </si>
  <si>
    <t>Dorothy Thomas</t>
  </si>
  <si>
    <t>Aunt / Uncle / Guardian</t>
  </si>
  <si>
    <t>Zakaria</t>
  </si>
  <si>
    <t>Billa</t>
  </si>
  <si>
    <t>zakaria.billa@ichsbronx.org</t>
  </si>
  <si>
    <t>870 E 163 st #3 Bronx NYC 10459</t>
  </si>
  <si>
    <t>+19294512280</t>
  </si>
  <si>
    <t>Safietou Gampine</t>
  </si>
  <si>
    <t>safietoulatifu98@gmail.com</t>
  </si>
  <si>
    <t>+19176034051</t>
  </si>
  <si>
    <t>Pablo</t>
  </si>
  <si>
    <t>p.just2018@flushinginternational.org</t>
  </si>
  <si>
    <t>188 Sutter Ave. Brooklyn, NY 11212</t>
  </si>
  <si>
    <t>+15165037228</t>
  </si>
  <si>
    <t>Ross Portales</t>
  </si>
  <si>
    <t>panlojustiniano@gmail.com</t>
  </si>
  <si>
    <t>Oceanne</t>
  </si>
  <si>
    <t>Compaore</t>
  </si>
  <si>
    <t>oceanne.compaore@ellisprep.com</t>
  </si>
  <si>
    <t>932 Bronx Park South #5A Bronx, N.Y. 10460</t>
  </si>
  <si>
    <t>+19176509862</t>
  </si>
  <si>
    <t>Zalissa</t>
  </si>
  <si>
    <t>Kadidiatou</t>
  </si>
  <si>
    <t>Traore</t>
  </si>
  <si>
    <t>kadidiatoutraore@claremontihs.org</t>
  </si>
  <si>
    <t>3/15/22 Attendance currently showing as 0, as of now she has attended every session SB</t>
  </si>
  <si>
    <t>Bronx 2640 Marion Avenue Apt 4L 10458</t>
  </si>
  <si>
    <t>+19292639109</t>
  </si>
  <si>
    <t>Souleymane Traore</t>
  </si>
  <si>
    <t>Brother</t>
  </si>
  <si>
    <t>Fonmondjeneba@gmail.com</t>
  </si>
  <si>
    <t>+13472590357</t>
  </si>
  <si>
    <t>Shaimaa</t>
  </si>
  <si>
    <t>Majzoub</t>
  </si>
  <si>
    <t>Brazil, Lebanon</t>
  </si>
  <si>
    <t>South America, Asia</t>
  </si>
  <si>
    <t>sm258646413@crotonaihs.org</t>
  </si>
  <si>
    <t>626 Crescent Avenue, Apt 2, Bronx, NY 10458</t>
  </si>
  <si>
    <t>+19176008582</t>
  </si>
  <si>
    <t>Crotona International High School NY</t>
  </si>
  <si>
    <t>Samar Majzoub</t>
  </si>
  <si>
    <t>Ouedraogo</t>
  </si>
  <si>
    <t>wouedraogo@crotonaihs.org</t>
  </si>
  <si>
    <t>11/22/23 Hetal spoke with Wendi -- we were finally able to get an updated number after Priscila emailed her and we asked for her new number -- Hetal updated her phone number from her old phone number ( 6464270086) -- also talked to her about starting her COMMON APP and considering NYU and Columbia as an HEOP student -- Hetal to follow up with Wendi about her eligibility -- SAT scores were only total 890 and she only took Algebra and ELA regents and did about 75 and 65 respectively; she didn't see the email about Career Connector in time and was bummed she missed that opportunity - but is excited to reconnect with Rikita (Champion) for STAR Training on Dec 19th, and also to make new friends at #Cheers4Careers event Wendy told Shanneell that she does not want to continue FY21-22 IR2; Hetal made inactive 1/14/22 wouedraogo@crotonaihs.org - primary mouedraogo2006@gmail.com - secondary In 250 ? 500 words, describe three traits which make you a leader and a strong student. I can be a good teacher for explanations or helping with work.I can be helpful to other I have a great trait in helping others and I have a great communication skills,also I try to participate in every class to improve my skill in talking and also I have a strong maintenance in completing my work in school. A trait that make me a leader i would say that i would try to explain an paragraph that my camarades will be able to understand.And I like to explain it step-by-step . In 100 ? 250 words, how can SPEAKHIRE help you you boost your own academic profile? Speakhire can help me boost my academic profile by helping gain more experience in work and leadership. Speakhire will help me build more confidence in leadership,its will also give me more internship opportunities and help obtain career opportunities . Speakhire could help me boost my own academic because they will provide me more experience on leadership,also on my future dream career. In 100 ? 250 words, what opportunities do young people who are immigrant and first-generation American currently have to gain awareness of career opportunities? They need to gain experience with working with people,gain opportunities and more. They need to gain confidence in themselves,learn more about the system of the country and be more aware of the obstacles that will come in the future. Immigrant and first generation American need to gain awareness to be ready for the upcoming obstacle,also to try to help them know what they going in to and to help them get experience . In 250 ? 500 words, why you would succeed as a SPEAKHIRE for your grade at your school. If you do not meet all the requirements, explain why we should consider you for the position. Because Speakhire will help me gain experience,opportunities and help me gain confidence in my own work. It would help me being organize and also put some difficult challenges to help me be more resilient. I will succeed to gain more experience .If i don?t meet the requirement, I would try to ask for my mistakes and try to improve it or i would try something else . List the classes you will be taking the upcoming school year and any other activities which will keep you occupied. Please explain to us how many hours a week you will dedicate towards SPEAKHIRE and what your schedule will look like. Business,coding,typing Business class,coding class.I would dedicate 2-3 hours weekly in it. Business,coding,leadership classes,typing,speech,improve my English. Outline your main responsibilities as a SPEAKHIRE Ambassador: My main responsibility as an Speakhire ambassador is that i have to make people feel confident,help them when they need your help and try to be helpful . Checking in with others students outside and inside school,meeting with my leader. Being responsible to be an good ambassador,try my best,give all i have.</t>
  </si>
  <si>
    <t>Sompasate Hortense</t>
  </si>
  <si>
    <t xml:space="preserve">CUNY - Baruch </t>
  </si>
  <si>
    <t>Noumbi</t>
  </si>
  <si>
    <t>Cameroon</t>
  </si>
  <si>
    <t>yann.gleinn@gmail.com</t>
  </si>
  <si>
    <t>5/21/24 - Sponsor Registration - chose business for Main Career Interest  1.21.23 - HJ - sophomore: now considering comp sci as a minor  Yann.gleinn@gmail.com new email updated on 1/3/23 from old email: yann.noumbi@ellisprep.com 1/3/23 (Kendi) - Studying at SUNY New Paltz, undeclared but thinking about computer science</t>
  </si>
  <si>
    <t>Summit 2025, Summit 2024, Summit/Soiree 2023, ICAN</t>
  </si>
  <si>
    <t>Athanase Noumbi</t>
  </si>
  <si>
    <t>Noumbis@yahoo.fr</t>
  </si>
  <si>
    <t>Suny New Palt</t>
  </si>
  <si>
    <t>Graham</t>
  </si>
  <si>
    <t>Wallace</t>
  </si>
  <si>
    <t>Canada</t>
  </si>
  <si>
    <t>grahamw4@nycstudents.net</t>
  </si>
  <si>
    <t>Additional Email grahamwallacealt@gmail.com</t>
  </si>
  <si>
    <t>42-05 48th Ave. Woodside, New York 11377 United States</t>
  </si>
  <si>
    <t>(914)906-5564</t>
  </si>
  <si>
    <t>Elizabeth Mann</t>
  </si>
  <si>
    <t>ebmann@gmail.com</t>
  </si>
  <si>
    <t>(347)807-5357</t>
  </si>
  <si>
    <t>Damian</t>
  </si>
  <si>
    <t>Fenoutt</t>
  </si>
  <si>
    <t>Chile</t>
  </si>
  <si>
    <t>dfenout21@is125q.org</t>
  </si>
  <si>
    <t>37-76 62nd St Woodside, NY 11377</t>
  </si>
  <si>
    <t>+18453276685</t>
  </si>
  <si>
    <t>Nicole Gaete</t>
  </si>
  <si>
    <t>Allison</t>
  </si>
  <si>
    <t>Dominican Republic, Chile</t>
  </si>
  <si>
    <t>North America, South America</t>
  </si>
  <si>
    <t>ap260483581@crotonaihs.org</t>
  </si>
  <si>
    <t>Additional email:  perezalison@icloud.com The X Intern came to the United States when she was 15 and she is from Chile. The universities that interest her here are: Harvard University and Stanford University. She's interested in business and health sciences.</t>
  </si>
  <si>
    <t>2357 washington ave Bronx, New York 10458 United States</t>
  </si>
  <si>
    <t>Sabrina manzanillo fabian</t>
  </si>
  <si>
    <t>mansanillofaviansabrina@gmail.com</t>
  </si>
  <si>
    <t>Hongning</t>
  </si>
  <si>
    <t>Wei</t>
  </si>
  <si>
    <t>hongning.wei@live.lagcc.cuny.edu</t>
  </si>
  <si>
    <t>1/13/23 - HJ -  health science interest -- wants to work in hospital in some aspect now. Couldn't come to All Things Colgate event on 1/18/23 because of an exam for  a winter class. Discussed her getting a work study job and staying in touch. Updated her email to her CUNY email to add to alum newsletter. 1/3/23 - Currently studying at Laguardia Community College, majoring in Nutrition and Culinary (KW)Living in Queens  Old email: WEI.HONGNING@emmalazarus.org</t>
  </si>
  <si>
    <t>101 E Broadway Apt 2D</t>
  </si>
  <si>
    <t>Emma Lazarus International HS NY</t>
  </si>
  <si>
    <t>Aiyu Hong</t>
  </si>
  <si>
    <t>Guardian</t>
  </si>
  <si>
    <t>wei.hongning@emmalazarus.org</t>
  </si>
  <si>
    <t>Yuzhi</t>
  </si>
  <si>
    <t>Fang</t>
  </si>
  <si>
    <t>yuzhi2019@flushinginternational.org</t>
  </si>
  <si>
    <t>102-14 Lewis Ave., Corona, NY, 11368, Apt 1D</t>
  </si>
  <si>
    <t>+19293832321</t>
  </si>
  <si>
    <t>Chunguang Song</t>
  </si>
  <si>
    <t>jackgoodboy@gmail.com</t>
  </si>
  <si>
    <t>+16314807816</t>
  </si>
  <si>
    <t>Qingyang</t>
  </si>
  <si>
    <t>Lin</t>
  </si>
  <si>
    <t>2991018329@qq.com</t>
  </si>
  <si>
    <t>School Email: qingyang2019@flushinginternation.org</t>
  </si>
  <si>
    <t>123-15 23 ave, College point NY NY 11356</t>
  </si>
  <si>
    <t>+13478281685</t>
  </si>
  <si>
    <t>Chen qiu</t>
  </si>
  <si>
    <t>+13473481685</t>
  </si>
  <si>
    <t>I Chean (Veronica)</t>
  </si>
  <si>
    <t>Hung</t>
  </si>
  <si>
    <t>ichean2019@flushinginternational.org</t>
  </si>
  <si>
    <t>132-06 Avery Avenue, Flushing, Queens, NY 11355</t>
  </si>
  <si>
    <t>+13479053126</t>
  </si>
  <si>
    <t>Meng Qiu</t>
  </si>
  <si>
    <t>Uncle/ Aunt/ Guardian</t>
  </si>
  <si>
    <t>annieqiu0605@gmail.com</t>
  </si>
  <si>
    <t>+13472820088</t>
  </si>
  <si>
    <t>Zihan</t>
  </si>
  <si>
    <t>Zhang</t>
  </si>
  <si>
    <t>zihan2019@flushinginternational.org</t>
  </si>
  <si>
    <t>132-35 Sanford Ave. Apt 410, Flushing, NY, 11355</t>
  </si>
  <si>
    <t>+19294983217</t>
  </si>
  <si>
    <t>Chun Zhang</t>
  </si>
  <si>
    <t>zh.zhang1399416644@gmail.com</t>
  </si>
  <si>
    <t>+19299000499</t>
  </si>
  <si>
    <t>Angel</t>
  </si>
  <si>
    <t>Cedeno</t>
  </si>
  <si>
    <t>Venezuela</t>
  </si>
  <si>
    <t>angelc4323@nycstudents.net</t>
  </si>
  <si>
    <t>4602 47 avenue</t>
  </si>
  <si>
    <t>lorena cedeno</t>
  </si>
  <si>
    <t>Mingyu (Carl)</t>
  </si>
  <si>
    <t>Huo</t>
  </si>
  <si>
    <t>m.huo2018@flushinginternational.org</t>
  </si>
  <si>
    <t>133-06 41st Ave Flushing NY 11355</t>
  </si>
  <si>
    <t>+19293199980</t>
  </si>
  <si>
    <t>Wu yan</t>
  </si>
  <si>
    <t>+16463010630</t>
  </si>
  <si>
    <t>Yafei</t>
  </si>
  <si>
    <t>Huang</t>
  </si>
  <si>
    <t>yafh0609@gmail.com</t>
  </si>
  <si>
    <t>Hetal changed from 'somewhat comfortable' to 'very comfortable' when IR1 champion - Annie Camey Kuo said they mostly dialogue in English (1/10/22) Hetal changed the language from not comfortable to somewhat comfortable from app responses</t>
  </si>
  <si>
    <t>134-21 59Ave Flushing, NY 11355</t>
  </si>
  <si>
    <t>+19292767588</t>
  </si>
  <si>
    <t>Guoxiangdi Huang and Ying Huang</t>
  </si>
  <si>
    <t>huangguowen23@gmail.com</t>
  </si>
  <si>
    <t>+19293188667</t>
  </si>
  <si>
    <t>Bohan</t>
  </si>
  <si>
    <t>bohan2019@flushinginternational.org</t>
  </si>
  <si>
    <t>140-54 34th Ave, Flushing, NY 11354</t>
  </si>
  <si>
    <t>+19295639355</t>
  </si>
  <si>
    <t>Xiuqin Liu</t>
  </si>
  <si>
    <t>78liuxiuqin@gmail.com</t>
  </si>
  <si>
    <t>+19294101598</t>
  </si>
  <si>
    <t>Zhihui</t>
  </si>
  <si>
    <t>Guo</t>
  </si>
  <si>
    <t>zhihui2019@flushinginternational.org</t>
  </si>
  <si>
    <t>141  15 Negundo ave ,Fushing NY 11355</t>
  </si>
  <si>
    <t>+19294109640</t>
  </si>
  <si>
    <t>Qinfang weng</t>
  </si>
  <si>
    <t>2365503365@qq.com</t>
  </si>
  <si>
    <t>Siyan</t>
  </si>
  <si>
    <t>siyan2019@flushinginternational.org</t>
  </si>
  <si>
    <t>143-28 22rd Whitestone NY 11357, 143-28 22rd Whitestone NY 11357</t>
  </si>
  <si>
    <t>+19293298834</t>
  </si>
  <si>
    <t>Xuexia Wen</t>
  </si>
  <si>
    <t>lalawu0521@gmail.com</t>
  </si>
  <si>
    <t>+13477834958</t>
  </si>
  <si>
    <t>Zhihao</t>
  </si>
  <si>
    <t>zhihao2019@flushinginternational.org</t>
  </si>
  <si>
    <t>143-49 Barclay Ave, Flushing NY 11355</t>
  </si>
  <si>
    <t>+19299392022</t>
  </si>
  <si>
    <t>Qiaoling Li</t>
  </si>
  <si>
    <t>+13479783983</t>
  </si>
  <si>
    <t>Jingru</t>
  </si>
  <si>
    <t>Feng</t>
  </si>
  <si>
    <t>jingru2019@flushinginternational.org</t>
  </si>
  <si>
    <t>146-15 58th Ave Flushing 11355 NY</t>
  </si>
  <si>
    <t>+13473993044</t>
  </si>
  <si>
    <t>Xinjian Feng</t>
  </si>
  <si>
    <t>www548045@gmai.com</t>
  </si>
  <si>
    <t>+13475068423</t>
  </si>
  <si>
    <t>Edison</t>
  </si>
  <si>
    <t>Lam</t>
  </si>
  <si>
    <t>lamedison27@gmail.com</t>
  </si>
  <si>
    <t>14722 jasmine ave</t>
  </si>
  <si>
    <t>+19293627548</t>
  </si>
  <si>
    <t>Kan Lam</t>
  </si>
  <si>
    <t>JiaJing</t>
  </si>
  <si>
    <t>jiajing2019@flushinginternational.org</t>
  </si>
  <si>
    <t>Hetal updated from 'Not Comfortable' to 'Somewhat Comfortable' based on Commitment essay responses</t>
  </si>
  <si>
    <t>116-10 14RD 2RT flushing NY 11356</t>
  </si>
  <si>
    <t>+19179634910</t>
  </si>
  <si>
    <t>Jiabi wang</t>
  </si>
  <si>
    <t>ljy20200829@gmail.com</t>
  </si>
  <si>
    <t>Wanting</t>
  </si>
  <si>
    <t>wantingh85@gmail.com</t>
  </si>
  <si>
    <t>134-29 60ave flushing 11355</t>
  </si>
  <si>
    <t>+17246055880</t>
  </si>
  <si>
    <t>jianzhen hu</t>
  </si>
  <si>
    <t>1442213147@qq.com</t>
  </si>
  <si>
    <t>+19292313357</t>
  </si>
  <si>
    <t>Liuyi</t>
  </si>
  <si>
    <t>Qiu</t>
  </si>
  <si>
    <t>qiuliuyi197@gmail.com</t>
  </si>
  <si>
    <t>149-06 NORTHERN Blvd APT 306 Flushing NY 11354</t>
  </si>
  <si>
    <t>+19293236003</t>
  </si>
  <si>
    <t>Na Liu</t>
  </si>
  <si>
    <t>+19298881811</t>
  </si>
  <si>
    <t>Jiaying</t>
  </si>
  <si>
    <t>Zhu</t>
  </si>
  <si>
    <t>j.zhu2018@flushinginternational.org</t>
  </si>
  <si>
    <t>Put that she is somewhat comfortable in English on her application but her teacher said she is comfortable so we can match her with someone on language if needed but not necessary (HJ, 2/23/21)</t>
  </si>
  <si>
    <t>163-60, 20th Ave, Whitestone, NY, 11357</t>
  </si>
  <si>
    <t>+19175193971</t>
  </si>
  <si>
    <t>Zaccur Zhu</t>
  </si>
  <si>
    <t>zaccurzhu@gmail.com</t>
  </si>
  <si>
    <t>+19178324995</t>
  </si>
  <si>
    <t>Yuxin</t>
  </si>
  <si>
    <t>Gong</t>
  </si>
  <si>
    <t>g.yuxin2020@flushinginternational.org</t>
  </si>
  <si>
    <t>phone number: &amp;#43;16318899536 email: g.yuxin2020@flushinginternational.org</t>
  </si>
  <si>
    <t>14214 26th Ave</t>
  </si>
  <si>
    <t>+16318899536</t>
  </si>
  <si>
    <t>Yao</t>
  </si>
  <si>
    <t>Rongze</t>
  </si>
  <si>
    <t>Yu</t>
  </si>
  <si>
    <t>2023_rongzeyu@ihs-us.org</t>
  </si>
  <si>
    <t>HJ updated the phone number 4/8/22  12/20/21 SB update language from &amp;#34;not comfortable&amp;#34; to &amp;#34;Very comfortable&amp;#34; based on responses</t>
  </si>
  <si>
    <t>170 Henry St, Apt 2A, New York, NY 10002</t>
  </si>
  <si>
    <t>908-423-9639</t>
  </si>
  <si>
    <t>Yingyu Yu</t>
  </si>
  <si>
    <t>yingyuyu19@gmail.com</t>
  </si>
  <si>
    <t>+19173783694</t>
  </si>
  <si>
    <t>Yongqiang</t>
  </si>
  <si>
    <t>y.tan2018@flushinginternational.org</t>
  </si>
  <si>
    <t>206-54 46th ave 1F bayside NY 11361</t>
  </si>
  <si>
    <t>+13475065599</t>
  </si>
  <si>
    <t>Li and Tan</t>
  </si>
  <si>
    <t>tyq2003827ch@gmail.com</t>
  </si>
  <si>
    <t>+19293910881</t>
  </si>
  <si>
    <t>Marte Vasquez</t>
  </si>
  <si>
    <t>fernandamartevasquez@claremontihs.org</t>
  </si>
  <si>
    <t>In 250 ? 500 words, describe three traits which make you a leader and a strong student. 1-Decision, make good decisions, no matter what it is, I get what I want and I get it because I dedicate myself and always give my best.
2- Willingness, I am always willing to help whoever needs me, no matter how many times it is necessary.
3- Delivery, I give myself to projects regardless of the hours I have to leave on it, until I don't get what I want and I succeed in it. In 100 ? 250 words, how can SPEAKHIRE help you you boost your own academic profile? They can help me either for university purposes, it helps me exercise my leadership skills, they give me opportunities to meet other people whether they are professionals or not and they will help me with me improve my English and communication. In 100 ? 250 words, what opportunities do young people who are immigrant and first-generation American currently have to gain awareness of career opportunities? One of the opportunities that immigrants and the first generation of the United States have are university scholarships, free educational programs, develop and improve English as a first or second language, also people who do not have the requirements to enter university the government them it helps monetarily. In 250 ? 500 words, why you would succeed as a SPEAKHIRE for your grade at your school. If you do not meet all the requirements, explain why we should consider you for the position. I will help people in the sense that they feel comfortable when talking about a topic or anything, I will help with the purpose of being understood by others and that they can express themselves correctly to others. I will support them by giving them affection and understanding, understanding each person's form and making them feel free and comfortable when they speak and that they themselves discover their skills. I can be a good leader since I have stood out as a good student and I also like to share my ideas, participate in classes, I like to help others, that they understand everything and they can also stand out as good students List the classes you will be taking the upcoming school year and any other activities which will keep you occupied. Please explain to us how many hours a week you will dedicate towards SPEAKHIRE and what your schedule will look like. My classes are science, history, algebra 2, advanced math, AP Spanish language and ELA , these classes last an hour. I take the 6 classes from Monday to Thursday and one class on Friday. Outline your main responsibilities as a SPEAKHIRE Ambassador: 1-Intern attendance at all club activities.
2-Ensure each intern feels supported and engaged during the club and civic engagement project.
3- Ambassador are prepare to lead their peers and practicing skills</t>
  </si>
  <si>
    <t>960 grand concourse apt 6m Bronx, NY 10451</t>
  </si>
  <si>
    <t>+19294978226</t>
  </si>
  <si>
    <t xml:space="preserve">"Thank you for always providing good topics for learning, to think about our future careers and to develop ourselves more with more skills."
</t>
  </si>
  <si>
    <t>Juan Marte</t>
  </si>
  <si>
    <t>juanfernandomartes1962@gmail.com</t>
  </si>
  <si>
    <t>+19293039555</t>
  </si>
  <si>
    <t>Chuanxun</t>
  </si>
  <si>
    <t>chuanxun2019@flushinginternational.org</t>
  </si>
  <si>
    <t>143-68 Sanford Ave Flushing NY,11355</t>
  </si>
  <si>
    <t>+19173413528</t>
  </si>
  <si>
    <t>lingju wang</t>
  </si>
  <si>
    <t>821091903@qq.com</t>
  </si>
  <si>
    <t>Chenghao</t>
  </si>
  <si>
    <t>chenghao2019@flushinginternational.org</t>
  </si>
  <si>
    <t>144-05 38AVE, Flushing, NY, 11354</t>
  </si>
  <si>
    <t>+17184273224</t>
  </si>
  <si>
    <t>Congli Bao</t>
  </si>
  <si>
    <t>conglibao@gmail.org</t>
  </si>
  <si>
    <t>+19293368818</t>
  </si>
  <si>
    <t>Xuyuan</t>
  </si>
  <si>
    <t>Zhao</t>
  </si>
  <si>
    <t>2023_xuyuanzhao@ihs-us.org</t>
  </si>
  <si>
    <t>21 Eldridge Street Apt 12, New York, NY 10002</t>
  </si>
  <si>
    <t>+19295335303</t>
  </si>
  <si>
    <t>Weidong Zhao</t>
  </si>
  <si>
    <t>1903672755@qq.com</t>
  </si>
  <si>
    <t>+19292581539</t>
  </si>
  <si>
    <t>Kaite</t>
  </si>
  <si>
    <t>Cai</t>
  </si>
  <si>
    <t>kaite2019@flushinginternational.org</t>
  </si>
  <si>
    <t>22-05 119th st College point NY 11356</t>
  </si>
  <si>
    <t>+16469618600</t>
  </si>
  <si>
    <t>Kaiwei Cai</t>
  </si>
  <si>
    <t>kaiwei.cai15@gmail.com</t>
  </si>
  <si>
    <t>+13478279326</t>
  </si>
  <si>
    <t>Yeling</t>
  </si>
  <si>
    <t>yeling2019@flushinginternational.org</t>
  </si>
  <si>
    <t>Hetal changed from 'somewhat comfortable' to 'very comfortable' when IR1 champion - Annie Camey Kuo said they mostly dialogue in English (1/10/22)</t>
  </si>
  <si>
    <t>32-17 Linden PL 2B, Flushing, NY 11354</t>
  </si>
  <si>
    <t>+13479252321</t>
  </si>
  <si>
    <t>Fang Li</t>
  </si>
  <si>
    <t>lyl505116@gmail.com</t>
  </si>
  <si>
    <t>+13476015618</t>
  </si>
  <si>
    <t>Hanbin</t>
  </si>
  <si>
    <t>Wan</t>
  </si>
  <si>
    <t>hanbin.wan@flushinginternational.org</t>
  </si>
  <si>
    <t>Hetal added 5 sessions into the 2019 Internship count field because we missed Hanbin during FY20-21 IR3 matching, but Hanbin otherwise has shown excellent attendance (HJ, 6/11/21) In 250 ? 500 words, describe three traits which make you a leader and a strong student. 1: One thing that makes me be a strong student is I can care for other's minds even though I do not agree with their idea. 2: I have strong creativity to make the design of the graph. 3: I respect everyone whatever their religion, race, and color of skin, and I would provide my best service to them. In 100 ? 250 words, how can SPEAKHIRE help you you boost your own academic profile? SOEAKHIRE can help me be more strong at communication with other students so that I can develop my speaking in English, and also I could learn more skills which I never touched before. In 100 ? 250 words, what opportunities do young people who are immigrant and first-generation American currently have to gain awareness of career opportunities? . In 250 ? 500 words, why you would succeed as a SPEAKHIRE for your grade at your school. If you do not meet all the requirements, explain why we should consider you for the position. I really need to improve my leadership, and I wish to be a good leader as well as some great leaders who can contribute to others. I am always fear to talk with others so that I have to overcome such weakness. List the classes you will be taking the upcoming school year and any other activities which will keep you occupied. Please explain to us how many hours a week you will dedicate towards SPEAKHIRE and what your schedule will look like. For every week, I will spend 15 hours to work on my SPEAKHIRE. Outline your main responsibilities as a SPEAKHIRE Ambassador: I need to show my responsibilities of respect, care, and leadership to be a typical model.</t>
  </si>
  <si>
    <t>3620 Bowne st 6k</t>
  </si>
  <si>
    <t>Mother -- 7187916116</t>
  </si>
  <si>
    <t>Xian Gao</t>
  </si>
  <si>
    <t>cicigao123@gmail.com</t>
  </si>
  <si>
    <t>+17187916116</t>
  </si>
  <si>
    <t>Longyu</t>
  </si>
  <si>
    <t>longyu2019@flushinginternational.org</t>
  </si>
  <si>
    <t>38-25 Parsons Blvd, Flushing NY 11354</t>
  </si>
  <si>
    <t>+19293295021</t>
  </si>
  <si>
    <t>Fangzheng Lin</t>
  </si>
  <si>
    <t>2090862802@qq.com</t>
  </si>
  <si>
    <t>+16313199777</t>
  </si>
  <si>
    <t>Shengmin(Jayden)</t>
  </si>
  <si>
    <t>Jin</t>
  </si>
  <si>
    <t>jaydenjin205@gmail.com</t>
  </si>
  <si>
    <t>144-44 41st ave 1k Flushing, NY 11355</t>
  </si>
  <si>
    <t>+19179120323</t>
  </si>
  <si>
    <t>Wenri Jin</t>
  </si>
  <si>
    <t>Xiuyan</t>
  </si>
  <si>
    <t>Piao</t>
  </si>
  <si>
    <t>x.piao2018@flushinginternational.org</t>
  </si>
  <si>
    <t>In 250 ? 500 words, describe three traits which make you a leader and a strong student. I am a student who is trying to do the work on time, because I think being punctual is not a hard thing to do, but not everyone does it. Also I believe that being punctual is a way of respecting our friends, teachers, and family. I am also a student who is helping others when my classmates are behind. I think it is so important that we help each other, and cooperate with each other as a group. That way we can make a better result and get to know each other. In addition, I am a student who is optimistic every time. Being optimistic is always better than having a sad face everyday. It is also how I am being unique than others. Being optimistic can make others feel good and myself. Whenever I face a problem, I'm not just give up. I am always trying to find a way to solve the problem and seeking help from teachers or friends. In 100 ? 250 words, how can SPEAKHIRE help you you boost your own academic profile? I think the major things that Speakhire can help me is to improve my leadership skills and find my interest and passion about my future career. I am seeking my answers in this program and also the reason I participate in this program. Also I don't really know the colleges that fit my career, so exploring different colleges that fit my career is another thing that Speakhire can help me with. In 100 ? 250 words, what opportunities do young people who are immigrant and first-generation American currently have to gain awareness of career opportunities? I think the young people gain their awareness of career opportunities from parents, social media, school, and research. I think there are not many young people that have a strong mind of what they really want to be, and not being aware of their career opportunities. So most of the time they do what others want them to be instead of really asking themselves. It is also applying to me. But there are also the young people who follow their own interest to choose the career they want to be. In 250 ? 500 words, why you would succeed as a SPEAKHIRE for your grade at your school. If you do not meet all the requirements, explain why we should consider you for the position. I would succeed as a Speakhire for my grade at my school, because I would learn more about my career and by that I would know what grade I still need improve to go to the college that fit my career, and also learn about the subjects that are related to my career so that I can pay extra attention at those classes. I would have the inspiration to improve my grade, because before I just wanted to get a good grade to make my parents happy, but by that time I would have the motivation to get a good grade and improve myself. List the classes you will be taking the upcoming school year and any other activities which will keep you occupied. Please explain to us how many hours a week you will dedicate towards SPEAKHIRE and what your schedule will look like. I have a college now precalculus class every Monday and Wednesday, after school activities on Tuesday. So, I would like to spend my Thursday and Friday for 2 hours a week at Speakhire. Outline your main responsibilities as a SPEAKHIRE Ambassador: I will take the responsibilities of helping each other, trying my best and participating in all the meetings as a Speakhire Ambassador.</t>
  </si>
  <si>
    <t>38-34 147St Flushing NY,11354</t>
  </si>
  <si>
    <t>+19292131625</t>
  </si>
  <si>
    <t>Ying Cui</t>
  </si>
  <si>
    <t>cuiying0217@gamil.com</t>
  </si>
  <si>
    <t>+13476540435</t>
  </si>
  <si>
    <t>Jiahe(Emily)</t>
  </si>
  <si>
    <t>Xu</t>
  </si>
  <si>
    <t>x.jiahe2020@flushinginternational.org</t>
  </si>
  <si>
    <t>147 37 38Ave #C48 Flushing NY 11354</t>
  </si>
  <si>
    <t>+16465783233</t>
  </si>
  <si>
    <t>Xiumei Yang</t>
  </si>
  <si>
    <t>He</t>
  </si>
  <si>
    <t>janiceh15@nycstudents.net</t>
  </si>
  <si>
    <t>41-45 75 street Queens, New York 11373 United States</t>
  </si>
  <si>
    <t>929-623-9043</t>
  </si>
  <si>
    <t>Jing Yi LIn</t>
  </si>
  <si>
    <t>1001unclecho@gmail.com</t>
  </si>
  <si>
    <t>917-238-8945</t>
  </si>
  <si>
    <t>Evelyn</t>
  </si>
  <si>
    <t>L</t>
  </si>
  <si>
    <t>evelynl95@nycstudents.net</t>
  </si>
  <si>
    <t>Additional Email limevelyn383@gmail.com</t>
  </si>
  <si>
    <t>42 25 80th street queens, New York 11373 United States</t>
  </si>
  <si>
    <t>(929)943-9178</t>
  </si>
  <si>
    <t>Xia Chen</t>
  </si>
  <si>
    <t>karenxiachen@yahoo.com</t>
  </si>
  <si>
    <t>Ziyi</t>
  </si>
  <si>
    <t>ziyi2019@flushinginternational.org</t>
  </si>
  <si>
    <t>42-01 149th Street Flushing, NY, 11355</t>
  </si>
  <si>
    <t>+19292151220</t>
  </si>
  <si>
    <t xml:space="preserve">"This is a great opportunity and experience for me. It has helped me a lot with my university and my future, and has let me know myself better and where I want to go. The experiences and suggestions the champion shared with us were helpful, and I learned a lot during the sessions. She is more like a friend when we communicate and share ideas together. I love the format, and SpeakHire—this program is really nice to have."
</t>
  </si>
  <si>
    <t>Jianchun Zhu</t>
  </si>
  <si>
    <t>jianchunzhu11@gmail.com</t>
  </si>
  <si>
    <t>+17186885340</t>
  </si>
  <si>
    <t>Shiqing</t>
  </si>
  <si>
    <t>wei.shiqing@emmalazarus.org</t>
  </si>
  <si>
    <t>Can't continue -- workload to much; Julia Kaminsky finding another student 10/29/21 Hetal changed her English to very comfortable since Julia Kaminsky at ELHS said she does well in all her classes which are in English and is a graduating senior. 10/22/21</t>
  </si>
  <si>
    <t>1714 Avenue U, Brooklyn, NY, 11229</t>
  </si>
  <si>
    <t>+19175200915</t>
  </si>
  <si>
    <t>Jianchai Chen</t>
  </si>
  <si>
    <t>shiqing066@gmail.com</t>
  </si>
  <si>
    <t>+16468811973</t>
  </si>
  <si>
    <t>Eric</t>
  </si>
  <si>
    <t>Jiang</t>
  </si>
  <si>
    <t>j.zhishan2021@flushinginternational.org</t>
  </si>
  <si>
    <t>Phone number: &amp;#43;19097573263 email:  j.zhishan2021@flushinginternational.org</t>
  </si>
  <si>
    <t>bayside</t>
  </si>
  <si>
    <t>stevecxx0731@gmail.com</t>
  </si>
  <si>
    <t>Reasoning N/A Business Idea Putting electrical cords on top of the train. Social Problem subway surfing</t>
  </si>
  <si>
    <t>42-26 81st 5C New York City, New York 11373 United States</t>
  </si>
  <si>
    <t>Hui Zhen Zhang</t>
  </si>
  <si>
    <t>huizhen339@gmail.com</t>
  </si>
  <si>
    <t>Siyu</t>
  </si>
  <si>
    <t>Liu</t>
  </si>
  <si>
    <t>siyu2019@flushinginternational.org</t>
  </si>
  <si>
    <t>Hetal changed her language from 'Not Comfortable' to 'Somewhat comfortable' based on short answers and age she moved here  Siyu applied with incorrect email - wuya8268@gmail.com correct email: siyu2019@flushinginternational.org  </t>
  </si>
  <si>
    <t>New York flushing 11355</t>
  </si>
  <si>
    <t>+16466788567</t>
  </si>
  <si>
    <t>Yufen Xing</t>
  </si>
  <si>
    <t>wuyan8268@gmail.com</t>
  </si>
  <si>
    <t>+13474869699</t>
  </si>
  <si>
    <t>Chenming</t>
  </si>
  <si>
    <t>Tian</t>
  </si>
  <si>
    <t>ctian@flushinginternational.org</t>
  </si>
  <si>
    <t>42-71 Murray St Flushing NY 11355</t>
  </si>
  <si>
    <t>+13473489081</t>
  </si>
  <si>
    <t>Baojun Tian</t>
  </si>
  <si>
    <t>baojuntian889@gmail.com</t>
  </si>
  <si>
    <t>+16466236201</t>
  </si>
  <si>
    <t>Yechi</t>
  </si>
  <si>
    <t>Ma</t>
  </si>
  <si>
    <t>yechi2019@flushinginternational.org</t>
  </si>
  <si>
    <t>NY NY 11355 144-03</t>
  </si>
  <si>
    <t>+17187906877</t>
  </si>
  <si>
    <t>bei wang</t>
  </si>
  <si>
    <t>hahsjsoj@gmail.com</t>
  </si>
  <si>
    <t>+17186905157</t>
  </si>
  <si>
    <t>Pan</t>
  </si>
  <si>
    <t>917-775-2577</t>
  </si>
  <si>
    <t>309377300@qq.com</t>
  </si>
  <si>
    <t>MingYan</t>
  </si>
  <si>
    <t>929-340-3938</t>
  </si>
  <si>
    <t>notprovided@aol.com</t>
  </si>
  <si>
    <t>646-207-6098</t>
  </si>
  <si>
    <t>Yi</t>
  </si>
  <si>
    <t>cheny4747@gmail.com</t>
  </si>
  <si>
    <t xml:space="preserve">Houding Chen </t>
  </si>
  <si>
    <t>houdingchen@gmail.com</t>
  </si>
  <si>
    <t>646-358-2189</t>
  </si>
  <si>
    <t>Gomez</t>
  </si>
  <si>
    <t>sharitog2010@icloud.com</t>
  </si>
  <si>
    <t>School Email: sharong59@nycstudents.net</t>
  </si>
  <si>
    <t>41-31 71 st woodside, NY 11377</t>
  </si>
  <si>
    <t>+16026578364</t>
  </si>
  <si>
    <t>Leidy Granados</t>
  </si>
  <si>
    <t>Xinyao</t>
  </si>
  <si>
    <t>xinyao2019@flushinginternational.org</t>
  </si>
  <si>
    <t>4255 Colden Street, Flushing, NY 11355</t>
  </si>
  <si>
    <t>+13475422729</t>
  </si>
  <si>
    <t>Xiuling Liu</t>
  </si>
  <si>
    <t>XiulingL610@gmail.com</t>
  </si>
  <si>
    <t>+19178920509</t>
  </si>
  <si>
    <t>Yongjian</t>
  </si>
  <si>
    <t>Dai</t>
  </si>
  <si>
    <t>yongjian2019@flushinginternational.org</t>
  </si>
  <si>
    <t>Hetal changed from 'Somewhat comfortable' to 'Not comfortable' based off of AP Rosmery's feedback (10/31/21)</t>
  </si>
  <si>
    <t>43-23 Colden ST APT 23H Flushing NY 11355</t>
  </si>
  <si>
    <t>+17186667954</t>
  </si>
  <si>
    <t>Wenbin Dai</t>
  </si>
  <si>
    <t>+13473482766</t>
  </si>
  <si>
    <t>Sijia</t>
  </si>
  <si>
    <t>Su</t>
  </si>
  <si>
    <t>sijia2019@flushinginternational.org</t>
  </si>
  <si>
    <t>4306 Murray St,Flushing,NY,11355</t>
  </si>
  <si>
    <t>+13474584706</t>
  </si>
  <si>
    <t>Zeguang Su</t>
  </si>
  <si>
    <t>Shichuan</t>
  </si>
  <si>
    <t>shichuan2019@flushinginternational.org</t>
  </si>
  <si>
    <t>&amp;#34;Will provide parental consent through email&amp;#34;</t>
  </si>
  <si>
    <t>44-15 5s colden st flushing NY 11355</t>
  </si>
  <si>
    <t>+13322233268</t>
  </si>
  <si>
    <t>Chunmeichen</t>
  </si>
  <si>
    <t>+19179626297</t>
  </si>
  <si>
    <t>brianc511@nycstudents.net</t>
  </si>
  <si>
    <t>53-18 80th st Elmhurst, New York 11373 United States</t>
  </si>
  <si>
    <t>Maspeth Town Hall - IS 73 Frank Sansiveri</t>
  </si>
  <si>
    <t>Ellena Tam</t>
  </si>
  <si>
    <t>ellenajohnathan@yahoo.com</t>
  </si>
  <si>
    <t>Sophie</t>
  </si>
  <si>
    <t>sophiez24@nycstudents.net</t>
  </si>
  <si>
    <t>Additional Email -  angelkawaii864@gmail.com</t>
  </si>
  <si>
    <t>5518 84th St Queens, New York 11373 United States</t>
  </si>
  <si>
    <t>yiting2017@gmail.com</t>
  </si>
  <si>
    <t>646-385-0923</t>
  </si>
  <si>
    <t>Long Xiong</t>
  </si>
  <si>
    <t>Long</t>
  </si>
  <si>
    <t>lx1371741380@gmail.com</t>
  </si>
  <si>
    <t>56-52 Clearview Expy?Flushing?NY 11364</t>
  </si>
  <si>
    <t>+19294946488</t>
  </si>
  <si>
    <t>Li Long</t>
  </si>
  <si>
    <t>longsheng120@gmail.com</t>
  </si>
  <si>
    <t>+16466202328</t>
  </si>
  <si>
    <t>veronical62@nycstudents.net</t>
  </si>
  <si>
    <t>57-27 69 Maspeth 1178 Queen, New York 1178 United States</t>
  </si>
  <si>
    <t>Maspeth Town Hall</t>
  </si>
  <si>
    <t>Dan Cao</t>
  </si>
  <si>
    <t>veronicaliu2013@yahoo.com</t>
  </si>
  <si>
    <t>347-268-7992</t>
  </si>
  <si>
    <t>CATALINA</t>
  </si>
  <si>
    <t>ORTIZ</t>
  </si>
  <si>
    <t>catalinarojas8787@gmail.com</t>
  </si>
  <si>
    <t>42-42 colden street flushing</t>
  </si>
  <si>
    <t>+13473690207</t>
  </si>
  <si>
    <t>Leidy Rojas</t>
  </si>
  <si>
    <t>Ethan</t>
  </si>
  <si>
    <t>ethanl342@nycstudents.net</t>
  </si>
  <si>
    <t>Additional Email Xiang7697@gmail.com</t>
  </si>
  <si>
    <t>5725 69th LN Maspeth, New York 11378 United States</t>
  </si>
  <si>
    <t>Maspeth Town Hall.</t>
  </si>
  <si>
    <t>Xiao Xiang, Lin</t>
  </si>
  <si>
    <t>edwin8687833@gmail.com</t>
  </si>
  <si>
    <t>917-378-5715</t>
  </si>
  <si>
    <t>Ada</t>
  </si>
  <si>
    <t>Pun</t>
  </si>
  <si>
    <t>adap5@nycstudents.net</t>
  </si>
  <si>
    <t>63-60 80th st queens, New York 11379 United States</t>
  </si>
  <si>
    <t>Kwai Pun</t>
  </si>
  <si>
    <t>609-284-6200</t>
  </si>
  <si>
    <t>Steffania</t>
  </si>
  <si>
    <t>Molina</t>
  </si>
  <si>
    <t>stefaniamr1202@gmail.com</t>
  </si>
  <si>
    <t>51-03 Broadway, Woodside, Ny 11377</t>
  </si>
  <si>
    <t>+19294627804</t>
  </si>
  <si>
    <t>Armando Molina</t>
  </si>
  <si>
    <t>juleste116@hotmail.com</t>
  </si>
  <si>
    <t>+13476569977</t>
  </si>
  <si>
    <t>kevinc1121@nycstudents.net</t>
  </si>
  <si>
    <t>63-72 78th street Queens, New York 11379 United States</t>
  </si>
  <si>
    <t>Mrs. Chen</t>
  </si>
  <si>
    <t>917-535-0901</t>
  </si>
  <si>
    <t>jessier20@nycstudents.net</t>
  </si>
  <si>
    <t>6643 Clinton Ave Maspeth, New York 11378 United States</t>
  </si>
  <si>
    <t xml:space="preserve">"I learned so much about leadership, burn-out rates, self-esteem, and determination in the legal field. The facilitator made the lessons fun and engaging, and I now understand qualities like integrity and emotional intelligence that a leader should have. This course has me considering careers like law, medicine, and teaching with a stronger mindset."
</t>
  </si>
  <si>
    <t>Jin Chen</t>
  </si>
  <si>
    <t>annierao6643@gmail.com</t>
  </si>
  <si>
    <t>Zexuan (Ethan)</t>
  </si>
  <si>
    <t>zexuanl3@nycstudents.net</t>
  </si>
  <si>
    <t>6922 53rd Ave Queens, New York 11374 United States</t>
  </si>
  <si>
    <t>Xue Qin Rachel Gao</t>
  </si>
  <si>
    <t>Santiago</t>
  </si>
  <si>
    <t>Diaz</t>
  </si>
  <si>
    <t>santiago2019@flushinginternational.org</t>
  </si>
  <si>
    <t>81 06 Baxter ave 11373</t>
  </si>
  <si>
    <t>+19294718344</t>
  </si>
  <si>
    <t>hugo</t>
  </si>
  <si>
    <t>Santiago2019@flushinginternational.org</t>
  </si>
  <si>
    <t>+17188130140</t>
  </si>
  <si>
    <t>katrinaz16@nycstudents.net</t>
  </si>
  <si>
    <t>Additional Email: katrinazheng16@gmail.com</t>
  </si>
  <si>
    <t>79-15 Penelope Av Middle Village, NY 11379 New York City, New York 11379 United States</t>
  </si>
  <si>
    <t>Quixia Tian</t>
  </si>
  <si>
    <t>tian66012@hotmail.com</t>
  </si>
  <si>
    <t>+17746447044</t>
  </si>
  <si>
    <t>Miguel</t>
  </si>
  <si>
    <t>miguelangelgonzalezvillarraga@gmail.com</t>
  </si>
  <si>
    <t>84-48 123 11415 jamaica, NY</t>
  </si>
  <si>
    <t>+19295104634</t>
  </si>
  <si>
    <t>Claudia Villarraga</t>
  </si>
  <si>
    <t>+19175026125</t>
  </si>
  <si>
    <t>Narvaez</t>
  </si>
  <si>
    <t>pekenarva@gmail.com</t>
  </si>
  <si>
    <t>He did engage well in the session 2 and he was willing to speak up when pushed.</t>
  </si>
  <si>
    <t>917 129th college point</t>
  </si>
  <si>
    <t>+13472395106</t>
  </si>
  <si>
    <t>Diana Mendez</t>
  </si>
  <si>
    <t>Dainna</t>
  </si>
  <si>
    <t>dainnaz@nycstudents.com</t>
  </si>
  <si>
    <t>79-15 penelope ave middle village, NY middle village, New York 11374 United States</t>
  </si>
  <si>
    <t>Lixing</t>
  </si>
  <si>
    <t>xingonly@hotmail.com</t>
  </si>
  <si>
    <t>Cogollo</t>
  </si>
  <si>
    <t>alejandrasena.23@gmail.com</t>
  </si>
  <si>
    <t>college ponit 6-07 119th</t>
  </si>
  <si>
    <t>+13473662647</t>
  </si>
  <si>
    <t>Yesika Robles</t>
  </si>
  <si>
    <t>Dingyan</t>
  </si>
  <si>
    <t>Ni</t>
  </si>
  <si>
    <t>dingyanni01@gmail.com</t>
  </si>
  <si>
    <t>Reasoning N/A Business Idea My venture idea is to start a community-based organization that uses peer mentorship, creative arts programs, and violence prevention workshops to reduce youth involvement in gun violence Social Problem One problem that impacts my society that I would like to solve is gun violence</t>
  </si>
  <si>
    <t>84-21 86th Ave Woodhaven, New York 11421 United States</t>
  </si>
  <si>
    <t>(917)355-5152</t>
  </si>
  <si>
    <t>Xiaoyun Weng</t>
  </si>
  <si>
    <t>thelucia520@gmail.com</t>
  </si>
  <si>
    <t>(917)587-8802</t>
  </si>
  <si>
    <t>Juana</t>
  </si>
  <si>
    <t>Verdecia</t>
  </si>
  <si>
    <t>El Salvador, Cuba</t>
  </si>
  <si>
    <t>South America, Africa</t>
  </si>
  <si>
    <t>juana.verdecia.24@wheels-student.org</t>
  </si>
  <si>
    <t>updated phone number: 1 (929) 214-8919 (5/21/2023 KW)</t>
  </si>
  <si>
    <t>708 w 177th st apt 4f new york ny 10033</t>
  </si>
  <si>
    <t>+13472903499</t>
  </si>
  <si>
    <t>wilson verdecia and sandra verdecia</t>
  </si>
  <si>
    <t>sandraverdecia023@gmail.com</t>
  </si>
  <si>
    <t>+19175758239</t>
  </si>
  <si>
    <t>Sabrina</t>
  </si>
  <si>
    <t>sabrinac171@nycstudents.net</t>
  </si>
  <si>
    <t>8811 Elmhurst ave 11373 apt B15 New York City, New York 11373 United States</t>
  </si>
  <si>
    <t>Yun Hua Ding</t>
  </si>
  <si>
    <t>Eva19781110@gmail.com</t>
  </si>
  <si>
    <t>Meiyu</t>
  </si>
  <si>
    <t>2023_meiyuchen@ihs-us.org</t>
  </si>
  <si>
    <t>90 Quentin Rd. Brooklyn, NY, 11223</t>
  </si>
  <si>
    <t>+19298422092</t>
  </si>
  <si>
    <t>Zong Sheng Chen</t>
  </si>
  <si>
    <t>Alan</t>
  </si>
  <si>
    <t>alanl0566@hstat.org</t>
  </si>
  <si>
    <t>Phone #: &amp;#43;13473186012 Email: alanl0566@hstat.org</t>
  </si>
  <si>
    <t>912 59th st</t>
  </si>
  <si>
    <t>+13473186012</t>
  </si>
  <si>
    <t>HS of Telecommunication Arts and Technology NY</t>
  </si>
  <si>
    <t>Cailing Chen</t>
  </si>
  <si>
    <t>Mom</t>
  </si>
  <si>
    <t>nsking231070@gmail.com</t>
  </si>
  <si>
    <t>Luofeng</t>
  </si>
  <si>
    <t>luofeng2019@flushinginternational.org</t>
  </si>
  <si>
    <t>10/27/21 SB updated language to &amp;#34;not comfortable&amp;#34; from &amp;#34;somewhat comfortable&amp;#34; based on responses</t>
  </si>
  <si>
    <t>USA</t>
  </si>
  <si>
    <t>+19292042008</t>
  </si>
  <si>
    <t>Danny shi</t>
  </si>
  <si>
    <t>+13478081881</t>
  </si>
  <si>
    <t>JingJing</t>
  </si>
  <si>
    <t>Poor school administration - not student's fault, showed up when expected  Xiao Chen - 2159392372</t>
  </si>
  <si>
    <t>215-500-9666</t>
  </si>
  <si>
    <t>weizh668@gmail.com</t>
  </si>
  <si>
    <t>Winnie</t>
  </si>
  <si>
    <t>Poor school administration - not student's fault, showed up when expected  Father number: 408-821-7593</t>
  </si>
  <si>
    <t>(917) 528-5058</t>
  </si>
  <si>
    <t>Chun Ying Zhao</t>
  </si>
  <si>
    <t>amyzhao012@gmail.com</t>
  </si>
  <si>
    <t>(408) 821 - 7609</t>
  </si>
  <si>
    <t>Paula</t>
  </si>
  <si>
    <t>Arias</t>
  </si>
  <si>
    <t>paulaarias523@gmail.com</t>
  </si>
  <si>
    <t>Paula was matched for FY 21-22 IR3 with Ryane Montanez but then had personal problems and had to backout.  </t>
  </si>
  <si>
    <t>51-17 58th place</t>
  </si>
  <si>
    <t>+13478458782</t>
  </si>
  <si>
    <t>Maria Castillo</t>
  </si>
  <si>
    <t>cavanzado43@gmail.com</t>
  </si>
  <si>
    <t>+13476578085</t>
  </si>
  <si>
    <t>Gabriella</t>
  </si>
  <si>
    <t>Bella</t>
  </si>
  <si>
    <t>China, Cuba, Italy</t>
  </si>
  <si>
    <t>Asia, North America, Europe</t>
  </si>
  <si>
    <t>gabriellabella17@gmail.com</t>
  </si>
  <si>
    <t>gabriellabella17@gmail.com Nov, 2022 - &amp;#34;Kept up with champion slightly&amp;#34;, Studying public relations with a minor in sociology</t>
  </si>
  <si>
    <t>718-902-6310</t>
  </si>
  <si>
    <t>Millenium HS - NYC</t>
  </si>
  <si>
    <t>carlo.bella@gmail.com</t>
  </si>
  <si>
    <t>917 - 292 - 4617</t>
  </si>
  <si>
    <t>Nicol</t>
  </si>
  <si>
    <t>Gutierrez</t>
  </si>
  <si>
    <t>nicolg13@nycstudents.net</t>
  </si>
  <si>
    <t>Additional Email Nicolg13@nycstudents.net</t>
  </si>
  <si>
    <t>.... .., New York .. United States</t>
  </si>
  <si>
    <t>(347)397-7999</t>
  </si>
  <si>
    <t>carmen</t>
  </si>
  <si>
    <t>Nicolg13@nycstudents.net</t>
  </si>
  <si>
    <t>(929)393-0867</t>
  </si>
  <si>
    <t>Dayanara</t>
  </si>
  <si>
    <t>Angulo Riascos</t>
  </si>
  <si>
    <t>dayanara180898@gmail.com</t>
  </si>
  <si>
    <t>107-12 , 89th Street, Queens- ozone park, 11417 NY</t>
  </si>
  <si>
    <t>+16465080473</t>
  </si>
  <si>
    <t>Amparo Riascos</t>
  </si>
  <si>
    <t>amribo_18@hotmail.com</t>
  </si>
  <si>
    <t>+19174422394</t>
  </si>
  <si>
    <t>Alejandra</t>
  </si>
  <si>
    <t>Mayorga</t>
  </si>
  <si>
    <t>alejamayo2506@gmail.com</t>
  </si>
  <si>
    <t>11905 23ave college point</t>
  </si>
  <si>
    <t>+16465124782</t>
  </si>
  <si>
    <t>Pan American International HS - Manhattan NY</t>
  </si>
  <si>
    <t>Rocio Ramirez</t>
  </si>
  <si>
    <t>Kiara</t>
  </si>
  <si>
    <t>Paulino</t>
  </si>
  <si>
    <t>kiarapaulino@claremontihs.org</t>
  </si>
  <si>
    <t>+16466410588</t>
  </si>
  <si>
    <t>Herson Paulino</t>
  </si>
  <si>
    <t>hpaulino@live.com</t>
  </si>
  <si>
    <t>+13477579237</t>
  </si>
  <si>
    <t>Genesis</t>
  </si>
  <si>
    <t>Munoz</t>
  </si>
  <si>
    <t>genesismunoz0118@gmail.com</t>
  </si>
  <si>
    <t>Hetal and Bryan had a meeting with Ariela Rothstein -- Ariela said can discontinue for IR3 4/1/22</t>
  </si>
  <si>
    <t>101-04 94th st ozone park Queens, NY 11416</t>
  </si>
  <si>
    <t>+19145307587</t>
  </si>
  <si>
    <t>Raysa Gomez</t>
  </si>
  <si>
    <t>genesi07@live.com</t>
  </si>
  <si>
    <t>+19176243710</t>
  </si>
  <si>
    <t>Rassiel</t>
  </si>
  <si>
    <t>Munoz Gomez</t>
  </si>
  <si>
    <t>gomezrassiel02@gmail.com</t>
  </si>
  <si>
    <t>10104 94th St Ozone Park, Queens NY11416</t>
  </si>
  <si>
    <t>+16466701408</t>
  </si>
  <si>
    <t>Cardona</t>
  </si>
  <si>
    <t>tatiana2019@flushinginternational.org</t>
  </si>
  <si>
    <t>134-14 franklin avenue, flushing new york 11355</t>
  </si>
  <si>
    <t>+19294909063</t>
  </si>
  <si>
    <t>Mariluz Ramirez</t>
  </si>
  <si>
    <t>ramirezmarialuz073@gmail.com</t>
  </si>
  <si>
    <t>+13478584056</t>
  </si>
  <si>
    <t>Manuela</t>
  </si>
  <si>
    <t>Salazar</t>
  </si>
  <si>
    <t>manuela.salazar@flushinginternational.org</t>
  </si>
  <si>
    <t>In 250 ? 500 words, describe three traits which make you a leader and a strong student. some of my traits that make me be a good leader is wanting to help others where everyone can excel, personally and professionally. Another trait is having faith that everything will improve and having faith that everything can be done and finally learning from mistakes because that's where we learn to improve and from a certain part mature In 100 ? 250 words, how can SPEAKHIRE help you you boost your own academic profile? this is a good opportunity to further develop our skills for the future and this experience is based on our interests in a future career In 100 ? 250 words, what opportunities do young people who are immigrant and first-generation American currently have to gain awareness of career opportunities? I believe that we have the opportunity to grow as a person and professions, as an immigrant this project makes me trust and makes me aspire to be better for my future In 250 ? 500 words, why you would succeed as a SPEAKHIRE for your grade at your school. If you do not meet all the requirements, explain why we should consider you for the position. I think that if you would succeed as a SPEAKER because I have a lot of confidence in myself and I think that is one of the things that characterizes me, if I want to do something I just have to fight for it. List the classes you will be taking the upcoming school year and any other activities which will keep you occupied. Please explain to us how many hours a week you will dedicate towards SPEAKHIRE and what your schedule will look like. For me after classes, I will go to college to first take a technique to be a veterinarian then I will go to veterinary school to be a professional Outline your main responsibilities as a SPEAKHIRE Ambassador: responsable
leadership
Confidence
Perseverance</t>
  </si>
  <si>
    <t>143 07 Sanford Ave Flushing</t>
  </si>
  <si>
    <t>+13479449639</t>
  </si>
  <si>
    <t>Gloria</t>
  </si>
  <si>
    <t>gloriaguardia2013@gmail.com</t>
  </si>
  <si>
    <t>+13474840602</t>
  </si>
  <si>
    <t>Heiscelys</t>
  </si>
  <si>
    <t>Campusano</t>
  </si>
  <si>
    <t>heiscelys.campusano.24@wheels-student.org</t>
  </si>
  <si>
    <t>Hetal made inactive on April 12th after the Principal Tom asked them and they said they are no longer interested in participating</t>
  </si>
  <si>
    <t>1011 Washington Av Apt 501 Bronx, NY 10456</t>
  </si>
  <si>
    <t>+16467454025</t>
  </si>
  <si>
    <t>Celeste Mejia</t>
  </si>
  <si>
    <t>mejiaceleste1@gmail.com</t>
  </si>
  <si>
    <t>+13472795572</t>
  </si>
  <si>
    <t>Osorno</t>
  </si>
  <si>
    <t>ramirezospinam9@gmail.com</t>
  </si>
  <si>
    <t>Hetal updated 1/12/22 to health sciences from services hospitality since only had medical examiner on profile</t>
  </si>
  <si>
    <t>143-05 41st flushing queens ny 11355</t>
  </si>
  <si>
    <t>+19293556773</t>
  </si>
  <si>
    <t>doris elena ramirez</t>
  </si>
  <si>
    <t>doris06@icloud.com</t>
  </si>
  <si>
    <t>+19177806078</t>
  </si>
  <si>
    <t>Rojas</t>
  </si>
  <si>
    <t>gabrielar8415@nycstudents.net</t>
  </si>
  <si>
    <t>Additional Email:  garotap113@gmail.com</t>
  </si>
  <si>
    <t>149-27-17 Rd, Whitestone New York City, New York 11357 United States</t>
  </si>
  <si>
    <t>Melba, Tapiero</t>
  </si>
  <si>
    <t>jaztabe@gmail.com</t>
  </si>
  <si>
    <t>Melanny</t>
  </si>
  <si>
    <t>Pinzon</t>
  </si>
  <si>
    <t>alejandrapinzon0808@gmail.com</t>
  </si>
  <si>
    <t>153-28 Sanford ave</t>
  </si>
  <si>
    <t>+19293284615</t>
  </si>
  <si>
    <t>Paola Bolivar</t>
  </si>
  <si>
    <t>melannyy0805@hotmail.com</t>
  </si>
  <si>
    <t>+13472378929</t>
  </si>
  <si>
    <t>Michell</t>
  </si>
  <si>
    <t>Benavidez</t>
  </si>
  <si>
    <t>benavidezblancom@nycstudents.net</t>
  </si>
  <si>
    <t>157 nichols ave brooklyn, New York 11208 United States</t>
  </si>
  <si>
    <t xml:space="preserve">(917)445-7522
</t>
  </si>
  <si>
    <t>paula blanco</t>
  </si>
  <si>
    <t>paojfavf@hotmail.com</t>
  </si>
  <si>
    <t>(646)283-0640</t>
  </si>
  <si>
    <t>Tomas</t>
  </si>
  <si>
    <t>Mantoilla</t>
  </si>
  <si>
    <t>tomasdavidmantillasalazar@gmail.com</t>
  </si>
  <si>
    <t>2 thomison ave, New York 11101 United States</t>
  </si>
  <si>
    <t>(929)920-8274</t>
  </si>
  <si>
    <t>tomas mantilla</t>
  </si>
  <si>
    <t>FatherFather</t>
  </si>
  <si>
    <t>valentina2019@flushinginternational.org</t>
  </si>
  <si>
    <t>20-27 121 st College Point, Queens, Ny 11356</t>
  </si>
  <si>
    <t>+17866082751</t>
  </si>
  <si>
    <t>Cristina García</t>
  </si>
  <si>
    <t>cristinagarcia2624@gmail.com</t>
  </si>
  <si>
    <t>+19175873051</t>
  </si>
  <si>
    <t>Samira</t>
  </si>
  <si>
    <t>Vivas</t>
  </si>
  <si>
    <t>2023_samiracuerovivas@ihs-us.org</t>
  </si>
  <si>
    <t>22 E 112th St, New York,NY 10029</t>
  </si>
  <si>
    <t>+19172540041</t>
  </si>
  <si>
    <t>Alexander Cuero</t>
  </si>
  <si>
    <t>Zionalex83@gmail.com</t>
  </si>
  <si>
    <t>+16469279848</t>
  </si>
  <si>
    <t>Lara Mendoza</t>
  </si>
  <si>
    <t>brendalara2000@gmail.com</t>
  </si>
  <si>
    <t>22-48 126th St Queens, New York 11356 United States</t>
  </si>
  <si>
    <t>First Step, Summit 2024</t>
  </si>
  <si>
    <t>Grecian Mendoza</t>
  </si>
  <si>
    <t>grecia14mendoza@hotmail.com</t>
  </si>
  <si>
    <t>Oskarina</t>
  </si>
  <si>
    <t>Cepeda</t>
  </si>
  <si>
    <t>cepedaoskarina539@gmail.com</t>
  </si>
  <si>
    <t>Could not open pdf of transcript and PCF-- please resend as JPG. (HJ 1/11/2021)</t>
  </si>
  <si>
    <t>1046 Teller AveThe Bronx, NY 10456</t>
  </si>
  <si>
    <t>Oscar Cepeda</t>
  </si>
  <si>
    <t>Oscarcepeda80198019@icloud.com</t>
  </si>
  <si>
    <t>Erick</t>
  </si>
  <si>
    <t>Buitrago</t>
  </si>
  <si>
    <t>erick2019@flushinginternational.org</t>
  </si>
  <si>
    <t>23-38 124th st flushing NY 11356</t>
  </si>
  <si>
    <t>+15165911607</t>
  </si>
  <si>
    <t>tatiana maldonado</t>
  </si>
  <si>
    <t>erickb301@icloud.com</t>
  </si>
  <si>
    <t>+15166436374</t>
  </si>
  <si>
    <t>Julian</t>
  </si>
  <si>
    <t>jd258632975@crotonaihs.org</t>
  </si>
  <si>
    <t>Returning Intern 23-24 . PQ - did not participate for S&amp;amp;S - no communication  Fy Alum of 2023 Additional email: julianduarte350@gmail.com Bio -  Julian Duarte: Julian moved from Colombia to the U.S. when he was 14 years old. He is interested in architecture and health sciences / medicine. Julian describes himself as responsible, perseverant, and serious. He is still exploring her options for college. Julian, we matched you based on your interest in health sciences / medicine. About - The X Intern moved from Colombia to the U.S. when he was 14 years old. He speaks English and Spanish. This is his first year and round in the program. The jobs that he listed that he is interested in are, ?Architecture, marine, paramedic.?</t>
  </si>
  <si>
    <t>240 East 178 St Apt 6E, Bronx, NY 10457</t>
  </si>
  <si>
    <t>+19143175146</t>
  </si>
  <si>
    <t>BICKI ORJUELA</t>
  </si>
  <si>
    <t>VICKIORJUELA7@GMAIL.COM</t>
  </si>
  <si>
    <t>Jesus (Daniel)</t>
  </si>
  <si>
    <t>jesusl99@nycstudents.net</t>
  </si>
  <si>
    <t xml:space="preserve">Additional Email - leonoquendojesus@gmail.com
</t>
  </si>
  <si>
    <t xml:space="preserve">299 east 3rd street manhattan, New York 10009 United States
</t>
  </si>
  <si>
    <t xml:space="preserve">(929)377-0118
</t>
  </si>
  <si>
    <t>Liliana Oquendo</t>
  </si>
  <si>
    <t>oquendosulbaranliliana@gmail.com</t>
  </si>
  <si>
    <t>(646)744-9671</t>
  </si>
  <si>
    <t>Susana</t>
  </si>
  <si>
    <t>Franco Lopez</t>
  </si>
  <si>
    <t>Non-Binary</t>
  </si>
  <si>
    <t>susana2019@flushinginternational.org</t>
  </si>
  <si>
    <t>3-59B soundview ln colleague point 11356</t>
  </si>
  <si>
    <t>+19294733556</t>
  </si>
  <si>
    <t>Teresa Lopez</t>
  </si>
  <si>
    <t>susanela05@gmail.com</t>
  </si>
  <si>
    <t>+19175581092</t>
  </si>
  <si>
    <t>omar</t>
  </si>
  <si>
    <t>rosario disla</t>
  </si>
  <si>
    <t>o.rosariodisla@ihsph.org</t>
  </si>
  <si>
    <t>1070 East New York Ave</t>
  </si>
  <si>
    <t>+13478464987</t>
  </si>
  <si>
    <t>manuel rosario adames</t>
  </si>
  <si>
    <t>Jaque</t>
  </si>
  <si>
    <t>Email INBOX FULL as of 3/23/26 -  valentinajaquesanchez24@gmail.com</t>
  </si>
  <si>
    <t>30 27 80th Street, Queens NY 11370</t>
  </si>
  <si>
    <t>+19293969940</t>
  </si>
  <si>
    <t>Diana Sanchez</t>
  </si>
  <si>
    <t>divalenico@gmail.com</t>
  </si>
  <si>
    <t>+19177243436</t>
  </si>
  <si>
    <t>Joustin</t>
  </si>
  <si>
    <t>Hiraldo</t>
  </si>
  <si>
    <t>jh258970060@crotonaihs.org</t>
  </si>
  <si>
    <t>11/30/23 - marked inactive due to behavior </t>
  </si>
  <si>
    <t>1155 walton bronx, New York 10452 United States</t>
  </si>
  <si>
    <t>luz maria rosario</t>
  </si>
  <si>
    <t>jostinrosario16@gmail.com</t>
  </si>
  <si>
    <t>Tomas David</t>
  </si>
  <si>
    <t>Mantillasalazar</t>
  </si>
  <si>
    <t>tomasm4925@nycstudents.net</t>
  </si>
  <si>
    <t>30-23 70th St East Elmhurst, New York 11370 United States</t>
  </si>
  <si>
    <t>(192)992-0482</t>
  </si>
  <si>
    <t>Blanca</t>
  </si>
  <si>
    <t>Tomasdavifmsntillasalazar123@gmail.com</t>
  </si>
  <si>
    <t>Oscar</t>
  </si>
  <si>
    <t>Pardo</t>
  </si>
  <si>
    <t>o.pardo2018@flushinginternational.org</t>
  </si>
  <si>
    <t>31-01-86 street Jackson Heights- Queens NY 11369</t>
  </si>
  <si>
    <t>+19292287314</t>
  </si>
  <si>
    <t>Yenny Niño</t>
  </si>
  <si>
    <t>Alvaro.pardox@gmail.com</t>
  </si>
  <si>
    <t>+19292287330</t>
  </si>
  <si>
    <t>Luis</t>
  </si>
  <si>
    <t>Cardenas</t>
  </si>
  <si>
    <t>luisdanielcardenass@gmail.com</t>
  </si>
  <si>
    <t>32-37 83 St queens, NY, 11370</t>
  </si>
  <si>
    <t>+13478137633</t>
  </si>
  <si>
    <t>Karla Saldarriaga</t>
  </si>
  <si>
    <t>ksaldarriaga08@gmail.com</t>
  </si>
  <si>
    <t>+17186072756</t>
  </si>
  <si>
    <t>Jose</t>
  </si>
  <si>
    <t>Romero</t>
  </si>
  <si>
    <t>ar6152262@gmail.com</t>
  </si>
  <si>
    <t>116-51 147th jamiaca QUEENS NY 11436</t>
  </si>
  <si>
    <t>+19296033172</t>
  </si>
  <si>
    <t>Maria del carmen</t>
  </si>
  <si>
    <t>wesleyhoffman1969@gmail.com</t>
  </si>
  <si>
    <t>+17186624507</t>
  </si>
  <si>
    <t>Posse</t>
  </si>
  <si>
    <t>possesantiago30@gmail.com</t>
  </si>
  <si>
    <t>33 01 hunters ponit ave long island, New York 11101 United States</t>
  </si>
  <si>
    <t>(646)363-3569</t>
  </si>
  <si>
    <t>maria</t>
  </si>
  <si>
    <t>Cometta</t>
  </si>
  <si>
    <t>david.cometta@gchs.nyc</t>
  </si>
  <si>
    <t>email: david.cometta@gchs.nyc dacl0728@gmail.com Phone #: 3219489085 Allergie of antibiotic Azithromycin Emergency Contact: Yuly Leon (Mother) - 6892789327</t>
  </si>
  <si>
    <t>331 Calhoun Ave</t>
  </si>
  <si>
    <t>Gotham Collaborative High School NY</t>
  </si>
  <si>
    <t>Carlos Cometta</t>
  </si>
  <si>
    <t>Miguel Angel</t>
  </si>
  <si>
    <t>Duarte Guiterrez</t>
  </si>
  <si>
    <t>md253500219@crotonaihs.org</t>
  </si>
  <si>
    <t>10/14/23 - Y2 application - replace phone number from &amp;#43;19292722100 with &amp;#43;19178044147 FY ALum of 2023 Additional email: raquelspa@hotmail.es Bio -  Miguel Angel Duarte Guiterrez: Miguel Angel moved to America from Colombia 2 years ago. He is interested in STEM. Miguel Angel describes himself as responsible, patient, and sweet. He is still exploring his options for college. Miguel Angel, we matched you based on your interest in STEM. About - The X Intern moved to America from Colombia 2 years ago. He speaks English and Spanish. This is his second year in the program. He is looking to explore and learn more about different careers.</t>
  </si>
  <si>
    <t>3345 RESERVOIR OVAL W APT 6F BRONX NY 10467-3142</t>
  </si>
  <si>
    <t>+19178044147</t>
  </si>
  <si>
    <t>maria raquel guiterrez villalobos</t>
  </si>
  <si>
    <t>raquelspa@hotmail.es</t>
  </si>
  <si>
    <t>Justin</t>
  </si>
  <si>
    <t>Lora</t>
  </si>
  <si>
    <t>justin.lora.24@wheels-student.org</t>
  </si>
  <si>
    <t>1/5/23 marked Inactive (Kendi)  - Justin transferred from WHEELS and will no longer be continuing the program  About Interns: The X Intern's family is from the Dominican Republic, but he was born in the U.S. He speaks English and Spanish. This is his first year and round in the program. One of the jobs he is interested in is acting.</t>
  </si>
  <si>
    <t>1393 plimpton ave bronx, new york</t>
  </si>
  <si>
    <t>+13477244052</t>
  </si>
  <si>
    <t>rafaela ovalle</t>
  </si>
  <si>
    <t>justinandrew607@wheels-student.org</t>
  </si>
  <si>
    <t>+16467304545</t>
  </si>
  <si>
    <t>Sebastian</t>
  </si>
  <si>
    <t>Perez Obregon</t>
  </si>
  <si>
    <t>sebastianperesobregon@gmail.com</t>
  </si>
  <si>
    <t>33rd</t>
  </si>
  <si>
    <t>+19173926238</t>
  </si>
  <si>
    <t>Yardelis Obregon</t>
  </si>
  <si>
    <t>Torres</t>
  </si>
  <si>
    <t>2024_alisontorres@ihs-us.org</t>
  </si>
  <si>
    <t>104-44 89th Ave, Jamaica, NY 11418</t>
  </si>
  <si>
    <t>+19293423053</t>
  </si>
  <si>
    <t>Adriana Cualchi</t>
  </si>
  <si>
    <t>Jhan</t>
  </si>
  <si>
    <t>Motta</t>
  </si>
  <si>
    <t>PQ - reached out for C4C . Replied by text. too busy. 10/15 Cashed Awarded $50 check on Aug 18, 2023 Rising Leader - received check at the Summit / Soiree where he participated as speaker. Receive $50 in 8/16 -- PQ  Ambassador Responses: 11 In 250 ? 500 words, describe three traits which make you a leader and a strong student. I think that I am a good leader and a strong student because I have different qualities and qualities that make me stand out, one of them would be how confident I am, and also that during the short time I have been in school I have been able to stand out for my good grades and conduct. It is important to mention that to be a good leader you must show respect to receive the same respect, and I consider that I am a very respectful person, who always tries to motivate others not to give up and to follow all their goals, this being a fundamental pillar to be a good leader.In addition to my skills as a strong student since I am a very dedicated person to what is dedicated and that does not give up until it meets what has been proposed, also my communication skills are very good because although English is not my first language, I can communicate fluently to express what I need.Another ability that I have to be considered a good leader is my maturity, I consider that I am a very mature person for my age and my ability to listen, I am a person who is always willing to listen and try to solve any problem or give my point of view or advise that person in the most reasonable way and that is considered appropriate.to conclude I believe that to be a good leader you must have motivation and want to do things with the best attitude and that is what I have right now to perform this work. 12 In 100 ? 250 words, how can SPEAKHIRE help you you boost your own academic profile? speakhire would help a lot in my academic profile since I consider that it is an opportunity that would really boost my knowledge, besides being a great opportunity to demonstrate my abilities, also being part of speak hire would be a great asset in my resume, not only academically but for the future.it is important to mention that through this I will gain different skills and strengths, which are discipline, creativity, adaptability among others.which will be beneficial for the whole process of my life and my goals, besides having a really well-structured academic profile, with possible better opportunities. 13 In 100 ? 250 words, what opportunities do young people who are immigrant and first-generation American currently have to gain awareness of career opportunities? I think that the opportunities for young people today to know different information, is depending on what is the interest of the person, because at this time we are a society where technology predominates so we have different information that is in our hands and easy access, but despite being in an era where technology prevails, this type of information may be difficult to get or that is accurate, because around this, you can see many confusions or misinformation.In addition, for young immigrants, this type of information is not the easiest to access, as there are many prejudices or information that is not the most accurate. 14 In 250 ? 500 words, why you would succeed as a SPEAKHIRE for your grade at your school. If you do not meet all the requirements, explain why we should consider you for the position. I think it would be successful for my degree in school, since being alone for my degree would be an experience for the future, because I can learn new skills and acquire applicable experiences that I can later put into practice in my day-to-day life, such as la Leadership skills: since I can assume different leadership positions, such as leading a team, Creativity: because I can come up with fun ways to solve problems, including Communication: Listening with the intention of helping, not responding. Learning quickly about effective communication in a dynamic environment, besides that I think it would also help me in confidence, because Learning and doing things that you would not be used to, would bring me a great benefit, even Committing to something would improve my responsibility and all this, in addition to benefiting me in my grades, it would also benefit me for daily life.And not only that, but you also immerse yourself in the experience and apply your knowledge and skills.One part that is also important to mention is about learning from all those experiences that will obviously be reflected in my grades for school.In addition to everything mentioned above, I can say that it will be an opportunity that I will not miss, since I will be able to show my potential and all my abilities to perform the best effort, have the best learning and put into practice every day at school, this being beneficial. Since I will be able to improve many aspects that have a direct impact on the school and that will be reflected in a very detailed job with a lot of potential. 15 List the classes you will be taking the upcoming school year and any other activities which will keep you occupied. Please explain to us how many hours a week you will dedicate towards SPEAKHIRE and what your schedule will look like. Some of the classes I take or activities are: College Now (Saturdays): 8:30 am to 11:30 amopportunity network (Monday) 5:00 pm to 6:30 pm, but this schedule may change depending on the different activities proposed. The time that I could dedicate would be to SPEAKHIRE, it would be the rest of the days where I do not interrupt my extracurricular activities. 16 Outline your main responsibilities as a SPEAKHIRE Ambassador: As an ambassador, you will help the other interns to connect to their meetings. You will community with Speakhire staff in order to help solve issues, and you will develop your leadership skills. Only two students are nominated for this position which will look great in your college applicatio Bio -  Jhan Motta: Jhan came to America from Colombia when he was 16 years old. He is interested in the arts/creative field. Jhan wrote about himself, ?confident because I am a person who trusts in himself and I know my abilities, also Expontaneous, since I consider that I am a person who thinks of different things and expresses it without any tie, besides being a creative person because I have an imagination, which generates different things and always seeks to go out, for being unique.? He is still exploring his options for after high school. Jhan, we matched you based on your interest in the arts/creative field. About - The X Intern came to America from Colombia when he was 16 years old. He speaks English and Spanish. This is his first year and round in the program. The jobs that he is interested in are, ?actor, film director, voiceover, dance, Fashion designer, photographer.?</t>
  </si>
  <si>
    <t>35-40 83rd St, Queens, Ny, 11372</t>
  </si>
  <si>
    <t>+16467256084</t>
  </si>
  <si>
    <t>Luz Londono</t>
  </si>
  <si>
    <t>luzderlylondonolozano27@gmail.com</t>
  </si>
  <si>
    <t>+16467447667</t>
  </si>
  <si>
    <t>Puentes</t>
  </si>
  <si>
    <t>dianamarcelatriana050@gmail.com</t>
  </si>
  <si>
    <t>36-13 greenpoint avenue</t>
  </si>
  <si>
    <t>+19174967463</t>
  </si>
  <si>
    <t>Diana Marcela Triana</t>
  </si>
  <si>
    <t>Dianita260584@hotmail.com</t>
  </si>
  <si>
    <t>+19292648125</t>
  </si>
  <si>
    <t>Moreno</t>
  </si>
  <si>
    <t>andream4103@nycstudents.net</t>
  </si>
  <si>
    <t xml:space="preserve">444 W 163rd St New York, New York 10032 United States
</t>
  </si>
  <si>
    <t xml:space="preserve">(347)744-1380
</t>
  </si>
  <si>
    <t>Angelica Alvarez</t>
  </si>
  <si>
    <t>a.alvarez5218@gmail.com</t>
  </si>
  <si>
    <t>(631)703-4034</t>
  </si>
  <si>
    <t>Torres Cualchi</t>
  </si>
  <si>
    <t>130 Baruch Place, NY. Manhattan</t>
  </si>
  <si>
    <t>naomy</t>
  </si>
  <si>
    <t>martinez</t>
  </si>
  <si>
    <t>naomy.martinez@ichsbronx.org</t>
  </si>
  <si>
    <t>1442 fetley ave, bronx ny</t>
  </si>
  <si>
    <t>+16463999450</t>
  </si>
  <si>
    <t>heidy almonte</t>
  </si>
  <si>
    <t>Danna</t>
  </si>
  <si>
    <t>Prieto</t>
  </si>
  <si>
    <t>magnolia1831@gmail.com</t>
  </si>
  <si>
    <t>School Email: dannasofiap@nycstudents.net</t>
  </si>
  <si>
    <t>4602 47 th Are  woodside,NY 11377</t>
  </si>
  <si>
    <t>Magnolia Torres</t>
  </si>
  <si>
    <t>Koryn</t>
  </si>
  <si>
    <t>korynp@nycstudents.net</t>
  </si>
  <si>
    <t>47 05 72nd st queens, New York 11377 United States</t>
  </si>
  <si>
    <t>(929)342-2178</t>
  </si>
  <si>
    <t>koryn</t>
  </si>
  <si>
    <t>Jimenez</t>
  </si>
  <si>
    <t>sadbiel95@gmail.com</t>
  </si>
  <si>
    <t>didn't complete FY round for 21-22, so labeled inactive, issue not in the student but the school (HSEI)</t>
  </si>
  <si>
    <t>150 w 197th st bronx ny 10468</t>
  </si>
  <si>
    <t>+19292026791</t>
  </si>
  <si>
    <t>mercedes mezcain</t>
  </si>
  <si>
    <t>sadbiel95@gamil.com</t>
  </si>
  <si>
    <t>+13477912098</t>
  </si>
  <si>
    <t>Juan Esteban Runza Nieto</t>
  </si>
  <si>
    <t>Runza Nieto</t>
  </si>
  <si>
    <t>runzajuan@gmail.com</t>
  </si>
  <si>
    <t>Cashed $15 award on Sept 6, 2023 Developing Leader DL 23 - Called a week before to the Summit/ Soiree to invite him too give a speech and he said yes. Email communication is weak but responsive to calls and texts. Received $15 monetary gift for his Award after Summit / Soiree in 8/16. </t>
  </si>
  <si>
    <t>47-19 72nd St</t>
  </si>
  <si>
    <t>+13478882126</t>
  </si>
  <si>
    <t>Jenny Nieto Yovani Runza</t>
  </si>
  <si>
    <t>Lennyn</t>
  </si>
  <si>
    <t>De la Cruz</t>
  </si>
  <si>
    <t>l.suerodelacruz@ihsph.org</t>
  </si>
  <si>
    <t>1548 east New York ave</t>
  </si>
  <si>
    <t>+13474447441</t>
  </si>
  <si>
    <t>Arelis de felipe</t>
  </si>
  <si>
    <t>Barrios</t>
  </si>
  <si>
    <t>simonb29@nycstudents.net</t>
  </si>
  <si>
    <t>50-40 jacobus st new york, New York 11373 United States</t>
  </si>
  <si>
    <t>evangelina valenzuela</t>
  </si>
  <si>
    <t>simonb29@nycstudent.net</t>
  </si>
  <si>
    <t>Juan David</t>
  </si>
  <si>
    <t>Toro Guarin</t>
  </si>
  <si>
    <t>juandavidt2@nycstudents.net</t>
  </si>
  <si>
    <t>50-40 Jacobus St. Elmhurst, NY 11373 Elmhurst, New York 11373 United States</t>
  </si>
  <si>
    <t>718-205-6288</t>
  </si>
  <si>
    <t>John Toro</t>
  </si>
  <si>
    <t>frank-toro@hotmail.com</t>
  </si>
  <si>
    <t>Sebastian (Sebas)</t>
  </si>
  <si>
    <t>Serna</t>
  </si>
  <si>
    <t>sebastians7580@nycstudents.net</t>
  </si>
  <si>
    <t>50-40 Jacobus Street Elmhurst, New York 11373 United States</t>
  </si>
  <si>
    <t>Maribel</t>
  </si>
  <si>
    <t>marybellita75@gmail.com</t>
  </si>
  <si>
    <t>718-20506788</t>
  </si>
  <si>
    <t>Dayra</t>
  </si>
  <si>
    <t>Bustos</t>
  </si>
  <si>
    <t>db258651728@crotonaihs.org</t>
  </si>
  <si>
    <t>500 East 185 st</t>
  </si>
  <si>
    <t>+13479012470</t>
  </si>
  <si>
    <t>Maira Becerra</t>
  </si>
  <si>
    <t>Taliana</t>
  </si>
  <si>
    <t>tv259227338@crotonaihs.org</t>
  </si>
  <si>
    <t>Email from Exit Survey: Tv259227338@crotonaihs.org different from application email Bio -  Taliana Valencia: Taliana was 14 years old when she moved from Colombia to the United States. She is interested in the arts/creative and business fields. Taliana describes herself as centered, serious, and calm. She is still exploring his options for college. Taliana, we matched you based on your interest in business. About - The X Intern was 14 years old when she moved from Colombia to the United States. She speaks English and Spanish. This is her first year and round in the program. The jobs that she listed that she is interested in are, ?actor, business administrator, veterinarian, dermatology.?</t>
  </si>
  <si>
    <t>510 E 185th st, 602, Bronx, NY 10458</t>
  </si>
  <si>
    <t>+13476766699</t>
  </si>
  <si>
    <t>Maribel valencia</t>
  </si>
  <si>
    <t>maribelvalencia385@gmail.com</t>
  </si>
  <si>
    <t>Pena</t>
  </si>
  <si>
    <t>laurennicolep30@gmail.com</t>
  </si>
  <si>
    <t>52 roosvelt ave</t>
  </si>
  <si>
    <t>+13474339113</t>
  </si>
  <si>
    <t>yissel castano</t>
  </si>
  <si>
    <t>Angelica</t>
  </si>
  <si>
    <t>Rubiera</t>
  </si>
  <si>
    <t>angelicarubiera@crotonaihs.org</t>
  </si>
  <si>
    <t>Hetal made inactive 3/30/22 after Priscila spoke with Shanneell</t>
  </si>
  <si>
    <t>1700 Crotona Prak East Bronx New York 10460</t>
  </si>
  <si>
    <t>+13479704324</t>
  </si>
  <si>
    <t>Solenny Jiminian</t>
  </si>
  <si>
    <t>solejiminian@gmail.com</t>
  </si>
  <si>
    <t>+19293431007</t>
  </si>
  <si>
    <t>America</t>
  </si>
  <si>
    <t>Sanchez</t>
  </si>
  <si>
    <t>2024_americasanchez@ihs-us.org</t>
  </si>
  <si>
    <t>9717 38th ave</t>
  </si>
  <si>
    <t>+19293726795</t>
  </si>
  <si>
    <t>Miriam Sanchez</t>
  </si>
  <si>
    <t>Johan</t>
  </si>
  <si>
    <t>Lozano</t>
  </si>
  <si>
    <t>johanl54@nycstudents.net</t>
  </si>
  <si>
    <t>6 Edgecombe Ave New York , NY 10030 new york, New York 10030 United States</t>
  </si>
  <si>
    <t>mott hall</t>
  </si>
  <si>
    <t>Mott Hall HS</t>
  </si>
  <si>
    <t>Eliexer</t>
  </si>
  <si>
    <t>Santos</t>
  </si>
  <si>
    <t>eliexeraka2k@gmail.com</t>
  </si>
  <si>
    <t>Wendy from Mission said BCHS students are not interested in continuing for IR 3 (Hetal, 4/4/22)</t>
  </si>
  <si>
    <t>1790 story ave</t>
  </si>
  <si>
    <t>+19292163420</t>
  </si>
  <si>
    <t>Lino Santos</t>
  </si>
  <si>
    <t>+13474853958</t>
  </si>
  <si>
    <t>Roman</t>
  </si>
  <si>
    <t>juanr4807@nycstudents.net</t>
  </si>
  <si>
    <t>Additional Email -  bujasad@gmail.com</t>
  </si>
  <si>
    <t>6 edgecombe new york, New York 10030 United States</t>
  </si>
  <si>
    <t>Mott Hall High School</t>
  </si>
  <si>
    <t>eva martinez</t>
  </si>
  <si>
    <t>es la profe</t>
  </si>
  <si>
    <t>emartinez72@nycstudenst.net</t>
  </si>
  <si>
    <t>Jaime</t>
  </si>
  <si>
    <t>Lara</t>
  </si>
  <si>
    <t>2024_jaimelara@ihs-us.org</t>
  </si>
  <si>
    <t>About - The X Intern was 16 years old when he moved from Colombia to America. He speaks English and Spanish. This is his first year and round in the program. The jobs that he listed that he is interested in are, ?actor, dance, film director, fashion designer, photographer, voice dubbing.? Bio - Jaime Lara: Jaime was 16 years old when he moved from Colombia to America. He is interested in the arts/creative field. Jaime wrote about himself, ?I'm confidence because I know my capacities and I'm not scare to try or do new things. I'm also persistent because I always work hard to get my goals. And finally I consider myself I positive person because I like to see the good side of things and enjoy the life.? He is still exploring his options for after high school. Jaime, we matched you based on your interest in the arts/creative field.</t>
  </si>
  <si>
    <t>61 26 213th st, Queens, NY 11364</t>
  </si>
  <si>
    <t>+13323323547</t>
  </si>
  <si>
    <t xml:space="preserve">"I think the Foundational Year is a great organization, and I honestly can't think of anything they could do better since they do their job very well. I chose the program because it seemed like an excellent place to develop as a person and explore new experiences. Having rounds with different champions was great because I was able to learn about the field I want to join from multiple perspectives. I felt that SPEAKHIRE truly cared about my internship process and that of my classmates, always making sure we understood everything. My two champions were incredible—they guided me, gave me excellent advice, and treated me with respect and education, helping me become the person I want to be."
</t>
  </si>
  <si>
    <t>Grecia Mendoza</t>
  </si>
  <si>
    <t>+13473378658</t>
  </si>
  <si>
    <t>Afannador</t>
  </si>
  <si>
    <t>johana3786@nycstudents.net</t>
  </si>
  <si>
    <t>61-55 61st</t>
  </si>
  <si>
    <t>+19293207976</t>
  </si>
  <si>
    <t>diana martinez</t>
  </si>
  <si>
    <t>Franco</t>
  </si>
  <si>
    <t>sebastianf4238@nycstudents.net</t>
  </si>
  <si>
    <t>72 10 41av ap5x</t>
  </si>
  <si>
    <t>Stefany Orozco Rincon</t>
  </si>
  <si>
    <t>sebastian</t>
  </si>
  <si>
    <t>ramirez</t>
  </si>
  <si>
    <t>sebastianramirezpuerto9@gmail.com</t>
  </si>
  <si>
    <t>9729 130 th st</t>
  </si>
  <si>
    <t>+19296897679</t>
  </si>
  <si>
    <t>sindy puerto</t>
  </si>
  <si>
    <t>ytuyiry@gmail.com</t>
  </si>
  <si>
    <t>+13455654321</t>
  </si>
  <si>
    <t>marcop85@nycstudents.net</t>
  </si>
  <si>
    <t>Additional Email -  marcohelmar2023@gmail.com</t>
  </si>
  <si>
    <t>99 Washington st new york, New York 10006 United States</t>
  </si>
  <si>
    <t>patricia</t>
  </si>
  <si>
    <t>patigelmar@gmail.com</t>
  </si>
  <si>
    <t>jhondavidv@nycstudents.net</t>
  </si>
  <si>
    <t>queens</t>
  </si>
  <si>
    <t>+19086624612</t>
  </si>
  <si>
    <t>ortis mom valencia dad</t>
  </si>
  <si>
    <t>Jeymi</t>
  </si>
  <si>
    <t>Rodiguez</t>
  </si>
  <si>
    <t>jeymi2019@flushinginternational.org</t>
  </si>
  <si>
    <t>Hetal changed her language from 'Not comfortable' to 'somewhat comfortable' after assistant principal Rosmery said she's okay (11/5/21)</t>
  </si>
  <si>
    <t>37 05 79st jackson heigts 11372</t>
  </si>
  <si>
    <t>+19177534737</t>
  </si>
  <si>
    <t>Vianey Amanda Tenorio Pena</t>
  </si>
  <si>
    <t>samantha.15may@gmail.com</t>
  </si>
  <si>
    <t>+19177533180</t>
  </si>
  <si>
    <t>Raul</t>
  </si>
  <si>
    <t>Alonzo</t>
  </si>
  <si>
    <t>raul.alonso@ichsbronx.org</t>
  </si>
  <si>
    <t>1810 palisade pl</t>
  </si>
  <si>
    <t>+19294185707</t>
  </si>
  <si>
    <t>Rosa Rosario</t>
  </si>
  <si>
    <t>Marilyn</t>
  </si>
  <si>
    <t>Arroyo</t>
  </si>
  <si>
    <t>marilyn2019@flushinginternational.org</t>
  </si>
  <si>
    <t>Use this as alternate email addressmarilyn31820@gmail.com</t>
  </si>
  <si>
    <t>93-24 49th Ave, Queens,NY 11373</t>
  </si>
  <si>
    <t>+13476397259</t>
  </si>
  <si>
    <t>Graciela Arroyo</t>
  </si>
  <si>
    <t>marilyn31820@gmail.com</t>
  </si>
  <si>
    <t>+13479571047</t>
  </si>
  <si>
    <t>Derek</t>
  </si>
  <si>
    <t>derekp2791@nycstudents.net</t>
  </si>
  <si>
    <t>Lady Hernandez</t>
  </si>
  <si>
    <t>Paez</t>
  </si>
  <si>
    <t>sara.paez@ichsbronx.org</t>
  </si>
  <si>
    <t>Additional Email: paezvalentina474@gmail.com About Intern: The X Intern is from Colombia and moved to the United States when she was 14 years old. She speaks Spanish and English. This is her first year and round in the program. She is interested in the Business, Health Sciences/Medicine, Rescue and Care, STEM, and Education fields.</t>
  </si>
  <si>
    <t>paezvalentina474@gmail.com Manhattan, New York 10029 United States</t>
  </si>
  <si>
    <t>Cindy Quintero Garcia</t>
  </si>
  <si>
    <t>cindyquinterogarcia@gmail.com</t>
  </si>
  <si>
    <t>Soulemane</t>
  </si>
  <si>
    <t>Lah</t>
  </si>
  <si>
    <t>Cote d’Ivoire (Ivory Coast)</t>
  </si>
  <si>
    <t>2025_soulemanelah@ihs-us.org</t>
  </si>
  <si>
    <t>Soulemane  Lah:  &amp;#34;Hi my names is  Soulemane  Lah i am from  Ivory coast  but i was born here when i was 10 i don't wanna work for people i wanted to work for myself because i wanted to be my own boss.&amp;#34; He is still exploring his options for after high school.  Soulemane , we matched you based on your interest in business. Additional Email -  soulemanelah3@gmail.com</t>
  </si>
  <si>
    <t>503 west 138st apt 1D New york, New York 10031 United States</t>
  </si>
  <si>
    <t>646-3712150</t>
  </si>
  <si>
    <t>kardijatou Camara</t>
  </si>
  <si>
    <t>karidijatou91@gmail.com</t>
  </si>
  <si>
    <t>Bozi</t>
  </si>
  <si>
    <t>Dape</t>
  </si>
  <si>
    <t>bozid@nycstudents.net</t>
  </si>
  <si>
    <t>5131 48st new york city, New York 11377 United States</t>
  </si>
  <si>
    <t>Lebanon jahhames</t>
  </si>
  <si>
    <t>iamdharmannsson@gmail.com</t>
  </si>
  <si>
    <t>(347)401-6559</t>
  </si>
  <si>
    <t>Anisah</t>
  </si>
  <si>
    <t>Tofa</t>
  </si>
  <si>
    <t>Nigeria, Ghana</t>
  </si>
  <si>
    <t>anisahtofa7@gmail.com</t>
  </si>
  <si>
    <t>1055 sheridan Ave</t>
  </si>
  <si>
    <t>+19293517881</t>
  </si>
  <si>
    <t>Muhammad Sanusi Tofa</t>
  </si>
  <si>
    <t>Sebastien</t>
  </si>
  <si>
    <t>Sierra</t>
  </si>
  <si>
    <t>sebastiansierra321@gmail.com</t>
  </si>
  <si>
    <t>Hetal marked as inactive on 3/31/22 after Wendy Nicholas emailed saying Sebastien is no longer interested. </t>
  </si>
  <si>
    <t>2060 White Plains Road apt:316 post:10462</t>
  </si>
  <si>
    <t>+13475827444</t>
  </si>
  <si>
    <t>Elba Terrero</t>
  </si>
  <si>
    <t>elbalabella@yahoo.com</t>
  </si>
  <si>
    <t>+13473504374</t>
  </si>
  <si>
    <t>Alisson.</t>
  </si>
  <si>
    <t>Galay</t>
  </si>
  <si>
    <t>alisson.galay@ellisprep.com</t>
  </si>
  <si>
    <t>Allison always had too many sport commitments to continue in the JFK Campus DL course</t>
  </si>
  <si>
    <t>1721 grand ave sort 6d 10453</t>
  </si>
  <si>
    <t>+19296088913</t>
  </si>
  <si>
    <t>Audrey</t>
  </si>
  <si>
    <t>audreymorales14@gmail.com</t>
  </si>
  <si>
    <t>929-350-8873</t>
  </si>
  <si>
    <t>condo</t>
  </si>
  <si>
    <t>stevenc4699@nycstudents.net</t>
  </si>
  <si>
    <t>460247 th Avednue Woodside NY,1137u,7ym</t>
  </si>
  <si>
    <t>Monica Zuniga</t>
  </si>
  <si>
    <t>Acevedo</t>
  </si>
  <si>
    <t>luisacevado.student@hseigators.org</t>
  </si>
  <si>
    <t>Email: luisacevado.student@hseigators.org didn't complete FY round for 21-22, so labeled inactive, issue not in the student but the school (HSEI)</t>
  </si>
  <si>
    <t>207 Academy street 10034</t>
  </si>
  <si>
    <t>Luis Maldonado</t>
  </si>
  <si>
    <t>N/A@gmail.com</t>
  </si>
  <si>
    <t>+12345678901</t>
  </si>
  <si>
    <t>Ulloa</t>
  </si>
  <si>
    <t>Other</t>
  </si>
  <si>
    <t>luisu47@nycstudents.net</t>
  </si>
  <si>
    <t>School Email: luisu47@nycstudents.net</t>
  </si>
  <si>
    <t>4602 47th Street Woodside</t>
  </si>
  <si>
    <t>Matute Antonio</t>
  </si>
  <si>
    <t>Carolyn</t>
  </si>
  <si>
    <t>carolynguzman@claremontihs.org</t>
  </si>
  <si>
    <t>1545 Nelson Ave Bronx, N.Y.C</t>
  </si>
  <si>
    <t>+16469722766</t>
  </si>
  <si>
    <t>jose guzman</t>
  </si>
  <si>
    <t>jguzmannu@gmail.com</t>
  </si>
  <si>
    <t>+16463536765</t>
  </si>
  <si>
    <t>Joel</t>
  </si>
  <si>
    <t>Polanco Trinidad</t>
  </si>
  <si>
    <t>joelp3776@nycstudents.net</t>
  </si>
  <si>
    <t>+19292703607</t>
  </si>
  <si>
    <t>luis polanco trinidad</t>
  </si>
  <si>
    <t>kilmer</t>
  </si>
  <si>
    <t>zabala</t>
  </si>
  <si>
    <t>2023_kilmerzabala@ihs-us.org</t>
  </si>
  <si>
    <t>219 logan st Brooklyn ny 11208</t>
  </si>
  <si>
    <t>+19176529469</t>
  </si>
  <si>
    <t>tomas, yejenni</t>
  </si>
  <si>
    <t>Taveras</t>
  </si>
  <si>
    <t>dt260596606@crotonaihs.org</t>
  </si>
  <si>
    <t>222 bedford park apt 4D Bronx, New York 10458 United States</t>
  </si>
  <si>
    <t>Narcisa Fernandez</t>
  </si>
  <si>
    <t>(347)290-8172</t>
  </si>
  <si>
    <t>Lizyanny</t>
  </si>
  <si>
    <t>Prandy</t>
  </si>
  <si>
    <t>lizyannypena@claremontihs.org</t>
  </si>
  <si>
    <t>2239 adams place</t>
  </si>
  <si>
    <t>+19292637143</t>
  </si>
  <si>
    <t>Maria Prandy</t>
  </si>
  <si>
    <t>Chrisnelly</t>
  </si>
  <si>
    <t>chrisnellygarcia@gmail.com</t>
  </si>
  <si>
    <t>About Intern: The second Intern was born in America but her family is from the Dominican Republic. She speaks English and Spanish. This is her first year and round in the program. The jobs she listed that she is interested in include, &amp;#34;Occupational therapist and Pediatrician.&amp;#34;</t>
  </si>
  <si>
    <t>+16469868740</t>
  </si>
  <si>
    <t>Rosa nunez</t>
  </si>
  <si>
    <t>+13474448768</t>
  </si>
  <si>
    <t>Aaliyah</t>
  </si>
  <si>
    <t>Aybar</t>
  </si>
  <si>
    <t>aaliyahaybar@claremontihs.org</t>
  </si>
  <si>
    <t>Ambassador Responses: 11 In 250 ? 500 words, describe three traits which make you a leader and a strong student. One of the traits that I think influences a lot to be a strong student or a good leader is my good ability to listen, since whenever a person needs to talk or someone to help them, I am there. another that I think is a good quality is that I like to pay attention to all the details and lastly, I like to learn and experience good things that influence my knowledge. 12 In 100 ? 250 words, how can SPEAKHIRE help you you boost your own academic profile? The speakhire program can be very helpful for those students who do not have the knowledge of what they want to study or be in the future, that knowledge that speakhire gives, also helps for your academic profile. 13 In 100 ? 250 words, what opportunities do young people who are immigrant and first-generation American currently have to gain awareness of career opportunities? Many people who have just arrived in the United States, as immigrants among others. This program is very helpful to them as it gives them that opportunity to communicate in their language and interact with others to find an ideal career. 14 In 250 ? 500 words, why you would succeed as a SPEAKHIRE for your grade at your school. If you do not meet all the requirements, explain why we should consider you for the position. I think that I could be considered for this position since I am a person who learns new things, and although I do not meet the requirements of this program, I know that if I am selected, I will be able to show the opposite and I would help many people who need it. Just as this program is giving me this great opportunity. 15 List the classes you will be taking the upcoming school year and any other activities which will keep you occupied. Please explain to us how many hours a week you will dedicate towards SPEAKHIRE and what your schedule will look like. i can dedicate 3 hour at week for speakhire program on my gym class at school. because in all my other classes i am occupied, but if my schedule change i would let the program know to do more hours at the program. 16 Outline your main responsibilities as a SPEAKHIRE Ambassador: My main responsibilities in the speakhire program are helping other students to be on time for their meetings. be attentive to all change to inform others, offer ideas so that students are more interested in participating. and lastly and most importantly, do my best to make a difference.</t>
  </si>
  <si>
    <t>+16468599542</t>
  </si>
  <si>
    <t>+13475488451</t>
  </si>
  <si>
    <t>Norvia</t>
  </si>
  <si>
    <t>Tavarez</t>
  </si>
  <si>
    <t>ntavarez@crotonaihs.org</t>
  </si>
  <si>
    <t>Returning Y2 FY intern, Graduate of 2022</t>
  </si>
  <si>
    <t>+16469863686</t>
  </si>
  <si>
    <t>yamilkaariasgalva@gmail.com</t>
  </si>
  <si>
    <t>+13473534238</t>
  </si>
  <si>
    <t>Mercado</t>
  </si>
  <si>
    <t>gmerc3560@icloud.com</t>
  </si>
  <si>
    <t>About Intern: The X Intern moved from the Dominican Republic to the United States when she was 12 years old. She speaks English and Spanish. This is her second year in the program. The jobs that she is interested in are, &amp;#34;Accounting, Business, Banking, Social Worker.&amp;#34; Y2 FY intern - Graduate of 2022</t>
  </si>
  <si>
    <t>1 Arden St BSMT, New York, NY,10040</t>
  </si>
  <si>
    <t>+13474300983</t>
  </si>
  <si>
    <t>Leonarda Mendez</t>
  </si>
  <si>
    <t>leornamerc@icloud.com</t>
  </si>
  <si>
    <t>+16465450153</t>
  </si>
  <si>
    <t>Raderly</t>
  </si>
  <si>
    <t>Morel</t>
  </si>
  <si>
    <t>rmorel@crotonaihs.org</t>
  </si>
  <si>
    <t>Family health issues, and could no longer continue in IR2 20-21; kept saying she would come but never came to a session despite a number of outreach emails/calls</t>
  </si>
  <si>
    <t>2242 webster Av</t>
  </si>
  <si>
    <t>Yokasta Morel Frias, Javy aneudi checo</t>
  </si>
  <si>
    <t>Eliana</t>
  </si>
  <si>
    <t>Alfonso Hernandez</t>
  </si>
  <si>
    <t>eliana2019@flushinginternational.org</t>
  </si>
  <si>
    <t>Hetal updated Eliana's language from 'Not Comfortable' to 'Somewhat' based off of AP Rosmery's response 10/30/21</t>
  </si>
  <si>
    <t>104-41 Roosevelt Ave,corona Queen N.Y 11368</t>
  </si>
  <si>
    <t>+13474375290</t>
  </si>
  <si>
    <t>Vicente Alfonso Rodriguez</t>
  </si>
  <si>
    <t>+13473582529</t>
  </si>
  <si>
    <t>Lidia</t>
  </si>
  <si>
    <t>Pujol</t>
  </si>
  <si>
    <t>lidia.pujol@ichsbronx.org</t>
  </si>
  <si>
    <t>1043 Avenue Saint John, #2A , Bronx NY, 10455</t>
  </si>
  <si>
    <t>+16469530009</t>
  </si>
  <si>
    <t>Osiris Pujol</t>
  </si>
  <si>
    <t>amy.perez@ichsbronx.org</t>
  </si>
  <si>
    <t>&amp;#34; This Intern moved to the US from the Dominican Republic when she was 17. She speaks English and Spanish. The jobs that she listed that she is interested in are, &amp;#34;Marketing, Biology, Forensic science, Flight Attendance.&amp;#34;&amp;#34; School had budget limits so Hetal had to make this student inactive for 22-23 IR-S until further notice (July 12/2022) Replaced Gabriela Pena ICHS (9/29/22) and made active</t>
  </si>
  <si>
    <t>2347 Prospect Avenue Bronx NY 10458</t>
  </si>
  <si>
    <t>+19295233853</t>
  </si>
  <si>
    <t>Jose Miguel Cabrera</t>
  </si>
  <si>
    <t>Jmalexander0922@gmail.com</t>
  </si>
  <si>
    <t>+19296770639</t>
  </si>
  <si>
    <t>Daylers</t>
  </si>
  <si>
    <t>Custodio</t>
  </si>
  <si>
    <t>dcustodiocastillo@crotonaihs.org</t>
  </si>
  <si>
    <t>2412 Crotona Avenue, Apt 3E, Bronx, NY 10458</t>
  </si>
  <si>
    <t>+19292399923</t>
  </si>
  <si>
    <t>Alicia Castillo</t>
  </si>
  <si>
    <t>Noelia</t>
  </si>
  <si>
    <t>Pimentel</t>
  </si>
  <si>
    <t>noeliapimentel@claremontihs.org</t>
  </si>
  <si>
    <t>1044 Ave Saint John Bronx, NY 10455</t>
  </si>
  <si>
    <t>+19294086400</t>
  </si>
  <si>
    <t>Nubia Marichal</t>
  </si>
  <si>
    <t>pimentelnoelia336@gmail.com</t>
  </si>
  <si>
    <t>+19294745056</t>
  </si>
  <si>
    <t>Johnfree</t>
  </si>
  <si>
    <t>Carrasco</t>
  </si>
  <si>
    <t>johnfreecarrasco@claremontihs.org</t>
  </si>
  <si>
    <t>In 250 ? 500 words, describe three traits which make you a leader and a strong student. I think some of the traits that I have that make me a strong leader and a student is that most of the time I tend to push myself, so sometimes when I have to work with others under pressure and for some reason we have pressure to do something I feel like I can handle that situation well and help my colleagues overcome that hurdle. Secondly, during my time at Claremont I have always worked in groups and I know that I can help my colleagues to improve and myself, I always prioritize my colleagues, that is why I believe that I can be of help motivating them and in the way they need either explaining them, teaching them how to do some assignment and that will help them to improve and reach their full potential. Third and last, I believe that I have the ability to fulfill what is asked of me and I always try to do the best job possible within my capabilities and I always try harder than what I can so I can improve and be a better student and classmate. In 100 ? 250 words, how can SPEAKHIRE help you you boost your own academic profile? I believe that speakhire can help me improve my academic profile because I will be working with professional and trained people who will guide and teach me everything necessary to achieve my goal. Also, I believe that the activities and meetings will be very professional, and I feel that the activities and assignments will help me develop new skills and also improve the ones I already have. I remember from the meeting to introduce Speakhire that they mentioned that we will be able to speak with people who are specialized in the career that interests us and I think that will help a lot because they are people who already study and they know what is necessary to be in a high level and how hard we have to work to reach that level. Finally, I feel that after speakhire people will be able to notice that I improved and that will let people know that I've worked hard and that speakhire does help people to be successful and gives us the right tools to be successful in the future. n 100 ? 250 words, what opportunities do young people who are immigrant and first-generation American currently have to gain awareness of career opportunities? I believe that the greatest opportunity young immigrants and Americans have to learn about career opportunities is school. Based on my experience, the school gives us a lot of help either to discover what career we want to study or to know the steps we have to follow, in addition to providing us with information about programs or people that can help us to facilitate our path until we decide which career choose or until we are professionals in a career. In addition, we have the internet which can be a great source of information for anything we need. For example, we can search for information about the career that interests us and thus learn more about it and determine whether we like it or not. In the same way, we can look for more options until we discover the one that we really like or are interested in. In 250 ? 500 words, why you would succeed as a SPEAKHIRE for your grade at your school. If you do not meet all the requirements, explain why we should consider you for the position. I believe that I would be successful as a speakhire for my grade at my school because from what I have seen and heard, the program offers very good tools for the development of our skills, in addition to having trained people who can help me improve and improve discover new skills. If I don't meet all the requirements the reason why I should be consider for the position is because I know that if you allow me to show what I'm capable of, I'm sure that I can do better and put a lot of effort until I reach the required level to be part of speakhire. Also, I know I can be good in different ways, I can also help others to improve because I like to encourage them and motivate them so they can keep studying and do their best so they can be successful in the future. Also, I think it could help me to be better and develop new skill to be more professional and be prepared for the future. List the classes you will be taking the upcoming school year and any other activities which will keep you occupied. Please explain to us how many hours a week you will dedicate towards SPEAKHIRE and what your schedule will look like. The upcoming year I will be taking the mandatory classes like Science, Math, English and History. Also, depending on whether we go back to class or not, I would like to participate in the basketball team again, as well as participate in computer science class or in a club like Latino club or photography. I will have the schedule determined by the teachers which already has a set time for each task and after my mandatory assignments I will dedicate all the time necessary to do the best possible work at Speakhire. Outline your main responsibilities as a SPEAKHIRE Ambassador: I think that the main responsibilities as a speakhire ambassador are help other to improve and with anything they need either showing them how to check their emails, how to organize their email, their schedule and to remind them to attempt to the meetings. Also, to motivate others to keep working hard and reminding them that they hard work will have big rewards in the future.</t>
  </si>
  <si>
    <t>1045 Woodycrest av apt 2j- NY- Bronx 10452</t>
  </si>
  <si>
    <t>+13479653305</t>
  </si>
  <si>
    <t>I enjoyed a lot as usual. The sessions are very interesting and helpful and they focus on the interns needs
I am enjoying a lot these sessions, they are really fun and I get to learn a lot.
I love the sessions and they are always very helpful and professional 
I enjoy a lot this session, very helpful and interesting
Always good, very interesting, helpful and fun</t>
  </si>
  <si>
    <t>Maria Collado</t>
  </si>
  <si>
    <t>magdacollado@gmail.com</t>
  </si>
  <si>
    <t>+13475108285</t>
  </si>
  <si>
    <t>Wilfred</t>
  </si>
  <si>
    <t>Quezada</t>
  </si>
  <si>
    <t>wilfred.chavez@ichsbronx.org</t>
  </si>
  <si>
    <t>105 East 168 street, Bronx, NY 10452</t>
  </si>
  <si>
    <t>+13479095068</t>
  </si>
  <si>
    <t>Yuderkis Chávez</t>
  </si>
  <si>
    <t>Mairol</t>
  </si>
  <si>
    <t>Rivas</t>
  </si>
  <si>
    <t>mairolrivass2017@gmail.com</t>
  </si>
  <si>
    <t>Alternate email: Mrivasrosario@crotonaihs.org</t>
  </si>
  <si>
    <t>2432 Webb Ave Bronx</t>
  </si>
  <si>
    <t>?(317) 983-2846?</t>
  </si>
  <si>
    <t>Candy Julissa Rosario</t>
  </si>
  <si>
    <t>Aminata.</t>
  </si>
  <si>
    <t>Kebe</t>
  </si>
  <si>
    <t>aminatakebe@claremontihs.org</t>
  </si>
  <si>
    <t>Duplicate for FY Status - already exists LE profile</t>
  </si>
  <si>
    <t>1491 Macombs Rd Apt 2b bronx ny 10452</t>
  </si>
  <si>
    <t>+19177569950</t>
  </si>
  <si>
    <t>Fatoumata Kebe</t>
  </si>
  <si>
    <t>fatoumatak1975@icloud.com</t>
  </si>
  <si>
    <t>+19293418196</t>
  </si>
  <si>
    <t>Steisy</t>
  </si>
  <si>
    <t>stacyacosta242@gmail.com</t>
  </si>
  <si>
    <t>108-40 39th Street Apt 1f</t>
  </si>
  <si>
    <t>+19294219321</t>
  </si>
  <si>
    <t>Miosotis Vargas</t>
  </si>
  <si>
    <t>Miosotisfernandez23@gmail.com</t>
  </si>
  <si>
    <t>+19294219170</t>
  </si>
  <si>
    <t>Reynoso Fernandez</t>
  </si>
  <si>
    <t>david2019@flushinginternational.org</t>
  </si>
  <si>
    <t>SB 10/25 updated language to Somewhat Comfortable</t>
  </si>
  <si>
    <t>10915 37Th AVE 11368 NY</t>
  </si>
  <si>
    <t>+16469824608</t>
  </si>
  <si>
    <t>Maria Fernandez de Lopez</t>
  </si>
  <si>
    <t>maria.fernandez112379@gmail.com</t>
  </si>
  <si>
    <t>+17866162303</t>
  </si>
  <si>
    <t>Rafialy</t>
  </si>
  <si>
    <t>rafialy.reyes@ellisprep.com</t>
  </si>
  <si>
    <t>Told Abigail Mawhirter that he wants to be an electrician now since his dad is an electrician -- confused about health sciences or electrician (Hetal 11/10/21)</t>
  </si>
  <si>
    <t>2515 Olinville Ave apt 3D Bronx NY ,10467</t>
  </si>
  <si>
    <t>+19175002916</t>
  </si>
  <si>
    <t>Zoila Reyes</t>
  </si>
  <si>
    <t>zoila.acevedo@gmail.com</t>
  </si>
  <si>
    <t>+19143350264</t>
  </si>
  <si>
    <t>Akemi</t>
  </si>
  <si>
    <t>Liz</t>
  </si>
  <si>
    <t>akemiliz03@gmail.com</t>
  </si>
  <si>
    <t>252 Wadsworth Ave, apt 5C, Manhattan, NY, 10033</t>
  </si>
  <si>
    <t>+18456308662</t>
  </si>
  <si>
    <t>John Liz</t>
  </si>
  <si>
    <t>cilibanoft@hotmail.com</t>
  </si>
  <si>
    <t>+19175822427</t>
  </si>
  <si>
    <t>Raimelis</t>
  </si>
  <si>
    <t>raimelisgarcia@crotonaihs.org</t>
  </si>
  <si>
    <t>Hetal made Raimelis inactive when she told Shanneell that she can no longer continue for FY2122 IR2 (1/13/22)</t>
  </si>
  <si>
    <t>2630 Marion Avenue</t>
  </si>
  <si>
    <t>Altagracia Encarnacion</t>
  </si>
  <si>
    <t>altaenc@gmail.com</t>
  </si>
  <si>
    <t>Enmanuel</t>
  </si>
  <si>
    <t>Gervacio Rodriguez</t>
  </si>
  <si>
    <t>enmanuelgervacio@claremontihs.org</t>
  </si>
  <si>
    <t>Email: enmanuelgervacio@claremontihs.org Phone number: &amp;#43;13477413371</t>
  </si>
  <si>
    <t>110 mount hope place,1F</t>
  </si>
  <si>
    <t>Manuel Gervacio Santos</t>
  </si>
  <si>
    <t>renelo2050@gmail.com</t>
  </si>
  <si>
    <t>+16464929428</t>
  </si>
  <si>
    <t>Jaylin</t>
  </si>
  <si>
    <t>Rosa Gonzalez</t>
  </si>
  <si>
    <t>jaylinrosa.gonzalez.23@wheels-student.org</t>
  </si>
  <si>
    <t>111 Wadsworth Ave Apt 32C, NYC,NY, 10033</t>
  </si>
  <si>
    <t>+19176836329</t>
  </si>
  <si>
    <t>Heidy Rosa Gonzalez</t>
  </si>
  <si>
    <t>Hveras91@gmail.com</t>
  </si>
  <si>
    <t>+19172570210</t>
  </si>
  <si>
    <t xml:space="preserve">got accepted Russell Sage </t>
  </si>
  <si>
    <t>Josue</t>
  </si>
  <si>
    <t>Cuello-Marte</t>
  </si>
  <si>
    <t>josuec118@nycstudents.net</t>
  </si>
  <si>
    <t>112-06 34th Avenue, Corona, NY 11368</t>
  </si>
  <si>
    <t>+19178659699</t>
  </si>
  <si>
    <t>Jose Cuello</t>
  </si>
  <si>
    <t>Edgar</t>
  </si>
  <si>
    <t>Silverio</t>
  </si>
  <si>
    <t>edgarsilverio@claremontihs.org</t>
  </si>
  <si>
    <t>1153 boston road, bronx, NY, 10456</t>
  </si>
  <si>
    <t>+19294329030</t>
  </si>
  <si>
    <t>Vicente Silverio</t>
  </si>
  <si>
    <t>Vicentesilverio151@gmail.com</t>
  </si>
  <si>
    <t>+19175364361</t>
  </si>
  <si>
    <t>Elvira</t>
  </si>
  <si>
    <t>Batista</t>
  </si>
  <si>
    <t>elvirabatistaflorian.student@hseigators.org</t>
  </si>
  <si>
    <t>119 Ellwood St New York NY 10040</t>
  </si>
  <si>
    <t>+13475583077</t>
  </si>
  <si>
    <t>Rosario</t>
  </si>
  <si>
    <t>luisa.rosario@flushinginternational.org</t>
  </si>
  <si>
    <t>28-08 Brookhaven Ave 11691</t>
  </si>
  <si>
    <t>+19294539003</t>
  </si>
  <si>
    <t>Maria Marte</t>
  </si>
  <si>
    <t>+19296004096</t>
  </si>
  <si>
    <t>Ana.</t>
  </si>
  <si>
    <t>Fabian</t>
  </si>
  <si>
    <t>anafabian@claremontihs.org</t>
  </si>
  <si>
    <t>102-26 martense ave Corona NY</t>
  </si>
  <si>
    <t>Erika Monterrosa</t>
  </si>
  <si>
    <t>Emely</t>
  </si>
  <si>
    <t>Nolasco</t>
  </si>
  <si>
    <t>emelynolasco@claremontihs.org</t>
  </si>
  <si>
    <t>1216 ogden avenue Bronx ny 10452</t>
  </si>
  <si>
    <t>+13473763627</t>
  </si>
  <si>
    <t>Jesus Nolasco</t>
  </si>
  <si>
    <t>jesusmanuelnolasco069@gmail.com</t>
  </si>
  <si>
    <t>+16468528754</t>
  </si>
  <si>
    <t>Jeremy</t>
  </si>
  <si>
    <t>Zapata</t>
  </si>
  <si>
    <t>jeremyzj2003@gmail.com</t>
  </si>
  <si>
    <t>282 brook ave Bronx, NY 18634</t>
  </si>
  <si>
    <t>Augusto Zapata</t>
  </si>
  <si>
    <t>+16464070662</t>
  </si>
  <si>
    <t>Francheska</t>
  </si>
  <si>
    <t>Caraballo</t>
  </si>
  <si>
    <t>caraballofrancheska01@gmail.com</t>
  </si>
  <si>
    <t>1235 Morris Av Ap4E Bronx, New York, 10456</t>
  </si>
  <si>
    <t>+19293129360</t>
  </si>
  <si>
    <t>Jocelyn Blanco</t>
  </si>
  <si>
    <t>joceblanco2201@gmail.com</t>
  </si>
  <si>
    <t>+19172807967</t>
  </si>
  <si>
    <t>Ronniel</t>
  </si>
  <si>
    <t>2023_ronnielruiz@ihs-us.org</t>
  </si>
  <si>
    <t>2950 Dudley Ave, Bronx, New York, 10461</t>
  </si>
  <si>
    <t>+13473692650</t>
  </si>
  <si>
    <t>Ronny Gomez</t>
  </si>
  <si>
    <t>Chamely</t>
  </si>
  <si>
    <t>Lantigua</t>
  </si>
  <si>
    <t>chamelylantigua@claremontihs.org</t>
  </si>
  <si>
    <t>1246 Shakespeare ave, Bronx New York 10452</t>
  </si>
  <si>
    <t>+19294368727</t>
  </si>
  <si>
    <t>Jacqueline Made</t>
  </si>
  <si>
    <t>bellamade@hotmail.com</t>
  </si>
  <si>
    <t>+16466204298</t>
  </si>
  <si>
    <t>Nahiara</t>
  </si>
  <si>
    <t>Richiez Avila</t>
  </si>
  <si>
    <t>nahiaraavila@claremontihs.org</t>
  </si>
  <si>
    <t>1270 Webster ave Bronx NY</t>
  </si>
  <si>
    <t>+19294977108</t>
  </si>
  <si>
    <t>Natali Avila de León</t>
  </si>
  <si>
    <t>Hendry</t>
  </si>
  <si>
    <t>Bello</t>
  </si>
  <si>
    <t>2024_hendrybello@ihs-us.org</t>
  </si>
  <si>
    <t>6/27 - VM - no communication -- pQ 2023 Future Leader Award Recipient Bio -  Hendry Bello: Hendry was 11 when he moved from the Dominican Republic to the United States. He is interested in the STEM and Arts/Creative fields. Hendry describes himself as funny, curious, and creative. He is still exploring his options for colleges. Hendry, we matched you based on your interest in STEM, a similar cultural background, and a shared language. About - The X Intern was 11 when he moved from the Dominican Republic to the United States. He speaks English and Spanish. This is his first year and round in the program. The jobs that he is interested in are, ?Massage Therapist, A programer ,Video game developer &amp;amp; a technician.?</t>
  </si>
  <si>
    <t>134 Caryl AV, Yonkers, NY, 10705</t>
  </si>
  <si>
    <t>+13478562181</t>
  </si>
  <si>
    <t>Henry bello</t>
  </si>
  <si>
    <t>Henryabelloca@gmail.con</t>
  </si>
  <si>
    <t>+16465972771</t>
  </si>
  <si>
    <t>Eimy Alexandra</t>
  </si>
  <si>
    <t>Carpio Cuesta</t>
  </si>
  <si>
    <t>eimycarpio@crotonaihs.org</t>
  </si>
  <si>
    <t>She had provided this number on application but hard to reach:  &amp;#43;13479284347</t>
  </si>
  <si>
    <t>2985 Botanical Square Bronx NY Apt 5c 10458</t>
  </si>
  <si>
    <t>973 336 5054 (Father's Number)</t>
  </si>
  <si>
    <t>I loved the teacher who touched me for taking patience since I do not speak English as I should or would like but it is better to try than not to achieve it, I have loved to make known my purposes and goals which I will achieve with God through. I am very grateful to be in this group with you.</t>
  </si>
  <si>
    <t>Noemí Yocairy Cuesta</t>
  </si>
  <si>
    <t>cuestan34@gmail.com</t>
  </si>
  <si>
    <t>Karina</t>
  </si>
  <si>
    <t>Tejada</t>
  </si>
  <si>
    <t>karina.tejada.24@wheels-student.org</t>
  </si>
  <si>
    <t>About Intern: The X Intern has family from the Dominican Republic, but she was born in the United States. She speaks English and Spanish. This is her first year and round in the program. The jobs that she listed that she is interested in are &amp;#34;health science, medicine, pharmacy.&amp;#34;</t>
  </si>
  <si>
    <t>1365 saint nicholas avenue 22R 10033, new york , new york city</t>
  </si>
  <si>
    <t>+19143876117</t>
  </si>
  <si>
    <t>gregoria tejada</t>
  </si>
  <si>
    <t>gregoriatejada201@gmail.com</t>
  </si>
  <si>
    <t>+19178615308</t>
  </si>
  <si>
    <t>Lisbeth</t>
  </si>
  <si>
    <t>Peña</t>
  </si>
  <si>
    <t>lisbeth.pena@ichsbronx.org</t>
  </si>
  <si>
    <t>About Intern: The X Intern was 16 years old when she moved from the Dominican Republic to the United States. She speaks English and Spanish. This is her first year and round in the program. She is interested in the business, law, and social sciences/psychology fields. Email:  lisbeth.pena@ichsbronx.org Phone #:  9293048833</t>
  </si>
  <si>
    <t>343 EAST 138 STREET Bronx, New York 10454 United States</t>
  </si>
  <si>
    <t>Jose Federico</t>
  </si>
  <si>
    <t>frederijose17@gmail.com</t>
  </si>
  <si>
    <t>Jennyfer</t>
  </si>
  <si>
    <t>Montilla</t>
  </si>
  <si>
    <t>jennyfer.montilla.24@wheels-student.org</t>
  </si>
  <si>
    <t>1365 Saint Nicholas Avenue apt. 29L New York, NY 10033</t>
  </si>
  <si>
    <t>+13476156136</t>
  </si>
  <si>
    <t>Francheska De La Rosa</t>
  </si>
  <si>
    <t>delarosafrancheska@gmail.com</t>
  </si>
  <si>
    <t>+16466964228</t>
  </si>
  <si>
    <t>Jhony</t>
  </si>
  <si>
    <t>jhony2019@flushinginternational.org</t>
  </si>
  <si>
    <t>1414 117th street College Point, Queens NY 11356</t>
  </si>
  <si>
    <t>+19298017226</t>
  </si>
  <si>
    <t>viegamama@aol.com</t>
  </si>
  <si>
    <t>+15164059293</t>
  </si>
  <si>
    <t>Enyerson</t>
  </si>
  <si>
    <t>cd260030879@crotonaihs.org</t>
  </si>
  <si>
    <t>10/30/23 Discontinued</t>
  </si>
  <si>
    <t>345 East 209 St 3E Bronx, New York 10467 United States</t>
  </si>
  <si>
    <t>Venecia Reyes</t>
  </si>
  <si>
    <t>enyercordero15@gmail.com</t>
  </si>
  <si>
    <t>Cristobal</t>
  </si>
  <si>
    <t>Cespedes</t>
  </si>
  <si>
    <t>cristobalc14@nycstudents.net</t>
  </si>
  <si>
    <t>Cashed Awarded $225 check on Aug 18, 2023 Phone # changed from (347) 608-6139 to (347) 303-0808 -- 9/6/23 KW (Received email from Alumni) Intern of the Year -- Participated at the Summit / soiree as speaker and received his check for $ 225 that night 8/16 -- PQ About Intern: The X Intern moved to America from the Dominican Republic when he was 7 years old. He speaks English and Spanish. This is his first year and round in the program. The jobs he listed that he is interested in are, &amp;#34;Aviation and Cybersecurity.&amp;#34;</t>
  </si>
  <si>
    <t>14547 Tuskegee airman way, Jamaica, NY, 11435</t>
  </si>
  <si>
    <t>(347) 303-0808</t>
  </si>
  <si>
    <t>ICAN</t>
  </si>
  <si>
    <t>noeliar876@gmail.com</t>
  </si>
  <si>
    <t>+13476668581</t>
  </si>
  <si>
    <t>Aboubacar Sidiki</t>
  </si>
  <si>
    <t>Djoumande.</t>
  </si>
  <si>
    <t>aboubacardjoumande@claremontihs.org</t>
  </si>
  <si>
    <t>(HJ 2/21/22)Asked to update his email to his school email; this is his personl - djoumandeabhu@gmail.com He had put this phone number for himself and his guardian but it is not  working phone number: &amp;#43;19295351234 (HJ, 2.21.22</t>
  </si>
  <si>
    <t>952 sherman avenue new york city NY 10456</t>
  </si>
  <si>
    <t>Djiba djoumande and makeme djoumande</t>
  </si>
  <si>
    <t>djoumandeabhu@gmail.com</t>
  </si>
  <si>
    <t>Brian Rodriguez</t>
  </si>
  <si>
    <t>2023_brianrodriguez@ihs-us.org</t>
  </si>
  <si>
    <t>1473 popham ave bronx NY</t>
  </si>
  <si>
    <t>+13472487005</t>
  </si>
  <si>
    <t>Carlos Fernandez, Marisol Cabrera</t>
  </si>
  <si>
    <t>Liriano</t>
  </si>
  <si>
    <t>steven.lirianocabrera.24@wheels-student.org</t>
  </si>
  <si>
    <t>personal email: Stevenliriano236@gmail.com</t>
  </si>
  <si>
    <t>1501 Undercliff Ave</t>
  </si>
  <si>
    <t>+19292769543</t>
  </si>
  <si>
    <t>Veronica Cabrera</t>
  </si>
  <si>
    <t>Guzman Jerez</t>
  </si>
  <si>
    <t>cguzman@crotonaihs.org</t>
  </si>
  <si>
    <t>HJ made inactive on 1/12/22 after working with school on students who are not committed</t>
  </si>
  <si>
    <t>385 EAST 194TH STREET, BRONX, NY, 10458</t>
  </si>
  <si>
    <t>Maria Jerez</t>
  </si>
  <si>
    <t>genesiskj@outlook.com</t>
  </si>
  <si>
    <t>+19787157544</t>
  </si>
  <si>
    <t>Alexa</t>
  </si>
  <si>
    <t>Velasquez</t>
  </si>
  <si>
    <t>Email: alexa.velasquez@ellisprep.com Phone Number: 8622878126</t>
  </si>
  <si>
    <t>3873 orloff av new york New York 10463 United States</t>
  </si>
  <si>
    <t>alexa</t>
  </si>
  <si>
    <t>Aunt</t>
  </si>
  <si>
    <t>alexa.velasquez@ellisprep.com</t>
  </si>
  <si>
    <t>Kahori</t>
  </si>
  <si>
    <t>Toribio Vargas</t>
  </si>
  <si>
    <t>kahori.toribio@ichsbronx.org</t>
  </si>
  <si>
    <t>1514 Townsend Ave Apt 6A</t>
  </si>
  <si>
    <t>+19296027023</t>
  </si>
  <si>
    <t>Moises Toribio, Ana Iris Francisco</t>
  </si>
  <si>
    <t>John jay</t>
  </si>
  <si>
    <t>Clari Luz</t>
  </si>
  <si>
    <t>clariluzguzman@claremontihs.org</t>
  </si>
  <si>
    <t>1545 nelson ave bronx new york 10452</t>
  </si>
  <si>
    <t>+19293615042</t>
  </si>
  <si>
    <t>Jose Josias Guzman Nu?ez</t>
  </si>
  <si>
    <t>Pichardo</t>
  </si>
  <si>
    <t>j.pichardorodriguez@ihsph.org</t>
  </si>
  <si>
    <t>393 Dumont av Apt 10G</t>
  </si>
  <si>
    <t>+19179513004</t>
  </si>
  <si>
    <t>Leida Pichardo</t>
  </si>
  <si>
    <t>Tiasha</t>
  </si>
  <si>
    <t>Grullon</t>
  </si>
  <si>
    <t>tiasha.grullon.23@wheels-student.org</t>
  </si>
  <si>
    <t>Hetal made inactive on April 12th after the Principal Tom asked them and they said they are no longer interested in participating -- this was after the match was sent with Louise Malone</t>
  </si>
  <si>
    <t>500 west 190 street apt 3D 10040</t>
  </si>
  <si>
    <t>+19172158367</t>
  </si>
  <si>
    <t>Joselin Madrigal</t>
  </si>
  <si>
    <t>madrigalin08@hotmail.com</t>
  </si>
  <si>
    <t>+19293058279</t>
  </si>
  <si>
    <t>Sosa</t>
  </si>
  <si>
    <t>ashleysosa@claremontihs.org</t>
  </si>
  <si>
    <t>Hetal added in Ashley's school email address after requested by Magda, Support Liaison 2.8.22 (Ashleysosaaa120@gmail.com)</t>
  </si>
  <si>
    <t>1545 Nelson Ave, Apartment 35, Bronx NY 10452</t>
  </si>
  <si>
    <t>+19293712837</t>
  </si>
  <si>
    <t>Celeste Mercedes</t>
  </si>
  <si>
    <t>Claudiamercedez20@gmail.com</t>
  </si>
  <si>
    <t>+16463182939</t>
  </si>
  <si>
    <t>Enyer</t>
  </si>
  <si>
    <t>Cabrera</t>
  </si>
  <si>
    <t>2025_enyercabrera@ihs-us.org</t>
  </si>
  <si>
    <t>Additional Email -  Enyerc720@gmail.com</t>
  </si>
  <si>
    <t>1546 selwyn ave bronx, New York 10457 United States</t>
  </si>
  <si>
    <t>(917)470-2962</t>
  </si>
  <si>
    <t>genesis duran</t>
  </si>
  <si>
    <t>enyerc720@gmail.com</t>
  </si>
  <si>
    <t>De La Cruz</t>
  </si>
  <si>
    <t>Email no longer active as of 3/23/26 - mariadelacruz@claremontihs.org</t>
  </si>
  <si>
    <t>  Secondary email:   libaneza2001@gmail.com Ambassador Responses In 250 ? 500 words, describe three traits which make you a leader and a strong student. Three traits that make me a strong leader and student are the respect with which I treat the other people around me, since I value the words and actions of others even if I do not approve or share what they do. I accept others as they are and understand that we are all different. On the other hand, I am a very responsible student and I consider that this trait is one of the most important since I always try to fulfill my duties as a student. I think this is part of respecting the teachers, fulfilling my duties as a student. Finally, it is worth mentioning that I am a very empathetic person since I like to help my colleagues, I make their situations as if they were mine and I try to help. In 100 ? 250 words, how can SPEAKHIRE help you you boost your own academic profile? SPEAKHIRE can help me improve my own academic profile by helping me become a leader by teaching me the skills that a leader has and helping me develop them. Also, participating in this program would serve as evidence that I have leadership skills when I have to fill out my college application. In 100 ? 250 words, what opportunities do young people who are immigrant and first-generation American currently have to gain awareness of career opportunities? The opportunities that young immigrants and first generation Americans currently have to learn about career opportunities are to participate in programs such as speakhire and school counselors who play a very important role. In 250 ? 500 words, why you would succeed as a SPEAKHIRE for your grade at your school. If you do not meet all the requirements, explain why we should consider you for the position. I would succeed as a SPEAKER for my grade at my school because I will learn to be a more responsible person, do my internship and definitely learn to be a better student which will absolutely have a positive impact on my grades. On the other hand, if I do not meet all the requirements, they should consider me for the position because I really want to develop leadership skills and I will put all my effort to attend each section, participate and encourage my peers to attend. List the classes you will be taking the upcoming school year and any other activities which will keep you occupied. Please explain to us how many hours a week you will dedicate towards SPEAKHIRE and what your schedule will look like. Next school year I will be taking gym, science, history, math and English classes. I will dedicate 5 hours a week to speakhire. Every day after taking my classes in the afternoons I will dedicate that time to the program. Outline your main responsibilities as a SPEAKHIRE Ambassador: My main responsibilities as Speakhire Ambassador are: Support other interns through the Foundational Year, support
mi peers Interns and develop as leaders, send a reminder to all Interns of upcoming sessions and reach my Interns and make sure they attend their Internship sessions.</t>
  </si>
  <si>
    <t>156E 171St Apt 3L Bronx NY 10452</t>
  </si>
  <si>
    <t>Jose De La Cruz</t>
  </si>
  <si>
    <t>Dinelys Ana</t>
  </si>
  <si>
    <t>Baez Espinal</t>
  </si>
  <si>
    <t>adinelis153@gmail.com</t>
  </si>
  <si>
    <t>Started off as an Ambassador but stopped communicating; said she'd continue as an Intern but then didn't show up. Discontinued after 2 missed sessions in IR2 (HJ, 2/11/21)</t>
  </si>
  <si>
    <t>5018 Jackson st</t>
  </si>
  <si>
    <t>Tania Espinal</t>
  </si>
  <si>
    <t>taniaespinalicloud@gmail.com</t>
  </si>
  <si>
    <t>5018 jackson st</t>
  </si>
  <si>
    <t>Yasmeily</t>
  </si>
  <si>
    <t>Torres Santana</t>
  </si>
  <si>
    <t>yasmeilytorressantana19@ihsph.org</t>
  </si>
  <si>
    <t>1613 brooklyn av</t>
  </si>
  <si>
    <t>+17187953292</t>
  </si>
  <si>
    <t>Miledy del carmen santana diaz</t>
  </si>
  <si>
    <t>Kamylle</t>
  </si>
  <si>
    <t>Camacho</t>
  </si>
  <si>
    <t>kamyllecamacho@claremontihs.org</t>
  </si>
  <si>
    <t>1651 Nelson ave</t>
  </si>
  <si>
    <t>+13478226022</t>
  </si>
  <si>
    <t>Lucy Reyes</t>
  </si>
  <si>
    <t>cirilo</t>
  </si>
  <si>
    <t>luna</t>
  </si>
  <si>
    <t>lunanoemi0121@gmail.com</t>
  </si>
  <si>
    <t>1683 george street Apt 4D Ridgewood NY 11385</t>
  </si>
  <si>
    <t>+13476927875</t>
  </si>
  <si>
    <t>NYC IS 77 NY</t>
  </si>
  <si>
    <t>IS77</t>
  </si>
  <si>
    <t>Noemi Luna</t>
  </si>
  <si>
    <t>eacevedo@crotonaihs.org</t>
  </si>
  <si>
    <t>1735 Townsend Ave</t>
  </si>
  <si>
    <t>+19295353018</t>
  </si>
  <si>
    <t>Yovanny Terrero</t>
  </si>
  <si>
    <t>Yaire</t>
  </si>
  <si>
    <t>Moore</t>
  </si>
  <si>
    <t>yairelopez@claremontihs.org</t>
  </si>
  <si>
    <t>175 west tremont ave, Bronx, Nueva York, 10453</t>
  </si>
  <si>
    <t>+19295269685</t>
  </si>
  <si>
    <t>Elizabeth Lopez</t>
  </si>
  <si>
    <t>yairemoore@yahoo.com</t>
  </si>
  <si>
    <t>+19293267425</t>
  </si>
  <si>
    <t>Greisi</t>
  </si>
  <si>
    <t>greisiveras22@gmail.com</t>
  </si>
  <si>
    <t>1818 clay avenue, Bronx, New York</t>
  </si>
  <si>
    <t>+13479856369</t>
  </si>
  <si>
    <t>Juan Colon</t>
  </si>
  <si>
    <t>Michaell</t>
  </si>
  <si>
    <t>Morban</t>
  </si>
  <si>
    <t>michaell.morban.24@wheels-student.org</t>
  </si>
  <si>
    <t>About Intern: The x Intern was born in the United States, but his family is from the Dominican Republic. He speaks English and Spanish. This is his first year and round in the program. The jobs that he listed that he is interested in are, &amp;#34;music producer, sound engineer, sound mixing, music management,&amp;#34; This Intern is looking for more general career skills help.</t>
  </si>
  <si>
    <t>503 west 174 st</t>
  </si>
  <si>
    <t>+19143359732</t>
  </si>
  <si>
    <t>Elaine Vasquez</t>
  </si>
  <si>
    <t>michael22228@icloud.com</t>
  </si>
  <si>
    <t>Angelina</t>
  </si>
  <si>
    <t>Gil</t>
  </si>
  <si>
    <t>angelina.gil.23@wheels-student.org</t>
  </si>
  <si>
    <t>1820 harrison ave apt 5G, Bronx NY 10453</t>
  </si>
  <si>
    <t>+19174453140</t>
  </si>
  <si>
    <t>Ana De La Cruz</t>
  </si>
  <si>
    <t>morena09061@gmail.com</t>
  </si>
  <si>
    <t>+16466964949</t>
  </si>
  <si>
    <t>Ellinghton</t>
  </si>
  <si>
    <t>Lugo</t>
  </si>
  <si>
    <t>el258072461@crotonaihs.org</t>
  </si>
  <si>
    <t>51 Buchanan Place, Apt 5D Bronx, New York 10453 United States</t>
  </si>
  <si>
    <t>Jordana Sanchez</t>
  </si>
  <si>
    <t>Crisbelly</t>
  </si>
  <si>
    <t>crisbelly.lopez.24@wheels-student.org</t>
  </si>
  <si>
    <t>The school elected to remove Shanick from IR2 and place into DL because of competing activities and poor attendance. SB 1/31/23 Crisbelly Lopez will not continue with IR2. CT 12/15/22 About Intern: The X Intern was born in the United States, but her family is from the Dominican Republic. She speaks English and Spanish. This is her first year and round in the program. The jobs that she listed that she is interested in include, &amp;#34;Film Director, Screenwriter, Environmental Science/ Engineering, creative writing, statistics, and anything to do with the arts.&amp;#34;</t>
  </si>
  <si>
    <t>511w 181st New York City, NY 10033</t>
  </si>
  <si>
    <t>+16462287876</t>
  </si>
  <si>
    <t>Magalis Lopez</t>
  </si>
  <si>
    <t>magalizlopez@gmail.com</t>
  </si>
  <si>
    <t>+13479988108</t>
  </si>
  <si>
    <t>Sindi</t>
  </si>
  <si>
    <t>Valerio Frias</t>
  </si>
  <si>
    <t>sfrias@crotonaihs.org</t>
  </si>
  <si>
    <t>1860 grand concourse bronx NY 10457</t>
  </si>
  <si>
    <t>+19294769724</t>
  </si>
  <si>
    <t>Albanirys Frias Guzman</t>
  </si>
  <si>
    <t>albanirys03@gmail.com</t>
  </si>
  <si>
    <t>+19292846335</t>
  </si>
  <si>
    <t>CUNY Lehamn</t>
  </si>
  <si>
    <t>Yasnaidi (Yana)</t>
  </si>
  <si>
    <t>yasnaidin@nycstudents.net</t>
  </si>
  <si>
    <t>Additional Email - 91anabeln@gmail.com</t>
  </si>
  <si>
    <t>18704 queens, New York 11423 United States</t>
  </si>
  <si>
    <t>(929)365-1915</t>
  </si>
  <si>
    <t>Van Buren High School.</t>
  </si>
  <si>
    <t>yasnaidi navarreo</t>
  </si>
  <si>
    <t>Diogo</t>
  </si>
  <si>
    <t>diogo.rondon.23@wheels-student.org</t>
  </si>
  <si>
    <t>188 wadsworth ave, New York NY 10033</t>
  </si>
  <si>
    <t>+16468363214</t>
  </si>
  <si>
    <t>Anneris Perez</t>
  </si>
  <si>
    <t>annerisperez363@gmail.com</t>
  </si>
  <si>
    <t>+16467213844</t>
  </si>
  <si>
    <t>Ysamar Nunez Sanches</t>
  </si>
  <si>
    <t>dnunez070517@gmail.com</t>
  </si>
  <si>
    <t>Bio -  Daniela Ysamar Nunez Sanches: Daniela moved from the Dominican Republic to America when she was 15 years old. She is interested in social sciences / psychology. Daniela describes herself as kind and funny. She is still exploring his options for college. Daniela, we matched you based on your interest in social sciences / psychology. About - The X Intern moved from the Dominican Republic to America when she was 15 years old. She speaks English and Spanish. This is her first year and round in the program. The jobs that she listed that she is interested in are, ?social psychology, strewardess, police, teacher.&amp;#34; Ambassador Responses: 11 In 250 ? 500 words, describe three traits which make you a leader and a strong student. I consider myself a leader because I lead by example, I consider myself a good student because I strive for what I want 12 In 100 ? 250 words, how can SPEAKHIRE help you you boost your own academic profile? Yes 13 In 100 ? 250 words, what opportunities do young people who are immigrant and first-generation American currently have to gain awareness of career opportunities? They have many opportunities as long as they comply with state statutes 14 In 250 ? 500 words, why you would succeed as a SPEAKHIRE for your grade at your school. If you do not meet all the requirements, explain why we should consider you for the position. Because I am persistent in what I want, I strive to obtain it and I enjoy achieving it. 15 List the classes you will be taking the upcoming school year and any other activities which will keep you occupied. Please explain to us how many hours a week you will dedicate towards SPEAKHIRE and what your schedule will look like. Next year I will be in grade 11, I will have a lot of time for SPEAKHIRE since I don't have a lot of afterschool 16 Outline your main responsibilities as a SPEAKHIRE Ambassador: My responsibilities will be to be present in all classes, always pay attention to participate and fulfill my work in addition to always entering the meeting at the right time</t>
  </si>
  <si>
    <t>1926 Crotona Parkway, Apt 5H, Bronx, NY 10460</t>
  </si>
  <si>
    <t>+13478727379</t>
  </si>
  <si>
    <t>Daniel nunez</t>
  </si>
  <si>
    <t>Dnunez070517@gmail.com</t>
  </si>
  <si>
    <t>Reyes-Blanco</t>
  </si>
  <si>
    <t>wendymichelle152903@gmail.com</t>
  </si>
  <si>
    <t>Didn't show up enough during IR1 so labeled as inactive  IG: michelle1529</t>
  </si>
  <si>
    <t>5121 JACKSON ST , PHILADELPHIA, PA 19124-2118</t>
  </si>
  <si>
    <t>Maria Blanco-Bonilla</t>
  </si>
  <si>
    <t>WendyMichelle152903@gmail.com</t>
  </si>
  <si>
    <t>Arceline</t>
  </si>
  <si>
    <t>Rodrguez Lebron</t>
  </si>
  <si>
    <t>ar258424555@crotonaihs.org</t>
  </si>
  <si>
    <t>1964 Lurting avenue, 2E, Bronx, NY 10461</t>
  </si>
  <si>
    <t>+13476477649</t>
  </si>
  <si>
    <t>Jacqueline Lebron</t>
  </si>
  <si>
    <t>Bianca</t>
  </si>
  <si>
    <t>mora</t>
  </si>
  <si>
    <t>biancamora359@gmail.com</t>
  </si>
  <si>
    <t>52 fountain Ave brooklyn NY, 11208</t>
  </si>
  <si>
    <t>+19298550854</t>
  </si>
  <si>
    <t>Johanna vargas</t>
  </si>
  <si>
    <t>ariela.ihshs@gmail.com</t>
  </si>
  <si>
    <t>+19294729403</t>
  </si>
  <si>
    <t>Polanco</t>
  </si>
  <si>
    <t>xlaurapolancox@gmail.com</t>
  </si>
  <si>
    <t>54-09 100th St, Queens, NY 11368</t>
  </si>
  <si>
    <t>+13478672624</t>
  </si>
  <si>
    <t>Olga Espinal Rodriguez</t>
  </si>
  <si>
    <t>angelicalaura2730@gmail.com</t>
  </si>
  <si>
    <t>+19293729049</t>
  </si>
  <si>
    <t>Dahianna</t>
  </si>
  <si>
    <t>`Guzman</t>
  </si>
  <si>
    <t>dahiannaguzman@crotonaihs.org</t>
  </si>
  <si>
    <t>1997 HUGHES AVENUE 4H , BRONX , NY 10457</t>
  </si>
  <si>
    <t>+13472303566</t>
  </si>
  <si>
    <t>Edwar Guzman</t>
  </si>
  <si>
    <t>Turbi</t>
  </si>
  <si>
    <t>gabriela.turbi@ichsbronx.org</t>
  </si>
  <si>
    <t>20 Metropolitan Oval</t>
  </si>
  <si>
    <t>+19293043652</t>
  </si>
  <si>
    <t>Jisset</t>
  </si>
  <si>
    <t>josue.lantigua.24@wheels-student.org</t>
  </si>
  <si>
    <t>About Intern: The X Intern was born in America, but his family is from the Dominican Republic. He speaks English and Spanish. This is his first year and round in the program. One of the jobs he listed that he is interested in is, &amp;#34;Computer Engineering and real estate.&amp;#34; Personal email: josue.lantigua.5@gmail.com</t>
  </si>
  <si>
    <t>206 Audubon Ave, NY, New York City, 10033</t>
  </si>
  <si>
    <t>+16467995783</t>
  </si>
  <si>
    <t>Elizabeth Herrera</t>
  </si>
  <si>
    <t>josue.lantigua.5@gmail.com</t>
  </si>
  <si>
    <t>Ansel</t>
  </si>
  <si>
    <t>anselcastro13@gmail.com</t>
  </si>
  <si>
    <t>About Intern: The x Intern came from the Dominican Republic to the United States when he was 3 years old. He speaks English and Spanish. This is his first year and round in the program. The jobs he is interested in include, &amp;#34;professional sports player, real estate agent, or doctor.&amp;#34;</t>
  </si>
  <si>
    <t>2087 amsterdam avenue, new york city, NY 10032</t>
  </si>
  <si>
    <t>+19295195530</t>
  </si>
  <si>
    <t>virgen castro</t>
  </si>
  <si>
    <t>virgenmonegro@gmail.com</t>
  </si>
  <si>
    <t>+16467375396</t>
  </si>
  <si>
    <t>alfonsinar49@gmail.com</t>
  </si>
  <si>
    <t>555W 173st Apt 45 Manhattan,NY 10032</t>
  </si>
  <si>
    <t>+19294319043</t>
  </si>
  <si>
    <t>Maria de leon</t>
  </si>
  <si>
    <t>estelin09d@gmail.com</t>
  </si>
  <si>
    <t>+19294625527</t>
  </si>
  <si>
    <t>ameliarodriguezc64@gmail.com</t>
  </si>
  <si>
    <t>210-05 94th ave, Queens, NY 11428</t>
  </si>
  <si>
    <t>+15166014346</t>
  </si>
  <si>
    <t>Adelina Cabrera</t>
  </si>
  <si>
    <t>adelinacabrera10324@gmail.com</t>
  </si>
  <si>
    <t>+15166015365</t>
  </si>
  <si>
    <t>Giosmar (Gio)</t>
  </si>
  <si>
    <t>De Luna</t>
  </si>
  <si>
    <t>giosmar.deluna@ellosprep.com</t>
  </si>
  <si>
    <t>Phone Number: 3472470382 Email: giosmar.deluna@ellisprep.com Other Email: giosmarjose@gmail.com About - The X Intern was 17 years old when he moved to the United States from the Dominican Republic. He speaks English and Spanish. This is his first year and round in the program. The job that he listed that he is interested in is, ?civil engineer.? Bio - Giosmar ?Gio? De luna: Gio was 17 years old when he moved to the United States from the Dominican Republic. He is interested in STEM. He is still exploring his options for college. Gio, we matched you based on your interest in STEM.</t>
  </si>
  <si>
    <t>212 w kimgsbrige rd bronx New York 10463 United States</t>
  </si>
  <si>
    <t>Yomaris Garcia</t>
  </si>
  <si>
    <t>yomarisgarcia184@gmail.com</t>
  </si>
  <si>
    <t>Giosmar</t>
  </si>
  <si>
    <t>García</t>
  </si>
  <si>
    <t>212 w kingsbridge RD</t>
  </si>
  <si>
    <t>+13472470382</t>
  </si>
  <si>
    <t>Yomaris García</t>
  </si>
  <si>
    <t>Francisco</t>
  </si>
  <si>
    <t>Dominguez</t>
  </si>
  <si>
    <t>dfran6031@gmail.com</t>
  </si>
  <si>
    <t>2141 chatterton avenue</t>
  </si>
  <si>
    <t>+13476660912</t>
  </si>
  <si>
    <t>Yaneliz</t>
  </si>
  <si>
    <t>Altamarmolejos@gmail.com</t>
  </si>
  <si>
    <t>+16465085816</t>
  </si>
  <si>
    <t>Bueno</t>
  </si>
  <si>
    <t>jbueno@crotonaihs.org</t>
  </si>
  <si>
    <t>58 Marble Hill Avenue C44,Bronx,NY 10463</t>
  </si>
  <si>
    <t>+16463373808</t>
  </si>
  <si>
    <t>Jose Bueno</t>
  </si>
  <si>
    <t>Slinne</t>
  </si>
  <si>
    <t>scruz@crotonaihs.org</t>
  </si>
  <si>
    <t>- Hetal updated to her school email from her personal slinnec04@gmail.com 2/18/22</t>
  </si>
  <si>
    <t>2180 Holland, ave apt 1N</t>
  </si>
  <si>
    <t>+13473019284</t>
  </si>
  <si>
    <t>Orlando Cruz and Leyris Peña</t>
  </si>
  <si>
    <t>leyrisp@gmail.com</t>
  </si>
  <si>
    <t>+19293309592</t>
  </si>
  <si>
    <t>Lochart</t>
  </si>
  <si>
    <t>2023_genesislochart@ihs-us.org</t>
  </si>
  <si>
    <t>219 Logan street Brooklyn NY 11208</t>
  </si>
  <si>
    <t>+13473978074</t>
  </si>
  <si>
    <t>Raquel peralta</t>
  </si>
  <si>
    <t>+19292589048</t>
  </si>
  <si>
    <t>Disla</t>
  </si>
  <si>
    <t>cd250486230@crotonaihs.org</t>
  </si>
  <si>
    <t>He emailed on 6/28 asking for his monetary gift but did not provide any info for that. We emailed, called, texted , left vms but no response. (Developing Leader) -- 8/23 --PQ</t>
  </si>
  <si>
    <t>2234 Davidson Ave, Apt 10C, Bronx, NY 10453</t>
  </si>
  <si>
    <t>+17187557611</t>
  </si>
  <si>
    <t>Juan Carlos Disla</t>
  </si>
  <si>
    <t>Shanick</t>
  </si>
  <si>
    <t>De Leon</t>
  </si>
  <si>
    <t>shanick.deleon.24@wheels-student.org</t>
  </si>
  <si>
    <t>The school elected to remove Shanick from IR2 and place into DL because of competing activities and poor attendance. SB 1/31/23 Shanick De Leon will not continue with IR2. CT 12/15/22  About Intern: The x Intern was born in America but her family is from the Dominican Republic. She speaks English and Spanish. This is her first year and round in the program. The jobs she listed that she is interested in are, &amp;#34;fbi, doctor.&amp;#34;</t>
  </si>
  <si>
    <t>599 w 187st 10033</t>
  </si>
  <si>
    <t>+19177367689</t>
  </si>
  <si>
    <t>Elvia</t>
  </si>
  <si>
    <t>elvianunez0622@gmail.com</t>
  </si>
  <si>
    <t>+16469380131</t>
  </si>
  <si>
    <t>Frailyn</t>
  </si>
  <si>
    <t>fraylinc3155@gmail.com</t>
  </si>
  <si>
    <t>65-04 Cooper Ave, New York NY 11385.</t>
  </si>
  <si>
    <t>+19143869513</t>
  </si>
  <si>
    <t>Yudelkys Torres</t>
  </si>
  <si>
    <t>Michael Suarez</t>
  </si>
  <si>
    <t>michaelsuarez.student@hseigators.org</t>
  </si>
  <si>
    <t>650 Academy st, New York,NY, 10034</t>
  </si>
  <si>
    <t>+12125691022</t>
  </si>
  <si>
    <t>Johanna Hernandez</t>
  </si>
  <si>
    <t>noemailaddress@noemailaddress.com</t>
  </si>
  <si>
    <t>Leslie D.</t>
  </si>
  <si>
    <t>Sanchez Olivo</t>
  </si>
  <si>
    <t>lsanchezolivo@crotonaihs.org</t>
  </si>
  <si>
    <t>HJ made inactive on 1/12/22 after working with school on students who are not committed HJ changed English level from not comfortable to very comfortable based off of commitment essay responses (10/11/21)</t>
  </si>
  <si>
    <t>680 Beck st. Bronx, NY 10455</t>
  </si>
  <si>
    <t>+16467076300</t>
  </si>
  <si>
    <t>Lesvia A. Olivo Jose</t>
  </si>
  <si>
    <t>lesviaantonia@hotmail.com</t>
  </si>
  <si>
    <t>+13476072152</t>
  </si>
  <si>
    <t>Awilca</t>
  </si>
  <si>
    <t>Laurencio</t>
  </si>
  <si>
    <t>al258484930@crotonaihs.org</t>
  </si>
  <si>
    <t>2264 Creston Ave, Apt 2B, Bronx, Ny 10453</t>
  </si>
  <si>
    <t>+19149432329</t>
  </si>
  <si>
    <t>Wilson Laurencio Marte</t>
  </si>
  <si>
    <t>Fania</t>
  </si>
  <si>
    <t>Minaya</t>
  </si>
  <si>
    <t>fm256732553@crotonaihs.org</t>
  </si>
  <si>
    <t>The X Intern is from Dominican Republic. She came to the United States when she was 11 years old. She is currently not sure what colleges she is interested in. She is interested in health sciences, business, and the entertainment industry.</t>
  </si>
  <si>
    <t>2299 SOUTHERN BOULEVARD Apt 2B Bronx, New York 10460 United States</t>
  </si>
  <si>
    <t>Maria Suero</t>
  </si>
  <si>
    <t>mariasuero4@gmail.com</t>
  </si>
  <si>
    <t>Payano</t>
  </si>
  <si>
    <t>emelypayano@claremontihs.org</t>
  </si>
  <si>
    <t>11 In 250 ? 500 words, describe three traits which make you a leader and a strong student. I am a friendly person that will help me to make people feel comfortable in that circle, responsible I need things to be done by law everything is done in a perfect way although that is not so good sometimes and finally I am someone happy I feel that my goal is to make each person who has a difficult day have a minimum smile. 12 In 100 ? 250 words, how can SPEAKHIRE help you you boost your own academic profile? I feel that this will help me because you will see my performance in trying to do my best and you will see that I am a person who likes to do things well that I am someone responsible you will see that I am someone very dedicated to what I do 13 In 100 ? 250 words, what opportunities do young people who are immigrant and first-generation American currently have to gain awareness of career opportunities? I think there are people who choose careers that they don't even like because of social pressure. Many families believe that one should know what one is going to do from a young age or else we will never study anything that is totally untrue one will know what one wants to do with the passage of time and with the experiences they have lived so I know that this program will help many people to find and know what they are passionate about 14 In 250 ? 500 words, why you would succeed as a SPEAKHIRE for your grade at your school. If you do not meet all the requirements, explain why we should consider you for the position. I think I would be successful as SPEAKHIRE in my school grade since this internship would motivate me to be better students than I already am because that will make me meet people from other schools and me as a person if they are good students I want to be too 15 List the classes you will be taking the upcoming school year and any other activities which will keep you occupied. Please explain to us how many hours a week you will dedicate towards SPEAKHIRE and what your schedule will look like. Actually I don't know which classes I will take but I will dedicate to SPEAKHIRE the hours that are necessary I know that it is not a clear answer but it is the one I have so far 16 Outline your main responsibilities as a SPEAKHIRE Ambassador: I must make the other members enter the classes that means perfect attendanceSend them emails of any news that I should communicate to them in person. I feel that we should communicate to know what bothers the other because for me everything is solved by talking.</t>
  </si>
  <si>
    <t>2300 Grand Concourse Apt 6E Bronx NY 10458</t>
  </si>
  <si>
    <t>+19293203672</t>
  </si>
  <si>
    <t>Alfredo Payano</t>
  </si>
  <si>
    <t>alfredopayano697@gmail.com</t>
  </si>
  <si>
    <t>+19176576241</t>
  </si>
  <si>
    <t>Veloz Balbuena</t>
  </si>
  <si>
    <t>alexa.veloz@ellisprep.com</t>
  </si>
  <si>
    <t>last: 6/27 - Connected w. Alexa &amp;amp; then call dropped; left VM About Intern: The x Intern came to America from the Dominican Republic when she was 15 years old. She speaks Spanish and English, but lacks confidence in her English language skills so she may require a bit more patience. The jobs she listed that she is interested in are, &amp;#34;Bussiness, Criminology, Arts, Architecture, Physiology.&amp;#34; With Mission, doing FY 22-23, but will be payed for in next FY email: alexa.veloz@ellisprep.com additional email: alexa.maria03@icloud.com phone number: 347-583-3237</t>
  </si>
  <si>
    <t>231 c west 230 street ap c4g</t>
  </si>
  <si>
    <t>347-583-3237</t>
  </si>
  <si>
    <t>ELLIS - MISSION NY</t>
  </si>
  <si>
    <t>ELLIS Mission</t>
  </si>
  <si>
    <t>Wladimir Antonio</t>
  </si>
  <si>
    <t>wladimirveloz@gmail.com</t>
  </si>
  <si>
    <t>978-398-1796</t>
  </si>
  <si>
    <t>Mercedes Marte</t>
  </si>
  <si>
    <t>albertmercedes@crotonaihs.org</t>
  </si>
  <si>
    <t>2310 Hollaw avenue A1 Bronx New york</t>
  </si>
  <si>
    <t>+13473679898</t>
  </si>
  <si>
    <t>Yudi marte</t>
  </si>
  <si>
    <t>Marwin</t>
  </si>
  <si>
    <t>Silverio Rodriguez</t>
  </si>
  <si>
    <t>marwin.silverio@ellisprep.com</t>
  </si>
  <si>
    <t>Hetal spoke wiht Julia, mom, to invite Marwin and her to the holiday dinner on December 17th evening since his Champion Samar Deen will be there. Was able to get in touch and the phone number is the same for Marwin. Others were trying to get in touch before but just stopped at texting Marwin. When doing outreach, try all avenues to actually reach the goal of reaching the alum ~HJ 12/16/2024; Marwin called back. Said he's on track to graduating college </t>
  </si>
  <si>
    <t>2332 Tiebout Avenue, Bronx, New York,10458</t>
  </si>
  <si>
    <t>+19293716401</t>
  </si>
  <si>
    <t>Julia Mercedes Rodriguez Perez</t>
  </si>
  <si>
    <t>JULIARODRIGUEA1972@gmail.com</t>
  </si>
  <si>
    <t>+13476976374</t>
  </si>
  <si>
    <t>Stheysis (Stacy)</t>
  </si>
  <si>
    <t>Genao</t>
  </si>
  <si>
    <t>stheysis.genao@ellisprep.com</t>
  </si>
  <si>
    <t>1/10/23 KW - Message from FY Champion: &amp;#34;&amp;#34;Please change ?Ester?s? name to Stacy on all Speakhire information, thanks!&amp;#34;  About:  The third Intern moved from the Dominican Republic to the United States when she was 16 years old. She speaks English and Spanish. This is her first year and second round in the program. The fields that she listed that she is interested in are: architecture, arts/creative, business, education, and journalism/media. Hi my name's Stheysis. I came to the United States from the Dominican Republic when I was 16 years old. I am interested in architecture. I describe myself as creative,responsible and kind. The colleges that I am interested in are Syracuse University I am still considering my options for after high school. Goes by  Ester School email:  stheysis.genao@ellisprep.com Email: stheysisgenao@gmail.com phone number:  6468042004</t>
  </si>
  <si>
    <t>239 East Mosholu Parkway North Bronx, NY 10467</t>
  </si>
  <si>
    <t>Francisco Genao</t>
  </si>
  <si>
    <t>stheysisgenao@gmail.com</t>
  </si>
  <si>
    <t>Rodriguez Bautista</t>
  </si>
  <si>
    <t>abigailrodriguez@crotonaihs.org</t>
  </si>
  <si>
    <t>updated email address: abigailro0899655@gmil.com Hetal called mom on 12/30/22 to get correct number and updated from this old number 19292489415 to what it is now; called Abigail at new number and left a vm -- hoping for call back to ask about Junior Board and training as CPF</t>
  </si>
  <si>
    <t>2399 Grand concourse</t>
  </si>
  <si>
    <t>929-922-1214</t>
  </si>
  <si>
    <t>I would like to share that at first I felt insecure and nervous, but the recording mentor gave me confidence, courage and love</t>
  </si>
  <si>
    <t>Anny Bautista</t>
  </si>
  <si>
    <t>abautistadecarrasco@gmail.com</t>
  </si>
  <si>
    <t>Yancen</t>
  </si>
  <si>
    <t>yancenrd121@gmail.com</t>
  </si>
  <si>
    <t>FY Alum of 2023 School email: yr250600376@crotonaihs.org additional email: yancinrd@gmail.com Other Personal Email: yancenrd121@gmail.com [BC 6/27 - spk w. Yancen for S&amp;amp;S -- added by PQ Bio -  Yancen Rodriguez: Yancen came to the United States from the Dominican Republic when he was 11 years old. He is interested in STEM. Yancen describes himself as calm, attentive, and happy. He is still exploring his options for college. Yancen, we matched you based on your interest in STEM. About - The X Intern came to the United States from the Dominican Republic when he was 11 years old. He speaks English and Spanish. This is his second year in the program. The jobs that she listed that he is interested in are, ?programming, builder, electrician, and things related to electricity/programming/computers.? Ambassador responses: 1 In 250 ? 500 words, describe three traits which make you a leader and a strong student. Knowing what I have to do and the correct way to do it, trying to understand the class or the person in case you are not understanding, being patient is necessary because at some point another person is interrupting you or doing something that is bothering you. It is necessary to be patient because you will be able to know the best way to act in case you are not patient, it is most likely that you will fight, but in case you are, you will think that the best way is to talk to that person 12 In 100 ? 250 words, how can SPEAKHIRE help you you boost your own academic profile? It helps me with the tutor because it makes it possible for me to know more about a subject that I am interested in or studying 13 In 100 ? 250 words, what opportunities do young people who are immigrant and first-generation American currently have to gain awareness of career opportunities? It depends on the state you are in in the U.S.A because there are states where there are more professional opportunities and that gives people more opportunities. 14 In 250 ? 500 words, why you would succeed as a SPEAKHIRE for your grade at your school. If you do not meet all the requirements, explain why we should consider you for the position. In my opinion, they would be very successful because there are students who need help in certain subjects that make it more difficult for the person to understand a certain subject, and they also benefit students to choose a recommended university because it is best to know a university before to be able to enter one because you would already know what you need and it will make it easier for you to apply to said university 15 List the classes you will be taking the upcoming school year and any other activities which will keep you occupied. Please explain to us how many hours a week you will dedicate towards SPEAKHIRE and what your schedule will look like. Right now I don't have a schedule but the classes I'm interested in learning are about technology and art 16 Outline your main responsibilities as a SPEAKHIRE Ambassador: be attentive to any notice in the group, be present at meetings, verify that the students who are in the program are there and if they cannot be there, notify them in case they do not find it.</t>
  </si>
  <si>
    <t>2411 Prospect Ave, Apt 4B, Bronx, NY 10458</t>
  </si>
  <si>
    <t>+13475302766</t>
  </si>
  <si>
    <t>Wiston T. Rodriguez</t>
  </si>
  <si>
    <t>Wrodriguezr59@gmail.com</t>
  </si>
  <si>
    <t>+13478497006</t>
  </si>
  <si>
    <t>Vimadel</t>
  </si>
  <si>
    <t>vimadelestrella.student@hseigators.org</t>
  </si>
  <si>
    <t>Joseph (teacher) from HSEI said this student couldn't continue because they were moved to a different class (HJ 3/28/22)</t>
  </si>
  <si>
    <t>650 Academy St.</t>
  </si>
  <si>
    <t>+17187374533</t>
  </si>
  <si>
    <t>madelin estrella</t>
  </si>
  <si>
    <t>Felix</t>
  </si>
  <si>
    <t>facevedo@crotonaihs.org</t>
  </si>
  <si>
    <t>2422 University AVE. Bronx NY</t>
  </si>
  <si>
    <t>+13475811488</t>
  </si>
  <si>
    <t>Jesus Acevedo</t>
  </si>
  <si>
    <t>Jeter</t>
  </si>
  <si>
    <t>jp259378883@crotonaihs.org</t>
  </si>
  <si>
    <t>Additional Email:  jeterdejesus932@gmail.com</t>
  </si>
  <si>
    <t>2427 webter ave. B12 bronx, New York 10458 United States</t>
  </si>
  <si>
    <t>Yoseline Altagracia Cruz Alvarez</t>
  </si>
  <si>
    <t>jeterdejesus932@gmail.com</t>
  </si>
  <si>
    <t>Anyeli</t>
  </si>
  <si>
    <t>Riveras</t>
  </si>
  <si>
    <t>anyeli.riveras@ichsbronx.org</t>
  </si>
  <si>
    <t>665 Prospect Ave</t>
  </si>
  <si>
    <t>+19293489550</t>
  </si>
  <si>
    <t>Angela Mercedes Siri Garcia</t>
  </si>
  <si>
    <t>kd260604533@crotonaihs.org</t>
  </si>
  <si>
    <t>About Intern -  The X Intern was 14 years old when he moved from the Dominican Republic to America. He speaks Spanish and English. This is his first year and round in the program. The fields that he is interested in are STEM, business, and arts/creative.</t>
  </si>
  <si>
    <t>2445 HOFFMAN STREET Bronx, New York 10458 United States</t>
  </si>
  <si>
    <t>(845)7707328</t>
  </si>
  <si>
    <t>Acosta Medina</t>
  </si>
  <si>
    <t>da258633056@crotonaihs.org</t>
  </si>
  <si>
    <t>2452LORILLARD PLACE,BRONX,NY10458</t>
  </si>
  <si>
    <t>+13478186505</t>
  </si>
  <si>
    <t>Sandra Medina</t>
  </si>
  <si>
    <t>Treicy</t>
  </si>
  <si>
    <t>2023_treicycolon@ihs-us.org</t>
  </si>
  <si>
    <t>668 Jamaica Avenue</t>
  </si>
  <si>
    <t>+16465068041</t>
  </si>
  <si>
    <t>Edwin Colon and Nataly Colon</t>
  </si>
  <si>
    <t>sfrancisco@crotonaihs.org</t>
  </si>
  <si>
    <t>Sebastian started physical therapy in April 2022 so had to be made inactive despite being matched for IR3 (HJ, 5/6/22)</t>
  </si>
  <si>
    <t>2475 Tiebaut ave Bronx New York 10458</t>
  </si>
  <si>
    <t>+19294928877</t>
  </si>
  <si>
    <t>librada</t>
  </si>
  <si>
    <t>librada074116@gmail.com</t>
  </si>
  <si>
    <t>+19294174934</t>
  </si>
  <si>
    <t>Charlin</t>
  </si>
  <si>
    <t>lizcharlin61@gmail.com</t>
  </si>
  <si>
    <t>25 Junius st, Brooklyn 11212</t>
  </si>
  <si>
    <t>+19295025679</t>
  </si>
  <si>
    <t>South Community Brooklyn HS NY</t>
  </si>
  <si>
    <t>ACCESS</t>
  </si>
  <si>
    <t>Claritza Feliz</t>
  </si>
  <si>
    <t>Clemely</t>
  </si>
  <si>
    <t>Vasquez</t>
  </si>
  <si>
    <t>vclemely@gmail.com</t>
  </si>
  <si>
    <t>727 E 156 st Apt 2D</t>
  </si>
  <si>
    <t>+16462883012</t>
  </si>
  <si>
    <t>maria nelly vasquez</t>
  </si>
  <si>
    <t>Marthiel</t>
  </si>
  <si>
    <t>mc260540703@crotonaihs.org</t>
  </si>
  <si>
    <t>The X Intern is from the Dominican Republic. She arrived in the United States several months ago. She likes to watch Netflix and volleyball. She is 16 years old and she would like to be a professional model. She is still exploring her options for after high school.</t>
  </si>
  <si>
    <t>250East 176 street bronx, New York 10457 United States</t>
  </si>
  <si>
    <t>rosalia almonte</t>
  </si>
  <si>
    <t>rafaelcruz041356@gmail.com</t>
  </si>
  <si>
    <t>Nashly</t>
  </si>
  <si>
    <t>Del valle</t>
  </si>
  <si>
    <t>nashlydelvalle1402@gmail.com</t>
  </si>
  <si>
    <t>2515 university ave. Bronx, New York.</t>
  </si>
  <si>
    <t>+17324869696</t>
  </si>
  <si>
    <t>Nairobis Pacheco</t>
  </si>
  <si>
    <t>Kenny</t>
  </si>
  <si>
    <t>khernandez7923@marblehillschool.org</t>
  </si>
  <si>
    <t>2520 Webb avenue</t>
  </si>
  <si>
    <t>+19294722801</t>
  </si>
  <si>
    <t>Marble Hill High School for International Studies NY</t>
  </si>
  <si>
    <t>Francisco Hernandez</t>
  </si>
  <si>
    <t>Lia</t>
  </si>
  <si>
    <t>Luciano</t>
  </si>
  <si>
    <t>ll258255322@crotonaihs.org</t>
  </si>
  <si>
    <t>2585 Grand Concourse Bronx, New York 10468 United States</t>
  </si>
  <si>
    <t>Yliana Cruz</t>
  </si>
  <si>
    <t>Ylianadiliana32@gmail.com</t>
  </si>
  <si>
    <t>Robeliza</t>
  </si>
  <si>
    <t>rnunezcastillo@crotonaihs.org</t>
  </si>
  <si>
    <t>Robeliza moved out of Caretaker's home 2 years ago and lost contact with them. Caretaker will try and share Speakhire phone number to a family member to try and have Robeliza contact us. Hetal called Robeliza on 3/19/24 to see if she was potentially interested in becomign a CPF -- her phone number &amp;#43;19175301282 went to some else so Hetal removed. Called guardian number on file but it went to voicemail. </t>
  </si>
  <si>
    <t>26 E 198TH ST Bronx, NY 10468</t>
  </si>
  <si>
    <t>Arisleidy Rosario</t>
  </si>
  <si>
    <t>arisleidydesantos261213@hotmail.com</t>
  </si>
  <si>
    <t>+16463734551</t>
  </si>
  <si>
    <t>sebastian.cruz.24@wheels-student.org</t>
  </si>
  <si>
    <t>Engaged Alum -- but due to family matters cannot attend to many SPEAKHIRE events -- pQ Intern of the Year, he couldn't attend to the Summit /Soiree due to family commitments. His check for  $175 was mailed in 8/22 by HJ. He should received by 8/25. He will confirmed by text. PQ  About Intern: The X Intern's family is from the Dominican Republic, but he was born in America. He speaks English and Spanish. This is his first year and round in the program. The jobs that he listed that he is interested in are, &amp;#34;computer scientist, software engineer, accountant, biotechnology, environmental science.&amp;#34;</t>
  </si>
  <si>
    <t>260 Audubon avenue, new york, new york city, 10033</t>
  </si>
  <si>
    <t>+13477611398</t>
  </si>
  <si>
    <t>Candida Figuereo</t>
  </si>
  <si>
    <t>cfiguereo78@gmail.com</t>
  </si>
  <si>
    <t>+19178557934</t>
  </si>
  <si>
    <t>John Jay</t>
  </si>
  <si>
    <t>Cindy</t>
  </si>
  <si>
    <t>cindyherrera206@gmail.com</t>
  </si>
  <si>
    <t>Alternate email:  cherrera5679@chcprep.net</t>
  </si>
  <si>
    <t>78-07 95th avenue ozone park ny 11416</t>
  </si>
  <si>
    <t>+18133897570</t>
  </si>
  <si>
    <t>Cypress Hills Collegiate NY</t>
  </si>
  <si>
    <t>Orlando Herrera</t>
  </si>
  <si>
    <t>campusano12@gmail.com</t>
  </si>
  <si>
    <t>+15164006490</t>
  </si>
  <si>
    <t>Oumou</t>
  </si>
  <si>
    <t>Diallo</t>
  </si>
  <si>
    <t>oumou.diallo@ellisprep.com</t>
  </si>
  <si>
    <t>Oumou was marked as inactive after poor attendance because of work during FY 21-22 IR-S but asked to continue into IR1. She will do IR 1 and IR 2</t>
  </si>
  <si>
    <t>2839 8avenue Fredrick Douglass blvd #4B 10039</t>
  </si>
  <si>
    <t>+16466675524</t>
  </si>
  <si>
    <t>oumar diallo</t>
  </si>
  <si>
    <t>Odiallo1962@gmail.com</t>
  </si>
  <si>
    <t>+13474473075</t>
  </si>
  <si>
    <t>Maycor</t>
  </si>
  <si>
    <t>Terrero</t>
  </si>
  <si>
    <t>maycor.terrero.24@wheels-student.org</t>
  </si>
  <si>
    <t>260 fort washington ave</t>
  </si>
  <si>
    <t>+16463407832</t>
  </si>
  <si>
    <t>Felix Terrero</t>
  </si>
  <si>
    <t>Tariana</t>
  </si>
  <si>
    <t>Garcia Encarnacion</t>
  </si>
  <si>
    <t>tgarcia@crotonaihs.org</t>
  </si>
  <si>
    <t>FY Graduate of 2022, Returning for 2023 Also attended 2021 FY  2022 Ambassador Responses: 10 In 250 ? 500 words, describe three traits which make you a leader and a strong student. I consider myself a strong student and leader. There are no specific characteristics of a leader, I think that everyone is a leader in a certain way. In my case, I consider myself a leader because I have these certain abilities which are the following; Communication must operate in two directions: expressing ideas, instructions and opinions clearly and assertively, as well as ensuring that the message is heard and understood. The ability to listen and take into account all the opinions, individual and collective, that come to me is also typical of a leader. Capacity for planning and development; When I have set goals, it is essential to draw up a plan to achieve them. This plan must plan all the actions that must be carried out, the times, the people who will carry them out, the resources that will be used. I try to find new and better ways to do the activities. This trait is essential in the context of a society that advances at a forced march, with constant changes in technology, communications, and high competitiveness. I am responsible, I am aware that my position in the group gives me power, and I know how to use it to benefit the group. It is not selfish; I use my position to activate processes and energize potentials. 11 In 100 ? 250 words, how can SPEAKHIRE help you you boost your own academic profile? SPEAK HIRE can help me with my academic profile because this project is based on helping young students who are not sure of their future, so they advise, help and answer your questions about high school, university, and professional careers. For example, last year I acquired many skills that helped me in my academic profile. One of them is; 1-Improve my progress in English. That is, my progress in English last year was not so bad but I needed to practice it more, with the SPEAK HIRE Mentors who did not speak my native language (Spanish) I learned a lot the pronunciation of English, my mentors did not only helped me with the professional careers, they also helped me to make my English level better than last year. 12 In 100 ? 250 words, what opportunities do young people who are immigrant and first-generation American currently have to gain awareness of career opportunities? The opportunities that young immigrants and first-generation Americans have to know professional opportunities are equal, that is, they both have the same opportunities to learn, it does not matter if they have little time in this country, they all have the opportunity to choose what they want to be in the future, to the same with first-generation Americans. 13 In 250 ? 500 words, why you would succeed as a SPEAKHIRE for your grade at your school. If you do not meet all the requirements, explain why we should consider you for the position. SPEAK HIRE is a very good opportunity for me because it will help me in my academic future, my future university, and my future professional career. I will succeed as SPEAKHIRE in my grade at school because I am responsible. Leadership ability, I can learn to collaborate and work together to achieve the same goals and motivate each other to move forward. Verbal and written communication. Ability to solve problems. Communicating effectively, and with respect, begins with the understanding and use of simple words, gestures, and expressions so that all of this is later used in written communication. 14 List the classes you will be taking the upcoming school year and any other activities which will keep you occupied. Please explain to us how many hours a week you will dedicate towards SPEAKHIRE and what your schedule will look like. -I would attend my normal classes that start from 8:20 to 2:40 (and about 30 minutes on the way home) I would also attend after-school every Tuesday starting at 2:40 and ending at 4:00. 15 Outline your main responsibilities as a SPEAKHIRE Ambassador: -Attend all SPEAKHIRE meetings. -Help my classmates. - Meet all guidelines</t>
  </si>
  <si>
    <t>2630 Marion Ave Bronx NY, 10458</t>
  </si>
  <si>
    <t>Bianka</t>
  </si>
  <si>
    <t>bianka.pena@ellisprep.com</t>
  </si>
  <si>
    <t>1/4/23 (Kendi) - updated school email: penabn@lemoyne.edu Studying at Le Moyne College at Syracuse, NY Personal Email: bianka.pena1999@gmail.com (5/21/23 KW)</t>
  </si>
  <si>
    <t xml:space="preserve">2682 Creston Ave. Apt 4f </t>
  </si>
  <si>
    <t>646-972-1673</t>
  </si>
  <si>
    <t>Osvaldo Pena</t>
  </si>
  <si>
    <t>osvaldp60@hotmail.com</t>
  </si>
  <si>
    <t>Jazling Garcia</t>
  </si>
  <si>
    <t>jazlinggarcia@crotonaihs.org</t>
  </si>
  <si>
    <t>2690MorrisAvenue</t>
  </si>
  <si>
    <t>+19295312135</t>
  </si>
  <si>
    <t>Loury Jazmin</t>
  </si>
  <si>
    <t>+19292628681</t>
  </si>
  <si>
    <t>anag4049@nycstudents.net</t>
  </si>
  <si>
    <t>2698 8th Avenue</t>
  </si>
  <si>
    <t>+13475638196</t>
  </si>
  <si>
    <t>De la cruz</t>
  </si>
  <si>
    <t>Franllelis</t>
  </si>
  <si>
    <t>f.rodriguez@gmail.com</t>
  </si>
  <si>
    <t>270 empire blvd 11225,ny, brooklyn</t>
  </si>
  <si>
    <t>+19293402103</t>
  </si>
  <si>
    <t>Francis Rodriguez</t>
  </si>
  <si>
    <t>gabriela.pena@ichsbronx.org</t>
  </si>
  <si>
    <t>786 East 152nd Street Bronx NY 10455</t>
  </si>
  <si>
    <t>+13475747069</t>
  </si>
  <si>
    <t>Juan Pena</t>
  </si>
  <si>
    <t>gabrielapena0311@gmail.com</t>
  </si>
  <si>
    <t>+13474999693</t>
  </si>
  <si>
    <t>Melvin</t>
  </si>
  <si>
    <t>melvinchandel@icloud.com</t>
  </si>
  <si>
    <t>Father phone number: 835-204-5889 9/14/23 KW Old Philasd email: 10041798@philasd.org</t>
  </si>
  <si>
    <t>2803 N 2nd st 19133</t>
  </si>
  <si>
    <t>Emilio Jorge Martinez Montero</t>
  </si>
  <si>
    <t>emiliomartinez601@gmail.com</t>
  </si>
  <si>
    <t>Reynoso</t>
  </si>
  <si>
    <t>areynoso@crotonaihs.org</t>
  </si>
  <si>
    <t>10/28/21 Hetal changed from Native to Somewhat comfortable English based on how they responded to their school name question</t>
  </si>
  <si>
    <t>2833 Decatur ave Bronx NY 10458</t>
  </si>
  <si>
    <t>+13475039573</t>
  </si>
  <si>
    <t>Yuberky pena</t>
  </si>
  <si>
    <t>angelicareynodo0727@gmail.com</t>
  </si>
  <si>
    <t>+19082744349</t>
  </si>
  <si>
    <t>Manifer</t>
  </si>
  <si>
    <t>Triunfel</t>
  </si>
  <si>
    <t>manifer.triunfel@ichsbronx.org</t>
  </si>
  <si>
    <t>873 brook Avenue Bronx NY 10451</t>
  </si>
  <si>
    <t>+19178912307</t>
  </si>
  <si>
    <t>Maura Castillo and Persio Triunfel</t>
  </si>
  <si>
    <t>maura.castillo.925602@gmail.com</t>
  </si>
  <si>
    <t>Wenely</t>
  </si>
  <si>
    <t>Pichardo cabrera</t>
  </si>
  <si>
    <t>wpichardo@crotonaihs.org</t>
  </si>
  <si>
    <t>2925 Grand Concourse Bronx, NY</t>
  </si>
  <si>
    <t>+13477928015</t>
  </si>
  <si>
    <t>Wilton Pichardo rosario</t>
  </si>
  <si>
    <t>Adalbelys</t>
  </si>
  <si>
    <t>adalbelys1530@gmail.com</t>
  </si>
  <si>
    <t>About Intern: The x Intern moved from the Dominican Republic to the United States when she was 4 years old. She speaks English and Spanish. This is her first year and round in the program. The jobs that she listed that she is interested in are, &amp;#34;heart surgeon,family doctor , radiology.&amp;#34;</t>
  </si>
  <si>
    <t>295 wadsworth ave apt 4E ny ny 10040</t>
  </si>
  <si>
    <t>+13477222650</t>
  </si>
  <si>
    <t>Adalgiza Gil</t>
  </si>
  <si>
    <t>adalgizagil@hotmai.com</t>
  </si>
  <si>
    <t>+13475028355</t>
  </si>
  <si>
    <t>Elaisa</t>
  </si>
  <si>
    <t>Vinicio</t>
  </si>
  <si>
    <t>elaisa.vinicio@ellisprep.com</t>
  </si>
  <si>
    <t>Elisa doesn't want to continue she told Jonathan Pinque. Marking as inactive 2/1/23 SB email: elaisa.vinicio@ellisprep.com additional email: elaisarachellvinicio@aol.com phone number: 3476515588 About Intern: The x Intern moved from the Dominican Republic to the United States when she was 16. She speaks English and Spanish. Some of the jobs she is interested in are, &amp;#34;plastic surgeons, anesthesiologist, dermatologist, gynecology.&amp;#34;</t>
  </si>
  <si>
    <t>930 Grand Concourse Apt 5G, NY 10451</t>
  </si>
  <si>
    <t>Raisa</t>
  </si>
  <si>
    <t>Raisalanegra@outlook.com</t>
  </si>
  <si>
    <t>SUNY Oneonta</t>
  </si>
  <si>
    <t>Jorge nunez</t>
  </si>
  <si>
    <t>scorpionjorge353@gmail.com</t>
  </si>
  <si>
    <t>Reasoning N/A Business Idea Finding homes and food for people living on the streets Social Problem There are many people who live on the streets</t>
  </si>
  <si>
    <t>2956 Randall Ave Bronx, New York 10465 United States</t>
  </si>
  <si>
    <t>(347)748-4749</t>
  </si>
  <si>
    <t>Fanny rosa</t>
  </si>
  <si>
    <t>fnunez01@hotmail.com</t>
  </si>
  <si>
    <t>(347)494-3914</t>
  </si>
  <si>
    <t>Noely</t>
  </si>
  <si>
    <t>Candelario</t>
  </si>
  <si>
    <t>2023_noelycandelario@ihs-us.org</t>
  </si>
  <si>
    <t>9718 89th</t>
  </si>
  <si>
    <t>+16468065151</t>
  </si>
  <si>
    <t>Noemi Aracena</t>
  </si>
  <si>
    <t>et259603546@crotonaihs.org</t>
  </si>
  <si>
    <t>Bio - Emily Tavarez: Emily came from the Dominican Republic to America when she was 16 years old. The fields that she is interested in are arts/creative, health sciences/medicine, and social sciences/psychology. Emily describes herself as self-determined, happy, and honest. She is still exploring her options for colleges. Emily, we matched you based on your interest in arts/creative, a shared language, and a similar cultural background. About: The second Intern came from the Dominican Republic to America when she was 16 years old. She speaks Spanish and English. This is her first year and round in the program. The jobs that she is interested in are, &amp;#34;Fashion Store Owner, Fashion, Psychology, veterinarian.&amp;#34;</t>
  </si>
  <si>
    <t>2969 Decatur Avenue, Apt 2A, Bronx, NY 10458</t>
  </si>
  <si>
    <t>+16465457919</t>
  </si>
  <si>
    <t>Lissette Cespedes</t>
  </si>
  <si>
    <t>tavemi29@gmail.com</t>
  </si>
  <si>
    <t>Crisffer</t>
  </si>
  <si>
    <t>Urena</t>
  </si>
  <si>
    <t>curenabiz@gmail.com</t>
  </si>
  <si>
    <t>2971 Frederick Douglass Blvd, New York, NY, 10039</t>
  </si>
  <si>
    <t>+13478185332</t>
  </si>
  <si>
    <t>Cristina Regalado</t>
  </si>
  <si>
    <t>lascribel@gmail.com</t>
  </si>
  <si>
    <t>+13475431768</t>
  </si>
  <si>
    <t>Alisha</t>
  </si>
  <si>
    <t>Ramos</t>
  </si>
  <si>
    <t>nonchalant.ali@gmail.com</t>
  </si>
  <si>
    <t>314 East 100th street new york 10029 apt 2L</t>
  </si>
  <si>
    <t>+19175534876</t>
  </si>
  <si>
    <t>Elida Jimenez</t>
  </si>
  <si>
    <t>elij11126@gmail.com</t>
  </si>
  <si>
    <t>+19176875640</t>
  </si>
  <si>
    <t>Elver</t>
  </si>
  <si>
    <t>Veras</t>
  </si>
  <si>
    <t>elver2019@flushinginternational.org</t>
  </si>
  <si>
    <t>3207 Fairmount ave Bronx, NY 10465 United states</t>
  </si>
  <si>
    <t>+13474452282</t>
  </si>
  <si>
    <t>Malvyn beloosesky</t>
  </si>
  <si>
    <t>Mbeloosesky@gmail.com</t>
  </si>
  <si>
    <t>+17185983279</t>
  </si>
  <si>
    <t>Caba</t>
  </si>
  <si>
    <t>ac252763586@crotonaihs.org</t>
  </si>
  <si>
    <t>Additional Email:  acaba4066@gmail.com</t>
  </si>
  <si>
    <t>3235 PARKSIDE PLACE 3D Bronx, New York 10467 United States</t>
  </si>
  <si>
    <t>347-638-8413</t>
  </si>
  <si>
    <t>Jose Luis caba</t>
  </si>
  <si>
    <t>acaba4066@gmail.com</t>
  </si>
  <si>
    <t>Nerely</t>
  </si>
  <si>
    <t>Roa</t>
  </si>
  <si>
    <t>nroa@crotonaihs.org</t>
  </si>
  <si>
    <t>Bio:  Nerely Roa:  Nerely moved to the United States from the  Dominican Republic  when she was 12 years old. She is interested in Real Estate/Development and Business. Nerely describes herself as hopeful, creative, humble. The colleges that she is interested in are,  &amp;#34;Hostos CC, BMCC, Manhattan College, Mercy College, CCNY, Manhattanville.&amp;#34; Nerely, we matched you based on your interest in business. About - This Intern moved to the United States from the Dominican Republic when she was 12 years old. She speaks English and Spanish. This is her first year and round in the program. The jobs that she listed that she is interested in are, &amp;#34;Real states and Business Administation.&amp;#34;</t>
  </si>
  <si>
    <t>985 E 163rd ST Bronx NY 10459</t>
  </si>
  <si>
    <t>+18623062884</t>
  </si>
  <si>
    <t>Leydi Medina</t>
  </si>
  <si>
    <t>leydimedinaderoa@gmail.com</t>
  </si>
  <si>
    <t>angelguzman@crotonaihs.org</t>
  </si>
  <si>
    <t>About -  The X Intern is from the Dominican Republic and moved to America 3 years ago. He speaks Spanish and English. This is his first year and round in the program. The fields he is interested in are business, service/hospitality, and education.</t>
  </si>
  <si>
    <t>325 E 194 street apt 34 Bronx, New York 10458 United States</t>
  </si>
  <si>
    <t>angel.tavarez.24@wheels-student.org</t>
  </si>
  <si>
    <t>About Intern: The x Intern was born in the United States, but his family is from the Dominican Republic. He speaks English and Spanish. This is his first year and round in the program. The job that he listed that he is interested in is, &amp;#34;video game programmer,&amp;#34; He also said he was unsure about other jobs but interested in the STEM field.</t>
  </si>
  <si>
    <t>326 Audubon Avenue, Apt. 25 New York, NY 10033</t>
  </si>
  <si>
    <t>+19147519741</t>
  </si>
  <si>
    <t>Itati Espinal</t>
  </si>
  <si>
    <t>+16467327350</t>
  </si>
  <si>
    <t>Ashly</t>
  </si>
  <si>
    <t>ashlyq5@nycstudents.net</t>
  </si>
  <si>
    <t xml:space="preserve">Additional Email - ashlyquezada71@gmail.com
</t>
  </si>
  <si>
    <t xml:space="preserve">3433 dekalb av bronx, New York 10467 United States
</t>
  </si>
  <si>
    <t>(347)341-3116</t>
  </si>
  <si>
    <t>Jesus Quezada</t>
  </si>
  <si>
    <t>yericoquezada@gmail.com</t>
  </si>
  <si>
    <t>(929)217-9073</t>
  </si>
  <si>
    <t>Antonella</t>
  </si>
  <si>
    <t>antonellap5@nycstudents.net</t>
  </si>
  <si>
    <t>35-12-99st</t>
  </si>
  <si>
    <t>+19175397286</t>
  </si>
  <si>
    <t>Anandy dominguez</t>
  </si>
  <si>
    <t>Akira</t>
  </si>
  <si>
    <t>akiramartinez02@gmail.com</t>
  </si>
  <si>
    <t>Updated date/time for AY 21-22 for Monday 3pm - PQ 9/27/21 10 In 250 ? 500 words, describe three traits which make you a leader and a strong student. The top three traits which makes me a leader and strong student are my responsibility, my way of thinking and hard working. Responsibility because I like to do the things on time and do what I should or need to do if I have an assignment or activity. My way of thinking because I consider myself as an open mind person who can see different perspectives through changes in my view point to improve myself. Last but not least, my hard working because I like to do my best in all the things I try no matter if they are big or small things, I?ll always put the best of my in to it. 11 In 100 ? 250 words, how can SPEAKHIRE help you you boost your own academic profile? The SPEAKHIRE program can help me to boost my own academic profile giving the opportunity to improve my leadership skills, since through this method I could find more easily an internship using what I learn from the program. Also, because learning leadership skills I can easily function in different environments and even contribute to the development of those around me to help them the same as this program would help me as an ambassador. 12 In 100 ? 250 words, what opportunities do young people who are immigrant and first-generation American currently have to gain awareness of career opportunities? There are many opportunities for the young people who are immigrants and first-generation Americans have to gain awareness of a career opportunities. One of them is the internship programs that all of the schools provides to the students at the eleventh grade, also there are other programs like arts programs which allow students to develop skills that they can use in real works like graphic design and other skills. Also the programs that allow you to take college classes of different careers. 13 In 250 ? 500 words, why you would succeed as a SPEAKHIRE for your grade at your school. If you do not meet all the requirements, explain why we should consider you for the position. You should consider me for the position of ambassador because I already have the necessary experience as a former member of speakhire thanks to my time in the program, therefore I am confident that I will be able to fulfill the responsibilities that the position of ambassador in the program entailed. Also, since by accepting me you can help me to practice my leadership skills and that would also be beneficial for the program because if in the future I wish to continue being part of speakhire I can do a better job than I would in the past and be a member more relevant and efficient for that position and for the program in general. 14 List the classes you will be taking the upcoming school year and any other activities which will keep you occupied. Please explain to us how many hours a week you will dedicate towards SPEAKHIRE and what your schedule will look like. I'll take my school classes (at usual from 9am to 4pm Monday to Friday) and also I'll work (Tuesday, Wednesday and Saturday). 15 Outline your main responsibilities as a SPEAKHIRE Ambassador: Help the interns of the program.</t>
  </si>
  <si>
    <t>353 Cypress Avenue apt 4E, Bronx, New York 10454</t>
  </si>
  <si>
    <t>+17188442579</t>
  </si>
  <si>
    <t>Jose Quezada</t>
  </si>
  <si>
    <t>Josequezada02@gmail.com</t>
  </si>
  <si>
    <t>+19173781412</t>
  </si>
  <si>
    <t>Brito</t>
  </si>
  <si>
    <t>misabritas@gmail.com</t>
  </si>
  <si>
    <t>About - The first Intern moved from the Dominican Republic to the US when he was 18. He speaks Spanish and English. He is interested in STEM and Arts/Creative. Some of the jobs he listed as being interested in are, &amp;#34;Graphic Design, Game Development, Computer Science, AudioVisual Editor.&amp;#34; Ambassador Responses: 11 In 250 ? 500 words, describe three traits which make you a leader and a strong student. I'm a good option for you because, I'm apply, do my best on everything, and responsible. I need this opportunity because I want to improve myself as a Leader, and to get out of my comfort zone. Also, I'm good communicating with people, and I always try to understand the others perspective. 12 In 100 ? 250 words, how can SPEAKHIRE help you you boost your own academic profile? This can help me because SPEAKHIRE is a great opportunity for improve myself as a leader. I want to have my own business on Graphic Design, and this is a good opportunity for start 13 In 100 ? 250 words, what opportunities do young people who are immigrant and first-generation American currently have to gain awareness of career opportunities? We have a lot of opportunities, to improve ourselves, with the Internships and there is a lot of diverse opportunities for everyone 14 In 250 ? 500 words, why you would succeed as a SPEAKHIRE for your grade at your school. If you do not meet all the requirements, explain why we should consider you for the position. Because this can help me to have more leadership, and maybe with the teamwork that the school left me I can do it so much better with this experience. 15 List the classes you will be taking the upcoming school year and any other activities which will keep you occupied. Please explain to us how many hours a week you will dedicate towards SPEAKHIRE and what your schedule will look like. I have school from 8:30 to 1:30. 16 Outline your main responsibilities as a SPEAKHIRE Ambassador: I have to remember all the students to attend the meetings and to be on Time. I have to be an example for the other students so maybe if they are an ambassador, they know what to do.</t>
  </si>
  <si>
    <t>3530 Dekalb Av, Apt 5E</t>
  </si>
  <si>
    <t>+19296881575</t>
  </si>
  <si>
    <t>Nereida Collado</t>
  </si>
  <si>
    <t>nereidacolladomejia@gmail.com</t>
  </si>
  <si>
    <t>+19296881592</t>
  </si>
  <si>
    <t>Abreu</t>
  </si>
  <si>
    <t>valentina.abreu@ellisprep.com</t>
  </si>
  <si>
    <t>About Intern: The x Intern moved to the United States from the Dominican Republic when she was 16 years old. She speaks English and Spanish. This is her first year and round in the program. The jobs she listed that she is interested in are, &amp;#34;accountant, pediatrician, artist, math teacher, counselor.&amp;#34; email: valentina.abreu@ellisprep.com phone number:  3478885440</t>
  </si>
  <si>
    <t>99 terrace view ave bronx 10463</t>
  </si>
  <si>
    <t>Jose Antonio</t>
  </si>
  <si>
    <t>valentinaabreu2005@gmail.com</t>
  </si>
  <si>
    <t>Albert D</t>
  </si>
  <si>
    <t>Leon Johnson</t>
  </si>
  <si>
    <t>deleonalbert468@gmail.com</t>
  </si>
  <si>
    <t>Told Hetal on 2/27/21 that he no longer wants to continue  Instagram,Facebook.Youtube (NEED ID)</t>
  </si>
  <si>
    <t>Bronx NY Walton 183</t>
  </si>
  <si>
    <t>19294169187 - call through whatsapp</t>
  </si>
  <si>
    <t>Winston Tejeda</t>
  </si>
  <si>
    <t>Javier</t>
  </si>
  <si>
    <t>Fortuna</t>
  </si>
  <si>
    <t>2023_javierfortuna@ihs-us.org</t>
  </si>
  <si>
    <t>Bronx, spanish</t>
  </si>
  <si>
    <t>+19293047506</t>
  </si>
  <si>
    <t>Maria Esther Restituyo Acosta</t>
  </si>
  <si>
    <t>Cabral</t>
  </si>
  <si>
    <t>eliana.cabral@ellisprep.com</t>
  </si>
  <si>
    <t>390 Jackson Ave Apt 5A, Bronx NY 10454</t>
  </si>
  <si>
    <t>+15855531373</t>
  </si>
  <si>
    <t>Natividad Santiago</t>
  </si>
  <si>
    <t>natividadsantiago0908@gmail.com</t>
  </si>
  <si>
    <t>+16462940324</t>
  </si>
  <si>
    <t>Jazir</t>
  </si>
  <si>
    <t>jazircabrera@crotonaihs.org</t>
  </si>
  <si>
    <t>398 E 152 Street Bronx New York 10455</t>
  </si>
  <si>
    <t>+16464185282</t>
  </si>
  <si>
    <t>Arturo Cabrera</t>
  </si>
  <si>
    <t>Ronald</t>
  </si>
  <si>
    <t>Pujols</t>
  </si>
  <si>
    <t>ronaldpujols@crotonaihs.org</t>
  </si>
  <si>
    <t>About -  The X Intern was 12 years old when he moved to the U.S. from the Dominican Republic. He speaks English and Spanish. This is his first year and round in the program. He is interested in the field of law. Bio - Ronald Pujols: Ronald was 12 years old when he moved to the U.S. from the Dominican Republic. He is interested in the field of law. He is still exploring his options for colleges. Ronald, we matched you based on</t>
  </si>
  <si>
    <t>Tiebout ave 10458</t>
  </si>
  <si>
    <t>+13474306386</t>
  </si>
  <si>
    <t>Frania Pujols</t>
  </si>
  <si>
    <t>pujolsfrania@gmail.com</t>
  </si>
  <si>
    <t>+19299000629</t>
  </si>
  <si>
    <t>Alessia</t>
  </si>
  <si>
    <t>alfodirsj@gmail.com</t>
  </si>
  <si>
    <t>215-2540933</t>
  </si>
  <si>
    <t>Angely</t>
  </si>
  <si>
    <t>angelya5@nycstudents.net</t>
  </si>
  <si>
    <t>EL Graduate of 2022, returning DL 2023 (KW 1/25/23)</t>
  </si>
  <si>
    <t>40-23 99th street apt 3</t>
  </si>
  <si>
    <t>+19178222050</t>
  </si>
  <si>
    <t>Mily Lantigua</t>
  </si>
  <si>
    <t>angely.abreugarcia@casa311.com</t>
  </si>
  <si>
    <t>40-23 99th street Flushing, NY 11368</t>
  </si>
  <si>
    <t>Angelis</t>
  </si>
  <si>
    <t>267-770-7892</t>
  </si>
  <si>
    <t>melissardgz2016@gmail.com</t>
  </si>
  <si>
    <t>Dilcia</t>
  </si>
  <si>
    <t>dilcia.guzman.24@wheels-student.org</t>
  </si>
  <si>
    <t>404 Audubon Ave Apt 51</t>
  </si>
  <si>
    <t>+16469869079</t>
  </si>
  <si>
    <t>Sonia Martinez</t>
  </si>
  <si>
    <t>Yosandy</t>
  </si>
  <si>
    <t>yosandy.liz.23@wheels-student.org</t>
  </si>
  <si>
    <t>433 White Plains Road Bronx, NY 10473</t>
  </si>
  <si>
    <t>+13479093834</t>
  </si>
  <si>
    <t>Yokasta Liz</t>
  </si>
  <si>
    <t>yokastaperez@hotmail.com</t>
  </si>
  <si>
    <t>+13476532895</t>
  </si>
  <si>
    <t>Medrano</t>
  </si>
  <si>
    <t>bmedrano@crotonaihs.org</t>
  </si>
  <si>
    <t>450E 184St</t>
  </si>
  <si>
    <t>+19294976745</t>
  </si>
  <si>
    <t>Yaneidis Alcantara</t>
  </si>
  <si>
    <t>greisicolon@claremontihs.org</t>
  </si>
  <si>
    <t>Hetal called Greisi on March 19th, 2024, she attends City College  and works at Claremont IHS; she wants to pursue becoming a  Spanish education teacher; she wasn't available for Mott Haven HS LC schedule and also didn't want to learn more about becoming a CPF claiming she's just too busy. </t>
  </si>
  <si>
    <t>1818 Clay Avenue, Bronx, NY, 10457</t>
  </si>
  <si>
    <t>colonjuan244@gmail.com</t>
  </si>
  <si>
    <t>+13473762383</t>
  </si>
  <si>
    <t>Andrews</t>
  </si>
  <si>
    <t>andrewsisaiast@nycstudents.net</t>
  </si>
  <si>
    <t>School Email: andrewsisaiast@nycstudents.net</t>
  </si>
  <si>
    <t>4602 47th street woodside NY 11377</t>
  </si>
  <si>
    <t>juan collado</t>
  </si>
  <si>
    <t>Delgado</t>
  </si>
  <si>
    <t>Prefer not to say</t>
  </si>
  <si>
    <t>alinad22@nycstudents.net</t>
  </si>
  <si>
    <t>464 Bushwick Ave Brooklyn Ny 11206</t>
  </si>
  <si>
    <t>+16463992251</t>
  </si>
  <si>
    <t>Paulina Florentino</t>
  </si>
  <si>
    <t>Yairel</t>
  </si>
  <si>
    <t>Aquino</t>
  </si>
  <si>
    <t>yairela@nycstudents.net</t>
  </si>
  <si>
    <t>48-30 sunnyside, New York 11400 United States</t>
  </si>
  <si>
    <t>yairel</t>
  </si>
  <si>
    <t>Diego</t>
  </si>
  <si>
    <t>drojas@crotonaihs.org</t>
  </si>
  <si>
    <t>480 east 176 bronx ny</t>
  </si>
  <si>
    <t>+19292567048</t>
  </si>
  <si>
    <t>Diego A Rojas</t>
  </si>
  <si>
    <t>djrojas.com1831@gmail.com</t>
  </si>
  <si>
    <t>+13478985318</t>
  </si>
  <si>
    <t>jm259658557@crotonaihs.org</t>
  </si>
  <si>
    <t>480 East 188 St, Apt 2A Bronx, New York 10458 United States</t>
  </si>
  <si>
    <t>Bernardo Argenis Martinez</t>
  </si>
  <si>
    <t>griseldamunos28@gmail.com</t>
  </si>
  <si>
    <t>Johalyn</t>
  </si>
  <si>
    <t>johalyn.perez.23@wheels-student.org</t>
  </si>
  <si>
    <t>email: johalyn.perez.23@wheels-student.org phone number: &amp;#43;13474462717</t>
  </si>
  <si>
    <t>490 w 187st New York New York 10033</t>
  </si>
  <si>
    <t>+13474462717</t>
  </si>
  <si>
    <t>Giovanny Rodriguez</t>
  </si>
  <si>
    <t>diazdionis@gmail.com</t>
  </si>
  <si>
    <t>+19175783273</t>
  </si>
  <si>
    <t>Piron II</t>
  </si>
  <si>
    <t>omar.piron.23@wheels-student.org</t>
  </si>
  <si>
    <t>495 W 186th St. Apt# 6c, NYC, 10033</t>
  </si>
  <si>
    <t>+19176696032</t>
  </si>
  <si>
    <t>Katty Piron</t>
  </si>
  <si>
    <t>kattypiron@hotmail.com</t>
  </si>
  <si>
    <t>+16463771740</t>
  </si>
  <si>
    <t>City College</t>
  </si>
  <si>
    <t>Kerly</t>
  </si>
  <si>
    <t>kerlyrs0711@gmail.com</t>
  </si>
  <si>
    <t>Bio -  Kerly Rodriguez: Kerly moved from the Dominican Republic to the United States when she was 13 years old. She is interested in social sciences / psychology. Kerly says that she likes to read. For college she is looking a, Marcy College, NYACK College, and Hostos College. Kerly, we matched you based on your interest in social sciences / psychology. About- The X Intern moved from the Dominican Republic to the United States when she was 13 years old. She speaks English and Spanish. This is her first year and round in the program. She is interested in psychology.</t>
  </si>
  <si>
    <t>50 Pennsylvania av</t>
  </si>
  <si>
    <t>+19295415466</t>
  </si>
  <si>
    <t>Omar Rodriguez</t>
  </si>
  <si>
    <t>omarar1028@gmail.com</t>
  </si>
  <si>
    <t>+19295106651</t>
  </si>
  <si>
    <t>Alana</t>
  </si>
  <si>
    <t>alanam65@nycstudents.net</t>
  </si>
  <si>
    <t>50-40 Jacobus St 11373 New York, New York 11373 United States</t>
  </si>
  <si>
    <t>718-205-6788</t>
  </si>
  <si>
    <t>Nick Molina</t>
  </si>
  <si>
    <t>646-750-6378</t>
  </si>
  <si>
    <t>Herimar</t>
  </si>
  <si>
    <t>Bonifacio</t>
  </si>
  <si>
    <t>hbonifacio@crotonaihs.org</t>
  </si>
  <si>
    <t>1551 Sheridan av</t>
  </si>
  <si>
    <t xml:space="preserve">917 288 4793 </t>
  </si>
  <si>
    <t>Marthina Galvez</t>
  </si>
  <si>
    <t>Marthinagalvez13@gmail.com</t>
  </si>
  <si>
    <t>Danna (Diana)</t>
  </si>
  <si>
    <t>Zhicay</t>
  </si>
  <si>
    <t>dannaz2@nycstudents.net</t>
  </si>
  <si>
    <t>50-40 jacobus street new york, New York 11373 United States</t>
  </si>
  <si>
    <t>yeberca</t>
  </si>
  <si>
    <t>joshua.jimenez.23@wheels-student.org</t>
  </si>
  <si>
    <t>501 W179th St Apt 10, New York, NY, 10033</t>
  </si>
  <si>
    <t>+19294202872</t>
  </si>
  <si>
    <t>Isaura Jimenez</t>
  </si>
  <si>
    <t>isaurajimenez22@live.com</t>
  </si>
  <si>
    <t>+16467314079</t>
  </si>
  <si>
    <t>Jariel</t>
  </si>
  <si>
    <t>jariel.fernandez.24@wheels-student.org</t>
  </si>
  <si>
    <t>501w 189th sweet ap 1c 10040</t>
  </si>
  <si>
    <t>+19293532175</t>
  </si>
  <si>
    <t>Gabriel fernandez</t>
  </si>
  <si>
    <t>jarielfernandez1618@gmail.com</t>
  </si>
  <si>
    <t>+19175780265</t>
  </si>
  <si>
    <t>Lisy</t>
  </si>
  <si>
    <t>lisy.sanchez.24@wheels-student.org</t>
  </si>
  <si>
    <t>505 W. 162 St. Apt.406 New York,NY 10032</t>
  </si>
  <si>
    <t>+15514040985</t>
  </si>
  <si>
    <t>Betty Cruz</t>
  </si>
  <si>
    <t>bery2703@gmail.com</t>
  </si>
  <si>
    <t>+16462495944</t>
  </si>
  <si>
    <t>John Jay College of Criminal Justice</t>
  </si>
  <si>
    <t>Yorlan</t>
  </si>
  <si>
    <t>Espinal</t>
  </si>
  <si>
    <t>yorlan.espinal.24@wheels-student.org</t>
  </si>
  <si>
    <t>Cashed Awarded $75 check on Aug 28, 2023 Rising Leader FY 23 -- He was expected to join the summit and later invited to join the Soiree. He called same day of the event to explain he was not feeling well and was going to be absent. His check was mailed 8/22 for $75 by HJ. He should receive it by Friday. PQ  About Intern: the x Intern was 6 years old when he moved from the Dominican Republic to the United States. He speak English and Spanish. The jobs that he is interested in include, &amp;#34;Civil Engennier or Computer Engennier.&amp;#34; Ambassador Responses: 11 In 250 ? 500 words, describe three traits which make you a leader and a strong student. My perseverance has kept me going throughout my life and made me keep pushing even at my lowest point. Many times the work I do feels like is above me and impossible but I remind myself that I have to keep trying to get where I want to be in life. I never let me self quit somethign and always make it through time after time becuase that has been the only option I had. I always try to show compassion to others by helping them with their work and that has allowed me to learn how to be more of a leader and take charge. My compassion has allowed me to make many friendships because it made me work with others. My ambition has allowed me to get as far as I have by not letting me no be limited and jumping onto any opportunities that open up to me. I always aim high and a not simply satisfied with just getting by, I dont just want to survive I want to thrive and become sithing big. 12 In 100 ? 250 words, how can SPEAKHIRE help you you boost your own academic profile? I believe that SPEAKHIRE will allow me to develop good habits in managing the work that will help me valance my school work and extracurricular. I believe that getting experience in a field that I am interested in will solidify my interest in my future carrier and be more sure about what path in life I want to take. SPEAKHIRE will be a stepping stone on my path that will help me know what kind of colleges I want to attend and know whatacctions to take to be eligible for them. 13 In 100 ? 250 words, what opportunities do young people who are immigrant and first-generation American currently have to gain awareness of career opportunities? I believe that young immigrants being aware of career opportunities will let them make a living in a country that they were not born in and don't have strong roots in. Jobs allow us to contribute to society and become part of it and that is especially important when people often feel divided from society when they immigrate to another country with no one they know. 14 In 250 ? 500 words, why you would succeed as a SPEAKHIRE for your grade at your school. If you do not meet all the requirements, explain why we should consider you for the position. I will succeed as a SPEAKHIRE because I will make sure to attend every session and if not communicate with my mentor and partners to make up the work. I will take full advantage of this opportunity and put all my effort into doing my best. 15 List the classes you will be taking the upcoming school year and any other activities which will keep you occupied. Please explain to us how many hours a week you will dedicate towards SPEAKHIRE and what your schedule will look like. classes: English, AP seminar/ US History, Math, Chemistry, college readinessOther activities: College now, clean air green corridor, drivers ed, Youth in STEM, 16 Outline your main responsibilities as a SPEAKHIRE Ambassador: As a SPEAKHIRE ambassador, I will support my peers in their work and make communication easier.</t>
  </si>
  <si>
    <t>506W 178th ST apt 2D New York,NY 10033</t>
  </si>
  <si>
    <t>+19292718631</t>
  </si>
  <si>
    <t>Carmen Fernandez</t>
  </si>
  <si>
    <t>Fernandez.cf571@gmail.com</t>
  </si>
  <si>
    <t>+13478660684</t>
  </si>
  <si>
    <t>sabrina.galay@ellisprep.com</t>
  </si>
  <si>
    <t>email: sabrina.galay@ellisprep.com additional email: sabrinagalay2703@gmail.com Phone number: 929 586 5515 About: The second Intern came from the Dominican Republic to America when she was 15 years old. She speaks English and Spanish. She is interested in the health sciences, education, journalism/media, and service/hospitality fields. This is her first year and second round in the program.</t>
  </si>
  <si>
    <t>50 bronx 10467</t>
  </si>
  <si>
    <t>929 586 5515</t>
  </si>
  <si>
    <t xml:space="preserve">Audrey </t>
  </si>
  <si>
    <t>Audreymorales14@gmail.com</t>
  </si>
  <si>
    <t>ricary.santana@ellisprep.com</t>
  </si>
  <si>
    <t>507 w 186 st apt bsmt 10033</t>
  </si>
  <si>
    <t>+18622876901</t>
  </si>
  <si>
    <t>Emanuel</t>
  </si>
  <si>
    <t>Ortiz</t>
  </si>
  <si>
    <t>emanueljair4@gmail.com</t>
  </si>
  <si>
    <t>Emanuel.ortiz.24@wheels-student.org About Intern: The x Intern moved from the Dominican Republic to the United States when he was 7 years old. He speaks English and Spanish. This is his first year and first round in the program. The jobs he listed that he is interested in are, &amp;#34;Computer Hardware Engineering, Electrical Engineering, Mechanical Engineering, Robotics, Software Development, Computer Programing.&amp;#34; Ambassador Application 11 In 250 ? 500 words, describe three traits which make you a leader and a strong student. What makes me a strong leader is my responsibility and my time management skills. For example, when we get homework as soon as get home after I do a couple of basic things I need to do I do my homework and I always try my best on it always. My time manage skills also make me a strong student because on everything I do I get on time. For instance, when I need to go to doctor appointments I always get there way earlier because it is just a habit. In addition when school starts in the morning at 8:35 I?m always one of the first in the classroom along with around 2-3 other kids. Also so far this year I have 0 latenesses which is demonstrating how I get to manage my time. Another thing that makes me a strong leader is keeping everyone on task even when we don?t understand the topic. What I mean by this is that I be asking the people in my group questions on the thing we are learning that will get them more involved so we could finish the work faster. This keeps us on task and going on the work instead of being distracted by something else. Something that makes me a strong student also is the ideas I bring to a certain group when I join them. Often when I?m in groups people rely on me to have the ?smartest? ideas just because over the years I?ve had a pretty good gpa. What this has helped me develop is coming up with more ideas quicker than I used to and contribute more to my group. 12 In 100 ? 250 words, how can SPEAKHIRE help you you boost your own academic profile? Speakhire can help me boost my academic profile because since I?m getting to meet people who are doing the job that I?m interested in I can kinda see how the career path is like and if it is all of what I though. Also by just doing this like it motivates me to learn way more things that I?ve never though about before. It can help me develop new ways of thinking about things and maybe even new techniques that I?ve never though of before. 13 In 100 ? 250 words, what opportunities do young people who are immigrant and first-generation American currently have to gain awareness of career opportunities? Young people who are immigrants and first generation American have to be aware of that any career opportunities that is possible to get they should get it because it?s going to help on the long run and even give you things like internships, scholarships, and easier access to jobs. With all this the career the person desires becomes much easier because of all the resources available to them now. 14 In 250 ? 500 words, why you would succeed as a SPEAKHIRE for your grade at your school. If you do not meet all the requirements, explain why we should consider you for the position. As a speakhire student, I would succeed because I believe that I have the capabilities to manage my work at school and the other things speakhire wants me to do like the meetings with the champions. I like to believe that I?m decently good at managing my time so I think having a meeting while school hours or outside school hours. In addition, I would succeed as a speakhire because if I was able to pass school with a pretty high grade during zoom when the pandemic hit I think it wouldn?t bother me. If I don?t meet the requirements I should be in it because of almost I said above, but in addition to that I would try to work harder to meet the requirements so no problems would be encountered and I would be good. 15 List the classes you will be taking the upcoming school year and any other activities which will keep you occupied. Please explain to us how many hours a week you will dedicate towards SPEAKHIRE and what your schedule will look like. Monday through Friday I have Math, Spanish, Crew, gym/college readiness, lunch, chemistry, ap seminar (classes from 8:35-3:25). Monday?s and Wednesday after schools program called stoked for skateboarding from 3:25 to 5:30. I have more time after school on tuesdays, Thursday?s and fridays. Fridays I exit at 1:35. 16 Outline your main responsibilities as a SPEAKHIRE Ambassador: As a speakhire ambassador you need to provide critical support to other interns and also send out a reminder of upcoming sessions (email, text, or phone). Also responsible for reaching out to interns to make sure they attend their internship sessions. Ambassadors also lead peers and could be appointed to lead a chapter club.</t>
  </si>
  <si>
    <t>510 west 184th street apt 52, New York, New York, 10033</t>
  </si>
  <si>
    <t>+19294181872</t>
  </si>
  <si>
    <t>Navy Marte</t>
  </si>
  <si>
    <t>navymarte.matos@gmail.com</t>
  </si>
  <si>
    <t>+12129510213</t>
  </si>
  <si>
    <t>Jayson</t>
  </si>
  <si>
    <t>jayson.munoz.24@wheels-student.org</t>
  </si>
  <si>
    <t>About Intern: The X Intern was born in America, but his family is from the Dominican Republic. He speaks English and Spanish. This is his first year and round in the program. One of the jobs he listed that he is interested in is, &amp;#34;directing tv shows.&amp;#34;</t>
  </si>
  <si>
    <t>511 West 182nd St</t>
  </si>
  <si>
    <t>+13478329005</t>
  </si>
  <si>
    <t>Belkis Paulino</t>
  </si>
  <si>
    <t>belkisp13@icloud.com</t>
  </si>
  <si>
    <t>+19175533643</t>
  </si>
  <si>
    <t>Alfredo</t>
  </si>
  <si>
    <t>alfredorodriguez@claremontihs.org</t>
  </si>
  <si>
    <t>I live in the bronx</t>
  </si>
  <si>
    <t>+16465153153</t>
  </si>
  <si>
    <t>Alfredo Rodriguez</t>
  </si>
  <si>
    <t>Cristian</t>
  </si>
  <si>
    <t>cristian.rodriguez.24@wheels-student.org</t>
  </si>
  <si>
    <t>HJ Updated phone number from &amp;#43;16463464430 to what it is now (3/21/22)</t>
  </si>
  <si>
    <t>511w 181st apt22 10033</t>
  </si>
  <si>
    <t>646-454-9574</t>
  </si>
  <si>
    <t>Maria Gregorio</t>
  </si>
  <si>
    <t>happybonie99667@gmail.com</t>
  </si>
  <si>
    <t>+16464549574</t>
  </si>
  <si>
    <t>Ciara</t>
  </si>
  <si>
    <t>ciara.cruz.23@wheels-student.org</t>
  </si>
  <si>
    <t>516 West 174 Street Apt.18, New York, NY, 10033</t>
  </si>
  <si>
    <t>+13474584670</t>
  </si>
  <si>
    <t>Adalgisa Ferreira</t>
  </si>
  <si>
    <t>adalgisaferreira174@gmail.com</t>
  </si>
  <si>
    <t>+19179152519</t>
  </si>
  <si>
    <t>Jeyrent</t>
  </si>
  <si>
    <t>Cid Martinez</t>
  </si>
  <si>
    <t>jeyrent.cidmartinez.24@wheels-student.org</t>
  </si>
  <si>
    <t>About Intern:  The x Intern was 3 when he moved to American from the Dominican Republic. He speaks Spanish and English. This is his first year and round in the program. The jobs he listed are, &amp;#34;Computer Science and Enginnering.&amp;#34;</t>
  </si>
  <si>
    <t>5160 Post Road New York Bronx 10471</t>
  </si>
  <si>
    <t>+15512288605</t>
  </si>
  <si>
    <t>Yessenia Martinez</t>
  </si>
  <si>
    <t>jexel.18@hotmail.com</t>
  </si>
  <si>
    <t>Yoleinny</t>
  </si>
  <si>
    <t>Sosa Marte</t>
  </si>
  <si>
    <t>ys250001205@crotonaihs.org</t>
  </si>
  <si>
    <t>The X Intern moved from the Dominican Republic to the U.S. when she was 16 years old. She speaks Spanish and is working on her English. She is unsure about jobs she is interested in and wants to explore more careers but does have interests in art and social sciences.</t>
  </si>
  <si>
    <t>518 East 139th St Bronx, New York 10454 United States</t>
  </si>
  <si>
    <t>Felix Antonio Vargas</t>
  </si>
  <si>
    <t>Axel</t>
  </si>
  <si>
    <t>Almonte</t>
  </si>
  <si>
    <t>axeljuniellalmonte20@gmail.com</t>
  </si>
  <si>
    <t>Hetal and Bryan had a meeting with Ariela Rothstein -- Ariela said can discontinue for IR3 4/1/22 -- had matched him already with Yada for round 3 -- replacing him</t>
  </si>
  <si>
    <t>112-23 francis lewis blvd Queens New York 11429</t>
  </si>
  <si>
    <t>+19294025133</t>
  </si>
  <si>
    <t>Daihana Taveras</t>
  </si>
  <si>
    <t>+16464643347</t>
  </si>
  <si>
    <t>Lleilin</t>
  </si>
  <si>
    <t>Guerra</t>
  </si>
  <si>
    <t>lg250001202@crotonaihs.org</t>
  </si>
  <si>
    <t>518 East 139th Street Bronx, New York 10454 United States</t>
  </si>
  <si>
    <t>Felix antonio</t>
  </si>
  <si>
    <t>Felito110515@gmail.com</t>
  </si>
  <si>
    <t>Tryana</t>
  </si>
  <si>
    <t>tryana.hernandez.24@wheels-student.org</t>
  </si>
  <si>
    <t>About Intern: the x Intern moved from the Dominican Republic to the United States when she was 7 years old. She speaks English and Spanish. This is her first year and round in the program. Some of the jobs she listed that she is interested in are, &amp;#34;doctor or lawyer.&amp;#34;</t>
  </si>
  <si>
    <t>530 w 174th st apt 44</t>
  </si>
  <si>
    <t>+19174425092</t>
  </si>
  <si>
    <t>yuderka rodriguez</t>
  </si>
  <si>
    <t>yuderka69@icloud.com</t>
  </si>
  <si>
    <t>+13474425092</t>
  </si>
  <si>
    <t>Avril.</t>
  </si>
  <si>
    <t>Mejia</t>
  </si>
  <si>
    <t>2023_avrilmejiareyes@ihs-us.org</t>
  </si>
  <si>
    <t>3674 3rd Ave. #1A Bronx, NY 10456</t>
  </si>
  <si>
    <t>+16467159956</t>
  </si>
  <si>
    <t>Sabdi Reyes</t>
  </si>
  <si>
    <t>sabdireyes188@gmail.com</t>
  </si>
  <si>
    <t>646-715-9757; Melvin Mejia (Father) - 646-945-1821</t>
  </si>
  <si>
    <t>Israel</t>
  </si>
  <si>
    <t>israel.martinez.24@wheels-student.org</t>
  </si>
  <si>
    <t>HJ spoke with Israel on 12/16/2 WCI - bcc for now to Lehman for last two years; Hetal told him about Focus 2 as he decides what to do about pursuing a major in Biology. Would like to use STUDOR AI and be reconnected to Natalie Jane Miller; might come to Holiday Dinner 2024 Very engaged Alum, participates in all we ask him to and keeps good communication. PQ 10/26 Cashed Awarded $75 check on Aug 28, 2023 Rising Leader - Attended and participate at the summit - Soiree as speaker. Received his check that night 8/16 for $75 -- PQ About Intern: The X Intern's family is from the Dominican Republic, but he was born in America. He speaks English and Spanish. This is his second year in the program. The careers that he is interested in are, &amp;#34;Veterinary practices, vet, Conservation officer, Engineer, Lab worker.&amp;#34; Ambassador Responses: 11 In 250 ? 500 words, describe three traits which make you a leader and a strong student. Good leaders like myself possess self-awareness, garner credibility, focus on relationship-building, have a bias for action, exhibit humility, empower others, stay authentic, present themselves as constant and consistent, become role models and are fully present. 12 In 100 ? 250 words, how can SPEAKHIRE help you you boost your own academic profile? By exposing me two more academic elements like college preparedness 13 In 100 ? 250 words, what opportunities do young people who are immigrant and first-generation American currently have to gain awareness of career opportunities? Foreigners are attracted to the United States by certain perks that it holds. These perks allow them to immigrate into the U.S to search for a better life. In foreign countries, they might not provide the resources for certain people who want to pursue a career of entrepreneurship, so they?ll look at America to see that anybody; no matter their appearance, can pursue their dream of becoming a business owner. 14 In 250 ? 500 words, why you would succeed as a SPEAKHIRE for your grade at your school. If you do not meet all the requirements, explain why we should consider you for the position. I would succeed because I am always sure to pay attention and ask questions and I learned to never give up when things get tough and to learn from mistakes I?ve made. 15 List the classes you will be taking the upcoming school year and any other activities which will keep you occupied. Please explain to us how many hours a week you will dedicate towards SPEAKHIRE and what your schedule will look like. I?m willing to dedicate two hours to speak higher and some of the classes I like the most are chemistry ELA and math 16 Outline your main responsibilities as a SPEAKHIRE Ambassador: To support and engage my fellow classmates and to help them wherever and whenever they have a question</t>
  </si>
  <si>
    <t>544 west 147th street Apt 3D New York NY 10031</t>
  </si>
  <si>
    <t>+16464160073</t>
  </si>
  <si>
    <t>Griselda Ramirez</t>
  </si>
  <si>
    <t>gramirez0183@gmail.com</t>
  </si>
  <si>
    <t>+13472773470</t>
  </si>
  <si>
    <t xml:space="preserve">Bronx Community College for the first two years than will transfer to Lehman </t>
  </si>
  <si>
    <t>Nicole</t>
  </si>
  <si>
    <t>Molano</t>
  </si>
  <si>
    <t>nicolemolano@claremontihs.org</t>
  </si>
  <si>
    <t>54W 174St Bronx, NY, 10453</t>
  </si>
  <si>
    <t>+19293321752</t>
  </si>
  <si>
    <t>Erick Molano</t>
  </si>
  <si>
    <t>erickmolano7@gmail.com</t>
  </si>
  <si>
    <t>+13473605533</t>
  </si>
  <si>
    <t>kimberly.paulino.24@wheels-student.org</t>
  </si>
  <si>
    <t>About Intern: The x Intern was born in the United States but her family is from the Dominican Republic. She speaks English and Spanish. This is her first year and round in the program. She wrote, &amp;#34;I am interested in the medical field but i'm not quite sure yet which department I want to work in. However I am hoping to learn more about this career and gain more knowledge that will help me decide which medical department I want to pursue.&amp;#34; Other jobs she listed were, &amp;#34;Homicide detective, forensic science.&amp;#34;</t>
  </si>
  <si>
    <t>550 west 180th st apt 2E</t>
  </si>
  <si>
    <t>+19295308314</t>
  </si>
  <si>
    <t>Mildred Castellanos</t>
  </si>
  <si>
    <t>mildredcastellanos1628@gmail.com</t>
  </si>
  <si>
    <t>+16463630248</t>
  </si>
  <si>
    <t>Got accepted marcy college</t>
  </si>
  <si>
    <t>Samuel</t>
  </si>
  <si>
    <t>Samuel registered for the 2025 SUMMIT and has an updated email address: samueltavarez74@gmail.com THIS IS HIS OLD EMAIL ADDRESS: Email: samuel032706@gmail.com Phone #: &amp;#43;16463387513</t>
  </si>
  <si>
    <t>559 west 158 street</t>
  </si>
  <si>
    <t>+16463387513</t>
  </si>
  <si>
    <t>Gregorio Luperon High School NY</t>
  </si>
  <si>
    <t>Pedro Tavarez Reinoso</t>
  </si>
  <si>
    <t>samuel032706@gmail.com</t>
  </si>
  <si>
    <t>212-927-9470</t>
  </si>
  <si>
    <t>Rashel</t>
  </si>
  <si>
    <t>Cabreja</t>
  </si>
  <si>
    <t>rashel.cabreja.24@wheels-student.org</t>
  </si>
  <si>
    <t>About Intern: The x Intern was born in America but her family is from the Dominican Republic. She speaks English and Spanish. This is her first year and round in the program. Some of the jobs she is interested in are, &amp;#34;health &amp;amp; criminology.&amp;#34;</t>
  </si>
  <si>
    <t>562 West 186th street</t>
  </si>
  <si>
    <t>+13476667025</t>
  </si>
  <si>
    <t>Alexa Cabreja</t>
  </si>
  <si>
    <t>cabrejaalexa77@gmail.com</t>
  </si>
  <si>
    <t>+12129287398</t>
  </si>
  <si>
    <t>Escalante</t>
  </si>
  <si>
    <t>aaliyah.escalante.24@wheels-student.org</t>
  </si>
  <si>
    <t>About Intern: The third Intern's family is from the Dominican Republic but she was born in the U.S. She speaks English and Spanish. This is her first year and round in the program. The jobs that she is interested in are, &amp;#34;Lawyer, medical, Cosmetology, photography, and Fashion.&amp;#34;</t>
  </si>
  <si>
    <t>573w 192st apt 4D new york ny 10040</t>
  </si>
  <si>
    <t>+13479046251</t>
  </si>
  <si>
    <t>Jasmine Perez</t>
  </si>
  <si>
    <t>Jasmineperez1381@gmail.com</t>
  </si>
  <si>
    <t>+16469532497</t>
  </si>
  <si>
    <t>Lehman College</t>
  </si>
  <si>
    <t>Yisneiri</t>
  </si>
  <si>
    <t>yisneiri.rojas.24@wheels-student.org</t>
  </si>
  <si>
    <t>About Intern: The x Intern came from the Dominican Republic to America when she was 16. She speaks English and Spanish. This is her first year and round in the program. The jobs that she is interested in include, &amp;#34;Lawyer, social work, doctor/nurse.&amp;#34;</t>
  </si>
  <si>
    <t>592 west 178 st apt 56 new york 10033</t>
  </si>
  <si>
    <t>+16463417412</t>
  </si>
  <si>
    <t>Grismairy Montan</t>
  </si>
  <si>
    <t>grismairy@gmail.com</t>
  </si>
  <si>
    <t>+19144370276</t>
  </si>
  <si>
    <t>srodriguez122906@gmail.com</t>
  </si>
  <si>
    <t>About Intern: The x Intern was born in the United States, but his family is from the Dominican Republic. He speaks English and Spanish. This is his second year in the program. The jobs he listed that he is interested in are, &amp;#34;Engineering, Computer Science, Computer Engineer, Software Developer, Civil Engineering, Chemical Engineering.&amp;#34; School Email: samuel.rodriguez.24@wheels-student.org Ambassador Responses: 11 In 250 ? 500 words, describe three traits which make you a leader and a strong student. The three traits which make me a leader and a strong student is I am responsible, I am hardworking and I am curious. Being responsible makes me a leader because I can be counted on to get things done, and I know how to manage my time and resources. Being hardworking makes me a strong student and a leader because I like getting work done, and I don't give up easily. I try to find my way around things when tasks get challenging. Being curious helps with my leadership and being a good student because I always want to learn more. I am open to learning more and I approach everything with a open mindset. 12 In 100 ? 250 words, how can SPEAKHIRE help you you boost your own academic profile? SPEAKHIRE has helped me boost my academic profile because the program has given me different insights on different careers since I have been matched with more than one champion already. At school I think about the advice my champions have given me on how to navigate through highschool smoothly. For example completing my work on time to prevent falling behind, etc. 13 In 100 ? 250 words, what opportunities do young people who are immigrant and first-generation American currently have to gain awareness of career opportunities? A first-generation American and immigrant can get opportunities from school to gain awareness of career opportunities. For example, I am not an immigrant but I am a first-generation American and I received the Speakhire opportunity from my school. Also in my community, I have seen flyers giving resources to gain awareness of career opportunities. 14 In 250 ? 500 words, why you would succeed as a SPEAKHIRE for your grade at your school. If you do not meet all the requirements, explain why we should consider you for the position. I would succeed as a SPEAKHIRE because I like to help others as it makes me feel better myself. I also like talking to the champions and asking questions so I can learn more about the next steps that I am about to take in my life. If I do not meet the requirements I should be considered for the position because I have done speakhire before and I don't mind helping my school community learn about the program and how good it can be for future planning. 15 List the classes you will be taking the upcoming school year and any other activities which will keep you occupied. Please explain to us how many hours a week you will dedicate towards SPEAKHIRE and what your schedule will look like. I work on speaking on Thursdays in school from 10:18 to 11:09. Outside of school I take college courses like foundational speech and I have a job at an auto repair shop. 16 Outline your main responsibilities as a SPEAKHIRE Ambassador: To help everyone around me gain as much information from the program as possible.</t>
  </si>
  <si>
    <t>598 W 177 ST APT 61 New York New York 10033</t>
  </si>
  <si>
    <t>+16469567823</t>
  </si>
  <si>
    <t>Ana Lorenzo</t>
  </si>
  <si>
    <t>samuelkelsei@gmail.com</t>
  </si>
  <si>
    <t>+16466339394</t>
  </si>
  <si>
    <t>luis.grullon.24@wheels-student.org</t>
  </si>
  <si>
    <t>Luis Grullon:  Luis moved to America from the  Dominican Republic  when he was 4 years old. He is interested in a career in STEM or journalism / media. Luis describes himself as a hard worker and respectful. For college, Luis is looking into  MIT .  Luis, we matched you based on your interest in journalism / media. About Intern: The X Intern moved to America from the Dominican Republic when he was 4 years old. He speaks English and Spanish. This is his first year and round in the program. The careers that he is looking at are, &amp;#34;Enigeer or writer.&amp;#34;</t>
  </si>
  <si>
    <t>619 west 175 st, New York, NY,10033</t>
  </si>
  <si>
    <t>+19178531090</t>
  </si>
  <si>
    <t>Martha duran Grullon and Emmanuel Grullon</t>
  </si>
  <si>
    <t>dileniagrullon27@gmail.com</t>
  </si>
  <si>
    <t>+13479180061</t>
  </si>
  <si>
    <t>Elaine</t>
  </si>
  <si>
    <t>Felipe</t>
  </si>
  <si>
    <t>elaine.olivares@ichsbronx.org</t>
  </si>
  <si>
    <t>644 wales avenue #20</t>
  </si>
  <si>
    <t>+13478250869</t>
  </si>
  <si>
    <t>Elizabeth Olivares Rosario</t>
  </si>
  <si>
    <t>chrystall</t>
  </si>
  <si>
    <t>rivas</t>
  </si>
  <si>
    <t>chrystallrubi@gmail.com</t>
  </si>
  <si>
    <t>6715 dartmouth street Flushing</t>
  </si>
  <si>
    <t>+16469197084</t>
  </si>
  <si>
    <t>Oneyda Cuesta</t>
  </si>
  <si>
    <t>Lisvany</t>
  </si>
  <si>
    <t>lisvanyguzman@claremontihs.org</t>
  </si>
  <si>
    <t>- Hetal updated her email to her school email per request from the Support Liaison, Magda (2/8/22) Email: lisvanygs0523@gmail.com Phone Number: &amp;#43;19176032144</t>
  </si>
  <si>
    <t>700 morris av 10451 bronx, New York</t>
  </si>
  <si>
    <t>marilisa sanchez</t>
  </si>
  <si>
    <t>marilisasdv@gmail.com</t>
  </si>
  <si>
    <t>+19173326886</t>
  </si>
  <si>
    <t>brayan</t>
  </si>
  <si>
    <t>mendez</t>
  </si>
  <si>
    <t>2023_brayanmendez@ihs-us.org</t>
  </si>
  <si>
    <t>1652 popham</t>
  </si>
  <si>
    <t>+19174427510</t>
  </si>
  <si>
    <t>heidy</t>
  </si>
  <si>
    <t>Wildainy</t>
  </si>
  <si>
    <t>2023_wildainymartinez@ihs-us.org</t>
  </si>
  <si>
    <t>711 E 11th ST APT 5A, New York NY 10009</t>
  </si>
  <si>
    <t>+19174050711</t>
  </si>
  <si>
    <t>wildypf@gmail.com</t>
  </si>
  <si>
    <t>+17184502943</t>
  </si>
  <si>
    <t>Lhianna</t>
  </si>
  <si>
    <t>Capell</t>
  </si>
  <si>
    <t>lhianna.capell.24@wheels-student.org</t>
  </si>
  <si>
    <t>About Intern: The x Intern was born in America, but her family is from the Dominican Republic. She speaks English and Spanish. This is her first year and round in the program. The jobs that she listed that she is interested in are, &amp;#34;Psychology, Arts, Drama, Medical Field.&amp;#34; Ambassador Responses: 11 In 250 ? 500 words, describe three traits which make you a leader and a strong student. My name is Lhianna Capell. Three traits that make me who I am and an effective leader are competence, determination, and integrity. To make an efficient and capable leader, the leader must be competent and able to take on responsibilities and work. Competence is the capacity to do something successfully. This is important because competence demonstrates how a leader is able to set aside time to become a victorious person. These people do whatever is possible to reach their goals. Second of all, a competent leader is someone who exhibits determination. Determination is the willpower to complete any task at hand to the very end. This trait is crucial to a leader because aids them with their competence. Lastly, a leader always conveys their integrity with what they do. Integrity is the ability to stay true to oneself and honest with others. Leaders must be integral because honesty is important for a good character and one who will have others look up to them. Furthermore, I believe I display these leadership traits because I am a responsible student with excelling grades in my classes. I take the initiative to take college courses to better my knowledge and participate in extracurricular activities to help me think about my future. Strong students take the initiative to better their education. Though extracurricular activities are optional, strong students take those opportunities to further their knowledge and skills to their very best. Strong students are leaders because of their competency, honesty and integrity, and determination. Without determination, most would not have good character, therefore not making strong students or leaders. 12 In 100 ? 250 words, how can SPEAKHIRE help you you boost your own academic profile? SPEAKHIRE will help me boost my own academic profile because the program allows one to assuredly begin to think about their future and learn from people in their dream professions. Not only is one able to become more aware of their own developing skills as a leader in their academic life, but I?m also able to be a open-minded individual and learn more things for myself. With SPEAKHIRE I am able to advance my communication skills because it is up to me to advocate for myself and ask my champion about career pathways. These are all valuable skills for future jobs, internships, and endeavors and to be able to learn that for free is a very valuable thing. 13 In 100 ? 250 words, what opportunities do young people who are immigrant and first-generation American currently have to gain awareness of career opportunities? Though in my community, there is a lack of opportunities for people in my community to be exposed to career options, the selection of majors in colleges are expanding. In WHEELS last year we had a career day. In the community WHEELS is located in, my community of Washington Heights, a lot of low-income immigrant families live. This career day, made by Futures Ignite, made me familiar with a spectrum of different career paths one would take. Opportunities like these help young people coming from immigrant families realize they can become someone greater than themselves. In other families, there is a chain of either doctor's, lawyers or other professions, but immigrant families' youth do not have resources from their families so events like Career day help a lot. 14 In 250 ? 500 words, why you would succeed as a SPEAKHIRE for your grade at your school. If you do not meet all the requirements, explain why we should consider you for the position. I believe I would succeed as a SPEAKHIRE Ambassador for my grade at my school because I am willing to become someone others can rely on. Not only by participating in my own sessions with my champions but I will also be able to help those who are in my foundational year and that is someone I aspire to be. I am excited to mentor my fellow colleagues to further their knowledge of their desired career paths. I am also excited to be able to advance my communication skills by sending things like reminders to my peers. Secondly, I am eager to improve my management skills and learn from my leader's curriculum. Management is a crucial skill to have when I am older and doing my own work and with management, I am able to become a better leader for my peers. By being a SPEAKHIRE Ambassador I am able to connect with my peers in a professional setting which I am not able to do so regularly. This activity will help me in the future when I have co-workers and bosses. Furthermore, due to SPEAKHIRE?s goal ?Developing the social and cultural capital of diverse young people to become leaders in the workforce,? I am confident that I will be able to lead and support my peers through this foundational year. I will be eager to participate in and analyze the information given to me in my leadership curriculum which will help me learn and practice leadership skills and abilities. I am excited to become someone others can rely on and I am able to communicate better as a whole in this role. 15 List the classes you will be taking the upcoming school year and any other activities which will keep you occupied. Please explain to us how many hours a week you will dedicate towards SPEAKHIRE and what your schedule will look like. Though I am not aware of what I will be doing next school year in the 12th grade, this school year I am in multiple programs. Currently, I am in Work Based Learning (WBL) which has similar goals as SPEAKHIRE. It ends around next year, 2023 in January. Every Thursday after school I have to work from 4-6 pm. On Mondays, I have NHS meetings after school. On Tuesdays, I have therapy after school, and Wednesdays I have art club, but that can be changed. On Fridays, I have the 3rd hour of my WBL job and then I am free around 3:00. My schedule fluctuates and is not set in stone, therefore I can definitely switch up some things to be able to meet up with my Champions! 16 Outline your main responsibilities as a SPEAKHIRE Ambassador: As a SPEAKHIRE Ambassador, I am expected to lead and to support my peers through this foundational year. I will be expected to participate in and analyze the information given to me in my leadership curriculum which will help me learn and practice leadership skills and abilities. Also as an ambassador, I will be responsibly reaching out to fellow interns to remind them of upcoming sessions, either by email, phone, or text. I will keep track of all my communications and will be responsible for reaching the interns and making sure they attend their Internship sessions.</t>
  </si>
  <si>
    <t>711 W 180th St apt. 34, New York, NY 10033</t>
  </si>
  <si>
    <t>+16469611659</t>
  </si>
  <si>
    <t>Luisa Pina</t>
  </si>
  <si>
    <t>ginnypina@hotmail.com</t>
  </si>
  <si>
    <t>+16463556805</t>
  </si>
  <si>
    <t>Abner</t>
  </si>
  <si>
    <t>abnerking22@icloud.com</t>
  </si>
  <si>
    <t>Hetal marked as inactive after speaking with Rosmery about lack of attendance (1/15/22) </t>
  </si>
  <si>
    <t>94-25</t>
  </si>
  <si>
    <t>+16462663296</t>
  </si>
  <si>
    <t>Yeuri</t>
  </si>
  <si>
    <t>iven</t>
  </si>
  <si>
    <t>yeuri.iven@ichsbronx.org</t>
  </si>
  <si>
    <t>725 fox st ap 3f</t>
  </si>
  <si>
    <t>+16468183800</t>
  </si>
  <si>
    <t>Hugo Iven</t>
  </si>
  <si>
    <t>theclashdiego14@gmail.com</t>
  </si>
  <si>
    <t>728 EAST 187 STREET 4, BRONX, NY 10458</t>
  </si>
  <si>
    <t>+19292303763</t>
  </si>
  <si>
    <t>TAURY LORA</t>
  </si>
  <si>
    <t>Wilenie</t>
  </si>
  <si>
    <t>De Jesus Lancer</t>
  </si>
  <si>
    <t>wilenied5001@gmail.com</t>
  </si>
  <si>
    <t>About Intern: The X Intern is from the Dominican Republic and moved to America when she was 2 years old. She speaks English and Spanish. This is her first year and round in the program. She put &amp;#34;Law, Business, and art,&amp;#34; as fields she is looking into.</t>
  </si>
  <si>
    <t>75 Wasworth Terrace New York NY 10040</t>
  </si>
  <si>
    <t>+19174858597</t>
  </si>
  <si>
    <t>Marianela Lancer</t>
  </si>
  <si>
    <t>mnela190@hotmail.com</t>
  </si>
  <si>
    <t>+13473552459</t>
  </si>
  <si>
    <t>Almanzar</t>
  </si>
  <si>
    <t>ana.almanzar@ichsbronx.org</t>
  </si>
  <si>
    <t>6/16/22 SB updated language to be somewhat comfortable from not comfortable</t>
  </si>
  <si>
    <t>812 E 168st, zip code 10459</t>
  </si>
  <si>
    <t>+16467308832</t>
  </si>
  <si>
    <t>Yessenia Almanzar</t>
  </si>
  <si>
    <t>+16467301700</t>
  </si>
  <si>
    <t>Leudis</t>
  </si>
  <si>
    <t>leudis.rosario.24@wheels-student.org</t>
  </si>
  <si>
    <t>About Intern: The second Intern moved to the United States from the Dominican Republic when he was 9 years old. He speaks English and Spanish. This is his first year and round in the program. The jobs that he listed that he is interested in are, &amp;#34;Computer science and Engineer, Cashier or stocker.&amp;#34; He also said she was interested in the service and hospitality field.</t>
  </si>
  <si>
    <t>819 W 180th, New York, NY, 10033</t>
  </si>
  <si>
    <t>+13476919819</t>
  </si>
  <si>
    <t>Yahaira Estrella</t>
  </si>
  <si>
    <t>yahairaestrella0979@gmail.com</t>
  </si>
  <si>
    <t>+16469441063</t>
  </si>
  <si>
    <t>Chima</t>
  </si>
  <si>
    <t>diana_sc06@icloud.com</t>
  </si>
  <si>
    <t>108  40-14 St Corona NY (11368)</t>
  </si>
  <si>
    <t>+19296206152</t>
  </si>
  <si>
    <t>Roció Suquilanda</t>
  </si>
  <si>
    <t>+19298289273</t>
  </si>
  <si>
    <t>Nadilka</t>
  </si>
  <si>
    <t>nadilkahernandez29@gmail.com</t>
  </si>
  <si>
    <t>84-09 35th avenue Jackson Height, 11372</t>
  </si>
  <si>
    <t>+13477712659</t>
  </si>
  <si>
    <t>Rosa Jorge</t>
  </si>
  <si>
    <t>rosanelisjorge@gmail.com</t>
  </si>
  <si>
    <t>+13477619817</t>
  </si>
  <si>
    <t>Guaman</t>
  </si>
  <si>
    <t>c.karen2021@flushinginternational.org</t>
  </si>
  <si>
    <t>14710 41ST AVE Flushing</t>
  </si>
  <si>
    <t>+19293202235</t>
  </si>
  <si>
    <t>Zoila Cela</t>
  </si>
  <si>
    <t>jasonjjw2006@gmail.com</t>
  </si>
  <si>
    <t>About Intern: The X Intern's family is from the Dominican Republic, but he was born in the U.S. He speaks English and Spanish. This is his first year and round in the program. The jobs he listed that he is interested in are, &amp;#34;Law enforcement, Real Estate.&amp;#34;</t>
  </si>
  <si>
    <t>86 Fort Washington ave apt 3k New York 10032</t>
  </si>
  <si>
    <t>+16469328457</t>
  </si>
  <si>
    <t>Wendy Hernandez</t>
  </si>
  <si>
    <t>Jazlyn</t>
  </si>
  <si>
    <t>Feliciano Hidalgo</t>
  </si>
  <si>
    <t>jazlynf21@nycstudents.net</t>
  </si>
  <si>
    <t>88-26 211 street Queens Village 11427</t>
  </si>
  <si>
    <t>+19294859924</t>
  </si>
  <si>
    <t>Juliana Isabel Taveras</t>
  </si>
  <si>
    <t>Valery Stephanie</t>
  </si>
  <si>
    <t>Ozuna taveras</t>
  </si>
  <si>
    <t>valerystephanieo@nycstudents.net</t>
  </si>
  <si>
    <t>Dina</t>
  </si>
  <si>
    <t>Lagua</t>
  </si>
  <si>
    <t>dinalagua6@gmail.com</t>
  </si>
  <si>
    <t>17-18 menahan st ridgewood NY 11385 Estados Unidos</t>
  </si>
  <si>
    <t>+13479827881</t>
  </si>
  <si>
    <t>Victor Lagua</t>
  </si>
  <si>
    <t>vlagua677@gmail.com</t>
  </si>
  <si>
    <t>+13479826641</t>
  </si>
  <si>
    <t>Cosquillo</t>
  </si>
  <si>
    <t>2023_emilycosquillo@ihs-us.org</t>
  </si>
  <si>
    <t>237 Stockholm St Brooklyn, NY 11237</t>
  </si>
  <si>
    <t>+19293268746</t>
  </si>
  <si>
    <t>Maria Malico Poaquiza Poaquiza</t>
  </si>
  <si>
    <t>Jhojanly</t>
  </si>
  <si>
    <t>jhojanlymendez@claremontihs.org</t>
  </si>
  <si>
    <t>890 Elsmere pl 1b bronx NY</t>
  </si>
  <si>
    <t>+19292897530</t>
  </si>
  <si>
    <t>yajaira</t>
  </si>
  <si>
    <t>Aura</t>
  </si>
  <si>
    <t>2023_auracaraballo@ihs-us.org</t>
  </si>
  <si>
    <t>9005 52ND ave Elmhurst, NY 11373-4003</t>
  </si>
  <si>
    <t>+19293833109</t>
  </si>
  <si>
    <t>Ramon Caraballo</t>
  </si>
  <si>
    <t>jimenezwilly@gmail.com</t>
  </si>
  <si>
    <t>+19292709418</t>
  </si>
  <si>
    <t>Calderon</t>
  </si>
  <si>
    <t>francis2019@flushinginternational.org</t>
  </si>
  <si>
    <t>25 - 29 College  Apt 1 Point Blvd , 11354</t>
  </si>
  <si>
    <t>+13477710470</t>
  </si>
  <si>
    <t>Jairo Calderon</t>
  </si>
  <si>
    <t>puntodigital@gmail.com</t>
  </si>
  <si>
    <t>+13477619187</t>
  </si>
  <si>
    <t>Skirlie</t>
  </si>
  <si>
    <t>skirlie.delacruz@ichsbronx.org</t>
  </si>
  <si>
    <t>About Intern: The X Intern moved from the Dominican Republic to the United States when she was 15 years old. She speaks English and Spanish. This is her first year and second round in the program. The jobs she listed that she is interested in are, &amp;#34;Law, Criminology, agriculture.&amp;#34;</t>
  </si>
  <si>
    <t>955 Sheridan Ave</t>
  </si>
  <si>
    <t>+18382078962</t>
  </si>
  <si>
    <t>Henry Lora</t>
  </si>
  <si>
    <t>Varonil189@gmail.com</t>
  </si>
  <si>
    <t>+19173481761</t>
  </si>
  <si>
    <t>Everyday I like more this program!</t>
  </si>
  <si>
    <t>jpablogc09@gmail.com</t>
  </si>
  <si>
    <t>Too many scheduling conflicts could not make round happen SB 2/15/22</t>
  </si>
  <si>
    <t>25-12 125st Flushing 11354</t>
  </si>
  <si>
    <t>+19294075227</t>
  </si>
  <si>
    <t>Luis Guaman</t>
  </si>
  <si>
    <t>betoen02@hotmail.com</t>
  </si>
  <si>
    <t>+17579492603</t>
  </si>
  <si>
    <t>Darwin</t>
  </si>
  <si>
    <t>Jumelles Vicente</t>
  </si>
  <si>
    <t>darwinj13@nycstudents.net</t>
  </si>
  <si>
    <t>97-20-57 AV corona, New York 11368</t>
  </si>
  <si>
    <t>+13476563353</t>
  </si>
  <si>
    <t xml:space="preserve">"I participated because I like art and I wanted to enter the arts creative cohort to learn more about leaders in the art community. What I liked most was that I got to socialize with people that I've never met before and I got better at managing time when doing group work. I learned that even photography can be art and that Canon is a company that promotes that. Our facilitator was also very good at keeping our group in order and organized. I learned how to help people feel empowered and how to be a leader and do the right thing. I might want to be an artistic photographer in the future after this program."
</t>
  </si>
  <si>
    <t>Welvis Jumelles</t>
  </si>
  <si>
    <t>Julio</t>
  </si>
  <si>
    <t>Illicachi</t>
  </si>
  <si>
    <t>g.julio2020@flushinginternational.org</t>
  </si>
  <si>
    <t>27-43 Butler Street</t>
  </si>
  <si>
    <t>+13479339227</t>
  </si>
  <si>
    <t>Vilma Guaman</t>
  </si>
  <si>
    <t>Jayrenk</t>
  </si>
  <si>
    <t>jayrenkramos@crotonaihs.org</t>
  </si>
  <si>
    <t>983 East 181 Street, Apt 2C, Bronx, NY 10460</t>
  </si>
  <si>
    <t>+13472303625</t>
  </si>
  <si>
    <t>Johanny Del Carmen Garcia Ramos</t>
  </si>
  <si>
    <t>Dolly</t>
  </si>
  <si>
    <t>dollygrullon8@gmail.com</t>
  </si>
  <si>
    <t>+19294026058</t>
  </si>
  <si>
    <t>Gina</t>
  </si>
  <si>
    <t>daniel.ramirez.24@wheels-student.org</t>
  </si>
  <si>
    <t>About Intern: The x Intern was born in America, but his family is from the Dominican Republic. He speaks English and Spanish. This is his first year and round in the program. The jobs he listed that he is interested in are, &amp;#34;Computer Science, Business, Networking.&amp;#34; email:  daniel.ramirez.24@wheels-student.org phone number: &amp;#43;13472172718</t>
  </si>
  <si>
    <t>Maria Cabral</t>
  </si>
  <si>
    <t>danielx930@gmail.com</t>
  </si>
  <si>
    <t>+16462458218</t>
  </si>
  <si>
    <t>karen</t>
  </si>
  <si>
    <t>grullon</t>
  </si>
  <si>
    <t>karen.grullon@ichsbronx.org</t>
  </si>
  <si>
    <t>Bronx, 156st GRand Concourse</t>
  </si>
  <si>
    <t>+19178701030</t>
  </si>
  <si>
    <t>Jose Grullon</t>
  </si>
  <si>
    <t>carlos.vasquez.24@wheels-student.org</t>
  </si>
  <si>
    <t>I live in New York and my address is 555 w 184 st</t>
  </si>
  <si>
    <t>+16462387869</t>
  </si>
  <si>
    <t>My moms last name is Garcia and my dads last name is Concepcion</t>
  </si>
  <si>
    <t>Wilman</t>
  </si>
  <si>
    <t>wilmanreyes@crotonaihs.org</t>
  </si>
  <si>
    <t>Bio -  Wilman Reyes: Wilman moved to America from the Dominican Republic when he was 14 years old. He is interested in the arts / creative field. Wilman describes himself as cheerful, determined, and applied. The colleges that he is looking into are, ?Escuela de Artes Visuales de Nueva York,Columbia University School of the Arts,UMBC College of Arts, Humanities and Social Sciences.? Wilman, we matched you based on About - The X Intern moved to America from the Dominican Republic when he was 14 years old. He speaks English and Spanish. This is his first year and round in the program. The jobs that he is interested in are, ?stop motion, digital animation, and illustration.?</t>
  </si>
  <si>
    <t>Manhattan, 718 W 178th St, 10033 NY</t>
  </si>
  <si>
    <t>+13476927351</t>
  </si>
  <si>
    <t>William Reyes</t>
  </si>
  <si>
    <t>reyeswilman77@gmail.com</t>
  </si>
  <si>
    <t>+13478912353</t>
  </si>
  <si>
    <t>Bebehonem</t>
  </si>
  <si>
    <t>Robertina</t>
  </si>
  <si>
    <t>Uzbekistan</t>
  </si>
  <si>
    <t>2023_robertinabebehonem@ihs-us.org</t>
  </si>
  <si>
    <t>29 East 2nd 2 Street 5I</t>
  </si>
  <si>
    <t>+19295846532</t>
  </si>
  <si>
    <t>Loreto Robertino</t>
  </si>
  <si>
    <t>Infante</t>
  </si>
  <si>
    <t>wilson.infante.24@wheels-student.org</t>
  </si>
  <si>
    <t>About Interns: The X Intern was born in America, but his family is from the Dominican Republic. He speaks English and Spanish. This is his first year and round in the program. The jobs he listed that he is interested in are, &amp;#34;Civil engineering, business management, criminal justice.&amp;#34;</t>
  </si>
  <si>
    <t>+12036177361</t>
  </si>
  <si>
    <t>Diahanna</t>
  </si>
  <si>
    <t>diahannareyes@gmail.com</t>
  </si>
  <si>
    <t>+14752797325</t>
  </si>
  <si>
    <t>Dalissa</t>
  </si>
  <si>
    <t>dalissacabrera@claremontihs.org</t>
  </si>
  <si>
    <t>Dalissa was missing 2 physical calendar sessions in the calendar app during FY20-22 IR2. Hetal added 2 as a count for her into the 2019 field (HJ, 6/3/2021)</t>
  </si>
  <si>
    <t>New York, Bronx 1895 grand concourse apartment 24 (10453)</t>
  </si>
  <si>
    <t>Miguel Cabrera</t>
  </si>
  <si>
    <t>Dalissacabrera05@Gmail.com</t>
  </si>
  <si>
    <t>Shiralyn Altagracia</t>
  </si>
  <si>
    <t>shiralynmarine@claremontihs.org</t>
  </si>
  <si>
    <t>Full name Shiralyn Altagracia Marine Torres</t>
  </si>
  <si>
    <t>NYC Bronx, Grand Concourse street 169 E 352</t>
  </si>
  <si>
    <t>+13478054442</t>
  </si>
  <si>
    <t>Jonathan Rafael Marine Tavarez</t>
  </si>
  <si>
    <t>m.mateo2020@flushinginternational.org</t>
  </si>
  <si>
    <t>32-28 30th Queens, New York 11106</t>
  </si>
  <si>
    <t>+19296161164</t>
  </si>
  <si>
    <t>Magaly Saavedra</t>
  </si>
  <si>
    <t>magalysaavedra2015@hotmail.com</t>
  </si>
  <si>
    <t>Arteaga</t>
  </si>
  <si>
    <t>bdstephanie3@gmail.com</t>
  </si>
  <si>
    <t>862-214-6972</t>
  </si>
  <si>
    <t>maura.amador@icloud.com</t>
  </si>
  <si>
    <t>973-392-7481; 973-392-4564</t>
  </si>
  <si>
    <t>jcastillo553769@gmail.com</t>
  </si>
  <si>
    <t>dogocastillo50@hotmail.com</t>
  </si>
  <si>
    <t>862-600-3361</t>
  </si>
  <si>
    <t>Irene</t>
  </si>
  <si>
    <t>irenea2204@gmail.com</t>
  </si>
  <si>
    <t xml:space="preserve">Gissel Solorzano </t>
  </si>
  <si>
    <t>gisseliliana1980@gmail.com</t>
  </si>
  <si>
    <t>Wladimir</t>
  </si>
  <si>
    <t>wladimir.veloz@ellisprep.com</t>
  </si>
  <si>
    <t>About Intern: The x Intern moved from the Dominican Republic to the United States when he was 17 years old. He speaks English and Spanish. This is his first round and year in the program. The jobs that he listed that he is interested in are, &amp;#34;Psychology, Nursing or Dentist.&amp;#34;  Email: wladimir.veloz@ellisprep.com Phone number: 3475833827</t>
  </si>
  <si>
    <t>231 West 230th apt c4G, NY 10463</t>
  </si>
  <si>
    <t xml:space="preserve">Wladimir </t>
  </si>
  <si>
    <t>Wladimir.veloz@gmail.com</t>
  </si>
  <si>
    <t>Ashmel</t>
  </si>
  <si>
    <t>martinezashmel@gmail.com</t>
  </si>
  <si>
    <t>Hetal called Ashmel on 2/5/24 to ask her about women in STEM recording with Susan Philipose -- she said yes; she is now pursuing Psychology. </t>
  </si>
  <si>
    <t>3288 Perry Avenue, Apt 1G, The Bronx, NY, 10467</t>
  </si>
  <si>
    <t>917-455-9596</t>
  </si>
  <si>
    <t xml:space="preserve">"I felt that the match was perfect for me because my Champion helped me develop myself more professionally and advised me in my current college application process. Excellent job and really helpful for immigrant kids who need help in preparation for college, work, and other areas. Thank you for your hard work."
</t>
  </si>
  <si>
    <t xml:space="preserve">Analia Gutierrez </t>
  </si>
  <si>
    <t>scorpiastar@gmail.com</t>
  </si>
  <si>
    <t>Mobile- (646)644-7298  and Home-(347)275-4351</t>
  </si>
  <si>
    <t>Hayes</t>
  </si>
  <si>
    <t>hayesmendez06@gmail.com</t>
  </si>
  <si>
    <t>About Intern: The x Intern was born in the US but his family is from Dominican Republic and Ecuador. This is his first year and round in the program. The jobs he listed that he is interested in include, &amp;#34;Visual Designer, Designer, Voice Actor, Artist, and a cartoonist.&amp;#34;</t>
  </si>
  <si>
    <t>629W 170St apt 4F New York, New York 10032</t>
  </si>
  <si>
    <t>+16467750508</t>
  </si>
  <si>
    <t>Nayroby German</t>
  </si>
  <si>
    <t>ngerman83@gmail.com</t>
  </si>
  <si>
    <t>+13476723673</t>
  </si>
  <si>
    <t>Rohan</t>
  </si>
  <si>
    <t>Basavaraj</t>
  </si>
  <si>
    <t>rohan.basavaraj.24@wheels-student.org</t>
  </si>
  <si>
    <t>About Intern: The X Intern was born in America, but his family is from the Dominican Republic and India. He speaks English and Spanish. This is his first year and round in the program. The jobs he listed that he is interested in are, &amp;#34;Real Estate agent, Financial advisor, Marketing.&amp;#34;</t>
  </si>
  <si>
    <t>511 west 182nd street, New York, NY 10033</t>
  </si>
  <si>
    <t>+19294187647</t>
  </si>
  <si>
    <t>Awilda Rodriguez</t>
  </si>
  <si>
    <t>bhaskarbasavaraj68@gmail.com</t>
  </si>
  <si>
    <t>+13473260065</t>
  </si>
  <si>
    <t>matthew.vargas.23@wheels-student.org</t>
  </si>
  <si>
    <t>10w 182nd st. bronx NY 10453</t>
  </si>
  <si>
    <t>+19293129869</t>
  </si>
  <si>
    <t>karina nunez</t>
  </si>
  <si>
    <t>mv2kops115311@gmail.com</t>
  </si>
  <si>
    <t>+13479516753</t>
  </si>
  <si>
    <t>ariel2019@flushinginternational.org</t>
  </si>
  <si>
    <t>Applied 10/7 and selected Architecture as Main career, applied again 10/29 and changed to Armed Services (KW) 10/7 selected English as not comfortable, changed to Somewhat Comfortable on 10/29 (KW)</t>
  </si>
  <si>
    <t>35 37-99 corona NY 11368</t>
  </si>
  <si>
    <t>+13477615167</t>
  </si>
  <si>
    <t>miryam farez</t>
  </si>
  <si>
    <t>arielguamangf14@gmail.com</t>
  </si>
  <si>
    <t>+19292687344</t>
  </si>
  <si>
    <t>Naomi</t>
  </si>
  <si>
    <t>naomi.nolasco@ichsbronx.org</t>
  </si>
  <si>
    <t>About: The x Intern was 15 when she moved to America from the Dominican Republic. She speaks Spanish and English. This is her first year and first round in the program. The jobs that she listed that she is interested in are, &amp;#34;Clinical psychologist, Therapist, Social worker, Interior designer, Professional dancer.&amp;#34; Email:  naomi.nolasco@ichsbronx.org Additional Email:  naominolasco317@gmail.com Phone #:  4255009014</t>
  </si>
  <si>
    <t>50 E 191 St 4N Bronx, New York 10468 United States</t>
  </si>
  <si>
    <t>Flor B. Montero</t>
  </si>
  <si>
    <t>Fb.monterob@gmail.com</t>
  </si>
  <si>
    <t>Kendri</t>
  </si>
  <si>
    <t>kendrilopezubereats@gmail.com</t>
  </si>
  <si>
    <t>110-33 207th St village Queens Queens, New York 11429 United States</t>
  </si>
  <si>
    <t>(929)366-6343</t>
  </si>
  <si>
    <t>Jonikarins611@gmail.com</t>
  </si>
  <si>
    <t>(929)682-6997</t>
  </si>
  <si>
    <t>Shiraylin</t>
  </si>
  <si>
    <t>Marine Torres</t>
  </si>
  <si>
    <t>352 E 169 street 10456</t>
  </si>
  <si>
    <t>+19295277724</t>
  </si>
  <si>
    <t>Jonathan Marine Tavarez</t>
  </si>
  <si>
    <t>Daylan</t>
  </si>
  <si>
    <t>Peralta</t>
  </si>
  <si>
    <t>daylan.peralta.24@wheels-student.org</t>
  </si>
  <si>
    <t>About Intern: the fourth Intern was born in the United States, but his family is from the Dominican Republic. He speaks English and Spanish. This is his first year and round in the program. The jobs that she is interested in are, &amp;#34;Nurse &amp;amp; radiology.&amp;#34;</t>
  </si>
  <si>
    <t>1074 walton ave</t>
  </si>
  <si>
    <t>+13322206769</t>
  </si>
  <si>
    <t>Minerva</t>
  </si>
  <si>
    <t>+16466450902</t>
  </si>
  <si>
    <t>luis6007@nycstudents.net</t>
  </si>
  <si>
    <t>2683 Morris ave bronx,Ny 10468</t>
  </si>
  <si>
    <t>+18494574297</t>
  </si>
  <si>
    <t>Luis Manuel Acevedo</t>
  </si>
  <si>
    <t>Schayna</t>
  </si>
  <si>
    <t>Ceballos</t>
  </si>
  <si>
    <t>schayna.ceballos.24@wheels-student.org</t>
  </si>
  <si>
    <t>About Interns: The x Intern's family is from the Dominican Republic, but she was born in the United States. She speaks English and Spanish. This is her first year and round in the program. Nursing is the job she is most interested in.</t>
  </si>
  <si>
    <t>510 west 190 street 10040</t>
  </si>
  <si>
    <t>+19174980947</t>
  </si>
  <si>
    <t>Altagracia</t>
  </si>
  <si>
    <t>schayna26@gmail.com</t>
  </si>
  <si>
    <t>+19174980366</t>
  </si>
  <si>
    <t>jeremy.rodriguez.24@wheels-student.org</t>
  </si>
  <si>
    <t>Jeremy Rodriguez:  Jeremy was born in America but his family came from the  Dominican Republic . He is interested in a career in business. Jeremy describes himself as intelligent. He is currently exploring options for colleges.  Jeremy, we matched you based on your interest in business and a shared language. About Intern: The x Intern was born in America but his family came from the Dominican Republic. He speaks English, Spanish, and Japanese. This is his first round and year in the program. He is still exploring what careers he might be interested in.</t>
  </si>
  <si>
    <t>559 w 188 street, Nyc, NY 10040</t>
  </si>
  <si>
    <t>+19176038878</t>
  </si>
  <si>
    <t>Elizabeth Rosado</t>
  </si>
  <si>
    <t>agramonte54@gmail.com</t>
  </si>
  <si>
    <t>+16469235351</t>
  </si>
  <si>
    <t>Sofia</t>
  </si>
  <si>
    <t>Ortega</t>
  </si>
  <si>
    <t>sofiao4505@nycstudents.net</t>
  </si>
  <si>
    <t>School Email: sofiao4505@nycstudents.net</t>
  </si>
  <si>
    <t>35-38-64</t>
  </si>
  <si>
    <t>Jackeline Crespo</t>
  </si>
  <si>
    <t>Jhon</t>
  </si>
  <si>
    <t>Fila</t>
  </si>
  <si>
    <t>jhonf15@nycstudents.net</t>
  </si>
  <si>
    <t>Hetal and Bryan had a meeting with Ariela Rothstein -- Ariela said his attendance with us is better than his attendance in school so Hetal is going to match him for IR3 to ensure he feels that support IR 3 (HJ, 4/1/22) HJ updated his email from this jhonfila343@gmail.com to his school email since personal was bouncing back 2/2/22</t>
  </si>
  <si>
    <t>37 26 101St 11368 Queens NYC</t>
  </si>
  <si>
    <t>+19294718042</t>
  </si>
  <si>
    <t>Maria Fila</t>
  </si>
  <si>
    <t>Filamaria1995@gmail.com</t>
  </si>
  <si>
    <t>+19294715642</t>
  </si>
  <si>
    <t>Runelvis</t>
  </si>
  <si>
    <t>Espejo</t>
  </si>
  <si>
    <t>runelvisespejo15@gmail.com</t>
  </si>
  <si>
    <t>BX 2366 webster</t>
  </si>
  <si>
    <t>+16466960745</t>
  </si>
  <si>
    <t>gabriellao52@nycstudents.net</t>
  </si>
  <si>
    <t>Reasoning N/A Business Idea N/A Social Problem grabage in the ground</t>
  </si>
  <si>
    <t>41-06 50st woodside, New York 11377 United States</t>
  </si>
  <si>
    <t>1(929)756-2446</t>
  </si>
  <si>
    <t>other</t>
  </si>
  <si>
    <t>Gabriellao52@nycstudents.net</t>
  </si>
  <si>
    <t>(929)756-2446</t>
  </si>
  <si>
    <t>Jordi</t>
  </si>
  <si>
    <t>Naula</t>
  </si>
  <si>
    <t>jordin6@nycstudents.net</t>
  </si>
  <si>
    <t>37-13-107 st</t>
  </si>
  <si>
    <t>+19293729019</t>
  </si>
  <si>
    <t>dad Eduardo  and  mom Olga</t>
  </si>
  <si>
    <t>Josselyn</t>
  </si>
  <si>
    <t>Choloquinga</t>
  </si>
  <si>
    <t>josselync14@nycstudents.net</t>
  </si>
  <si>
    <t>10018 39Ave</t>
  </si>
  <si>
    <t>+19344446800</t>
  </si>
  <si>
    <t>Fabiola Chanaluisa</t>
  </si>
  <si>
    <t>Azogue</t>
  </si>
  <si>
    <t>a.juan2020@flushinginternational.org</t>
  </si>
  <si>
    <t>40 50 Juntion Blvd. Corona</t>
  </si>
  <si>
    <t>+13478589754</t>
  </si>
  <si>
    <t>brittany.guaman@casa311.com</t>
  </si>
  <si>
    <t>104-20 37 Road corona NY 11368</t>
  </si>
  <si>
    <t>+19293872553</t>
  </si>
  <si>
    <t>Ruth Cardenas</t>
  </si>
  <si>
    <t>Cuzco Cualchi</t>
  </si>
  <si>
    <t>2025_erickcuzco@ihs-us.org</t>
  </si>
  <si>
    <t>The X Intern moved to the U.S. from Ecuador when he was 15 years old. He speaks English and Spanish. He is interested in health sciences, STEM, and social sciences/psychology. Attended Google: Code Next on Feb 21, 2024 - Has a Speakhire shirt Additional Email -  erick.cuzco123@gmail.com</t>
  </si>
  <si>
    <t>104-44 89th AV Queens, New York 11418 United States</t>
  </si>
  <si>
    <t>+13476842730</t>
  </si>
  <si>
    <t xml:space="preserve">“I chose SPEAKHIRE because I was attracted by the opportunity to have connections with people in the field I am interested in. During the 9 sessions for Foundational Year, my champion provided a great amount of information, always looked for our interests and questions, and gave us the best advice. I really enjoyed my matches because I was able to learn something new from each session, and the information we received is very useful to continue learning in the future. It was a great opportunity to learn more about my interests and it gave me more confidence in what I would like to do when I finish high school. ”
</t>
  </si>
  <si>
    <t>anytarakel25@hotmail.com</t>
  </si>
  <si>
    <t>Braulio</t>
  </si>
  <si>
    <t>2024_brauliogutierrez@ihs-us.org</t>
  </si>
  <si>
    <t>535 Jackson Ave</t>
  </si>
  <si>
    <t>+16463537562</t>
  </si>
  <si>
    <t>Saulo Gutierrez</t>
  </si>
  <si>
    <t>Alessandro</t>
  </si>
  <si>
    <t>alessguzman0@gmail.com</t>
  </si>
  <si>
    <t>106-19 Otis avenue, Corona NY, 11368</t>
  </si>
  <si>
    <t>+19295149626</t>
  </si>
  <si>
    <t>Katiuska Guzman</t>
  </si>
  <si>
    <t>katira.k@live.com</t>
  </si>
  <si>
    <t>+19293965052</t>
  </si>
  <si>
    <t>Dutan</t>
  </si>
  <si>
    <t>michaeldutan78@gmail.com</t>
  </si>
  <si>
    <t>108 36 53RD AVE Corona 11358</t>
  </si>
  <si>
    <t>+13472875314</t>
  </si>
  <si>
    <t>Elvis Dutan</t>
  </si>
  <si>
    <t>Freddy</t>
  </si>
  <si>
    <t>Cajilema</t>
  </si>
  <si>
    <t>freddyc8369@nycstudents.net</t>
  </si>
  <si>
    <t>School Email: freddyc8369@nycstudents.net</t>
  </si>
  <si>
    <t>108- 50- 43</t>
  </si>
  <si>
    <t>Ramiro Cajilema</t>
  </si>
  <si>
    <t>Alava</t>
  </si>
  <si>
    <t>a.danna2021@flushinginternational.org</t>
  </si>
  <si>
    <t>46-11 67th St</t>
  </si>
  <si>
    <t>+12407967987</t>
  </si>
  <si>
    <t>Andrea Bermello</t>
  </si>
  <si>
    <t>Johana</t>
  </si>
  <si>
    <t>Tuapanta</t>
  </si>
  <si>
    <t>johanat12@nycstudents.net</t>
  </si>
  <si>
    <t>School email: johanat12@nycstudents.net</t>
  </si>
  <si>
    <t>108-23-42nd Avenue, Queens NY</t>
  </si>
  <si>
    <t>Susana Toapanta</t>
  </si>
  <si>
    <t>Xiomara</t>
  </si>
  <si>
    <t>Larco</t>
  </si>
  <si>
    <t>larcoxiomara@gmail.com</t>
  </si>
  <si>
    <t>108-26 53rd Ave,corona,NY 11368</t>
  </si>
  <si>
    <t>+19296082603</t>
  </si>
  <si>
    <t>omalarco1987@gmail.com</t>
  </si>
  <si>
    <t>+19297335229</t>
  </si>
  <si>
    <t>yungan</t>
  </si>
  <si>
    <t>danielay12@nycstudents.net</t>
  </si>
  <si>
    <t>School Email: danielay12@nycstudents.net</t>
  </si>
  <si>
    <t>108-62  38th ave</t>
  </si>
  <si>
    <t>Jessica narvaez</t>
  </si>
  <si>
    <t>Cesar Misael</t>
  </si>
  <si>
    <t>Orellana Riera</t>
  </si>
  <si>
    <t>cesar2019@flushinginternational.org</t>
  </si>
  <si>
    <t>111-65 42ND Queens NY 11368</t>
  </si>
  <si>
    <t>+19294715238</t>
  </si>
  <si>
    <t>Silvia Estefania Riera Piure</t>
  </si>
  <si>
    <t>silviariera85@hotmail.com</t>
  </si>
  <si>
    <t>+17186906992</t>
  </si>
  <si>
    <t>Mathews</t>
  </si>
  <si>
    <t>Huacon</t>
  </si>
  <si>
    <t>mathews2019@flushinginternational.org</t>
  </si>
  <si>
    <t>114-07 Taipei CT FL1College Point NY 11356</t>
  </si>
  <si>
    <t>+19292336860</t>
  </si>
  <si>
    <t>Maria Veliz</t>
  </si>
  <si>
    <t>mariaveliz.85@hotmail.com</t>
  </si>
  <si>
    <t>+13474858817</t>
  </si>
  <si>
    <t>Chimbo</t>
  </si>
  <si>
    <t>2023_luischimbo@ihs-us.org</t>
  </si>
  <si>
    <t>1153 Wheeler Avenue, Bronx, NY</t>
  </si>
  <si>
    <t>+13323311467</t>
  </si>
  <si>
    <t>Janeth Camas</t>
  </si>
  <si>
    <t>luis228138@gmail.com</t>
  </si>
  <si>
    <t>+13478676588</t>
  </si>
  <si>
    <t>suny plattsburgh</t>
  </si>
  <si>
    <t>Briana</t>
  </si>
  <si>
    <t>Almeida</t>
  </si>
  <si>
    <t>carroz846@gmail.com</t>
  </si>
  <si>
    <t>58-22 79th ave</t>
  </si>
  <si>
    <t>+19178378794</t>
  </si>
  <si>
    <t>karen jimenez</t>
  </si>
  <si>
    <t>Joselyn</t>
  </si>
  <si>
    <t>Guaraca</t>
  </si>
  <si>
    <t>joselyn.tisalema@ichsbronx.org</t>
  </si>
  <si>
    <t>1167 Stratford Ave, Bronx NY 10472</t>
  </si>
  <si>
    <t>+16467521185</t>
  </si>
  <si>
    <t>Maria Tisalema</t>
  </si>
  <si>
    <t>mariat106@hotmail.com</t>
  </si>
  <si>
    <t>+13474303324</t>
  </si>
  <si>
    <t>New York City College of Technology. (City Tech)</t>
  </si>
  <si>
    <t>Jorge</t>
  </si>
  <si>
    <t>2024_jorgelopez@ihs-us.org</t>
  </si>
  <si>
    <t>Bio -  Jorge Lopez: Jorge was 15 when he moved to America from Ecuador. He is interested in architecture and social sciences/psychology. Jorge describes himself as intelligent. He is interested in CUNY for college. Jorge, we matched you based on your interest in social sciences / psychology. About - The X Intern was 15 when he moved to America from Ecuador. He speaks English and Spanish. This is his first year and round in the program. The jobs that he listed that he is interested in are, ???architect and psychology.?</t>
  </si>
  <si>
    <t>1236 Virginia Ave Apt. 1R , Bronx, New York,10472</t>
  </si>
  <si>
    <t>+19296161470</t>
  </si>
  <si>
    <t>Lorena Velasquez</t>
  </si>
  <si>
    <t>veloreisa_65@hotmail.com</t>
  </si>
  <si>
    <t>+19293375614</t>
  </si>
  <si>
    <t>Yucailla</t>
  </si>
  <si>
    <t>carlosdanielyucailla@gmail.com</t>
  </si>
  <si>
    <t>287 Bleecker st Apt 3r</t>
  </si>
  <si>
    <t>+19344443386</t>
  </si>
  <si>
    <t>Gladys</t>
  </si>
  <si>
    <t>2024_anaalmeida@ihs-us.org</t>
  </si>
  <si>
    <t>Bio -  Ana Almeida: Ana moved from Ecuador to the United States when she was 17 years old. She is interested in law, health sciences, and business. Ana describes herself as honest, responsible, and smart. She is still exploring her options for college. Ana, we matched you based on your interest in health sciences and business. About - The X Intern moved from Ecuador to the United States when she was 17 years old. She speaks English and Spanish. This is her first year and round in the program. The jobs that she listed that she is interested in are, ?police, nurse, business.?</t>
  </si>
  <si>
    <t>131 Wyckoff ave Brooklyn NY 11237</t>
  </si>
  <si>
    <t>+19176152021</t>
  </si>
  <si>
    <t>Jarama</t>
  </si>
  <si>
    <t>+13479833023</t>
  </si>
  <si>
    <t>Segundo (Fabian)</t>
  </si>
  <si>
    <t>Poalacin</t>
  </si>
  <si>
    <t>2025_segundopoalacin@ihs-us.org</t>
  </si>
  <si>
    <t>Additional Email -  chisagfabian6@gmail.com REASONING to learn new things BUSINESS IDEA a shoe business store SOCIAL PROBLEM many things</t>
  </si>
  <si>
    <t>1373 Greene ave Brooklyn, New York 11237 United States</t>
  </si>
  <si>
    <t>Manuel</t>
  </si>
  <si>
    <t>chisagfabian6@gmail.com</t>
  </si>
  <si>
    <t>Nathaly</t>
  </si>
  <si>
    <t>Loja</t>
  </si>
  <si>
    <t>nathalyloja2@gmail.com</t>
  </si>
  <si>
    <t>50-07 184 th st ny</t>
  </si>
  <si>
    <t>+19294820356</t>
  </si>
  <si>
    <t>Maria Quichimbo</t>
  </si>
  <si>
    <t>Allan</t>
  </si>
  <si>
    <t>Chiquito</t>
  </si>
  <si>
    <t>allanfabricio2019@flushinginternational.org</t>
  </si>
  <si>
    <t>14013 58 Road, building NY Queens Flushing</t>
  </si>
  <si>
    <t>+16468306520</t>
  </si>
  <si>
    <t>Fabricio chiquito</t>
  </si>
  <si>
    <t>fabricio.chiquito@gmail.com</t>
  </si>
  <si>
    <t>+19293428677</t>
  </si>
  <si>
    <t>Mathias</t>
  </si>
  <si>
    <t>Morocho</t>
  </si>
  <si>
    <t>mathi4asmorocho2100@gmail.com</t>
  </si>
  <si>
    <t>144-31 224th St, Queens, NY 11413</t>
  </si>
  <si>
    <t>+16315307798</t>
  </si>
  <si>
    <t>Leyda</t>
  </si>
  <si>
    <t>Cela</t>
  </si>
  <si>
    <t>ccela1213@gmail.com</t>
  </si>
  <si>
    <t>147 10 41av apt 7s flushing ny.  11355</t>
  </si>
  <si>
    <t>+16466176323</t>
  </si>
  <si>
    <t>Nancy</t>
  </si>
  <si>
    <t>+17187916155</t>
  </si>
  <si>
    <t>Made</t>
  </si>
  <si>
    <t>audrey.made@ellisprep.com</t>
  </si>
  <si>
    <t>2333 Davidson Ave Apt 4s</t>
  </si>
  <si>
    <t>+13476474349</t>
  </si>
  <si>
    <t>Suzi Mengue Sanders</t>
  </si>
  <si>
    <t>2024_christopherbernal@ihs-us.org</t>
  </si>
  <si>
    <t>34-56 73 street</t>
  </si>
  <si>
    <t>+19295388832</t>
  </si>
  <si>
    <t xml:space="preserve">"I chose this internship because it helped me develop my growth as a leader and how I can help others working as a team. What I liked the most is that we were able to share our ideas in a group. I learned about business strategy, SMART, emotional intelligence, goals and authenticity.  I learned new leadership skills like empathy, authenticity, integrity, and  humbleness. I think that the work that my facilitator did with us was excellent and above all she always brought new and entertaining ideas, which did not make the internship a boring class.."
</t>
  </si>
  <si>
    <t>Johanna Bernal</t>
  </si>
  <si>
    <t>Eliseo</t>
  </si>
  <si>
    <t>Palacios</t>
  </si>
  <si>
    <t>2023_eliseopalacios@ihs-us.org</t>
  </si>
  <si>
    <t>171 irving av, Brooklyn NY</t>
  </si>
  <si>
    <t>+16469056775</t>
  </si>
  <si>
    <t>Rafael Palacios</t>
  </si>
  <si>
    <t>Tai</t>
  </si>
  <si>
    <t>2022_connietai@ihs-us.org</t>
  </si>
  <si>
    <t>633 57th Street, FL 2, Brooklyn, NY, 11220</t>
  </si>
  <si>
    <t>+19172133073</t>
  </si>
  <si>
    <t xml:space="preserve">"I chose this course to learn more about career pathways, including my own, and to grow as a leader. The collaborate section stood out most because we not only learned from our own cohort but also from other career cohorts. Our facilitator was patient, responsible, and kind, and I especially valued lessons like non-positional leadership, setting SMART goals, and the importance of being a good listener. If possible, I’d suggest having everyone attend in person so discussions feel more connected."
</t>
  </si>
  <si>
    <t>Choon Yoke Wong</t>
  </si>
  <si>
    <t>Cynthia</t>
  </si>
  <si>
    <t>Pilatasig</t>
  </si>
  <si>
    <t>2024_cynthiapilatasig@ihs-us.org</t>
  </si>
  <si>
    <t>248 Suydam st Brooklyn NY 11237</t>
  </si>
  <si>
    <t>+19295596484</t>
  </si>
  <si>
    <t>Ana Tiban</t>
  </si>
  <si>
    <t>Cynthia.</t>
  </si>
  <si>
    <t>alum engaged , fluent communication -  10/26 PQ Cashed Awarded $15 check on Sept 18, 2023 Developing Leader 23- Check was mailed by HJ on 8/22 Leadership course post survey: interested in Law and Health Sciences</t>
  </si>
  <si>
    <t>t.romina2020@flushinginternational.org</t>
  </si>
  <si>
    <t>57-22 63rd</t>
  </si>
  <si>
    <t>+13475932561</t>
  </si>
  <si>
    <t>Glenda Smallwood</t>
  </si>
  <si>
    <t>Diarra</t>
  </si>
  <si>
    <t>Fall</t>
  </si>
  <si>
    <t>Senegal</t>
  </si>
  <si>
    <t>fdiarraaa@gmail.com</t>
  </si>
  <si>
    <t>38 west 31 street</t>
  </si>
  <si>
    <t>+16469373908</t>
  </si>
  <si>
    <t>Soukeye Fall</t>
  </si>
  <si>
    <t>Elian</t>
  </si>
  <si>
    <t>elian.duarte@ichsbronx.org</t>
  </si>
  <si>
    <t>.....</t>
  </si>
  <si>
    <t>+19292896065</t>
  </si>
  <si>
    <t>Neida</t>
  </si>
  <si>
    <t>Scarlet</t>
  </si>
  <si>
    <t>Mieles</t>
  </si>
  <si>
    <t>m.scarlet2020@flushinginternational.org</t>
  </si>
  <si>
    <t>She is a helpful leader in her group.</t>
  </si>
  <si>
    <t>92-19 51Av Elmhurst</t>
  </si>
  <si>
    <t>+19292336132</t>
  </si>
  <si>
    <t>Martha Sinche</t>
  </si>
  <si>
    <t>Franklin</t>
  </si>
  <si>
    <t>Maisa</t>
  </si>
  <si>
    <t>2025_franklinmaisa@ihs-us.org</t>
  </si>
  <si>
    <t>197 Menahan st apt 3 brooklyn, New York 11237 United States</t>
  </si>
  <si>
    <t>frankmaisa11@gmail.com</t>
  </si>
  <si>
    <t>Stalyn</t>
  </si>
  <si>
    <t>Chucino</t>
  </si>
  <si>
    <t>schucino@crotonaihs.org</t>
  </si>
  <si>
    <t>1987 Davidson Ave</t>
  </si>
  <si>
    <t>+16466398239</t>
  </si>
  <si>
    <t>Sonia Zhicay</t>
  </si>
  <si>
    <t>Homero</t>
  </si>
  <si>
    <t>homero2019@flushinginternational.org</t>
  </si>
  <si>
    <t>Homero had provided this email: mendozarenan38@gmail.com but bounced back - Rosmery provided his flushing email (HJ 11/17/21) Hetal changed english from 'very comfortable' to 'not comfortable' from short responses (11.8/21)</t>
  </si>
  <si>
    <t>99-32-42AVE Corona NY 11368</t>
  </si>
  <si>
    <t>+13477248998</t>
  </si>
  <si>
    <t>fernanda villegas</t>
  </si>
  <si>
    <t>hmvicre@gmail.com</t>
  </si>
  <si>
    <t>+13472392996</t>
  </si>
  <si>
    <t>Viviane</t>
  </si>
  <si>
    <t>vivianesantos925@gmail.com</t>
  </si>
  <si>
    <t>michaelza2006@gmail.com</t>
  </si>
  <si>
    <t>2033 valentine Ave Bronx apt 52 A 10457</t>
  </si>
  <si>
    <t>+13473035928</t>
  </si>
  <si>
    <t>Alicia Alvear    john Zhicay</t>
  </si>
  <si>
    <t>Urias</t>
  </si>
  <si>
    <t>wendyurias551@gmail.com</t>
  </si>
  <si>
    <t xml:space="preserve">Grecia Urías </t>
  </si>
  <si>
    <t>Roxanna.urias1988@gmail.com</t>
  </si>
  <si>
    <t>Vacacela</t>
  </si>
  <si>
    <t>vacacelaedison149@gmail.com</t>
  </si>
  <si>
    <t>For matching: Very quiet would be best if he could be matched with a Champion that speaks Spanish or with a peer that Speaks Spanish.</t>
  </si>
  <si>
    <t>208 west 151 st, A53. Manhattan, NY        zip code10039</t>
  </si>
  <si>
    <t>+13478567229</t>
  </si>
  <si>
    <t>Maria Raimunda Tixi</t>
  </si>
  <si>
    <t>Franciscovacacela79@gmail.com</t>
  </si>
  <si>
    <t>+19177740728</t>
  </si>
  <si>
    <t>Chisag</t>
  </si>
  <si>
    <t>2025_joselynchisag@ihs-us.org</t>
  </si>
  <si>
    <t>COURSE CHOICE IL REASONING because is very interesting and i think that this could help me to learnd more BUSINESS IDEA help other to search more options for their health SOCIAL PROBLEM heath</t>
  </si>
  <si>
    <t>214 hull st Brooklyn, New York 11233 United States</t>
  </si>
  <si>
    <t>lucia Tamaquiza</t>
  </si>
  <si>
    <t>luciatamaquiza@gmail.com</t>
  </si>
  <si>
    <t>Anthony Angelo</t>
  </si>
  <si>
    <t>Chaluisa</t>
  </si>
  <si>
    <t>achaluisa@crotonaihs.org</t>
  </si>
  <si>
    <t>2181 Barnes Avenue, Bronx, NY 10462</t>
  </si>
  <si>
    <t>+19293309859</t>
  </si>
  <si>
    <t>Victoria Umajinga</t>
  </si>
  <si>
    <t>Youssef</t>
  </si>
  <si>
    <t>Marzouk</t>
  </si>
  <si>
    <t>Egypt</t>
  </si>
  <si>
    <t>ymarzouk2019@flushinginternational.org</t>
  </si>
  <si>
    <t>140-19 Beech Ave, New York NY 11355</t>
  </si>
  <si>
    <t>+19294246116</t>
  </si>
  <si>
    <t>Youssef Marzouk</t>
  </si>
  <si>
    <t>luiscosquillo83@gmail.com</t>
  </si>
  <si>
    <t>237 Stockholm St, Brooklyn, NY 11237</t>
  </si>
  <si>
    <t>Duplicate/TEST</t>
  </si>
  <si>
    <t>Maria Poaquiza</t>
  </si>
  <si>
    <t>Melany</t>
  </si>
  <si>
    <t>Cumbal</t>
  </si>
  <si>
    <t>mcumbal@crotonaihs.org</t>
  </si>
  <si>
    <t>2254 Grand Ave, Bronx, NY 10453</t>
  </si>
  <si>
    <t>+19176244163</t>
  </si>
  <si>
    <t>Luis Cumbal</t>
  </si>
  <si>
    <t>luiscumbal376@gmail.com</t>
  </si>
  <si>
    <t>2024_nathalycosquillo@ihs-us.org</t>
  </si>
  <si>
    <t>REASONING I chose this to learn more English BUSINESS IDEA nothing SOCIAL PROBLEM nothing</t>
  </si>
  <si>
    <t>235irving Av brooklyn, New York 11237 United States</t>
  </si>
  <si>
    <t>posquiza123@gmail.com</t>
  </si>
  <si>
    <t>Moussa</t>
  </si>
  <si>
    <t>Doukoure</t>
  </si>
  <si>
    <t>moussa.doukoure@ichsbronx.org</t>
  </si>
  <si>
    <t>355 webster 182 av</t>
  </si>
  <si>
    <t>+19294528654</t>
  </si>
  <si>
    <t>Mamadou, Aicha Doukoure</t>
  </si>
  <si>
    <t>Anthony</t>
  </si>
  <si>
    <t>Chauca</t>
  </si>
  <si>
    <t>anthonychauca86@gmail.com</t>
  </si>
  <si>
    <t>24 29 82</t>
  </si>
  <si>
    <t>+13322026431</t>
  </si>
  <si>
    <t>Marianadejesus Dutan</t>
  </si>
  <si>
    <t>Lojano</t>
  </si>
  <si>
    <t>2025_diegolojano@ihs-us.org</t>
  </si>
  <si>
    <t>296 Stanhope St Brooklyn NY 10237</t>
  </si>
  <si>
    <t>+19179759342</t>
  </si>
  <si>
    <t>Gladys Cabrera</t>
  </si>
  <si>
    <t>Cabreragladys088@gmail.com</t>
  </si>
  <si>
    <t>516-277-6948</t>
  </si>
  <si>
    <t>Pulla</t>
  </si>
  <si>
    <t>karenpulla@claremontihs.org</t>
  </si>
  <si>
    <t>2540 Valentine.Ave</t>
  </si>
  <si>
    <t>+13472398448</t>
  </si>
  <si>
    <t>libia maria collaguazo conde</t>
  </si>
  <si>
    <t>Ruth</t>
  </si>
  <si>
    <t>khadim.ka@ellisprep.com</t>
  </si>
  <si>
    <t>2024 Adult FY</t>
  </si>
  <si>
    <t>2550 West 16th Street Brooklyn, New York 11214 United States</t>
  </si>
  <si>
    <t>Araujo</t>
  </si>
  <si>
    <t>genesisvaleska82005@gmail.com</t>
  </si>
  <si>
    <t>26 44- 95th St Apt 2R  East Elmhurst, NY 11369</t>
  </si>
  <si>
    <t>+19294329044</t>
  </si>
  <si>
    <t>Cristobal Araujo</t>
  </si>
  <si>
    <t>cristobalaraujo70@hotmail.com</t>
  </si>
  <si>
    <t>+16468363433</t>
  </si>
  <si>
    <t>Ruth (Camila)</t>
  </si>
  <si>
    <t>Sailema</t>
  </si>
  <si>
    <t>ruths80@nycstudents.net</t>
  </si>
  <si>
    <t>Additional Email - camilasailema8@gmail.com</t>
  </si>
  <si>
    <t xml:space="preserve">270 Glenmore Ave Brooklyn, New York 11207 United States
</t>
  </si>
  <si>
    <t xml:space="preserve">(347)686-2431
</t>
  </si>
  <si>
    <t>Soledad Sopa</t>
  </si>
  <si>
    <t>soledadamparo14@gmail.com</t>
  </si>
  <si>
    <t>(447)523-7759</t>
  </si>
  <si>
    <t>Suigly</t>
  </si>
  <si>
    <t>suiglygomez13@gmail.com</t>
  </si>
  <si>
    <t>School email: suigly.gomez@ichsbronx.org</t>
  </si>
  <si>
    <t>632 wales ave</t>
  </si>
  <si>
    <t>+19294269226</t>
  </si>
  <si>
    <t>Lucrecia Godinez</t>
  </si>
  <si>
    <t>Machasilla</t>
  </si>
  <si>
    <t>machasillaedison2003@gmail.com</t>
  </si>
  <si>
    <t>355 Irving  Av</t>
  </si>
  <si>
    <t>+13473297047</t>
  </si>
  <si>
    <t>Maria Machasilla</t>
  </si>
  <si>
    <t>Erika</t>
  </si>
  <si>
    <t>Pasochoa</t>
  </si>
  <si>
    <t>2025_erikapasochoa@ihs-us.org</t>
  </si>
  <si>
    <t>REASONING Because I am interested in learning more about programs like these BUSINESS IDEA Learn more about my topic SOCIAL PROBLEM The insecurity</t>
  </si>
  <si>
    <t>291 Stockholm St Brooklyn, New York 11237 United States</t>
  </si>
  <si>
    <t>mariatp0624@gmail.com</t>
  </si>
  <si>
    <t>Astudillo</t>
  </si>
  <si>
    <t>2023_paulaastudillo@ihs-us.org</t>
  </si>
  <si>
    <t>Paula asked to update her email from this astudillopaula23@icloud.com to what it is now 1/25/22 (HJ)</t>
  </si>
  <si>
    <t>299 St Nicholas Ave</t>
  </si>
  <si>
    <t>+19294763626</t>
  </si>
  <si>
    <t>Alva chacon</t>
  </si>
  <si>
    <t>astudillopaula@icloud.com</t>
  </si>
  <si>
    <t>+18606188984</t>
  </si>
  <si>
    <t>Ivania</t>
  </si>
  <si>
    <t>Posada</t>
  </si>
  <si>
    <t>El Salvador</t>
  </si>
  <si>
    <t>iposada@crotonaihs.org</t>
  </si>
  <si>
    <t>HJ made inactive on 1/12/22 after working with school on students who are not committed ed a better picture of headshot (XC 1/23/21) Ambassador Application Responses 10 In 250 ? 500 words, describe three traits which make you a leader and a strong student. Three traits Wich make me a leader and a strong student is respectful, collaborate and responsible 11 In 100 ? 250 words, how can SPEAKHIRE help you you boost your own academic profile? They way that speakhire help me boost my own academic profile is giving more idea how to be a good leader and how i can help other 12 In 100 ? 250 words, what opportunities do young people who are immigrant and first-generation American currently have to gain awareness of career opportunities? The opportunities that people who are immigrant and first-generation American is the immigrant people they learn a new language and they have a lot of opportunities that they can help in the life. And the first-generation American they have good opportunity too but i think the opportunities for then are more easy 13 In 250 ? 500 words, why you would succeed as a SPEAKHIRE for your grade at your school. If you do not meet all the requirements, explain why we should consider you for the position. If i succeed as a speakhire for my grade at my school is because i would be happy seeing that i have completed something that is going to help me and if don't meet all the requirements it would consider the position because i didn't complete my program 14 List the classes you will be taking the upcoming school year and any other activities which will keep you occupied. Please explain to us how many hours a week you will dedicate towards SPEAKHIRE and what your schedule will look like. The class that i would be taking in the upcoming year and other activities which would keep me occupied going to collage 15 Outline your main responsibilities as a SPEAKHIRE Ambassador: The main responsibility Speakhire ambassador is the respectful and responsible</t>
  </si>
  <si>
    <t>133 elliot place, 2c</t>
  </si>
  <si>
    <t>Coreas Blanca</t>
  </si>
  <si>
    <t>Blancacoreas@87gmail.com</t>
  </si>
  <si>
    <t>Jordan</t>
  </si>
  <si>
    <t>Barriga</t>
  </si>
  <si>
    <t>jordanbeyker200731@gmail.com</t>
  </si>
  <si>
    <t>30-20 Ttrowsou hvenue Long Island City, NY 1l101</t>
  </si>
  <si>
    <t>+19297565692</t>
  </si>
  <si>
    <t>+19178066757</t>
  </si>
  <si>
    <t>Blair.</t>
  </si>
  <si>
    <t>Vales</t>
  </si>
  <si>
    <t>valesblair@gmail.com</t>
  </si>
  <si>
    <t>Joined LE session from Session 4</t>
  </si>
  <si>
    <t>144-30 224th St Springfield gardens 11413</t>
  </si>
  <si>
    <t>+13473533408</t>
  </si>
  <si>
    <t>Nadine Beausejour</t>
  </si>
  <si>
    <t>Belen</t>
  </si>
  <si>
    <t>Membreno</t>
  </si>
  <si>
    <t>mariam2019@flushinginternational.org</t>
  </si>
  <si>
    <t>Hetal marked as inactive after speaking with Rosmery about poor attendance (1/15/22)</t>
  </si>
  <si>
    <t>145 06 th 34 ave , flushing ny 11355</t>
  </si>
  <si>
    <t>+19188071013</t>
  </si>
  <si>
    <t>maria membreno</t>
  </si>
  <si>
    <t>membrenolety@gmail.com</t>
  </si>
  <si>
    <t>+13475101366</t>
  </si>
  <si>
    <t>Edwin</t>
  </si>
  <si>
    <t>2024_edwingutierrez@ihs-us.org</t>
  </si>
  <si>
    <t>465 Woodward Av</t>
  </si>
  <si>
    <t>+17182165194</t>
  </si>
  <si>
    <t>María Gutierrez</t>
  </si>
  <si>
    <t>Montalvan</t>
  </si>
  <si>
    <t>ilonjose57@gmail.com</t>
  </si>
  <si>
    <t>Jose Montalvan has changed his phone number. DO NOT CALL THIS NUMBER - 13478139198</t>
  </si>
  <si>
    <t>3033 88th st, East Elmhurst, United States, NY 11369-1412</t>
  </si>
  <si>
    <t>+13478139198</t>
  </si>
  <si>
    <t>Aida Bartolome</t>
  </si>
  <si>
    <t>shelteromg7@gmail.com</t>
  </si>
  <si>
    <t>+16463310351</t>
  </si>
  <si>
    <t>Emiliano</t>
  </si>
  <si>
    <t>Hernandez Cordero</t>
  </si>
  <si>
    <t>emilianocordero122007@gmail.com</t>
  </si>
  <si>
    <t>School email: 2025_emilianocordero@ihs-us.org</t>
  </si>
  <si>
    <t>26 Lyceum Ct Staten Island, NY  10310 United States</t>
  </si>
  <si>
    <t>Staten Island</t>
  </si>
  <si>
    <t>+13475443827</t>
  </si>
  <si>
    <t>Adriana Cordero</t>
  </si>
  <si>
    <t>Condo</t>
  </si>
  <si>
    <t>stevencondo86@gmail.com</t>
  </si>
  <si>
    <t>33 34 110st</t>
  </si>
  <si>
    <t>+19293374709</t>
  </si>
  <si>
    <t>josselynrcanas@gmail.com</t>
  </si>
  <si>
    <t>17222 83rd ave jamaica New York 11432</t>
  </si>
  <si>
    <t>+19293989753</t>
  </si>
  <si>
    <t>Dora canas</t>
  </si>
  <si>
    <t>Josselynrcanas@gmail.com</t>
  </si>
  <si>
    <t>+13472571979</t>
  </si>
  <si>
    <t>Chachipanta</t>
  </si>
  <si>
    <t>2025_jonathanchachipanta@ihs-us.org</t>
  </si>
  <si>
    <t>IL Responses REASONING because I want to learn new things to be able to manage my business BUSINESS IDEA i dont no SOCIAL PROBLEM insecurity and unemployment</t>
  </si>
  <si>
    <t>330 harman st broookly, New York 11237 United States</t>
  </si>
  <si>
    <t>manuel chachipanta</t>
  </si>
  <si>
    <t>Willan</t>
  </si>
  <si>
    <t>willans@nycstudents.net</t>
  </si>
  <si>
    <t>Additional Email ws1244420@gmail.com</t>
  </si>
  <si>
    <t>34-16 107 st nuc New York, New York 11368 United States</t>
  </si>
  <si>
    <t>Irma Vargas</t>
  </si>
  <si>
    <t>irmapelaez91@gmail.com</t>
  </si>
  <si>
    <t>(192)925-8806</t>
  </si>
  <si>
    <t>Valeria</t>
  </si>
  <si>
    <t>Varags</t>
  </si>
  <si>
    <t>valeriav81@nycstudents.net</t>
  </si>
  <si>
    <t>Additional Email miyeliquispe@gmail.com</t>
  </si>
  <si>
    <t>34-16-107st queens, New York 11368 United States</t>
  </si>
  <si>
    <t>valeria vargas</t>
  </si>
  <si>
    <t>(929)258-8069</t>
  </si>
  <si>
    <t>Calle</t>
  </si>
  <si>
    <t>ladycalle119@gmail.com</t>
  </si>
  <si>
    <t>34-24 112th ST     Queens, NY 11368</t>
  </si>
  <si>
    <t>+16462507298</t>
  </si>
  <si>
    <t>Nancy Calle</t>
  </si>
  <si>
    <t>+16465477056</t>
  </si>
  <si>
    <t>Michael David</t>
  </si>
  <si>
    <t>Paredes</t>
  </si>
  <si>
    <t>david.paredes@ichsbronx.org</t>
  </si>
  <si>
    <t>HJ updated from native english speaker to very comfortable based off of short answer responses 10/11/21 Updated date/time for AY 21-22 for Monday 3pm - PQ 9/27/21</t>
  </si>
  <si>
    <t>346 E 156 Street Bronx NY 10451</t>
  </si>
  <si>
    <t>Rosa Franco Moreira</t>
  </si>
  <si>
    <t>paredeskevin118@gmail.com</t>
  </si>
  <si>
    <t>+13472579494</t>
  </si>
  <si>
    <t>Michael Steven</t>
  </si>
  <si>
    <t>Paredes Franco</t>
  </si>
  <si>
    <t>steven.paredes@ichsbronx.org</t>
  </si>
  <si>
    <t>347 e 156 st, 12c, bronx, NY10451</t>
  </si>
  <si>
    <t>+13472579901</t>
  </si>
  <si>
    <t>Rosa Carmen Franco</t>
  </si>
  <si>
    <t>Hostos CC</t>
  </si>
  <si>
    <t>Shirley</t>
  </si>
  <si>
    <t>Cullqui</t>
  </si>
  <si>
    <t>cullquishirley01@gmail.com</t>
  </si>
  <si>
    <t>35 11 93rd St   Jackson Heights 11372</t>
  </si>
  <si>
    <t>+13477075358</t>
  </si>
  <si>
    <t>Narvaez Norma</t>
  </si>
  <si>
    <t>narvaez091287@gmail.com</t>
  </si>
  <si>
    <t>+19293665461</t>
  </si>
  <si>
    <t>evelyn2019@flushinginternational.org</t>
  </si>
  <si>
    <t>35 37-99 st Corona Queens NY,11368</t>
  </si>
  <si>
    <t>+13477615580</t>
  </si>
  <si>
    <t>Miryam Susana Farez Espinoza</t>
  </si>
  <si>
    <t>milyfarez19@gmail.com</t>
  </si>
  <si>
    <t>Acosta</t>
  </si>
  <si>
    <t>a2.steven2020@flushinginternational.org</t>
  </si>
  <si>
    <t>35 45 94st, Jackson heights,11372,</t>
  </si>
  <si>
    <t>+13473931996</t>
  </si>
  <si>
    <t>arlolisto29@gmail.com</t>
  </si>
  <si>
    <t>+17186072166</t>
  </si>
  <si>
    <t>Keyla</t>
  </si>
  <si>
    <t>Lliguin</t>
  </si>
  <si>
    <t>nagelylliguin@gmail.com</t>
  </si>
  <si>
    <t>35-12 104 Street Queens NY 11368</t>
  </si>
  <si>
    <t>+19292000547</t>
  </si>
  <si>
    <t>Elva Lliguin</t>
  </si>
  <si>
    <t>elva.lliguin@gmail.com</t>
  </si>
  <si>
    <t>+19293656292</t>
  </si>
  <si>
    <t>Nataly</t>
  </si>
  <si>
    <t>natalyb3017@gmail.com</t>
  </si>
  <si>
    <t>Has a lot of extra circulars - cannot move time 12/1/21 SB</t>
  </si>
  <si>
    <t>235-40 148th ave,Jamaica NY 11422</t>
  </si>
  <si>
    <t>+13476104074</t>
  </si>
  <si>
    <t>Betty bolanos</t>
  </si>
  <si>
    <t>+16464911013</t>
  </si>
  <si>
    <t>Aguayza</t>
  </si>
  <si>
    <t>emily25aguayza@gmail.com</t>
  </si>
  <si>
    <t>35-25 100th St Corona,NY 11368 Estados Unidos</t>
  </si>
  <si>
    <t>+19294272542</t>
  </si>
  <si>
    <t>Lliguichuzhca</t>
  </si>
  <si>
    <t>nellyaguayza06@gmail.com</t>
  </si>
  <si>
    <t>+19294276239</t>
  </si>
  <si>
    <t>Ocana</t>
  </si>
  <si>
    <t>2024_erickocana@ihs-us.org</t>
  </si>
  <si>
    <t>36-07 steinway street</t>
  </si>
  <si>
    <t>+19294241164</t>
  </si>
  <si>
    <t>Aida</t>
  </si>
  <si>
    <t>sofia2019@flushinginternational.org</t>
  </si>
  <si>
    <t>Hetal marked as inactive after speaking with Rosmery -- family issues and not available (1/15/22) Changed to somewhat comfortable based on responses 11/16/21</t>
  </si>
  <si>
    <t>33-29 109th,  Queens, NY  11368</t>
  </si>
  <si>
    <t>+13478763031</t>
  </si>
  <si>
    <t>Silvia Romero</t>
  </si>
  <si>
    <t>+13478485606</t>
  </si>
  <si>
    <t>Payana</t>
  </si>
  <si>
    <t>b.payana2018@flushinginternational.org</t>
  </si>
  <si>
    <t>3551-95th, D11, Jackson Heights, NY, 11372</t>
  </si>
  <si>
    <t>+13476444552</t>
  </si>
  <si>
    <t>Claudia Pani</t>
  </si>
  <si>
    <t>claudiapani83@gmail.com</t>
  </si>
  <si>
    <t>+19176514003</t>
  </si>
  <si>
    <t>Alvarez</t>
  </si>
  <si>
    <t>a.karen2020@flushinginternational.org</t>
  </si>
  <si>
    <t>43-69 161st flushing NY, 11358</t>
  </si>
  <si>
    <t>+19294944951</t>
  </si>
  <si>
    <t>Elsy Alfaro</t>
  </si>
  <si>
    <t>Erick.</t>
  </si>
  <si>
    <t>130 Baruch Place</t>
  </si>
  <si>
    <t>"What I liked most about this course was learning many things about my career that will help me think about whether it is the right path for me. I learned that we should not demand too much of ourselves to avoid burnout, and that setting achievable goals helps improve the quality of care for patients. I also learned how social networks can be a valuable tool to provide information and help patients feel safer. Most importantly, I realized that a good leader doesn’t act superior but guides and motivates their team toward a common goal. This course was a great help, and I’m grateful for the knowledge I gained."</t>
  </si>
  <si>
    <t>Yesica</t>
  </si>
  <si>
    <t>y.fila2018@flushinginternational.org</t>
  </si>
  <si>
    <t>37 26 101 st corona New York 11368</t>
  </si>
  <si>
    <t>+19294718047</t>
  </si>
  <si>
    <t>+19294016981</t>
  </si>
  <si>
    <t>jberenise24@gmail.com</t>
  </si>
  <si>
    <t>45-33 160th St, Flushing, NY 11358</t>
  </si>
  <si>
    <t>+18575058035</t>
  </si>
  <si>
    <t>Miriam gongora</t>
  </si>
  <si>
    <t>+18572471401</t>
  </si>
  <si>
    <t>gmorenosantamar@inths.org</t>
  </si>
  <si>
    <t>457 49th st brooklyn,Nyc 11220</t>
  </si>
  <si>
    <t>+16315089060</t>
  </si>
  <si>
    <t>Ingrid Romero</t>
  </si>
  <si>
    <t>santamariaingris011@gmail.com</t>
  </si>
  <si>
    <t>+13479842134</t>
  </si>
  <si>
    <t>Yanchapanta</t>
  </si>
  <si>
    <t>kerlyy@nycstudents.net</t>
  </si>
  <si>
    <t>Joined Us</t>
  </si>
  <si>
    <t>Reasoning N/A Business Idea adding more trash cans in the streets or popular places where people hue travel to visit the country. Social Problem A lot of garbage</t>
  </si>
  <si>
    <t>37-05 64th St. Woodside, New York 11377 United States</t>
  </si>
  <si>
    <t>Diana Paola condor Garcec</t>
  </si>
  <si>
    <t>paolagarcec014@gmail.com</t>
  </si>
  <si>
    <t>Nelson</t>
  </si>
  <si>
    <t>g.nelson2021@flushinginternational.org</t>
  </si>
  <si>
    <t>Will not be in this workshop anymore</t>
  </si>
  <si>
    <t>78-31 269 street new hyde park</t>
  </si>
  <si>
    <t>+19294274328</t>
  </si>
  <si>
    <t>jose hector</t>
  </si>
  <si>
    <t>Carchi</t>
  </si>
  <si>
    <t>kellyc245@nycstudents.net</t>
  </si>
  <si>
    <t>Additional Email Kelly.carchi@icloud.com</t>
  </si>
  <si>
    <t>37-19 59th St Woodside, New York 11377 United States</t>
  </si>
  <si>
    <t>Rosa Llivicura</t>
  </si>
  <si>
    <t>rosaguallpa80@icloud.com</t>
  </si>
  <si>
    <t>347-828-3303</t>
  </si>
  <si>
    <t>jeremyg353@nycstudents.net</t>
  </si>
  <si>
    <t>Additional Email Guamanstip@gmail.com</t>
  </si>
  <si>
    <t>37-22 72st Queens, New York 11372 United States</t>
  </si>
  <si>
    <t>(929)594-6710</t>
  </si>
  <si>
    <t>Jorge Guaman</t>
  </si>
  <si>
    <t>Padre</t>
  </si>
  <si>
    <t>Guamanstip@gmail.com</t>
  </si>
  <si>
    <t>(845)770-7467</t>
  </si>
  <si>
    <t>Lino</t>
  </si>
  <si>
    <t>jorgel4217@nycstudents.net</t>
  </si>
  <si>
    <t>37-42-100th Queens, New York 11368 United States</t>
  </si>
  <si>
    <t>(929)642-6640</t>
  </si>
  <si>
    <t>Daysi Terreros</t>
  </si>
  <si>
    <t>jorgeL4217@nycstudents.net</t>
  </si>
  <si>
    <t>(929)544-1392</t>
  </si>
  <si>
    <t>Quillay</t>
  </si>
  <si>
    <t>jhonq2@nycstudents.net</t>
  </si>
  <si>
    <t>37-50-108</t>
  </si>
  <si>
    <t>+13479228804</t>
  </si>
  <si>
    <t>cedenoariel00@gmail.com</t>
  </si>
  <si>
    <t>37-68 97 street corona queens zip code 113689</t>
  </si>
  <si>
    <t>+19293893509</t>
  </si>
  <si>
    <t>kerlly Velez</t>
  </si>
  <si>
    <t>arielarelys@hotmail.com</t>
  </si>
  <si>
    <t>+13478333667</t>
  </si>
  <si>
    <t>Guttman Community college</t>
  </si>
  <si>
    <t>Fanny</t>
  </si>
  <si>
    <t>Tixi</t>
  </si>
  <si>
    <t>2024_fannytixi@ihs-us.org</t>
  </si>
  <si>
    <t>1726 davidson av bronx</t>
  </si>
  <si>
    <t>+19292585950</t>
  </si>
  <si>
    <t>Maria Yuicela</t>
  </si>
  <si>
    <t>Dylan</t>
  </si>
  <si>
    <t>dylanc72221@nycstudents.net</t>
  </si>
  <si>
    <t>Reasoning N/A Business Idea engineer Social Problem world hunger</t>
  </si>
  <si>
    <t>3939 65pl Woodside, New York 11377 United States</t>
  </si>
  <si>
    <t>Paola Zhicay</t>
  </si>
  <si>
    <t>Xilena</t>
  </si>
  <si>
    <t>Toris</t>
  </si>
  <si>
    <t>xilenatoris28@gmail.com</t>
  </si>
  <si>
    <t>40-08 76th street  Apt 3R Elmhurst,NY,11373</t>
  </si>
  <si>
    <t>+19292613464</t>
  </si>
  <si>
    <t>Angelica Mora Carpio</t>
  </si>
  <si>
    <t>angelicamora378@gmail.com</t>
  </si>
  <si>
    <t>+17185935208</t>
  </si>
  <si>
    <t>Villa</t>
  </si>
  <si>
    <t>2023_ladyvilla@ihs-us.org</t>
  </si>
  <si>
    <t>40-42 Junction Blvd, Queens Ny 11368</t>
  </si>
  <si>
    <t>+19292066632</t>
  </si>
  <si>
    <t>Ximena Simba</t>
  </si>
  <si>
    <t>Ximenasimba12@gmail.com</t>
  </si>
  <si>
    <t>+13472802439</t>
  </si>
  <si>
    <t>Dhilany</t>
  </si>
  <si>
    <t>yauri</t>
  </si>
  <si>
    <t>dhilanyy2789@nycstudents.net</t>
  </si>
  <si>
    <t>40-50 denman Queens, New York 11373 United States</t>
  </si>
  <si>
    <t>347-393-6527</t>
  </si>
  <si>
    <t>Janneth</t>
  </si>
  <si>
    <t>Janneth6527@gmail.com</t>
  </si>
  <si>
    <t>Fredy</t>
  </si>
  <si>
    <t>Toaquiza</t>
  </si>
  <si>
    <t>2024_fredytoaquiza@ihs-us.org</t>
  </si>
  <si>
    <t>Attended Google: Code Next on Feb 21, 2024 - Has a Speakhire shirt [BC 6/27] - spk w. Fredy -- communication was fluent but it stopped from our end (BC) no other update. .. 10/26 PQ</t>
  </si>
  <si>
    <t>3907 7th AVE brooklyn  ny 11232</t>
  </si>
  <si>
    <t>+13473039817</t>
  </si>
  <si>
    <t>Maria Quito</t>
  </si>
  <si>
    <t>BMCC</t>
  </si>
  <si>
    <t>Ligia</t>
  </si>
  <si>
    <t>lijiaespinosa123@gmail.com</t>
  </si>
  <si>
    <t>41-07 28 av Astoria</t>
  </si>
  <si>
    <t>+16469231309</t>
  </si>
  <si>
    <t>Alicia Padilla</t>
  </si>
  <si>
    <t>bespinza5335@gmail.com</t>
  </si>
  <si>
    <t>+13473617635</t>
  </si>
  <si>
    <t>Camila</t>
  </si>
  <si>
    <t>Llivicura</t>
  </si>
  <si>
    <t>camilal5722@nycstudents.net</t>
  </si>
  <si>
    <t>41-26 73rd St</t>
  </si>
  <si>
    <t>+18622556163</t>
  </si>
  <si>
    <t>pablo llivicura</t>
  </si>
  <si>
    <t>carolinaguadalupef@nycstudents.net</t>
  </si>
  <si>
    <t>Reasoning No Reason Provided Business Idea I don&amp;#39;t now Social Problem subway surfing</t>
  </si>
  <si>
    <t>41-41-51st woodside, New York 11377 United States</t>
  </si>
  <si>
    <t>Carmen sotamba</t>
  </si>
  <si>
    <t>carmenstamba18@gmail.com</t>
  </si>
  <si>
    <t>Génesis</t>
  </si>
  <si>
    <t>219 Logan street, Brooklyn NY</t>
  </si>
  <si>
    <t xml:space="preserve">"Something that stood out to me was learning about burnout in medicine, which connects to my career interest in nursing. I liked working in breakout rooms because it gave us the chance to share ideas and learn from each other. I learned about burnout, brand ambassadors, non-positional leaders, and how companies use social media to manage conflicts. I joined because I know how important leadership is—we are always going to be around people, and a good leader knows how to manage any situation. Our facilitator was patient, supportive, and gave us great advice. The values I connected with most were integrity, empathy, authenticity, and humility. Overall, this program would have been even better in person, but I’m grateful for what I learned."
</t>
  </si>
  <si>
    <t>929-258-9048/347-300-9672</t>
  </si>
  <si>
    <t>Rony</t>
  </si>
  <si>
    <t>Velasco</t>
  </si>
  <si>
    <t>rony2019@flushinginternational.org</t>
  </si>
  <si>
    <t>HJ Changed his origins from born in America to born in a different country and parents in a different country from his application responses and his comfort with English (10/11/21)</t>
  </si>
  <si>
    <t>42 64 ketcham st APT.3C elmhurst N.Y 11373</t>
  </si>
  <si>
    <t>+13474560229</t>
  </si>
  <si>
    <t>Rosa Saquisilli</t>
  </si>
  <si>
    <t>ronyjesus24@gmail.com</t>
  </si>
  <si>
    <t>+13454569873</t>
  </si>
  <si>
    <t>briannam494@nycstudents.net</t>
  </si>
  <si>
    <t>42-5 Layton St 11373 Queen, New York 11373 United States</t>
  </si>
  <si>
    <t>Tatiana Molina</t>
  </si>
  <si>
    <t>Tati_friendly@hotmail.com</t>
  </si>
  <si>
    <t>(646)934-0879</t>
  </si>
  <si>
    <t>Ginna</t>
  </si>
  <si>
    <t>Saquisilli</t>
  </si>
  <si>
    <t>2024_ginnasaquisill@ihs-us.org</t>
  </si>
  <si>
    <t>323 37 th street</t>
  </si>
  <si>
    <t>+16467969218</t>
  </si>
  <si>
    <t>ICAN, "#Cheers4Careers,"</t>
  </si>
  <si>
    <t>Maria Mendoza</t>
  </si>
  <si>
    <t>2025_joselynreyes@ihs-us.org</t>
  </si>
  <si>
    <t>REASONING Because I'm interested BUSINESS IDEA I still haven't thought about it yet SOCIAL PROBLEM I still haven't thought about it yet</t>
  </si>
  <si>
    <t>426 bleecker st Brooklyn, New York 11237 United States</t>
  </si>
  <si>
    <t>Anabel</t>
  </si>
  <si>
    <t>nellyramos828@gmail.com</t>
  </si>
  <si>
    <t>JOSIMAR</t>
  </si>
  <si>
    <t>LUCERO</t>
  </si>
  <si>
    <t>2023_josimarlucerojindiachi@ihs-us.org</t>
  </si>
  <si>
    <t>45 SAINT NICHOLAS  AVE  BROOKLYN NY  11237</t>
  </si>
  <si>
    <t>+19293751883</t>
  </si>
  <si>
    <t>ANGEL VERA</t>
  </si>
  <si>
    <t>arvja@yahoo.com</t>
  </si>
  <si>
    <t>+19172257253</t>
  </si>
  <si>
    <t>Steven G</t>
  </si>
  <si>
    <t>Guillen</t>
  </si>
  <si>
    <t>stevenporfiriog@gmail.com</t>
  </si>
  <si>
    <t>78-31 269th street</t>
  </si>
  <si>
    <t>+19293917169</t>
  </si>
  <si>
    <t>Pedro guillen</t>
  </si>
  <si>
    <t>Tito</t>
  </si>
  <si>
    <t>valentinat32@nycstudents.net</t>
  </si>
  <si>
    <t>Additional Email Valentinatito93@gmail.com</t>
  </si>
  <si>
    <t>4536 49st New York City, New York 11377 United States</t>
  </si>
  <si>
    <t>Omar Tito</t>
  </si>
  <si>
    <t>Valentinatito93@gmail.com</t>
  </si>
  <si>
    <t>Sael</t>
  </si>
  <si>
    <t>Marroquin</t>
  </si>
  <si>
    <t>saelm@nycstudents.net</t>
  </si>
  <si>
    <t>88-60 street NEw york Jackson heights 11372</t>
  </si>
  <si>
    <t>+13479324742</t>
  </si>
  <si>
    <t>My mother is Gladis umana</t>
  </si>
  <si>
    <t>+19293423210</t>
  </si>
  <si>
    <t>Yasaca</t>
  </si>
  <si>
    <t>susanacocha88@gemail.com</t>
  </si>
  <si>
    <t>School Email: luzy4@nycstudents.net</t>
  </si>
  <si>
    <t>46-02 47th Avenue</t>
  </si>
  <si>
    <t>Susana cocha</t>
  </si>
  <si>
    <t>Chimborazo</t>
  </si>
  <si>
    <t>darwinc92@nycstudents.net</t>
  </si>
  <si>
    <t>School Email: darwinc92@nycstudents.net</t>
  </si>
  <si>
    <t>4602 47 th are woodside,ny 11277</t>
  </si>
  <si>
    <t>claudia cusco</t>
  </si>
  <si>
    <t>susanacocha88@gmail.com</t>
  </si>
  <si>
    <t>4602 47th Are Woodside.Ny 11377</t>
  </si>
  <si>
    <t>Luis Antinio</t>
  </si>
  <si>
    <t>oscarleonelc@nycstudents.net</t>
  </si>
  <si>
    <t>4602 47th ave woodside,ny11377</t>
  </si>
  <si>
    <t>Jose Choloquinga</t>
  </si>
  <si>
    <t>Meybelin Nicole</t>
  </si>
  <si>
    <t>Marquez</t>
  </si>
  <si>
    <t>meybelin2019@flushinginternational.org</t>
  </si>
  <si>
    <t>Email: meybelin2019@flushinginternational.org phone number: &amp;#43;13475920320</t>
  </si>
  <si>
    <t>9-03-127 st</t>
  </si>
  <si>
    <t>Maria Marquez</t>
  </si>
  <si>
    <t xml:space="preserve">Mother </t>
  </si>
  <si>
    <t>+13475069693</t>
  </si>
  <si>
    <t>Bravo</t>
  </si>
  <si>
    <t>cristianb6365@nycstudents.net</t>
  </si>
  <si>
    <t>School Email: cristianb6365@nycstudents.net</t>
  </si>
  <si>
    <t>4602 47th Avenue Woodside, NY 11377</t>
  </si>
  <si>
    <t>Martina lluilema</t>
  </si>
  <si>
    <t>Guayan</t>
  </si>
  <si>
    <t>2024_gloriaguayan@ihs-us.org</t>
  </si>
  <si>
    <t>301 wyckoff ave</t>
  </si>
  <si>
    <t>+13473561184</t>
  </si>
  <si>
    <t>Ignacio  Guayan</t>
  </si>
  <si>
    <t>Mayerli</t>
  </si>
  <si>
    <t>mtorres@inths.org</t>
  </si>
  <si>
    <t>467 52nd St 3f 11220 Brooklyn NY</t>
  </si>
  <si>
    <t>+13477797639</t>
  </si>
  <si>
    <t>Katherine Velasquez</t>
  </si>
  <si>
    <t>katherynv1985@gmail.com</t>
  </si>
  <si>
    <t>+13478562897</t>
  </si>
  <si>
    <t>Aylin</t>
  </si>
  <si>
    <t>aylinm55@nycstudents.net</t>
  </si>
  <si>
    <t>Additional Email aylinmorocho3@gmail.com</t>
  </si>
  <si>
    <t>47-49 48st woodside Woodside, New York 11377 United States</t>
  </si>
  <si>
    <t>Maria Morocho</t>
  </si>
  <si>
    <t>cecy1984@gmail.com</t>
  </si>
  <si>
    <t>Magana</t>
  </si>
  <si>
    <t>andreamagana@gmail.com</t>
  </si>
  <si>
    <t>1141 123rd street</t>
  </si>
  <si>
    <t>+16469729640</t>
  </si>
  <si>
    <t>Julia Chacon</t>
  </si>
  <si>
    <t>Julissa</t>
  </si>
  <si>
    <t>Vazquez</t>
  </si>
  <si>
    <t>julissav38@nycstudents.net</t>
  </si>
  <si>
    <t>civic_leadership I don?t know what civic leadership is community_impact By doing community hours to help my community passionate_causes Less homework since sometimes teachers assign to much for people sdg_awareness Yes I have community_help Because it creates a strong bond between the community</t>
  </si>
  <si>
    <t>4736 45 St Woodside, New York 11377 United States</t>
  </si>
  <si>
    <t>(917)400-7343</t>
  </si>
  <si>
    <t>IS125</t>
  </si>
  <si>
    <t>Rashel2213@gmail.com</t>
  </si>
  <si>
    <t>(347)447-3529</t>
  </si>
  <si>
    <t>Maria (Mafer)</t>
  </si>
  <si>
    <t>Matute</t>
  </si>
  <si>
    <t>2026_mariavera@ihs-us.org</t>
  </si>
  <si>
    <t>Attended Google: Code Next on Feb 21, 2024 - Has a Speakhire shirt Additional email - mafermatute19@ihs-us.org Emergency Contact - Susana Vera, mother, 3478373962 IL Responses: REASONING To learn more about leadership skill BUSINESS IDEA I would like to do talks so that students know that smoking is bad for your health and that even vaping is much more harmful to your body. SOCIAL PROBLEM For me one problem in my society or my community is the problem with smoking of all teenagers.</t>
  </si>
  <si>
    <t>48-27 63rd Street 2nd fl Woodside, New York 11377 United States</t>
  </si>
  <si>
    <t>2002matutesebas@gmail.com</t>
  </si>
  <si>
    <t>Richard</t>
  </si>
  <si>
    <t>Andagana</t>
  </si>
  <si>
    <t>2025_richardandagana@ihs-us.org</t>
  </si>
  <si>
    <t>Additional Email -  r.andagana19@gmail.com REASONING I want to learn more about leadership BUSINESS IDEA N/A SOCIAL PROBLEM N/A</t>
  </si>
  <si>
    <t>490 Kosciuszko st Brooklyn, New York 11221 United States</t>
  </si>
  <si>
    <t>Maria Masabanda</t>
  </si>
  <si>
    <t>r.andagana19@gmail.com</t>
  </si>
  <si>
    <t xml:space="preserve"> GUARDIAN PHONE 3479327642</t>
  </si>
  <si>
    <t>Toran</t>
  </si>
  <si>
    <t>Mohamed</t>
  </si>
  <si>
    <t>Yemen</t>
  </si>
  <si>
    <t>10/3/22 SB marked inactive after talk with school. Toran applied for another Internship that conflicts with FY. Email: toran.mohamed@ellisprep.com phone number:  3133274154</t>
  </si>
  <si>
    <t>6040 Huxley Ave, Bronx, N 10471</t>
  </si>
  <si>
    <t xml:space="preserve">Ammar Mohamed </t>
  </si>
  <si>
    <t>toranammar2@gmail.com</t>
  </si>
  <si>
    <t>Katherine (Katy)</t>
  </si>
  <si>
    <t>2026_katherineflores@ihs-us.org</t>
  </si>
  <si>
    <t>Additional Email -  katy16flores@gmail.com</t>
  </si>
  <si>
    <t>50 Himrod St Apt 2 Brooklyn, New York 11221 United States</t>
  </si>
  <si>
    <t>(347)661-3643</t>
  </si>
  <si>
    <t xml:space="preserve">“Though I’m interested in medicine, SPEAKHIREconnected me with a champion about business, and it was a great experience. My Champion guided us during all of the sessions about different topics that we will use in the future, and the environment was comfortable. I learned how to make a good resume, choose colleges, and manage my time. Both the Champions and SPEAKHIRE staff are excellent, and the environment they create is healthy and comfortable. Thank you so much for this spectacular experience!”
</t>
  </si>
  <si>
    <t>gladismopocita@gmail.com</t>
  </si>
  <si>
    <t>(929)979-8012</t>
  </si>
  <si>
    <t>Mizhirumbay</t>
  </si>
  <si>
    <t>ladym5@nycstudents.net</t>
  </si>
  <si>
    <t>50-40 Jacobus St Elmhurst, New York 11373 United States</t>
  </si>
  <si>
    <t>tenezacamaria08@gmail.com</t>
  </si>
  <si>
    <t>Harley</t>
  </si>
  <si>
    <t>Tigre</t>
  </si>
  <si>
    <t>harleyt2@nycstudents.net</t>
  </si>
  <si>
    <t>50-40 Jacobus st Elmhurst,NY, New York 11373 United States</t>
  </si>
  <si>
    <t>laura lucero</t>
  </si>
  <si>
    <t>lauramlucero1982@gmail.com</t>
  </si>
  <si>
    <t>(646)530-5043</t>
  </si>
  <si>
    <t>Chuqui</t>
  </si>
  <si>
    <t>justinc1064@nycstudents.net</t>
  </si>
  <si>
    <t>50-40 Jacobus St NY, New York 11373 United States</t>
  </si>
  <si>
    <t>justinc1064@gmail.com</t>
  </si>
  <si>
    <t>Camara</t>
  </si>
  <si>
    <t>"Gambia, The"</t>
  </si>
  <si>
    <t>omarcamara@claremontihs.org</t>
  </si>
  <si>
    <t>2000 anthony ave NYC 10457</t>
  </si>
  <si>
    <t>+19293044200</t>
  </si>
  <si>
    <t>Osuman Camara</t>
  </si>
  <si>
    <t>osuman.camara@yahoo.com</t>
  </si>
  <si>
    <t>+19174154372</t>
  </si>
  <si>
    <t>Galo</t>
  </si>
  <si>
    <t>Yungan</t>
  </si>
  <si>
    <t>galoy@nycstudents.net</t>
  </si>
  <si>
    <t>50-40 Jacobus St. Elmhurst, NY 11372 NY, New York 11373 United States</t>
  </si>
  <si>
    <t>Marina Ramos</t>
  </si>
  <si>
    <t>elemarina0522@gmail.com</t>
  </si>
  <si>
    <t>929-471-8895</t>
  </si>
  <si>
    <t>Kelvin</t>
  </si>
  <si>
    <t>Altamirano</t>
  </si>
  <si>
    <t>kelvina107@nycstudents.net</t>
  </si>
  <si>
    <t>KELvina107@nycstudents.net</t>
  </si>
  <si>
    <t>Ancly</t>
  </si>
  <si>
    <t>Tzul</t>
  </si>
  <si>
    <t>Guatemala</t>
  </si>
  <si>
    <t>ancly2019@flushinginternational.org</t>
  </si>
  <si>
    <t>Hetal changed Ancly's email from this tzulgutierrezanclypaola@gmail.com to her school email provided by Rosmery (2/2/22)</t>
  </si>
  <si>
    <t>147-40 ferndale ave, jamaica Queens NY 11435</t>
  </si>
  <si>
    <t>+19292584201</t>
  </si>
  <si>
    <t>Eduard Tzul</t>
  </si>
  <si>
    <t>tzulgutierrezanclypaola@gmail.com</t>
  </si>
  <si>
    <t>+19292584507</t>
  </si>
  <si>
    <t>William Q</t>
  </si>
  <si>
    <t>Quizar</t>
  </si>
  <si>
    <t>q.william2020@flushinginternational.org</t>
  </si>
  <si>
    <t>150-39 87th ave</t>
  </si>
  <si>
    <t>+13476084015</t>
  </si>
  <si>
    <t>cecilia</t>
  </si>
  <si>
    <t>Paulina</t>
  </si>
  <si>
    <t>Goya</t>
  </si>
  <si>
    <t>paulinag25@nycstudents.net</t>
  </si>
  <si>
    <t>Celsa Morla</t>
  </si>
  <si>
    <t>Cevimopi_86@hotmail.com</t>
  </si>
  <si>
    <t>Rafaela</t>
  </si>
  <si>
    <t>rafaelaa9@nycstudents.net</t>
  </si>
  <si>
    <t>Additional Email rafaelaalmeidaronquillo@gmail.com Reasoning N/A Business Idea I don&amp;#39;t have any business idea for solve this problem Social Problem subway surfing</t>
  </si>
  <si>
    <t>50-52 40st long island city, New York 11104 United States</t>
  </si>
  <si>
    <t>rafaela</t>
  </si>
  <si>
    <t>rafaelaalmeidaronquillo@gmail.com</t>
  </si>
  <si>
    <t>SANAN</t>
  </si>
  <si>
    <t>js258822279@crotonaihs.org</t>
  </si>
  <si>
    <t>Bio -  Jose Sanan: Jose came from Guatemala to America when he was 15 years old. He is interested in architecture and health sciences / medicine. Jose describes himself as responsible, punctual, and polite. She is still exploring his options for college. Jose, we matched you based on your interest in health sciences / medicine. About - The X Intern came from Guatemala to America when he was 15 years old. She speaks English and Spanish. This is her first year and round in the program. The jobs that she listed that she is interested in are, ?police, architecture, trailer driver, doctor.?</t>
  </si>
  <si>
    <t>300 East 184 street, 1st fl, Bronx, NY 10458</t>
  </si>
  <si>
    <t>+19202549273</t>
  </si>
  <si>
    <t>IVELIZE</t>
  </si>
  <si>
    <t>yxcoyjose207@gmail.com</t>
  </si>
  <si>
    <t>+19292938816</t>
  </si>
  <si>
    <t>Ametefe</t>
  </si>
  <si>
    <t>Togo</t>
  </si>
  <si>
    <t>2022_jamesametefe@ihs-us.org</t>
  </si>
  <si>
    <t>164 West 174th Street</t>
  </si>
  <si>
    <t>+19294744959</t>
  </si>
  <si>
    <t xml:space="preserve">"I joined to improve my leadership skills. The facilitator was so nice, calm, and open-hearted. She made sure we understood everything, even with tech challenges. This program made me consider being a software engineer much more."
</t>
  </si>
  <si>
    <t>Koku</t>
  </si>
  <si>
    <t>Mateo</t>
  </si>
  <si>
    <t>Buele</t>
  </si>
  <si>
    <t>mateob6647@nycstudents.net</t>
  </si>
  <si>
    <t>51-20 101 st</t>
  </si>
  <si>
    <t>+13473706189</t>
  </si>
  <si>
    <t>Edgar Buele</t>
  </si>
  <si>
    <t>Elba</t>
  </si>
  <si>
    <t>Larias</t>
  </si>
  <si>
    <t>elarias@crotonaihs.org</t>
  </si>
  <si>
    <t>361 East 188th Street, Apt 20, Bronx, NY 10458</t>
  </si>
  <si>
    <t>+19295437813</t>
  </si>
  <si>
    <t>Genoveo Larias</t>
  </si>
  <si>
    <t>12joserivera34@gmail.com</t>
  </si>
  <si>
    <t>4176 PARSONS BLVD Flushing NY 11355</t>
  </si>
  <si>
    <t>+19172141127</t>
  </si>
  <si>
    <t>Today's meeting was great because we get to practice and receive feedback related to written communication. I hope to keep practicing more skills during this intership</t>
  </si>
  <si>
    <t>Elvin Curiales</t>
  </si>
  <si>
    <t>elvincuriales@gmail.com</t>
  </si>
  <si>
    <t>+12018875351</t>
  </si>
  <si>
    <t>Bryan Montesdeoca</t>
  </si>
  <si>
    <t>Montesdeoca</t>
  </si>
  <si>
    <t>bryanmontesdeoca686@gmail.com</t>
  </si>
  <si>
    <t>54 14 111street Corona NY 11368</t>
  </si>
  <si>
    <t>+19173199495</t>
  </si>
  <si>
    <t>Francisco Montesdeoca</t>
  </si>
  <si>
    <t>+19179376887</t>
  </si>
  <si>
    <t>carlos2019@flushinginternational.org</t>
  </si>
  <si>
    <t>54-12 72nd street Queen NY 11378</t>
  </si>
  <si>
    <t>+19292186883</t>
  </si>
  <si>
    <t>Angelica Ramirez</t>
  </si>
  <si>
    <t>+16317828938</t>
  </si>
  <si>
    <t>Gustavo</t>
  </si>
  <si>
    <t>Cargua</t>
  </si>
  <si>
    <t>2025_gustavocargua@ihs-us.org</t>
  </si>
  <si>
    <t>Additional Email: gustavocargua21@gmail.com IL Responses:  REASONING I want to learn how to use my voice to be an activist and leader. BUSINESS IDEA I want to start a restaurant so that I may be able to feed current asylum seekers SOCIAL PROBLEM I want to help undocumented people feel like they are apart of the community but also I want to solve undocumented people struggle to get documents to work here legally.</t>
  </si>
  <si>
    <t>571 w 139th st. New York New York Manhattan, New York 11237 United States</t>
  </si>
  <si>
    <t>Cristian Barrera</t>
  </si>
  <si>
    <t xml:space="preserve">Brother </t>
  </si>
  <si>
    <t>gustavocargua@gmail.com</t>
  </si>
  <si>
    <t>Jasmin</t>
  </si>
  <si>
    <t>nimjas15@gmail.com</t>
  </si>
  <si>
    <t>Engaged DL Alumlast last communication by PQ 10/17 C4C  --  PQ </t>
  </si>
  <si>
    <t>56 harman</t>
  </si>
  <si>
    <t>+19294099046</t>
  </si>
  <si>
    <t>Sergio Mendoza</t>
  </si>
  <si>
    <t>Lessly</t>
  </si>
  <si>
    <t>lesslyf2@nycstudents.net</t>
  </si>
  <si>
    <t>Additional Email romeroolimpia52@gmail.com</t>
  </si>
  <si>
    <t>6 Edgecombe Ave New york Ny, New york ny 10030 Ecuador</t>
  </si>
  <si>
    <t>Mott Hall High School.</t>
  </si>
  <si>
    <t>lessly</t>
  </si>
  <si>
    <t>romeroolimpia52@gmail.com</t>
  </si>
  <si>
    <t>davidm1484@nycstudentsd.net</t>
  </si>
  <si>
    <t>6 edgecombe ave NEW YORK, New York 10030 United States</t>
  </si>
  <si>
    <t>felipe mendoza</t>
  </si>
  <si>
    <t>felipemendo79@gmail.com</t>
  </si>
  <si>
    <t>Inti (Abel)</t>
  </si>
  <si>
    <t>Sisa</t>
  </si>
  <si>
    <t>2025_intisisa@ihs-us.org</t>
  </si>
  <si>
    <t>Additional Email -  cabotelenchana@gmail.com REASONING i want to learn more about Leadership BUSINESS IDEA N/A SOCIAL PROBLEM N/A</t>
  </si>
  <si>
    <t>60-43 67th Ave Flushing, New York 11385 United States</t>
  </si>
  <si>
    <t>Natalia Elizabeth</t>
  </si>
  <si>
    <t>cabotelenchana@gmail.com</t>
  </si>
  <si>
    <t>Auquilla</t>
  </si>
  <si>
    <t>2024_christophermaxi@ihs-us.org</t>
  </si>
  <si>
    <t>New Bio - Christopher Auquilla Maxi: &amp;#34;I came to the United States from Ecuador when I was 16 years old. I am interested in CAREER, architecture, interior design, I describe myself as disciplined, hard worker, focused I am still considering my options for after high school.&amp;#34; About:  The X Intern moved from Ecuador to the U.S. when he was 16 years old. He speaks English and Spanish. This is his first year and round in the program. The jobs that he listed are, ?Architecture, real state, health, and business.? Bio -  Christopher Auquilla: Christopher moved from Ecuador to the U.S. when he was 16 years old. He is interested in architecture and business. Christopher describes himself as focused, skilled, and a hard-worker. He is still exploring his options for after high school. Christopher, we matched you based on your interest in business.</t>
  </si>
  <si>
    <t>6006 60th Dr 11378 New York queens</t>
  </si>
  <si>
    <t>+19292161258</t>
  </si>
  <si>
    <t>Daniela Maxi</t>
  </si>
  <si>
    <t>danielalexandra2009@hotmail.com</t>
  </si>
  <si>
    <t>+19292161256</t>
  </si>
  <si>
    <t>Zoe</t>
  </si>
  <si>
    <t>Elizalde</t>
  </si>
  <si>
    <t>zoee2789@nycstudents.net</t>
  </si>
  <si>
    <t>63-40 Fresh Pond Road Ridgewood 11385</t>
  </si>
  <si>
    <t>+19295337105</t>
  </si>
  <si>
    <t>NYC IS 93 NY</t>
  </si>
  <si>
    <t>IS93</t>
  </si>
  <si>
    <t>Janneth Elizalde</t>
  </si>
  <si>
    <t>Jhordy</t>
  </si>
  <si>
    <t>Mayancela</t>
  </si>
  <si>
    <t>jhordysmayancela@gmail.com</t>
  </si>
  <si>
    <t>Additional Email jhordysmayancela@gmail.com</t>
  </si>
  <si>
    <t>68-02 53rd Drive Maspeth, New York 11378 United States</t>
  </si>
  <si>
    <t>Nancy Farez</t>
  </si>
  <si>
    <t>dianamayancela01@gmail.com</t>
  </si>
  <si>
    <t>Ruano</t>
  </si>
  <si>
    <t>katherine.ruano@ichsbronx.org</t>
  </si>
  <si>
    <t>Katherine has missed first 3 sessions so she is marked as inactive FY Intern following HJ instruction. About Intern: The X Intern came from Guatemala to America when she was 17 years old. She speaks English and Spanish. This is her first year and round in the program. She is interested in the architecture, STEM, and business fields. Email:  katherine.ruano@ichsbronx.org Additional Email: Katherinecayetano@gmail.com Phone #: 9293876001</t>
  </si>
  <si>
    <t>731 E 161 ST Bronx, New York 10456 United States</t>
  </si>
  <si>
    <t>Alicia</t>
  </si>
  <si>
    <t>Aliciacayetano@gmail.com</t>
  </si>
  <si>
    <t>Rodas</t>
  </si>
  <si>
    <t>melarovilli@gmail.com</t>
  </si>
  <si>
    <t>69-08 38th Ave</t>
  </si>
  <si>
    <t>+19295077365</t>
  </si>
  <si>
    <t>SANDRA MOREIRA VILLIZHANAY</t>
  </si>
  <si>
    <t>Antonia</t>
  </si>
  <si>
    <t>Ajtzalam</t>
  </si>
  <si>
    <t>leon.ajtzalam502@gmail.com</t>
  </si>
  <si>
    <t>94 quentin road 11223</t>
  </si>
  <si>
    <t>Diego Ajtzalam</t>
  </si>
  <si>
    <t>ajtzalam.leon502@gmail.com</t>
  </si>
  <si>
    <t>+17185025682</t>
  </si>
  <si>
    <t>Josthyn</t>
  </si>
  <si>
    <t>Corozo</t>
  </si>
  <si>
    <t>josthync3@nycstudents.net</t>
  </si>
  <si>
    <t>Aditional Email -  Josthyncorozo243@gmail.com REASONING Quiero tener mejores oportunidades y aprender a empodermerme y saber como conducirmeen la vida BUSINESS IDEA N/A SOCIAL PROBLEM N/A</t>
  </si>
  <si>
    <t>6edgecombe Ave new york Manhatan, New York 10030 United States</t>
  </si>
  <si>
    <t>Reid Pierce</t>
  </si>
  <si>
    <t>teacher</t>
  </si>
  <si>
    <t>dpierce6@schools.nyc.gov</t>
  </si>
  <si>
    <t>Diez</t>
  </si>
  <si>
    <t>emilyd422@nycstudents.net</t>
  </si>
  <si>
    <t>COURSE CHOICE IL REASONING todavia nose BUSINESS IDEA no eh pensado SOCIAL PROBLEM ninguno</t>
  </si>
  <si>
    <t>6Edgecombe Ave New, NY USA, New York 10039 United States</t>
  </si>
  <si>
    <t>Reid Pierece</t>
  </si>
  <si>
    <t>TEACHER</t>
  </si>
  <si>
    <t>Jade</t>
  </si>
  <si>
    <t>Gordillo</t>
  </si>
  <si>
    <t>jadeg109@nycstudents.net</t>
  </si>
  <si>
    <t>Additional Email:  Jadeg109@nycstudent.net</t>
  </si>
  <si>
    <t>70-41 45 AVE Woodside, New York 11377 United States</t>
  </si>
  <si>
    <t>516-974-8859</t>
  </si>
  <si>
    <t>Paul</t>
  </si>
  <si>
    <t>Gordillo.Paul@yahoo.com</t>
  </si>
  <si>
    <t>Donis</t>
  </si>
  <si>
    <t>Aldana</t>
  </si>
  <si>
    <t>dramirez@crotonaihs.org</t>
  </si>
  <si>
    <t>E 300 184 NY</t>
  </si>
  <si>
    <t>Leonicio aldana</t>
  </si>
  <si>
    <t>+16464229320</t>
  </si>
  <si>
    <t>Murillo</t>
  </si>
  <si>
    <t>richard.murillo.24@wheels-student.org</t>
  </si>
  <si>
    <t>About Intern:  The third Intern was born in America, but one of his parents came from Ecuador. He speaks English and Spanish. This is his first year and second round in the program. He listed, &amp;#34;U.S. Marine Corps, Construction Technician or Police Officer,&amp;#34; as jobs he is interested in.</t>
  </si>
  <si>
    <t>703 W 180th Street</t>
  </si>
  <si>
    <t>+13479490530</t>
  </si>
  <si>
    <t>Manuela Albarracin</t>
  </si>
  <si>
    <t>ABIGAIL0915@Hotmail.org</t>
  </si>
  <si>
    <t>+16462286440</t>
  </si>
  <si>
    <t>Yamile</t>
  </si>
  <si>
    <t>Bastidas</t>
  </si>
  <si>
    <t>analien006@gmail.com</t>
  </si>
  <si>
    <t>72-07 73rd St Glendale, NY 11385</t>
  </si>
  <si>
    <t>+13475266223</t>
  </si>
  <si>
    <t>Milton Bastidas</t>
  </si>
  <si>
    <t>milbas2017@gmail.com</t>
  </si>
  <si>
    <t>+16469544207</t>
  </si>
  <si>
    <t>Cayambe</t>
  </si>
  <si>
    <t>marisolcayambe68@ihs-us.org</t>
  </si>
  <si>
    <t>88menahan</t>
  </si>
  <si>
    <t>+19292718252</t>
  </si>
  <si>
    <t>Carlos Cayambe</t>
  </si>
  <si>
    <t>Nelly (Alexandra)</t>
  </si>
  <si>
    <t>Pilahuisin</t>
  </si>
  <si>
    <t>2025_nellypilahuisin@ihs-us.org</t>
  </si>
  <si>
    <t>Additional Email -  nellypilahuisin189@gmail.com IL Responses: REASONING I wanted to learn English BUSINESS IDEA Nothing yet. SOCIAL PROBLEM Nothing</t>
  </si>
  <si>
    <t>74-13 Rockaway blv queens, New York 11421 United States</t>
  </si>
  <si>
    <t xml:space="preserve">“This program taught me how to create my own foundation, the requirements to start, and the value of working in a group. I learned to share ideas, be patient, and have confidence in others, while discovering that collaboration makes projects stronger. It inspired me to pursue my dream of creating a foundation in my home country to help more people.”
</t>
  </si>
  <si>
    <t>Anderzon Pilahuisin</t>
  </si>
  <si>
    <t>Anderzonpilahuisin06@gmail.com</t>
  </si>
  <si>
    <t>Jazmine</t>
  </si>
  <si>
    <t>Corte</t>
  </si>
  <si>
    <t>jazminec49@nycstudents.net</t>
  </si>
  <si>
    <t>79-11-41 Ave Elmhurst, New York 11373 United States</t>
  </si>
  <si>
    <t>Noe Pintado</t>
  </si>
  <si>
    <t>Jazminec49@nycstudents.net</t>
  </si>
  <si>
    <t>Leonor</t>
  </si>
  <si>
    <t>Chuya</t>
  </si>
  <si>
    <t>leonorc4@nycstudents.net</t>
  </si>
  <si>
    <t>79-15 Penelope Ave middle village new york, New York 11379 United States</t>
  </si>
  <si>
    <t>Leonorc4@nycstudents.net</t>
  </si>
  <si>
    <t>347-523-2869</t>
  </si>
  <si>
    <t>Anderson</t>
  </si>
  <si>
    <t>Valverde</t>
  </si>
  <si>
    <t>andersonv25@nycstudents.net</t>
  </si>
  <si>
    <t>80-15 41 Ave Lefrak City, New York 11373 United States</t>
  </si>
  <si>
    <t>Janet Delgado</t>
  </si>
  <si>
    <t>jhoelito139@gmail.com</t>
  </si>
  <si>
    <t>Frankie</t>
  </si>
  <si>
    <t>Boccio</t>
  </si>
  <si>
    <t>frankieb14@nycstudents.net</t>
  </si>
  <si>
    <t>82-45 St. James Ave Queens, New York 11373 United States</t>
  </si>
  <si>
    <t>Mayra Ramos (Mother)</t>
  </si>
  <si>
    <t>mayryboccio@hotmail.com</t>
  </si>
  <si>
    <t>646-331-6645</t>
  </si>
  <si>
    <t>sebastiang194@nycstudents.net</t>
  </si>
  <si>
    <t>87-56 251st street Bellerose, New York 11426 United States</t>
  </si>
  <si>
    <t>(929)313-3099</t>
  </si>
  <si>
    <t>Denys Gonzalez</t>
  </si>
  <si>
    <t>denysgonzalez@gmail.com</t>
  </si>
  <si>
    <t>(347)226-1839</t>
  </si>
  <si>
    <t>Fabricio</t>
  </si>
  <si>
    <t>Saquipulla</t>
  </si>
  <si>
    <t>fabricios4@nycstudents.net</t>
  </si>
  <si>
    <t>92 34 42 ave</t>
  </si>
  <si>
    <t>+13474218859</t>
  </si>
  <si>
    <t>liliana garcia</t>
  </si>
  <si>
    <t>Royce</t>
  </si>
  <si>
    <t>roycep4@nycstudents.net</t>
  </si>
  <si>
    <t>94-42-45 ave queens elmhurst, New York 11373 United States</t>
  </si>
  <si>
    <t>Royce prado</t>
  </si>
  <si>
    <t>ROycep4@nycstudents.net</t>
  </si>
  <si>
    <t>Jayleen</t>
  </si>
  <si>
    <t>Vallejo</t>
  </si>
  <si>
    <t>jayleenv28@nycstudents.net</t>
  </si>
  <si>
    <t>96-06-31 avenue east elmhurst, New York 11369 United States</t>
  </si>
  <si>
    <t>jayleen vallejo</t>
  </si>
  <si>
    <t>Zumba</t>
  </si>
  <si>
    <t>tatiana.zumba@casa311.com</t>
  </si>
  <si>
    <t>96-10 37th Avenue, A3 Corona NY 11368</t>
  </si>
  <si>
    <t>+16468361752</t>
  </si>
  <si>
    <t>Jenny Jine</t>
  </si>
  <si>
    <t>2025_danielguillen@ihs-us.org</t>
  </si>
  <si>
    <t>Attended Google: Code Next on Feb 21, 2024 - Has a Speakhire shirt Additional email -  2025_danielguillen@ihs-us.org</t>
  </si>
  <si>
    <t>98-45 Corona Ave Queens, New York 11368 United States</t>
  </si>
  <si>
    <t>Veronica Cortez</t>
  </si>
  <si>
    <t>Veroalexacortez1486@gmail.com</t>
  </si>
  <si>
    <t>Lesly</t>
  </si>
  <si>
    <t>chucinolesly@gmail.com</t>
  </si>
  <si>
    <t>School Name: Lchucino@crotonaihs.org 10/30/23 - FY graduate of 2023, Y2 student 23-24 Bio -  Lesly Chucino: Lesly came from Ecuador to the United States when she was 15 years old. She is interested in health sciences / medicine and social sciences / psychology. Lesly describes herself as intelligent and responsible. She is looking into Queens College. Lesly, we matched you based on your interest in social sciences / psychology. About - The X Intern came from Ecuador to the United States when she was 15 years old. She speaks English and Spanish. This is her first year and round in the program. The jobs that she listed that she is interested in are, ?Neonatal Nurse, Veterinary and Psychologist.?</t>
  </si>
  <si>
    <t>Bronx, New York 1987 Davidson Ave. Apt 3H 10453</t>
  </si>
  <si>
    <t>+16466413391</t>
  </si>
  <si>
    <t>Sonia Marcela</t>
  </si>
  <si>
    <t>marcezhmatute@gmail.com</t>
  </si>
  <si>
    <t>+19294345194</t>
  </si>
  <si>
    <t>Ali</t>
  </si>
  <si>
    <t>Salem</t>
  </si>
  <si>
    <t>2023_alisalem@ihs-us.org</t>
  </si>
  <si>
    <t>2022 Future Leader</t>
  </si>
  <si>
    <t>532 9th ave apt 4c</t>
  </si>
  <si>
    <t>+19296035627</t>
  </si>
  <si>
    <t>First : Saad  last : Ahmed</t>
  </si>
  <si>
    <t>+16465417523</t>
  </si>
  <si>
    <t>Jorge.</t>
  </si>
  <si>
    <t>bronx</t>
  </si>
  <si>
    <t>929-337-5614</t>
  </si>
  <si>
    <t>Guevara</t>
  </si>
  <si>
    <t>2023_andreaguevara@ihs-us.org</t>
  </si>
  <si>
    <t>69-56 44th Ave, Woodside, NY 11377</t>
  </si>
  <si>
    <t>+13476845166</t>
  </si>
  <si>
    <t xml:space="preserve">"The information helps us. She taught us topics that are going to be useful in my future life and she made us understand. He explained well and related with other students. I like how he explained to us about social media and how to communicate. Thank you for the meeting, thank you for teaching us, and thanks for the information."
</t>
  </si>
  <si>
    <t>Alessandra Pedroni</t>
  </si>
  <si>
    <t>Alessandrapedroni54@gmail.com</t>
  </si>
  <si>
    <t>+13475496430</t>
  </si>
  <si>
    <t>Mauricio</t>
  </si>
  <si>
    <t>ms25865221@crotonaihs.org</t>
  </si>
  <si>
    <t>Park Avenue 4445 el Bronx NY</t>
  </si>
  <si>
    <t>+16466170794</t>
  </si>
  <si>
    <t>Liliana Reyes</t>
  </si>
  <si>
    <t>Israel Cumina</t>
  </si>
  <si>
    <t>Cumina</t>
  </si>
  <si>
    <t>israelyuquilema3@gmail.com</t>
  </si>
  <si>
    <t>Brooklyn,NY</t>
  </si>
  <si>
    <t>+13473752137</t>
  </si>
  <si>
    <t>Patricia Yuquilema</t>
  </si>
  <si>
    <t>israelc9342@nycstudents.net</t>
  </si>
  <si>
    <t>Avril</t>
  </si>
  <si>
    <t>Hetal called Avril March 19th, 2024 -- she's currently not in school. She just finished training to become a medical assistant. She is interested in becoming a facilitator if needed.  2/20/21 SB update language from &amp;#34;not comfortable&amp;#34; to &amp;#34;Very comfortable&amp;#34; based on responses</t>
  </si>
  <si>
    <t>3674 3rd Ave. Apt 1A, Bronx, NY 10456</t>
  </si>
  <si>
    <t>+16467159757</t>
  </si>
  <si>
    <t>Carlos.</t>
  </si>
  <si>
    <t>carlosm5802@nycstudents.net</t>
  </si>
  <si>
    <t>50-31 38stree</t>
  </si>
  <si>
    <t>Isaura Galindo</t>
  </si>
  <si>
    <t>tuapantaedgar7@gmail.com</t>
  </si>
  <si>
    <t>en mi casa</t>
  </si>
  <si>
    <t>Elvia tuapanta</t>
  </si>
  <si>
    <t>Lionel</t>
  </si>
  <si>
    <t>Hipo</t>
  </si>
  <si>
    <t>lionelh11@nycstudents.net</t>
  </si>
  <si>
    <t>Reasoning N/A Business Idea it is because I want to make the world better and so they can have a healthy life Social Problem I want to help the homeless so they can have lil homes.</t>
  </si>
  <si>
    <t>I live in 40th in Queens woodside new York, New York no United States</t>
  </si>
  <si>
    <t>luis hipo</t>
  </si>
  <si>
    <t>luis@gmail</t>
  </si>
  <si>
    <t>Jostyn</t>
  </si>
  <si>
    <t>Loor</t>
  </si>
  <si>
    <t>jodstynl@yncstudenst.net</t>
  </si>
  <si>
    <t>+19293486421</t>
  </si>
  <si>
    <t>Jheymi</t>
  </si>
  <si>
    <t>jheymio@nycstudents.net</t>
  </si>
  <si>
    <t>no se</t>
  </si>
  <si>
    <t>clara luna</t>
  </si>
  <si>
    <t>Emmanuel</t>
  </si>
  <si>
    <t>Rezil</t>
  </si>
  <si>
    <t>2023_emmanuelrezil@ihs-us.org</t>
  </si>
  <si>
    <t>340 East 31 Street Apt c4 11226</t>
  </si>
  <si>
    <t>+19293375073</t>
  </si>
  <si>
    <t>Astrel Rezil</t>
  </si>
  <si>
    <t>Astrelrezil28@gmail.com</t>
  </si>
  <si>
    <t>+19294233587</t>
  </si>
  <si>
    <t>Domenica</t>
  </si>
  <si>
    <t>domenicar12@nycstudents.net</t>
  </si>
  <si>
    <t>nose</t>
  </si>
  <si>
    <t>+16398548374</t>
  </si>
  <si>
    <t>elsa lagua</t>
  </si>
  <si>
    <t>Gabriel</t>
  </si>
  <si>
    <t>Morris</t>
  </si>
  <si>
    <t>2023_gabrielmorris@ihs-us.org</t>
  </si>
  <si>
    <t>477FDR drive New York  NY APT 1504 M 10002</t>
  </si>
  <si>
    <t>+13474898071</t>
  </si>
  <si>
    <t>Esteban Morris</t>
  </si>
  <si>
    <t>+19172444525</t>
  </si>
  <si>
    <t>jason.martinez.24@wheels-student.org</t>
  </si>
  <si>
    <t>About Intern: The x Intern's family is from Ecuador, but he was born in the United States. He speaks English and Spanish. This is his first year and round in the program. The jobs he listed that he is interested in are, &amp;#34;system architect, engineer, electrician.&amp;#34;</t>
  </si>
  <si>
    <t>NYC, NY, 10033</t>
  </si>
  <si>
    <t>+19293859000</t>
  </si>
  <si>
    <t>Esther Martinez</t>
  </si>
  <si>
    <t>estherm642@gmail.com</t>
  </si>
  <si>
    <t>+19173469151</t>
  </si>
  <si>
    <t>Juan Saul</t>
  </si>
  <si>
    <t>ALVARADO SALAZAR</t>
  </si>
  <si>
    <t>juana4753@nycstudents.net</t>
  </si>
  <si>
    <t>+15168889234</t>
  </si>
  <si>
    <t>SFEFANIA MURILLo</t>
  </si>
  <si>
    <t>Ousmane</t>
  </si>
  <si>
    <t>Nabe</t>
  </si>
  <si>
    <t>Guinea</t>
  </si>
  <si>
    <t>ousmane.nabe@ellisprep.com</t>
  </si>
  <si>
    <t>Hetal made inactive on 1/19/22 since he wasn't able to attend IR1 because of work</t>
  </si>
  <si>
    <t>+13473226828</t>
  </si>
  <si>
    <t>Saran Nabe</t>
  </si>
  <si>
    <t>+16463012031</t>
  </si>
  <si>
    <t>Guttman College</t>
  </si>
  <si>
    <t>kathleen</t>
  </si>
  <si>
    <t>loja</t>
  </si>
  <si>
    <t>ashley.loja@yahoo.com</t>
  </si>
  <si>
    <t>Queens 61</t>
  </si>
  <si>
    <t>+19294287463</t>
  </si>
  <si>
    <t>jeimy</t>
  </si>
  <si>
    <t>Tenezaca</t>
  </si>
  <si>
    <t>galot@nycstudents.net</t>
  </si>
  <si>
    <t>vivo en queens ny</t>
  </si>
  <si>
    <t>galo tenezaca</t>
  </si>
  <si>
    <t xml:space="preserve">"The seminar was pretty productive and helpful for my life; I will be taking that information for my professional and student experience. The speaker was fun and a great professional, someone who I can relate to. He had a lot of good and important points to talk about and organized the presentation very well. The choice of different types of speakers from diverse areas and places is very good; I was able to see and meet new people and also learn some new information that is going to be useful in my professional career."
</t>
  </si>
  <si>
    <t>Pacheco</t>
  </si>
  <si>
    <t>2024_josuepacheco@ihs-us.org</t>
  </si>
  <si>
    <t>18-67 Grove st</t>
  </si>
  <si>
    <t>+16465415679</t>
  </si>
  <si>
    <t>Nancy Sinchi</t>
  </si>
  <si>
    <t>llivicura</t>
  </si>
  <si>
    <t>Vivo en Queens. NY</t>
  </si>
  <si>
    <t>Keren</t>
  </si>
  <si>
    <t>Mejia Calderon</t>
  </si>
  <si>
    <t>2023_kerenmejia@ihs-us.org</t>
  </si>
  <si>
    <t>7006 66 St.Glendale, NY 11385</t>
  </si>
  <si>
    <t>+19293716094</t>
  </si>
  <si>
    <t>anyelizac@hotmail.com</t>
  </si>
  <si>
    <t>+13474898017</t>
  </si>
  <si>
    <t>Ecuador, Spain</t>
  </si>
  <si>
    <t>South America, Europe</t>
  </si>
  <si>
    <t>The X Intern moved to the U.S. from Ecuador when she was 15 years old. She speaks English and Spanish. She is interested in health sciences, STEM, and social sciences/psychology. Attended Google: Code Next on Feb 21, 2024 - Has a Speakhire shirt Additional Email -  aminanrodriguez@gmail.com Ambassador Responses: 11 In 250 ? 500 words, describe three traits which make you a leader and a strong student. I possess many traits that make me a leader and a strong student. Firstly, I am very calm. This adds to my leadership skills by helping me keep a level head during times of stress when others are not so calm. It helps me make good decisions to help others and myself. An example of this is when I work in a group in class and my team doesn't collaborate well and easily get off task. I had to be calm and assign roles so that we could finish our work. I will frequently check in on them to make sure they are staying focused because my work and my grades are important to me and I have to do what I need to do to make sure they stay high. Another trait I have is empathy. Being empathetic helps me understand my peers and others around me. As an immigrant, I have experienced a lot of hardships at a young age. These experiences add to my good qualities because it allows me to understand and empathize with people who are different or struggling. Finally, I am a hard worker. I never give up until I have accomplished something that I want to accomplish. This helps me be a strong student because it shows that I'm always focused, I am disciplined and I have academic success. One example of this is when I moved to the US at the age of fourteen, I did not know English. However, all of my classes were taught to me in English. I was determined to pass all of my classes with high scores and to master a new language. This was extremely difficult, but I stayed focused and prioritized my time to achieve my goals. I knew when I needed to ask for help and stay after school, even when my friends went to the park for ice cream. Because of this trait, I now am a high honor roll student with a strong GPA who is bilingual. 12 In 100 ? 250 words, how can SPEAKHIRE help you you boost your own academic profile? Helping me improve my academic profile through the help of my study plan, learn more about the field I want to pursue. Also helping me learn more about my strengths and weaknesses and helping me improve my academic performance.I know at speakhire I am going to be introduced to experts and professionals who will teach me all about different career paths I can take. Currently, I make great grades and it is my goal to get accepted into a good college. However, I am not that familiar with different careers and options I have as far as areas of studies because I haven?t explored my interests. Being a part of speakhire will introduce me and expose me to many different professions. This will motivate me to work hard for my future. 13 In 100 ? 250 words, what opportunities do young people who are immigrant and first-generation American currently have to gain awareness of career opportunities? Immigrant and first-generation American students have opportunities to receive school orientation counseling to learn more about university and the opportunities they can have in college. They have access to mentoring programs that will guide them in the process of going to college and discovering their careers. They also have opportunities to enter programs to earn university credits and receive guidance from university personnel about scholarships or things they should do before entering college. Financial support is another thing they can receive to cover their studies, such as scholarships or loans so they can fulfill their dreams of having a career. Many programs also offer language service support so that they can improve their English and feel more comfortable learning for their classes. 14 In 250 ? 500 words, why you would succeed as a SPEAKHIRE for your grade at your school. If you do not meet all the requirements, explain why we should consider you for the position. I would be a good representative of my school because I am a person who has shown academic performance in the last two years of high school and the current one. I put in academic effort every day to continue maintaining my good performance in classes. During these years, I have focused on participating in different programs such as STEP Programs, sports programs, tutoring, and others that have helped me obtain knowledge and experiences as a student, preparing for my future. Based on what I have experienced and learned, I feel able to provide help to my compañeros in classes and other aspects they may need assistance with. These experiences help me understand how I should guide and assist my companions during the Speakhire program. I would represent my school well as someone with diverse experiences and knowledge to help my classmates in their internship so that they can have and apply them in their future careers. My representation in the Speakhire program would allow me to continue helping my peers and the school community. I would motivate every school student to follow the Speakhire Foundation Year program in the future and strive to be nominated for a department, showing that everything is possible with effort. In the future, with this, I could share in detail the experiences I will take from this program and how my future helps my future participants. 15 List the classes you will be taking the upcoming school year and any other activities which will keep you occupied. Please explain to us how many hours a week you will dedicate towards SPEAKHIRE and what your schedule will look like. No response 16 Outline your main responsibilities as a SPEAKHIRE Ambassador: My main responsabilities as Speakhire Ambassador would be support my community, remind them to assist each session, assist every event to learn more about the leaderships skills.</t>
  </si>
  <si>
    <t>2550 W 16th St Brooklyn, NY, New York 11214 United States</t>
  </si>
  <si>
    <t>Summit 2025, Summit 2024, ICAN</t>
  </si>
  <si>
    <t xml:space="preserve">"I chose to be in Speakhire Foundational Year because it provided me with a great opportunity to talk to people in careers based on my interests. Each session taught us a new skill and how we could put it to use, and my champion explained the importance of each skill and helped us deeply research our colleges of interest and the majors we desired. This experience would help me be more decisive in choosing my career, and I’m very thankful for this opportunity—it really helped me a lot."
</t>
  </si>
  <si>
    <t>ruth.roca1512@gmail.com</t>
  </si>
  <si>
    <t>Zeyad</t>
  </si>
  <si>
    <t>zeyad2019@flushinginternational.org</t>
  </si>
  <si>
    <t>+19293008130</t>
  </si>
  <si>
    <t>Ashraf</t>
  </si>
  <si>
    <t>amohamed@inths.org</t>
  </si>
  <si>
    <t>1980 65th street Brooklyn NY 11204</t>
  </si>
  <si>
    <t>+13473202776</t>
  </si>
  <si>
    <t>Yasser</t>
  </si>
  <si>
    <t>dryaser74@yahoo.com</t>
  </si>
  <si>
    <t>+19295455531</t>
  </si>
  <si>
    <t>Leo</t>
  </si>
  <si>
    <t>Monnier</t>
  </si>
  <si>
    <t>2023_leomonnier@ihs-us.org</t>
  </si>
  <si>
    <t>10 In 250 ? 500 words, describe three traits which make you a leader and a strong student. Taking responsibility for your actions is an important part of healthy and responsible relationships that build trust and confidence. Humility in the workplace is about showing respect and recognizing the roles and contributions of others. The ability to be creative and to think creatively will come up with unique and creative solutions to the obstacles we face. 11 In 100 ? 250 words, how can SPEAKHIRE help you you boost your own academic profile? SPEAKHIRE can help me improve my academic achievement in learning more electrical engineering and can also help me in exchanging and learning other interesting things from each other. It will also have the advantage of confidence when communicating with or in general with someone. 12 In 100 ? 250 words, what opportunities do young people who are immigrant and first-generation American currently have to gain awareness of career opportunities? I think first-generation Americans have a lot of different perceptions of careers from teachers and families. Young immigrants will learn about the careers they want. Also when they go to college they will learn more about the career. 13 In 250 ? 500 words, why you would succeed as a SPEAKHIRE for your grade at your school. If you do not meet all the requirements, explain why we should consider you for the position. I was successful in my classes at school because I try to get everything done on time, besides studying is the only way to create a better future. And I focus on a lot of details when the teacher teaches me. So I can do that position. 14 List the classes you will be taking the upcoming school year and any other activities which will keep you occupied. Please explain to us how many hours a week you will dedicate towards SPEAKHIRE and what your schedule will look like. Next year will still have the same thing for me in 11 grade. Unitl I'm going to 12 grade, I will have computer (coding), and chemical. I can't tell the time and the schedule will be the same finish at 3 to 4pm. 15 Outline your main responsibilities as a SPEAKHIRE Ambassador: Respect, follow the rules, not to be late when I have a meeting will him and finish the work when he give us.</t>
  </si>
  <si>
    <t>82-84 Havemeyer Street, NY,  Brooklyn 11211</t>
  </si>
  <si>
    <t>+19292586738</t>
  </si>
  <si>
    <t>Solange Monnier.</t>
  </si>
  <si>
    <t>solangemonnier@gmail.com</t>
  </si>
  <si>
    <t>+19294017828</t>
  </si>
  <si>
    <t>Aicha</t>
  </si>
  <si>
    <t>aicha.doukoure@ellisprep.com</t>
  </si>
  <si>
    <t>Dema Alhuraibi called Aicha on October 15th. There was some connection issue, the call ended. Dema Alhuraibi reached out to Aicha again on October 14th to request an updated headshot and parent waiver  Dema called Aicha on October 13th -- was able to converse in English</t>
  </si>
  <si>
    <t>355 E 184th Street Apt 922</t>
  </si>
  <si>
    <t>Mohammed Doukoure</t>
  </si>
  <si>
    <t>Ammar</t>
  </si>
  <si>
    <t>abdelrahmana2792@nycstudents.net</t>
  </si>
  <si>
    <t>23-45 38th st astoria, New York 11105 United States</t>
  </si>
  <si>
    <t>abdelrahman ammar</t>
  </si>
  <si>
    <t>ammar.abdo042@nycstudents.net</t>
  </si>
  <si>
    <t>(929)930-9145</t>
  </si>
  <si>
    <t>Mennatallah</t>
  </si>
  <si>
    <t>Mahmoud</t>
  </si>
  <si>
    <t>amiramomen5050@gmail.com</t>
  </si>
  <si>
    <t>Attended Google: Code Next on Feb 21, 2024 - Has a Speakhire shirt Phone number (929) 331-4859 updated (12/2/23)</t>
  </si>
  <si>
    <t>490 Grandview Ave, Queens, NY 11385</t>
  </si>
  <si>
    <t>(929) 331-4859</t>
  </si>
  <si>
    <t>Summit 2025, Summit 2024, Summit/Soiree 2023, ICAN, "#Cheers4Careers,"</t>
  </si>
  <si>
    <t>Amira Soliman</t>
  </si>
  <si>
    <t>+13478818323</t>
  </si>
  <si>
    <t>Cheikh.</t>
  </si>
  <si>
    <t>Ka</t>
  </si>
  <si>
    <t>cheikh.ka@ichsbronx.org</t>
  </si>
  <si>
    <t>Updated date/time for AY 21-22 for Monday 3pm - PQ</t>
  </si>
  <si>
    <t>376 E 158th Street Bronx NY 10451 # B</t>
  </si>
  <si>
    <t>+17184732879</t>
  </si>
  <si>
    <t>Gora ka</t>
  </si>
  <si>
    <t>goraka136@gmail.com</t>
  </si>
  <si>
    <t>+19293202721</t>
  </si>
  <si>
    <t>102-26 martense ave Corona,Queens</t>
  </si>
  <si>
    <t>erikamonterrosa4@gmail.com</t>
  </si>
  <si>
    <t>+19298107738</t>
  </si>
  <si>
    <t>Jabez</t>
  </si>
  <si>
    <t>Yorrick</t>
  </si>
  <si>
    <t>Guyana</t>
  </si>
  <si>
    <t>yorrickjabez@gmail.com</t>
  </si>
  <si>
    <t>1116 145th street linden blvd, Queens New York, 11435</t>
  </si>
  <si>
    <t>+13479426193</t>
  </si>
  <si>
    <t>Deniese Yorrick</t>
  </si>
  <si>
    <t>dyorrick40@gmail.com</t>
  </si>
  <si>
    <t>+13475861715</t>
  </si>
  <si>
    <t>Navier</t>
  </si>
  <si>
    <t>2023_navierrojas@ihs-us.org</t>
  </si>
  <si>
    <t>72 Clinton, NY, 1002</t>
  </si>
  <si>
    <t>+13479868613</t>
  </si>
  <si>
    <t>Kenya Reyes</t>
  </si>
  <si>
    <t>Reyeskenya57@gmail.com</t>
  </si>
  <si>
    <t>+16463844331</t>
  </si>
  <si>
    <t>Nayeli</t>
  </si>
  <si>
    <t>daehyunrobles@gmail.com</t>
  </si>
  <si>
    <t>106-07 northern Blvd Apart 2A corona Ny 11368</t>
  </si>
  <si>
    <t>+13475434865</t>
  </si>
  <si>
    <t>Andres Cruz</t>
  </si>
  <si>
    <t>Andycruz2502@gmail.com</t>
  </si>
  <si>
    <t>+13473029262</t>
  </si>
  <si>
    <t>fatima2019@flushinginternational.org</t>
  </si>
  <si>
    <t>11-41 123rd st college point NY 11356</t>
  </si>
  <si>
    <t>+16469533624</t>
  </si>
  <si>
    <t>julia chacon</t>
  </si>
  <si>
    <t>juliachacon804@gmail.com</t>
  </si>
  <si>
    <t>+13476549169</t>
  </si>
  <si>
    <t>Binda</t>
  </si>
  <si>
    <t>Sukhandan</t>
  </si>
  <si>
    <t>bindaa28@gmail.com</t>
  </si>
  <si>
    <t>210 queens village</t>
  </si>
  <si>
    <t>+16292393725</t>
  </si>
  <si>
    <t>Davanand Sukhandan</t>
  </si>
  <si>
    <t>Ytaliashe</t>
  </si>
  <si>
    <t>Haiti</t>
  </si>
  <si>
    <t>ytaliashejoseph05@gmail.com</t>
  </si>
  <si>
    <t>Attended IR1 22-23 then marked inactive by Francesca - 1/12/23 KW About Intern: She moved to the United States from Haiti when she was 8 years old. She speaks English and Haitian Creole. This is her first year and round in the program. The jobs she listed that she is interested in are, &amp;#34;Investment banking, Entrepreneurship, Real estate, cosmetology, international business, and philanthropist.&amp;#34;</t>
  </si>
  <si>
    <t>+13478561274</t>
  </si>
  <si>
    <t>Martine Innocent</t>
  </si>
  <si>
    <t>martineinnocent20@gmail.com</t>
  </si>
  <si>
    <t>+13478550523</t>
  </si>
  <si>
    <t>paola2019@flushinginternational.org</t>
  </si>
  <si>
    <t>110-20 14th road college point 11356 fluushing, queens</t>
  </si>
  <si>
    <t>+13479824340</t>
  </si>
  <si>
    <t>ana vilma alvarado</t>
  </si>
  <si>
    <t>hellgirl243@gmail.com</t>
  </si>
  <si>
    <t>+17183108302</t>
  </si>
  <si>
    <t>Pineda</t>
  </si>
  <si>
    <t>alessandrosxdp@gmail.com</t>
  </si>
  <si>
    <t>118-45 Metropolitan Ave. Apt 10B Kew Gardens, NY, 11415</t>
  </si>
  <si>
    <t>+19295281550</t>
  </si>
  <si>
    <t>wdpineda@gmail.com</t>
  </si>
  <si>
    <t>+19175864916</t>
  </si>
  <si>
    <t>Jaritza</t>
  </si>
  <si>
    <t>jaritza2019@flushinginternational.org</t>
  </si>
  <si>
    <t>13404 35th Ave, flushing, NY 11354</t>
  </si>
  <si>
    <t>+17185007350</t>
  </si>
  <si>
    <t>Elsi Sosa</t>
  </si>
  <si>
    <t>elsirobles2006@gmail.com</t>
  </si>
  <si>
    <t>+17187758163</t>
  </si>
  <si>
    <t>Takezo</t>
  </si>
  <si>
    <t>Fujita Ostman</t>
  </si>
  <si>
    <t>2023_takezoostman@ihs-us.org</t>
  </si>
  <si>
    <t>6 Stuyvesant Oval 10A, New York, NY, 10009</t>
  </si>
  <si>
    <t>+19175174410</t>
  </si>
  <si>
    <t>Bjorn Ostman</t>
  </si>
  <si>
    <t>parictis@gmail.com</t>
  </si>
  <si>
    <t>+15177631232</t>
  </si>
  <si>
    <t>Yumeiry</t>
  </si>
  <si>
    <t>yumeiry.mauricio@ellisprep.com</t>
  </si>
  <si>
    <t>About Intern: The x Intern came to America from El Salvador when she was 17 years old. She speaks Spanish and is working on her English language skills. This is her first year and round in the program. The jobs that she listed that she is interested in are, &amp;#34;Doctor , Nursing , pediatrics, physical therapist, physician assistant.&amp;#34;</t>
  </si>
  <si>
    <t>135 ELLIOT PL APT 2A BRONX, NY 10452</t>
  </si>
  <si>
    <t>+19297866188</t>
  </si>
  <si>
    <t>Carla Aleman Ramón Mauricio</t>
  </si>
  <si>
    <t>jeremycarla@icloud.com</t>
  </si>
  <si>
    <t>+13472098266</t>
  </si>
  <si>
    <t>g.johana2020@flushinginternational.org</t>
  </si>
  <si>
    <t>144-40 Roosevelt Ave, Queens, NY 11354</t>
  </si>
  <si>
    <t>+13473570951</t>
  </si>
  <si>
    <t>Paula Saget</t>
  </si>
  <si>
    <t>Bairon</t>
  </si>
  <si>
    <t>Villanueva</t>
  </si>
  <si>
    <t>bairon2019@flushinginternational.org</t>
  </si>
  <si>
    <t>144-54 35th Ave apt 2A flushing ny 11354</t>
  </si>
  <si>
    <t>+19175867583</t>
  </si>
  <si>
    <t>Rosa palacios</t>
  </si>
  <si>
    <t>+19173343062</t>
  </si>
  <si>
    <t>Giron</t>
  </si>
  <si>
    <t>nancigiron20@gmail.com</t>
  </si>
  <si>
    <t>147-11 34Av Flushing NY 11354</t>
  </si>
  <si>
    <t>+13473639307</t>
  </si>
  <si>
    <t>Teresa Siliezar</t>
  </si>
  <si>
    <t>ny3478227284@gmail.com</t>
  </si>
  <si>
    <t>+13478227284</t>
  </si>
  <si>
    <t>Vy</t>
  </si>
  <si>
    <t>2023_vyvo@ihs-us.org</t>
  </si>
  <si>
    <t>For matching:  A bit shy but should be fine with a champion that only speaks English. For Vy Vo from PSL - &amp;#34;Another quiet student. Stronger in reading and writing but quiet in speaking.&amp;#34;</t>
  </si>
  <si>
    <t>110 E 129TH ST APT 4H, New York NY 10035-1322</t>
  </si>
  <si>
    <t>+16463994121</t>
  </si>
  <si>
    <t>Vo Duc Minh</t>
  </si>
  <si>
    <t>minhvo70@yahoo.com</t>
  </si>
  <si>
    <t>+16469532696</t>
  </si>
  <si>
    <t>carlosh2019@flushinginternational.org</t>
  </si>
  <si>
    <t>HJ changed his language from very comfortable to somewhat comfortable based on application responses -- requires spanish language support (10/11/21)</t>
  </si>
  <si>
    <t>157 11 sanford avenue Ap E8 flushing NY 11355</t>
  </si>
  <si>
    <t>+19176909802</t>
  </si>
  <si>
    <t>Antonio Molina</t>
  </si>
  <si>
    <t>+19174037616</t>
  </si>
  <si>
    <t xml:space="preserve">"I always like the seminars because I always learn new things. The speakers are people with a lot of experience, thoughts, and confidence in what they know. They are very prepared and dynamic. When they talk about their experiences of how they came to achieve their goals, it becomes motivating for us who are just discovering what we want. I really like and enjoy every seminar; all of them so far are interesting and inspirational, and this was one of my favorite seminars. She talked about what I’m interested in and it was interesting to hear."
</t>
  </si>
  <si>
    <t>Fredis</t>
  </si>
  <si>
    <t>Chavez Portillo</t>
  </si>
  <si>
    <t>c.fredis2020@flushinginternational.org</t>
  </si>
  <si>
    <t>158-52 75th Rd, Fresh Meadows, NY 11366, Estados Unidos</t>
  </si>
  <si>
    <t>+19292848400</t>
  </si>
  <si>
    <t>Sulma Lorena Portillo de Zelaya</t>
  </si>
  <si>
    <t>+13473535646</t>
  </si>
  <si>
    <t>queensborough community college</t>
  </si>
  <si>
    <t>Nanci</t>
  </si>
  <si>
    <t>nanci2019@flushinginternational.org</t>
  </si>
  <si>
    <t>166-12 crocheron Ave #1 flushing NY 11358</t>
  </si>
  <si>
    <t>+13473363577</t>
  </si>
  <si>
    <t>Elva swerrano</t>
  </si>
  <si>
    <t>jaime.luna95@icloud.com</t>
  </si>
  <si>
    <t>+19179637351</t>
  </si>
  <si>
    <t>parkkoni95@gmail.com</t>
  </si>
  <si>
    <t>168-39 90th avenue Jamaica, 11432</t>
  </si>
  <si>
    <t>+17186837823</t>
  </si>
  <si>
    <t>Jacqueline Batres</t>
  </si>
  <si>
    <t>+19292552455</t>
  </si>
  <si>
    <t>djgonzalez@crotonaihs.org</t>
  </si>
  <si>
    <t>1792 lafayette av. Bronx NY</t>
  </si>
  <si>
    <t>+17186076037</t>
  </si>
  <si>
    <t>Santos Gonzalez</t>
  </si>
  <si>
    <t>+13474398915</t>
  </si>
  <si>
    <t>Mame Fatime</t>
  </si>
  <si>
    <t>Sarr</t>
  </si>
  <si>
    <t>mamefatimsarr04@gmail.com</t>
  </si>
  <si>
    <t>288 East 168th Street, New York, NY 10456</t>
  </si>
  <si>
    <t>+13473643953</t>
  </si>
  <si>
    <t>Moussa Sarr</t>
  </si>
  <si>
    <t>Moussasarr127@yahoo.com</t>
  </si>
  <si>
    <t>+16468240287</t>
  </si>
  <si>
    <t>Marco Antonio</t>
  </si>
  <si>
    <t>mlara@crotonaihs.org</t>
  </si>
  <si>
    <t>2000 Prospect Avenue, Apt 15B, Bronx, NY 10457</t>
  </si>
  <si>
    <t>+13479958305</t>
  </si>
  <si>
    <t>Jose Lara</t>
  </si>
  <si>
    <t>Osvaldo</t>
  </si>
  <si>
    <t>oasis17d@gmail.com</t>
  </si>
  <si>
    <t>2265 Morris avenue 10453</t>
  </si>
  <si>
    <t>+13474447694</t>
  </si>
  <si>
    <t>Miguel Angel Rodriguez Bonola</t>
  </si>
  <si>
    <t>angelbonola1@gmail.com</t>
  </si>
  <si>
    <t>+13474445142</t>
  </si>
  <si>
    <t>Cuero Vivas</t>
  </si>
  <si>
    <t>samiracuero85@gmail.com</t>
  </si>
  <si>
    <t>22 E 112 th ST NEW YOR NY 10029</t>
  </si>
  <si>
    <t>+19175510041</t>
  </si>
  <si>
    <t>Alexander cuero</t>
  </si>
  <si>
    <t>Chicas</t>
  </si>
  <si>
    <t>lchicas@crotonaihs.org</t>
  </si>
  <si>
    <t>2476 Hughes Avenue, Apart. 3G Bronx, NY 10456</t>
  </si>
  <si>
    <t>+19295312662</t>
  </si>
  <si>
    <t>Angela mejia</t>
  </si>
  <si>
    <t>angelamejia916@gmail.com</t>
  </si>
  <si>
    <t>+13472077962</t>
  </si>
  <si>
    <t>Rocio</t>
  </si>
  <si>
    <t>rocio2019@flushinginternational.org</t>
  </si>
  <si>
    <t>41-10 158 St flushing NY 11358</t>
  </si>
  <si>
    <t>+19295579136</t>
  </si>
  <si>
    <t>Aida Yesenia Soriano</t>
  </si>
  <si>
    <t>Rocio2019@flushinginternational.org</t>
  </si>
  <si>
    <t>+13475008495</t>
  </si>
  <si>
    <t xml:space="preserve">"It was fulfilling to see someone with such expertise and passion. It was an honor to be in their presence. The meeting provided useful information and I really found the seminar helpful
</t>
  </si>
  <si>
    <t>Marlin</t>
  </si>
  <si>
    <t>yannerdgz47@gmail.com</t>
  </si>
  <si>
    <t>11/18/21 SB updated language to &amp;#34;somewhat comfortable&amp;#34; from &amp;#34;not comfortable&amp;#34; based on responses, could possibly be very comfortable.</t>
  </si>
  <si>
    <t>42-41 159 st, Flushing, NY, 11358</t>
  </si>
  <si>
    <t>+16312337880</t>
  </si>
  <si>
    <t>Maria Gongora</t>
  </si>
  <si>
    <t>felicitasmariairaheta@gmail.com</t>
  </si>
  <si>
    <t>+15166021602</t>
  </si>
  <si>
    <t>Paillant</t>
  </si>
  <si>
    <t>sebastienpaillant13@gmail.com</t>
  </si>
  <si>
    <t>1534 east 94th street</t>
  </si>
  <si>
    <t>+13475497843</t>
  </si>
  <si>
    <t>Edrasse Paillant</t>
  </si>
  <si>
    <t>Claribel</t>
  </si>
  <si>
    <t>Escobar</t>
  </si>
  <si>
    <t>claribel2019@flushinginternational.org</t>
  </si>
  <si>
    <t>43-73 163rd st flushing ny 11358</t>
  </si>
  <si>
    <t>+13475960250</t>
  </si>
  <si>
    <t>Alvaro Noe Escobar Mancia</t>
  </si>
  <si>
    <t>+19295085348</t>
  </si>
  <si>
    <t>Andersson</t>
  </si>
  <si>
    <t>Ramos Mejia</t>
  </si>
  <si>
    <t>andersson2019@flushinginternational.org</t>
  </si>
  <si>
    <t>45-50 161 st Flushing NY 11358</t>
  </si>
  <si>
    <t>+13474843553</t>
  </si>
  <si>
    <t>Iris Marlene Mejia Valencia</t>
  </si>
  <si>
    <t>marlevalencia300@gmail.com</t>
  </si>
  <si>
    <t>+13478413612</t>
  </si>
  <si>
    <t>Yesly</t>
  </si>
  <si>
    <t>yeslye2789@nycstudents.net</t>
  </si>
  <si>
    <t>50-40 Jacobus St Elmurst, Ny 11373 New York, New York 11373 United States</t>
  </si>
  <si>
    <t>Dina Reyes</t>
  </si>
  <si>
    <t>Leonzo</t>
  </si>
  <si>
    <t>stephanie.leonzo.24@wheels-student.org</t>
  </si>
  <si>
    <t>About Intern: The X Intern's family is from El Salvador, but she was born in America. She speaks English and Spanish. This is her first year and round in the program. The jobs that he listed that she is interested in are, &amp;#34;working in a daycare or being a psychologist.&amp;#34;</t>
  </si>
  <si>
    <t>82 wadsworth ave apt 24 New york, NY 10033</t>
  </si>
  <si>
    <t>+19172138143</t>
  </si>
  <si>
    <t>Rigo Leonzo</t>
  </si>
  <si>
    <t>+13473735321</t>
  </si>
  <si>
    <t>Yonathan</t>
  </si>
  <si>
    <t>jonathanmartinez7537@gmail.com</t>
  </si>
  <si>
    <t>87-52 109 street Richmond  hill NY 11418</t>
  </si>
  <si>
    <t>+13479428747</t>
  </si>
  <si>
    <t>Angela Martinez</t>
  </si>
  <si>
    <t>+13476398996</t>
  </si>
  <si>
    <t>Salgado</t>
  </si>
  <si>
    <t>cmhernandez@inths.org</t>
  </si>
  <si>
    <t>8824 24 Ave 3rd fl Brooklyn, NY 11214</t>
  </si>
  <si>
    <t>+16469122178</t>
  </si>
  <si>
    <t>Carlos Salgado</t>
  </si>
  <si>
    <t>notapplicable@inths.org</t>
  </si>
  <si>
    <t>+13479327993</t>
  </si>
  <si>
    <t>Berrios</t>
  </si>
  <si>
    <t>anderson2019@flushinginternational.org</t>
  </si>
  <si>
    <t>92-24 corona ave 11373 elmurh</t>
  </si>
  <si>
    <t>+19299206289</t>
  </si>
  <si>
    <t>ana</t>
  </si>
  <si>
    <t>+13474626467</t>
  </si>
  <si>
    <t>Ventura</t>
  </si>
  <si>
    <t>m.ventura2018@flushinginternational.org</t>
  </si>
  <si>
    <t>told Nico that she's interested in graphic design/marketing (1/5/22)</t>
  </si>
  <si>
    <t>yes</t>
  </si>
  <si>
    <t>+16313030393</t>
  </si>
  <si>
    <t>Ben Junior</t>
  </si>
  <si>
    <t>Polynice</t>
  </si>
  <si>
    <t>polynicebenjunior90@gmail.com</t>
  </si>
  <si>
    <t>179-04 Anderson Rd,Queens NY 11434</t>
  </si>
  <si>
    <t>Father's phone +15163953620</t>
  </si>
  <si>
    <t>Polynice Robens</t>
  </si>
  <si>
    <t>jjay58178@gmail.com</t>
  </si>
  <si>
    <t>+15163953620</t>
  </si>
  <si>
    <t>Walter</t>
  </si>
  <si>
    <t>ramosgonzalesjosue2@gmail.com</t>
  </si>
  <si>
    <t>112 33 15 ave college point NY 11356</t>
  </si>
  <si>
    <t>+16468067487</t>
  </si>
  <si>
    <t>Jose Ramos</t>
  </si>
  <si>
    <t>+13479388810</t>
  </si>
  <si>
    <t>Lucas</t>
  </si>
  <si>
    <t>Rocano</t>
  </si>
  <si>
    <t>lucasrocano77@gmail.com</t>
  </si>
  <si>
    <t>73 str</t>
  </si>
  <si>
    <t>+15167890987</t>
  </si>
  <si>
    <t>Saida Tigre</t>
  </si>
  <si>
    <t>Josie</t>
  </si>
  <si>
    <t>jaygalaxy205@gmail.com</t>
  </si>
  <si>
    <t>&amp;#34;As an immigrant and future first-generation college student, SPEAK Foundational Year will change my life tremendously. I get the opportunity to meet different career professionals in the career that I'm interested in. I want to become a nurse because I want to provide help to people like my parents did. Going to a university is my biggest dream because I get to have the opportunity to have a better life and seek higher education.&amp;#34;</t>
  </si>
  <si>
    <t>4569 G street</t>
  </si>
  <si>
    <t>Martine Chachoute</t>
  </si>
  <si>
    <t>martinep2000@hotmail.com</t>
  </si>
  <si>
    <t>aslyinfante@24gmail.com</t>
  </si>
  <si>
    <t>I live at 37-18 Queens Boulevard</t>
  </si>
  <si>
    <t>+19146151406</t>
  </si>
  <si>
    <t>Eva sandoval no dad</t>
  </si>
  <si>
    <t>Guillaume</t>
  </si>
  <si>
    <t>alishaajeanne@gmail.com</t>
  </si>
  <si>
    <t>- Alisha stopped joining Round 2 and never joined Ambassador sessions after the 1st Ambassador session. Hetal made inactive (3/30/22) Ambassador Response:  10 In 250 ? 500 words, describe three traits which make you a leader and a strong student. ?A genuine leader is not a searcher for consensus but a molder of consensus?. --Martin Luther King Jr. Being the oldest sibling in my household, I have always set out to be a leader and to set an example to being a strong student . I enjoy taking on leadership roles and going out of my way to assist and guide others. One way i would describe myself is determined. An example of that is by being one of the DECA leaders at George Washington high school. As a DECA leader, I have helped many students including my teammates to win competitions and make it onto states where we are able to compete with thousands of students from all over Pennsylvania even though that was one of the most difficult challenges I faced. Another way I have had the opportunity to serve as a leader is being the secretary for the class of 2022. As the secretary, I have helped plan some events such as movie night virtually but due to the pandemic we haven?t been able to do much but I hope when we are able to go back to school that I can take on my role more. Moreover, as a member of the Peer Group Connection, I mentored freshmen students on how to successfully navigate their first year of school. Lastly, over the years, I have grown to be a well-rounded student. While doing excellently in my academics, I keep a part time job and play on the lacrosse team in school. My engagement in these extracurricular activities have helped me to hone my ability to work in teams to achieve a set goal. I believe that being an ambassador will provide an enabling environment for me to grow as a leader while working collaboratively with my peers to make an impact in our school and society. 11 In 100 ? 250 words, how can SPEAKHIRE help you you boost your own academic profile? Speakhire can help me boost my own academic profile by helping me gain opportunities and going out of my way to teach others how to help and guide people. It can also help my academic profile because it can also teach me skills for when I get to college. 12 In 100 ? 250 words, what opportunities do young people who are immigrant and first-generation American currently have to gain awareness of career opportunities? As a daughter of immigrant parents, I have always been a go-getter. My whole life has been about taking opportunities and helping others. Whether that be helping friends with personal problems or something as simple as assignments I am someone that they can count on. Leadership is something that comes naturally to me as well as seizing opportunities 13 In 250 ? 500 words, why you would succeed as a SPEAKHIRE for your grade at your school. If you do not meet all the requirements, explain why we should consider you for the position. I would succeed as a speakhire for my grade at my school because I would be able to give back to the people I see every day and make my classroom a better place. Growing and expanding my leadership roles will help me especially in the future career path of being in finance. I am a woman with many goals in life, growing up goals are what kept me motivated to be as far in life as I am right now. Both short-term and long-term goals have not only helped me grow but allowed me to achieve things I didn?t think were possible. I am not afraid of trying new things and working with people 14 List the classes you will be taking the upcoming school year and any other activities which will keep you occupied. Please explain to us how many hours a week you will dedicate towards SPEAKHIRE and what your schedule will look like. Some classes I?m taking this year is accounting and finance 2, IB history, and pgc. I am also in cheer and have a a part time job. I also plan on playing lacrosse later on in the school year. I am available to work with speakhire on my days off from work. I work Sunday- Tuesday most days. 15 Outline your main responsibilities as a SPEAKHIRE Ambassador: To lead and inspire other students</t>
  </si>
  <si>
    <t>5850 Newtown Avenue 19120 Philadelphia Pennsylvania</t>
  </si>
  <si>
    <t>+12159545751</t>
  </si>
  <si>
    <t>Altagrace Datilus</t>
  </si>
  <si>
    <t>altagracedatilus53@gmail.com</t>
  </si>
  <si>
    <t>+12155261045</t>
  </si>
  <si>
    <t>Yasmin</t>
  </si>
  <si>
    <t>Abdulla</t>
  </si>
  <si>
    <t>yasmin.abdulla@ellisprep.com</t>
  </si>
  <si>
    <t>About Intern: The x Intern moved to the United States from Yemen. She speaks Arabic and English, but she is working on improving her English so she may need a bit more patience and time to translate. This is her second round and first year in the program. She is interested in careers in the STEM and business fields.</t>
  </si>
  <si>
    <t>215west 242nd street apt 26 Bronx, NY 10471</t>
  </si>
  <si>
    <t>Ali Abdulla</t>
  </si>
  <si>
    <t>alisalehabdulla74@gmail.com</t>
  </si>
  <si>
    <t>+19292487092</t>
  </si>
  <si>
    <t>4347Elberson ts</t>
  </si>
  <si>
    <t>+15266579090</t>
  </si>
  <si>
    <t>carlos bravo</t>
  </si>
  <si>
    <t>Danso</t>
  </si>
  <si>
    <t>mahamed.danso@ellisprep.com</t>
  </si>
  <si>
    <t>About Intern: The x Intern came to America from Gambia when he was 18. He speaks English and two local languages. This is his second year in the program and his first round of this year. The jobs he listed that he is interested in are, &amp;#34;Engineering, computer science, Cyber security, web developer, Electrical engineering.&amp;#34; Ambassador Responses: 11 In 250 ? 500 words, describe three traits which make you a leader and a strong student. one of things that made me a strong student and great leader is that I'm an open minded person I communicate and participate. another thing is I'm very responsible person i love to collaborate with others and respect my teammate and love peace I hate to put people in a position that makes them feel uncomfortable or anxious. I like to do things the easy way when am on group project with others. 12 In 100 ? 250 words, how can SPEAKHIRE help you you boost your own academic profile? speakHire will help me build my network and get connect with others peoples around the world. speakHire will help me communicate professionally and effectively. 13 In 100 ? 250 words, what opportunities do young people who are immigrant and first-generation American currently have to gain awareness of career opportunities? Internship is one of the biggest opportunities that immigrants and first-generation Americans should take an advantage of, it helps you to prepare for the real world and your future carrier. 14 In 250 ? 500 words, why you would succeed as a SPEAKHIRE for your grade at your school. If you do not meet all the requirements, explain why we should consider you for the position. I think I could be good for this position because I have effective communication skills also I love to collaborate with others and share ideas. 15 List the classes you will be taking the upcoming school year and any other activities which will keep you occupied. Please explain to us how many hours a week you will dedicate towards SPEAKHIRE and what your schedule will look like. I'll be takin my regular classes like English, math, history and biology. I'm also planing to take to college classes in my next trimester. 16 Outline your main responsibilities as a SPEAKHIRE Ambassador: to support the new comers and help the supervisor.</t>
  </si>
  <si>
    <t>1421 college Avenue 4D Bronx NewYork 10456</t>
  </si>
  <si>
    <t>+13474798953</t>
  </si>
  <si>
    <t>Haja Garry</t>
  </si>
  <si>
    <t>haja.garry78@gmail.com</t>
  </si>
  <si>
    <t>+19292289708</t>
  </si>
  <si>
    <t>Ketevan</t>
  </si>
  <si>
    <t>Antidze</t>
  </si>
  <si>
    <t>Georgia</t>
  </si>
  <si>
    <t>kantidze@inths.org</t>
  </si>
  <si>
    <t>11 In 250 ? 500 words, describe three traits which make you a leader and a strong student. My three traits that make me a leader and a good student are that I am responsible, good listener and problem solver. I show my responsibility in school by doing everything that teachers are expecting from me to have by due. I think I have always been a responsible person, and it did not matter to me whether it was so important or not it mattered to me. I always listen to what teachers or students say. I think it is the most important trait to have as a person. To lead a group of people, especially teenagers, I have to be able to listen to each of them to find out what they are concerned about, what are their thoughts and many things that matter for this program. I am a problem solver. I have mentioned in this program before that I want to be a programmer and as you know, programming requires logic like nothing else. I think I have a ?technical? brain, because I always loved math, solving equations, learning about physics and helping my classmates with math problems. That is why I got so interested in programming, I needed math and logic. Other than math problems, I like to solve many different everyday ones. I like psychology and listening to how people with different personalities and mental illnesses think, so when I need to talk to somebody, I know how to continue the conversation without harming or upsetting them in any possible way. 12 In 100 ? 250 words, how can SPEAKHIRE help you you boost your own academic profile? SPEAKHIRE would help me boost my academic profile. They will show me what my chosen career looks like from their professional lense. I get to know what to focus on, work and do. What it requires to be a good programmer. The skills I need to work on to be a successful coder. Or maybe even change my view of my career and choose another one. I will know the working environments, to be able to get used to it quickly, both emotionally and physically. It will help me be more confident with the decisions I make in important situations like choosing a career. SPEAKHIRE will open my path to good colleges. 13 In 100 ? 250 words, what opportunities do young people who are immigrant and first-generation American currently have to gain awareness of career opportunities? Firstly, when they are the first-generation in America they need to know everything, especially about work. They have to gain awareness about career opportunities of paychecks, working conditions, and their legal rights. Also to learn how to advocate for themselves under unfair work conditions at times. Sometimes, prejudice and ignorance impacts first generation career opportunities directly or indirectly. Becoming aware and gaining the tools will make it easier for us to get to our goals. 14 In 250 ? 500 words, why you would succeed as a SPEAKHIRE for your grade at your school. If you do not meet all the requirements, explain why we should consider you for the position. You should consider me for the position because I am comfortable with talking to people in English, I am responsible for everything people ask me to do and I can be due on time. I have social skills if you ever need my help. I like to explore new things, setting new goals and doing everything I need to achieve it. I support teammates with respect and help. 15 List the classes you will be taking the upcoming school year and any other activities which will keep you occupied. Please explain to us how many hours a week you will dedicate towards SPEAKHIRE and what your schedule will look like. I don't know exactly, because second semester hasn't started yet. But except school I am taking programming course online and joining gym. I will dedicate as many hours as would be possible for me and important to SPEAKHIRE. 16 Outline your main responsibilities as a SPEAKHIRE Ambassador: Keep in touch always. Be responsible, attend meetings on time. Do my best.</t>
  </si>
  <si>
    <t>8645 20th avenue apt 4G Brooklyn NY 11214</t>
  </si>
  <si>
    <t>+19292908221</t>
  </si>
  <si>
    <t>Tamari Badashvili</t>
  </si>
  <si>
    <t>Kantidze@inths.org</t>
  </si>
  <si>
    <t>+19292898333</t>
  </si>
  <si>
    <t>Duro</t>
  </si>
  <si>
    <t>Greece</t>
  </si>
  <si>
    <t>olgaki_d@outlook.com</t>
  </si>
  <si>
    <t>1814 Parkview Ave Apt 1 Bronx, New York 10461 United States</t>
  </si>
  <si>
    <t>(929)468-1884</t>
  </si>
  <si>
    <t>Stefanie Nezi</t>
  </si>
  <si>
    <t>stefanie.nezi@gmail.com</t>
  </si>
  <si>
    <t>(646)717-3477</t>
  </si>
  <si>
    <t>Katerin</t>
  </si>
  <si>
    <t>katerin.vasquez@ichsbronx.org</t>
  </si>
  <si>
    <t>Cashed Awarded $35 check on Aug 28, 2023 Shooting Star -- check was mailed 8/23 by HJ, should receive it by Friday. PQ 8/23</t>
  </si>
  <si>
    <t>1114 Ward Avenue Bronx NY 10472</t>
  </si>
  <si>
    <t>+13478478198</t>
  </si>
  <si>
    <t>Maria Vasquez</t>
  </si>
  <si>
    <t>vkaterin504@gmail.com</t>
  </si>
  <si>
    <t>+12107695925</t>
  </si>
  <si>
    <t>Kimberlin</t>
  </si>
  <si>
    <t>Ruiz</t>
  </si>
  <si>
    <t>kruiz@crotonaihs.org</t>
  </si>
  <si>
    <t>1183 E tremont ave apt:B24 Bronx NY</t>
  </si>
  <si>
    <t>+19294128639</t>
  </si>
  <si>
    <t>Yuri Marisol Ruiz Gomez</t>
  </si>
  <si>
    <t>ruizyuri677@gmail.com</t>
  </si>
  <si>
    <t>+13474959712</t>
  </si>
  <si>
    <t>amiranda@crotonaihs.org</t>
  </si>
  <si>
    <t>1186 EAST 180 STREET ,3E BRONX NY 10460</t>
  </si>
  <si>
    <t>+13477788330</t>
  </si>
  <si>
    <t>Oscar Velasquez</t>
  </si>
  <si>
    <t>Celso</t>
  </si>
  <si>
    <t>cvelasquezlopez@crotonaihs.org</t>
  </si>
  <si>
    <t>1316 fteley. avenue, Bronx, NY, 10472</t>
  </si>
  <si>
    <t>+19143042150</t>
  </si>
  <si>
    <t>Choc Coc</t>
  </si>
  <si>
    <t>wendy2019@flushinginternational.org</t>
  </si>
  <si>
    <t>139-81 35 AVENUE 3C, FLUSHING, NY 11354</t>
  </si>
  <si>
    <t>+13472888013</t>
  </si>
  <si>
    <t>MIRTA CHOC COC</t>
  </si>
  <si>
    <t>+13473377950</t>
  </si>
  <si>
    <t>Indira Yamileth</t>
  </si>
  <si>
    <t>Nunez Mateo</t>
  </si>
  <si>
    <t>inunezmateo@crotonaihs.org</t>
  </si>
  <si>
    <t>Ambassador responses: 11 In 250 ? 500 words, describe three traits which make you a leader and a strong student. I think I am a good leader since I like to help people a lot in whatever I can help them, such as finding order in tasks, I also consider myself a very kind, friendly and tolerant person to help at all times, I also like things go well and I always like to have discipline in everything I do. 12 In 100 ? 250 words, how can SPEAKHIRE help you you boost your own academic profile? I believe that this program will help me to use my knowledge more and learn from others that I do not know, it will also help me in a personal and professional future. 13 In 100 ? 250 words, what opportunities do young people who are immigrant and first-generation American currently have to gain awareness of career opportunities? Young immigrants and new to the country do not always receive the same help, since everything depends on the immigration case of the people. Sometimes they have many job and academic opportunities, since they always ask for social security, something that not all young immigrants have. When they see the need they have, they don't know which way to go, but if the young people are helped with time, this bad destiny may change one for the better, since most young people leave their country to be able to improve themselves. 14 In 250 ? 500 words, why you would succeed as a SPEAKHIRE for your grade at your school. If you do not meet all the requirements, explain why we should consider you for the position. I think that speakhire would help me a lot academically since it would give me skills and open up new opportunities, but if I do not meet the requirements, I will not be able to know if the skills that will help me in the future. 15 List the classes you will be taking the upcoming school year and any other activities which will keep you occupied. Please explain to us how many hours a week you will dedicate towards SPEAKHIRE and what your schedule will look like. The classes that I will take next year I do not know explicitly, what I do know is that I will take English classes, I plan to dedicate my time in speakhire approximately once a week on Mondays approximately all day, I will be able to dedicate an hour taking time every day if possible. 16 Outline your main responsibilities as a SPEAKHIRE Ambassador: I understand that in order to be a good ambassador I have to help all the people who are inside or interested in SPEAKHIRE, as I also know that I have to help my main advisor in everything I can with my colleagues. Returning FY Y2 Inter, Graduate of 2022 - 1/13 KW Bio -  Indira Yamileth: Indira was 16 when she moved from Guatemala to the United States. She is interested in health sciences/medicine and social sciences / psychology. Indira describes herself as honest, kind, and tolerant. For college she is looking at Mercy College, Manhattan College, College of Mount Saint Vincent, and La Guardia. Indira, we matched you based on your interest in FIELD. About - The X Intern was 16 when she moved from Guatemala to the United States. She speaks English and Spanish. This is her second year and first round in the program. The jobs that she listed that she is interested in are, ?psychology, nurse, stewardess, psychology, nurse, master's degree, stewardess, social community.?</t>
  </si>
  <si>
    <t>1405 College Ave Apt 5A. Bronx NY 10456</t>
  </si>
  <si>
    <t>+16465106566</t>
  </si>
  <si>
    <t>Natividad Nunez</t>
  </si>
  <si>
    <t>ibagari0815@gmail.com</t>
  </si>
  <si>
    <t>+16319227540</t>
  </si>
  <si>
    <t>Ilsy</t>
  </si>
  <si>
    <t>ilsyilsy804@gmail.com</t>
  </si>
  <si>
    <t>164-07 109  AVE Jamaica. NYC 11433</t>
  </si>
  <si>
    <t>+16467300242</t>
  </si>
  <si>
    <t>Susana Alvarado</t>
  </si>
  <si>
    <t>+16469534639</t>
  </si>
  <si>
    <t>Fredline</t>
  </si>
  <si>
    <t>Calixte</t>
  </si>
  <si>
    <t>calixtefredline@gmail.com</t>
  </si>
  <si>
    <t>Manhattan, 474 west 158th apt 43</t>
  </si>
  <si>
    <t>+13476927184</t>
  </si>
  <si>
    <t>Joel Calixte and Frito Calixte</t>
  </si>
  <si>
    <t>Hairys (pronounces 'Iris')</t>
  </si>
  <si>
    <t>Leiva</t>
  </si>
  <si>
    <t>hairysleivaa@icloud.com</t>
  </si>
  <si>
    <t>School email: hairysleiva.student@hseigators.org</t>
  </si>
  <si>
    <t>1755 bruckner blvd apt1B</t>
  </si>
  <si>
    <t>+19294513427</t>
  </si>
  <si>
    <t>jacky jerez</t>
  </si>
  <si>
    <t>Fedjina</t>
  </si>
  <si>
    <t>Voltaire</t>
  </si>
  <si>
    <t>fedjinavoltaire@gmail.com</t>
  </si>
  <si>
    <t>+13474330256</t>
  </si>
  <si>
    <t>Feney Voltaire</t>
  </si>
  <si>
    <t>Gelber</t>
  </si>
  <si>
    <t>ggarciavasquez@inths.org</t>
  </si>
  <si>
    <t>1883 shore parkway, Brooklyn New York, 11214</t>
  </si>
  <si>
    <t>+16466646832</t>
  </si>
  <si>
    <t>Guadalupe Garcia</t>
  </si>
  <si>
    <t>noemail@gmail.com</t>
  </si>
  <si>
    <t>+16463630498</t>
  </si>
  <si>
    <t>Wayne</t>
  </si>
  <si>
    <t>Desvarieux</t>
  </si>
  <si>
    <t>waynedesvarieux2004@gmail.com</t>
  </si>
  <si>
    <t>+19173658973</t>
  </si>
  <si>
    <t>Marie Obain</t>
  </si>
  <si>
    <t>Jefry</t>
  </si>
  <si>
    <t>García Par</t>
  </si>
  <si>
    <t>jefrypar123@gmail.com</t>
  </si>
  <si>
    <t>210st Queens village</t>
  </si>
  <si>
    <t>+13476806170</t>
  </si>
  <si>
    <t>García par</t>
  </si>
  <si>
    <t>Brayan</t>
  </si>
  <si>
    <t>Orozco</t>
  </si>
  <si>
    <t>borozco@crotonaihs.org</t>
  </si>
  <si>
    <t>255 East Kingbridge Road, 3N, Bronx, NY, 10458</t>
  </si>
  <si>
    <t>+13477378562</t>
  </si>
  <si>
    <t>Maricela Orozco</t>
  </si>
  <si>
    <t>Orozco Miranda</t>
  </si>
  <si>
    <t>korozco@crotonaihs.org</t>
  </si>
  <si>
    <t>255 East Kingsbridge road, Apt N3,  Bronx, NY 10458</t>
  </si>
  <si>
    <t>+19292699242</t>
  </si>
  <si>
    <t>mlarias@crotonaihs.org</t>
  </si>
  <si>
    <t>2870 Harrington ave</t>
  </si>
  <si>
    <t>+19172154366</t>
  </si>
  <si>
    <t>Nazareno Larias</t>
  </si>
  <si>
    <t>Dante.</t>
  </si>
  <si>
    <t>Matthews</t>
  </si>
  <si>
    <t>chillo2kk@gmail.com</t>
  </si>
  <si>
    <t>191-18 115 drive</t>
  </si>
  <si>
    <t>+16315729832</t>
  </si>
  <si>
    <t>Jacqueline</t>
  </si>
  <si>
    <t>Roci Claudia</t>
  </si>
  <si>
    <t>claudiam6944@nycstudents.net</t>
  </si>
  <si>
    <t>30-40 jacoubus st</t>
  </si>
  <si>
    <t>+19295139141</t>
  </si>
  <si>
    <t>Rocio Sandoval</t>
  </si>
  <si>
    <t>Botzoc</t>
  </si>
  <si>
    <t>fbotzoc@crotonaihs.org</t>
  </si>
  <si>
    <t>300 East 184 Street, FL 2, Bronx, NY 10458</t>
  </si>
  <si>
    <t>+19294043062</t>
  </si>
  <si>
    <t>Renata Troches</t>
  </si>
  <si>
    <t>gonzalezsam022@gmail.com</t>
  </si>
  <si>
    <t>37-07 147th St, Flushing, NY 11354</t>
  </si>
  <si>
    <t>+15166147041</t>
  </si>
  <si>
    <t>Miriam Estrada</t>
  </si>
  <si>
    <t>alisaestrada11@gmail.com</t>
  </si>
  <si>
    <t>+13479688274</t>
  </si>
  <si>
    <t>Jaymarcus</t>
  </si>
  <si>
    <t>Desir</t>
  </si>
  <si>
    <t>desirjaymarcus8@gmail.com</t>
  </si>
  <si>
    <t>About Intern: The X Intern's family is from Haiti, but he was born in the United States. He speaks English. This is his first year and round in the program. The jobs he listed that he is interested in are, &amp;#34;reporter, football(american) Electrisan, Lawyer.&amp;#34;</t>
  </si>
  <si>
    <t>spring fields gardens, New york 11413</t>
  </si>
  <si>
    <t>Sabrina Millet</t>
  </si>
  <si>
    <t>smillet10@gmail.com</t>
  </si>
  <si>
    <t>+19178089390</t>
  </si>
  <si>
    <t>Chimborazo.</t>
  </si>
  <si>
    <t>+15166789340</t>
  </si>
  <si>
    <t>galo chimborazo</t>
  </si>
  <si>
    <t>Mazariegos</t>
  </si>
  <si>
    <t>anthonymazariegos430@gmail.com</t>
  </si>
  <si>
    <t>372 east 155 street, Bronx New York, NY 10455</t>
  </si>
  <si>
    <t>+19172019044</t>
  </si>
  <si>
    <t>angela piril</t>
  </si>
  <si>
    <t>angieleooo@gmail.com</t>
  </si>
  <si>
    <t>+19292888490</t>
  </si>
  <si>
    <t>p.jefferson2020@flushinginternational.org</t>
  </si>
  <si>
    <t>+15703507798</t>
  </si>
  <si>
    <t>Maciel Galeano</t>
  </si>
  <si>
    <t>Elsa</t>
  </si>
  <si>
    <t>Pop</t>
  </si>
  <si>
    <t>elsa2019@flushinginternational.org</t>
  </si>
  <si>
    <t>43-17 62 St 2 flushing Ny 11358</t>
  </si>
  <si>
    <t>+13473200776</t>
  </si>
  <si>
    <t>Matilde pop</t>
  </si>
  <si>
    <t>popmatilde6@gmail.com</t>
  </si>
  <si>
    <t>+17189710388</t>
  </si>
  <si>
    <t>Vilma</t>
  </si>
  <si>
    <t>Coc pop</t>
  </si>
  <si>
    <t>vilma2019@flushinginternational.org</t>
  </si>
  <si>
    <t>4317 162st flushing New York 11358</t>
  </si>
  <si>
    <t>+19293321475</t>
  </si>
  <si>
    <t>Matilde</t>
  </si>
  <si>
    <t>popmatilde6@gmail.co</t>
  </si>
  <si>
    <t>Mirza</t>
  </si>
  <si>
    <t>Tarax</t>
  </si>
  <si>
    <t>mirzat5@nycstudents.net</t>
  </si>
  <si>
    <t>6 edgecombe ave Bronx, New York 10030 United States</t>
  </si>
  <si>
    <t>Isaac Torres</t>
  </si>
  <si>
    <t>hsaldana@schools.nyc.gov</t>
  </si>
  <si>
    <t>Deneira</t>
  </si>
  <si>
    <t>deneirat@nycstudents.net</t>
  </si>
  <si>
    <t>6 Edgecombe Ave New York, New York 10030 United States</t>
  </si>
  <si>
    <t>Romana Baltazar</t>
  </si>
  <si>
    <t>Valerio</t>
  </si>
  <si>
    <t>valerior3@nycstudents.net</t>
  </si>
  <si>
    <t>COURSE CHOICE IL REASONING para inspirar a mas personas. BUSINESS IDEA Ser un gran abogado para solucionar los problemas. SOCIAL PROBLEM Problemas</t>
  </si>
  <si>
    <t>profesor</t>
  </si>
  <si>
    <t>Quino</t>
  </si>
  <si>
    <t>victorq23@nycstudents.net</t>
  </si>
  <si>
    <t>additional email -  percivaldouma@gmail.com</t>
  </si>
  <si>
    <t>City tech</t>
  </si>
  <si>
    <t>Martínez</t>
  </si>
  <si>
    <t>ashleyalvarez051@gmail.com</t>
  </si>
  <si>
    <t>1055 university Ave</t>
  </si>
  <si>
    <t>+13479387153</t>
  </si>
  <si>
    <t>Sergio Martínez</t>
  </si>
  <si>
    <t>Estuardo</t>
  </si>
  <si>
    <t>estuardolopez@crotonaihs.org</t>
  </si>
  <si>
    <t>Nayeli (cousin - we can ask for Nayeli when we call the phone number; speaks English)</t>
  </si>
  <si>
    <t>710 Tinton Ave, bronx, NY, 10455</t>
  </si>
  <si>
    <t>Claudia Lopez</t>
  </si>
  <si>
    <t>claudialopez@icloud.com</t>
  </si>
  <si>
    <t>Cholom</t>
  </si>
  <si>
    <t>keniacholom56@gmail.com</t>
  </si>
  <si>
    <t>90-21 76th ST  Woodhaven NY 11421</t>
  </si>
  <si>
    <t>+17185931689</t>
  </si>
  <si>
    <t>Efrain Cholom</t>
  </si>
  <si>
    <t>efracholomcaal27@gmail.com</t>
  </si>
  <si>
    <t>+19293486725</t>
  </si>
  <si>
    <t>Guatemala, El Salvador</t>
  </si>
  <si>
    <t>justinmartinez@crotonaihs.org</t>
  </si>
  <si>
    <t>402A E 153rd st N.Y. Bronx 10455</t>
  </si>
  <si>
    <t>+19295355475</t>
  </si>
  <si>
    <t>Marcus martinez</t>
  </si>
  <si>
    <t>100alexito@gmail.com</t>
  </si>
  <si>
    <t>+13478395760</t>
  </si>
  <si>
    <t>was in Lehman college, left his 1st year</t>
  </si>
  <si>
    <t>Wilberto</t>
  </si>
  <si>
    <t>wvmadri@crotonaihs.org</t>
  </si>
  <si>
    <t>1124 carroll pl Broxn NY 10456</t>
  </si>
  <si>
    <t>Reyna Madrid</t>
  </si>
  <si>
    <t>wilbertovelasquez0000@gmail.com</t>
  </si>
  <si>
    <t>+13458056772</t>
  </si>
  <si>
    <t>Mamadu</t>
  </si>
  <si>
    <t>Drame</t>
  </si>
  <si>
    <t>mamadudrame@claremontihs.org</t>
  </si>
  <si>
    <t>Mamadu could be interested in becoming a Sports Agent (HJ discussion with AY20.21 IR3 Champion Soraya) alternate email: muhammeddrame34@gmail.com</t>
  </si>
  <si>
    <t>1323 clay ave, Bronx, NY, 10456</t>
  </si>
  <si>
    <t>+19173283376</t>
  </si>
  <si>
    <t>Abdulrahman Drame</t>
  </si>
  <si>
    <t>abdulrahmanharoun@yahoo.com</t>
  </si>
  <si>
    <t>+13476368384</t>
  </si>
  <si>
    <t>Thierno</t>
  </si>
  <si>
    <t>thierno.diallo@ichsbronx.org</t>
  </si>
  <si>
    <t>Grace Beniquez - school support liaison said his English is okay for the LE course; Hetal changed him to somewhat comfortable (HJ, 3/2/21)</t>
  </si>
  <si>
    <t>1530 Story ave</t>
  </si>
  <si>
    <t>+19294149957</t>
  </si>
  <si>
    <t>Oury Diallo</t>
  </si>
  <si>
    <t>el253472526@crotonaihs.org</t>
  </si>
  <si>
    <t>1158 Wheeler Avenue, 2F Bronx, New York 10472 United States</t>
  </si>
  <si>
    <t>Elena Lambert</t>
  </si>
  <si>
    <t>Barry</t>
  </si>
  <si>
    <t>o.barry@ihsph.org</t>
  </si>
  <si>
    <t>1700 Bedvord Avenue Brooklyn New york</t>
  </si>
  <si>
    <t>+19292589623</t>
  </si>
  <si>
    <t>Mamadou Barry</t>
  </si>
  <si>
    <t>Denzel.</t>
  </si>
  <si>
    <t>denzelvelazquez@claremontihs.org</t>
  </si>
  <si>
    <t>815 East 168th Street,3 , Bronx NY 10459</t>
  </si>
  <si>
    <t>+14703982955</t>
  </si>
  <si>
    <t>Berlin Norales</t>
  </si>
  <si>
    <t>berlinnorales06@gmail.com</t>
  </si>
  <si>
    <t>+19293711444</t>
  </si>
  <si>
    <t>Habi</t>
  </si>
  <si>
    <t>Kane</t>
  </si>
  <si>
    <t>habikane59@gmail.com</t>
  </si>
  <si>
    <t>1958 Cross Bronx Expy</t>
  </si>
  <si>
    <t>+17186878270</t>
  </si>
  <si>
    <t>Fatimata Sow</t>
  </si>
  <si>
    <t>Douglas</t>
  </si>
  <si>
    <t>Carrasco Carcamo</t>
  </si>
  <si>
    <t>douglas.carrasco@ellisprep.com</t>
  </si>
  <si>
    <t>1469 JESUP AVENUE 3G, BRONX, NY 10452</t>
  </si>
  <si>
    <t>+13479865339</t>
  </si>
  <si>
    <t>windy Carcamo</t>
  </si>
  <si>
    <t>windycarcamo18@gmail.com</t>
  </si>
  <si>
    <t>+16462044706</t>
  </si>
  <si>
    <t>Aboubacar</t>
  </si>
  <si>
    <t>aboubacarb741@gmail.com</t>
  </si>
  <si>
    <t>About Intern: The x Intern was 16 when he moved from Guinea to America. He speaks English and Fulani. This is his first year and round in the program. The jobs he listed that he is interested in are, &amp;#34;computer engineer, coder, Buisness ,computer science, accountant, engineer.&amp;#34;</t>
  </si>
  <si>
    <t>1985 webster ave</t>
  </si>
  <si>
    <t>+13473222281</t>
  </si>
  <si>
    <t>Mamadou barry</t>
  </si>
  <si>
    <t>aboubacar.barry@ellisprep.com</t>
  </si>
  <si>
    <t>+19175478489</t>
  </si>
  <si>
    <t>Univerty of Rocheter, Under rochetefd</t>
  </si>
  <si>
    <t>Umu</t>
  </si>
  <si>
    <t>Jalloh</t>
  </si>
  <si>
    <t>ujalloh556@gmail.com</t>
  </si>
  <si>
    <t>2380 Creston Avenue</t>
  </si>
  <si>
    <t>+13473715090</t>
  </si>
  <si>
    <t>Janaba Jalloh</t>
  </si>
  <si>
    <t>fatima.traore@ellisprep.com</t>
  </si>
  <si>
    <t>About: The X Intern moved to America from Guinea when she was 16 years old. She speaks English, French, Fulani, Madinka/Malinke, and Susu. This is her first year and round in the program. The jobs she listed that she is interested in are, &amp;#34;nursing, busines. lawer, professionalism.&amp;#34;</t>
  </si>
  <si>
    <t>265 Macclellan street bronx New York 10456 apt 4f</t>
  </si>
  <si>
    <t>+19173612395</t>
  </si>
  <si>
    <t>Mussa traore</t>
  </si>
  <si>
    <t>Traore68@email.com</t>
  </si>
  <si>
    <t>+12463663140</t>
  </si>
  <si>
    <t>Alpha</t>
  </si>
  <si>
    <t>alpha.sylla@ellisprep.com</t>
  </si>
  <si>
    <t>2815 grand concourse Bronx NY Apt 25.10468</t>
  </si>
  <si>
    <t>"Speakhire made my English perfect and incredible because when I started, my English skills were very weak. This is a great organization where you can improve yourself in every domain. The lessons were understandable, and I gained knowledge on applications, writing letters of recommendation, and being confident and creative."</t>
  </si>
  <si>
    <t>Alpha Fadika</t>
  </si>
  <si>
    <t>alphasylla677@gmail.com</t>
  </si>
  <si>
    <t>Souleymane</t>
  </si>
  <si>
    <t>Bah</t>
  </si>
  <si>
    <t>sbah04@syr.edu</t>
  </si>
  <si>
    <t>Hetal asked Souleymane on January 13th, 2023 if he wanted to attend Colgate event on January 18th, 2023. But, he said he's leaving for school (freshman) at Syracuse studying International Relations on Tuesday, the 17th. Updated email to his syracuse email from his old email souleymane.bah@emmalazarus.org</t>
  </si>
  <si>
    <t>303 West 117 street</t>
  </si>
  <si>
    <t>Kadiatou</t>
  </si>
  <si>
    <t>Uncle/Aunt Guardian</t>
  </si>
  <si>
    <t>souleymane.bah@emmalazarus.org</t>
  </si>
  <si>
    <t>Maxwell School of Citizenship and Public Affairs at Syracuse University</t>
  </si>
  <si>
    <t>Sarata</t>
  </si>
  <si>
    <t>Cisse</t>
  </si>
  <si>
    <t>sarata.cisse@ichsbronx.org</t>
  </si>
  <si>
    <t>About Intern: The X Intern came to the U.S. from Guinea when she was 15 years old. She speaks English, French, and Madinka/Malinke. This is her first year and round in the program. She is interested in the arts/creative, business, and health sciences/medicine fields. Email -  sarata.cisse@ichsbronx.org Additional Email -  cissesarata36@gmail.com Phone # -  &amp;#43;1(347)399-6132</t>
  </si>
  <si>
    <t>331E 132nd St Bronx, New York 10454 United States</t>
  </si>
  <si>
    <t>+1(347)399-6132</t>
  </si>
  <si>
    <t>Alkaly Keita</t>
  </si>
  <si>
    <t>alkalykeita84@gmail.com</t>
  </si>
  <si>
    <t>+1(917)403-5872</t>
  </si>
  <si>
    <t>mariambarry139@gmail.com</t>
  </si>
  <si>
    <t>Francesca spoke to Mariama over the phone offering CPF role, updated phone number:  9294501711. To note, Mariama is looking for a virtual position as she has children. (April 24, 2024) Hetal changed language from 'not comfortable' to somewhat comfortable based on short responses (1/13/22) School email: mariama.diallo.22@wheels-student.org</t>
  </si>
  <si>
    <t>429 East 146 street, Apt.1b, 10455</t>
  </si>
  <si>
    <t>+13473585267</t>
  </si>
  <si>
    <t>I just have snapchat mbarry0298</t>
  </si>
  <si>
    <t xml:space="preserve">Father </t>
  </si>
  <si>
    <t>alphasoccer@yahoo.com</t>
  </si>
  <si>
    <t xml:space="preserve"> Hunter College</t>
  </si>
  <si>
    <t>2022_jonathanarauz@ihs-us.org</t>
  </si>
  <si>
    <t>240 East 178th Street Bronx, New York</t>
  </si>
  <si>
    <t>+15512859909</t>
  </si>
  <si>
    <t>Diany Arauz</t>
  </si>
  <si>
    <t>Ismatu</t>
  </si>
  <si>
    <t>ismatu.barry@ichsbronx.org</t>
  </si>
  <si>
    <t>Cashed Awarded check for $75 on Aug 21, 2023 Rising Leader FY 23 - Participated at Summit / Soiree and received her monetary gift for $ 75 after the event in 8/16. PQ Personal email: barryismatu@gmail.com (5/21/2023 KW) ismatu@speakhire.org About Intern:  The first Intern was born in the United States but her family is from Guinea. She speaks English, French, and Fulani. The careers that she listed that she is interested in are, &amp;#34;Nursing, Computer Science, Engineering.&amp;#34; This is her second year as a SPEAKHIRE Intern. Y2 FY intern of 2022 Updated date/time for AY 21-22 for Monday 3pm - PQ 9/27/21 Ambassador Responses: 11 In 250 ? 500 words, describe three traits which make you a leader and a strong student. Some traits that make me a strong leader and student are courage, responsibility and honesty.I am courageous because coming to the United States was a difficult time for me. When I arrived in the United States, everything was new to me and it was difficult to be able to adapt to the country without knowing English. But, I never gave up and I always figured out how to face my obstacles in this life.I am honest because I always like to keep my words and my promises. Also I like to be honest with people and I don't like to lie to anyone etc...I am responsible for my own life because I am a good student and hard worker, I also have my job and pay my bills etc. 12 In 100 ? 250 words, how can SPEAKHIRE help you you boost your own academic profile? Speakire can help me improve my own academic profile by meeting different mentors and different careers. Joining the session helped me develop many skills that I didn't have before and I'm sure it could help me in my life and guide me to be a part of success. Also , I am very happy to be part of this program because they help me discover new things. Speakire is an amazing program that supports everyone. 13 In 100 ? 250 words, what opportunities do young people who are immigrant and first-generation American currently have to gain awareness of career opportunities? The program helps immigrants learn more about careers and helps them discover new opportunities that could benefit them in their future careers. In addition, this program helps immigrants meet new people from other countries.If you are an immigrant you are lucky to be in this part of the program because the mentors show students many ways to learn English, how to adapt to the country without English, they always encourage students to never give up. 14 In 250 ? 500 words, why you would succeed as a SPEAKHIRE for your grade at your school. If you do not meet all the requirements, explain why we should consider you for the position. Speakire will open my eyes to learn new things, knowing more information about your career and your future. The program also prepared me for college and I was able to use what I learn in this program in school to improve my grades. This program shows me many ways to be successful. They give advice on my career. Also, they encourage me to never give up. 15 List the classes you will be taking the upcoming school year and any other activities which will keep you occupied. Please explain to us how many hours a week you will dedicate towards SPEAKHIRE and what your schedule will look like. The classes I will be taking in the upcoming school year and all other activities that will continue are: English, Social Studies, Math, Computers, Bronx Art ClassI will dedicate myself to Speakire for 2 hours a week.I like my schedule because it always helps me to be busy, I don't like to stay idle. 16 Outline your main responsibilities as a SPEAKHIRE Ambassador: As a Speakhire Ambassador, my main responsibility will be to make sure the intern joins the meeting on time, checking them in and reminding them of the meeting time. Also help them to be motivated by the program by giving them advice etc...</t>
  </si>
  <si>
    <t>785 union avenue Apt 2c Bronx NY 10455</t>
  </si>
  <si>
    <t>+19295352493</t>
  </si>
  <si>
    <t>Summit/Soiree 2023</t>
  </si>
  <si>
    <t xml:space="preserve">"According to me, everything is good in the Foundation Year. I like how they encourage students. I participated to develop and understand different objectives that will help me achieve my goals. Having more than one champion helped me learn about different career pathways. Meeting different champions gave me confidence and allowed me to explore many career options within political science. I am glad for the support I received, and it helped me grow personally and professionally."
</t>
  </si>
  <si>
    <t>mamadoubarry267@gmail.com</t>
  </si>
  <si>
    <t>+19293516792</t>
  </si>
  <si>
    <t>Adama</t>
  </si>
  <si>
    <t>adama.bah@ichsbronx.org</t>
  </si>
  <si>
    <t>USE ADAMA'S SECOND PICTURE IN FRONT OF THE CONSTRUCTION SITE (HJ, 10/20/21) Updated date/time for AY 21-22 for Monday 3pm - PQ 9/27/21 Ambassador Responses: 10 In 250 ? 500 words, describe three traits which make you a leader and a strong student. A leader is someone in charge, a person who convinces other people to follow. And inspires confidence in people and moves them to action. In order to be a leader you need to possess qualities that determine you?re one. One of the traits that describe what make me a good leader is responsibility. Personally, I believe that responsibility is one of the best aspects of being a leader. I?m proud to say that I am responsible. I meet all the academic expectations at school, I am always punctual, organized and I do my assignments on time .Another quality that I have is integrity. Being honest and trustworthy is one of the things I value the most. In order to lead someone you need to make sure that they trust you. Regardless of what other beneficial characteristics you have, people will not follow someone unless they have established trust with them.And last but not least is perseverance. I have always worked hard on whether it is at school with my grades or things I want to achieve. I have persevered to always do good in school, to do whatever it takes to pass all my classes with good grades. And with perseverance I became among the best students at my school. And also with determination and perseverance, I know that as a future leader I will keep focused and get everything done in a timely manner, and encourage students like me to never give up and go forward. 11 In 100 ? 250 words, how can SPEAKHIRE help you you boost your own academic profile? SpeakHire is an opportunity that can help me boost on many things. Such as my communication, leadership, and teamwork skills. SPEAKHIRE will help me through my journey to get into a good college, have a good career and get guidance from career professionals that will help me for sure understand what I need in order to achieve my goals successfully. It will also be a good thing to add on to my resume and on my college application. 12 In 100 ? 250 words, what opportunities do young people who are immigrant and first-generation American currently have to gain awareness of career opportunities? Career awareness is the process to know what are the various career options available to you according to your interest. And it also helps people to know what they have to do to achieve that career option. As young people or immigrants they need someone to guide them through that process in order to succeed. Career awareness will help immigrants in finding opportunities, and career options available to them based on what interests them, and can help them choose the best career. I also see Career awareness as a way to help youth in setting up goals that will help them well in their career of interest. And having the opportunity to meet mentors that share their experiences and what they know, can also help youth, and immigrants in life and to achieve their goals. 13 In 250 ? 500 words, why you would succeed as a SPEAKHIRE for your grade at your school. If you do not meet all the requirements, explain why we should consider you for the position. Now that I?m a senior, and getting ready for college, SPEAKHIRE has been helping me academically. This program is helping me get a head start on the college and career process, develop social-emotional skills and improve my academic performance. Learning new skills that will help me along the way. Such as networking, time management, confidence and through this, I?m learning a lot about my careers of interest. I?m also getting a credit this year for participating in this wonderful program. So overall Speakhire is not just helping me for my future but also with my school grade. And through this journey of becoming a leader, I can motivate and encourage people like myself. 14 List the classes you will be taking the upcoming school year and any other activities which will keep you occupied. Please explain to us how many hours a week you will dedicate towards SPEAKHIRE and what your schedule will look like. English Class, Math statistic class, Health Class, Prt. in Government class, PE class, Computer Science class (every day school schedule), College class every Mondays and Wednesdays in the morning, and Student Government club (after school on wednesdays). 15 Outline your main responsibilities as a SPEAKHIRE Ambassador: My main responsibilities as a SPEAKHIRE ambassador is to support and encourage my peers and other interns through the Foundational Year. And to send reminders to all Interns of upcoming sessions.</t>
  </si>
  <si>
    <t>810 East 152nd Street, Bronx New York 10455</t>
  </si>
  <si>
    <t>+13473419203</t>
  </si>
  <si>
    <t>So far I'm enjoying this program, I'm learning new things. It is an amazing internship and I really like it. Also Ms Lynda is really very helpful, she is a great mentor and I really appreciate her :).</t>
  </si>
  <si>
    <t>Amadou Balde</t>
  </si>
  <si>
    <t>adamahbalde@yahoo.com</t>
  </si>
  <si>
    <t>+13478760183</t>
  </si>
  <si>
    <t>Hunter college</t>
  </si>
  <si>
    <t>Lorna</t>
  </si>
  <si>
    <t>Bonilla</t>
  </si>
  <si>
    <t>l.bonilla@ihsph.org</t>
  </si>
  <si>
    <t>2729 West 33rd St</t>
  </si>
  <si>
    <t>+19179168563</t>
  </si>
  <si>
    <t>Alicia Suazo</t>
  </si>
  <si>
    <t>Nassira</t>
  </si>
  <si>
    <t>nassira.cisse@ellisprep.com</t>
  </si>
  <si>
    <t>929-247-6953</t>
  </si>
  <si>
    <t>Mariame Cisse</t>
  </si>
  <si>
    <t>Nassira.cisse@ellisprep.com</t>
  </si>
  <si>
    <t>917-513-4351</t>
  </si>
  <si>
    <t>diallo.mariamacire@emmalazarus.org</t>
  </si>
  <si>
    <t>Hetal whatsapp messaged Mariama on 1/14 to ask about Colgate event on 1/18/23 -- she said she's interested but has classes. She attends Kingsborough Community College </t>
  </si>
  <si>
    <t>+13479684657</t>
  </si>
  <si>
    <t>I am really getting help during meeting and its the best things happen to me.</t>
  </si>
  <si>
    <t>Ibrahima Diallo</t>
  </si>
  <si>
    <t>+19174681173</t>
  </si>
  <si>
    <t>Ayele</t>
  </si>
  <si>
    <t>Dounou</t>
  </si>
  <si>
    <t>Guinea, Togo</t>
  </si>
  <si>
    <t>ayele.dounou@ichsbronx.org</t>
  </si>
  <si>
    <t>About Intern:The X Intern came to America from Guinea And Togo at the age of 15. She speaks English, French, and Fulani.  This is her second year in the program. She is interested in the business, health sciences/medicine, and law fields. New picture is one in car PREFERS TO BE CALLED 'ROSE' Additional Email -  rosedounou@gmail.com Phone Number -  (347)8498595 FY Graduate of 2023 Ambassador Responses: 11 In 250 ? 500 words, describe three traits which make you a leader and a strong student. My name is Ayele, I?m a very good communicator du to my ability to speak multiple languages. I?m also a very responsible person du to my statut of big sister. I?m always taking care of my brothers which give me an advantage when it comes to leadership and being example. I?m a hard worker, I know what I want and what I deserve. I?m ready to do anything it takes to be successful and brilliant. Coming from a whole different country and continent I have a different perception of life and values. As immigrants and a black woman, all my interest is to be successful and be able to inspire others black girls or immigrants like me that it doesn?t matter where you from, your skin color all you need is confidence and hard work. 12 In 100 ? 250 words, how can SPEAKHIRE help you you boost your own academic profile? Speakhire can help me boost my academic profile by connecting me with different people from all around the world, which is very important to me because I?m my opinion diversity is everything. I would also like to have some college students as a champion to be able to understand how is the life as a college student or the life in college. I would like to have more connections like get to meet the champions not only on zoom but also in real life which can build a better relationship. 13 In 100 ? 250 words, what opportunities do young people who are immigrant and first-generation American currently have to gain awareness of career opportunities? Like my dad always says, America is a country of opportunity. The only thing you have to do is know how to get it. He always says that hard working always pays of. As a immigrant woman, career opportunities mean a lot to me because it shows me how much I belong to America and how by working hard I can be very successful and inspiring. 14 In 250 ? 500 words, why you would succeed as a SPEAKHIRE for your grade at your school. If you do not meet all the requirements, explain why we should consider you for the position. I would succeed at school because Speakhire always push me to give the best that I can. They always make sure that I?m in the top in everything. They always make sure that I know how smart and amazing and for that I?m really happy. Because to be successful is good to see that you have people that believe in you. People that know you can do better and also people who never judge you. 15 List the classes you will be taking the upcoming school year and any other activities which will keep you occupied. Please explain to us how many hours a week you will dedicate towards SPEAKHIRE and what your schedule will look like. Math, English, computer Science, History, dance class, science class. I will be working part time job and I will always make sure that I?m my schedule I have time for speakhire 16 Outline your main responsibilities as a SPEAKHIRE Ambassador: If I?m a speakhire ambassador I will make sure that more people have access have access to this amazing program. I will also try to make it free or affords for the people who need more help but do not have the money for it</t>
  </si>
  <si>
    <t>789 east 166 st, Bronx, NY, 10456</t>
  </si>
  <si>
    <t>+13478498594</t>
  </si>
  <si>
    <t xml:space="preserve">"I participated because I want to learn more about my future and careers. SPEAKHIRE helped me a lot when it comes to making up my mind for my future career. They always remind me how good and smart I am and how I can achieve anything just by believing in myself. They always make sure that I give the best that I can. They treated me like a daughter and actually cared about what I wanted."
</t>
  </si>
  <si>
    <t>Bella  Camara</t>
  </si>
  <si>
    <t>Bellacamara80@yahoo.fr</t>
  </si>
  <si>
    <t>+16464207243</t>
  </si>
  <si>
    <t>Katherin</t>
  </si>
  <si>
    <t>Dubón</t>
  </si>
  <si>
    <t>katherin2019@flushinginternational.org</t>
  </si>
  <si>
    <t>Hetal made her inactive FY since Rosmery said she is no longer enrolled at the school 1/28/22</t>
  </si>
  <si>
    <t>35-86 164 te street 11358</t>
  </si>
  <si>
    <t>Valle</t>
  </si>
  <si>
    <t>mvalle7644@gmail.com</t>
  </si>
  <si>
    <t>+16463557644</t>
  </si>
  <si>
    <t>Fatoumata</t>
  </si>
  <si>
    <t>fatoumatab.barry@ichsbronx.org</t>
  </si>
  <si>
    <t>795 East 151 street Bronx NY 10455</t>
  </si>
  <si>
    <t>+16469531878</t>
  </si>
  <si>
    <t>Maimouna Diallo</t>
  </si>
  <si>
    <t>+16467555496</t>
  </si>
  <si>
    <t xml:space="preserve">Lehman college </t>
  </si>
  <si>
    <t>Chitra</t>
  </si>
  <si>
    <t>Srikishun</t>
  </si>
  <si>
    <t>chitra.srikishun@gmail.com</t>
  </si>
  <si>
    <t xml:space="preserve">103-09 129 St South Richmond Hill Queens NY 11419 </t>
  </si>
  <si>
    <t>mangaldai matadin</t>
  </si>
  <si>
    <t>mangaldai.srikishun@gmail.com</t>
  </si>
  <si>
    <t>(718) 374-3826</t>
  </si>
  <si>
    <t>Tameerah</t>
  </si>
  <si>
    <t>Sutherland</t>
  </si>
  <si>
    <t>tameerahianah@gmail.com</t>
  </si>
  <si>
    <t>Hetal removed number on July 7, 23 -- wrong number, need number</t>
  </si>
  <si>
    <t>116-35 169st Jamaica Queens</t>
  </si>
  <si>
    <t>Trefton Sutherland</t>
  </si>
  <si>
    <t>Sulaimonova</t>
  </si>
  <si>
    <t>sulaimonova.romina@emmalazarus.org</t>
  </si>
  <si>
    <t>Applied on 10/7 and selected Education for Main Career, Applied again on 10/26/21 and changed to Social Sciences/Psychology (Interested in Criminology) (KW)</t>
  </si>
  <si>
    <t>120 Ocean View Avenue apt. 1B, Brooklyn, NY, 11235</t>
  </si>
  <si>
    <t>+19176015360</t>
  </si>
  <si>
    <t>Eraj Sulaimonov</t>
  </si>
  <si>
    <t>kibizon88@gmail.com</t>
  </si>
  <si>
    <t>+16466038656</t>
  </si>
  <si>
    <t>Kingsborough Community college</t>
  </si>
  <si>
    <t>Anny</t>
  </si>
  <si>
    <t>anny.garcia@ichsbronx.org</t>
  </si>
  <si>
    <t>386 East 161 Street Apt. 4B 10451</t>
  </si>
  <si>
    <t>+19294743761</t>
  </si>
  <si>
    <t>Karen Urbina</t>
  </si>
  <si>
    <t>oristelagu@gmail.com</t>
  </si>
  <si>
    <t>+19296028996</t>
  </si>
  <si>
    <t>Naveer</t>
  </si>
  <si>
    <t>Ramsarran</t>
  </si>
  <si>
    <t>nramsarran72@gmail.com</t>
  </si>
  <si>
    <t>140-20 169th street, Springfield gardens,11434</t>
  </si>
  <si>
    <t>+13475023944</t>
  </si>
  <si>
    <t>Natisha Singh</t>
  </si>
  <si>
    <t>nattie411@aol.com</t>
  </si>
  <si>
    <t>+15163982428</t>
  </si>
  <si>
    <t xml:space="preserve">CUNY - Queens College </t>
  </si>
  <si>
    <t>Fazil</t>
  </si>
  <si>
    <t>fazilmohamed2008@gmail.com</t>
  </si>
  <si>
    <t>188 09 Pineville Ln, Queens, NY</t>
  </si>
  <si>
    <t>+13476619918</t>
  </si>
  <si>
    <t>Bibi Khan</t>
  </si>
  <si>
    <t>Reyes Avila</t>
  </si>
  <si>
    <t>2023_victoravila@ihs-us.org</t>
  </si>
  <si>
    <t>4305 park avenue</t>
  </si>
  <si>
    <t>+13479424119</t>
  </si>
  <si>
    <t>Maria Edith</t>
  </si>
  <si>
    <t>Bindadevi</t>
  </si>
  <si>
    <t>210-26 94th ave Queens Village NY 11428</t>
  </si>
  <si>
    <t>Seema Sukhandan</t>
  </si>
  <si>
    <t>+16463746510</t>
  </si>
  <si>
    <t>Cristal</t>
  </si>
  <si>
    <t>Davidson</t>
  </si>
  <si>
    <t>cristal@speakmentorship.org</t>
  </si>
  <si>
    <t>going into Junior year of college American Studies and History : cristal.davidson88@gmail.com (HJ 8/3/23 -- agreed to be SOIREE 2023 speaker) Cristal Davidson graduated 2017, as Ambassador of the Year. Now serves as 2019 Junior Board Chair and SPEAK Mag Student Editor. kizey.davidson12@gmail.com 11/8/22 - Changed career interest to  joint majoring in History and American Studies Last spoke with Champion (J ennifer Demartin ) in 2020 for help with scholarship recommendation letter, and got busy later with COVID and college applications and haven't communicated since Currently attending Franklin and Marshall College in Lancaster, PA</t>
  </si>
  <si>
    <t>359 Johnson Avenue, Newark, NJ</t>
  </si>
  <si>
    <t>973-289-2752</t>
  </si>
  <si>
    <t>Summit/Soiree 2023, "#Cheers4Careers,"</t>
  </si>
  <si>
    <t>Andre Davidson</t>
  </si>
  <si>
    <t>andredavidson85@gmail.com</t>
  </si>
  <si>
    <t>973-337-7051</t>
  </si>
  <si>
    <t>Franklin and Marshal College</t>
  </si>
  <si>
    <t>Isaac</t>
  </si>
  <si>
    <t>Elexey</t>
  </si>
  <si>
    <t>isaacse2789@nycstudents.net</t>
  </si>
  <si>
    <t>+13475309083</t>
  </si>
  <si>
    <t>sean elexey</t>
  </si>
  <si>
    <t>Monique Melanie</t>
  </si>
  <si>
    <t>Rose Lawrence</t>
  </si>
  <si>
    <t>monique@speakmentorship.org</t>
  </si>
  <si>
    <t>HS for Global Citizenship NY</t>
  </si>
  <si>
    <t>mercigar@aim.com</t>
  </si>
  <si>
    <t>Dmarjia.</t>
  </si>
  <si>
    <t>Rankine</t>
  </si>
  <si>
    <t>dmarjiar@gmail.com</t>
  </si>
  <si>
    <t>184-03 north conduit ave springfield gardens queens 11413</t>
  </si>
  <si>
    <t>+16468184678</t>
  </si>
  <si>
    <t>Suwayne Rankine</t>
  </si>
  <si>
    <t>Ronelson</t>
  </si>
  <si>
    <t>Philippeau</t>
  </si>
  <si>
    <t>ronelsonphilippeau@gmail.com</t>
  </si>
  <si>
    <t>1030 willmohr street 3b Brooklyn new york</t>
  </si>
  <si>
    <t>+15163307812</t>
  </si>
  <si>
    <t>Brooklyn Bridge Academy</t>
  </si>
  <si>
    <t>Fredline Delicat</t>
  </si>
  <si>
    <t>Julesro64@gmail.com</t>
  </si>
  <si>
    <t>516 330 7812</t>
  </si>
  <si>
    <t>Daina</t>
  </si>
  <si>
    <t>Charles</t>
  </si>
  <si>
    <t>charles.daina@emmalazarus.org</t>
  </si>
  <si>
    <t>1081 Eastern Parkway Apt 4B</t>
  </si>
  <si>
    <t>347-837-2876</t>
  </si>
  <si>
    <t>Jean Claude Charles</t>
  </si>
  <si>
    <t>charleslaroche1949@gmail.com</t>
  </si>
  <si>
    <t>917-436-5092</t>
  </si>
  <si>
    <t>College Staten Iceland</t>
  </si>
  <si>
    <t>Sébastien</t>
  </si>
  <si>
    <t>Jeannot</t>
  </si>
  <si>
    <t>babaskm279@gmail.com</t>
  </si>
  <si>
    <t>130-37 Francis Lewis blvd Laurelton</t>
  </si>
  <si>
    <t>+13474476265</t>
  </si>
  <si>
    <t>Blair</t>
  </si>
  <si>
    <t>Year 2 Application: Changed Main career from Education to Health Sciences (KW, October 14, 2021) Blair was missing session 6 in his the Calendar app but he did attend this session so Hetal added it to the 2019 sessions count (HJ, June 2, 2021)</t>
  </si>
  <si>
    <t>144-30 224th st Springfield Gardens 11413 Queens New York</t>
  </si>
  <si>
    <t>Summit 2025, Summit 2024, ICAN, "#Cheers4Careers,"</t>
  </si>
  <si>
    <t>nadlove507@gmail.com</t>
  </si>
  <si>
    <t>+13477850102</t>
  </si>
  <si>
    <t>Olivia Richmyr</t>
  </si>
  <si>
    <t>Paul Joseph</t>
  </si>
  <si>
    <t>pauljosepholivia@gmail.com</t>
  </si>
  <si>
    <t>Bio - Olivia Richmyr Paul Joseph: Olivia Richmyr came to the United States from Haiti when she was 15 years old. She is interested in business and health sciences / medicine. Olivia Richmyr describes herself as flexible, strong willed, and persevering. For college, she is looking at Adelphi University, Hofstra University, St. Johns University, Clarckson University, and Hartford University. Olivia Richmyr, we matched you based on your interest in business. About -  The X Intern came to the United States from Haiti when she was 15 years old. She speaks English, Creole, and French. This is her first year and round in the program. The jobs that she listed that she is interested in are, ?A CEO of a  coffee company, physician, Business Management, interior designer.?</t>
  </si>
  <si>
    <t>228-27 114 th drive Cambria Heights 11411 NY</t>
  </si>
  <si>
    <t>+19296058466</t>
  </si>
  <si>
    <t>Patricia Reeves</t>
  </si>
  <si>
    <t>+16466454395</t>
  </si>
  <si>
    <t>Ricaldyne</t>
  </si>
  <si>
    <t>Saturne</t>
  </si>
  <si>
    <t>ricaldynesaturne0@gmail.com</t>
  </si>
  <si>
    <t>305 East 26th street 1 floor 11226</t>
  </si>
  <si>
    <t>+13477851636</t>
  </si>
  <si>
    <t>Jean Ady Saturne</t>
  </si>
  <si>
    <t>+13477928393</t>
  </si>
  <si>
    <t>Denuar</t>
  </si>
  <si>
    <t>Batiz</t>
  </si>
  <si>
    <t>denuarbatiz@gmail.com</t>
  </si>
  <si>
    <t>Denuar did fine for IR-S 21-22 but stopped communicating IR1 21-22; HJ labeled him INACTIVE FY 12/1/21</t>
  </si>
  <si>
    <t>5731 Broadway (New York) Bronx (10463)</t>
  </si>
  <si>
    <t>+13473604721</t>
  </si>
  <si>
    <t>Larisa Bastiz</t>
  </si>
  <si>
    <t>larisabatiz34@gmail.com</t>
  </si>
  <si>
    <t>+18322662589</t>
  </si>
  <si>
    <t>Myrny</t>
  </si>
  <si>
    <t>St Vil</t>
  </si>
  <si>
    <t>stvilmyrny@gmail.com</t>
  </si>
  <si>
    <t>Goes by Jennifer when in ZOOM meeting</t>
  </si>
  <si>
    <t>743 Empire blvd Apt B16 Brooklyn, NY 11213</t>
  </si>
  <si>
    <t>+19297321730</t>
  </si>
  <si>
    <t>Rony St Vil</t>
  </si>
  <si>
    <t>svrony1815@yahoo.fr</t>
  </si>
  <si>
    <t>+13476593585</t>
  </si>
  <si>
    <t>Michelove</t>
  </si>
  <si>
    <t>jeanbaptiste</t>
  </si>
  <si>
    <t>mjeanbaptiste@inths.org</t>
  </si>
  <si>
    <t>755 oceon avue 1b 11226</t>
  </si>
  <si>
    <t>+19296160358</t>
  </si>
  <si>
    <t>asthene jeanbaptiste</t>
  </si>
  <si>
    <t>michelovejeanbaptiste@9gmail.com</t>
  </si>
  <si>
    <t>+13473583431</t>
  </si>
  <si>
    <t>Mikhail</t>
  </si>
  <si>
    <t>Estiverne</t>
  </si>
  <si>
    <t>mikhaile2789@nycstudents.net</t>
  </si>
  <si>
    <t>87-50 257th street Floral Park, New York 11001 United States</t>
  </si>
  <si>
    <t>(929)320-2524</t>
  </si>
  <si>
    <t>Marie Noel</t>
  </si>
  <si>
    <t>mikhaile28@gmail.com</t>
  </si>
  <si>
    <t>(609)666-8978</t>
  </si>
  <si>
    <t>Patricia</t>
  </si>
  <si>
    <t>Jean Charles</t>
  </si>
  <si>
    <t>sindyjeancharles525@gmail.com</t>
  </si>
  <si>
    <t>94-14 212th Street</t>
  </si>
  <si>
    <t>+13477370929</t>
  </si>
  <si>
    <t>Rose Henry</t>
  </si>
  <si>
    <t>CUNY - Queens College</t>
  </si>
  <si>
    <t>Karyn</t>
  </si>
  <si>
    <t>Jean Jacques</t>
  </si>
  <si>
    <t>karynjean32@gmail.com</t>
  </si>
  <si>
    <t>973-415-9762</t>
  </si>
  <si>
    <t>dorziliae555@gmail.com</t>
  </si>
  <si>
    <t>Kathurna</t>
  </si>
  <si>
    <t>Louis-Jean</t>
  </si>
  <si>
    <t>pinkheartsanddiamonds@gmail.com</t>
  </si>
  <si>
    <t>862-237-4094</t>
  </si>
  <si>
    <t>myolene@yahoo.com</t>
  </si>
  <si>
    <t>862-215-7199; 862-588-6921</t>
  </si>
  <si>
    <t>genesis2019@flushinginternational.org</t>
  </si>
  <si>
    <t>Hetal changed language from Native to Not comfortable given the short answer responses (11/5/21)</t>
  </si>
  <si>
    <t>140 71 Ash Ave Flushing,NY 11355</t>
  </si>
  <si>
    <t>+15164301359</t>
  </si>
  <si>
    <t>mariza cruz</t>
  </si>
  <si>
    <t>genesis2019@flushinginternatioanl.org</t>
  </si>
  <si>
    <t>+15164308024</t>
  </si>
  <si>
    <t>Loyda</t>
  </si>
  <si>
    <t>2023_loydamartinez@ihs-us.org</t>
  </si>
  <si>
    <t>10 paladino ave</t>
  </si>
  <si>
    <t>+13322354695</t>
  </si>
  <si>
    <t>Martha Martinez</t>
  </si>
  <si>
    <t>Villalobo</t>
  </si>
  <si>
    <t>jmadrid@crotonaihs.org</t>
  </si>
  <si>
    <t>1124 Carroll Place, 1C, Bronx, NY 10456</t>
  </si>
  <si>
    <t>+19295438698</t>
  </si>
  <si>
    <t>Reina Madrid</t>
  </si>
  <si>
    <t>janemadrid1917@icloud.com</t>
  </si>
  <si>
    <t>Portillo</t>
  </si>
  <si>
    <t>dhpkevin@gmail.com</t>
  </si>
  <si>
    <t>HJ made inactive on 1/12/22 after working with school on students who are not committed HJ changed the English level from somewhat comfortable to very comfortable based on short answer responses (10/11/21)</t>
  </si>
  <si>
    <t>703 E 187th st apt 4B , Bronx NY 10458</t>
  </si>
  <si>
    <t>+13472135855</t>
  </si>
  <si>
    <t>Maria Hernandez</t>
  </si>
  <si>
    <t>Kportillo@cronaihs.org</t>
  </si>
  <si>
    <t>+19292286422</t>
  </si>
  <si>
    <t>Ofelia (Sara)</t>
  </si>
  <si>
    <t>ofelia.lopez@ellisprep.com</t>
  </si>
  <si>
    <t>8 west farms square plaza apt 1f bronx NY 10460</t>
  </si>
  <si>
    <t>+13474315802</t>
  </si>
  <si>
    <t>Ofelia.lopez@ellisprep.com</t>
  </si>
  <si>
    <t>+13479816198</t>
  </si>
  <si>
    <t>maria.mejia@ellisprep.com</t>
  </si>
  <si>
    <t>Consent Form: said she'll email form separately to hetaljani@speakhire.org</t>
  </si>
  <si>
    <t>99 Audobon Avenue #4B Bronx, N.Y. 10463</t>
  </si>
  <si>
    <t>+15512743733</t>
  </si>
  <si>
    <t>Dominga Tineo</t>
  </si>
  <si>
    <t>ms.annel@ellisprep.com</t>
  </si>
  <si>
    <t>Yovangely</t>
  </si>
  <si>
    <t>yovangely.mejia@ichsbronx.org</t>
  </si>
  <si>
    <t>Bronx, New York, 10453,1655macombs Rd  Ap.5c</t>
  </si>
  <si>
    <t>+19293268356</t>
  </si>
  <si>
    <t>el de mi papa Mejia</t>
  </si>
  <si>
    <t>Edyomeleuno@gmail.com</t>
  </si>
  <si>
    <t>+19178157799</t>
  </si>
  <si>
    <t>Elisa</t>
  </si>
  <si>
    <t>Och</t>
  </si>
  <si>
    <t>elisa.och@casa311.com</t>
  </si>
  <si>
    <t>21-22 EL Alum returning as DL for 22-23</t>
  </si>
  <si>
    <t>32-49 110st east elmhurst</t>
  </si>
  <si>
    <t>+19496878921</t>
  </si>
  <si>
    <t>María Guarchaj</t>
  </si>
  <si>
    <t>Hemeregilda</t>
  </si>
  <si>
    <t>hmejia@crotonaihs.org</t>
  </si>
  <si>
    <t>Developing Leader -- Attended Summit / Soiree. Gave a speech. Received Monetary Gift for $15 in 8/16 after the Summit. </t>
  </si>
  <si>
    <t>1422 Boston rd, Apt 2, Bronx, NY 10456</t>
  </si>
  <si>
    <t>+13473674506</t>
  </si>
  <si>
    <t>Edith Marlene Fernandez Castillo</t>
  </si>
  <si>
    <t>Sisely</t>
  </si>
  <si>
    <t>sisely2019@flushinginternational.org</t>
  </si>
  <si>
    <t>145-48 105 Ave Jamaica NY 11435</t>
  </si>
  <si>
    <t>+19172932554</t>
  </si>
  <si>
    <t>Jose Hernandez</t>
  </si>
  <si>
    <t>+13474187893</t>
  </si>
  <si>
    <t>Elliott</t>
  </si>
  <si>
    <t>Robles</t>
  </si>
  <si>
    <t>esantiago5215@betahighschool.org</t>
  </si>
  <si>
    <t>DL Alum of 2023</t>
  </si>
  <si>
    <t>2980 Briggs Avenue, Apt 1G, Bronx NY 10458</t>
  </si>
  <si>
    <t>+19294976180</t>
  </si>
  <si>
    <t>(BETA) Bronx Engineering and Technology Academy NY</t>
  </si>
  <si>
    <t>Adrian Robles</t>
  </si>
  <si>
    <t>Karilyne</t>
  </si>
  <si>
    <t>Suazo</t>
  </si>
  <si>
    <t>karilynherrera@icloud.com</t>
  </si>
  <si>
    <t>School Email: csuazo@crotonaihs.org Bio -  Karilyne Suazo: Karilyne was 17 years old when she came to America from Honduras. She is interested in health sciences / medicine and social sciences / psychology. Karilyne describes herself as cheerful, charismatic, and responsible. For college, she is looking into Bronx Community College. Karilyne, we matched you based on About - The X Intern was 17 year old when she came to America from Honduras. She speaks English and Spanish. This is her first year and round in the program. The jobs that she listed that she is interested in are, ?Social worked and nurse.?</t>
  </si>
  <si>
    <t>1575 174 street 10472</t>
  </si>
  <si>
    <t>+13479510817</t>
  </si>
  <si>
    <t>Karina Herrera Carlos Suazo</t>
  </si>
  <si>
    <t>Karilynherrera@icloud.com</t>
  </si>
  <si>
    <t>+19293136649</t>
  </si>
  <si>
    <t>Jatziry</t>
  </si>
  <si>
    <t>Guity</t>
  </si>
  <si>
    <t>jatziry.guity@ichsbronx.org</t>
  </si>
  <si>
    <t>About: The x Intern came to the U.S. from Honduras when she was 17 years old. She speaks Spanish and English. This is her second year in the program. The jobs that she listed that she is interested in are, &amp;#34;literacy, tourism, medicine, criminal psychology, singer, journalist, artist, technology, Flight Attendant.&amp;#34; New picture - red hoodie Goes by &amp;#34;Jass&amp;#34; Additional Email -  jatziryguity@gmail.com Additional Guardian Email - com, nareslely@gmail.com FY Graduate of 2023</t>
  </si>
  <si>
    <t>160-11 89 ave, queens, ny 11432</t>
  </si>
  <si>
    <t>+19295388119</t>
  </si>
  <si>
    <t>jasier norales</t>
  </si>
  <si>
    <t>jasierlelyalvareznorales@gmail</t>
  </si>
  <si>
    <t>+13476382163</t>
  </si>
  <si>
    <t>Emili</t>
  </si>
  <si>
    <t>Ordonez</t>
  </si>
  <si>
    <t>eordonez@crotonaihs.org</t>
  </si>
  <si>
    <t>170-02 93rd jamaica queens</t>
  </si>
  <si>
    <t>+16469864888</t>
  </si>
  <si>
    <t>Marcia</t>
  </si>
  <si>
    <t>jackelinen702@gmail.com</t>
  </si>
  <si>
    <t>gg253639165@crotonaihs.org</t>
  </si>
  <si>
    <t>1997 Hughes avenue 5N, Bronx, NY 10457</t>
  </si>
  <si>
    <t>+19299309013</t>
  </si>
  <si>
    <t>Rey Guevara</t>
  </si>
  <si>
    <t>Romel</t>
  </si>
  <si>
    <t>Elvir Villanueva</t>
  </si>
  <si>
    <t>romel@crotonaihs.org</t>
  </si>
  <si>
    <t>2311 de Crotona ave</t>
  </si>
  <si>
    <t>+19292702692</t>
  </si>
  <si>
    <t>Xiomara Villanueva</t>
  </si>
  <si>
    <t>+19175250276</t>
  </si>
  <si>
    <t>Licsy</t>
  </si>
  <si>
    <t>licsymena@crotonaihs.org</t>
  </si>
  <si>
    <t>Hetal changed to inactive FY after speaking with school about noncommitted students from AY2122 IR1 (HJ 1/12/22) Sara Regalado asked us to update her email address to what it is now from  reyesdina393@gmail.com which is her mother's (12/14/21, HJ) Cousin Phone:   646 269 9740 </t>
  </si>
  <si>
    <t>P.O. Box 45 Bronx,NY 10468</t>
  </si>
  <si>
    <t>?(646) 269-9740?</t>
  </si>
  <si>
    <t>Sixta Reyes</t>
  </si>
  <si>
    <t>reyesdina393@gmail.com</t>
  </si>
  <si>
    <t>Debixs</t>
  </si>
  <si>
    <t>Figueroa</t>
  </si>
  <si>
    <t>dfigueroa@crotonaihs.org</t>
  </si>
  <si>
    <t>2352 Arthur Ave</t>
  </si>
  <si>
    <t>+19293374954</t>
  </si>
  <si>
    <t>Sobeida Figueroa</t>
  </si>
  <si>
    <t>sobeidahernandez19h@gmail.com</t>
  </si>
  <si>
    <t>Stacy</t>
  </si>
  <si>
    <t>sespinoza@crotonaihs.org</t>
  </si>
  <si>
    <t>2380 GRAND AVE 3A, BRONX, NY 10468</t>
  </si>
  <si>
    <t>+13476087159</t>
  </si>
  <si>
    <t>Renan Espinoza</t>
  </si>
  <si>
    <t>Arauz</t>
  </si>
  <si>
    <t>240 East 178 Street The Bronx, NY Apt 2E</t>
  </si>
  <si>
    <t>Leilany</t>
  </si>
  <si>
    <t>leilany.ortiz@ichsbronx.org</t>
  </si>
  <si>
    <t>- Updated email to Leilaescoto7@gmail.com (4/7/23 KW)</t>
  </si>
  <si>
    <t>346 east 146 Street 3rd ave</t>
  </si>
  <si>
    <t>+13478676658</t>
  </si>
  <si>
    <t>Nancy Escoto</t>
  </si>
  <si>
    <t>+19177956471</t>
  </si>
  <si>
    <t>r.wendy2020@flushinginternational.org</t>
  </si>
  <si>
    <t>119 17 28th flushing</t>
  </si>
  <si>
    <t>+19135220330</t>
  </si>
  <si>
    <t>dunia reyes</t>
  </si>
  <si>
    <t>messm245@gmail.com</t>
  </si>
  <si>
    <t>346 East 146 Street Apt. WI, Bronx, New York 10451</t>
  </si>
  <si>
    <t>+13477378514</t>
  </si>
  <si>
    <t>Nancy Ortiz</t>
  </si>
  <si>
    <t>melany.ortiz@ichsbronx.org</t>
  </si>
  <si>
    <t>Sorto</t>
  </si>
  <si>
    <t>fsorto@crotonaihs.org</t>
  </si>
  <si>
    <t>1/21/23 HJ spoke with him on the phone since he had missed all DL classes in January. He said he moved to Virginia with his brother. He will send an updated email address so we can keep in touch. Marked him as DL Alum since he had shown drastic improvement and engagement since the beginning of the course and deserved the certificate. Would have been successful had he had chance to complete course. Will send certificate of achievement to keep his motivation up.</t>
  </si>
  <si>
    <t>4511 3rd Ave, 8A, Bronx, NY, 10457</t>
  </si>
  <si>
    <t>+16466297958</t>
  </si>
  <si>
    <t>Javier Sorto</t>
  </si>
  <si>
    <t>Aimee</t>
  </si>
  <si>
    <t>Centeno</t>
  </si>
  <si>
    <t>aimee20@nycstudents.net</t>
  </si>
  <si>
    <t>5040jacobelmurstny11378</t>
  </si>
  <si>
    <t>+17185557898</t>
  </si>
  <si>
    <t>sarahy</t>
  </si>
  <si>
    <t>Fernando</t>
  </si>
  <si>
    <t>Zelaya</t>
  </si>
  <si>
    <t>fzelayaruiz@inths.org</t>
  </si>
  <si>
    <t>569 55TH Street</t>
  </si>
  <si>
    <t>+13478484706</t>
  </si>
  <si>
    <t>Cheila Ruiz</t>
  </si>
  <si>
    <t>kikezelaya3@gmail.com</t>
  </si>
  <si>
    <t>+13477922877</t>
  </si>
  <si>
    <t>Karla</t>
  </si>
  <si>
    <t>Arriola</t>
  </si>
  <si>
    <t>karla.arriola@ichsbronx.org</t>
  </si>
  <si>
    <t>About Intern: The X Intern moved from the Dominican Republic to the United States when she was 14 years old. She speaks English and Spanish. This is her first year and second round in the program. The jobs she listed that she is interested in are, &amp;#34;Neurosurgeon, Surgeon, and Neurosciencetist.&amp;#34;</t>
  </si>
  <si>
    <t>585 Wales Ave Bronx NY 10455</t>
  </si>
  <si>
    <t>+19085468238</t>
  </si>
  <si>
    <t>Yesica Suazo</t>
  </si>
  <si>
    <t>arriolakarla133115@gmail.com</t>
  </si>
  <si>
    <t>+18327398096</t>
  </si>
  <si>
    <t>Jessica Suazo</t>
  </si>
  <si>
    <t>angell775@nycstudents.net</t>
  </si>
  <si>
    <t>COURSE CHOICE IL REASONING para poder estudiar que son los derechos nosotros los jobenes tenemos BUSINESS IDEA ejerser trabajo a otras personas para que limpien la calle y jutar entres los vecinos para pagarles SOCIAL PROBLEM la basura de la calle</t>
  </si>
  <si>
    <t>6 EDGECOMBE AVE NEW YORK, New York 10030 United States</t>
  </si>
  <si>
    <t>Zabdy</t>
  </si>
  <si>
    <t>Orellana</t>
  </si>
  <si>
    <t>zabdy.orellana@ichsbronx.org</t>
  </si>
  <si>
    <t>Zabdy applied for FY again for 21-22 starting summer; had done a few LE sessions spring 21. (HJ, 6/28/2021) Zabdy applied but then did not want to continue -- did not hear why (Feb 3, 21, HJ)</t>
  </si>
  <si>
    <t>640 Wales Av Bronx NY</t>
  </si>
  <si>
    <t>Mayra Hernandez</t>
  </si>
  <si>
    <t>mayrah822@gmail.com</t>
  </si>
  <si>
    <t>Julia.</t>
  </si>
  <si>
    <t>30 river road, 19c, New York, Ny, 10044</t>
  </si>
  <si>
    <t xml:space="preserve">“The idea of taking this course initially came from my school, which presented me with the opportunity to do it. During all the course duration, our facilitator was always there supporting and helping us with anything we needed—she’s very considerate and supportive. I really valued the interaction with my career cohort to find the answers as a group. I learned about SMART goals, the importance of mental health in work productivity, and that to be a leader you don’t need the position of a boss—you can take the initiative. Integrity, empathy, emotional intelligence, group work, and effective listening were big takeaways for me.”
</t>
  </si>
  <si>
    <t>929-933-9919</t>
  </si>
  <si>
    <t>Yanquel</t>
  </si>
  <si>
    <t>yankelhernandez596@gmail.com</t>
  </si>
  <si>
    <t>80-20 88th Ave, Jamaica, NY, 11421</t>
  </si>
  <si>
    <t>+16469403197</t>
  </si>
  <si>
    <t>Carlos Roberto Hernandez Cruz</t>
  </si>
  <si>
    <t>ch6365079@gmail.com</t>
  </si>
  <si>
    <t>+16469403803</t>
  </si>
  <si>
    <t>Emelin</t>
  </si>
  <si>
    <t>Arzu</t>
  </si>
  <si>
    <t>earzu@crotonaihs.org</t>
  </si>
  <si>
    <t>HJ changed the English level from not comfortable to somewhat comfortable based on applicant's short answer responses (10/11/21)</t>
  </si>
  <si>
    <t>900 bronx park s</t>
  </si>
  <si>
    <t>+19293583793</t>
  </si>
  <si>
    <t>Liccia Flores</t>
  </si>
  <si>
    <t>liccia504@gmail.com</t>
  </si>
  <si>
    <t>Inestroza</t>
  </si>
  <si>
    <t>angie2019@flushinginternational.org</t>
  </si>
  <si>
    <t>91-15 175 st Jamaica</t>
  </si>
  <si>
    <t>+13472386034</t>
  </si>
  <si>
    <t>Belkin Meza</t>
  </si>
  <si>
    <t>angiemeza04@icloud.com</t>
  </si>
  <si>
    <t>+13479222081</t>
  </si>
  <si>
    <t>Liccy</t>
  </si>
  <si>
    <t>Dubon Zamora</t>
  </si>
  <si>
    <t>ldubon@crotonaihs.org</t>
  </si>
  <si>
    <t>Email:  ldubon@crotonaihs.org Phone: &amp;#43;19292555466 Main Career Field: Health Sciences/Medicine Ideal Job is a job that has to do with helping people.</t>
  </si>
  <si>
    <t>941 leggett ave</t>
  </si>
  <si>
    <t>Fabio Alexander Dubon Zamora</t>
  </si>
  <si>
    <t>alex100zamora@gmail.com</t>
  </si>
  <si>
    <t>+13475747595</t>
  </si>
  <si>
    <t>Denzel</t>
  </si>
  <si>
    <t>Bronx new york, 1039 longfellow avenue</t>
  </si>
  <si>
    <t>Magby</t>
  </si>
  <si>
    <t>magby.orellana@ichsbronx.org</t>
  </si>
  <si>
    <t>Twin Sister to FY 20 - 21 Intern, Zabdy Orellana; In 250 ? 500 words, describe three traits which make you a leader and a strong student. Responsibility and perseverance, since the most important thing for me now is my studies, in addition to striving to have a good grade and do my perfect job, I learn from my mistakes and accept when I have failed at something and then I do better and I'm good to listen to the ideas of others In 100 ? 250 words, how can SPEAKHIRE help you you boost your own academic profile? I believe that by entering this program I will be able to have a better idea of what I want and what I must do to achieve it, so in my academic profile I will be able to show what I have achieved based on things that I really want and have decided for myself same. In 100 ? 250 words, what opportunities do young people who are immigrant and first-generation American currently have to gain awareness of career opportunities? What really surprised me when entering my school as an immigrant student is that teachers and experienced people really take the time to explain everything to us about our opportunities and although we are immigrants we also have them for which I am very grateful. In 250 ? 500 words, why you would succeed as a SPEAKHIRE for your grade at your school. If you do not meet all the requirements, explain why we should consider you for the position. Although I don't meet all the requirements, I think I will learn, I think there is nothing difficult, it is simply learning it, so I will give my best effort to be able to be the best in what I do. List the classes you will be taking the upcoming school year and any other activities which will keep you occupied. Please explain to us how many hours a week you will dedicate towards SPEAKHIRE and what your schedule will look like. At the moment in my school I am receiving two classes a day from 10:30 am to 2:30 pm and possibly I will be able to get into drawing classes on Saturdays from 10am to 1pm, so I have enough time to dedicate to Speakhire. Outline your main responsibilities as a SPEAKHIRE Ambassador: My responsibilities as an ambassador are to support the interns from my school, make sure they attend all sessions and keep track of times they are late or absent</t>
  </si>
  <si>
    <t>nelsonperdomososa504@gmail.com</t>
  </si>
  <si>
    <t>1694 Selwyn Ave</t>
  </si>
  <si>
    <t>+17184104001</t>
  </si>
  <si>
    <t>Ana Maldonado</t>
  </si>
  <si>
    <t>Yoban</t>
  </si>
  <si>
    <t>Pakhrin</t>
  </si>
  <si>
    <t>Nepal</t>
  </si>
  <si>
    <t>yobanp@nycstudents.net</t>
  </si>
  <si>
    <t>i live in in my house</t>
  </si>
  <si>
    <t>some pakhrin</t>
  </si>
  <si>
    <t>Juliana</t>
  </si>
  <si>
    <t>Cáceres</t>
  </si>
  <si>
    <t>Spain, Ecuador</t>
  </si>
  <si>
    <t>julianac2019@flushinginternational.org</t>
  </si>
  <si>
    <t>11 60 167 st Fresh Meadows ny 11365</t>
  </si>
  <si>
    <t>Rosa Méndez</t>
  </si>
  <si>
    <t>lindamendez641@gmail.com</t>
  </si>
  <si>
    <t>+19292354970</t>
  </si>
  <si>
    <t>Yemili</t>
  </si>
  <si>
    <t>Goodridge</t>
  </si>
  <si>
    <t>Guyana, Venezuela</t>
  </si>
  <si>
    <t>yemiligoodridge04@gmail.com</t>
  </si>
  <si>
    <t>90-25 212th st Queens Village, NY 11428</t>
  </si>
  <si>
    <t>+15169438771</t>
  </si>
  <si>
    <t>Deborah Ramdhan de Goodridge</t>
  </si>
  <si>
    <t>+13475863942</t>
  </si>
  <si>
    <t>Laguardia community college</t>
  </si>
  <si>
    <t>Andino</t>
  </si>
  <si>
    <t>Puerto Rico (US Territory), Dominican Republic</t>
  </si>
  <si>
    <t>samuela297@nycstudents.net</t>
  </si>
  <si>
    <t>50 40 Jacobusst elmhurst NY 11378</t>
  </si>
  <si>
    <t>Mike humilla and hailey brown</t>
  </si>
  <si>
    <t>2640 Marion Av Apt 4L   Bronx NY 10458</t>
  </si>
  <si>
    <t>Mali, Guinea</t>
  </si>
  <si>
    <t>ousmane.diallo3@mail.citytech.cuny.edu</t>
  </si>
  <si>
    <t>Hetal called Ousmane on October 18. He's now at City Tech pursuing Computer Science. His email was updated in his profile. Old emails (ousmanediallo347339@gmail.com, diallo.ousmane@emmalazarus.org)   Attended Google: Code Next on Feb 21, 2024 - Has a Speakhire shirt</t>
  </si>
  <si>
    <t>1011 E53rd ST Brooklyn, NY 11234</t>
  </si>
  <si>
    <t>Mariama Bah</t>
  </si>
  <si>
    <t>mariamab317@gmail.com</t>
  </si>
  <si>
    <t>New York City College in Tech</t>
  </si>
  <si>
    <t>Jhoana</t>
  </si>
  <si>
    <t>Mexico</t>
  </si>
  <si>
    <t>jhoana.guevara.24@wheels-student.org</t>
  </si>
  <si>
    <t>About Intern: The x Intern's family is from Mexico, but she was born in the United States. She speaks English and Spanish. This is her first year and round in the program. The jobs that she is interested in include, &amp;#34;Law, Business, Marketing, Real Estate, Movie editors.&amp;#34;</t>
  </si>
  <si>
    <t>534 west 178 street Apt#2</t>
  </si>
  <si>
    <t>+13322011914</t>
  </si>
  <si>
    <t>Paulina Morales</t>
  </si>
  <si>
    <t>paulinamorales88815@gmail.com</t>
  </si>
  <si>
    <t>+16462382873</t>
  </si>
  <si>
    <t>Cando</t>
  </si>
  <si>
    <t>2024_karinacando@ihs-us.org</t>
  </si>
  <si>
    <t>73A Cooper st, Brooklyn, NY 11207</t>
  </si>
  <si>
    <t>+13474855611</t>
  </si>
  <si>
    <t>Fanklin Cando</t>
  </si>
  <si>
    <t>Gema</t>
  </si>
  <si>
    <t>Europe, North America</t>
  </si>
  <si>
    <t>gema2019@flushinginternational.org</t>
  </si>
  <si>
    <t>132-48 41st rd Apt 6D Flushing, NY 11355</t>
  </si>
  <si>
    <t>+19292408911</t>
  </si>
  <si>
    <t>Roxana Lucero</t>
  </si>
  <si>
    <t>patriluces@hotmail.com</t>
  </si>
  <si>
    <t>ilse</t>
  </si>
  <si>
    <t>cotiy tambriz</t>
  </si>
  <si>
    <t>Guatemala, Dominican Republic</t>
  </si>
  <si>
    <t>ilsecotiy@claremontihs.org</t>
  </si>
  <si>
    <t>2322 Loring Pl N bronx,NY 10468</t>
  </si>
  <si>
    <t>+17185649008</t>
  </si>
  <si>
    <t>isabel leger</t>
  </si>
  <si>
    <t>ilsecotiy60@gmail.com</t>
  </si>
  <si>
    <t>+19292000226</t>
  </si>
  <si>
    <t>Lakshmi</t>
  </si>
  <si>
    <t>7407633@philasd.org</t>
  </si>
  <si>
    <t>207 Radburn Road, Philadelphia, PA</t>
  </si>
  <si>
    <t>215-800-6944</t>
  </si>
  <si>
    <t xml:space="preserve">Resmy Jason </t>
  </si>
  <si>
    <t>resmyjason@yahoo.com</t>
  </si>
  <si>
    <t>215-820-6736</t>
  </si>
  <si>
    <t>Tenzin</t>
  </si>
  <si>
    <t>Namsal</t>
  </si>
  <si>
    <t>tnamsal21@is125q.org</t>
  </si>
  <si>
    <t>35-58 65th street Woodside, NY 11377</t>
  </si>
  <si>
    <t>+13473422784</t>
  </si>
  <si>
    <t>Sonam Yangzom</t>
  </si>
  <si>
    <t>Dechen</t>
  </si>
  <si>
    <t>tenzind4851@nycstudents.net</t>
  </si>
  <si>
    <t>Additional Email dechen@gmail.com Reasoning N/A Business Idea I don&amp;#39;t really have a business idea or anything I just want to have this career because I have a gut or a feeling. Social Problem Yes I would solve the social problem that impacts to my community or society.</t>
  </si>
  <si>
    <t>39-40 Woodside 65th place New York City, New York 11377 United States</t>
  </si>
  <si>
    <t>929-603-0586</t>
  </si>
  <si>
    <t>Lhakpa Dolma</t>
  </si>
  <si>
    <t>lhakd@icloud.com</t>
  </si>
  <si>
    <t>917-609-3304</t>
  </si>
  <si>
    <t>Dhruv</t>
  </si>
  <si>
    <t>dhruvp13@nycstudents.net</t>
  </si>
  <si>
    <t>Reasoning N/A Business Idea N/A Social Problem homeless people</t>
  </si>
  <si>
    <t>39-68 65 woodside, New York 11377 United States</t>
  </si>
  <si>
    <t>ranuka</t>
  </si>
  <si>
    <t>ranukapetel5@gmail.com</t>
  </si>
  <si>
    <t>JiaJie</t>
  </si>
  <si>
    <t>jiajie2019@flushinginternational.org</t>
  </si>
  <si>
    <t>Rosmery (school AP) said JiaJie's English should be good. His parents speak Spanish, not him. </t>
  </si>
  <si>
    <t>145-21 22 nd ave 11357</t>
  </si>
  <si>
    <t>+15167288982</t>
  </si>
  <si>
    <t>Fuyi Liu</t>
  </si>
  <si>
    <t>Sonam</t>
  </si>
  <si>
    <t>Choetso</t>
  </si>
  <si>
    <t>memekrater@gmail.com</t>
  </si>
  <si>
    <t>5855 43rd avenue, fl 1 Woodside, NY 11377</t>
  </si>
  <si>
    <t>+19176574136</t>
  </si>
  <si>
    <t>tashi wangyal</t>
  </si>
  <si>
    <t>Kunga</t>
  </si>
  <si>
    <t>Oeden</t>
  </si>
  <si>
    <t>kungao3@nycstudents.net</t>
  </si>
  <si>
    <t>+15166788909</t>
  </si>
  <si>
    <t>Pema Tsomo</t>
  </si>
  <si>
    <t>Hannah</t>
  </si>
  <si>
    <t>hannahlizjohn@gmail.com</t>
  </si>
  <si>
    <t>Joe John</t>
  </si>
  <si>
    <t>ghghe@gmail.com</t>
  </si>
  <si>
    <t>Yannick</t>
  </si>
  <si>
    <t>Diaby</t>
  </si>
  <si>
    <t>2024_yannicdiaby@ihs-us.org</t>
  </si>
  <si>
    <t>Bio -  Yannick Diaby: Yannick was 17 years old when he moved from the Ivory Coast to the U.S. He is interested in business and education. Yannick describes himself as positive and focused. For college, he is interested in City University of New York. Yannick, we matched you based on your interest in education. About - The X Intern was 17 years old when he moved from the Ivory Coast to the U.S. He speaks English and French. This is his first year and round in the program. The jobs that he listed that he is interested in are, ?business, sports, physical education, soccer coach.?</t>
  </si>
  <si>
    <t>881E 162 St apt 6L , 10459 bronx</t>
  </si>
  <si>
    <t>+16463849613</t>
  </si>
  <si>
    <t>Bintou Ainagnon</t>
  </si>
  <si>
    <t>bintouainagon@yahoo.com</t>
  </si>
  <si>
    <t>+16467139012</t>
  </si>
  <si>
    <t>Djaka</t>
  </si>
  <si>
    <t>Kante</t>
  </si>
  <si>
    <t>djaka.kante@ellisprep.com</t>
  </si>
  <si>
    <t>963 Sherman Avenue Bronx, N.Y. 10456</t>
  </si>
  <si>
    <t>+16465087683</t>
  </si>
  <si>
    <t>Ibrahimsory</t>
  </si>
  <si>
    <t xml:space="preserve">St John's university </t>
  </si>
  <si>
    <t>Fatuma</t>
  </si>
  <si>
    <t>Bulloh</t>
  </si>
  <si>
    <t>fatumaballoh6@gmail.com</t>
  </si>
  <si>
    <t>Bio as of 4/24/2020:  My name is Fatuma Balloh, I?m a 17 years old Junior at American History. I was born in Africa but moved to the United state in 2012 with my family hoping for a better life. When I grow up I want to become a lawyer who fights for justices. I like to listen music or watch movies during my free time. What I?m looking for in a mentor right is for them to help me with my college process.</t>
  </si>
  <si>
    <t>862-218-8733</t>
  </si>
  <si>
    <t>kaissaballog@gmail.com</t>
  </si>
  <si>
    <t>973-468-4385</t>
  </si>
  <si>
    <t>Khadidia</t>
  </si>
  <si>
    <t>khadidia.traore@ellisprep.com</t>
  </si>
  <si>
    <t>929-430-1742</t>
  </si>
  <si>
    <t>Moussaoui Traore</t>
  </si>
  <si>
    <t>Khadidia.traore@ellisprep.com</t>
  </si>
  <si>
    <t>646-266-3140</t>
  </si>
  <si>
    <t>Amizo</t>
  </si>
  <si>
    <t>aminata.kante@ellisprep.com</t>
  </si>
  <si>
    <t>Full name is Aminata; nickname is Amizo Applied Year 2 Foundational Year - Changed main career from Business to Health Sciences  Old phone number 929 497 8539 updated on 2.16.22 HJ</t>
  </si>
  <si>
    <t>Mariam kante</t>
  </si>
  <si>
    <t>ibkante46@gmail.com</t>
  </si>
  <si>
    <t>(646) 249-3567</t>
  </si>
  <si>
    <t>Guttman community college</t>
  </si>
  <si>
    <t>BIBI MIRYAM</t>
  </si>
  <si>
    <t>s.miryam2020@flushinginternational.org</t>
  </si>
  <si>
    <t>She follows the instruction all the time!</t>
  </si>
  <si>
    <t>154-1271st Ave</t>
  </si>
  <si>
    <t>+19292299268</t>
  </si>
  <si>
    <t>sharifi</t>
  </si>
  <si>
    <t>In 250 ? 500 words, describe three traits which make you a leader and a strong student. I am patient and work carefully i like helping people and explaining things to those who don't understand, i like to listen to people before giving my opinion. In 100 ? 250 words, how can SPEAKHIRE help you you boost your own academic profile? by training being a good leader and have faith on myself for what i want to do In 100 ? 250 words, what opportunities do young people who are immigrant and first-generation American currently have to gain awareness of career opportunities? its having the opportunity of going school and learn many things who can help in the future and find what career they want to do In 250 ? 500 words, why you would succeed as a SPEAKHIRE for your grade at your school. If you do not meet all the requirements, explain why we should consider you for the position. because speakhire is a good program and help people to believe them self and be a good leader in the future so that why i want to be consider for the position and help other people to and to encourage them doing this program because that will help them in the future and learn more List the classes you will be taking the upcoming school year and any other activities which will keep you occupied. Please explain to us how many hours a week you will dedicate towards SPEAKHIRE and what your schedule will look like. I think the classes i will take this school year in total will be 4 or 5 classes and one activity. and about the hours i will dedicate towards speakhire will be 2 or 3 hours a week.my schedule will somehow not occupy too much and will be able to have time for myself Outline your main responsibilities as a SPEAKHIRE Ambassador: it is to help other members of the group, let others say what they want to say, notify when your meeting will be, notify the teacher when the other members have something to deal with and cannot join the meeting. peace in the group and help.</t>
  </si>
  <si>
    <t>NY, Bronx 963 sherman ave 10456</t>
  </si>
  <si>
    <t>Mariam Kante</t>
  </si>
  <si>
    <t>MariamKante49@yahoo.com</t>
  </si>
  <si>
    <t>+13475899714</t>
  </si>
  <si>
    <t>Karidjatou</t>
  </si>
  <si>
    <t>Kone</t>
  </si>
  <si>
    <t>karidjatou.kone@ellisprep.com</t>
  </si>
  <si>
    <t>707 concourse village west</t>
  </si>
  <si>
    <t>+13472085960</t>
  </si>
  <si>
    <t>lassine kone</t>
  </si>
  <si>
    <t>lassinekone65@yahoo.com</t>
  </si>
  <si>
    <t>+16315689895</t>
  </si>
  <si>
    <t>Manhattan College</t>
  </si>
  <si>
    <t>Amonique</t>
  </si>
  <si>
    <t>Wynter</t>
  </si>
  <si>
    <t>amoniquewynter1@gmail.com</t>
  </si>
  <si>
    <t>Did not participate in S&amp;amp;S - last comm. by email (did by BC) -- PQ Cashed Awarded $50 check on Aug 28, 2023 Rising Leader - Check for $50 mailed 8/22 by HJ. Expected to be received Friday 25th. -- PQ About Intern: The X Intern moved to the United States from Jamaica when she was 15 years old. She speaks English. This is her first year and round in the program. The jobs she listed that she is interested in are, &amp;#34;Artist and a business woman, Flight attendant,artist,business manager business owner.&amp;#34; I came to the United States from Jamaica I am 16 years old. Interest in art. I describe myself as honest, hard working and diligent. I?m not sure about my colleges yet Ambassador Responses:  11 In 250 ? 500 words, describe three traits which make you a leader and a strong student. I am a strong and willing student who likes to push myself to workharder to achieve my goal.I like to help my peers to reach their goal 12 In 100 ? 250 words, how can SPEAKHIRE help you you boost your own academic profile? It can help me by helping me to get more knowledge about certain stuff that can help me in my day to day life and school. 13 In 100 ? 250 words, what opportunities do young people who are immigrant and first-generation American currently have to gain awareness of career opportunities? I?m not understanding this question 14 In 250 ? 500 words, why you would succeed as a SPEAKHIRE for your grade at your school. If you do not meet all the requirements, explain why we should consider you for the position. I am smart dedicated and will do whatever it takes to get the task at hand down.I also want to see the best in my peers and people around me.I also make sure I put my best foot forward everyday.I?m also a well rounded person who takes advantage of all the opportunities that I can get to become a better person. 15 List the classes you will be taking the upcoming school year and any other activities which will keep you occupied. Please explain to us how many hours a week you will dedicate towards SPEAKHIRE and what your schedule will look like. Ap US HISTORY AP SEMINAR AP English language Geometry ArtsHealth GymI will dedicate as much hours that are needed towards the speakhire program. 16 Outline your main responsibilities as a SPEAKHIRE Ambassador: Make sure the students log on to their meetingsHave efficient and effective communication with with students apart of the speakhire program and my fellow ambassadors.Provide students with help and support</t>
  </si>
  <si>
    <t>+13478079563</t>
  </si>
  <si>
    <t>Robert wynter</t>
  </si>
  <si>
    <t>robertwynter.1966@gmail.com</t>
  </si>
  <si>
    <t>+17189260731</t>
  </si>
  <si>
    <t>Malichi</t>
  </si>
  <si>
    <t>Burchell</t>
  </si>
  <si>
    <t>tishemapayne@gmail.com</t>
  </si>
  <si>
    <t>1124 E 103rd Street Brooklyn, New York 11236 United States</t>
  </si>
  <si>
    <t>(929)508-4853</t>
  </si>
  <si>
    <t>Tishema Payne</t>
  </si>
  <si>
    <t>(347)285-2365</t>
  </si>
  <si>
    <t>7006 66 St. Apt. 2L Glendale, NY, 11385</t>
  </si>
  <si>
    <t>Ana Mejia</t>
  </si>
  <si>
    <t>joshuaandrews997@gmail.com</t>
  </si>
  <si>
    <t>118-15 180st</t>
  </si>
  <si>
    <t>+13478415836</t>
  </si>
  <si>
    <t>Nichola cole</t>
  </si>
  <si>
    <t>Kijhani</t>
  </si>
  <si>
    <t>kijhanialtond@gmail.com</t>
  </si>
  <si>
    <t>120-11 springfield blvd</t>
  </si>
  <si>
    <t>+16317463696</t>
  </si>
  <si>
    <t>Amara</t>
  </si>
  <si>
    <t>Sinclair</t>
  </si>
  <si>
    <t>amarasinclair7@gmail.com</t>
  </si>
  <si>
    <t>Joined the LE course late, at the fourth session and also left the session early but didn't have her camera or mic on (was at the doctor's) Hetal Jani, May 11, 2021</t>
  </si>
  <si>
    <t>121-27 benton street springfield garden queens nyc 11413</t>
  </si>
  <si>
    <t>+13476514603</t>
  </si>
  <si>
    <t>jean sinclair</t>
  </si>
  <si>
    <t>Daejahnae</t>
  </si>
  <si>
    <t>Coleman</t>
  </si>
  <si>
    <t>daejahnae2002@gmail.com</t>
  </si>
  <si>
    <t>129-19 135th pl</t>
  </si>
  <si>
    <t>Teka Hall-Locke</t>
  </si>
  <si>
    <t>Rushawn</t>
  </si>
  <si>
    <t>rushawn2008@gmail.com</t>
  </si>
  <si>
    <t>137-55 bidell street</t>
  </si>
  <si>
    <t>+15163881661</t>
  </si>
  <si>
    <t>annesia</t>
  </si>
  <si>
    <t>Wright</t>
  </si>
  <si>
    <t>wright.matthew007@gmail.com</t>
  </si>
  <si>
    <t>About Intern: This Intern was born in America but his family is from Jamaica. He speaks English, This is his first round and year in the program. The jobs that he listed that he is interested in are, &amp;#34;Business, Data analyst, Cybersecurity, Computer science, Computer Programming.&amp;#34;</t>
  </si>
  <si>
    <t>139-40 253rd Street, Queens, NY 11422</t>
  </si>
  <si>
    <t>+13476239853</t>
  </si>
  <si>
    <t>Verona Wright</t>
  </si>
  <si>
    <t>veronfay53@gmail.com</t>
  </si>
  <si>
    <t>+13474091749</t>
  </si>
  <si>
    <t>bonillamariel2@gmail.com</t>
  </si>
  <si>
    <t>34 pine st 11208 brooklyn</t>
  </si>
  <si>
    <t>+19292164219</t>
  </si>
  <si>
    <t>Lorenzo Barrientos</t>
  </si>
  <si>
    <t>+17182139994</t>
  </si>
  <si>
    <t>Ronique</t>
  </si>
  <si>
    <t>White</t>
  </si>
  <si>
    <t>pumpkinlovesmom@gmail.com</t>
  </si>
  <si>
    <t>143-28 184th street Queens NY</t>
  </si>
  <si>
    <t>+19292069064</t>
  </si>
  <si>
    <t>Rupert White</t>
  </si>
  <si>
    <t>Li Zheng</t>
  </si>
  <si>
    <t>Venezuela, China</t>
  </si>
  <si>
    <t>a.lizheng2018@flushinginternational.org</t>
  </si>
  <si>
    <t>42-39 147th st, Flushing, NY, 11355</t>
  </si>
  <si>
    <t>+19294918881</t>
  </si>
  <si>
    <t>Frank Chang</t>
  </si>
  <si>
    <t>liangely02@hotmail.com</t>
  </si>
  <si>
    <t>kthen123krisi@gmail.com</t>
  </si>
  <si>
    <t>14632 Farmers BLVD Queens New York 11434</t>
  </si>
  <si>
    <t>+15167905502</t>
  </si>
  <si>
    <t>Kerrion Smith</t>
  </si>
  <si>
    <t>Shemmanie</t>
  </si>
  <si>
    <t>rajahbrown2@gmail.com</t>
  </si>
  <si>
    <t>150-40 116TH AVE</t>
  </si>
  <si>
    <t>+17187122304</t>
  </si>
  <si>
    <t>{Flaveya Morgon King}</t>
  </si>
  <si>
    <t>ciaracampbell11@gmail.com</t>
  </si>
  <si>
    <t>150-49 125st south ozone park,ny 11420</t>
  </si>
  <si>
    <t>+19294277240</t>
  </si>
  <si>
    <t>Meisha-Gay Wallace</t>
  </si>
  <si>
    <t>Calyton</t>
  </si>
  <si>
    <t>sarahdw32@yahoo.com</t>
  </si>
  <si>
    <t>18327 HendersonAve.Aollis n.y.</t>
  </si>
  <si>
    <t>+19293350899</t>
  </si>
  <si>
    <t>Sarahlou</t>
  </si>
  <si>
    <t>Dante</t>
  </si>
  <si>
    <t>191-18 115 Drive, Saint Albans, NY, 11412</t>
  </si>
  <si>
    <t>Jaqueline Hanson</t>
  </si>
  <si>
    <t>jackiem4040@hotmail.com</t>
  </si>
  <si>
    <t>+19177766564</t>
  </si>
  <si>
    <t>Mcleod</t>
  </si>
  <si>
    <t>briannamcleod22@gmail.com</t>
  </si>
  <si>
    <t>22404 S Conduit Ave</t>
  </si>
  <si>
    <t>Wolsey Mcleod</t>
  </si>
  <si>
    <t>Blake</t>
  </si>
  <si>
    <t>malikblake419@gmail.com</t>
  </si>
  <si>
    <t>25945ave</t>
  </si>
  <si>
    <t>+19084567601</t>
  </si>
  <si>
    <t>Stacey-Ann Williamson</t>
  </si>
  <si>
    <t>McPherson</t>
  </si>
  <si>
    <t>tm381188@gmail.com</t>
  </si>
  <si>
    <t>Phone #: &amp;#43;19298441234 Email: Tm381188@gmail.com</t>
  </si>
  <si>
    <t>652 park ave</t>
  </si>
  <si>
    <t>+19298441234</t>
  </si>
  <si>
    <t>HS for Enterprise, Business and Technology NY</t>
  </si>
  <si>
    <t>christine malacolm</t>
  </si>
  <si>
    <t>Beckfordchristine140@hmail.com</t>
  </si>
  <si>
    <t>Leandro</t>
  </si>
  <si>
    <t>Chavez</t>
  </si>
  <si>
    <t>lapicito3505@gmail.com</t>
  </si>
  <si>
    <t>18 st Nicholas place, New York, United States, 10031</t>
  </si>
  <si>
    <t>+16466239816</t>
  </si>
  <si>
    <t>Leticia Chavez</t>
  </si>
  <si>
    <t>+16466374305</t>
  </si>
  <si>
    <t>Natala</t>
  </si>
  <si>
    <t>Reid-Small</t>
  </si>
  <si>
    <t>reidnatalie02@gmail.com</t>
  </si>
  <si>
    <t>Dejahn</t>
  </si>
  <si>
    <t>dejahn2008@gmail.com</t>
  </si>
  <si>
    <t>229 17 129 avenue</t>
  </si>
  <si>
    <t>+17187919590</t>
  </si>
  <si>
    <t>Nadine williams</t>
  </si>
  <si>
    <t>Zuura</t>
  </si>
  <si>
    <t>Ramazanova</t>
  </si>
  <si>
    <t>Kyrgyzstan</t>
  </si>
  <si>
    <t>zuura1001@gmail.com</t>
  </si>
  <si>
    <t>7/21/23 - Email changed from zuuraramazanova@gmail.com to zuura1001@gmail.com</t>
  </si>
  <si>
    <t xml:space="preserve">10220 Clark st </t>
  </si>
  <si>
    <t>zuuraramazanova@gmail.com</t>
  </si>
  <si>
    <t>Nazim</t>
  </si>
  <si>
    <t>Bolotbekova</t>
  </si>
  <si>
    <t>bolotbekova.nazima0200@gmail.com</t>
  </si>
  <si>
    <t>10868 Parlin Terrace</t>
  </si>
  <si>
    <t>Zamira Aitalieva</t>
  </si>
  <si>
    <t>aitalieva2020@gmail.com</t>
  </si>
  <si>
    <t>Batma</t>
  </si>
  <si>
    <t>batmaramazanova@gmail.com</t>
  </si>
  <si>
    <t>Twin sister to Zuura Ramazanova</t>
  </si>
  <si>
    <t>215-715-4966</t>
  </si>
  <si>
    <t>Aneeda (Winnie)</t>
  </si>
  <si>
    <t>VONGNORKEO</t>
  </si>
  <si>
    <t>Laos</t>
  </si>
  <si>
    <t>2025_aneedavongnorkeo@ihs-us.org</t>
  </si>
  <si>
    <t>Attended Google: Code Next on Feb 21, 2024 - Has a Speakhire shirt Additional email -  aneeda9898@gmail.con</t>
  </si>
  <si>
    <t>124 East 38th New York, New York 10016 United States</t>
  </si>
  <si>
    <t>(917)-912-1099</t>
  </si>
  <si>
    <t>Ben Phimmasone</t>
  </si>
  <si>
    <t>Phimmasone.benz@gmail.com</t>
  </si>
  <si>
    <t>(347)544-0180</t>
  </si>
  <si>
    <t>Madusu</t>
  </si>
  <si>
    <t>Jabateh</t>
  </si>
  <si>
    <t>Liberia</t>
  </si>
  <si>
    <t>madusujabateh18@gmail.com</t>
  </si>
  <si>
    <t>Madusu provided updated number on May 4th 2021 to Hetal Jani -- this number seems to be old but we were able to contact her on this before (&amp;#43;19293947998)</t>
  </si>
  <si>
    <t>4275 Park Avenue Apartment 304 Bronx New York 10 457</t>
  </si>
  <si>
    <t>Abdoulaye Jabateh</t>
  </si>
  <si>
    <t>Abdulaijabateh@gmail.com</t>
  </si>
  <si>
    <t>+13478493423</t>
  </si>
  <si>
    <t>Jia Meng</t>
  </si>
  <si>
    <t>Woon</t>
  </si>
  <si>
    <t>Malaysia</t>
  </si>
  <si>
    <t>jiameng2019@flushinginternational.org</t>
  </si>
  <si>
    <t>Ms. Rosmery said he will be fine in English has the persistence to learn quickly</t>
  </si>
  <si>
    <t>6701 198th st Fresh Meadows, Queens 11365 NY</t>
  </si>
  <si>
    <t>+19176205336</t>
  </si>
  <si>
    <t>Li Hoi Woon</t>
  </si>
  <si>
    <t>lhwoon6@gmail.com</t>
  </si>
  <si>
    <t>+19175992978</t>
  </si>
  <si>
    <t>Bessirou</t>
  </si>
  <si>
    <t>Mali</t>
  </si>
  <si>
    <t>bessiroudoukoure@claremontihs.org</t>
  </si>
  <si>
    <t>+17182079233</t>
  </si>
  <si>
    <t>oumar Doukoure</t>
  </si>
  <si>
    <t>+16462830355</t>
  </si>
  <si>
    <t>Aissata</t>
  </si>
  <si>
    <t>Samassa</t>
  </si>
  <si>
    <t>aissatasamassa@claremontihs.org</t>
  </si>
  <si>
    <t>1325 Morris Ave Apt 2 Bronx, New York 10456</t>
  </si>
  <si>
    <t>+13478615254</t>
  </si>
  <si>
    <t>Mouhamed Samasa</t>
  </si>
  <si>
    <t>Anahi</t>
  </si>
  <si>
    <t>Tenelema</t>
  </si>
  <si>
    <t>anahit16@nycstudents.net</t>
  </si>
  <si>
    <t>39-30 59street woodside ny, 11377</t>
  </si>
  <si>
    <t>Maria Mora</t>
  </si>
  <si>
    <t>fbinta@crotonaihs.org</t>
  </si>
  <si>
    <t>If her parents came back 10 years ago, did she also -- how is her English? (HJ, 1/11/2021)</t>
  </si>
  <si>
    <t>1590 East 172 Street Bronx NY 10472</t>
  </si>
  <si>
    <t>Oumou Diallo</t>
  </si>
  <si>
    <t>oumoudiamidiallo@gmail.com</t>
  </si>
  <si>
    <t>Diawara</t>
  </si>
  <si>
    <t>amarad14@nycstudents.net</t>
  </si>
  <si>
    <t>Additional Email babcheee714@gmail.com</t>
  </si>
  <si>
    <t>2830briggsavenue new york, New York 10458 United State</t>
  </si>
  <si>
    <t>(929)676-5195</t>
  </si>
  <si>
    <t>International High School at Union Square.</t>
  </si>
  <si>
    <t>dianke</t>
  </si>
  <si>
    <t>mdiawara212@gmail.com</t>
  </si>
  <si>
    <t>(929)674-4831</t>
  </si>
  <si>
    <t>Niyati</t>
  </si>
  <si>
    <t>Trivedi</t>
  </si>
  <si>
    <t>niyati1296rd@gmail.com</t>
  </si>
  <si>
    <t>Self led but did not pay or complete commitment</t>
  </si>
  <si>
    <t>28 Zabriskie street Jersey City 07307</t>
  </si>
  <si>
    <t>+15512602675</t>
  </si>
  <si>
    <t>Nilesh Trivedi</t>
  </si>
  <si>
    <t>niyatitrivedi926@gmail.com</t>
  </si>
  <si>
    <t>+919537478576</t>
  </si>
  <si>
    <t>atraore@crotonaihs.org</t>
  </si>
  <si>
    <t>340 East 184 Street, 5F, Bronx, NY 10458</t>
  </si>
  <si>
    <t>+19294536218</t>
  </si>
  <si>
    <t>Hawa Sacko</t>
  </si>
  <si>
    <t>Hatouma</t>
  </si>
  <si>
    <t>Doucoure</t>
  </si>
  <si>
    <t>hatoumadoucoure2002@gmail.com</t>
  </si>
  <si>
    <t>4/3/23 - updated personal email to hatoumadoucoure2002@gmail.com from HATOUMA.DOUCOURE@ICHSBRONX.ORG Missed her 4/1/21 session because she had her 'Nikah' ceremony. (HJ, 4/1/21)</t>
  </si>
  <si>
    <t>473 Willis Avenue The Bronx, NY 10455</t>
  </si>
  <si>
    <t>Mariam Diakite</t>
  </si>
  <si>
    <t>mariamg.diakite789@gmail.com</t>
  </si>
  <si>
    <t>Zaineb</t>
  </si>
  <si>
    <t>Kayuteh</t>
  </si>
  <si>
    <t>8471875@philasd.org</t>
  </si>
  <si>
    <t>Saidatou</t>
  </si>
  <si>
    <t>10076883@philasd.org</t>
  </si>
  <si>
    <t>IMPORTANT: (KEEP AT TOP OF NOTES) Name spelled: Saïdatou Diallo Other email address:  saoudadiallo04@gmail.com &amp;#34;I was born in America but grew up in Mali. I speak French but was able to learn English since coming here in September, 2019. I already have a 3.75 GPA and I'm taking challenging classes like Chemistry and Geometry in English. I'm looking forward to go to college and learning through SPEAK how I can afford college here or abroad in France or Canada. I am extremely hard-working, and always achieve my goals. I hope to one day soon go back to Mali to start a business and support my community.&amp;#34; </t>
  </si>
  <si>
    <t>68-34 Souder Street, Philadelphia, PA 19149</t>
  </si>
  <si>
    <t>267 344 7657</t>
  </si>
  <si>
    <t>Fatoumata Diallo</t>
  </si>
  <si>
    <t>saoudadiallo04@gmail.com</t>
  </si>
  <si>
    <t>Doussouba</t>
  </si>
  <si>
    <t>Diakite</t>
  </si>
  <si>
    <t>Mali, Cote d’Ivoire (Ivory Coast)</t>
  </si>
  <si>
    <t>2025_doussoubadiakite@ihs-us.org</t>
  </si>
  <si>
    <t>Attended Google: Code Next on Feb 21, 2024 - Has a Speakhire shirt New Bio - Doussouba Diakite: &amp;#34; I came to the United States from Mali when I was 14 years old. I am interested in artificial intelligence . I describe myself as positive ,cool ,simple. The colleges that I am interested in are Stanford university ,university of Montreal ,university of Miami university of buston .&amp;#34; Bio - Doussouba Diakite: Doussouba came to America when she was 14 years old from Mali and the Ivory Coast. She is interested in a career in STEM. Doussouba describes herself as nice, cool, and patient. For college, she is looking at Stanford, Hunter, Colombia, and Barnard as options. Doussouba, we matched you based on your interest in STEM. About - The X Intern came to America when she was 14 years old from Mali and the Ivory Coast. She speaks English and French. This is her first year and round in the program. The jobs that she listed that she is interested in are, ?artificiel intelligence, ingenieury, programing, coding.?</t>
  </si>
  <si>
    <t>1504 sheridan Avenue ,10457 bronx</t>
  </si>
  <si>
    <t>+19293584844</t>
  </si>
  <si>
    <t>abdoulaye sidibe</t>
  </si>
  <si>
    <t>abdoulayesidibe@gmail.com</t>
  </si>
  <si>
    <t>+13478599165</t>
  </si>
  <si>
    <t>Aristid</t>
  </si>
  <si>
    <t>aristid.reynoso.24@wheels-student.org</t>
  </si>
  <si>
    <t>About Intern: The X Intern's family is from the Dominican Republic, but he was born in the United States. He speaks English and Spanish. This is his first year and round in the program. He listed, &amp;#34;Real estate, law, architecture, medical, soldier,&amp;#34; as jobs he is interested in.</t>
  </si>
  <si>
    <t>4305 broadway apt 22 NY, NYC, 10033</t>
  </si>
  <si>
    <t>+16469654040</t>
  </si>
  <si>
    <t>Jauna de la cruz</t>
  </si>
  <si>
    <t>lalidelacruz9@gmail.com</t>
  </si>
  <si>
    <t>+19175649048</t>
  </si>
  <si>
    <t>Trisha</t>
  </si>
  <si>
    <t>Landolt</t>
  </si>
  <si>
    <t>Dominican Republic, Switzerland</t>
  </si>
  <si>
    <t>North America, Europe</t>
  </si>
  <si>
    <t>trishalandolt@claremontihs.org</t>
  </si>
  <si>
    <t>214 E 163rd St, Bronx NY, 10451</t>
  </si>
  <si>
    <t>Elva Arias</t>
  </si>
  <si>
    <t>elvam.arias20@gmail.com</t>
  </si>
  <si>
    <t>Maria de lourdes</t>
  </si>
  <si>
    <t>mariap461@nycstudents.net</t>
  </si>
  <si>
    <t>35-12 99th</t>
  </si>
  <si>
    <t>+13473395264</t>
  </si>
  <si>
    <t>Anandy Dominguez</t>
  </si>
  <si>
    <t>6157 elio avenu</t>
  </si>
  <si>
    <t>+12345678766</t>
  </si>
  <si>
    <t>angel martinez</t>
  </si>
  <si>
    <t>267-335-7527</t>
  </si>
  <si>
    <t>piyushshreya31@gmail.com</t>
  </si>
  <si>
    <t>215-856-3975</t>
  </si>
  <si>
    <t>veronicav63@nycstudents.net</t>
  </si>
  <si>
    <t>Additional Email vazquez.uraga1804@gmail.com</t>
  </si>
  <si>
    <t>1345 Amsterdam ave Manhattan, New York 10027 United States</t>
  </si>
  <si>
    <t>Juana Uraga</t>
  </si>
  <si>
    <t>Maestra</t>
  </si>
  <si>
    <t>Daya</t>
  </si>
  <si>
    <t>Stanley</t>
  </si>
  <si>
    <t>12 sessions -  was an ambassador but took on too many things as a 9th grader and ambassadorship and speakhire fell to the wayside; she dropped out after trying really hard but volleyball/softball took precedence</t>
  </si>
  <si>
    <t>267-394-3896</t>
  </si>
  <si>
    <t>akashstanley@gmail.com</t>
  </si>
  <si>
    <t>267-394-3869</t>
  </si>
  <si>
    <t>darwinguerrero@claremontihs.org</t>
  </si>
  <si>
    <t>1689 Monroe Ave, Bronx, NY 10457</t>
  </si>
  <si>
    <t>+13477480235</t>
  </si>
  <si>
    <t>Felix Guerrero</t>
  </si>
  <si>
    <t>felixga109@gmail.com</t>
  </si>
  <si>
    <t>+16462419835</t>
  </si>
  <si>
    <t>nc259538213@crotonaihs.org</t>
  </si>
  <si>
    <t>170 E206th St Bronx NY 10458</t>
  </si>
  <si>
    <t>+19295626399</t>
  </si>
  <si>
    <t>Yeni</t>
  </si>
  <si>
    <t>Rincy</t>
  </si>
  <si>
    <t>Roy</t>
  </si>
  <si>
    <t>267-574-3163</t>
  </si>
  <si>
    <t>roy.varghese.kk@gmail.com</t>
  </si>
  <si>
    <t>267-242-7857</t>
  </si>
  <si>
    <t>Galindo</t>
  </si>
  <si>
    <t>2025_angelgalindo@ihs-us.org</t>
  </si>
  <si>
    <t>207 knickerbocker Av Brooklyn, New York 11237 United States</t>
  </si>
  <si>
    <t>(917)861-3345</t>
  </si>
  <si>
    <t>Virnia Daniel Rojano</t>
  </si>
  <si>
    <t>Vickymendezdaniel@gmail.com</t>
  </si>
  <si>
    <t>Covarrubias</t>
  </si>
  <si>
    <t>dc260683123@crotonaihs.org</t>
  </si>
  <si>
    <t>The X Intern came from Mexico to the United States to study at the age of 14. He is interested in technology and objects that are believed to be related. He describes himself as an attentive person, careful with what he does and doing his jobs well and he's still in Consideration of his college options such as King's College New York.</t>
  </si>
  <si>
    <t>2242 Webster Av Bronx, New York 10457 United States</t>
  </si>
  <si>
    <t>Celia</t>
  </si>
  <si>
    <t>celiacortezc@gmail.com</t>
  </si>
  <si>
    <t>ashley.diaz.24@wheels-student.org</t>
  </si>
  <si>
    <t>About Intern: The X Intern was born in the U.S. but her family is from Mexico. She speaks English and Spanish. This is her first year and round in the program. The jobs that she is interested in include, &amp;#34;plastic surgeon, dentist, optometrist, beat maker, dj, prosecuter, obgyn.&amp;#34;</t>
  </si>
  <si>
    <t>2304Amsterdam ave, New york, Ny, 10033</t>
  </si>
  <si>
    <t>+16464797285</t>
  </si>
  <si>
    <t>Lucia franco</t>
  </si>
  <si>
    <t>ashley14119@gmail.com</t>
  </si>
  <si>
    <t>+13472455273</t>
  </si>
  <si>
    <t>Orduna</t>
  </si>
  <si>
    <t>edwino96@nycstudents.net</t>
  </si>
  <si>
    <t xml:space="preserve">Additional Email: edwin.orduna8@cloud.com
</t>
  </si>
  <si>
    <t xml:space="preserve">2390 Davidson Ave Bronx, New York 10468 United States
</t>
  </si>
  <si>
    <t xml:space="preserve">(347)782-8267
</t>
  </si>
  <si>
    <t>Juana cortes</t>
  </si>
  <si>
    <t>cortesjuana075@gmail.com</t>
  </si>
  <si>
    <t>(347)579-8689</t>
  </si>
  <si>
    <t>Luis.</t>
  </si>
  <si>
    <t>1153 wheeler ave bronx NY</t>
  </si>
  <si>
    <t>Luis Chimbo</t>
  </si>
  <si>
    <t>347-757-9356; Maria Camas (Mother) - 347-867-6588</t>
  </si>
  <si>
    <t>2025_emilianocordero@ihs-us.org</t>
  </si>
  <si>
    <t>The X Intern moved from Mexico to the United States when he was 17 years old. He speaks English and Spanish. This is his second round in the program. He is interested in business, law, and social sciences/psychology. Additional email -  emilianocordero122007@gmail.com</t>
  </si>
  <si>
    <t>26 Lyceum court Staten Island, New York 10310 United States</t>
  </si>
  <si>
    <t>Adriana Sanchez</t>
  </si>
  <si>
    <t>adrianacordero888@gmail.com</t>
  </si>
  <si>
    <t>Kohen</t>
  </si>
  <si>
    <t>Álvarez Reyes</t>
  </si>
  <si>
    <t>kbar1011red07@gmail.com</t>
  </si>
  <si>
    <t>Email: kbar1011red07@gmail.com Phone #: 929 535 8425 Emergency Contact: Jean Suárez 34780926191</t>
  </si>
  <si>
    <t>289 Delawere ave Staten Island,NY10305</t>
  </si>
  <si>
    <t>929 535 8425</t>
  </si>
  <si>
    <t>New Dorp High School 31R440 NY</t>
  </si>
  <si>
    <t>Rosa Reyes Tamamis</t>
  </si>
  <si>
    <t>Rosatamaniz85@gmail.com</t>
  </si>
  <si>
    <t>347 955 7399</t>
  </si>
  <si>
    <t>christopher2019@flushinginternational.org</t>
  </si>
  <si>
    <t>36-20 parsons boulevard apt 3a flushing NY 11354</t>
  </si>
  <si>
    <t>+19293255090</t>
  </si>
  <si>
    <t>Valentin Mendoza</t>
  </si>
  <si>
    <t>valebb7u716@gmail.com</t>
  </si>
  <si>
    <t>Bidhata</t>
  </si>
  <si>
    <t>bidhata020@ebtbrooklyn.com</t>
  </si>
  <si>
    <t>sharmast01@yahoo.com</t>
  </si>
  <si>
    <t>Manar</t>
  </si>
  <si>
    <t>Alsalihi</t>
  </si>
  <si>
    <t>Iraq</t>
  </si>
  <si>
    <t>267-982-3699</t>
  </si>
  <si>
    <t>9644764@philasd.org</t>
  </si>
  <si>
    <t>267-982-0787</t>
  </si>
  <si>
    <t>mendozatephanie868@gmail.com</t>
  </si>
  <si>
    <t>3730 93 st Queens NY 11372</t>
  </si>
  <si>
    <t>+13479526513</t>
  </si>
  <si>
    <t>Leopoldo Vazquez</t>
  </si>
  <si>
    <t>leopoldo.vazquez01@gmail.com</t>
  </si>
  <si>
    <t>+13478705655</t>
  </si>
  <si>
    <t>Mishelle</t>
  </si>
  <si>
    <t>Carol</t>
  </si>
  <si>
    <t>carolmishelle2019@flushinginternational.org</t>
  </si>
  <si>
    <t>Hetal changed to 'not comfortable' from 'very comfortable' after taking a look at the app responses (11/7/21)</t>
  </si>
  <si>
    <t>40-12-108 2sf</t>
  </si>
  <si>
    <t>+527471498258</t>
  </si>
  <si>
    <t>victor</t>
  </si>
  <si>
    <t>adrian123@gmail.com</t>
  </si>
  <si>
    <t>+19389326788</t>
  </si>
  <si>
    <t>Jahzion</t>
  </si>
  <si>
    <t>Plummer</t>
  </si>
  <si>
    <t>jahzionplummer@gmail.com</t>
  </si>
  <si>
    <t>Had football practice and that's why he stopped showing up to sessions, both LE and FY</t>
  </si>
  <si>
    <t>134 22 220 new york laurelton 11413</t>
  </si>
  <si>
    <t>+15167276886</t>
  </si>
  <si>
    <t>Sherice hall</t>
  </si>
  <si>
    <t>rosedale42@icloud.com</t>
  </si>
  <si>
    <t>+15167276723</t>
  </si>
  <si>
    <t>Melendez</t>
  </si>
  <si>
    <t>2025_edwinmelendez@ihs-us.org</t>
  </si>
  <si>
    <t>Additional Email -  edwinmelendezgonzalez@gmail.com IL Responses  REASONING I am choosing to participate in this internship because I believe it will help to do an impact in some way to the problems in the community, it will also help to increase my English and communication skills since I am going to be around different people. BUSINESS IDEA I would like to have a food pantry where people can go and get meals for free, this since it will help some of them and also the homeless community. SOCIAL PROBLEM People that don have enough money to be able to buy food is an issue that is very big in NYC.</t>
  </si>
  <si>
    <t>403 West 205 st Apt 36 New York, New York 10034 United States</t>
  </si>
  <si>
    <t>Josefina Urena</t>
  </si>
  <si>
    <t>bollon135@gmail.com</t>
  </si>
  <si>
    <t>D'marjia</t>
  </si>
  <si>
    <t>Attended IR1 22-23 then marked inactive by Francesca - 1/12/23 KW About Intern: The X Intern moved to America from Jamaica when she was 13 years old. She speaks English. This is her second year in the program. The jobs she listed that she is interested in are, &amp;#34;Physician, Physician, Business, Real estate, Pathologist, Physical Therapist.&amp;#34; D'marjia chose to not continue after being matched in FY21-22 IR1 (HJ) Phone number:&amp;#43;16468184678 Y2 parent email: rankinesuwayne@gmail.com Y2 FY intern - graduate of 2021</t>
  </si>
  <si>
    <t>146-48 222 street Springfield Gardens Queens, NY 11413</t>
  </si>
  <si>
    <t>Kingarankine33@gmail.com</t>
  </si>
  <si>
    <t>josec760@nycstudents.net</t>
  </si>
  <si>
    <t>42-65-80 Elmhurst, New York 11373 United States</t>
  </si>
  <si>
    <t>Angelica Torres</t>
  </si>
  <si>
    <t>Josec760@nycstudents.net</t>
  </si>
  <si>
    <t>718-424-0107</t>
  </si>
  <si>
    <t>lizbeth Luna</t>
  </si>
  <si>
    <t>lizbeth.luna@ichsbronx.org</t>
  </si>
  <si>
    <t>424 E 149 th</t>
  </si>
  <si>
    <t>+13477592881</t>
  </si>
  <si>
    <t>Ambrocio, Maximina</t>
  </si>
  <si>
    <t>helena.</t>
  </si>
  <si>
    <t>bedward</t>
  </si>
  <si>
    <t>helenabedward4@gmail.com</t>
  </si>
  <si>
    <t>144-18-167st</t>
  </si>
  <si>
    <t>+16469404395</t>
  </si>
  <si>
    <t>earl bedward keash brown</t>
  </si>
  <si>
    <t>Epiphania</t>
  </si>
  <si>
    <t>Jarquin</t>
  </si>
  <si>
    <t>epyj653@gmail.com</t>
  </si>
  <si>
    <t>10/7/22 - Interested in Liberal Arts (Psychology Associates)</t>
  </si>
  <si>
    <t>437 Maple Street, Brooklyn, NY</t>
  </si>
  <si>
    <t>917-588-2764</t>
  </si>
  <si>
    <t xml:space="preserve">Estrella Jarquin </t>
  </si>
  <si>
    <t>estrellaj4@olympusacademy.org</t>
  </si>
  <si>
    <t>917-636-9914</t>
  </si>
  <si>
    <t>danielmartinezcelo@gmail.com</t>
  </si>
  <si>
    <t>Additional Email danielm1135@nycstudents.net Reasoning N/A Business Idea My business idea is soccer shoes, i want them to be explodes, and powerful, Social Problem The social problem that been impacting my community is subway srafing,</t>
  </si>
  <si>
    <t>48-36 47 street 1A Woodside NY, New York 11377 United States</t>
  </si>
  <si>
    <t>Eunice Martinez</t>
  </si>
  <si>
    <t>Eunicemc90@gmail.com</t>
  </si>
  <si>
    <t>3479048075iforgotmymomnumberbuttextmeandwouldgladlysendhernumbertoyou</t>
  </si>
  <si>
    <t>Uriel</t>
  </si>
  <si>
    <t>Garcia Hernandez</t>
  </si>
  <si>
    <t>urielg37@nycstudents.net</t>
  </si>
  <si>
    <t>civic_leadership civic leadership is about how people can help the community or the environment . community_impact By always cleaning things and always fix the trash so they wouldn&amp;#39;t be mixing,mixing it would ruin the environment because it takes a long process to separate them individually. passionate_causes I&amp;#39;m passionate about helping the environment because the environment is truly the main key to everything and if it isn&amp;#39;t in good condition,it would be horrible for anyone. sdg_awareness SDG&amp;#39;s are global problems that people try to solve. community_help If everyone recycles,there will be less pollution and will have less global warming,everyone can make a difference if everyone is willing to help.</t>
  </si>
  <si>
    <t>4846 46th Woodside, New York 11377 United States</t>
  </si>
  <si>
    <t>is125</t>
  </si>
  <si>
    <t>Gloria hernandez martinez</t>
  </si>
  <si>
    <t>Gloriahm06@gmail.com</t>
  </si>
  <si>
    <t>(323)809-7517</t>
  </si>
  <si>
    <t>50 31 38st</t>
  </si>
  <si>
    <t>+15164582136</t>
  </si>
  <si>
    <t>Isaura galindo</t>
  </si>
  <si>
    <t>Amir</t>
  </si>
  <si>
    <t>Soman</t>
  </si>
  <si>
    <t>amirsoman356@gmail.com</t>
  </si>
  <si>
    <t>157-23 129th ave, queens new york, 11434</t>
  </si>
  <si>
    <t>+15166681872</t>
  </si>
  <si>
    <t>Iesha Stephenson</t>
  </si>
  <si>
    <t>Amirakeel35@gmail.com</t>
  </si>
  <si>
    <t>+13472796615</t>
  </si>
  <si>
    <t>Alexander</t>
  </si>
  <si>
    <t>Aguilar</t>
  </si>
  <si>
    <t>alexandera288@nycstudents.net</t>
  </si>
  <si>
    <t>50-40 Jacobus st Elmghurst New York, New York 11373 United States</t>
  </si>
  <si>
    <t>Maria Aguilar</t>
  </si>
  <si>
    <t>marria1208@hotmail.com</t>
  </si>
  <si>
    <t>347-485-8066</t>
  </si>
  <si>
    <t>Muniz</t>
  </si>
  <si>
    <t>ethanm8069@nycstudents.net</t>
  </si>
  <si>
    <t>50-40 Jacobus St Elmhurst NY 11373 NY, New York 11373 United States</t>
  </si>
  <si>
    <t>Me</t>
  </si>
  <si>
    <t>joseh226@nycstudents.net</t>
  </si>
  <si>
    <t>50-40 Jacobus St Elmhurst NY 1373</t>
  </si>
  <si>
    <t>Mom (Juana Torres) Dad (Jose Hernandez)</t>
  </si>
  <si>
    <t>Max</t>
  </si>
  <si>
    <t>maxj25@nycstudents.net</t>
  </si>
  <si>
    <t>50-40 Jacobus St New York City, New York 11373 United States</t>
  </si>
  <si>
    <t>Natividad</t>
  </si>
  <si>
    <t>natita1486sra@icloud.com</t>
  </si>
  <si>
    <t>Geovani (Geo)</t>
  </si>
  <si>
    <t>Paz</t>
  </si>
  <si>
    <t>geovanip2@nycstudents.net</t>
  </si>
  <si>
    <t>50-40 Jacobus st. Elmhurst New York, New York 11373 United States</t>
  </si>
  <si>
    <t>Maricela</t>
  </si>
  <si>
    <t>MarvineG2019@gmail.com</t>
  </si>
  <si>
    <t>Varilla</t>
  </si>
  <si>
    <t>marciav8@nycstudents.net</t>
  </si>
  <si>
    <t>50-40 Jacobus St. Elmhurst, NY 11373 New York, New York 11373 United States</t>
  </si>
  <si>
    <t>Yuriana Anguiano</t>
  </si>
  <si>
    <t>yurihernandez82@icloud.com</t>
  </si>
  <si>
    <t>347-906-4755</t>
  </si>
  <si>
    <t>jasminem326@nycstudents.net</t>
  </si>
  <si>
    <t>50-40 Jacobus st. Elmhurst,NY 11373 Elmhurst, New York 11373 United States</t>
  </si>
  <si>
    <t>felipa</t>
  </si>
  <si>
    <t>reinao4@nycstudents.net</t>
  </si>
  <si>
    <t>50-40 Jacobus St. New York City, New York 11373 United States</t>
  </si>
  <si>
    <t>1(929)217-8331</t>
  </si>
  <si>
    <t>Reina Gonzalez</t>
  </si>
  <si>
    <t>Queen19_91@hotmail.com</t>
  </si>
  <si>
    <t>(347)961-6338</t>
  </si>
  <si>
    <t>Dijonay</t>
  </si>
  <si>
    <t>Mogg</t>
  </si>
  <si>
    <t>dijonaymogg11@gmail.com</t>
  </si>
  <si>
    <t>190-66 111 road saint albans, new york, 11412</t>
  </si>
  <si>
    <t>+19295011437</t>
  </si>
  <si>
    <t>Norman Mogg</t>
  </si>
  <si>
    <t>normanmogg1@gmail.com</t>
  </si>
  <si>
    <t>+19295011434</t>
  </si>
  <si>
    <t>Alex</t>
  </si>
  <si>
    <t>alexg245@nycstudents.net</t>
  </si>
  <si>
    <t>50-40 jacobvs st</t>
  </si>
  <si>
    <t>I</t>
  </si>
  <si>
    <t>julianr202@nycstudents.net</t>
  </si>
  <si>
    <t>50-40 Jacoubus street Elmhurst, New York 11373 United States</t>
  </si>
  <si>
    <t>Julian Ramirez</t>
  </si>
  <si>
    <t>jrmz0810@gmail.com</t>
  </si>
  <si>
    <t>cristalr61@nycstudents.net</t>
  </si>
  <si>
    <t>50-51 Jacobus St. new york, New York 11373 United States</t>
  </si>
  <si>
    <t>esperanza</t>
  </si>
  <si>
    <t>esperanzagenis@gmail.com</t>
  </si>
  <si>
    <t>646-807-5371</t>
  </si>
  <si>
    <t>2024_alexandertorres@ihs-us.org</t>
  </si>
  <si>
    <t>Bio -  Alexander Torres: Alexander was 13 when he came to the United States from Mexico. He is interested in architecture and health sciences/medicine. Alexander describes himself as honest, perseverant, and a hard-worker. He is still exploring his options for college. Alexander, we matched you based on your interest in health sciences/medicine. About - The X Intern was 13 when he came to the United States from Mexico. He speaks English and Spanish. This is his first year and round in the program. Some jobs that he is interested in are, ?nurse, chef, architecture.?</t>
  </si>
  <si>
    <t>5206 6th ave, brooklyn, 11220</t>
  </si>
  <si>
    <t>+19295039435</t>
  </si>
  <si>
    <t>martha ever marin duran</t>
  </si>
  <si>
    <t>marthamarin0116@gmail.com</t>
  </si>
  <si>
    <t>+16465778484</t>
  </si>
  <si>
    <t>Sergio</t>
  </si>
  <si>
    <t>Avila</t>
  </si>
  <si>
    <t>savila@crotonaihs.org</t>
  </si>
  <si>
    <t>Ambassador Application Responses: 10 In 250 ? 500 words, describe three traits which make you a leader and a strong student. The traits that describe me to be a leader and a strong student are the performance I can have in school and how I can carry out work and teamwork and how I can make other people feel comfortable working with me. Another would be the intelligence and ability that I have to work and perform at the time of working in the classroom and doing a good job, and also my responsibility since I try while I try to do a good job, I also try to deliver it. on time and do it as soon as possible so as not to deliver it late. 11 In 100 ? 250 words, how can SPEAKHIRE help you you boost your own academic profile? SPEAKHIRE can help me by providing me with a mentor who will support me in my academic growth. I feel that having a mentor will open the horizon for me in my future. And that you can help me about the career that I would like to study so that later I can find a job about the career that I want to exercise and the other possibilities that this will offer me in the future so that in this way I can perform well in those jobs that I may have in order to achieve high positions in this way. 12 In 100 ? 250 words, what opportunities do young people who are immigrant and first-generation American currently have to gain awareness of career opportunities? They already have opportunities mostly in schools where they can help them with their studies, helping them find jobs that interest them and that are comfortable for them and also providing support with their school work and because they also help them with their health in schools. and with the problems that they could have and there are also counselors who could help you most with problems that they have emotionally or any problem they have at home and it is also easier for young immigrants to find and be able to enter schools more easily . 13 In 250 ? 500 words, why you would succeed as a SPEAKHIRE for your grade at your school. If you do not meet all the requirements, explain why we should consider you for the position. I will succeed as a SPEAKER for your grade in your school because since with that speaking position that I would have, I could be an example to follow for other students and I would give them motivation and help them to continue to delineate with their studies so that they they can graduate in the future and I would talk to them about the great opportunities they have if they get into programs like these and how these programs would help and encourage them to find the career and job that they like the most so so that they can focus on their future and what they want to do with their life. 14 List the classes you will be taking the upcoming school year and any other activities which will keep you occupied. Please explain to us how many hours a week you will dedicate towards SPEAKHIRE and what your schedule will look like. I have ELA, Algebra, PE, US History, CTE, Regents. I can do SPEAKHIRE after school. 15 Outline your main responsibilities as a SPEAKHIRE Ambassador: Help classmates and teachers</t>
  </si>
  <si>
    <t>553 E 187th Apt2B</t>
  </si>
  <si>
    <t>+13478286492</t>
  </si>
  <si>
    <t>Virginia Lucero</t>
  </si>
  <si>
    <t>+19173926505</t>
  </si>
  <si>
    <t>Barrera</t>
  </si>
  <si>
    <t>marifer22@gmail.com</t>
  </si>
  <si>
    <t>7/21/23 - updated phone number from 3473518851 to 917 806 6557 1/8/2020 Indicated on spreadsheet &amp;#34;Need someone to translate&amp;#34; but also indicated &amp;#34;Very Comfortable&amp;#34; on Kintone . changed to reflect sheet No social media Undocumented but comfortable english and GPA 3</t>
  </si>
  <si>
    <t>557 East 21st Street, Apt 3j, Brooklyn, NY 11226</t>
  </si>
  <si>
    <t>917 806 6557</t>
  </si>
  <si>
    <t>Miriam Barcenas Mejia</t>
  </si>
  <si>
    <t>347-351-8851; 929-367-9620</t>
  </si>
  <si>
    <t>Yoana</t>
  </si>
  <si>
    <t>yoana.reyes.24@wheels-student.org</t>
  </si>
  <si>
    <t>About Intern: The x Intern was born in America but her family is from Mexico. She speaks English and Spanish. This is her first year and round in the program. The jobs she listed that she is interested in are, &amp;#34;medical, education, criminal justice.&amp;#34;</t>
  </si>
  <si>
    <t>572 west 173st, New York, NY, 10032</t>
  </si>
  <si>
    <t>+16463532298</t>
  </si>
  <si>
    <t>Maria Moran</t>
  </si>
  <si>
    <t>Lourdesmorangalvez@gmail.com</t>
  </si>
  <si>
    <t>+16465001423</t>
  </si>
  <si>
    <t>Victoriano</t>
  </si>
  <si>
    <t>victoriano.sosa.24@wheels-student.org</t>
  </si>
  <si>
    <t>About Intern: The X Intern was born in the United States, but his family is from Mexico. He speaks English and Spanish. This is his first year and round in the program. He listed game making as one of the jobs that he is interested in.</t>
  </si>
  <si>
    <t>590w 187st New York, New York city,10033</t>
  </si>
  <si>
    <t>+13477801775</t>
  </si>
  <si>
    <t>secundina.perez1974@gmail.com</t>
  </si>
  <si>
    <t>+16464646876</t>
  </si>
  <si>
    <t>Jishel</t>
  </si>
  <si>
    <t>jishelr@nycstudents.net</t>
  </si>
  <si>
    <t>Teacher</t>
  </si>
  <si>
    <t>Leydy</t>
  </si>
  <si>
    <t>leydyp5@nycstudents.net</t>
  </si>
  <si>
    <t>Lucila pinzon</t>
  </si>
  <si>
    <t>hsaldana@schools.nyc.com</t>
  </si>
  <si>
    <t>2024_melanyalcalalopez@ihs-us.org</t>
  </si>
  <si>
    <t>Bio - Melany Lopez: Melany came to America from Mexico when she was 12 years old. She is interested in the fields of rescue/care and business. Melany describes herself as serious, friendly, and responsible. She is looking at Harvard and University of Miami for college. Melany, we matched you based on your interest in business. About: The X Intern came to America from Mexico when she was 12 years old. She speaks English and Spanish. This is her first year and round in the program. She is interested in the following jobs, ?Marine Biologist, Business, Law.?</t>
  </si>
  <si>
    <t>6904 New Utrecht Ave Brooklyn 11228</t>
  </si>
  <si>
    <t>+19298671163</t>
  </si>
  <si>
    <t>Maridena Lopez</t>
  </si>
  <si>
    <t>Maridenalopez10@gmail.com</t>
  </si>
  <si>
    <t>+19298671164</t>
  </si>
  <si>
    <t>Jose Caprio</t>
  </si>
  <si>
    <t>2024_mariajosecusco@ihs-us.org</t>
  </si>
  <si>
    <t>Brooklyn 15-74 Green Avn</t>
  </si>
  <si>
    <t>+13478469782</t>
  </si>
  <si>
    <t>Blanca Cusco</t>
  </si>
  <si>
    <t>Rafat</t>
  </si>
  <si>
    <t>Galeana</t>
  </si>
  <si>
    <t>rafat.galeana@ichsbronx.org</t>
  </si>
  <si>
    <t>About Intern: The X Intern moved to the United States from Mexico when he was 18 years old. He speaks English and Spanish. This is his first year and round in the program. He is interested in the STEM, service/hospitality, rescue &amp;amp; care, and public sector/social impact fields. Email -  rafat.galeana@ichsbronx.org Additional Email -  aracelizurita60@gmail.com Phone # -  3472036303</t>
  </si>
  <si>
    <t>920 E 174 St apt#6 Bronx, New York 10460 United States</t>
  </si>
  <si>
    <t>aracelizurita60@gmail.com</t>
  </si>
  <si>
    <t>Araceli Zurita</t>
  </si>
  <si>
    <t xml:space="preserve">wants to attend Lehman College  (was admitted) </t>
  </si>
  <si>
    <t>Alberto</t>
  </si>
  <si>
    <t>De leon lopez</t>
  </si>
  <si>
    <t>albertoagustind@nycstudents.net</t>
  </si>
  <si>
    <t>Yoselin lopez barrios</t>
  </si>
  <si>
    <t>Guardado</t>
  </si>
  <si>
    <t>reynaa2630@gmail.com</t>
  </si>
  <si>
    <t>862-215-8987</t>
  </si>
  <si>
    <t>slromero1980@gmail.com</t>
  </si>
  <si>
    <t>973 710 8930</t>
  </si>
  <si>
    <t>Jevaughnie</t>
  </si>
  <si>
    <t>francis</t>
  </si>
  <si>
    <t>dtbzaddy@gmail.com</t>
  </si>
  <si>
    <t>new york</t>
  </si>
  <si>
    <t>+13472855226</t>
  </si>
  <si>
    <t>kemar francis</t>
  </si>
  <si>
    <t>Sheyla</t>
  </si>
  <si>
    <t>Linares</t>
  </si>
  <si>
    <t>20 sessions - had a bad first round experience because Champion lacked empathy -- after a lot of convincing by Hetal was able to come back for second round but struggled with confidence/self-esteem because of first round experience 10/7/22, interested in Psychology or Computer Science</t>
  </si>
  <si>
    <t>973-928-9456</t>
  </si>
  <si>
    <t>nelsonlinares81@gmail.com</t>
  </si>
  <si>
    <t>973-337-3875</t>
  </si>
  <si>
    <t>Carrillo</t>
  </si>
  <si>
    <t>Mexico, Guatemala</t>
  </si>
  <si>
    <t>jhoanac5@nycstudents.net</t>
  </si>
  <si>
    <t>50-40 Jacobus st Elmhurst NY New York City, New York 11373 United States</t>
  </si>
  <si>
    <t>Nallely Hernandez</t>
  </si>
  <si>
    <t>Catalina</t>
  </si>
  <si>
    <t>Nunez De Caceres</t>
  </si>
  <si>
    <t>Mexico, Dominican Republic</t>
  </si>
  <si>
    <t>catalinanunez@claremontihs.org</t>
  </si>
  <si>
    <t>1301 Balcom Ave, Bronx, New York, 10461</t>
  </si>
  <si>
    <t>+19172598933</t>
  </si>
  <si>
    <t>Luisa Linares</t>
  </si>
  <si>
    <t>linaresl@live.com</t>
  </si>
  <si>
    <t>+19175049095</t>
  </si>
  <si>
    <t>Khoukhou</t>
  </si>
  <si>
    <t>Morocco</t>
  </si>
  <si>
    <t>ayakhoukhou14@gmail.com</t>
  </si>
  <si>
    <t>Reasoning N/A Business Idea I would like to solve this issue by increasing access to care, reducing stigma and dressing social inequalities. Social Problem I want to improve the overall mental health in different communities.</t>
  </si>
  <si>
    <t>154 Harrison ave Staten island, New York 10302 United States</t>
  </si>
  <si>
    <t>(718)524-2610</t>
  </si>
  <si>
    <t>Khadija bourhaba</t>
  </si>
  <si>
    <t>Khadijabourhaba@gmail.com</t>
  </si>
  <si>
    <t>(347)330-6774</t>
  </si>
  <si>
    <t>Dania</t>
  </si>
  <si>
    <t>Alshami</t>
  </si>
  <si>
    <t>daniaalshami4@icloud.com</t>
  </si>
  <si>
    <t>1504 Creswood Rd</t>
  </si>
  <si>
    <t>+12676940894</t>
  </si>
  <si>
    <t>Rania AbuHarthieh</t>
  </si>
  <si>
    <t>rabuharthieh@yahoo.com</t>
  </si>
  <si>
    <t>+12157460068</t>
  </si>
  <si>
    <t>Yasmine</t>
  </si>
  <si>
    <t>El himdi</t>
  </si>
  <si>
    <t>yelhimdi@inths.org</t>
  </si>
  <si>
    <t>156 E 21st Apt 2F, Brooklyn, NY 11226</t>
  </si>
  <si>
    <t>+13475298556</t>
  </si>
  <si>
    <t>Abdullah Al-shaif</t>
  </si>
  <si>
    <t>elhimdiyasmine8@gmail.com</t>
  </si>
  <si>
    <t>+16468515637</t>
  </si>
  <si>
    <t>Dinardi</t>
  </si>
  <si>
    <t>Chile, Dominican Republic, Puerto Rico (US Territory)</t>
  </si>
  <si>
    <t>diego.a.dinardi@gmail.com</t>
  </si>
  <si>
    <t>2100 Creston Ave, Bronx, NY 10453 apt 5L</t>
  </si>
  <si>
    <t>+19393881245</t>
  </si>
  <si>
    <t>Juan Dinardi</t>
  </si>
  <si>
    <t>jpdinardi@gmail.com</t>
  </si>
  <si>
    <t>+17873787660</t>
  </si>
  <si>
    <t>Chanely</t>
  </si>
  <si>
    <t>Astacio</t>
  </si>
  <si>
    <t>chanely.astacio@ellisprep.com</t>
  </si>
  <si>
    <t>636 east 170 st 10456</t>
  </si>
  <si>
    <t>+13476641694</t>
  </si>
  <si>
    <t>Irene santiago</t>
  </si>
  <si>
    <t>irechaneli231@hotmail.com</t>
  </si>
  <si>
    <t>+16464986707</t>
  </si>
  <si>
    <t>France, Vietnam</t>
  </si>
  <si>
    <t>Asia, Europe</t>
  </si>
  <si>
    <t>Awa</t>
  </si>
  <si>
    <t>Ndiaye</t>
  </si>
  <si>
    <t>awa.ndiaye@ellisprep.com</t>
  </si>
  <si>
    <t>My name is Awa Ndiaye. I arrived in the United States in 2021. When I was 18 years old. I am a very respectful and honest person with people. I am here to follow during/business because it has always been my dream to become someone in between. Also I want to have a good college that will help me. About Intern: The first Intern moved to America from Senegal last year. She speaks English and Wolof. The jobs she listed that she is interested in are, &amp;#34;Engineer and education.&amp;#34; This is her first year in the program and third round.</t>
  </si>
  <si>
    <t>940 Sheridan Avenues, Apt 6A, Bronc NEWS YOURK 10456</t>
  </si>
  <si>
    <t>+19342104078</t>
  </si>
  <si>
    <t>Zeynabou Ndiaye</t>
  </si>
  <si>
    <t>zeynabu.tij96@gmail.com</t>
  </si>
  <si>
    <t>+19295269121</t>
  </si>
  <si>
    <t>luis0831r@gmail.com</t>
  </si>
  <si>
    <t>55-11 92nd St Elmhurst, NY 11373</t>
  </si>
  <si>
    <t>+16469530838</t>
  </si>
  <si>
    <t>Yenny Garavito</t>
  </si>
  <si>
    <t>+16469401684</t>
  </si>
  <si>
    <t>Anjalie</t>
  </si>
  <si>
    <t>Ramkissoon</t>
  </si>
  <si>
    <t>Trinidad and Tobago</t>
  </si>
  <si>
    <t>anjalie.ramkissoon.23@wheels-student.org</t>
  </si>
  <si>
    <t>605 W 170th ST APT 5F NEW YORK, NY 10032</t>
  </si>
  <si>
    <t>+16467071216</t>
  </si>
  <si>
    <t>Laura Nanette Ramkissoon</t>
  </si>
  <si>
    <t>lramkissoon@nyc.rr.com</t>
  </si>
  <si>
    <t>+19179742597</t>
  </si>
  <si>
    <t>Sezim</t>
  </si>
  <si>
    <t>sezim.bolotbekova0200@gmail.com</t>
  </si>
  <si>
    <t>Sister to Nazim Ig account is feelliiessa</t>
  </si>
  <si>
    <t>Bibi</t>
  </si>
  <si>
    <t>Borber</t>
  </si>
  <si>
    <t>Libya</t>
  </si>
  <si>
    <t>9598258@philasd.org</t>
  </si>
  <si>
    <t>Bendu aka Bibi Borber</t>
  </si>
  <si>
    <t>4848 Frankford ave</t>
  </si>
  <si>
    <t>Josephine S Borbor</t>
  </si>
  <si>
    <t>Phue</t>
  </si>
  <si>
    <t>Naing</t>
  </si>
  <si>
    <t>Burma</t>
  </si>
  <si>
    <t>phue23naing@gmail.com</t>
  </si>
  <si>
    <t>Look at how she defines herself culturally -- mixed race.</t>
  </si>
  <si>
    <t>2421 65 street , Brooklyn NY 11204</t>
  </si>
  <si>
    <t>+19292906818</t>
  </si>
  <si>
    <t>Kyaw Kyaw</t>
  </si>
  <si>
    <t>kyaw23kyaw@gmail.com</t>
  </si>
  <si>
    <t>+19177557755</t>
  </si>
  <si>
    <t>Shikha</t>
  </si>
  <si>
    <t>Chauhan</t>
  </si>
  <si>
    <t>s.chauhan2018@flushinginternational.org</t>
  </si>
  <si>
    <t>Hetal spoke with her by phone 1/5/24 at 1 pm est. She attends hunter college and Hunter school of nursing pursuing Human biology Her email is  shikhax69@gmail.com  but it has a lot of spam so she prefers checking her Flushing IHS email or  shikha.chauhan76@myhunter.cuny.edu . She is not available for IHSUS 24 LC because she has a class on Tuesday from 1:30 - 2:15. But, she is interested in becoming a CPF.  dded to ALumni outreach sheet and hub.</t>
  </si>
  <si>
    <t>112-45 39th Ave 4f Corona,NY(11368)</t>
  </si>
  <si>
    <t>+19292939060</t>
  </si>
  <si>
    <t>I enjoyed todays session. Every session is helping us to be better at the skills we already have and learn new skills.
I loved today’s session. It was so useful and I will definitely use this in my upcoming classes while doing project. Setting priorities is difficult but this activity helped me what will be useful and influencing me in a better way</t>
  </si>
  <si>
    <t>Shradha Chauhan</t>
  </si>
  <si>
    <t>shradhac703@gmail.com</t>
  </si>
  <si>
    <t>+16466202430</t>
  </si>
  <si>
    <t>Hunters College and Hunter school of nursing pursuing Human biology</t>
  </si>
  <si>
    <t>Esha</t>
  </si>
  <si>
    <t>Neupane</t>
  </si>
  <si>
    <t>ganesh_lyorna@yahoo.co.in</t>
  </si>
  <si>
    <t>1661 Cornelia St Ridgewood 11385</t>
  </si>
  <si>
    <t>+12244356080</t>
  </si>
  <si>
    <t>Ganesh Neaupane</t>
  </si>
  <si>
    <t>sherya</t>
  </si>
  <si>
    <t>pandey</t>
  </si>
  <si>
    <t>sarita84pandey@gmail.com</t>
  </si>
  <si>
    <t>40-12 73rd woodside</t>
  </si>
  <si>
    <t>+16319499068</t>
  </si>
  <si>
    <t>sarita</t>
  </si>
  <si>
    <t>Dipson</t>
  </si>
  <si>
    <t>Khatri Chhetri</t>
  </si>
  <si>
    <t>dipsuit4@gmail.com</t>
  </si>
  <si>
    <t>42-18 forley st, Elmhurst, New york, 11373</t>
  </si>
  <si>
    <t>+13474597421</t>
  </si>
  <si>
    <t>Anil khatri chhetri</t>
  </si>
  <si>
    <t>kcanil127@gmail.com</t>
  </si>
  <si>
    <t>+16468297109</t>
  </si>
  <si>
    <t>Aarjit</t>
  </si>
  <si>
    <t>Oli</t>
  </si>
  <si>
    <t>aarjito@nycstudents.net</t>
  </si>
  <si>
    <t>Additional Email aarjito@gmail.com Reasoning N/A Business Idea Start a business compay to solve peoplle in dept. Social Problem I want to sovle people in dept.</t>
  </si>
  <si>
    <t>43av-52st NYC, New York 11733 United States</t>
  </si>
  <si>
    <t>Gita</t>
  </si>
  <si>
    <t>Gitak@gmail.com</t>
  </si>
  <si>
    <t>347-343-1391</t>
  </si>
  <si>
    <t>Yogesh</t>
  </si>
  <si>
    <t>yogeshk3@nycstudents.net</t>
  </si>
  <si>
    <t>45-25 48thstreet</t>
  </si>
  <si>
    <t>Umesh Karki</t>
  </si>
  <si>
    <t>Zhenhua</t>
  </si>
  <si>
    <t>tzhenhua2021@flushinginternational.org</t>
  </si>
  <si>
    <t>2331,123RD STREET, 2/FL,COLLEGE POINT NY 11356 UNITED STATES</t>
  </si>
  <si>
    <t>+13479683770</t>
  </si>
  <si>
    <t>XIAOLIAN ZHANG</t>
  </si>
  <si>
    <t>ypakhri23@is25q.org</t>
  </si>
  <si>
    <t>460247 are woodside ny</t>
  </si>
  <si>
    <t>+19295442979</t>
  </si>
  <si>
    <t>Sovana</t>
  </si>
  <si>
    <t>Dahal</t>
  </si>
  <si>
    <t>sovana2003@gmail.com</t>
  </si>
  <si>
    <t>&amp;#34; The only thing I would like to add is that if proper guidance is provided, I will do every possible legit thing to achieve my dream&amp;#34;</t>
  </si>
  <si>
    <t xml:space="preserve">47-25 48th street Apt. 5E, Woodside, NY </t>
  </si>
  <si>
    <t>917-657-5724</t>
  </si>
  <si>
    <t>Digambar Dahal</t>
  </si>
  <si>
    <t>digambard@gmail.com</t>
  </si>
  <si>
    <t>917-463-8667</t>
  </si>
  <si>
    <t>europeo@nycstudents.net</t>
  </si>
  <si>
    <t>48-15 46th st woodside, NY 11377</t>
  </si>
  <si>
    <t>+19294625713</t>
  </si>
  <si>
    <t>Nanda Oli</t>
  </si>
  <si>
    <t>nandram99@yahoo.com</t>
  </si>
  <si>
    <t>+19294215400</t>
  </si>
  <si>
    <t>Assetou (Assia)</t>
  </si>
  <si>
    <t>Sacko</t>
  </si>
  <si>
    <t>assetou.sacko@ichsbronx.org</t>
  </si>
  <si>
    <t>About: The x Intern came to America when she was 14 years old from Mali. She speaks English and French. This is her first year and first round in the program. The jobs that she listed that she is interested in are, &amp;#34;Engineer In computer science, Actor, Health educator, Tour guide, Mediator, Teacher, Nurse injector, English teacher, Therapist aid, Sales Manager, Administrative Assistant.&amp;#34; Timezone - Africa/Bamako Photo: the latest one is the one in purple Email:  assetou.sacko@ichsbronx.org Additional Email:  Assetou.sacko@ichsbronx.org Phone #:  (929)5410162</t>
  </si>
  <si>
    <t>1120 boynton ave Apt 2R Bronx, New York 10472 United States</t>
  </si>
  <si>
    <t>(929)5410162</t>
  </si>
  <si>
    <t>Assistan sacko</t>
  </si>
  <si>
    <t>assistansacko@gmail.com</t>
  </si>
  <si>
    <t>(347)282-1292</t>
  </si>
  <si>
    <t>Halimatou</t>
  </si>
  <si>
    <t>halimatou.sacko@ellisprep.com</t>
  </si>
  <si>
    <t>2048 mapes avenue 179 street</t>
  </si>
  <si>
    <t>+19297866773</t>
  </si>
  <si>
    <t>Henda soukouna</t>
  </si>
  <si>
    <t>+13477340361</t>
  </si>
  <si>
    <t>Gouttman community college</t>
  </si>
  <si>
    <t>Japan, Denmark</t>
  </si>
  <si>
    <t>Akarsan</t>
  </si>
  <si>
    <t>akarsang@nycstudents.net</t>
  </si>
  <si>
    <t>48-44 48th street Woodside, New York 11377 United States</t>
  </si>
  <si>
    <t>Sushma</t>
  </si>
  <si>
    <t>Sushma@gmail.com</t>
  </si>
  <si>
    <t>Aashish</t>
  </si>
  <si>
    <t>Acharya</t>
  </si>
  <si>
    <t>koshishacharya25@gmail.com</t>
  </si>
  <si>
    <t>50-40</t>
  </si>
  <si>
    <t>Panu achary</t>
  </si>
  <si>
    <t>Sushil</t>
  </si>
  <si>
    <t>Magar</t>
  </si>
  <si>
    <t>magarsushil369@gmail.com</t>
  </si>
  <si>
    <t>51 41 74st elmurst , 11373 NY</t>
  </si>
  <si>
    <t>+19173408162</t>
  </si>
  <si>
    <t>mansa gharti magar</t>
  </si>
  <si>
    <t>mansamagar0@gmail.com</t>
  </si>
  <si>
    <t>+13477400561</t>
  </si>
  <si>
    <t>ICHYA</t>
  </si>
  <si>
    <t>Subedi</t>
  </si>
  <si>
    <t>ichyasubedi14145@gmail.com</t>
  </si>
  <si>
    <t>Ichya's Sister Cell Phone: 9297258623 Hetal spoke with Ichya's mom and got the sister number: spoke with Ichya's sister (19) to see if she can bring Ichya to the Summit/Soiree 2024 (June 20, 2024)</t>
  </si>
  <si>
    <t>70st 40 13</t>
  </si>
  <si>
    <t>+19293036093</t>
  </si>
  <si>
    <t>Ishwori Subedi</t>
  </si>
  <si>
    <t>(347) 420-5930?</t>
  </si>
  <si>
    <t>Subham</t>
  </si>
  <si>
    <t>Saud</t>
  </si>
  <si>
    <t>subhamsaud66@gmail.com</t>
  </si>
  <si>
    <t>97-22 57th ave</t>
  </si>
  <si>
    <t>tek saud</t>
  </si>
  <si>
    <t>tsaud432@gmail.com</t>
  </si>
  <si>
    <t>+13472965424</t>
  </si>
  <si>
    <t>Shobha</t>
  </si>
  <si>
    <t>shobha.gurung155@gmail.com</t>
  </si>
  <si>
    <t>For IR2 did not get a Champion in the Arts field and emailed requesting one - try to get one for IR3. SB 1/26/22</t>
  </si>
  <si>
    <t>98-17 Horace Harding expressway, Corona, Ny, 11368</t>
  </si>
  <si>
    <t>+16463460412</t>
  </si>
  <si>
    <t>Pachya maya Gurung</t>
  </si>
  <si>
    <t>menrajgurung2014@yahoo.com</t>
  </si>
  <si>
    <t>+16464077776</t>
  </si>
  <si>
    <t>Jahzion.</t>
  </si>
  <si>
    <t>woodside 61 st</t>
  </si>
  <si>
    <t>Karna gurung</t>
  </si>
  <si>
    <t>?(347) 841-8874?</t>
  </si>
  <si>
    <t>Nicaragua</t>
  </si>
  <si>
    <t>andersonm2019@flushinginternational.org</t>
  </si>
  <si>
    <t>10/25/21 SB changed status to somewhat comfortable based on responses</t>
  </si>
  <si>
    <t>140-37 ash ave queens,NY11355</t>
  </si>
  <si>
    <t>+13479451000</t>
  </si>
  <si>
    <t>Ricardo florez</t>
  </si>
  <si>
    <t>+19173261967</t>
  </si>
  <si>
    <t>Aguirre</t>
  </si>
  <si>
    <t>emmanuelc7790@nycstudents.net</t>
  </si>
  <si>
    <t>School Email: emmanuelc7790@nycstudents.net</t>
  </si>
  <si>
    <t>4602 47th Avenue NY, 11377</t>
  </si>
  <si>
    <t>Mayling Margarita Aguirre Corea</t>
  </si>
  <si>
    <t>Ayala</t>
  </si>
  <si>
    <t>2025_dayraayala@ihs-us.org</t>
  </si>
  <si>
    <t>Additional Email -  dayrafernandaayalarivas@gmail.com REASONING The truth would be a great opportunity for learning and development, both professional and personal, since they explained to me that their program is a set of activities in which students must research about past leaders, visions and even goals or purpose of companies, this being the last thing that caught my attention most is because I think that I'm somewhat ambitious and curious and I would like to be in an environment in which others share ideas, help me learn Leadership skills or experience. I know that your program will be ideal for me, that's why I would like to participate in it. BUSINESS IDEA Perhaps create a small help house that helps these people get a job and while they reorganize their lives little by little by returning to work they can have a safe roof, that roof would be maintained through works of charity and that the people who live in that small house, everyone collaborates to maintain it. SOCIAL PROBLEM I think lack of affordable housing is a social problem that has implications for homelessness and socioeconomic inequality. This issue affects the stability and well-being of individuals and families across the country.</t>
  </si>
  <si>
    <t>530 West 159 St Manhattan, New York 10032 United States</t>
  </si>
  <si>
    <t>754-236-5867</t>
  </si>
  <si>
    <t>Rosa Rivas Balladares</t>
  </si>
  <si>
    <t>rosamaria1985@hotmail.com</t>
  </si>
  <si>
    <t>754-236-3076</t>
  </si>
  <si>
    <t>Noguera</t>
  </si>
  <si>
    <t>davidn351@nycstudents.net</t>
  </si>
  <si>
    <t>6 edgecombe ave New York, New York 10030 United States</t>
  </si>
  <si>
    <t>347-886-2506</t>
  </si>
  <si>
    <t>b60985940@gmail.com</t>
  </si>
  <si>
    <t>(347)886-2506</t>
  </si>
  <si>
    <t>Nigeria</t>
  </si>
  <si>
    <t>Ephraim</t>
  </si>
  <si>
    <t>Orisakiya</t>
  </si>
  <si>
    <t>ephraimanuorisakiya@gmail.com</t>
  </si>
  <si>
    <t>About Intern: The X Intern came to America from Nigeria when he was 6 years old. He speaks English and Yoruba. This is his first year and round in the program. The jobs he listed that he is interested in include, &amp;#34;Possibly a ceo for a technology coorperation and someone who invests in other buisnesses and channels, Technology, Entrepreneurship, Entertainment, Real estate and Fashion.&amp;#34;</t>
  </si>
  <si>
    <t>136-13, farmers boulevard, New York, Queens, Jaimica, 11434</t>
  </si>
  <si>
    <t>+16463557910</t>
  </si>
  <si>
    <t>Esther Orisakiya</t>
  </si>
  <si>
    <t>kemiorisakiya@yahoo.com</t>
  </si>
  <si>
    <t>+19177809989</t>
  </si>
  <si>
    <t>Aliyah</t>
  </si>
  <si>
    <t>Maliq</t>
  </si>
  <si>
    <t>aliyahm90@nycstudents.net</t>
  </si>
  <si>
    <t>PQ -- Active alum - Cheers4Careers -- Interested Engaged Alum- participated in s&amp;amp; S. Cashed Awarded $75 check on Aug 18, 2023 Shooting Star FY 23 - Participated at the Summit /Soiree in august 16th where she received her check for $75 . PQ Rising Leader FY 22 About Intern: The X Intern moved from Nigeria to the United States when she was 13 years old. She speaks English and Yoruba. This is her second year as a SPEAKHIRE Intern. The jobs she listed that she is interested in are, &amp;#34;Gynecologist, Accountant, Medical Doctor, child therapist, pediatrician, and math teacher.&amp;#34; When she applied in June 2021, she was in 9th - Hetal updated on September 22nd, 2021 to 10th Y2 FY intern - graduate of 2021 Ambassador Responses: 10 In 250 ? 500 words, describe three traits which make you a leader and a strong student. I am a leader because I am the first child in my family and I take care of my brothers I also behave in a way that they look up to me. I put other people?s need first before mine. I make sure everyone is comfortable around me. I also make sure that no one feels left out. I help people any way I can and just do my best. 11 In 100 ? 250 words, how can SPEAKHIRE help you you boost your own academic profile? I am really comfortable with my academic profile but I would like to meet other people who could direct me through the track I have chosen. 12 In 100 ? 250 words, what opportunities do young people who are immigrant and first-generation American currently have to gain awareness of career opportunities? They are able to go to school and learn like every other child. 13 In 250 ? 500 words, why you would succeed as a SPEAKHIRE for your grade at your school. If you do not meet all the requirements, explain why we should consider you for the position. I have a good grade that I am proud of and I would also help other people who might need my help. 14 List the classes you will be taking the upcoming school year and any other activities which will keep you occupied. Please explain to us how many hours a week you will dedicate towards SPEAKHIRE and what your schedule will look like. I have 8 classes that I am taking right now I am able to dedicate my time after school on Monday, Tuesday and Wednesday?s. I am also part of my school video broadcasting team. 15 Outline your main responsibilities as a SPEAKHIRE Ambassador: As an ambassador I am responsible for helping my other peers with problems they might be having.</t>
  </si>
  <si>
    <t>137-35 219th St, Queens, NY 11413</t>
  </si>
  <si>
    <t>+19299206337</t>
  </si>
  <si>
    <t>Temilade Otunlape</t>
  </si>
  <si>
    <t>temmie_1@yahoo.com</t>
  </si>
  <si>
    <t>+13472082248</t>
  </si>
  <si>
    <t>Oluwateniayo - Tenny</t>
  </si>
  <si>
    <t>Maraiyesa</t>
  </si>
  <si>
    <t>tennymara123@gmail.com</t>
  </si>
  <si>
    <t>Attended Google: Code Next on Feb 21, 2024 - Has Speakhire shirt</t>
  </si>
  <si>
    <t>144-45 223rd street queens new york</t>
  </si>
  <si>
    <t>+16463749282</t>
  </si>
  <si>
    <t>Mabel Maraiyesa-Rabiu</t>
  </si>
  <si>
    <t>Akanaga</t>
  </si>
  <si>
    <t>cynthiaakanaga@gmail.com</t>
  </si>
  <si>
    <t>1/26/24 - HJ talked to her on the phone. She is feeling a lot of imposter syndrome currently while studying abroad in Spain. She feels uncomfortable speaking on imposter syndrome for STAR training untul she returns in June. HJ said she would continue to check in with her. 01/09 HJ emailed her this morning to see if she's available as she had promised. Last HJ had emailed her was last week, and asked her to come on to Office Hours but she didn't join. Cynthia moved to 3224 Frazier Street. Forney, TX 75126 (Updated Hetal April 2022)</t>
  </si>
  <si>
    <t>25312 147th Drive, 2</t>
  </si>
  <si>
    <t>+19805980499</t>
  </si>
  <si>
    <t>Chidozie  Akanaga</t>
  </si>
  <si>
    <t>Iduseri</t>
  </si>
  <si>
    <t>midu0423@lehmanhs.com</t>
  </si>
  <si>
    <t>4188 Barnes Ave Bronx, New York 10466 United States</t>
  </si>
  <si>
    <t>(646)399-8728</t>
  </si>
  <si>
    <t>maryam iduseri</t>
  </si>
  <si>
    <t>maryam4real2003@gmail.com</t>
  </si>
  <si>
    <t>(646)399-2959</t>
  </si>
  <si>
    <t>Ojo</t>
  </si>
  <si>
    <t>newbeautifulangel@gmail.com</t>
  </si>
  <si>
    <t>Reasoning N/A Business Idea mobile healthcare Social Problem healthcare</t>
  </si>
  <si>
    <t>683 Barbey St Apt. 409 Brooklyn, New York 11207 United States</t>
  </si>
  <si>
    <t>(347)884-5853</t>
  </si>
  <si>
    <t>Ogooluwa Ojo</t>
  </si>
  <si>
    <t>dayo11235@yahoo.com</t>
  </si>
  <si>
    <t>(347)248-3806</t>
  </si>
  <si>
    <t>sm</t>
  </si>
  <si>
    <t>ahnaf shahriar</t>
  </si>
  <si>
    <t>smahnafs@nycstudents.net</t>
  </si>
  <si>
    <t>+12183491638</t>
  </si>
  <si>
    <t>NO</t>
  </si>
  <si>
    <t>Chaudhry</t>
  </si>
  <si>
    <t>Pakistan</t>
  </si>
  <si>
    <t>schaudhry2018@flushinginternational.org</t>
  </si>
  <si>
    <t>140-70 ash ave flushing, Queens NY 11355</t>
  </si>
  <si>
    <t>+19294144128</t>
  </si>
  <si>
    <t>Misbah Tariq</t>
  </si>
  <si>
    <t>misbhatariq512@gmail.com</t>
  </si>
  <si>
    <t>+13473686142</t>
  </si>
  <si>
    <t>Masooma</t>
  </si>
  <si>
    <t>m.chaudhry2018@flushinginternational.org</t>
  </si>
  <si>
    <t>140-70 Ash avenue, apartment 305 Flushing, Queens, NY 11355</t>
  </si>
  <si>
    <t>+19294667567</t>
  </si>
  <si>
    <t>+19176155712</t>
  </si>
  <si>
    <t>Syeda</t>
  </si>
  <si>
    <t>Zaidi</t>
  </si>
  <si>
    <t>syedaz23@nycstudents.net</t>
  </si>
  <si>
    <t>170-09 89 ave</t>
  </si>
  <si>
    <t>+13473043301</t>
  </si>
  <si>
    <t>Syeda zaidi</t>
  </si>
  <si>
    <t>2024_diarrafall@ihs-us.org</t>
  </si>
  <si>
    <t>About -  The X Intern moved from Senegal to the United States when she was 12 years old. She speaks English. This is her first year and round in the program. She is interested in jobs in the business field. Bio - Diarra Fall: Diarra moved from Senegal to the United States when she was 12 years old. She is interested in business. Diarra describes herself as real and fun. She is still exploring her options for colleges. Diarra, we matched you based on your interest in business.</t>
  </si>
  <si>
    <t>Soukeyefall940@gmail.com</t>
  </si>
  <si>
    <t>+16466001242</t>
  </si>
  <si>
    <t>sakhia629@gmail.com</t>
  </si>
  <si>
    <t>Email: sakhia629@gmail.com Phone #: &amp;#43;13473043303</t>
  </si>
  <si>
    <t>17009 89av Jamica hillside</t>
  </si>
  <si>
    <t>+13473043303</t>
  </si>
  <si>
    <t>Syed zaidi</t>
  </si>
  <si>
    <t>Abbah</t>
  </si>
  <si>
    <t>afatima@inths.org</t>
  </si>
  <si>
    <t>180 Bay 32nd Street Apt A21, Brooklyn, NY 11214</t>
  </si>
  <si>
    <t>+19294342712</t>
  </si>
  <si>
    <t>Syeda Robab</t>
  </si>
  <si>
    <t>fatimaabbah05@gmail.com</t>
  </si>
  <si>
    <t>+19293013300</t>
  </si>
  <si>
    <t>El Hadji</t>
  </si>
  <si>
    <t>Ndong</t>
  </si>
  <si>
    <t>2024_elhadjindong@ihs-us.org</t>
  </si>
  <si>
    <t>About - The X Intern was 17 when he moved from Senegal to the United States. He speaks English and Wolof. He is interested in going into business. This is his first year and round in the program. For jobs, he is interested in business, aviation, and cyber security. Bio -  Elhadji Ndong: Elhadji was 17 when he moved from Senegal to the United States. He is interested in the business field. Elhadji describes himself as kind, smart, and friendly. He is looking at Indiana College for college. Elhadji, we matched you based on your interest in business.</t>
  </si>
  <si>
    <t>1350 5th avenue apt 2F, 10026</t>
  </si>
  <si>
    <t>+16463713690</t>
  </si>
  <si>
    <t>Muhammad (Ibaad)</t>
  </si>
  <si>
    <t>Sddique</t>
  </si>
  <si>
    <t>muhammadibads@nycstudents.net</t>
  </si>
  <si>
    <t>Reasoning N/A Business Idea become a doctor Social Problem injury&amp;#39;s car crash hurt people</t>
  </si>
  <si>
    <t>44-14 47th Ave Sunnyside, New York 11377 United States</t>
  </si>
  <si>
    <t>humair</t>
  </si>
  <si>
    <t>humairbtb@hotmail.com</t>
  </si>
  <si>
    <t>Hanan</t>
  </si>
  <si>
    <t>Awad</t>
  </si>
  <si>
    <t>Palestine</t>
  </si>
  <si>
    <t>hanan.awad.24@wheels-student.org</t>
  </si>
  <si>
    <t>667 West 177th Street New York, NY, 10033</t>
  </si>
  <si>
    <t>Enam Awadeh</t>
  </si>
  <si>
    <t>enamawawdeh8@gmail.com</t>
  </si>
  <si>
    <t>+16468336785</t>
  </si>
  <si>
    <t>SUNY Canton</t>
  </si>
  <si>
    <t>Joshuar</t>
  </si>
  <si>
    <t>Samaniego</t>
  </si>
  <si>
    <t>Panama</t>
  </si>
  <si>
    <t>joshuarsamaniego2007@gmail.com</t>
  </si>
  <si>
    <t>165 archer</t>
  </si>
  <si>
    <t>+50767775753</t>
  </si>
  <si>
    <t>Albin Samaniego</t>
  </si>
  <si>
    <t>Barbara</t>
  </si>
  <si>
    <t>Antúnez</t>
  </si>
  <si>
    <t>Paraguay</t>
  </si>
  <si>
    <t>barbaraa24@nycstudents.net</t>
  </si>
  <si>
    <t>30-20thomson ave long lsland city ny11101 queens, New York 11101 United States</t>
  </si>
  <si>
    <t>(929)326-1759</t>
  </si>
  <si>
    <t>barbara</t>
  </si>
  <si>
    <t>Peru</t>
  </si>
  <si>
    <t>luzlariagutierrez@gmail.com</t>
  </si>
  <si>
    <t xml:space="preserve">14148 84th dr Jamaica, New York 11435 United States
</t>
  </si>
  <si>
    <t xml:space="preserve">(332)270-0696
</t>
  </si>
  <si>
    <t>Pamela Eguia</t>
  </si>
  <si>
    <t>eguiapamela3@gmail.com</t>
  </si>
  <si>
    <t>(332)270-0696</t>
  </si>
  <si>
    <t>Manrique</t>
  </si>
  <si>
    <t>reyvenmanrique11@gmail.com</t>
  </si>
  <si>
    <t>11 In 250 ? 500 words, describe three traits which make you a leader and a strong student. I am a very creative person. I like to help people develop their creative side. So I am also cooperative, I am always helping or working in different areas. Lastly, I care about the people around me. 12 In 100 ? 250 words, how can SPEAKHIRE help you you boost your own academic profile? I think that speakhire will help me to give an idea of what a professional job is like and develop skills that I did not have. 13 In 100 ? 250 words, what opportunities do young people who are immigrant and first-generation American currently have to gain awareness of career opportunities? I think it is a great opportunity because as migrants we have been discriminated against or we are always separated by not having documents, many doors are closed to us. It would be very helpful for young people to open their horizons and points of view in a society with labor development. 14 In 250 ? 500 words, why you would succeed as a SPEAKHIRE for your grade at your school. If you do not meet all the requirements, explain why we should consider you for the position. I think it would be a success for me since I would gain experience and I am a persevering person who seeks to improve every day. 15 List the classes you will be taking the upcoming school year and any other activities which will keep you occupied. Please explain to us how many hours a week you will dedicate towards SPEAKHIRE and what your schedule will look like. Next year I will only take college now, it depends on the day, so it will take me two days a week of three hours in the afternoon, then I will have a lot of free time. I have high school classes from 8:40am to 3:00pm 16 Outline your main responsibilities as a SPEAKHIRE Ambassador: help everyone who needs it.</t>
  </si>
  <si>
    <t>24-48 86th St East Elmhurst</t>
  </si>
  <si>
    <t>+19197449907</t>
  </si>
  <si>
    <t>Roxana Valdivia</t>
  </si>
  <si>
    <t>valdiviaroxy1306@gmail.com</t>
  </si>
  <si>
    <t>+19194123996</t>
  </si>
  <si>
    <t xml:space="preserve">"It was an honor to speak with a Google worker. It was a fun meeting and the best session that I have had. As someone who likes technology and is studying computer science, the information was quite useful for me, so a 10/10. I loved today’s session; it was fun."
</t>
  </si>
  <si>
    <t>Marina</t>
  </si>
  <si>
    <t>rosamarinalizbethdiazcar@gmail.com</t>
  </si>
  <si>
    <t>Ambassador Responses: 11 In 250 ? 500 words, describe three traits which make you a leader and a strong student. I am a creative person who likes colors and shapes when studying for myself. One of my goals is to study audiovisual communication and learn English perfectly. 12 In 100 ? 250 words, how can SPEAKHIRE help you you boost your own academic profile? It would help me to be able to learn more and have more knowledge in this whole area 13 In 100 ? 250 words, what opportunities do young people who are immigrant and first-generation American currently have to gain awareness of career opportunities? Aprender el inglés en el after school de su escuela y además de ello los profesores nos dan la oportunidad de tener un trabajo 14 In 250 ? 500 words, why you would succeed as a SPEAKHIRE for your grade at your school. If you do not meet all the requirements, explain why we should consider you for the position. Porque tengo buenas calificaciones, creatividad y me encantaría participar en spikehire 15 List the classes you will be taking the upcoming school year and any other activities which will keep you occupied. Please explain to us how many hours a week you will dedicate towards SPEAKHIRE and what your schedule will look like. Por lo que tengo entendido serán los lunes vía a Zoom 16 Outline your main responsibilities as a SPEAKHIRE Ambassador: Entrar a las clases, aconsejar a otros y recomendar SPEAKHIRE Bio -  Marina Diaz: Marina was 3 years old when she moved from Peru to the United States. She is interested in arts / creative and social sciences / psychology. Marina describes herself as creative, intelligent, and high reasoning. She is still exploring his options for college. Marina, we matched you based on your interest in social sciences / psychology. About - The X Intern was 3 years old when she moved from Peru to the United States. She speaks English and Spanish. This is her first year and round in the program. The jobs that she listed that she is interested in are, ?audiovisual communicator, audiovisual director, editor, screenwriter, psychology, acting, graphic design.? Ambassador Responses: 11 In 250 ? 500 words, describe three traits which make you a leader and a strong student. I am a creative person who likes colors and shapes when studying for myself. One of my goals is to study audiovisual communication and learn English perfectly. 12 In 100 ? 250 words, how can SPEAKHIRE help you you boost your own academic profile? It would help me to be able to learn more and have more knowledge in this whole area 13 In 100 ? 250 words, what opportunities do young people who are immigrant and first-generation American currently have to gain awareness of career opportunities? Aprender el inglés en el after school de su escuela y además de ello los profesores nos dan la oportunidad de tener un trabajo 14 In 250 ? 500 words, why you would succeed as a SPEAKHIRE for your grade at your school. If you do not meet all the requirements, explain why we should consider you for the position. Porque tengo buenas calificaciones, creatividad y me encantaría participar en spikehire 15 List the classes you will be taking the upcoming school year and any other activities which will keep you occupied. Please explain to us how many hours a week you will dedicate towards SPEAKHIRE and what your schedule will look like. Por lo que tengo entendido serán los lunes vía a Zoom 16 Outline your main responsibilities as a SPEAKHIRE Ambassador: Entrar a las clases, aconsejar a otros y recomendar SPEAKHIRE</t>
  </si>
  <si>
    <t>2784 Morris Ave, Apt 5E, Bronx, NY 10468</t>
  </si>
  <si>
    <t>+13474789569</t>
  </si>
  <si>
    <t>Roberto</t>
  </si>
  <si>
    <t>+13473139672</t>
  </si>
  <si>
    <t>Tello</t>
  </si>
  <si>
    <t>walter.tello@ellisprep.com</t>
  </si>
  <si>
    <t>Additional email:  walter.tello@ellisprep.com</t>
  </si>
  <si>
    <t>2917 Grand Concourse, apt. 3ES Bronx, New York 10468 United States</t>
  </si>
  <si>
    <t>(646)853-1289</t>
  </si>
  <si>
    <t>Jorge Tello</t>
  </si>
  <si>
    <t>mocheta-9@hotmail.com</t>
  </si>
  <si>
    <t>(914)223-3597</t>
  </si>
  <si>
    <t>Mercedes Castro</t>
  </si>
  <si>
    <t>castromercedes2510@gmail.com</t>
  </si>
  <si>
    <t>59 Ralph Ave</t>
  </si>
  <si>
    <t>+13475320881</t>
  </si>
  <si>
    <t>Ana Zambrano</t>
  </si>
  <si>
    <t>Miyeli</t>
  </si>
  <si>
    <t>Quispe</t>
  </si>
  <si>
    <t>miyeliq@nycstudents.net</t>
  </si>
  <si>
    <t>Additional Email - miyeliq24@gmail.com Email Add</t>
  </si>
  <si>
    <t>30th st thomson avenue 444, New York 11103 United States</t>
  </si>
  <si>
    <t>(347)857-0987</t>
  </si>
  <si>
    <t>(929)331-0208</t>
  </si>
  <si>
    <t>Damyra</t>
  </si>
  <si>
    <t>Ochoa</t>
  </si>
  <si>
    <t>damyrao@gmail.com</t>
  </si>
  <si>
    <t>3317 Greenpoint Ave</t>
  </si>
  <si>
    <t>+19296911253</t>
  </si>
  <si>
    <t>Fernando Ochoa</t>
  </si>
  <si>
    <t>Yanell</t>
  </si>
  <si>
    <t>yanillp3@nycstudents.net</t>
  </si>
  <si>
    <t>School Email: yanillp3@nycstudents.net</t>
  </si>
  <si>
    <t>4602 47th ave woodside,ny 11377</t>
  </si>
  <si>
    <t>Sara Severino</t>
  </si>
  <si>
    <t>Aliessa</t>
  </si>
  <si>
    <t>2024_juliaaliessa@ihs-us.org</t>
  </si>
  <si>
    <t>BC 6/27] - spk w. Julia -- added by PQ 2023 Future Leader Award Recipient (Seminars) New Bio - Julia Aliessa: &amp;#34;I came to the United States from Syria when I was 15 years old. I am interested in a career in health sciences/medicine or business. I describe myself as calm, organized, and sociable. The colleges that I am interested in are NYU, Colombia, Hunter College, City College, Baruch College, and Brooklyn College.&amp;#34; Bio -  Julia Aliessa: Julia came to the United States from Syria when she was 16 years old. She is interested in a career in health sciences/medicine or business. Julia describes herself as calm, organized, and sociable. The colleges that she is interested in are NYU, Colombia, Hunter College, City College, Baruch College, and Brooklyn College. Julia, we matched you based on your interest in business. About: The X Intern came to the United States from Syria when she was 16 years old. She speaks English and Arabic. This is her first year and round in the program. The jobs that she listed that she is interested in are, ?Doctor, Human Science, Business, Lawyer.?</t>
  </si>
  <si>
    <t>344 E11th street #4, New york City,NY 10003</t>
  </si>
  <si>
    <t>+13322487697</t>
  </si>
  <si>
    <t xml:space="preserve">"The meeting was so good, organized, and helpful. It was so useful and interesting, and I feel like the speaker knows exactly what we are looking for and what we need to work on. I am personally getting a lot of support and very good information. In my opinion, it's such an amazing program, wow! All was perfect and I appreciate your support and effort."
</t>
  </si>
  <si>
    <t>Omran Aliessa</t>
  </si>
  <si>
    <t>Omranaliessa3@gmail.com</t>
  </si>
  <si>
    <t>+19175363170</t>
  </si>
  <si>
    <t>Angelique</t>
  </si>
  <si>
    <t>Arango</t>
  </si>
  <si>
    <t>angeliquea37@nycstudents.net</t>
  </si>
  <si>
    <t>70-02 54th avenue maspeth, New York 11378 United States</t>
  </si>
  <si>
    <t>718-639-3817</t>
  </si>
  <si>
    <t>IS 73 - Maspeth Town Hall</t>
  </si>
  <si>
    <t>2025_mathiasflores@ihs-us.org</t>
  </si>
  <si>
    <t>The X Intern was 16 when he came from Peru to the United States. He speaks English and Spanish. He is interested in STEM, entertainment/lifestyle, and journalism/media. Additional email -  mathiasuchuypoma@gmail.com Attended Google: Code Next on Feb 21, 2024 - Has a Speakhire shirt</t>
  </si>
  <si>
    <t>700 8th ave New York, New York 10036 United States</t>
  </si>
  <si>
    <t>(718)679-0606</t>
  </si>
  <si>
    <t>Jhonedberf@gmail.com</t>
  </si>
  <si>
    <t>(332)269-5930</t>
  </si>
  <si>
    <t>Cleidy</t>
  </si>
  <si>
    <t>cleidy2019@flushinginternational.org</t>
  </si>
  <si>
    <t>105-12 northern blvd corona NY 11368</t>
  </si>
  <si>
    <t>+19294315682</t>
  </si>
  <si>
    <t>Regina Puga Carbajal</t>
  </si>
  <si>
    <t>palomita0726@gmail.com</t>
  </si>
  <si>
    <t>+19294315673</t>
  </si>
  <si>
    <t xml:space="preserve">"I give a 10 out of 10. I like how she spoke confident and talked about her life. Sometimes we would do things for our parents that we actually didn't want, but I kind of identified myself with her, especially with moving to a different country at a young age. I love how she made her own small business and helps other people with access to healthcare. Not really anything could have been changed; it was good."
</t>
  </si>
  <si>
    <t>Mary Iesha</t>
  </si>
  <si>
    <t>Bautista</t>
  </si>
  <si>
    <t>Philippines</t>
  </si>
  <si>
    <t>maryleshab@nycstudents.net</t>
  </si>
  <si>
    <t>Reasoning N/A Business Idea Security cameras Social Problem Safety at night</t>
  </si>
  <si>
    <t>71-17 Woodside Avenue 2A Woodside, New York 11377 United States</t>
  </si>
  <si>
    <t>Nico Bautista</t>
  </si>
  <si>
    <t>nkzz.shane@gmail.com</t>
  </si>
  <si>
    <t>Ashwini</t>
  </si>
  <si>
    <t>Borela</t>
  </si>
  <si>
    <t>amatashwini032@gmail.com</t>
  </si>
  <si>
    <t>Bio -  Ashwini Borela: Ashwini came to America from the Philippines when she was 17 years old. She is interested in law and social sciences/psychology. Ashwini describes herself as considerate, trustworthy, and thoughtful. The colleges that she is looking at include NYU, Baruch, and Hunter. Ashwini, we matched you based on your interest in social sciences / psychology. About - The X Intern came to America from the Philippines when she was 17 years old. She speaks English and Tagalog. This is her first year and round in the program. The jobs that she listed that she is interested in are, ?Law, Psychologist, and Flight Attendant.?</t>
  </si>
  <si>
    <t>330 1st Ave APT 10-H, New York,NY,10009</t>
  </si>
  <si>
    <t>+13475441130</t>
  </si>
  <si>
    <t>Josephine Borela</t>
  </si>
  <si>
    <t>jojoborela@icloud.com</t>
  </si>
  <si>
    <t>+16463788136</t>
  </si>
  <si>
    <t>Elmhlay</t>
  </si>
  <si>
    <t>Pasahol</t>
  </si>
  <si>
    <t>elmhlayheartp@nycstudents.net</t>
  </si>
  <si>
    <t>Additional Email elmhlaypasahol@myyahoo.com</t>
  </si>
  <si>
    <t>40-33 69 street apt 2H New York City, New York 11377 United States</t>
  </si>
  <si>
    <t>(347)926-9844</t>
  </si>
  <si>
    <t>Richard Pasahol</t>
  </si>
  <si>
    <t>richardpasahol@yahoo.com</t>
  </si>
  <si>
    <t>Faith</t>
  </si>
  <si>
    <t>Aldiano</t>
  </si>
  <si>
    <t>faitha66@nycstudents.net</t>
  </si>
  <si>
    <t>4312 judge street apt 2R elmhurst, New York New York city, New York 11373 United States</t>
  </si>
  <si>
    <t>347-241-6352</t>
  </si>
  <si>
    <t>Gayle</t>
  </si>
  <si>
    <t>gaenglis@gmail.com</t>
  </si>
  <si>
    <t>347-586-7891</t>
  </si>
  <si>
    <t>Laochua</t>
  </si>
  <si>
    <t>lindsaylaochuab@gmail.com</t>
  </si>
  <si>
    <t>47-10 48th Avenue Apartment 3A Woodside new york</t>
  </si>
  <si>
    <t>+19296944667</t>
  </si>
  <si>
    <t>Celina Laochua</t>
  </si>
  <si>
    <t>Klint</t>
  </si>
  <si>
    <t>Day</t>
  </si>
  <si>
    <t>cleintson64@gmail.com</t>
  </si>
  <si>
    <t>6422 Sugar Creek st. San Antonio/ Texas 78244</t>
  </si>
  <si>
    <t>San Antonio</t>
  </si>
  <si>
    <t>+12104097348</t>
  </si>
  <si>
    <t>IDEA - Walzem San Antonio Texas</t>
  </si>
  <si>
    <t>IDEA</t>
  </si>
  <si>
    <t>San Antonio City Council District 5</t>
  </si>
  <si>
    <t>Chona Day</t>
  </si>
  <si>
    <t>julianapatricem@nycstudents.net</t>
  </si>
  <si>
    <t>79-15 Penelope ave Middle Village, New York 11379 United States</t>
  </si>
  <si>
    <t>63+3479812379</t>
  </si>
  <si>
    <t>Jackie Mateo</t>
  </si>
  <si>
    <t>Olalia</t>
  </si>
  <si>
    <t>ceolalia@icloud.com</t>
  </si>
  <si>
    <t>7902 Caballo Cyn</t>
  </si>
  <si>
    <t>+12104391104</t>
  </si>
  <si>
    <t>Chriselle Seaton</t>
  </si>
  <si>
    <t>Nathan</t>
  </si>
  <si>
    <t>Barthels</t>
  </si>
  <si>
    <t>Poland</t>
  </si>
  <si>
    <t>nathanb108@nycstudents.net</t>
  </si>
  <si>
    <t>3a New York city, New York 114 United States</t>
  </si>
  <si>
    <t>(929)435-7012</t>
  </si>
  <si>
    <t>Sylwia barthels</t>
  </si>
  <si>
    <t>Sylwia.barthels@gmail.com</t>
  </si>
  <si>
    <t>(917)834-6772</t>
  </si>
  <si>
    <t>Kuclo</t>
  </si>
  <si>
    <t>fabster848@gmail.com</t>
  </si>
  <si>
    <t>69-26 64th street ridgewood NY 11385</t>
  </si>
  <si>
    <t>+13477374086</t>
  </si>
  <si>
    <t>Malgorzata Kuclo</t>
  </si>
  <si>
    <t>mkuclo80@gmail.com</t>
  </si>
  <si>
    <t>+13474942882</t>
  </si>
  <si>
    <t>Elvianny (Pamela)</t>
  </si>
  <si>
    <t>De Jesús</t>
  </si>
  <si>
    <t>Puerto Rico (US Territory)</t>
  </si>
  <si>
    <t>edejesus@crotonaihs.org</t>
  </si>
  <si>
    <t>She wants to be called Pamela on all future communications - 2/16 KW Bio - Elvianny De Jesús: Elvianny moved to the United States from Puerto Rico when she was 15 years old. She is interested in a career in the arts/creative or entertainment/lifestyle fields. Elvianny describes herself as a visionary, pretty, and kind. The colleges that she is interested in are, ?UPR and University at Albany.? Elvianny, we matched you based on your interest in arts/creative, a shared language, and a similar cultural background. About: The first Intern moved to the United States from Puerto Rico when she was 15 years old. She speaks Spanish and English. This is her first year and round in the program. Two of the jobs that she listed that she is interested in are actor and fashion designer.</t>
  </si>
  <si>
    <t>1335 COLLEGE AVENUE 4C, BRONX, NY 10456</t>
  </si>
  <si>
    <t>+13472099531</t>
  </si>
  <si>
    <t xml:space="preserve">"I chose to participate in the Foundation Year because I wanted to acquire new experiences that would help me in the future. I felt supported by the SPEAKHIRE team during my internship rounds. My champions understood me perfectly, even considering the language barrier, and they radiated empathy and respect. This is something that my colleagues and I noticed and appreciated. The program taught me valuable skills and gave me guidance I will carry forward."
</t>
  </si>
  <si>
    <t>Altagracia Fernandez</t>
  </si>
  <si>
    <t>altagracia22345@outlook.com</t>
  </si>
  <si>
    <t>+13478811397</t>
  </si>
  <si>
    <t>Merilyn</t>
  </si>
  <si>
    <t>Ortiz Rodriguez</t>
  </si>
  <si>
    <t>merilynortiz14@gmail.com</t>
  </si>
  <si>
    <t>522 erica</t>
  </si>
  <si>
    <t>+12109540685</t>
  </si>
  <si>
    <t>Marilyn Rodriguez Ortiz</t>
  </si>
  <si>
    <t>Ivelisse</t>
  </si>
  <si>
    <t>Valentin</t>
  </si>
  <si>
    <t>ivelissev108@gmail.com</t>
  </si>
  <si>
    <t>Alternate email:  ivalentin5858@chcprep.net</t>
  </si>
  <si>
    <t>Brooklyn New York 11207</t>
  </si>
  <si>
    <t>+19176966681</t>
  </si>
  <si>
    <t>Carmen D. Rios</t>
  </si>
  <si>
    <t>Bleujem16@gmail.com</t>
  </si>
  <si>
    <t>+19176965355</t>
  </si>
  <si>
    <t>Aquino Cruz</t>
  </si>
  <si>
    <t>alexaquino@claremontihs.org</t>
  </si>
  <si>
    <t>1306 Balcom Avenue, Bronx, New York 10461</t>
  </si>
  <si>
    <t>+17875601888</t>
  </si>
  <si>
    <t>Yudy Cruz</t>
  </si>
  <si>
    <t>cruzyudy58@gmail.com</t>
  </si>
  <si>
    <t>+18493854447</t>
  </si>
  <si>
    <t>Bintou</t>
  </si>
  <si>
    <t>Diop</t>
  </si>
  <si>
    <t>bintouchacha2004@gmail.com</t>
  </si>
  <si>
    <t>Bintou wants to change all email communications to her school email: 2024_bintoudiop@ihs-us.org Ambassador Responses: 11 In 250 ? 500 words, describe three traits which make you a leader and a strong student. The first of all is respect I think that as a leader I must be respected and respect others in turn because without the respect communication will be difficult and combining with others for the proper functioning of the program will not be easy too.And the second point that I think will make me a good leader and a good student is understanding because already you have to know that not everyone is the same everyone has their qualities and flaws ,good days and bad days and I think that knowing this will help me a lot to be comprehensive with other students. Communication also which is a very important element for me as a leader ,already as we say communication is the basis of everything and that without communication we will not be able to get along as a group. Under the basis of the of communication, ideas differ from each other and I think that as a group everyone has a say to contribute to achieving our targeted objectives by doing the foundational year program and to feel comfortable.I think it was the three important thing for me to be a good leader and a good student 12 In 100 ? 250 words, how can SPEAKHIRE help you you boost your own academic profile? I SPEAKHIRE can help me to boost my academic profile By including it in my summary when I will apply to join a college and especially when I will add that I was a leader in this internship. 13 In 100 ? 250 words, what opportunities do young people who are immigrant and first-generation American currently have to gain awareness of career opportunities? The opportunities that young people who are immigrant and first-generation American currently have to gain awareness of career opportunities are that we can learn more about our futures career and know how it will be beneficial to us. 14 In 250 ? 500 words, why you would succeed as a SPEAKHIRE for your grade at your school. If you do not meet all the requirements, explain why we should consider you for the position. I think I would succeed as a speakhire in my grade at school because I feel like when I talk with other people, they are listening to me. I can make in place a good organization for a good function of the group, and I will do my best t ok be up to the task. 15 List the classes you will be taking the upcoming school year and any other activities which will keep you occupied. Please explain to us how many hours a week you will dedicate towards SPEAKHIRE and what your schedule will look like. The classes that I will be taking the upcoming school year are: English, math, science, history, gym, art ?Other activities: maybe I will work and the different program that I will doMaybe I will do the same thing like this year that is on Wednesday and Thursday 1:49 to 3:30 16 Outline your main responsibilities as a SPEAKHIRE Ambassador: -Lead a speakhire chapter club.- go through a leadership curriculum which helps us learn and practice leadership skills and abilities. About -  The X Intern was 18 when she moved from Senegal to America. She speaks English, French, and Wolof. This is her first year and round in the program. The jobs that she listed that she is interested in are, ?Accountant, midwife, economist, banker, pediatrician, nursing.? Bio - Bintou Diop: ??Bintou was 18 when she moved from Senegal to America. She is interested in health sciences/medicine and business. ??Bintou describes herself as respectful and smart. For college, she is looking at the following options, ?Stony Brook university, University of Rochester, St John Fisher College, New York University, Columbia University, Hunter college, SUNY Buffalo, SUNY Binghamton, Millot College, Adelphi University.? ??Bintou, we matched you based on your interest in business.</t>
  </si>
  <si>
    <t>101w 147street #14i, New York City, New York City, 10039</t>
  </si>
  <si>
    <t>+19172153396</t>
  </si>
  <si>
    <t>Astou Diop</t>
  </si>
  <si>
    <t>antastou2003@gmail.com</t>
  </si>
  <si>
    <t>+19172912829</t>
  </si>
  <si>
    <t>Omairi</t>
  </si>
  <si>
    <t>Cruz Tejada</t>
  </si>
  <si>
    <t>ocruz@crotonaihs.org</t>
  </si>
  <si>
    <t>1732 white plains rd 10462</t>
  </si>
  <si>
    <t>+18453376322</t>
  </si>
  <si>
    <t>Rafaelina Tejada</t>
  </si>
  <si>
    <t>tejadarafelina72@gmail.com</t>
  </si>
  <si>
    <t>+13475846322</t>
  </si>
  <si>
    <t>Yomar</t>
  </si>
  <si>
    <t>Matias</t>
  </si>
  <si>
    <t>yomarmatias@crotonaihs.org</t>
  </si>
  <si>
    <t>Shanneell confirmed that Yomar's english is good since he is taking AP courses -- Hetal changed to 'very comfortable' (HJ, 11/17/21) 11/2/21 SB changed to not comfortable based on responses</t>
  </si>
  <si>
    <t>190 W Burnside Ave Apt 1A, Bronx, NY 10453</t>
  </si>
  <si>
    <t>+19293237622</t>
  </si>
  <si>
    <t>Yuberky Ramirez</t>
  </si>
  <si>
    <t>yuberkyramirez1976@gmail.com</t>
  </si>
  <si>
    <t>+16466982202</t>
  </si>
  <si>
    <t>gary.hernandez.24@wheels-student.org</t>
  </si>
  <si>
    <t>About Intern: The x Intern was born in America, but his family is from the Dominican Republic. He speaks English and Spanish. This is his first year and round in the program. The jobs he listed that he is interested in are, &amp;#34;business or Real estate agent.&amp;#34;</t>
  </si>
  <si>
    <t>228 Audubon Ave apt 45?</t>
  </si>
  <si>
    <t>+19147706326</t>
  </si>
  <si>
    <t>Ingrid hernandez</t>
  </si>
  <si>
    <t>ashtonh626@gmail.com</t>
  </si>
  <si>
    <t>+16463141380</t>
  </si>
  <si>
    <t>mmacchiarola@schools.nyc.gov</t>
  </si>
  <si>
    <t>Email:  joelp3776@nycstudents.net</t>
  </si>
  <si>
    <t>43-25 43street woodside</t>
  </si>
  <si>
    <t>luis ariel polanco</t>
  </si>
  <si>
    <t>Sandy</t>
  </si>
  <si>
    <t>Mercedes</t>
  </si>
  <si>
    <t>sandymarte925@gmail.com</t>
  </si>
  <si>
    <t>Correct Number: 646 807 6482 Person replied from phone Sandy has provided that it was a wrong number (&amp;#43;16465009855); Hetal deleted this number and chat from Google Voice (HJ 12/17/21) School Email: sjmercedesmarte@crotonaihs.org</t>
  </si>
  <si>
    <t>Bronx NY 2310 holland ave: code: 10458</t>
  </si>
  <si>
    <t>646 807 6482</t>
  </si>
  <si>
    <t>gregoria marte</t>
  </si>
  <si>
    <t>yudelkamarteolivares@gmail.com</t>
  </si>
  <si>
    <t>+16469057002</t>
  </si>
  <si>
    <t>Yarlin</t>
  </si>
  <si>
    <t>yarlinperalta19@example.com</t>
  </si>
  <si>
    <t>Fall2020</t>
  </si>
  <si>
    <t>+16462063336</t>
  </si>
  <si>
    <t>Manuel peralta</t>
  </si>
  <si>
    <t>Raissa</t>
  </si>
  <si>
    <t>Marginean</t>
  </si>
  <si>
    <t>Romania</t>
  </si>
  <si>
    <t>raissam3@nycstudents.net</t>
  </si>
  <si>
    <t>79-15 Penolope Ave Middle Village, New York 11379 United States</t>
  </si>
  <si>
    <t>917-231-6221</t>
  </si>
  <si>
    <t>Corina</t>
  </si>
  <si>
    <t>corinaradu1988@gmail.com</t>
  </si>
  <si>
    <t>917-445-3758</t>
  </si>
  <si>
    <t>Arafat</t>
  </si>
  <si>
    <t>houssen</t>
  </si>
  <si>
    <t>Belgium</t>
  </si>
  <si>
    <t>ahoussen@crotonaihs.org</t>
  </si>
  <si>
    <t>3145 Rochambeau ave, Bronx, NY</t>
  </si>
  <si>
    <t>+16463870331</t>
  </si>
  <si>
    <t>RULI</t>
  </si>
  <si>
    <t>Danzan</t>
  </si>
  <si>
    <t>Chimidov</t>
  </si>
  <si>
    <t>Russia</t>
  </si>
  <si>
    <t>danzancimidov08@gmail.com</t>
  </si>
  <si>
    <t>+19298220720</t>
  </si>
  <si>
    <t>New Utrecht High School 20K445 NY</t>
  </si>
  <si>
    <t>Daiana Taktinova</t>
  </si>
  <si>
    <t>Valeriia (Lera)</t>
  </si>
  <si>
    <t>Chernobaeva</t>
  </si>
  <si>
    <t>2025_valeriiachernobaeva@ihs-us.org</t>
  </si>
  <si>
    <t>Additional Email  -  valeriiachernobaeva05@gmail.com</t>
  </si>
  <si>
    <t>2 Stratford Road Brooklyn, New York 11218 United States</t>
  </si>
  <si>
    <t>Polina Chernobaeva</t>
  </si>
  <si>
    <t>ch.polina541@gmail.com</t>
  </si>
  <si>
    <t>p.hannah2020@flushinginternational.org</t>
  </si>
  <si>
    <t>102-45 Corona Ave, Corona, NY 11368</t>
  </si>
  <si>
    <t>+19295399961</t>
  </si>
  <si>
    <t>Tomasa Sandoval</t>
  </si>
  <si>
    <t>perezhannah312019@gmail.com</t>
  </si>
  <si>
    <t>antonio</t>
  </si>
  <si>
    <t>lima</t>
  </si>
  <si>
    <t>2023_antoniolima@ihs-us.org</t>
  </si>
  <si>
    <t>160 bush st NY 10453</t>
  </si>
  <si>
    <t>+13473164792</t>
  </si>
  <si>
    <t>carolina rodriguez</t>
  </si>
  <si>
    <t>Mondrunova</t>
  </si>
  <si>
    <t>basxamzhaeva@gmail.com</t>
  </si>
  <si>
    <t>Phone #: &amp;#43;13472904669 Email: basxamzhaeva@gmail.com</t>
  </si>
  <si>
    <t>1014 55 street</t>
  </si>
  <si>
    <t>+13472904669</t>
  </si>
  <si>
    <t>Antonina Mondrunova</t>
  </si>
  <si>
    <t>antoninka1965@mail.ru</t>
  </si>
  <si>
    <t>1 (347) 892-7361</t>
  </si>
  <si>
    <t>Maria Ines</t>
  </si>
  <si>
    <t>Lara Mejia</t>
  </si>
  <si>
    <t>maria.ines@ichsbronx.org</t>
  </si>
  <si>
    <t>294 E 151 ST</t>
  </si>
  <si>
    <t>+19142479417</t>
  </si>
  <si>
    <t>Maria Mejia</t>
  </si>
  <si>
    <t>Jhojanly.</t>
  </si>
  <si>
    <t>890 elsmere pl  bronx new york 10460 ap 1b</t>
  </si>
  <si>
    <t>+19295639678</t>
  </si>
  <si>
    <t>yahaira laguard</t>
  </si>
  <si>
    <t>Jorge313131@live.com</t>
  </si>
  <si>
    <t>+19295639606</t>
  </si>
  <si>
    <t>Janeth</t>
  </si>
  <si>
    <t>Lopez Barragan</t>
  </si>
  <si>
    <t>j.lopezbarragan@ihsph.org</t>
  </si>
  <si>
    <t>1743 Norman  st apartamento 1F, 1743 Norman st apartmento 1 F</t>
  </si>
  <si>
    <t>+13475007677</t>
  </si>
  <si>
    <t>Federico Lopez</t>
  </si>
  <si>
    <t>Mously</t>
  </si>
  <si>
    <t>Thiam</t>
  </si>
  <si>
    <t>mously.thiam@elliprep.com</t>
  </si>
  <si>
    <t>About: The first Intern was 19 when she moved from Senegal to America. She speaks English and Wolof. The jobs she is interested in are, &amp;#34;Medicin, audiovisual.&amp;#34; This is this Intern's first year and third round in the program. Email she applied with thiammously5@gmail.com but she prefers her ELLIS email</t>
  </si>
  <si>
    <t>141w 116 St apt 3A zip10026New York NY</t>
  </si>
  <si>
    <t>+13473792524</t>
  </si>
  <si>
    <t>Badara tahiam</t>
  </si>
  <si>
    <t>thiambada8@gmail.com</t>
  </si>
  <si>
    <t>+13478548040</t>
  </si>
  <si>
    <t>Anais</t>
  </si>
  <si>
    <t>anais.martinez.24@wheels-student.org</t>
  </si>
  <si>
    <t>About Intern: The x Intern's family is from Mexico, but she was born in the United States. She speaks English and Spanish. This is her first year and round in the program. The jobs she listed that she is interested in are, &amp;#34;medicine and science.&amp;#34;</t>
  </si>
  <si>
    <t>614 w 177th, New York CIty, NY, 10033</t>
  </si>
  <si>
    <t>+16467304078</t>
  </si>
  <si>
    <t>Efrain Martinez</t>
  </si>
  <si>
    <t>anaismartinez206@gmail.com</t>
  </si>
  <si>
    <t>+13472908341</t>
  </si>
  <si>
    <t>amy.samb@ichsbronx.org</t>
  </si>
  <si>
    <t>1738 Fillmore Street Bronx, NY 10460</t>
  </si>
  <si>
    <t>+19172084682</t>
  </si>
  <si>
    <t>Mame Y. Sow</t>
  </si>
  <si>
    <t>Gueye</t>
  </si>
  <si>
    <t>adamgueye522@gmail.com</t>
  </si>
  <si>
    <t>Cashed Awarded $125 check on Sept 7, 2023 Phone #: &amp;#43;13476523481 Email: adamgueye522@gmail.com Additional email:  ADamg152@nycstudents.net</t>
  </si>
  <si>
    <t>2034 Union st</t>
  </si>
  <si>
    <t>+13476523481</t>
  </si>
  <si>
    <t>HS For Environmental Studies NY</t>
  </si>
  <si>
    <t xml:space="preserve">“This program taught me the true value of leadership and teamwork, and how important it is in both entrepreneurship and education. I loved how we started as strangers and ended as family, while also learning real business skills like the importance of an LLC. It confirmed my strengths as a leader and challenged me to grow even more.”
</t>
  </si>
  <si>
    <t>Assietou Sow</t>
  </si>
  <si>
    <t>assietou.sow@gmail.com</t>
  </si>
  <si>
    <t>646 6518542</t>
  </si>
  <si>
    <t>Cheikh</t>
  </si>
  <si>
    <t>376E158th Street Bronx New York 10451</t>
  </si>
  <si>
    <t>Marvin</t>
  </si>
  <si>
    <t>Merino</t>
  </si>
  <si>
    <t>marvinmerino2005@gmail.com</t>
  </si>
  <si>
    <t>41-04 forley st, Queens, NY</t>
  </si>
  <si>
    <t>+19348008739</t>
  </si>
  <si>
    <t>Jheni Jacome</t>
  </si>
  <si>
    <t>Fatou</t>
  </si>
  <si>
    <t>Diedhiou</t>
  </si>
  <si>
    <t>ndeye.diedhiou@ellisprep.com</t>
  </si>
  <si>
    <t>FY Alum of 2022 &amp;amp; 2023, returning 23-24 Active and engaged Intern -- PQ 10/26 Cashed Awarded $250 Check on Aug 22, 2023 Ambassador of the Year  FY 23 , lso participated in the DL course. Gave a speech at the Summit - Soiree and received her monetary gift after the event in 8/16. PQ About: The third Intern was 16 when she moved to the United States from Senegal. She speaks English, French, and Wolof. The jobs she is interested in are, &amp;#34;Business, Social worker, Company Manager, Marketing Director, &amp;amp; Fashion model.&amp;#34; This is her second year in the program and her second round of this Foundational Year. Hetal changed her English from 'Not comfortable' to 'Somewhat' based off of short answers (10/31/21) 11 In 250 ? 500 words, describe three traits which make you a leader and a strong student. As a student I will not say I?m a good leader but I know I will be in the future because I?m a reliable, responsible, respectful and friendly toward people, sometimes it is very hard for me to fall asleep if I don?t do my homework because It feel like I?m carrying some weight in my shoulder that I had to get rid of. I?m also a person that asks more questions whether in or outside the school to be able to understand things clearly so that I can help others. I know sometimes I?m not perfect but I think in the future I?ll be a great leader because I believe and have faith in myself.I also love to listen to people around me so that I can learn a lot of things around me and I know how to be patient and nice with everybody.I can see that some people really listen to me sometimes when I am talking and when I ask them favors. 12 In 100 ? 250 words, how can SPEAKHIRE help you you boost your own academic profile? I think doing SPEAKHIRE will boost my academic profile because I will be able to learn from professionals about career and colleges. It will also help me acquire new skills which I can or apply in my journey as a high schooler.Speakhire will help me to be more serious and focus in my professional life 66 and also in my personal life because sometimes we talk about life with our champion and we always discover new things.It will also help me to improve my English level and find what career corresponds to my profile. 13 In 100 ? 250 words, what opportunities do young people who are immigrant and first-generation American currently have to gain awareness of career opportunities? As a daughter of an immigrant my father didn?t get the opportunity to go to college but I will be, I think that as one of the first generation immigrants we do have lot of opportunities we have in the United States such as internships, College course and be able learned from people who have years of experiences than we do we also have an opportunity in putting the programs we did in our resume and be able to apply for colleges that has to do with our career path, for the most important we are receiving these programs because it is to helps us accomplish our goals and help the next generation. 14 In 250 ? 500 words, why you would succeed as a SPEAKHIRE for your grade at your school. If you do not meet all the requirements, explain why we should consider you for the position. Like I was saying I am trying to do my best as an professional so if I will be an ambassador of Speakhire I will be responsible to assist and support the other intern be able to assist to all of the meeting that we will do.being on time to show good example to the other intern and always check my email to see if we have news and then make sure that every intern receive that news . 15 List the classes you will be taking the upcoming school year and any other activities which will keep you occupied. Please explain to us how many hours a week you will dedicate towards SPEAKHIRE and what your schedule will look like. In this year I will take all of the regular classes like English class, science, math, art and maybe some other classes.I will also take some program like college class early and dance club. 16 Outline your main responsibilities as a SPEAKHIRE Ambassador: As an ambassador of speakhire, my job will be to support the other intern from my school by remind them their session and I also will be her if they need any help or have a questions .</t>
  </si>
  <si>
    <t>530 E 187th street bronx New york , c1, zide code 10458</t>
  </si>
  <si>
    <t>+19294767272</t>
  </si>
  <si>
    <t>Awa Sisao</t>
  </si>
  <si>
    <t>lancejaju@yahoo.com</t>
  </si>
  <si>
    <t>+16466432109</t>
  </si>
  <si>
    <t>Toure</t>
  </si>
  <si>
    <t>2023_mariamatoure@ihs-us.org</t>
  </si>
  <si>
    <t>696Courtlandt Ave,Bronx,NY, 10451 Apt#3B</t>
  </si>
  <si>
    <t>+16462443326</t>
  </si>
  <si>
    <t>Mamadou Toure</t>
  </si>
  <si>
    <t>marimatoure46@gmail.com</t>
  </si>
  <si>
    <t>+19173302726</t>
  </si>
  <si>
    <t>Anarys</t>
  </si>
  <si>
    <t>maryannalbarran38@gmail.com</t>
  </si>
  <si>
    <t>Khadim</t>
  </si>
  <si>
    <t>874 Longwood Ave Apt 4 Bronx, New York 10459 United States</t>
  </si>
  <si>
    <t>Thierno Ka</t>
  </si>
  <si>
    <t>kathierno2@gmail.com</t>
  </si>
  <si>
    <t>Cuahuiz Del Carmen</t>
  </si>
  <si>
    <t>maria.tecuanhuey@ellisprep.com</t>
  </si>
  <si>
    <t>Maria has a conflict and can't meet at the time regularly, from Jonathan. Marking as inactive 2/1/23 SB About Intern: The x Intern moved to the US from Mexico when she was 17 years old. She speaks Spanish and is working on her English language skills. This is her first year and round in the program. The jobs that she listed that she is interested in are, &amp;#34;enfermera ,art,sicologia ,cuidado de personas ,entretenimiento.&amp;#34; Full Name: Maria Tecuanhuey Cuahuiz Del Carmen email: maria.tecuanhuey@ellisprep.com additional email: marytecuanhuey72@gmail.com phone number: 9292333287</t>
  </si>
  <si>
    <t>3133 rochambeau ave bronx 10467</t>
  </si>
  <si>
    <t xml:space="preserve">antonia tecuanhuey cuahuizo </t>
  </si>
  <si>
    <t>lindacuahuizo19@gmail.com</t>
  </si>
  <si>
    <t>khadimn901@gmail.com</t>
  </si>
  <si>
    <t>Hetal changed language from Native to Very Comfortable 10/28/21</t>
  </si>
  <si>
    <t>30 Avenue D Apt 3E New York NY 10009</t>
  </si>
  <si>
    <t>+16469194197</t>
  </si>
  <si>
    <t>Amdy Ndiaye</t>
  </si>
  <si>
    <t>ansmile@msn.com</t>
  </si>
  <si>
    <t>+19172390998</t>
  </si>
  <si>
    <t>Fabre</t>
  </si>
  <si>
    <t>dylan2019@flushinginternational.org</t>
  </si>
  <si>
    <t>50-17 103st Corona NY 11368</t>
  </si>
  <si>
    <t>+19172515644</t>
  </si>
  <si>
    <t>Alan Fabre &amp; Sugeily Vega</t>
  </si>
  <si>
    <t>alanfabre71@gmail.com</t>
  </si>
  <si>
    <t>+13474442900</t>
  </si>
  <si>
    <t>Valentino</t>
  </si>
  <si>
    <t>Serbia</t>
  </si>
  <si>
    <t>valentinod23@yahoo.com</t>
  </si>
  <si>
    <t>6013 Catalpa Avenue</t>
  </si>
  <si>
    <t>+19293191488</t>
  </si>
  <si>
    <t>Steven Dima</t>
  </si>
  <si>
    <t>Ketu</t>
  </si>
  <si>
    <t>7644194@philasd.org</t>
  </si>
  <si>
    <t>HJ updated Ketu's email from ketup126@gmail.com to what it is now 3/21/22</t>
  </si>
  <si>
    <t>2301 Woodward St Philadelphia Pa 19115</t>
  </si>
  <si>
    <t>+12154851458</t>
  </si>
  <si>
    <t>Baldev Patel, Bhavna Patel</t>
  </si>
  <si>
    <t>bobpatel22@yahoo.com</t>
  </si>
  <si>
    <t>+12159644910</t>
  </si>
  <si>
    <t>Emmanuella (Ella)</t>
  </si>
  <si>
    <t>Sierra Leone</t>
  </si>
  <si>
    <t>emmanuellaroberts62@gmail.com</t>
  </si>
  <si>
    <t>66 Daniel low terrace Staten Island, New York 10301 United States</t>
  </si>
  <si>
    <t>(929)239-0023</t>
  </si>
  <si>
    <t>Emmanuel Roberts</t>
  </si>
  <si>
    <t>robertsemmanuel786@gmail.com</t>
  </si>
  <si>
    <t>(917)704-3236</t>
  </si>
  <si>
    <t>Diore</t>
  </si>
  <si>
    <t>Philips</t>
  </si>
  <si>
    <t>St. Martin</t>
  </si>
  <si>
    <t>necryps@gmail.com</t>
  </si>
  <si>
    <t>2675 Valentine Ave</t>
  </si>
  <si>
    <t>+19294348575</t>
  </si>
  <si>
    <t>Delinsky Philips</t>
  </si>
  <si>
    <t>Aldodoo</t>
  </si>
  <si>
    <t>Sudan</t>
  </si>
  <si>
    <t>islamaldodoo5@gmail.com</t>
  </si>
  <si>
    <t>2301 Woodward st</t>
  </si>
  <si>
    <t>Islam Mohamed</t>
  </si>
  <si>
    <t>mohammedaldodoo@hotmail.com</t>
  </si>
  <si>
    <t>Syria</t>
  </si>
  <si>
    <t>Khadijeh</t>
  </si>
  <si>
    <t>Moaddal</t>
  </si>
  <si>
    <t>ahmadmoaddal@gmail.com</t>
  </si>
  <si>
    <t>Akhmadzhon</t>
  </si>
  <si>
    <t>Vakhidov</t>
  </si>
  <si>
    <t>Tajikistan</t>
  </si>
  <si>
    <t>akhmadzon.vokhidov@gmail.com</t>
  </si>
  <si>
    <t>After graduating high school, I want to go to college with a focus on software engineering or programming and eventually work for Google or Apple. From SPEAK professionals, I want to learn how they got started in their career and advice about how I can get a head start on mine.</t>
  </si>
  <si>
    <t>10900 Bustleton ave</t>
  </si>
  <si>
    <t>Alisher Vakhidov</t>
  </si>
  <si>
    <t>vohidov666@gmail.com</t>
  </si>
  <si>
    <t>Farkhad (Fark)</t>
  </si>
  <si>
    <t>Mirzoev</t>
  </si>
  <si>
    <t>farkhadm@nycstudents.net</t>
  </si>
  <si>
    <t>62-42 woodhaven blvd Middle village, New York 11374 United States</t>
  </si>
  <si>
    <t>Mamnuna Mirzoeva</t>
  </si>
  <si>
    <t>Shirly</t>
  </si>
  <si>
    <t>Sambula</t>
  </si>
  <si>
    <t>ssambula@crotonaihs.org</t>
  </si>
  <si>
    <t>1055 university ave</t>
  </si>
  <si>
    <t>+19145319905</t>
  </si>
  <si>
    <t>Dania Blanco</t>
  </si>
  <si>
    <t>Nuru</t>
  </si>
  <si>
    <t>Sherpa</t>
  </si>
  <si>
    <t>nuru.sherps@gmail.com</t>
  </si>
  <si>
    <t>48-29 58th Place Queens, New York 11377 United States</t>
  </si>
  <si>
    <t>(929)509-9489</t>
  </si>
  <si>
    <t>Sangay Sherpa</t>
  </si>
  <si>
    <t>Sangay@gmail.com</t>
  </si>
  <si>
    <t>(718)415-0142</t>
  </si>
  <si>
    <t>Joseph (Joe)</t>
  </si>
  <si>
    <t>Fisher</t>
  </si>
  <si>
    <t>Tanzania</t>
  </si>
  <si>
    <t>2025_josephfisher@ihs-us.org</t>
  </si>
  <si>
    <t>Joseph  'Joe' Fisher:  &amp;#34;i arrived in united states from  Tanzania  when i was 16 years old and i am interested in being a Business man , lawyer , digital marketer and Acting. i am still considering my options for after high school . i am a person who loves to know and understand new thing even if its hard i want to learn and gain different skills.&amp;#34; He also listed STEM as a career field he was interested in.  Joseph , we matched you based on your interest in STEM .</t>
  </si>
  <si>
    <t>720W 181ST APT57 New york City, New York 10033 United States</t>
  </si>
  <si>
    <t>917-620-6820</t>
  </si>
  <si>
    <t>Kenneth Fisher</t>
  </si>
  <si>
    <t>ken@kendigital.com</t>
  </si>
  <si>
    <t>646-479-6134</t>
  </si>
  <si>
    <t>Budthima</t>
  </si>
  <si>
    <t>Thummanee</t>
  </si>
  <si>
    <t>Thailand</t>
  </si>
  <si>
    <t>budthimat@nycstudents.net</t>
  </si>
  <si>
    <t>50-40 Jacobus St Elmhurst Ny 11378</t>
  </si>
  <si>
    <t>Dad: Jutisat Thummanee  Mom: Jechanee Thummanee</t>
  </si>
  <si>
    <t>Prim</t>
  </si>
  <si>
    <t>Waraloardgoson</t>
  </si>
  <si>
    <t>primw@nycstudents.net</t>
  </si>
  <si>
    <t>50-40 Jacobus Street New York City, New York 11373 United States</t>
  </si>
  <si>
    <t>Ratsanee Suksawas</t>
  </si>
  <si>
    <t>PRimW@nycstudents.net</t>
  </si>
  <si>
    <t>Raquel</t>
  </si>
  <si>
    <t>racquel.guerrero.24@wheels-student.org</t>
  </si>
  <si>
    <t>About Intern: The X Intern moved from the Dominican Republic to the United States when she was less than a year old. She speaks English and Spanish.  This is her first year and round in the program. The jobs she listed that she is interested in are, &amp;#34;forensics, psychology, and nurse practitioner.&amp;#34;</t>
  </si>
  <si>
    <t>2257 university ave apt 1E New York Ny 10468</t>
  </si>
  <si>
    <t>+19179293869</t>
  </si>
  <si>
    <t>Altagracia Evangelista</t>
  </si>
  <si>
    <t>Marvin.</t>
  </si>
  <si>
    <t>41-04 forley st</t>
  </si>
  <si>
    <t>Jhenny</t>
  </si>
  <si>
    <t>Brandon</t>
  </si>
  <si>
    <t>brandon.nunez.24@wheels-student.org</t>
  </si>
  <si>
    <t>About Intern: The X Intern's family is from the Dominican Republic, but he was born in America. He speaks English and Spanish. This is his first year and round in the program. The jobs that he listed that he is interested in are, &amp;#34;Bartender, Architect, Business Man, Scientist, Real Estate, Musician, Director In Film, Marketer.&amp;#34;</t>
  </si>
  <si>
    <t>370 Wadsworth West 192nd Street,Manhattan,New York 10040</t>
  </si>
  <si>
    <t>+16467525142</t>
  </si>
  <si>
    <t>Maria Sandra Nunez</t>
  </si>
  <si>
    <t>sandranunez1024@gmail.com</t>
  </si>
  <si>
    <t>+19177495786</t>
  </si>
  <si>
    <t>Kaddijatou</t>
  </si>
  <si>
    <t>Sey</t>
  </si>
  <si>
    <t>kaddijatousey@claremontihs.org</t>
  </si>
  <si>
    <t>1365 sheridan Avenue 10456</t>
  </si>
  <si>
    <t>musa</t>
  </si>
  <si>
    <t>musaballa@yaho.com</t>
  </si>
  <si>
    <t>+13473644176</t>
  </si>
  <si>
    <t>Ema</t>
  </si>
  <si>
    <t>Thotsa</t>
  </si>
  <si>
    <t>emat5@nycstudents.net</t>
  </si>
  <si>
    <t>Additional Email:  duolingoIKnowWhereYouLive@gmail.com</t>
  </si>
  <si>
    <t>52-18 72nd Street Queens, New York 11378 United States</t>
  </si>
  <si>
    <t>Dhondup Lhamo</t>
  </si>
  <si>
    <t>lhamodhondup143@gmail.com</t>
  </si>
  <si>
    <t>Pratima</t>
  </si>
  <si>
    <t>Bohara</t>
  </si>
  <si>
    <t>pratimabohara555@gmail.com</t>
  </si>
  <si>
    <t>Hetal made her inactive on 2/16/22 after finding out too many conflicts</t>
  </si>
  <si>
    <t>51-60 Van Kleecks Street Elmhurst, NY ,11373  APT  6E</t>
  </si>
  <si>
    <t>+19295449841</t>
  </si>
  <si>
    <t>Prakash Bohara</t>
  </si>
  <si>
    <t>pbohara78@yahoo.com</t>
  </si>
  <si>
    <t>+13477614556</t>
  </si>
  <si>
    <t>Yamin</t>
  </si>
  <si>
    <t>Titikpina</t>
  </si>
  <si>
    <t>yamin.titikpina@ellisprep.com</t>
  </si>
  <si>
    <t xml:space="preserve"> 972 sherman ave 164 street apt 5f</t>
  </si>
  <si>
    <t>347 575 0057</t>
  </si>
  <si>
    <t>Baka Titikpina</t>
  </si>
  <si>
    <t>Titikpinabaka@gmail.com</t>
  </si>
  <si>
    <t>212-920-6866</t>
  </si>
  <si>
    <t>Siena College</t>
  </si>
  <si>
    <t>Jose.</t>
  </si>
  <si>
    <t>Salas</t>
  </si>
  <si>
    <t>josesalas@claremontihs.org</t>
  </si>
  <si>
    <t>18 Gabriel Dr, Bronx, NY, 10459</t>
  </si>
  <si>
    <t>+17182882026</t>
  </si>
  <si>
    <t>Cecilia</t>
  </si>
  <si>
    <t>dulcececilia01@hotmail.com</t>
  </si>
  <si>
    <t>laurenp140@nycstudents.net</t>
  </si>
  <si>
    <t>52-13 rooseltv ave</t>
  </si>
  <si>
    <t>castano</t>
  </si>
  <si>
    <t>Zenoul</t>
  </si>
  <si>
    <t>DJEPONOGNI</t>
  </si>
  <si>
    <t>zenouldjeponogni@claremontihs.org</t>
  </si>
  <si>
    <t>1135 university ave bronx ny 10452</t>
  </si>
  <si>
    <t>+19294342062</t>
  </si>
  <si>
    <t>Atcha DJEPONOGNI</t>
  </si>
  <si>
    <t>mayitagpm@gmail.com</t>
  </si>
  <si>
    <t>61-14 broadway woodside</t>
  </si>
  <si>
    <t>+19176518970</t>
  </si>
  <si>
    <t>Pamela Mita Zeballos</t>
  </si>
  <si>
    <t>Naimatou</t>
  </si>
  <si>
    <t>Sefou Moussa</t>
  </si>
  <si>
    <t>naimatou.sefou@ellisprep.com</t>
  </si>
  <si>
    <t>Hetal J. updated language ability from 'Not comfortable - I'm still learning' to 'Very Comfortable' on March 18, 2021</t>
  </si>
  <si>
    <t>1856 Lafayette Avenue # 5B Bronx NY 10473</t>
  </si>
  <si>
    <t>Mouhamed Sefou Moussa</t>
  </si>
  <si>
    <t>smouhamed31@gmail.com</t>
  </si>
  <si>
    <t>Bakere</t>
  </si>
  <si>
    <t>2015 southern Blvd 9c Bronx NY 10460</t>
  </si>
  <si>
    <t>+19294221124</t>
  </si>
  <si>
    <t>Aladjawe Bakere</t>
  </si>
  <si>
    <t>bakaladjawe@gmail.com</t>
  </si>
  <si>
    <t>+13478494303</t>
  </si>
  <si>
    <t>monroe university</t>
  </si>
  <si>
    <t>Mimi</t>
  </si>
  <si>
    <t>Agbobli</t>
  </si>
  <si>
    <t>mimiagbobli123@gmail.com</t>
  </si>
  <si>
    <t xml:space="preserve">302 Springfield Avenue, Newark, NJ </t>
  </si>
  <si>
    <t>732-900-5988</t>
  </si>
  <si>
    <t>yawoagbobli@yahoo.com</t>
  </si>
  <si>
    <t>Hezou</t>
  </si>
  <si>
    <t>Awitala</t>
  </si>
  <si>
    <t>hezou.awitala@ichsbronx.org</t>
  </si>
  <si>
    <t>730 kelly st Bronx ny</t>
  </si>
  <si>
    <t>+13473584350</t>
  </si>
  <si>
    <t>Tongtema Awitala</t>
  </si>
  <si>
    <t>Salina</t>
  </si>
  <si>
    <t>Magarati</t>
  </si>
  <si>
    <t>salinamagarati@gmail.com</t>
  </si>
  <si>
    <t>Had too much going on and had to quit -- replaced with another student (HJ 2/14/22)</t>
  </si>
  <si>
    <t>7309 woodside ave, 1FL</t>
  </si>
  <si>
    <t>+19293038516</t>
  </si>
  <si>
    <t>Phulumaya Sarki</t>
  </si>
  <si>
    <t>phulumaya60@gmail.com</t>
  </si>
  <si>
    <t>+19293038642</t>
  </si>
  <si>
    <t>Leila</t>
  </si>
  <si>
    <t>leila.titikpina@ellisprep.com</t>
  </si>
  <si>
    <t>972 sherman av apt 5 F zip 10456</t>
  </si>
  <si>
    <t>347 5737603</t>
  </si>
  <si>
    <t>ithaca college</t>
  </si>
  <si>
    <t>Ayoko</t>
  </si>
  <si>
    <t>Kessouagni</t>
  </si>
  <si>
    <t>ayokokessouagni@gmail.com</t>
  </si>
  <si>
    <t>01/09 HJ emailed asking her if she had time to chat -- last HJ emailed her, May 2023, she had said she didn't have time. 10/07/22, Interest changed to History</t>
  </si>
  <si>
    <t>347-295-6954</t>
  </si>
  <si>
    <t>646-339-1646   973-732-1196</t>
  </si>
  <si>
    <t>rebeccas187@nycstudents.net</t>
  </si>
  <si>
    <t>9312 242nd Street Bellerose, New York 11426 United States</t>
  </si>
  <si>
    <t>beccaelyon@gmail.com</t>
  </si>
  <si>
    <t>(516)820-2445</t>
  </si>
  <si>
    <t>Ladino</t>
  </si>
  <si>
    <t>tumama@gmail.com</t>
  </si>
  <si>
    <t>tu mama</t>
  </si>
  <si>
    <t>+13472332342</t>
  </si>
  <si>
    <t>Oussema</t>
  </si>
  <si>
    <t>Saddi</t>
  </si>
  <si>
    <t>Tunisia</t>
  </si>
  <si>
    <t>2023_oussemasaddi@ihs-us.org</t>
  </si>
  <si>
    <t>110 W 116th St NY</t>
  </si>
  <si>
    <t>+19294427019</t>
  </si>
  <si>
    <t>Omar Qaushi</t>
  </si>
  <si>
    <t>Anastasiia</t>
  </si>
  <si>
    <t>Smetaniuk</t>
  </si>
  <si>
    <t>Ukraine</t>
  </si>
  <si>
    <t>nastagomes@gmail.com</t>
  </si>
  <si>
    <t>? same email for parent and student 10/7/22 - interested in Marketing</t>
  </si>
  <si>
    <t>10837 Nandina Lane, Philadelphia, PA</t>
  </si>
  <si>
    <t>215-629-6860</t>
  </si>
  <si>
    <t>Oksana Smetaniuk</t>
  </si>
  <si>
    <t>215-713-7229</t>
  </si>
  <si>
    <t>Polina</t>
  </si>
  <si>
    <t>Malinovska</t>
  </si>
  <si>
    <t>2025_polinamalinovska@ihs-us.org</t>
  </si>
  <si>
    <t>Additional Email -  pollimalinov13@gmail.com</t>
  </si>
  <si>
    <t>319W street 29th New York, New York 10001 United States</t>
  </si>
  <si>
    <t>+1(646)724-7412</t>
  </si>
  <si>
    <t>Nina</t>
  </si>
  <si>
    <t>consultingbynina@gmail.com</t>
  </si>
  <si>
    <t>+1(646)719-7074</t>
  </si>
  <si>
    <t>Kevin (Mongraal)</t>
  </si>
  <si>
    <t>Ramon</t>
  </si>
  <si>
    <t>kevinr736@nycstudents.net</t>
  </si>
  <si>
    <t>Additional email:  Stitchio127@gmail.com</t>
  </si>
  <si>
    <t>50-40 jacobus St queens, New York 11373 United States</t>
  </si>
  <si>
    <t>Kevin Ramon</t>
  </si>
  <si>
    <t>estudiante</t>
  </si>
  <si>
    <t>Stitchio127@gmail.com</t>
  </si>
  <si>
    <t>Rowena</t>
  </si>
  <si>
    <t>Otero</t>
  </si>
  <si>
    <t>rowena.otero.24@wheels-student.org</t>
  </si>
  <si>
    <t>3/15/22 Attendance is incorrect</t>
  </si>
  <si>
    <t>101 Sherman avenue New York, New York, 10034</t>
  </si>
  <si>
    <t>+17202990549</t>
  </si>
  <si>
    <t>Martha Wilson</t>
  </si>
  <si>
    <t>marthamain41@gmail.com</t>
  </si>
  <si>
    <t>Nigora</t>
  </si>
  <si>
    <t>Uktamboeva</t>
  </si>
  <si>
    <t>nuktamboeva@inths.org</t>
  </si>
  <si>
    <t>Personal Email: nuktamboeva@gmail.com </t>
  </si>
  <si>
    <t>+19176556520</t>
  </si>
  <si>
    <t>Ergashiva</t>
  </si>
  <si>
    <t>nuktamboeva@gmail.com</t>
  </si>
  <si>
    <t>+17188206430</t>
  </si>
  <si>
    <t>Sanat</t>
  </si>
  <si>
    <t>Gaybullov</t>
  </si>
  <si>
    <t>10023597@philasd.org</t>
  </si>
  <si>
    <t>&amp;#34;Through Speak, I want to learn about colleges and my future career. I want to be sure that I am good enough to be come my dream job, If I'm not I'm gonna try harder then that.&amp;#34;</t>
  </si>
  <si>
    <t>11810 Audubon Ave Philadelphia, PA 19116</t>
  </si>
  <si>
    <t>Abdullo Rasulov</t>
  </si>
  <si>
    <t>sanatr2003@gmail.com</t>
  </si>
  <si>
    <t>Ashurova</t>
  </si>
  <si>
    <t>sabrinaashurova.02@gmail.com</t>
  </si>
  <si>
    <t>Nov, 2022 -  Studying Business and marketing management</t>
  </si>
  <si>
    <t>218 Lockart Lane, Philadelphia, PA</t>
  </si>
  <si>
    <t>267-312-0227</t>
  </si>
  <si>
    <t>Dilrabo Ashurova</t>
  </si>
  <si>
    <t>dilaashurova@gmail.com</t>
  </si>
  <si>
    <t>267-690-1062</t>
  </si>
  <si>
    <t>Sayyora</t>
  </si>
  <si>
    <t>Khadjimatova</t>
  </si>
  <si>
    <t>sayyora2105@gmail.com</t>
  </si>
  <si>
    <t>used same email for both parent &amp;amp; person email ? parent presumably may not have one? multilingual: speaks 4 languages Ambassador responses: Essay 1 What does it mean to be a leader? What makes a person a great leader? A leader is someone who commands and leads a group. It?s those traits that enables people to trust and follow that person that every leader should possess. The traits that makes me a leader and a strong student are persuasion, open mind and great communication. One of my special trait is persuasion. I believe I am great at persuasion. I can persuade people giving them examples, facts and ideas. Usually I persuade my friends to do what I want them to. For example I often persuade my friends to go shopping with me or to go out with me on the weekends. Another one of my strong trait is being open minded. I believe being open to new ideas is a must for a leader. I?m very open minded. I listen to other people?s opinions and take them into the picture.  My final and mainly used trait is communication. I think every leader should have communication skills. Whether you have an official management role or informally lead a work group or team, effective communication skills are essential to your success in a leadership position. A good communication leads to building strong relationships and success. In conclusion, as I stated before, the traits that makes me a leader and a strong student are persuasion, open mind and great communication. These traits are my strong points and they help me in everything. Essay 2 	 Speak Mentorship can help me boost my own academic profile in many ways. It can help me be more outspoken since I?m kinda shy sometimes. It gives experience to members in  many things. It also helps me awareness of career opportunities. These knowledges will end up helping me a lot in the future especially after high school. Also, since colleges look at records The fact that I was in this program might look good in my records too. Essay 3 Currently young woman who are first generation American have many opportunities to gain awareness of career opportunities especially the ones who still attend high school. There are many programs at schools that can helps them with this.  For example in my school there?s the Speak Program for girls. This program helps us gain more information about the careers that we are interested in. I learned a lot of things about career opportunities since I joined this program. Essay 4 I would succeed as a SPEAK Mentorship Ambassador for my grade at my school for many reasons. The main reason being that I meet all the requirements. Also because I?m a strong student and have the traits, persuasion, open mindedness and great communication. I believe these traits would help a lot if I was to become the ambassador. Essay 5 Currently I?m interested in many career opportunities. However I haven?t decided what I want to pursue. The career fields that I?m interested in are medical field, business field, multilingual field, and law field.  I decided I wanted to pursue these fields because these are fields that I?m interested in and enjoy a lot.  I chose my career field interests based on my interests. Mostly I?m interested in these fields because all these fields gives me a chance to help others. I like helping people and I really like to be useful to others. I like the feeling of being needed by someone.  I think that medical field is really interesting and important. Doctors have the ability and knowledge to lessen pain and save people from dying. The reason I like this field is because when I was a kid my grandma died right in front of me and all I could do was watch and cry. At that time I really wished I was a doctor and could save my grandma.  I?m also interested in jobs in business fields such as lawyer. Lawyers help people by saving an innocent person from going to jail with proves. There are many lawyers out there who only go after the large money and try to hide the truth but there are also good lawyers.  Multilingual field is really good too. Multilingual jobs include being an interpreter or a translator. Multilingual people help others connect by translating for them. The first time I came to U.S I didn?t know English so I suffered a little bit. Thanks god there were these girls in my class who spoke my language, Uzbek, and they helped me know what people around me were saying.</t>
  </si>
  <si>
    <t>273 Mandina Place, Philadelphia, PA</t>
  </si>
  <si>
    <t>267-466-7121</t>
  </si>
  <si>
    <t>Abulkasim Khadjimatova</t>
  </si>
  <si>
    <t>Mohiruza</t>
  </si>
  <si>
    <t>Raimkulova</t>
  </si>
  <si>
    <t>roseraimkulova14@gmail.com</t>
  </si>
  <si>
    <t>same email for student and parent Goes by Rose</t>
  </si>
  <si>
    <t>273 Nandina Place, Philadelphia, PA</t>
  </si>
  <si>
    <t>267-593-3393</t>
  </si>
  <si>
    <t>Shuhrat Irmasov</t>
  </si>
  <si>
    <t>Said</t>
  </si>
  <si>
    <t>Rustamov</t>
  </si>
  <si>
    <t>saidrustamov640@gmail.com</t>
  </si>
  <si>
    <t>Completed one round successfully by attending 7 of the 9 sessions. But, needed to step away to focus on academics. Considered an alum and can rejoin FY in the future (HJ, 1/28/21)</t>
  </si>
  <si>
    <t>34-39 Tilton Street, Philadelphia, PA 19134</t>
  </si>
  <si>
    <t>Ulugbek Tagaev</t>
  </si>
  <si>
    <t>tagaevulugbek24@gmail.com</t>
  </si>
  <si>
    <t>Laziz</t>
  </si>
  <si>
    <t>Djuraev</t>
  </si>
  <si>
    <t>ldjuraev@inths.org</t>
  </si>
  <si>
    <t>11 In 250 ? 500 words, describe three traits which make you a leader and a strong student. I have 3 qualities that make me a leader and a good student. These qualities are such as responsibility, balance and honesty. I am primarily responsible to myself, I try to be responsible for my actions and words, and in general for my existence. And I am also aware of my responsibility to my family, I try to help and provide support both morally and materially. But I also have an understanding of responsibility to society and the close circle of communication in which I am, responsibility in the form of assistance to those in need, and compliance with the request in an appropriate manner. However, there is another important quality that helps me spiritually, such as balance. Thanks to it, despite obstacles and external factors, I can control myself and go to my goal, as well as be respectful to others in a particular society. I always try to be mindful in dealing with my feelings and rational with my challenges . Finally, the quality of a person that may eventually disappear in everyday life is honesty. It is important for me to be honest first of all with myself, whether I bring things to the end, how honestly I did it and whether this or that choice suits me. In addition, it is important for me to be honest with people who trust me. In conclusion, I would say that these qualities help me earn trust among people close to me, as well as help to achieve success in my studies. 12 In 100 ? 250 words, how can SPEAKHIRE help you you boost your own academic profile? I assume that at Speakhire I will be able to improve my academic profile. I will be able to gain new knowledge in various fields of activity and apply this knowledge in the future. It will help me to gain the experience that I need when I get my first job , and develop my existing skills to become more capable in the next step of my life. Moreover, I think that with Speakhire ,I will improve my skills such as teamwork, being organized and a great leader. In conclusion, I would like to say that with Speakhire I will be able to get an advantage that will definitely be taken into account when entering a higher educational institution. 13 In 100 ? 250 words, what opportunities do young people who are immigrant and first-generation American currently have to gain awareness of career opportunities? I think for immigrants who are interested in a successful career in the United States, they need to participate in various programs where they teach skills in a particular field of activity and can practice in different directions. And also, it would be nice to get acquainted with a career in the school curriculum, and visit different educational institutions and get acquainted with the subjects taught there. To the above, you can also add the opportunity to participate in volunteer events, where you can learn different skills and qualities such as behavior in society, leadership skills, responsibility and a little idea about careers. Well, in the end, in this way you can decide what suits you best. 14 In 250 ? 500 words, why you would succeed as a SPEAKHIRE for your grade at your school. If you do not meet all the requirements, explain why we should consider you for the position. Speakhire will help and assist me in my academic and career choices . Joining Speakhire will boost my knowledge and put me at advantage while making informed decisions about my next step in life . After all, it is here that I can broaden my horizons and meet experienced professionals in a particular job and can learn different skills from them and get useful tips for a successful career. However, I expect that by enrolling in this program I will improve my leadership skills and practice effective communication and building meaningful and productive relationships. As well as eventually understanding what profession and what career path suits me and matches with my interests and skills . It will give me a better understanding of the job market and careers ecosystems in my new community. And I can just get pleasant emotions from meeting and communicating with new people and classmates. In addition to this, it is Speakhire that helps immigrant students to explore colleges, various potential paths from college to a good career, which is also important for me. I am looking forward to hearing about the education pathways to different careers and jobs so I start preparing myself. However, it is worth noting that in Speakhire I will also be able to improve my level of English and communication skills .In conclusion, I would say that I see a lot of benefits for myself in particular as I am eager to learn about careers since day one I moved to this country as well developing skills of leadership and communication which is so essential for successful careers on the future. 15 List the classes you will be taking the upcoming school year and any other activities which will keep you occupied. Please explain to us how many hours a week you will dedicate towards SPEAKHIRE and what your schedule will look like. In the upcoming academic year, my schedule includes schooling 5 days a week, the other 2 days off I work part-time. For Speakhire, I will spend as much time as I need, but at the moment, according to the schedule, I have 1 hour a week for classes at Speakhire. 16 Outline your main responsibilities as a SPEAKHIRE Ambassador: Help Interns achieve success and provide support, and keep track of their attendance.</t>
  </si>
  <si>
    <t>7000 Bay Pkwy Brooklyn NY 11204</t>
  </si>
  <si>
    <t>+19178636137</t>
  </si>
  <si>
    <t>Amin Djuraev</t>
  </si>
  <si>
    <t>i42ycr42y3@gmail.com</t>
  </si>
  <si>
    <t>+19292859052</t>
  </si>
  <si>
    <t>Nilufar</t>
  </si>
  <si>
    <t>nilufar.sadullaeva15@gmail.com</t>
  </si>
  <si>
    <t>267-338-8000</t>
  </si>
  <si>
    <t>adolat.rakhmatullaeva@gmail.com</t>
  </si>
  <si>
    <t>267 -310-8878</t>
  </si>
  <si>
    <t>Alcala Lopez</t>
  </si>
  <si>
    <t>6904 New Utrecht Ave Brooklyn, NY</t>
  </si>
  <si>
    <t>Malika</t>
  </si>
  <si>
    <t>Bahronbekova</t>
  </si>
  <si>
    <t>mbahronbekova@inths.org</t>
  </si>
  <si>
    <t>3099 Brighton 6th street apt 509, New york, Brooklyn, 11235</t>
  </si>
  <si>
    <t>+19295025005</t>
  </si>
  <si>
    <t>Madina Bobokulova</t>
  </si>
  <si>
    <t>sherzodovna25@gmail.com</t>
  </si>
  <si>
    <t>+19298884988</t>
  </si>
  <si>
    <t>Yonaiker</t>
  </si>
  <si>
    <t>Briceno</t>
  </si>
  <si>
    <t>bricenoy@nycstudents.net</t>
  </si>
  <si>
    <t>165 archer avenida</t>
  </si>
  <si>
    <t>+19296311192</t>
  </si>
  <si>
    <t>emely</t>
  </si>
  <si>
    <t>Chirinos</t>
  </si>
  <si>
    <t>2025_laurachirinos@ihs-us.org</t>
  </si>
  <si>
    <t>Additional email -  laurachirinos59@gmail.com IL Responses REASONING because I want to learn skills to be a leader for my community and to be able to use my voice for change BUSINESS IDEA I wouldn't know how to tell you why I would like to start a business to help people. SOCIAL PROBLEM for reasons of laws for undocumented people due to the problem of jobs</t>
  </si>
  <si>
    <t>167 East 116th Street Nueva York Nueva York, New York 10029 United States</t>
  </si>
  <si>
    <t>Daniel Chirinos</t>
  </si>
  <si>
    <t>chirinosdaniel456@gmail.com</t>
  </si>
  <si>
    <t>Leswin</t>
  </si>
  <si>
    <t>ls259585289@crotonaihs.org</t>
  </si>
  <si>
    <t>3/18/24 FY exit survey - Found internship&amp;#34;  yes about Informatics Engineering It's one that I like&amp;#34; The X Intern moved to the United States from Venezuela when he was 16 years old. He speaks English and Spanish. This is his first year and round in the program. He is interested in the Entertainment/Lifestyle and STEM fields.</t>
  </si>
  <si>
    <t>1996 Webster Avenue 202 bronx, New York 10457 United States</t>
  </si>
  <si>
    <t>Kleiver Garcia</t>
  </si>
  <si>
    <t>Kleiver1790@gmail.com</t>
  </si>
  <si>
    <t>Razina</t>
  </si>
  <si>
    <t>Issoufou</t>
  </si>
  <si>
    <t>Niger</t>
  </si>
  <si>
    <t>razina.issoufou@ellisprep.com</t>
  </si>
  <si>
    <t>About: The second Intern moved to the United States from Nigeria when she was 16. She speaks English, French, and Hausa. The jobs she is interested in are, &amp;#34;Doctor, Nursing, Business, and Lawyer.&amp;#34; This is this Intern's second round, so you would be their second Champion.</t>
  </si>
  <si>
    <t>1116 grant avenue Bronx NY 10456</t>
  </si>
  <si>
    <t>+13474316901</t>
  </si>
  <si>
    <t>Fatima Issoufou</t>
  </si>
  <si>
    <t>+19175042724</t>
  </si>
  <si>
    <t>Parra Pestana</t>
  </si>
  <si>
    <t>p.parra2018@flushinginternational.org</t>
  </si>
  <si>
    <t>25-05 127Th St, College point, 11354</t>
  </si>
  <si>
    <t>+19294219216</t>
  </si>
  <si>
    <t>Sheila Pestana</t>
  </si>
  <si>
    <t>pestana50@gmail.com</t>
  </si>
  <si>
    <t>+19294219984</t>
  </si>
  <si>
    <t>Nixon</t>
  </si>
  <si>
    <t>Vergara</t>
  </si>
  <si>
    <t>nixonvergara888@gmail.com</t>
  </si>
  <si>
    <t>Hetal and Bryan had a meeting with Ariela Rothstein -- Ariela said should be better during school so moving him to 12:30 for IR 3 (HJ, 4/1/22)</t>
  </si>
  <si>
    <t>275 hulls street  Brooklyn 11233</t>
  </si>
  <si>
    <t>+19294829318</t>
  </si>
  <si>
    <t>Ninfa calderon</t>
  </si>
  <si>
    <t>ninfa.calderon@gmail.com</t>
  </si>
  <si>
    <t>+13215949712</t>
  </si>
  <si>
    <t>linares232344@gmail.com</t>
  </si>
  <si>
    <t>30-20thomsonave neryor, New York 10010 United States</t>
  </si>
  <si>
    <t>katerine</t>
  </si>
  <si>
    <t>kl4893697@gmil.com</t>
  </si>
  <si>
    <t>(718)775-2540</t>
  </si>
  <si>
    <t>Rafael</t>
  </si>
  <si>
    <t>rafaelv2791@nycstudents.net</t>
  </si>
  <si>
    <t>31-33 queens blv</t>
  </si>
  <si>
    <t>welsy vargas</t>
  </si>
  <si>
    <t>Alvarado</t>
  </si>
  <si>
    <t>inveri@nycstudents.net</t>
  </si>
  <si>
    <t>Additional email -  josue2008@gmail.com COURSE CHOICE IL REASONING porque me gusta trabajar mucho BUSINESS IDEA hacer una cosa de pizza SOCIAL PROBLEM ninguno</t>
  </si>
  <si>
    <t>326 bronx manthata, New York 1003 United States</t>
  </si>
  <si>
    <t>josuealvarado</t>
  </si>
  <si>
    <t>josue2008@gmail.com</t>
  </si>
  <si>
    <t>victor.cronus5@gmail.com</t>
  </si>
  <si>
    <t>33-53 82 st Queens, New York, 11357</t>
  </si>
  <si>
    <t>+19294253615</t>
  </si>
  <si>
    <t>Sofia Rivas</t>
  </si>
  <si>
    <t>ms.pooja.science@gmail.com</t>
  </si>
  <si>
    <t>+13473796840</t>
  </si>
  <si>
    <t>Victoria</t>
  </si>
  <si>
    <t>victoriar5194@nycstudents.net</t>
  </si>
  <si>
    <t>3300 webter ave new york, New York 10467 United States</t>
  </si>
  <si>
    <t>Victoriar5194@nycstudents.net</t>
  </si>
  <si>
    <t>Nicoll</t>
  </si>
  <si>
    <t>2024_nicollsuarez@ihs-us.org</t>
  </si>
  <si>
    <t>45-36 149th st</t>
  </si>
  <si>
    <t>+19144469170</t>
  </si>
  <si>
    <t>Martha</t>
  </si>
  <si>
    <t>yinetram@gmail.com</t>
  </si>
  <si>
    <t>Velez</t>
  </si>
  <si>
    <t>pablovelez303@gmail.com</t>
  </si>
  <si>
    <t>Additional Email -  2025_pablovelez@ihs-us.org</t>
  </si>
  <si>
    <t>18 29 summerfield st</t>
  </si>
  <si>
    <t>+15165237869</t>
  </si>
  <si>
    <t>monica velez</t>
  </si>
  <si>
    <t>mamercedescz@gmail.com</t>
  </si>
  <si>
    <t>Engaged Alum. Participated in S&amp;amp;S -- PQ  Cashed Awarded $25 check on Aug 18, 2023 Shooting Star - participated at the Summit Soiree 8/16 as speaker where she received her check for $25. -- PQ About -  The X Intern moved to the U.S. from Venezuela when she was 16 years old. She speaks English and Spanish. This is her first year and round in the program. The jobs that she listed that she is interested in are, ?actress, pediatric doctor, fashion designer, film director, dance, photographer.? Bio - Maria Castro: Maria moved to the U.S. from Venezuela when she was 16 years old. She is interested in the arts/creative field. Maria wrote about herself: ?positive person because every time I try to find the positive side of any occasion, creative person because I like to create new ideas and I have a good imagination, Self-confidence because i'm a person who is aware of their skills and knowledge.? She is still exploring her options for after high school. Maria, we matched you based on your interest in the arts/creative field.</t>
  </si>
  <si>
    <t>59 ralph ave Brookyn NY 11221</t>
  </si>
  <si>
    <t>Summit 2024, Summit/Soiree 2023</t>
  </si>
  <si>
    <t>anayamile04@hotmail.com</t>
  </si>
  <si>
    <t>+13475069704</t>
  </si>
  <si>
    <t>ad5420282@gmail.com</t>
  </si>
  <si>
    <t>32-32 86st queens New York</t>
  </si>
  <si>
    <t>+19293181364</t>
  </si>
  <si>
    <t>Vilma Narvaez</t>
  </si>
  <si>
    <t>npatricia332@gmail.com</t>
  </si>
  <si>
    <t>+13479350559</t>
  </si>
  <si>
    <t>willian</t>
  </si>
  <si>
    <t>villalobis</t>
  </si>
  <si>
    <t>williamv5328@nycstudents.net</t>
  </si>
  <si>
    <t>6 edgecombe ave manhattan, New York 10030 United States</t>
  </si>
  <si>
    <t>Mott Hall</t>
  </si>
  <si>
    <t>Eva Martinez</t>
  </si>
  <si>
    <t>emartinez72@schools.nyc.gov</t>
  </si>
  <si>
    <t>Yusra</t>
  </si>
  <si>
    <t>Sabeeh</t>
  </si>
  <si>
    <t>267-752-2489</t>
  </si>
  <si>
    <t>yosrawathe218@gmail.com</t>
  </si>
  <si>
    <t>267 752 2419</t>
  </si>
  <si>
    <t>Annelisse (Maribel)</t>
  </si>
  <si>
    <t>annelisseg3@nycstudents.net</t>
  </si>
  <si>
    <t>Additional email -  anyamogollon@gmail.co m</t>
  </si>
  <si>
    <t>6 Edgecombe Ave New York, New York 10027 United States</t>
  </si>
  <si>
    <t>dpierceg@schools.nyc.gov</t>
  </si>
  <si>
    <t>Cordero</t>
  </si>
  <si>
    <t>rafaelc3620@nycstudents.net</t>
  </si>
  <si>
    <t>6 Edgecombe Ave New York, New York 10030 United State</t>
  </si>
  <si>
    <t>Ehileem</t>
  </si>
  <si>
    <t>ehileems@nycstudents.net</t>
  </si>
  <si>
    <t>Personal email -  ehileemsanchez22@gmail.com COURSE CHOICE IL REASONING Para aprender. BUSINESS IDEA Dar trabajos a las personas. SOCIAL PROBLEM -La pobreza -Racismo -Falta de empleo</t>
  </si>
  <si>
    <t>reid pierce</t>
  </si>
  <si>
    <t>dpierce6@schoolls.nyc.gov</t>
  </si>
  <si>
    <t>rashani</t>
  </si>
  <si>
    <t>r.rodriguez@ihsph.org</t>
  </si>
  <si>
    <t>1317 dumont ave</t>
  </si>
  <si>
    <t>+19294344342</t>
  </si>
  <si>
    <t>rayini</t>
  </si>
  <si>
    <t>Belisario</t>
  </si>
  <si>
    <t>fannyb5@nycstudents.net</t>
  </si>
  <si>
    <t>Mr. Pierce</t>
  </si>
  <si>
    <t>Maestro</t>
  </si>
  <si>
    <t>dpierc6@schools.nyc.gov</t>
  </si>
  <si>
    <t>Keiverson</t>
  </si>
  <si>
    <t>Oliveros</t>
  </si>
  <si>
    <t>keiversono@nycstudents.net</t>
  </si>
  <si>
    <t>6 edgecombe ave new york, New York 10030 United States</t>
  </si>
  <si>
    <t>maestro</t>
  </si>
  <si>
    <t>emartinez72@nycstudents.net</t>
  </si>
  <si>
    <t>Ricardo Stiven</t>
  </si>
  <si>
    <t>Puluche Vega</t>
  </si>
  <si>
    <t>ricardostivenp@nycstudents.net</t>
  </si>
  <si>
    <t>Additional Email ricardopuluchevega@gmail.com</t>
  </si>
  <si>
    <t>371 7th Ave New York, New York 10001 United States</t>
  </si>
  <si>
    <t>The Middle Village School</t>
  </si>
  <si>
    <t>Laura Vega Artola</t>
  </si>
  <si>
    <t>lauravega_2009@hotmail.com</t>
  </si>
  <si>
    <t>Kelianny</t>
  </si>
  <si>
    <t>keliannyb@nycstudents.net</t>
  </si>
  <si>
    <t>REASONING para que conosieran mas de nosotros BUSINESS IDEA ninguno SOCIAL PROBLEM ninguno</t>
  </si>
  <si>
    <t>kevinm5402@nycstudents.net</t>
  </si>
  <si>
    <t>IL  REASONING para inspirarme a ser alguien mejor BUSINESS IDEA hacer ropa de marca linda SOCIAL PROBLEM las peleas</t>
  </si>
  <si>
    <t>Ronny</t>
  </si>
  <si>
    <t>Jeuff</t>
  </si>
  <si>
    <t>ronnyz4@nycstudents.net</t>
  </si>
  <si>
    <t>6 Edgecombe Ave NEW YORK, New York 10030 United States</t>
  </si>
  <si>
    <t>Kenry</t>
  </si>
  <si>
    <t>ka259030286@crotonaihs.org</t>
  </si>
  <si>
    <t>FY Alum of 2023 MIA for summer 23 and Summit &amp;amp; Soiree  Shooting Star FY 23 -- Invited to the Summit / Soiree by email; he was texted and sent follow up email by Ops Team and PC FG but we did not receive any reply. We requested information for mailing check with no response. Last try 8/15/23 Bio -  Kenry Aldana: Kenry was 17 years old when he moved from Venezuela to America. He is interested in health sciences / medicine. Kenry describes himself as responsible and persevering. He is still exploring his options for college. Kenry, we matched you based on your interest in health sciences / medicine. About - The X Intern was 17 years old when he moved from Venezuela to America. He speaks English and Spanish. This is his second year in the program. The jobs that he listed that he is interested in are, ?Software development, Biomedical engineering, Management consulting, Graphic design, Scientific investigation, Senior software developer, Strategic management consultant, Creative graphic designer. Principal scientific researcher.?</t>
  </si>
  <si>
    <t>65 east 193 street ,1b ,bronx NY 10468</t>
  </si>
  <si>
    <t>+19299309348</t>
  </si>
  <si>
    <t>jankey vallejo</t>
  </si>
  <si>
    <t>kenryaldana@gmail.com</t>
  </si>
  <si>
    <t>Johnkarl</t>
  </si>
  <si>
    <t>Royales</t>
  </si>
  <si>
    <t>2023_johnkarlroyales@ihs-us.org</t>
  </si>
  <si>
    <t>100-22 202 St Hollis Queens 11423</t>
  </si>
  <si>
    <t>+19178614640</t>
  </si>
  <si>
    <t>Antonina Royales</t>
  </si>
  <si>
    <t>valentinac257@nycstudents.net</t>
  </si>
  <si>
    <t>REASONING porque me gusta BUSINESS IDEA ayudar a dar charlas motivacionales SOCIAL PROBLEM probkemas social</t>
  </si>
  <si>
    <t>700 8 avenue nueva york, New York 10030 United States</t>
  </si>
  <si>
    <t>ticher</t>
  </si>
  <si>
    <t>dpierce6@Schools.nyc.gov</t>
  </si>
  <si>
    <t>Auyanet</t>
  </si>
  <si>
    <t>mathiasa7@nycstudents.net</t>
  </si>
  <si>
    <t>Additional Email: mattyaiyanet@gmail.com</t>
  </si>
  <si>
    <t>79-15 penelope ave Middle village, New York 11379 United States</t>
  </si>
  <si>
    <t>Mercedes Barrios</t>
  </si>
  <si>
    <t>mattyauyanet@gmail.com</t>
  </si>
  <si>
    <t>Claudelys</t>
  </si>
  <si>
    <t>cg260010632@crotonaihs.org</t>
  </si>
  <si>
    <t>About - The X Intern moved to America from Venezuela when she was 14 years old. She speaks Spanish and some English. This is her first year and round in the program. The fields that she is interested in include law, architecture, and health sciences / medicine.</t>
  </si>
  <si>
    <t>90-10 Ditmars blvd Elmhurst Apt 629 NY, New York 11369 United States</t>
  </si>
  <si>
    <t>929-229-8204</t>
  </si>
  <si>
    <t>Claudia Terán</t>
  </si>
  <si>
    <t>claudiateran65@gmail.com</t>
  </si>
  <si>
    <t>929229-8204</t>
  </si>
  <si>
    <t>Vietnam</t>
  </si>
  <si>
    <t>cjhon2021@flushinginternational.org</t>
  </si>
  <si>
    <t>4245 77th St. Elmhurst</t>
  </si>
  <si>
    <t>+17186121352</t>
  </si>
  <si>
    <t>Glendora Jao</t>
  </si>
  <si>
    <t>An</t>
  </si>
  <si>
    <t>an.nguyen@ellisprep.com</t>
  </si>
  <si>
    <t>2743 Creston Avenue Bronx, N.Y. 10468</t>
  </si>
  <si>
    <t>+13476973565</t>
  </si>
  <si>
    <t>Binh Nguyen</t>
  </si>
  <si>
    <t>2025_pablovelez@ihs-us.org</t>
  </si>
  <si>
    <t>51-13 101st ST</t>
  </si>
  <si>
    <t>+19298449066</t>
  </si>
  <si>
    <t>Monica Velez</t>
  </si>
  <si>
    <t>Juliana Claire</t>
  </si>
  <si>
    <t>Cahumnas</t>
  </si>
  <si>
    <t>julianaclairec@nycstudents.net</t>
  </si>
  <si>
    <t>Ariela emailed Bryan on 4/8 and said Juliana cannot continue because of a unique in-person internship opportunity so Hetal made inactive </t>
  </si>
  <si>
    <t>82 27 Dongan Ave. 3rd FL, Elmhurst NY 11373</t>
  </si>
  <si>
    <t>+19293889280</t>
  </si>
  <si>
    <t>Mary Claire Cahumnas</t>
  </si>
  <si>
    <t>pooja.p.bhaskar@gmail.com</t>
  </si>
  <si>
    <t>+13475364473</t>
  </si>
  <si>
    <t>267-241-8249</t>
  </si>
  <si>
    <t>8201977@philasd.org</t>
  </si>
  <si>
    <t>367-437-5428</t>
  </si>
  <si>
    <t>Nana</t>
  </si>
  <si>
    <t>Keita</t>
  </si>
  <si>
    <t>nana.keita@ellisprep.com</t>
  </si>
  <si>
    <t>email: nana.keita@ellisprep.com additional email: mamikeita047@gmail.com phone number: 3475029332 About Intern: The X Intern was 18 when she came to the US from Mali. She speaks English and French. The jobs she is interested in are, &amp;#34;Nursing , Business , Technology ( Maths) , health , Teacher.&amp;#34; This is her second round and first year in the program.</t>
  </si>
  <si>
    <t>809 East 222nd street, Bronx        10467</t>
  </si>
  <si>
    <t>Adama Doumbia</t>
  </si>
  <si>
    <t>Adadoumbia3@gmail.com</t>
  </si>
  <si>
    <t>Made Mewoli</t>
  </si>
  <si>
    <t>About Intern: The first Intern came from Cameron when she was 16. She speaks English and French. She is interested in being, &amp;#34; Diplomat , Pilot , Doctor.&amp;#34; This is this Intern's second round, so you would be their second Champion.</t>
  </si>
  <si>
    <t>2333 Davidson avenue  Apt 4s Bronx New York  NY 10468</t>
  </si>
  <si>
    <t>amougou_marie2006@yahoo.fr</t>
  </si>
  <si>
    <t>+13477400270</t>
  </si>
  <si>
    <t>Jandel</t>
  </si>
  <si>
    <t>jandelg6@nycstudents.net</t>
  </si>
  <si>
    <t>1219 Gilbert Pl Bronx, NY 10474</t>
  </si>
  <si>
    <t>+13479386070</t>
  </si>
  <si>
    <t>Erica Nadal</t>
  </si>
  <si>
    <t>Rasel</t>
  </si>
  <si>
    <t>Rasel shared with HJ he has dyslexia so he didn't start reading for his own enjoyment until just recently and he picked up his first book for his own reading just now and is enjoying reading. 11/1 PQ Updated Phone Number: (929) 330-5644? - KW 1/6/23 Old number: &amp;#43;13473185044 Updated date/time for AY 21-22 for Monday 3pm - PQ 9/27/21</t>
  </si>
  <si>
    <t>1349 Taylor Avenue, Bronx NY, 10472</t>
  </si>
  <si>
    <t>(929) 330-5644?</t>
  </si>
  <si>
    <t>Summit/Soiree 2023, ICAN, "#Cheers4Careers,"</t>
  </si>
  <si>
    <t>Lalita Begum</t>
  </si>
  <si>
    <t>+13477013463</t>
  </si>
  <si>
    <t>Julieth</t>
  </si>
  <si>
    <t>jvazquez@crotonaihs.org</t>
  </si>
  <si>
    <t>Had family health personal reasons and could no longer continue in IR2 20-21 -- did one session and didn't communicate this with us.</t>
  </si>
  <si>
    <t>1625 Fulton Av. apt CC Bronx NY 10457</t>
  </si>
  <si>
    <t xml:space="preserve">347 303 0073 </t>
  </si>
  <si>
    <t>Miled Rodriguez</t>
  </si>
  <si>
    <t>rodriguezmiled24@gmail.com</t>
  </si>
  <si>
    <t>Espinel</t>
  </si>
  <si>
    <t>santiagoe2019@flushinginternational.org</t>
  </si>
  <si>
    <t>Queens, NY, 11355, Flushing, 144-03 5c  barclay AV</t>
  </si>
  <si>
    <t>+13473196695</t>
  </si>
  <si>
    <t>jose espinel</t>
  </si>
  <si>
    <t>pepeespinel@hotmail.com</t>
  </si>
  <si>
    <t>+13479833981</t>
  </si>
  <si>
    <t>ma9243143@gmail.com</t>
  </si>
  <si>
    <t>96-08 Corona, NYC,11368</t>
  </si>
  <si>
    <t>+13475836147</t>
  </si>
  <si>
    <t>Mohamed Abdallah</t>
  </si>
  <si>
    <t>Pooja.p.bhaskar@gmail.com</t>
  </si>
  <si>
    <t>+13475835180</t>
  </si>
  <si>
    <t>Rakdh</t>
  </si>
  <si>
    <t>Alzukary</t>
  </si>
  <si>
    <t>rakdhalzukary515@gmail.com</t>
  </si>
  <si>
    <t>Alternate email:  ralzukary3377@chcprep.net</t>
  </si>
  <si>
    <t>133 Grant Avenue, Brooklyn, NY 11208</t>
  </si>
  <si>
    <t>Saleh Alzukary</t>
  </si>
  <si>
    <t>loveusa347@gmail.com</t>
  </si>
  <si>
    <t>+13479258921</t>
  </si>
  <si>
    <t>Asmaa</t>
  </si>
  <si>
    <t>Alkhadashi</t>
  </si>
  <si>
    <t>asmaamalkhadashi2021@gmail.com</t>
  </si>
  <si>
    <t>1/3/23 (Kendi)- Sophomore at Hunter College Residing in Manhattan NY --&amp;gt; Location changed from Bronx to New York, NY Updated email: AsmaamAlkhadashi2021@gmail.com updated from asmaa.alkhadashi@ellisprep.com Whatsapp -- phone number I signed up for counseling because it may help us in developing skills and developing cultures within society. Mentoring is important because of the knowledge and skills students can learn from mentors, and because mentoring provides professional socialization and personal support to facilitate success in graduate studies and beyond. It helps us improve public speaking skills. Good mentoring greatly enhances students' chances of success. We may benefit from advice and values ??from trainees or more experienced people. I also saw their advice that they express an understanding of students 'aspirations and concerns and support their successes by advocating for students' interests. I also heard from friends that they create and encourage friendships in the community. And they aim to develop their language and encourage them to be and have confidence in themselves. This is the reason that prompted me to register to acquire new cultures and skills. However, I am a person who is serious about education despite all the difficulties that I have gone through by moving until I complete my school education. (I resemble myself as a farmer. If I want to reap, I must sow) because through this experience, I may have multiple opportunities in my future.</t>
  </si>
  <si>
    <t>1840 Amethyset Street, Apt 2, 10462</t>
  </si>
  <si>
    <t>Mossleh Alkhadashi</t>
  </si>
  <si>
    <t>fatimaaalkhadashi@gmail.com</t>
  </si>
  <si>
    <t>Went to Hunter college but it's far from home so she transferred to lehman college and got accepted a few days ago. (March 2024)</t>
  </si>
  <si>
    <t>Bashayer</t>
  </si>
  <si>
    <t>bali@crotonaihs.org</t>
  </si>
  <si>
    <t>1911 Haight Ave</t>
  </si>
  <si>
    <t>+16465493037</t>
  </si>
  <si>
    <t>Saleh Ali</t>
  </si>
  <si>
    <t>Rasheed</t>
  </si>
  <si>
    <t>rasheed.abdulla@ellisprep.com</t>
  </si>
  <si>
    <t>Last outreach BC: 6/27 - VM Email: rasheed.abdulla@ellisprep.com phone number: 9292487092 About Intern:  The X Intern moved to the United States from Yemen. He speaks Arabic and English, but he is working on improving his English so he may need a bit more patience and time to translate. This is his first round and year in the program. The jobs he listed that he is interested in are, &amp;#34;Programming, Business, Game Maker, Construction engineer.&amp;#34;</t>
  </si>
  <si>
    <t>215 west 242nd bradway Apt 26, Bronx 10471</t>
  </si>
  <si>
    <t>Ali Saleh Abdulla</t>
  </si>
  <si>
    <t>Father (phone number is of uncle Ammar)</t>
  </si>
  <si>
    <t>Arwa</t>
  </si>
  <si>
    <t>Alhaj</t>
  </si>
  <si>
    <t>arwa.alhaj@ellisprep.com</t>
  </si>
  <si>
    <t>2187 Holland Ave 1f Bronx NY 10462</t>
  </si>
  <si>
    <t>Rafiq Alhaj</t>
  </si>
  <si>
    <t>gamilahmutlaq1234@gmail.com</t>
  </si>
  <si>
    <t>Akram</t>
  </si>
  <si>
    <t>Mehdi</t>
  </si>
  <si>
    <t>akrammehdi@claremontihs.org</t>
  </si>
  <si>
    <t>240 east 172nd st, Bronx NY 10453</t>
  </si>
  <si>
    <t>+19295133732</t>
  </si>
  <si>
    <t>smair mehdi</t>
  </si>
  <si>
    <t>Ibraheem</t>
  </si>
  <si>
    <t>ibraheema16@nycstudents.net</t>
  </si>
  <si>
    <t xml:space="preserve">256 pacific st Brooklyn, New York 11201 United States
</t>
  </si>
  <si>
    <t xml:space="preserve">(929)284-9448
</t>
  </si>
  <si>
    <t>Ibraheem Ahmed</t>
  </si>
  <si>
    <t>Ibraheema16@nycstudents.net</t>
  </si>
  <si>
    <t>(646)934-2833</t>
  </si>
  <si>
    <t>mehdi</t>
  </si>
  <si>
    <t>3156 Fulton St Brooklyn, NY 11208</t>
  </si>
  <si>
    <t>Samir Mehdi</t>
  </si>
  <si>
    <t>akram.smehdi2020@gmail.com</t>
  </si>
  <si>
    <t>+19295133738</t>
  </si>
  <si>
    <t>Raghd</t>
  </si>
  <si>
    <t>Salah</t>
  </si>
  <si>
    <t>raghd.salah@ichsbronx.org</t>
  </si>
  <si>
    <t>About Intern: The x Intern moved from Yemen to the United States when she was 10 years old. She speaks Arabic and English. This is her first year and first round in the program. The jobs that she listed that she is interested in are, &amp;#34;Voice actor, middle school teacher, or business.&amp;#34; Email -  raghd.salah@ichsbronx.org Additional Email -  jx.ttaehyung@gmail.com Phone # -  3477813339</t>
  </si>
  <si>
    <t>341 E. 146 st Apt 16 Bronx NY 10451 NY Bronx, New York 10451 United States</t>
  </si>
  <si>
    <t>Saba Salim</t>
  </si>
  <si>
    <t>Onthecars2@gmail.com</t>
  </si>
  <si>
    <t>Abdalmanaim</t>
  </si>
  <si>
    <t>10079751@philasd.org</t>
  </si>
  <si>
    <t>Provided this number on application but no longer in service:  215-298-1198 (1/6/2021, HJ) Updated with new number Abdalmanaim worked with Said Rustamov and Rajnarind Kaur IR 1 20-21 but calendar sessions are missing in Kintone but there in GCal. Hetal added the count of 7 manually to Abdalmanaim's total session count (HJ, 5/28/2021)</t>
  </si>
  <si>
    <t>4228 K Street, Philadelphia 19128</t>
  </si>
  <si>
    <t>Ryad Salah</t>
  </si>
  <si>
    <t>Musleh</t>
  </si>
  <si>
    <t>rana.musleh.24@wheels-student.org</t>
  </si>
  <si>
    <t>Pq - reached out for C4C - active and engaged Alum 10/16 Cashed Awarded $75 check on Aug 18, 2023 Rising Leader FY 23 - great Ambassador, constant communication by any mean used (email, whatsapp, text, call) she participated with her speech at the Summit - Soiree , received her monetary gift for $75 after the event in 8/16 -- pQ Rana Musleh:  Rana came from  Yemen  to America when she was 12. She is interested in a career in law or education. Rana describes herself as hard working, talkative, and creative. She is currently exploring her options for after high school.  Rana, we matched you based on your interest in education. About Intern: The x Intern came from Yemen to America when she was 12. She speaks English and Arabic. This is her first year and round in the program. The jobs that she listed that she is interested in are, &amp;#34;Lawyer or teacher.&amp;#34; Ambassador Reponses: 11 In 250 ? 500 words, describe three traits which make you a leader and a strong student. I am a hard-working student who finds meaning in what I learn. Doing my job well is especially significant to me when it comes to proving my abilities and potential. I am a respectful person; I show the same level of respect to those who respect me and don't discriminate against others based on their background, race, gender, language, or anything like that. I judge a person by their capabilities, dedication, work, and character. I am a friendly person. I'm fun to be around, but I don't like being in noisy crowded places. I can be gregarious in a way that makes people want to join in the conversation and share their thoughts and opinions with me. 12 In 100 ? 250 words, how can SPEAKHIRE help you you boost your own academic profile? SPEAKHIRE can help me boost my own academic profile by connecting me to professionals in the same field of interest as me. That will assist me in making connections, building experience, and learning more about the career I want. It will help me gain knowledge about different colleges that will fit my career pathway, gain skills, and network with others in the same career ecosystem as me. 13 In 100 ? 250 words, what opportunities do young people who are immigrant and first-generation American currently have to gain awareness of career opportunities? The opportunities that young people, who are immigrant and first-generation Americans currently need to gain awareness of career opportunities are career programs, like SPEAKHIRE and Work Based Learning and other programs related to career pathways, experience and developing a community of peers and professionals. 14 In 250 ? 500 words, why you would succeed as a SPEAKHIRE for your grade at your school. If you do not meet all the requirements, explain why we should consider you for the position. I will succeed as a SPEAKHIRE for my grade at my school because I have experience and skills I gained by joining programs and clubs that are available for me. Through these programs and clubs, I have developed leadership and community values which are respect, integrity, collaboration, and compassion. 15 List the classes you will be taking the upcoming school year and any other activities which will keep you occupied. Please explain to us how many hours a week you will dedicate towards SPEAKHIRE and what your schedule will look like. I will be taking the same activities I am taking this year if they will be available. The activities I am taking this year are: Work Based Learning, Art Club, Knitting Club, and Community Service. I don't know what classes I will be taking next year. My schedule for SPEAKHIRE will be every Thursday for 40 minutes a week. 16 Outline your main responsibilities as a SPEAKHIRE Ambassador: Communicate, respectful, helping, engaging with others and helping them to speak their minds, lead the group to run smoothly, and share.</t>
  </si>
  <si>
    <t>667 W 177th St, Ap 55, New York, NY 10033</t>
  </si>
  <si>
    <t xml:space="preserve">"I participated in the Foundation Year because I was told it would benefit me in learning more about careers I’m interested in and about colleges. The more people you learn from, the more knowledge you gain. The SPEAKHIRE team supported me by reminding me of important things, like rescheduling and new meetings with my champions. The champions I matched with cared about me, helped me grow by providing tips, internships, and information about colleges and majors. I felt safe and comfortable with them because they were kind, friendly, and supportive."
</t>
  </si>
  <si>
    <t>Hisham Musleh</t>
  </si>
  <si>
    <t>federalyemen2@yahoo.com</t>
  </si>
  <si>
    <t>+19293726918</t>
  </si>
  <si>
    <t>Dema</t>
  </si>
  <si>
    <t>Alhuraibi</t>
  </si>
  <si>
    <t>demaalhuraibi@gmail.com</t>
  </si>
  <si>
    <t>Updated Bio as of May 2020: Greetings, my name is Dema Alhuraibi, and I am a rising sophomore at Temple. I am currently undecided, but most likely going to major in Speech, Language, and Hearing Science. Ultimately, my career goal is to become a Speech Pathologist because, as someone with autism, I did not receive many resources growing up. I want to become a Speech Pathologist so that I can assist children with autism and deaf hard and hearing with speaking and communication. In addition, I made it on the Dean?s List, Fall of 2019. I have many hobbies, such as painting, photography, and volunteering within my community.</t>
  </si>
  <si>
    <t>215-206-0424</t>
  </si>
  <si>
    <t>amalalkhalifi11@gmail.com</t>
  </si>
  <si>
    <t>215-964-1306</t>
  </si>
  <si>
    <t>Jayden</t>
  </si>
  <si>
    <t>acefiregun839@gmail.com</t>
  </si>
  <si>
    <t>School Email: JAydenl152@nycstudents.net</t>
  </si>
  <si>
    <t>+13476340517</t>
  </si>
  <si>
    <t>Manuel lliguichuzhca</t>
  </si>
  <si>
    <t>Jesus</t>
  </si>
  <si>
    <t>jesusg163@nycstudents.net</t>
  </si>
  <si>
    <t>+19177093918</t>
  </si>
  <si>
    <t>Teogenes Bravo</t>
  </si>
  <si>
    <t>Nelly</t>
  </si>
  <si>
    <t>zumbanelly9@gmail.com</t>
  </si>
  <si>
    <t>School Email: nellyz8@nycstudents.net</t>
  </si>
  <si>
    <t>+13473610299</t>
  </si>
  <si>
    <t>Maria Espinoza</t>
  </si>
  <si>
    <t>Tyliek</t>
  </si>
  <si>
    <t>Ward</t>
  </si>
  <si>
    <t>tyliekw3@nycstudents.net</t>
  </si>
  <si>
    <t>+19292872928</t>
  </si>
  <si>
    <t>Willam Ward</t>
  </si>
  <si>
    <t>Mike</t>
  </si>
  <si>
    <t>Humala</t>
  </si>
  <si>
    <t>mikeh14@nycstudents.net</t>
  </si>
  <si>
    <t>*5040 Jacobus st elmurst ny 1378</t>
  </si>
  <si>
    <t>Zoila carchi</t>
  </si>
  <si>
    <t>natalief93@nycstudents.net</t>
  </si>
  <si>
    <t>100-03 39th avenue</t>
  </si>
  <si>
    <t>+13476653467</t>
  </si>
  <si>
    <t>Laura Martinez</t>
  </si>
  <si>
    <t>Soriano</t>
  </si>
  <si>
    <t>ashleys640@nycstudents.net</t>
  </si>
  <si>
    <t>100-14,37, Avenue</t>
  </si>
  <si>
    <t>+17182556051</t>
  </si>
  <si>
    <t>Maria Soriano</t>
  </si>
  <si>
    <t>mayra.garcia@casa311.com</t>
  </si>
  <si>
    <t>100-20 37th Ave, Corona, NY 11368</t>
  </si>
  <si>
    <t>+19294212733</t>
  </si>
  <si>
    <t>Huerta Reyes</t>
  </si>
  <si>
    <t>christianh309@nycstudents.net</t>
  </si>
  <si>
    <t>100-22, 35 Avenue, Corona, NY 11368</t>
  </si>
  <si>
    <t>+13478062316</t>
  </si>
  <si>
    <t>Lucila Reyes</t>
  </si>
  <si>
    <t>Gabrielle (Gabby)</t>
  </si>
  <si>
    <t>Newlandg</t>
  </si>
  <si>
    <t>gabriellen8497@nycstudents.net</t>
  </si>
  <si>
    <t>Additional Email - gabby2000@icloud.com</t>
  </si>
  <si>
    <t>100-47 203rd hollis, New York 11423 United States</t>
  </si>
  <si>
    <t>(516)943-1780</t>
  </si>
  <si>
    <t>Devon newland</t>
  </si>
  <si>
    <t>glassman09@yahoo.com</t>
  </si>
  <si>
    <t>(917)674-2401</t>
  </si>
  <si>
    <t>Alexza</t>
  </si>
  <si>
    <t>10098877@philasd.org</t>
  </si>
  <si>
    <t>After speaking with Alexza on 1/21/22, Hetal discontinued since she said he needed the period to work on other things. </t>
  </si>
  <si>
    <t>7330 algon avenue apartment d</t>
  </si>
  <si>
    <t>+12672538864</t>
  </si>
  <si>
    <t>Ashley Martinez</t>
  </si>
  <si>
    <t>Durzavur@gmail.com</t>
  </si>
  <si>
    <t>+12678720796</t>
  </si>
  <si>
    <t>emilyg284@nycstudents.net</t>
  </si>
  <si>
    <t>101 14 39ave</t>
  </si>
  <si>
    <t>+13472428917</t>
  </si>
  <si>
    <t>Martha Osorio Gustavo guzman</t>
  </si>
  <si>
    <t>Mondragón</t>
  </si>
  <si>
    <t>pamelam3438@nycstudents.net</t>
  </si>
  <si>
    <t>101-06 43Av Corona Queens N.Y</t>
  </si>
  <si>
    <t>+13473707127</t>
  </si>
  <si>
    <t>Alberta Salayes</t>
  </si>
  <si>
    <t>Nemesis</t>
  </si>
  <si>
    <t>Macias Rosales</t>
  </si>
  <si>
    <t>nemesism4@nycstudents.net</t>
  </si>
  <si>
    <t>101-22 39 avenue</t>
  </si>
  <si>
    <t>+19294056778</t>
  </si>
  <si>
    <t>Rosa Rosales</t>
  </si>
  <si>
    <t>faustov15@hotmail.com</t>
  </si>
  <si>
    <t>102-15 86 Av Richmond Hill 11418</t>
  </si>
  <si>
    <t>+19292788489</t>
  </si>
  <si>
    <t>Teresa Flores</t>
  </si>
  <si>
    <t>Aucancela</t>
  </si>
  <si>
    <t>ernestinasigue2009@gmail.com</t>
  </si>
  <si>
    <t>Attended Google: Code Next on Feb 21, 2024 - Has a Speakhire shirt Cashed Awarded $20 check on Sep 6, 2023 Shooting Star -- Participated at the Summit / Soiree 8/16 as speaker where she received her check for $20 - PQ Additional email - ernestinasigue2009@gmail.com</t>
  </si>
  <si>
    <t>103-25-35 ave Corona, NY</t>
  </si>
  <si>
    <t>+13474565257</t>
  </si>
  <si>
    <t xml:space="preserve">"I participated in this course to strengthen my leadership skills and get an understanding of what I will do in the future. Something I liked about this course was being able to talk and improve my socializing skills by doing many strategies to also use leadership in our lives. I learned how each company has a burnout prevention and a help center on their company website. Another thing I learned was how each company's burnout rate can really affect peoples thinking about a company. I also  learned how to communicate in a group and use everyone's thoughts and answers.. Our facilitator is kind and supporting and helped teach us new things about how jobs include leadership and new vocabulary words that go with it. I learned how to have humility and integrity and use it towards my group members and other people in the future."
</t>
  </si>
  <si>
    <t>Maria Narvaez</t>
  </si>
  <si>
    <t>Nieves</t>
  </si>
  <si>
    <t>marion35@nycstudents.net</t>
  </si>
  <si>
    <t>103rd queens</t>
  </si>
  <si>
    <t>+13478581081</t>
  </si>
  <si>
    <t>Zapatanga</t>
  </si>
  <si>
    <t>ashleylisettee@gmail.com</t>
  </si>
  <si>
    <t>104-09 northern Blvd corona ny 11368</t>
  </si>
  <si>
    <t>+16469323829</t>
  </si>
  <si>
    <t>Ana zagal</t>
  </si>
  <si>
    <t>Lutherson</t>
  </si>
  <si>
    <t>Lozandier</t>
  </si>
  <si>
    <t>luthersonl@nycstudents.net</t>
  </si>
  <si>
    <t>Hetal called on 7.7.23 to see if he was interested in Elltrepreneurs -- he said not really; didn't even want details.</t>
  </si>
  <si>
    <t>104-36 196st</t>
  </si>
  <si>
    <t>+13474470348</t>
  </si>
  <si>
    <t>Esther Thomas</t>
  </si>
  <si>
    <t>Vaquero</t>
  </si>
  <si>
    <t>acortes21@is125q.org</t>
  </si>
  <si>
    <t>Additional email aliciacortesvaquero@gmail.com</t>
  </si>
  <si>
    <t>1050 White plains rd Bronx, NY 10472</t>
  </si>
  <si>
    <t>+19176310580</t>
  </si>
  <si>
    <t>Lupita Vaquero</t>
  </si>
  <si>
    <t>nlantigua@crotonaihs.org</t>
  </si>
  <si>
    <t>3433 gates places</t>
  </si>
  <si>
    <t>+17184505518</t>
  </si>
  <si>
    <t>Ihomara lantigua</t>
  </si>
  <si>
    <t>ihomaramorales@liceocientifico.org</t>
  </si>
  <si>
    <t>+19292856137</t>
  </si>
  <si>
    <t>Arlen</t>
  </si>
  <si>
    <t>Ramos Vasquez</t>
  </si>
  <si>
    <t>arlenramos@crotonaihs.org</t>
  </si>
  <si>
    <t>2750 Morris avenue</t>
  </si>
  <si>
    <t>+17876623769</t>
  </si>
  <si>
    <t>ramon leonardo ramos vasquez</t>
  </si>
  <si>
    <t>Houseal</t>
  </si>
  <si>
    <t>jhouseal14@gmail.com</t>
  </si>
  <si>
    <t>10569 Flatlands 3 Street Brooklyn, New York 11236 United States</t>
  </si>
  <si>
    <t>(347)524-2474</t>
  </si>
  <si>
    <t>jmhouse003@gmail.com</t>
  </si>
  <si>
    <t>matiaserika841@gmail.com</t>
  </si>
  <si>
    <t>108 48-38av Queens NY 11368</t>
  </si>
  <si>
    <t>+13474000794</t>
  </si>
  <si>
    <t>Oralia Cardona</t>
  </si>
  <si>
    <t>cardonaoralia92@gmail.com</t>
  </si>
  <si>
    <t>+19292619088</t>
  </si>
  <si>
    <t>josec961@nycstudents.com</t>
  </si>
  <si>
    <t>developing Leader ($15) -- He emailed on 6/13 asking for his monetary gift. We replied and emailed several times but there was no response. We tried over phone left texts , vms, still no response. 8/23 pQ</t>
  </si>
  <si>
    <t>109-07 221st Queen?s Village New York, 11429</t>
  </si>
  <si>
    <t>+19294314653</t>
  </si>
  <si>
    <t>Abellah</t>
  </si>
  <si>
    <t>abellaha@nycstudents.net</t>
  </si>
  <si>
    <t>110-14 astoria blvd apartment 1B</t>
  </si>
  <si>
    <t>+19172844564</t>
  </si>
  <si>
    <t>Mialka Marte</t>
  </si>
  <si>
    <t>Aviana (Jezeniah)</t>
  </si>
  <si>
    <t>Crespo</t>
  </si>
  <si>
    <t>jezeniah0924@gmail.com</t>
  </si>
  <si>
    <t>Business Idea Our mission is to empower youth and communities affected by violence through access to education, essential resources, and safe environments, while driving change through poverty reduction efforts and advocacy for effective gun legislation. Social Problem Gun violence</t>
  </si>
  <si>
    <t>111 thatford ave Brooklyn, New York 11212 United States</t>
  </si>
  <si>
    <t>(646)740-1365</t>
  </si>
  <si>
    <t>James perry</t>
  </si>
  <si>
    <t>Kngjms84@gmail.com</t>
  </si>
  <si>
    <t>(718)877-4531</t>
  </si>
  <si>
    <t>kelly.gutierrez@casa311.com</t>
  </si>
  <si>
    <t>111-12 Corona Ave 11368</t>
  </si>
  <si>
    <t>+19179290987</t>
  </si>
  <si>
    <t>Noris Holguin</t>
  </si>
  <si>
    <t>kellyg78@nycstudents.net</t>
  </si>
  <si>
    <t>Current email is misspelled. Correct email: Kellyg78@nycstudents.net 1/7/23 (KW) </t>
  </si>
  <si>
    <t>111-12 corona ave 11368 Apt 2F</t>
  </si>
  <si>
    <t>+13477795443</t>
  </si>
  <si>
    <t>Malachi</t>
  </si>
  <si>
    <t>Cooke</t>
  </si>
  <si>
    <t>notiammalachi@gmail.com</t>
  </si>
  <si>
    <t>111-36 166st</t>
  </si>
  <si>
    <t>+17184147599</t>
  </si>
  <si>
    <t>Latoya Jones</t>
  </si>
  <si>
    <t>katerin</t>
  </si>
  <si>
    <t>1114 ward av bronx new york</t>
  </si>
  <si>
    <t>Maria vasquez</t>
  </si>
  <si>
    <t>Norell</t>
  </si>
  <si>
    <t>Pauling</t>
  </si>
  <si>
    <t>norellbiggs@icloud.com</t>
  </si>
  <si>
    <t>112-35 196th St</t>
  </si>
  <si>
    <t>Biggs</t>
  </si>
  <si>
    <t xml:space="preserve">Morgan State University </t>
  </si>
  <si>
    <t>Leslie</t>
  </si>
  <si>
    <t>lesliep91@nycstudents.net</t>
  </si>
  <si>
    <t>114-12 157 street queens</t>
  </si>
  <si>
    <t>+19297328451</t>
  </si>
  <si>
    <t>Patricia Osterwalder</t>
  </si>
  <si>
    <t>Isaiah</t>
  </si>
  <si>
    <t>greenisaiah10@gmail.com</t>
  </si>
  <si>
    <t>11422, Rosedale, New York</t>
  </si>
  <si>
    <t>+13479041520</t>
  </si>
  <si>
    <t xml:space="preserve">St. Johns University </t>
  </si>
  <si>
    <t>Leyli</t>
  </si>
  <si>
    <t>leylih2@nycstudents.net</t>
  </si>
  <si>
    <t>99-22 42 Ave Bsmt Corona NY 11368</t>
  </si>
  <si>
    <t>+19179355885</t>
  </si>
  <si>
    <t>Esperanza De Leon</t>
  </si>
  <si>
    <t>Leyli.</t>
  </si>
  <si>
    <t>Attended Google: Code Next on Feb 21, 2024 - Has a Speakhire shirt Engaged lum -- responsive, Cheers4Careers -- PQ  Cashed Awarded $125 check on Aug 22, 2023 Enlightened Leader &amp;#43; IL -- received check at summit / Soiree where she participated as presenter and with her CLOA . Received $125 -- 8/16 PQ 2023 Summer Inspiring Leadership Course Intern</t>
  </si>
  <si>
    <t>99-22 42 Ave Bsmt Corona</t>
  </si>
  <si>
    <t>+13474538142</t>
  </si>
  <si>
    <t>Shirlise</t>
  </si>
  <si>
    <t>shirlisey2789@nycstudents.net</t>
  </si>
  <si>
    <t>Additional Email - youngshirlise@gmaul.com</t>
  </si>
  <si>
    <t>115-40 205th Street New York, New York 11412 United States</t>
  </si>
  <si>
    <t>(347)882-5337</t>
  </si>
  <si>
    <t>miriam robinson</t>
  </si>
  <si>
    <t>mrobinson208@aol.com</t>
  </si>
  <si>
    <t>(646)675-5071</t>
  </si>
  <si>
    <t>Burrow</t>
  </si>
  <si>
    <t>carolynburrow521@gmail.com</t>
  </si>
  <si>
    <t>116 Norwood avenuer Staten Island, New York 10304 United States</t>
  </si>
  <si>
    <t>(347)988-1005</t>
  </si>
  <si>
    <t>Yvonne Brazzel</t>
  </si>
  <si>
    <t>brazzel37@gmail.com</t>
  </si>
  <si>
    <t>(347)898-0984</t>
  </si>
  <si>
    <t>Alisson</t>
  </si>
  <si>
    <t>About Intern: The x Intern came to the US from the Dominican Republic when she was 17 years old. She speaks Spanish and English.  This is her first year and round in the program.  The jobs that she said she was interested in are, &amp;#34;fire woman, and helicopter, recause swimming.&amp;#34; She also mentioned she was interested in the arts/creative field. Email: alisson.galay@ellisprep.com Phone number: 929-608-8913</t>
  </si>
  <si>
    <t>50 west gun hill rd\nA6 Bronx 10467</t>
  </si>
  <si>
    <t>929-608-8913</t>
  </si>
  <si>
    <t xml:space="preserve">audrey </t>
  </si>
  <si>
    <t>Madison</t>
  </si>
  <si>
    <t>Berjot</t>
  </si>
  <si>
    <t>madjoyous2004@gmail.com</t>
  </si>
  <si>
    <t>Madison signed up late -- by the 6th session and joined completely and was really engaged! (HJ, 6/1/2021)</t>
  </si>
  <si>
    <t>118-19 227st Cambria Heights, NY, 11411</t>
  </si>
  <si>
    <t>+17187496322</t>
  </si>
  <si>
    <t>Bernette Faulkner</t>
  </si>
  <si>
    <t xml:space="preserve">St Johns </t>
  </si>
  <si>
    <r>
      <rPr>
        <sz val="10.0"/>
      </rPr>
      <t xml:space="preserve">College Attended
</t>
    </r>
    <r>
      <rPr>
        <color rgb="FF1155CC"/>
        <sz val="10.0"/>
        <u/>
      </rPr>
      <t>Alumni Outreach</t>
    </r>
  </si>
  <si>
    <t>Jaiahna</t>
  </si>
  <si>
    <t>Gadsden</t>
  </si>
  <si>
    <t>jaiahnagadsden@gmail.com</t>
  </si>
  <si>
    <t>Alternate email:  jgadsden9135@chcprep.net</t>
  </si>
  <si>
    <t>118-21 189th street Saint Albans, NY 11412</t>
  </si>
  <si>
    <t>+19179420966</t>
  </si>
  <si>
    <t>Diahann Gadsden</t>
  </si>
  <si>
    <t>diahannfrancis@gmail.com</t>
  </si>
  <si>
    <t>+19179814060</t>
  </si>
  <si>
    <t>SUNY Plattspurth</t>
  </si>
  <si>
    <t>jessicam464@nycstudents.net</t>
  </si>
  <si>
    <t>1190 Shakespeare Avenue, Bronx, NY 10452</t>
  </si>
  <si>
    <t>+13478065816</t>
  </si>
  <si>
    <t>Magdalena Mendoza</t>
  </si>
  <si>
    <t>ruthterrero@claremontihs.org</t>
  </si>
  <si>
    <t>1665 Monroe ave Bronx NY</t>
  </si>
  <si>
    <t>+19292163067</t>
  </si>
  <si>
    <t>Elba bonilla</t>
  </si>
  <si>
    <t>Arielle</t>
  </si>
  <si>
    <t>Matapersad</t>
  </si>
  <si>
    <t>ariellem25@nycstudents.net</t>
  </si>
  <si>
    <t>120 10 Merrill Street</t>
  </si>
  <si>
    <t>+13476395904</t>
  </si>
  <si>
    <t>Mom- Lystra Matapersad</t>
  </si>
  <si>
    <t>Sevilla</t>
  </si>
  <si>
    <t>asjr.423@gmail.com</t>
  </si>
  <si>
    <t>Reasoning N/A Business Idea I want to create something that can help others overcome mental health problems Social Problem Mental Health.</t>
  </si>
  <si>
    <t>120 Benchley Pl Apt 16L Bronx, New York 10475 United States</t>
  </si>
  <si>
    <t>(917)721-8273</t>
  </si>
  <si>
    <t>Alberto Sevilla Jr.</t>
  </si>
  <si>
    <t>ASJr.423@gmail.com</t>
  </si>
  <si>
    <t>(646)296-6572</t>
  </si>
  <si>
    <t>Chris</t>
  </si>
  <si>
    <t>Lewis</t>
  </si>
  <si>
    <t>chris2121lewis@yahoo.com</t>
  </si>
  <si>
    <t>122-23 161pl</t>
  </si>
  <si>
    <t>+15164101283</t>
  </si>
  <si>
    <t>Kurt Lewis</t>
  </si>
  <si>
    <t>zoes137@nycstudents.net</t>
  </si>
  <si>
    <t>123 elmhurst, New York 111 United States</t>
  </si>
  <si>
    <t>Anita Salas</t>
  </si>
  <si>
    <t>example@gmail.com</t>
  </si>
  <si>
    <t>Cifuentes</t>
  </si>
  <si>
    <t>angelocifuentes07@gmail.com</t>
  </si>
  <si>
    <t>123 elmo street</t>
  </si>
  <si>
    <t>+19294877824</t>
  </si>
  <si>
    <t>ben over</t>
  </si>
  <si>
    <t>Germayoly</t>
  </si>
  <si>
    <t>German</t>
  </si>
  <si>
    <t>germayolyggg@gmail.com</t>
  </si>
  <si>
    <t>Developing Leader ($15) - she emailed asking for her monetary gift on 6/13 and again in 6/18. Emails were Fwdd to FG. She was replied in 6/20. BC emailed her on 6/26 asking for bank account info to which she replied on same day but didn't share info. After that we emailed her 6/26, 8/9, 8/14 asking for her bank account info with no response. We tried call, texts but no response either. PQ 8/23</t>
  </si>
  <si>
    <t>123 sesame street</t>
  </si>
  <si>
    <t>+12127812004</t>
  </si>
  <si>
    <t>Sabina</t>
  </si>
  <si>
    <t>Musayeva</t>
  </si>
  <si>
    <t>musaeyvasabina2003@gmail.com</t>
  </si>
  <si>
    <t>marked as inactive after IR1 because she said she had a busy schedule (HJ 1/25/22)</t>
  </si>
  <si>
    <t>9914 President St</t>
  </si>
  <si>
    <t>+12159393283</t>
  </si>
  <si>
    <t>Aziza Musayeva</t>
  </si>
  <si>
    <t>mspsabina2003@gmail.com</t>
  </si>
  <si>
    <t>+12159009780</t>
  </si>
  <si>
    <t>1230 teller Ave Bronx, Ny</t>
  </si>
  <si>
    <t>Julia Sanchez</t>
  </si>
  <si>
    <t>Hiciano</t>
  </si>
  <si>
    <t>aprilhiciano174@gmail.com</t>
  </si>
  <si>
    <t>551 w 174</t>
  </si>
  <si>
    <t>+16463775854</t>
  </si>
  <si>
    <t>Lynnett Hiciano</t>
  </si>
  <si>
    <t>bali@ms356covo.org</t>
  </si>
  <si>
    <t>130-47 176pl</t>
  </si>
  <si>
    <t>+15166023684</t>
  </si>
  <si>
    <t>Brian Ali</t>
  </si>
  <si>
    <t>justin.smith4748@gmail.com</t>
  </si>
  <si>
    <t>131-55-227st Springfield Gardens NY</t>
  </si>
  <si>
    <t>+16469916251</t>
  </si>
  <si>
    <t>Nickalia Baddal</t>
  </si>
  <si>
    <t>Tiannae</t>
  </si>
  <si>
    <t>amourvalentino11@gmail.com</t>
  </si>
  <si>
    <t>13733 160th St</t>
  </si>
  <si>
    <t>+17186698259</t>
  </si>
  <si>
    <t>Deanna Profitt</t>
  </si>
  <si>
    <t>Brailyn</t>
  </si>
  <si>
    <t>brailyn.ramirez.24@wheels-student.org</t>
  </si>
  <si>
    <t>i live in new york</t>
  </si>
  <si>
    <t>+16462515096</t>
  </si>
  <si>
    <t>nancy ramirez</t>
  </si>
  <si>
    <t>Darina</t>
  </si>
  <si>
    <t>Pugach</t>
  </si>
  <si>
    <t>215-789-5735</t>
  </si>
  <si>
    <t>dashanyanya@gmail.com</t>
  </si>
  <si>
    <t>267-205-1079</t>
  </si>
  <si>
    <t>yosselin</t>
  </si>
  <si>
    <t>solis</t>
  </si>
  <si>
    <t>ysantos@crotonaihs.org</t>
  </si>
  <si>
    <t>2095 Creston Avenue, A6, Bronx, NY, 10453</t>
  </si>
  <si>
    <t>+19172006209</t>
  </si>
  <si>
    <t>Maria Amaya</t>
  </si>
  <si>
    <t>Britney</t>
  </si>
  <si>
    <t>britney.peralta.24@wheels-student.org</t>
  </si>
  <si>
    <t>631 edgecombe ave</t>
  </si>
  <si>
    <t>+19178030711</t>
  </si>
  <si>
    <t>yajaira liranzo, and angel peralta</t>
  </si>
  <si>
    <t>adamfrancis413@gmail.com</t>
  </si>
  <si>
    <t>140-53 Coombs Street</t>
  </si>
  <si>
    <t>+19179353405</t>
  </si>
  <si>
    <t>Brian Francis</t>
  </si>
  <si>
    <t>Cheikhouna</t>
  </si>
  <si>
    <t>Keinde</t>
  </si>
  <si>
    <t>cheikhouna.keinde@ichsbronx.org</t>
  </si>
  <si>
    <t>7/28/23 Replaced by Sara Paez  About Intern: The X Intern moved from Senegal to the United States when he was 16 years old. He speaks English, French, and Wolof. This is his first year and round in the program. He is interested in the arts/creative, business, and journalism/media fields. Email -  cheikhouna.keinde@ichsbronx.org Phone # -  4433108423</t>
  </si>
  <si>
    <t>307w113st Harlem, New York NY,10026 United States</t>
  </si>
  <si>
    <t>Mame keinde</t>
  </si>
  <si>
    <t>diarrakeinde@gmail.com</t>
  </si>
  <si>
    <t>Mama</t>
  </si>
  <si>
    <t>Kouyate</t>
  </si>
  <si>
    <t>mama.kouyate@ellisprep.com</t>
  </si>
  <si>
    <t>1401 Jesup Avenue Apt 3f Bronx N.Y. 10452</t>
  </si>
  <si>
    <t xml:space="preserve">Asante kouyate </t>
  </si>
  <si>
    <t>assitankouyate212@gmail.com</t>
  </si>
  <si>
    <t>Jhmiere</t>
  </si>
  <si>
    <t>jhmierejackson@gmail.com</t>
  </si>
  <si>
    <t>1412 North 80th Drive Phoenix, Arizona 85043 United State</t>
  </si>
  <si>
    <t>(602)802-9388</t>
  </si>
  <si>
    <t>Bernice Jackson-miller</t>
  </si>
  <si>
    <t>Bernice.jackson30@gmail.com</t>
  </si>
  <si>
    <t>(646)640-4355</t>
  </si>
  <si>
    <t>Wilmary</t>
  </si>
  <si>
    <t>2025_wilmaryramirez@ihs-us.org</t>
  </si>
  <si>
    <t>Additional Email -  wilmaryramirezgonzalez@gmail.com IL Responses REASONING I chose to be in the internship to have more experience in a career. BUSINESS IDEA My way to solve this problem is to create a live chat so that everyone can learn these methods and have a better life. SOCIAL PROBLEM Work on solving economic issues so that they learn to know how to manage their income.</t>
  </si>
  <si>
    <t>143-18 Archer Ave Apt217 Queens, New York 11435 United States</t>
  </si>
  <si>
    <t>(917)496-8727</t>
  </si>
  <si>
    <t>Sandy Gonzalez</t>
  </si>
  <si>
    <t>wilmaryramirezgonzalez@gmail.com</t>
  </si>
  <si>
    <t>(646)236-7664</t>
  </si>
  <si>
    <t>Nabeel</t>
  </si>
  <si>
    <t>adam</t>
  </si>
  <si>
    <t>7317024@philasd.org</t>
  </si>
  <si>
    <t>9270 jamson st</t>
  </si>
  <si>
    <t>+12674237193</t>
  </si>
  <si>
    <t>Tahani Osman</t>
  </si>
  <si>
    <t>idk@gmail.com</t>
  </si>
  <si>
    <t>+12673122114</t>
  </si>
  <si>
    <t>Nowell</t>
  </si>
  <si>
    <t>Sue-Kam-Ling</t>
  </si>
  <si>
    <t>nowells@nycstudents.net</t>
  </si>
  <si>
    <t>Additional email - shynckplaysr@gmail.com</t>
  </si>
  <si>
    <t>144 07 254st Rosedale, New York 11422 United States</t>
  </si>
  <si>
    <t>(516)808-7320</t>
  </si>
  <si>
    <t>Nina Hunt Sue-Kam-Ling</t>
  </si>
  <si>
    <t>nhuntskl@gmail.com</t>
  </si>
  <si>
    <t>(347)512-2098</t>
  </si>
  <si>
    <t>Helena</t>
  </si>
  <si>
    <t>Bedward</t>
  </si>
  <si>
    <t>phone numbers: &amp;#43;16469404395 email: HelenaBedward4@gmail.com</t>
  </si>
  <si>
    <t>144- 18 167st</t>
  </si>
  <si>
    <t>keash brown earl bedward</t>
  </si>
  <si>
    <t>Chih Jou (Jacklin)</t>
  </si>
  <si>
    <t>SU</t>
  </si>
  <si>
    <t>Taiwan</t>
  </si>
  <si>
    <t>c.su2020@flushinginternational.org</t>
  </si>
  <si>
    <t>She is very help and can be active in class sometimes.</t>
  </si>
  <si>
    <t>149-65 Hawthorne Ave Flushing NY 11355</t>
  </si>
  <si>
    <t>+19292246649</t>
  </si>
  <si>
    <t>Yulan Ou</t>
  </si>
  <si>
    <t>Terrence</t>
  </si>
  <si>
    <t>powerisdifferent@gmail.com</t>
  </si>
  <si>
    <t>Reasoning N/A Business Idea Use socail media to bring people together to support the help in solving this issue Social Problem gun violence and pollution</t>
  </si>
  <si>
    <t>146 arnold st staten island, New York 10301 United States</t>
  </si>
  <si>
    <t>(347)605-2982</t>
  </si>
  <si>
    <t>janiece smith</t>
  </si>
  <si>
    <t>jec_7@yahoo.com</t>
  </si>
  <si>
    <t>(646)206-7328</t>
  </si>
  <si>
    <t>mariamasey@claremontihs.org</t>
  </si>
  <si>
    <t>1365 Sheridan Ave, New York NY 10456</t>
  </si>
  <si>
    <t>+16466576299</t>
  </si>
  <si>
    <t>Musa sey</t>
  </si>
  <si>
    <t>toure.drame@ellisprep.com</t>
  </si>
  <si>
    <t>School said Toure Drame had personal issues and was unable to continue with sessions. Marking inactive. SB 1/30/23 About Intern: The x Intern came from Gambia when she was 17 years old. She speaks English. This is her first year and round in the program. The jobs she listed that she is interested in are, &amp;#34;Lab Tech, Doctor , Radiology.&amp;#34;</t>
  </si>
  <si>
    <t>780 concourse village west apt.5A new york , bronx</t>
  </si>
  <si>
    <t>+19296774332</t>
  </si>
  <si>
    <t>Fatou Drammeh</t>
  </si>
  <si>
    <t>ftdrammeh@yahoo.com</t>
  </si>
  <si>
    <t>+19175572914</t>
  </si>
  <si>
    <t>Alanthoney</t>
  </si>
  <si>
    <t>Walters</t>
  </si>
  <si>
    <t>alanthoneywalters@gmail.com</t>
  </si>
  <si>
    <t>147-87 Brookville Blvd</t>
  </si>
  <si>
    <t>+17325151003</t>
  </si>
  <si>
    <t>Ramaona brown</t>
  </si>
  <si>
    <t>Nahmya</t>
  </si>
  <si>
    <t>Bejot</t>
  </si>
  <si>
    <t>bejotnahmya367@gmail.com</t>
  </si>
  <si>
    <t>Goes by Maya</t>
  </si>
  <si>
    <t>149-75 255th rosedale new york</t>
  </si>
  <si>
    <t>+13476065538</t>
  </si>
  <si>
    <t>Anneesha Williams</t>
  </si>
  <si>
    <t>Aminata</t>
  </si>
  <si>
    <t>1491 Macombs road Apt 2B Bronx, NY 10452</t>
  </si>
  <si>
    <t>The thing I like to share, in this program for now I know how to professional and also how to present myself and give good advice.</t>
  </si>
  <si>
    <t>Fatoumata kebe</t>
  </si>
  <si>
    <t>Jaymin</t>
  </si>
  <si>
    <t>jayminortega11@icloud.com</t>
  </si>
  <si>
    <t>206 audubon</t>
  </si>
  <si>
    <t>+16469246430</t>
  </si>
  <si>
    <t>mindy cosme</t>
  </si>
  <si>
    <t>mouhamedbarry@claremontihs.org</t>
  </si>
  <si>
    <t>1511 Sheridan Ave The Bronx, NY 10457</t>
  </si>
  <si>
    <t>+19292405627</t>
  </si>
  <si>
    <t>mxmxdv224@gmail.com</t>
  </si>
  <si>
    <t>+19292165097</t>
  </si>
  <si>
    <t>jayson.liz.24@wheels-student.org</t>
  </si>
  <si>
    <t>552 W 174at</t>
  </si>
  <si>
    <t>+15512429887</t>
  </si>
  <si>
    <t>Yakaira Acosta</t>
  </si>
  <si>
    <t>Mbarak</t>
  </si>
  <si>
    <t>Tchedre</t>
  </si>
  <si>
    <t>mbarak.tchedre@ichsbronx.org</t>
  </si>
  <si>
    <t>675 E 140th St, 3cc</t>
  </si>
  <si>
    <t>+19293321773</t>
  </si>
  <si>
    <t>Abdoulganiou Tchedre</t>
  </si>
  <si>
    <t>Jhennel</t>
  </si>
  <si>
    <t>Bailey</t>
  </si>
  <si>
    <t>jhennelbailey@gmail.com</t>
  </si>
  <si>
    <t>158-19-137 Ave Jamaica NY 11434</t>
  </si>
  <si>
    <t>+19174557204</t>
  </si>
  <si>
    <t>Hyacinth Bailey</t>
  </si>
  <si>
    <t>Webbail65@gmail.com</t>
  </si>
  <si>
    <t>+13472603830</t>
  </si>
  <si>
    <t>Tyler</t>
  </si>
  <si>
    <t>Brown</t>
  </si>
  <si>
    <t>tsbrown0101@gmail.com</t>
  </si>
  <si>
    <t>1603 Givan Ave</t>
  </si>
  <si>
    <t>+19143383752</t>
  </si>
  <si>
    <t>Ithalyn Brown</t>
  </si>
  <si>
    <t>Anari</t>
  </si>
  <si>
    <t>anariroberts2@gmail.com</t>
  </si>
  <si>
    <t>163-26 122nd ave</t>
  </si>
  <si>
    <t>+13475488571</t>
  </si>
  <si>
    <t>Camesha Blake</t>
  </si>
  <si>
    <t>Jesline</t>
  </si>
  <si>
    <t>Placencia</t>
  </si>
  <si>
    <t>jesline.placencia.24@wheels-student.org</t>
  </si>
  <si>
    <t>540w 180th street</t>
  </si>
  <si>
    <t>+13477129449</t>
  </si>
  <si>
    <t>Noelia Fernández</t>
  </si>
  <si>
    <t>Maradiatou</t>
  </si>
  <si>
    <t>Kassim</t>
  </si>
  <si>
    <t>maradiatou.kassim@ellisprep.com</t>
  </si>
  <si>
    <t>Email: maradiatou.kassim@ellisprep.com Additional email: kassimmardiya9@gmail.com Phone Number: 929 446 8739</t>
  </si>
  <si>
    <t>2016 marmion avenue Bronx, NY 10460</t>
  </si>
  <si>
    <t>929 446 8739</t>
  </si>
  <si>
    <t xml:space="preserve">Rabiou Kassim </t>
  </si>
  <si>
    <t>rabioukassim10@gmail.com</t>
  </si>
  <si>
    <t>347 691 0568</t>
  </si>
  <si>
    <t>Jessiel</t>
  </si>
  <si>
    <t>Jaquez</t>
  </si>
  <si>
    <t>jessieljaquez1020@gmail.com</t>
  </si>
  <si>
    <t>408 Audubon Ave Apt 54</t>
  </si>
  <si>
    <t>+16463392362</t>
  </si>
  <si>
    <t>Amalia Ortega</t>
  </si>
  <si>
    <t>trinity</t>
  </si>
  <si>
    <t>yined</t>
  </si>
  <si>
    <t>trinitymartinez0509@gmail.com</t>
  </si>
  <si>
    <t>1631 Fulton ave</t>
  </si>
  <si>
    <t>+19292287130</t>
  </si>
  <si>
    <t>Maria Martinez</t>
  </si>
  <si>
    <t>Aide</t>
  </si>
  <si>
    <t>Estudillo</t>
  </si>
  <si>
    <t>aideestudillo84@gmail.com</t>
  </si>
  <si>
    <t>164-24 82nd Road</t>
  </si>
  <si>
    <t>+19175003172</t>
  </si>
  <si>
    <t>Concord High School NY</t>
  </si>
  <si>
    <t>Cristina Flores</t>
  </si>
  <si>
    <t>Paula.</t>
  </si>
  <si>
    <t>299 Saint Nicholas av</t>
  </si>
  <si>
    <t>Alva Chacón</t>
  </si>
  <si>
    <t>Jlynn</t>
  </si>
  <si>
    <t>jlynn.ortiz.24@wheels-student.org</t>
  </si>
  <si>
    <t>120 vermilyea ave 10034</t>
  </si>
  <si>
    <t>+19176670761</t>
  </si>
  <si>
    <t>helena</t>
  </si>
  <si>
    <t>Attended IR1 22-23 then marked inactive About Intern: The X Intern's family is from Jamaica and Trinidad &amp;amp; Tobago, but she was born in America. She speaks English. This her first year and round in the program. The jobs that she listed that she is interested in are, &amp;#34;software engineer, Data scientist, front end engineer, full stack engineer, Backend engineer ,cyber security and SQA engineer.&amp;#34;</t>
  </si>
  <si>
    <t>144-18-167st Jamaica  11434 New York</t>
  </si>
  <si>
    <t>Kesha brown and Earl Bedward</t>
  </si>
  <si>
    <t>kesfortu@aol.com</t>
  </si>
  <si>
    <t>+13473393843</t>
  </si>
  <si>
    <t>Jocelyn</t>
  </si>
  <si>
    <t>jocelynm3723@nycstudents.net</t>
  </si>
  <si>
    <t>1645 Summerfield Street Ridgewood, NY 11385</t>
  </si>
  <si>
    <t>+13479655285</t>
  </si>
  <si>
    <t>Raquel Galeno</t>
  </si>
  <si>
    <t>Corey</t>
  </si>
  <si>
    <t>Lumpkin</t>
  </si>
  <si>
    <t>cjmoneybagz@gmail.com</t>
  </si>
  <si>
    <t>165-07 119ave</t>
  </si>
  <si>
    <t>+17183097786</t>
  </si>
  <si>
    <t>Belinda</t>
  </si>
  <si>
    <t>Barnaby</t>
  </si>
  <si>
    <t>christianb441@nycstudents.net</t>
  </si>
  <si>
    <t>168-18 144th terrace</t>
  </si>
  <si>
    <t>+19294981421</t>
  </si>
  <si>
    <t>Marjorie</t>
  </si>
  <si>
    <t>Kamyl</t>
  </si>
  <si>
    <t>kamyl.batista.24@wheels-student.org</t>
  </si>
  <si>
    <t>531 west 145th street New York NY</t>
  </si>
  <si>
    <t>+13479959685</t>
  </si>
  <si>
    <t>anamaria batista</t>
  </si>
  <si>
    <t>Jabari</t>
  </si>
  <si>
    <t>Peters-Hyman</t>
  </si>
  <si>
    <t>jabarip6@nycstudents.net</t>
  </si>
  <si>
    <t>168-44 1227th ave</t>
  </si>
  <si>
    <t>+16469612486</t>
  </si>
  <si>
    <t>Rosemary Taylor</t>
  </si>
  <si>
    <t>Dennis</t>
  </si>
  <si>
    <t>duhcharmaine@gmail.com</t>
  </si>
  <si>
    <t>21204 99th Avenue Queens Village NY 11429</t>
  </si>
  <si>
    <t>+19292324942</t>
  </si>
  <si>
    <t>Iana Dennis</t>
  </si>
  <si>
    <t>+19293866429</t>
  </si>
  <si>
    <t>Owen</t>
  </si>
  <si>
    <t>Supliguicha</t>
  </si>
  <si>
    <t>osupliguicha101@icloud.com</t>
  </si>
  <si>
    <t>17-04 Woodbine St, Queens, NY 11385, 3r</t>
  </si>
  <si>
    <t>+13472317563</t>
  </si>
  <si>
    <t>Luz Criollo</t>
  </si>
  <si>
    <t>Elijah</t>
  </si>
  <si>
    <t>Maduro</t>
  </si>
  <si>
    <t>williamafton807@yahoo.com</t>
  </si>
  <si>
    <t>170-40 130th Ave Jamaica NY, 11434</t>
  </si>
  <si>
    <t>+13475519885</t>
  </si>
  <si>
    <t>Naomi Philistin</t>
  </si>
  <si>
    <t>Shyla</t>
  </si>
  <si>
    <t>shylaw3@nycstudents.net</t>
  </si>
  <si>
    <t>1714 madison st apt 2L</t>
  </si>
  <si>
    <t>+19293929804</t>
  </si>
  <si>
    <t>Tashmier Kennedy</t>
  </si>
  <si>
    <t>Sanjay</t>
  </si>
  <si>
    <t>Abraham</t>
  </si>
  <si>
    <t>saramma20081@gmail.com</t>
  </si>
  <si>
    <t>1717 Starr Street Ridgewood NY 11385</t>
  </si>
  <si>
    <t>+17186501696</t>
  </si>
  <si>
    <t>Saramma Abraham (mother), Abraham K. Daniel (father)</t>
  </si>
  <si>
    <t>Leah</t>
  </si>
  <si>
    <t>Bowers</t>
  </si>
  <si>
    <t>leahbowers2014@gmail.com</t>
  </si>
  <si>
    <t>172-20 133rd Ave</t>
  </si>
  <si>
    <t>+19295030298</t>
  </si>
  <si>
    <t>Leonie Bowers</t>
  </si>
  <si>
    <t>Serma</t>
  </si>
  <si>
    <t>Basha</t>
  </si>
  <si>
    <t>Turkey</t>
  </si>
  <si>
    <t>215-578-0121</t>
  </si>
  <si>
    <t>bashruzhdi@gmail.com</t>
  </si>
  <si>
    <t>215-934-9850</t>
  </si>
  <si>
    <t>dlupe480@gmail.com</t>
  </si>
  <si>
    <t>1726 Madison St Ridgewood, NY 11385</t>
  </si>
  <si>
    <t>+13473991730</t>
  </si>
  <si>
    <t>Guadalupe Perez</t>
  </si>
  <si>
    <t>Yeodan</t>
  </si>
  <si>
    <t>yeodan175@gmail.com</t>
  </si>
  <si>
    <t>1775 clay ave bronx, Ny 10457</t>
  </si>
  <si>
    <t>+19294974921</t>
  </si>
  <si>
    <t>Yetsenia Silfa</t>
  </si>
  <si>
    <t>Jachero</t>
  </si>
  <si>
    <t>paulina.jachero.24@wheels-student.org</t>
  </si>
  <si>
    <t>505 west 187 st apt 5</t>
  </si>
  <si>
    <t>+19293752908</t>
  </si>
  <si>
    <t>Martha Caizaguano</t>
  </si>
  <si>
    <t>Zaniyah</t>
  </si>
  <si>
    <t>Danzine</t>
  </si>
  <si>
    <t>danzinezaniyah@gmail.com</t>
  </si>
  <si>
    <t>178-65 crandall avenue</t>
  </si>
  <si>
    <t>+17185988914</t>
  </si>
  <si>
    <t>Antonia and Louis</t>
  </si>
  <si>
    <t>Ingrid</t>
  </si>
  <si>
    <t>Medina Jackson</t>
  </si>
  <si>
    <t>im7778424@gmail.com</t>
  </si>
  <si>
    <t>School email: imedinajackson7127@bxslf.org</t>
  </si>
  <si>
    <t>1780 davidson avenue</t>
  </si>
  <si>
    <t>+17187304892</t>
  </si>
  <si>
    <t>(BSLF) Bronx School of Law and Finance NY</t>
  </si>
  <si>
    <t>carmen jackson</t>
  </si>
  <si>
    <t>Giancarlos</t>
  </si>
  <si>
    <t>Castillo-Bujosa</t>
  </si>
  <si>
    <t>giancast25@charter.newvisions.org</t>
  </si>
  <si>
    <t>1785 popham avenue</t>
  </si>
  <si>
    <t>+16462402857</t>
  </si>
  <si>
    <t>New Visions Charter High School for the Humanities NY</t>
  </si>
  <si>
    <t>Emna Bujosa</t>
  </si>
  <si>
    <t>Katie</t>
  </si>
  <si>
    <t>katiec62@nycstudents.net</t>
  </si>
  <si>
    <t>1812 Woodbine Street Ridgewood, NY 11385</t>
  </si>
  <si>
    <t>+19176791910</t>
  </si>
  <si>
    <t>Ramon Caba</t>
  </si>
  <si>
    <t>Maldonado</t>
  </si>
  <si>
    <t>mimimattsam97@gmail.com</t>
  </si>
  <si>
    <t>1819 Cornelia St. Apt 3r Ridgewood, NY 11385</t>
  </si>
  <si>
    <t>+19293694552</t>
  </si>
  <si>
    <t>Lillian Rodriguez</t>
  </si>
  <si>
    <t>Jahiem</t>
  </si>
  <si>
    <t>McNeil</t>
  </si>
  <si>
    <t>jahiemmcneil@gmail.com</t>
  </si>
  <si>
    <t>182 Targee St Staten Island, New York 10304 United States</t>
  </si>
  <si>
    <t>(571)456-6646</t>
  </si>
  <si>
    <t>Lisa M.</t>
  </si>
  <si>
    <t>(646)706-9674</t>
  </si>
  <si>
    <t>Jaiden</t>
  </si>
  <si>
    <t>Dash</t>
  </si>
  <si>
    <t>jaidend44@nycstudents.net</t>
  </si>
  <si>
    <t>184-14 hilburn ave new york, New York 11414 United States</t>
  </si>
  <si>
    <t>Kira</t>
  </si>
  <si>
    <t>Jaiden112@gmail.com</t>
  </si>
  <si>
    <t>(833)792-4417</t>
  </si>
  <si>
    <t>Ameer</t>
  </si>
  <si>
    <t>Shahid</t>
  </si>
  <si>
    <t>ameershahid1412@gmail.com</t>
  </si>
  <si>
    <t>184-28 s conduit</t>
  </si>
  <si>
    <t>+13475744843</t>
  </si>
  <si>
    <t>leelawattie singh</t>
  </si>
  <si>
    <t>briannaritaramos2007@gmail.com</t>
  </si>
  <si>
    <t>1857 Tomlinson Ave Bronx, New York 10461 United States</t>
  </si>
  <si>
    <t>(917)783-1419</t>
  </si>
  <si>
    <t>Julia Santos</t>
  </si>
  <si>
    <t>Jsantos2225@aol.com</t>
  </si>
  <si>
    <t>(917)656-2762</t>
  </si>
  <si>
    <t>Jaxson</t>
  </si>
  <si>
    <t>Maisonave-herrera</t>
  </si>
  <si>
    <t>jaxsonm15@nycstudents.net</t>
  </si>
  <si>
    <t>1873 Madison street queens, New York 11385 United States</t>
  </si>
  <si>
    <t>516-369-1835</t>
  </si>
  <si>
    <t>mikel</t>
  </si>
  <si>
    <t>347707-8376</t>
  </si>
  <si>
    <t>siolimar-shadow alba</t>
  </si>
  <si>
    <t>alba</t>
  </si>
  <si>
    <t>shadowbarbie41@gmail.com</t>
  </si>
  <si>
    <t>34 hillside avenue</t>
  </si>
  <si>
    <t>+19174239315</t>
  </si>
  <si>
    <t>elizabeth alba</t>
  </si>
  <si>
    <t>nylam27@nycstudents.net</t>
  </si>
  <si>
    <t>191 31 109th rd Jamaica, New York 11412 United States</t>
  </si>
  <si>
    <t>(347)597-1170</t>
  </si>
  <si>
    <t>Natalia Dupiton</t>
  </si>
  <si>
    <t>natdpro@msn.com</t>
  </si>
  <si>
    <t>(347)500-8745</t>
  </si>
  <si>
    <t>Merceron</t>
  </si>
  <si>
    <t>danielmerceron13@gmail.com</t>
  </si>
  <si>
    <t>197 01 hollis 11421</t>
  </si>
  <si>
    <t>+13473360641</t>
  </si>
  <si>
    <t>merceron</t>
  </si>
  <si>
    <t>Angela (Angie)</t>
  </si>
  <si>
    <t>Baylan</t>
  </si>
  <si>
    <t>angelab70@nycstudenrs.net</t>
  </si>
  <si>
    <t>Additional Email - angelabaylan96@gmail.com</t>
  </si>
  <si>
    <t>198-26 Jamaica Ave Hollis New York Queens, New York 11423 United States</t>
  </si>
  <si>
    <t>(929)679-1018</t>
  </si>
  <si>
    <t>Ruby Ann Herrero</t>
  </si>
  <si>
    <t>anneherrero2126@yahoo.com</t>
  </si>
  <si>
    <t>(516)637-7357</t>
  </si>
  <si>
    <t>Yamilette</t>
  </si>
  <si>
    <t>Rodriguez Franjul</t>
  </si>
  <si>
    <t>yrodriguez@crotonaihs.org</t>
  </si>
  <si>
    <t>Yamilette applied for CC position for Crotona on 10.27.23 and provided updated 347 phone number -- HJ updated from this old phone number ( &amp;#43;16469532594) Bio - Yamilette Rodriguez Franjul: Yamilette moved from the Dominican Republic to the United States. She is interested in health sciences / medicine. Yamilette describes herself as charismatic, friendly, and funny. She is interested in Yale for college. Yamilette, we matched you based on your interest in health sciences / medicine. About - The X Intern moved from the Dominican Republic to the United States. She speaks English and Spanish. This is her first year and round in the program. The jobs that she listed that she is interested in are, ?doctora, Pediatric. writer, detective and lawyer.?</t>
  </si>
  <si>
    <t>2017valentine avenue 2F Bronx NY 10458</t>
  </si>
  <si>
    <t>Nathalie de los Santo</t>
  </si>
  <si>
    <t>Nathaliesantos567@gmail.com</t>
  </si>
  <si>
    <t>+17188019348</t>
  </si>
  <si>
    <t>Vitaliy</t>
  </si>
  <si>
    <t>Kuz</t>
  </si>
  <si>
    <t>ninja37745@gmail.com</t>
  </si>
  <si>
    <t>After speaking with Vitaliy on 1/21/22, Hetal discontinued since he said he needed the period to work on other things. </t>
  </si>
  <si>
    <t>11603 depue ave Philadelphia pa 19116</t>
  </si>
  <si>
    <t>+12672427745</t>
  </si>
  <si>
    <t>Nadiia Kuz</t>
  </si>
  <si>
    <t>kuznadiia73@gmail.com</t>
  </si>
  <si>
    <t>+12158245099</t>
  </si>
  <si>
    <t>Camiah</t>
  </si>
  <si>
    <t>Small</t>
  </si>
  <si>
    <t>camiahsmall11@gmail.com</t>
  </si>
  <si>
    <t>Reasoning N/A Business Idea I want to buy out the app to go to go. The app helps reduce resturant waste and food waste by discounting costs at certain moments. I want it to be as popular as uber eats/ Social Problem A social issue I want to solve is food insecurity and limiting food deserts.</t>
  </si>
  <si>
    <t>2045 Rockaway Parkway Brooklyn, New York 11236 United States</t>
  </si>
  <si>
    <t>(347)637-9553</t>
  </si>
  <si>
    <t>Robin Small</t>
  </si>
  <si>
    <t>robinsmall902@gmail.com</t>
  </si>
  <si>
    <t>(347)898-9045</t>
  </si>
  <si>
    <t>Samara (Mooka)</t>
  </si>
  <si>
    <t>Smalls</t>
  </si>
  <si>
    <t>samanthasmalls@yahoo.com</t>
  </si>
  <si>
    <t>Reasoning N/A Business Idea Education Social Problem Homelessness</t>
  </si>
  <si>
    <t>2045 Rockaway Pkwy Brooklyn, New York 11236 United States</t>
  </si>
  <si>
    <t>(929)217-1537</t>
  </si>
  <si>
    <t>Samantha smalls</t>
  </si>
  <si>
    <t>Samanthasmalls@yahoo.com</t>
  </si>
  <si>
    <t>Marziyaoy</t>
  </si>
  <si>
    <t>Norkulova</t>
  </si>
  <si>
    <t>8089365@philasd.org</t>
  </si>
  <si>
    <t>10900 bustleton ave apt c21 philadelphia pa 19116</t>
  </si>
  <si>
    <t>Madina Khojaeva</t>
  </si>
  <si>
    <t>madinakhojaeva79@gmail.com</t>
  </si>
  <si>
    <t>+12672695048</t>
  </si>
  <si>
    <t>Jayde</t>
  </si>
  <si>
    <t>Smoak</t>
  </si>
  <si>
    <t>jasmoak706@gmail.com</t>
  </si>
  <si>
    <t>I was born in the United States. i am interested in cosmetology. I would describe myself as hardworking, thoughtful and smart. i?m not sure about college yet About: The first Intern wrote this about herself, &amp;#34;I was born in the United States. i am interested in cosmetology. I would describe myself as hardworking, thoughtful and smart. i?m not sure about college yet.&amp;#34; She speaks English. This is her first year and third round in the program. Other jobs she is interested in are, &amp;#34;Peadiatric Nurse and Culinary Arts.&amp;#34;</t>
  </si>
  <si>
    <t>218-06 137th ave Springfield Gardens, NY 11413</t>
  </si>
  <si>
    <t>+13475438340</t>
  </si>
  <si>
    <t>Naquana Stone</t>
  </si>
  <si>
    <t>naquanaholman@gmail.com</t>
  </si>
  <si>
    <t>Yoanni</t>
  </si>
  <si>
    <t>Baez</t>
  </si>
  <si>
    <t>yoanni.baez.24@wheels-student.org</t>
  </si>
  <si>
    <t>718 west 171 street</t>
  </si>
  <si>
    <t>+16467276298</t>
  </si>
  <si>
    <t>Elsa pickering</t>
  </si>
  <si>
    <t>Jody-Ann</t>
  </si>
  <si>
    <t>Dillon</t>
  </si>
  <si>
    <t>jodyannd2@nycstudents.net</t>
  </si>
  <si>
    <t>218-35 112th Avenue Queens village, New York 11429 United States</t>
  </si>
  <si>
    <t>(347)608-1774</t>
  </si>
  <si>
    <t>Jermaine Dillon</t>
  </si>
  <si>
    <t>Dillon.jermaine@yahoo.com</t>
  </si>
  <si>
    <t>(347)861-3065</t>
  </si>
  <si>
    <t>Salma</t>
  </si>
  <si>
    <t>Ramirez Tlapa</t>
  </si>
  <si>
    <t>salmaixchel16@gmail.com</t>
  </si>
  <si>
    <t>25-24 Hoyt Ave. South, Astoria, NY, 11102</t>
  </si>
  <si>
    <t>+13478076352</t>
  </si>
  <si>
    <t>Paula Tlapa</t>
  </si>
  <si>
    <t>Danialdo</t>
  </si>
  <si>
    <t>danialdol@nycstudents.net</t>
  </si>
  <si>
    <t>22-17 greene ave Queens, NY 11385</t>
  </si>
  <si>
    <t>+13479983045</t>
  </si>
  <si>
    <t>Keily Luna</t>
  </si>
  <si>
    <t>erodriguez@ms356covo.org</t>
  </si>
  <si>
    <t>220-03-133rd avenue</t>
  </si>
  <si>
    <t>+13474267297</t>
  </si>
  <si>
    <t>Rosayna perez</t>
  </si>
  <si>
    <t>Nalah</t>
  </si>
  <si>
    <t>Vera</t>
  </si>
  <si>
    <t>nalahv@nycstudents.net</t>
  </si>
  <si>
    <t>Additional Email - nsvmouse@gmail.com</t>
  </si>
  <si>
    <t>222-34 93rd Ave New york, New York 11428 United States</t>
  </si>
  <si>
    <t>(646)280-6661</t>
  </si>
  <si>
    <t>Zulma Vera</t>
  </si>
  <si>
    <t>zvee009@gmail.com</t>
  </si>
  <si>
    <t>(646)683-2913</t>
  </si>
  <si>
    <t>Zayden</t>
  </si>
  <si>
    <t>Parker</t>
  </si>
  <si>
    <t>zaydenp@nycstudents.net</t>
  </si>
  <si>
    <t>226-16th 147th</t>
  </si>
  <si>
    <t>+19347991516</t>
  </si>
  <si>
    <t>Claude Parker , Christina Fearon</t>
  </si>
  <si>
    <t>Nathaniel</t>
  </si>
  <si>
    <t>Seatts</t>
  </si>
  <si>
    <t>nathaniels157@nycstudents.net</t>
  </si>
  <si>
    <t>227-04 147 Ave Laurelton, New York</t>
  </si>
  <si>
    <t>+19179226153</t>
  </si>
  <si>
    <t>Paula Powell</t>
  </si>
  <si>
    <t>Demelee</t>
  </si>
  <si>
    <t>demelee596@gmail.com</t>
  </si>
  <si>
    <t>Reasoning N/A Business Idea We are making shelter communities Social Problem Homelessness</t>
  </si>
  <si>
    <t>23 spirit lane staten island, New York 10303 United States</t>
  </si>
  <si>
    <t>(929)426-4206</t>
  </si>
  <si>
    <t>Ariela Cruz</t>
  </si>
  <si>
    <t>ariela.cruz@yahoo.com</t>
  </si>
  <si>
    <t>(347)243-5435</t>
  </si>
  <si>
    <t>Aiden</t>
  </si>
  <si>
    <t>Louisy</t>
  </si>
  <si>
    <t>aidenlouisy@gmail.com</t>
  </si>
  <si>
    <t>230th pl 139th ave 11393</t>
  </si>
  <si>
    <t>+16464749358</t>
  </si>
  <si>
    <t>Amaris Louisy</t>
  </si>
  <si>
    <t>Saunders</t>
  </si>
  <si>
    <t>laurens123@nycstudents.net</t>
  </si>
  <si>
    <t>Additional Email - shorthairlar@gmail.com</t>
  </si>
  <si>
    <t>233-09 133 ave Rosedale, New York 11422 United States</t>
  </si>
  <si>
    <t>(516)738-8340</t>
  </si>
  <si>
    <t>Boubacar</t>
  </si>
  <si>
    <t>2024_boubacardiallo@ihs-us.org</t>
  </si>
  <si>
    <t>2445 frederick Douglass Blvd, Apt 31C</t>
  </si>
  <si>
    <t>+19178912214</t>
  </si>
  <si>
    <t>Mamadou Diallo</t>
  </si>
  <si>
    <t>Hasly</t>
  </si>
  <si>
    <t>Cortes</t>
  </si>
  <si>
    <t>hasly.cortes@ichsbronx.org</t>
  </si>
  <si>
    <t>2449 Cambreleng Ave, Bronx, NY, 10458</t>
  </si>
  <si>
    <t>+19294084701</t>
  </si>
  <si>
    <t>Reyna Cruz</t>
  </si>
  <si>
    <t>reynacruzeche11@gmail.com</t>
  </si>
  <si>
    <t>+13476389030</t>
  </si>
  <si>
    <t>Solis</t>
  </si>
  <si>
    <t>csolis2025@gmail.com</t>
  </si>
  <si>
    <t>Phone #: &amp;#43;13474586519 Email: csolis2025@gmail.com Emergency Contact - Katherin Solis 7184555292</t>
  </si>
  <si>
    <t>249 Stanhope Street</t>
  </si>
  <si>
    <t>+13474586519</t>
  </si>
  <si>
    <t>Brooklyn Technical High School NY</t>
  </si>
  <si>
    <t>Martha Guaman</t>
  </si>
  <si>
    <t>marthylgc@gmail.com</t>
  </si>
  <si>
    <t>646-966-2470</t>
  </si>
  <si>
    <t>Dilnoza</t>
  </si>
  <si>
    <t>Hakberdieva</t>
  </si>
  <si>
    <t>8716043@philasd.org</t>
  </si>
  <si>
    <t>Hetal marked inactive on 2/18/22 after she failed to show up for IR2 first sessions  HJ updated her email to her school email since her personal was bouncing back (hakberdievadilnoza26@gmail.com) 1/5/22</t>
  </si>
  <si>
    <t>11055 Bustleton ave Philadelphia PA19116</t>
  </si>
  <si>
    <t>+12679636680</t>
  </si>
  <si>
    <t>Dilorom Djuraeva</t>
  </si>
  <si>
    <t>+12677730594</t>
  </si>
  <si>
    <t>Zahira</t>
  </si>
  <si>
    <t>Wardlaw</t>
  </si>
  <si>
    <t>zahirawardlaw@gmail.com</t>
  </si>
  <si>
    <t>Reasoning N/A Business Idea Education Social Problem Education problem</t>
  </si>
  <si>
    <t>250 Lott ave Brooklyn, New York 11212 United States</t>
  </si>
  <si>
    <t>(929)668-9152</t>
  </si>
  <si>
    <t>Tyease clark</t>
  </si>
  <si>
    <t>Tyeaseclark@gmail.com</t>
  </si>
  <si>
    <t>(347)353-7118</t>
  </si>
  <si>
    <t>Devin</t>
  </si>
  <si>
    <t>Rhodie</t>
  </si>
  <si>
    <t>devinrhodie@gmail.com</t>
  </si>
  <si>
    <t>253-20-147Drive Rosedale 11422</t>
  </si>
  <si>
    <t>+15164020127</t>
  </si>
  <si>
    <t>Tanya Rhodie</t>
  </si>
  <si>
    <t>trhodie@yahoo.com</t>
  </si>
  <si>
    <t>+16469125974</t>
  </si>
  <si>
    <t xml:space="preserve">Rochesters Instite of technology </t>
  </si>
  <si>
    <t>Erik</t>
  </si>
  <si>
    <t>Esparza</t>
  </si>
  <si>
    <t>Student phone number:  &amp;#43;18178349520 Student email:  veodith88@gmail.com</t>
  </si>
  <si>
    <t>2554 NE Interstate Loop 410 Apt. 2302</t>
  </si>
  <si>
    <t>Esparza and Diaz</t>
  </si>
  <si>
    <t>Mahliyo</t>
  </si>
  <si>
    <t>Kilichkulova</t>
  </si>
  <si>
    <t>9015997@philasd.org</t>
  </si>
  <si>
    <t>Hetal made inactive after she failed to show up for IR2 sessions and had poor attendance for IR1 (2/18/22) Provided link to google docs for commitment form, but access is not shared</t>
  </si>
  <si>
    <t>11606 depue Ave philadelphia pa 19116</t>
  </si>
  <si>
    <t>+12679840134</t>
  </si>
  <si>
    <t>Dilshoda Rustamova</t>
  </si>
  <si>
    <t>mkilichkulova@gmail.org</t>
  </si>
  <si>
    <t>+12673942445</t>
  </si>
  <si>
    <t>Abdurakhim</t>
  </si>
  <si>
    <t>Yunusov</t>
  </si>
  <si>
    <t>yunusov.abdurakhim@emmalazarus.org</t>
  </si>
  <si>
    <t>1200 Gravesend Neck Road Brooklyn 11229 NY APT 3D</t>
  </si>
  <si>
    <t>Mukharrama Crespi</t>
  </si>
  <si>
    <t>abdurahim_sheyx@mail.ru</t>
  </si>
  <si>
    <t>Zarshed</t>
  </si>
  <si>
    <t>Narziloev</t>
  </si>
  <si>
    <t>8230776@philasd.org</t>
  </si>
  <si>
    <t>14026 Faraday St</t>
  </si>
  <si>
    <t>+12157798759</t>
  </si>
  <si>
    <t>Izzatilo ubaydov</t>
  </si>
  <si>
    <t>pishak8484@gmail.com</t>
  </si>
  <si>
    <t>Hailey</t>
  </si>
  <si>
    <t>haileyscollegepicks@gmail.com</t>
  </si>
  <si>
    <t>Additional Email - Hailey.lopez4807@gmail.com Reasoning N/A Business Idea My business idea is to start a youth innovation hub?a community space where young people can explore technology, arts, and entrepreneurship through hands-on workshops, mentorship, and real projects. The hub would offer: Skill-building programs in areas like coding, digital media, business planning, and financial literacy. Mentorship from professionals in various fields, helping youth build networks and discover career paths. Startup support for youth-led businesses or creative projects, including small grants and help with pitching ideas. A safe, inspiring environment where young people feel seen, heard, and valued. The goal is to help youth turn their passions into opportunities, breaking cycles of disconnection and giving them tools to thrive. Social Problem A social problem I want to solve is youth disconnection from education and opportunity, especially in underserved communities. Too many young people face barriers like underfunded schools, lack of mentorship, and limited access to career pathways. This leads to cycles of poverty, crime, and unemployment. I want to help build programs that give youth real-world skills, guidance, and the support they need to believe in themselves and succeed?whether through education, entrepreneurship, or creative expression. Empowering young people can change entire communities for the better.</t>
  </si>
  <si>
    <t>2556 Fish Ave Bronx, New York 10469 United States</t>
  </si>
  <si>
    <t>(929)557-1506</t>
  </si>
  <si>
    <t>Krystal vega</t>
  </si>
  <si>
    <t>Hxilzo953@gmail.com</t>
  </si>
  <si>
    <t>vg2299627@gmail.com</t>
  </si>
  <si>
    <t>272 E Gun hill Rd</t>
  </si>
  <si>
    <t>+19148399278</t>
  </si>
  <si>
    <t>Felícita De la Luz</t>
  </si>
  <si>
    <t>Aniya</t>
  </si>
  <si>
    <t>aniyamaldonado0@gmail.com</t>
  </si>
  <si>
    <t>2755 Dewey Av apt 5E Bronx, New York 10465 United States</t>
  </si>
  <si>
    <t>(929)223-0645</t>
  </si>
  <si>
    <t>Christen</t>
  </si>
  <si>
    <t>Cfelicano2775@gmail.com</t>
  </si>
  <si>
    <t>(347)213-3975</t>
  </si>
  <si>
    <t>Darlene</t>
  </si>
  <si>
    <t>Degante</t>
  </si>
  <si>
    <t>darlened18@nycstudents.net</t>
  </si>
  <si>
    <t>Cira Moreno</t>
  </si>
  <si>
    <t>Layedra</t>
  </si>
  <si>
    <t>jakeericlay@gmail.com</t>
  </si>
  <si>
    <t>+19294289551</t>
  </si>
  <si>
    <t>Jason Layedra</t>
  </si>
  <si>
    <t>Giri</t>
  </si>
  <si>
    <t>jaydeng316@nycstudent.net</t>
  </si>
  <si>
    <t>Nobal Donathan Giri</t>
  </si>
  <si>
    <t>maryamk46@nycstudents.net</t>
  </si>
  <si>
    <t>+17186854215</t>
  </si>
  <si>
    <t>Maryam Khan</t>
  </si>
  <si>
    <t>Natanael</t>
  </si>
  <si>
    <t>gomez</t>
  </si>
  <si>
    <t>natanaelg4@nycstudents.net</t>
  </si>
  <si>
    <t>stephanie gomez</t>
  </si>
  <si>
    <t>Valerie</t>
  </si>
  <si>
    <t>Juca</t>
  </si>
  <si>
    <t>valeriej20@nycstudents.net</t>
  </si>
  <si>
    <t>Jaqueline Garcia</t>
  </si>
  <si>
    <t>Shahzodabonu</t>
  </si>
  <si>
    <t>Davronova</t>
  </si>
  <si>
    <t>davronova.shahzodabonu@emmalazarus.org</t>
  </si>
  <si>
    <t>Interested in Art/Creative, parents want her to do Health Sciences / Medicine Julia Kaminsky sent the message that that student goes by the nickname 'Bonu' and that her english is very strong. hetal changed from 'not comfortable' to 'very comfortable' 12/1/21</t>
  </si>
  <si>
    <t>1719 Voorhies Ave, Brooklyn, NY 11235</t>
  </si>
  <si>
    <t>+13479228544</t>
  </si>
  <si>
    <t>Shirin Rustamova</t>
  </si>
  <si>
    <t>rshirin080@gmail.com</t>
  </si>
  <si>
    <t>+13474255030</t>
  </si>
  <si>
    <t>Xavier</t>
  </si>
  <si>
    <t>xaviertyler11@gmail.com</t>
  </si>
  <si>
    <t>Reasoning N/A Business Idea I would like to start a venture that has to do with getting underprivlleged workers from numerous jobs throughout the community together in order to orgnaize better oppurtunites on a mass scale with the company owners and operators Social Problem I would like to solve the problem of underprivileged and underpayed workers.</t>
  </si>
  <si>
    <t>301 Sutter Ave Brooklyn, New York 11212 United States</t>
  </si>
  <si>
    <t>(717)995-5706</t>
  </si>
  <si>
    <t>Priscilla Greenaway</t>
  </si>
  <si>
    <t>Xandzmom1108@gmail.com</t>
  </si>
  <si>
    <t>(917)442-0179</t>
  </si>
  <si>
    <t>Rukhshona</t>
  </si>
  <si>
    <t>Sharofova</t>
  </si>
  <si>
    <t>rukshona27@gmail.com</t>
  </si>
  <si>
    <t>Provided link to google docs for commitment form, but access is not shared School Email: 9079410@philasd.org</t>
  </si>
  <si>
    <t>Philadelphia PA 19115 1015 surrey rd</t>
  </si>
  <si>
    <t>+12675960250</t>
  </si>
  <si>
    <t>Zamira Valikhodjaeva</t>
  </si>
  <si>
    <t>zamiravalixodjaeva@gmail.com</t>
  </si>
  <si>
    <t>+12673041479</t>
  </si>
  <si>
    <t>Karolay</t>
  </si>
  <si>
    <t>Esis Finel</t>
  </si>
  <si>
    <t>karolesis916@gmail.com</t>
  </si>
  <si>
    <t>Archer Blvd</t>
  </si>
  <si>
    <t>+16318724271</t>
  </si>
  <si>
    <t>Giddys Esis</t>
  </si>
  <si>
    <t>f.bello@ihpsh.org</t>
  </si>
  <si>
    <t>1480 Saint Lawrence</t>
  </si>
  <si>
    <t>+13476121757</t>
  </si>
  <si>
    <t>Azalia Perez</t>
  </si>
  <si>
    <t>Deisymar</t>
  </si>
  <si>
    <t>dm258354901@crotonaihs.org</t>
  </si>
  <si>
    <t>Email:  desiymarmartinez663@gmail.com</t>
  </si>
  <si>
    <t>2346 prospect avenue, the bronx, NY NY, New York 10458 United States</t>
  </si>
  <si>
    <t>Genesis perez</t>
  </si>
  <si>
    <t>deisymarmartinez663@gmail.com</t>
  </si>
  <si>
    <t>Adriel Tavarez</t>
  </si>
  <si>
    <t>adrielt@crotonaihs.org</t>
  </si>
  <si>
    <t>3050 perry avenue apartamento 2 A  10467</t>
  </si>
  <si>
    <t>Yamilka</t>
  </si>
  <si>
    <t>Herazo</t>
  </si>
  <si>
    <t>ch258780287@crotonaihs.org</t>
  </si>
  <si>
    <t>About - The X Intern was 14 years old when she moved to America from Venezuela. She speaks English and Spanish. This is her first year and round in the program. The jobs that she listed that she is interested in are, ?criminology, psychology, sociology, criminal lawyer, police.?</t>
  </si>
  <si>
    <t>4410 baychester</t>
  </si>
  <si>
    <t>Carmen Romero</t>
  </si>
  <si>
    <t>claudiaherazo90@gmail.com</t>
  </si>
  <si>
    <t>+13479046770</t>
  </si>
  <si>
    <t>Shabiha</t>
  </si>
  <si>
    <t>shabiha.rahman@ellisprep.com</t>
  </si>
  <si>
    <t>Mentee Saima Akter's younger sister</t>
  </si>
  <si>
    <t>3186 Rochambeau Avenue Apt 4F Bronx Ny 10467</t>
  </si>
  <si>
    <t>718-300-6801</t>
  </si>
  <si>
    <t>Saima Akter</t>
  </si>
  <si>
    <t>Adriana</t>
  </si>
  <si>
    <t>adrianaf30@nycstudents.net</t>
  </si>
  <si>
    <t>32-42 107th st</t>
  </si>
  <si>
    <t>+19082670555</t>
  </si>
  <si>
    <t>My dads name is Henry Flores.</t>
  </si>
  <si>
    <t>Gaetty</t>
  </si>
  <si>
    <t>gaettym@nycstudents.net</t>
  </si>
  <si>
    <t>325 E 176th St Bronx, NY 10457</t>
  </si>
  <si>
    <t>+13479816851</t>
  </si>
  <si>
    <t>Yovany Alan</t>
  </si>
  <si>
    <t>david804@nycstudents.net</t>
  </si>
  <si>
    <t>[BC 6/27] - spk w. David for S&amp;amp;S but comm. stopped -- PQ</t>
  </si>
  <si>
    <t>33 36 108 Corona queens</t>
  </si>
  <si>
    <t>+13473932883</t>
  </si>
  <si>
    <t>Carmela Guadalupe (Mom). Guellermo Mendez (Dad)</t>
  </si>
  <si>
    <t>Uvegeni</t>
  </si>
  <si>
    <t>jackfg04162008@gmail.com</t>
  </si>
  <si>
    <t>33 38 109th street 1r corona, New York 11368</t>
  </si>
  <si>
    <t>+13478673440</t>
  </si>
  <si>
    <t>Sonia Gacia</t>
  </si>
  <si>
    <t>vanessam231@nycstudents.net</t>
  </si>
  <si>
    <t>33-12-112 st</t>
  </si>
  <si>
    <t>+19296228153</t>
  </si>
  <si>
    <t>Reveriano Martinez</t>
  </si>
  <si>
    <t>luisr729@nycstudents.net</t>
  </si>
  <si>
    <t>34-09 106 St 3FL Corona New York  11368</t>
  </si>
  <si>
    <t>+13479684666</t>
  </si>
  <si>
    <t>Juana Chavez   Jose Luis Rivera</t>
  </si>
  <si>
    <t>Beltran</t>
  </si>
  <si>
    <t>christopherb6128@nycstudents.net</t>
  </si>
  <si>
    <t>34-46 107th Street, Corona NY 11368</t>
  </si>
  <si>
    <t>+13476666223</t>
  </si>
  <si>
    <t>Guadalupe Jimenez &amp; Luis Alberto Beltran</t>
  </si>
  <si>
    <t>brandona474@nycstudents.net</t>
  </si>
  <si>
    <t>34-48-106st</t>
  </si>
  <si>
    <t>+19177532015</t>
  </si>
  <si>
    <t>Edgar Leonardo Alvarez , Diana Quinde</t>
  </si>
  <si>
    <t>Isabella</t>
  </si>
  <si>
    <t>isabellar71708@gmail.com</t>
  </si>
  <si>
    <t>Reasoning N/A Business Idea My business idea is to make healthcare more diverse and accessible to those who can&amp;#39;t afford thousands of dollars for healthcare. Social Problem A social problem that impacts my community is a lack of healthcare.</t>
  </si>
  <si>
    <t>3476784161 Ridgewood, New York 11385 United States</t>
  </si>
  <si>
    <t>(347)678-4161</t>
  </si>
  <si>
    <t>Cecilia Chalen</t>
  </si>
  <si>
    <t>mschalen1726@gmail.com</t>
  </si>
  <si>
    <t>(718)825-7626</t>
  </si>
  <si>
    <t>mayrad5@nycstudents.net</t>
  </si>
  <si>
    <t>Not engaged- [BC 6/27] - VM  for S&amp;amp;S -- PQ </t>
  </si>
  <si>
    <t>35 18 101 St 2 fl. Corona NY    11368</t>
  </si>
  <si>
    <t>+13472991849</t>
  </si>
  <si>
    <t>Marcela Gomez.</t>
  </si>
  <si>
    <t>Huerta</t>
  </si>
  <si>
    <t>christopherh425@nycstudents.net</t>
  </si>
  <si>
    <t>35-37 99 ST</t>
  </si>
  <si>
    <t>+17185943061</t>
  </si>
  <si>
    <t>Zonia rocano</t>
  </si>
  <si>
    <t>Cartagena</t>
  </si>
  <si>
    <t>acartag21@is125q.org</t>
  </si>
  <si>
    <t>35-47 64st apt 1C Woodside NY 11377</t>
  </si>
  <si>
    <t>+18454612161</t>
  </si>
  <si>
    <t>Johanna gaguancela</t>
  </si>
  <si>
    <t>Oliullah</t>
  </si>
  <si>
    <t>Shahin</t>
  </si>
  <si>
    <t>moliullahs@nycstudents.net</t>
  </si>
  <si>
    <t>354764st</t>
  </si>
  <si>
    <t>+8801704887611</t>
  </si>
  <si>
    <t>moryom   Ali</t>
  </si>
  <si>
    <t>4602 47th avenae</t>
  </si>
  <si>
    <t>wulsy margarita vargas molino</t>
  </si>
  <si>
    <t>Ximena</t>
  </si>
  <si>
    <t>ximenao2@nycstudents.net</t>
  </si>
  <si>
    <t>37 98th st</t>
  </si>
  <si>
    <t>+13476707357</t>
  </si>
  <si>
    <t>Soledad</t>
  </si>
  <si>
    <t>Elbin</t>
  </si>
  <si>
    <t>elbino2789@nycstudents.net</t>
  </si>
  <si>
    <t>37-17-98</t>
  </si>
  <si>
    <t>+19294927946</t>
  </si>
  <si>
    <t>Nube Espinoza and Cristian Ortiz</t>
  </si>
  <si>
    <t>hailie</t>
  </si>
  <si>
    <t>sucuzhanay</t>
  </si>
  <si>
    <t>hsucuzh21@is125q.org</t>
  </si>
  <si>
    <t>37-33 62nd street wood side</t>
  </si>
  <si>
    <t>+13479624209</t>
  </si>
  <si>
    <t>luis sucuzhanay</t>
  </si>
  <si>
    <t>Lazo</t>
  </si>
  <si>
    <t>andrewl411@nycstudents.net</t>
  </si>
  <si>
    <t>37-38 99th St 11368</t>
  </si>
  <si>
    <t>+17185945798</t>
  </si>
  <si>
    <t>Zoila Bermejo</t>
  </si>
  <si>
    <t>Marisela</t>
  </si>
  <si>
    <t>Calle Sarmiento</t>
  </si>
  <si>
    <t>marisela.callesrmiento@casa311.com</t>
  </si>
  <si>
    <t>Planned Parenthood partner program participant - 2022</t>
  </si>
  <si>
    <t>37-59-102st Queens, NY 11368</t>
  </si>
  <si>
    <t>+16463534053</t>
  </si>
  <si>
    <t>Mercedes? Sarmiento</t>
  </si>
  <si>
    <t>mj256825456@crotonaihs.org</t>
  </si>
  <si>
    <t>500 East 185 Street, Bronx, NY 10458</t>
  </si>
  <si>
    <t>+13476572462</t>
  </si>
  <si>
    <t>Nathalia Martinez</t>
  </si>
  <si>
    <t>pamelaa61@nycstudents.net</t>
  </si>
  <si>
    <t>37-85 102 street</t>
  </si>
  <si>
    <t>+13477745609</t>
  </si>
  <si>
    <t>Matilde Aguirre</t>
  </si>
  <si>
    <t>Merino.</t>
  </si>
  <si>
    <t>41.04 Forley Street</t>
  </si>
  <si>
    <t>Jhenny jacome</t>
  </si>
  <si>
    <t>nievesvanessa91@gmail.com</t>
  </si>
  <si>
    <t>Additional Email - Nieves.vanessa217@icloud.com</t>
  </si>
  <si>
    <t>38 Domain St Staten Island, New York 10314 United States</t>
  </si>
  <si>
    <t>(917)478-4039</t>
  </si>
  <si>
    <t>Jennifer Marchese</t>
  </si>
  <si>
    <t>Marchese.jennifer@yahoo.com</t>
  </si>
  <si>
    <t>(929)364-2415</t>
  </si>
  <si>
    <t>f.maria2020@flushinginternational.org</t>
  </si>
  <si>
    <t>She was listening carefully and paying attention by looking at the video and the facilitator.</t>
  </si>
  <si>
    <t>25-58 123 rd street</t>
  </si>
  <si>
    <t>+13479359641</t>
  </si>
  <si>
    <t>Jhara Gomez</t>
  </si>
  <si>
    <t>Tuaza</t>
  </si>
  <si>
    <t>marvint2789@nycstudents.net</t>
  </si>
  <si>
    <t>38-12-99 street</t>
  </si>
  <si>
    <t>+19297339957</t>
  </si>
  <si>
    <t>Andrea Vanegas and CarlosTuaza</t>
  </si>
  <si>
    <t>Guaman paucar</t>
  </si>
  <si>
    <t>keving5315@nycstudents.net</t>
  </si>
  <si>
    <t>3819 99th street corona ny 11368</t>
  </si>
  <si>
    <t>+13472459750</t>
  </si>
  <si>
    <t>Maria puacar</t>
  </si>
  <si>
    <t>+15158897809</t>
  </si>
  <si>
    <t>Elsa lagua</t>
  </si>
  <si>
    <t>Kyara</t>
  </si>
  <si>
    <t>kguzman21@is125q.org</t>
  </si>
  <si>
    <t>39-71 65th Pl Woodside, NY 11377</t>
  </si>
  <si>
    <t>+13478336107</t>
  </si>
  <si>
    <t>elvia guiracocha</t>
  </si>
  <si>
    <t>Mora</t>
  </si>
  <si>
    <t>melaniemora303@gmail.com</t>
  </si>
  <si>
    <t>391 Georgia Ave apt 4b New York, New York 11207 United States</t>
  </si>
  <si>
    <t>(929)784-8331</t>
  </si>
  <si>
    <t>evelyn morales</t>
  </si>
  <si>
    <t>bkschulita4u@gmail.com</t>
  </si>
  <si>
    <t>(347)353-7476</t>
  </si>
  <si>
    <t>thelifeofian65@gmail.com</t>
  </si>
  <si>
    <t>3977 51st</t>
  </si>
  <si>
    <t>+12128589072</t>
  </si>
  <si>
    <t>yvonne fernandez (mom)</t>
  </si>
  <si>
    <t>Santos Coyotl</t>
  </si>
  <si>
    <t>Coyotl</t>
  </si>
  <si>
    <t>santoc12@nycstudents.net</t>
  </si>
  <si>
    <t>40-07 75 st, Elmhurst,NewYork,</t>
  </si>
  <si>
    <t>+19293538507</t>
  </si>
  <si>
    <t>Nabor Santos Coyotl , Yazmin Amaro</t>
  </si>
  <si>
    <t>Destiny</t>
  </si>
  <si>
    <t>Cortez</t>
  </si>
  <si>
    <t>destinycortez910@gmail.com</t>
  </si>
  <si>
    <t>40-22 67th st Woodside 11377</t>
  </si>
  <si>
    <t>+19293394870</t>
  </si>
  <si>
    <t>Dafne Lopez</t>
  </si>
  <si>
    <t>Aysline</t>
  </si>
  <si>
    <t>ayslinef@nycstudents.net</t>
  </si>
  <si>
    <t>40-23-99st Corona Queens</t>
  </si>
  <si>
    <t>+19299000375</t>
  </si>
  <si>
    <t>Gilberto Francisco</t>
  </si>
  <si>
    <t>Contreras</t>
  </si>
  <si>
    <t>kcontre21@is125q.org</t>
  </si>
  <si>
    <t>Additional email KellyLuna120@gmail.com Planned Parenthood partner program participant - 2022</t>
  </si>
  <si>
    <t>40-30 73rd st apt. #D9 woodside avenue</t>
  </si>
  <si>
    <t>+19294790474</t>
  </si>
  <si>
    <t>Brandy Luna</t>
  </si>
  <si>
    <t>Raiyat</t>
  </si>
  <si>
    <t>Adheer</t>
  </si>
  <si>
    <t>raiyata@nycstudents.net</t>
  </si>
  <si>
    <t>40-30-73th Nyc, New Mexico 11377 United States</t>
  </si>
  <si>
    <t>(347)248-3155</t>
  </si>
  <si>
    <t>Fahimara bithi</t>
  </si>
  <si>
    <t>Esau</t>
  </si>
  <si>
    <t>esaul2@nycstudents.net</t>
  </si>
  <si>
    <t>40-33 99st</t>
  </si>
  <si>
    <t>+13476225645</t>
  </si>
  <si>
    <t>Beatriz De Leon and Esau Leon</t>
  </si>
  <si>
    <t>Assane</t>
  </si>
  <si>
    <t>assane.thiam@ellisprep.com</t>
  </si>
  <si>
    <t>3324 Bronx Blvd, New York NY 10467</t>
  </si>
  <si>
    <t>+19293517850</t>
  </si>
  <si>
    <t>Cheikh Thiam</t>
  </si>
  <si>
    <t>imhass98@gmail.com</t>
  </si>
  <si>
    <t>jacobc251@nycstudents.net</t>
  </si>
  <si>
    <t>40-45 99 street corona ny 11368</t>
  </si>
  <si>
    <t>+13472385099</t>
  </si>
  <si>
    <t>rual Amrodo chimborazo</t>
  </si>
  <si>
    <t>michaelc1135@nycstudents.net</t>
  </si>
  <si>
    <t>40-46,98 Street Corona, NY 11368</t>
  </si>
  <si>
    <t>+19293205437</t>
  </si>
  <si>
    <t>Maria Tamay luis Cabrera</t>
  </si>
  <si>
    <t>Abdulghani</t>
  </si>
  <si>
    <t>aali2@inths.org</t>
  </si>
  <si>
    <t>1364 east 100 st</t>
  </si>
  <si>
    <t>+19177044051</t>
  </si>
  <si>
    <t>abdulwaled25@gmail.com</t>
  </si>
  <si>
    <t>+13475736834</t>
  </si>
  <si>
    <t>Freites</t>
  </si>
  <si>
    <t>2025_luisfreites@ihs-us.org</t>
  </si>
  <si>
    <t>Additional Email -  landresfg2016@gmail.com Emergency Contact - Luis José (Padre)  -  (347) 963-2879 IL Responses REASONING I am choosing this program because it was recommended to me by my school, and I would like to know more about it. BUSINESS IDEA Perhaps an organization to help address this problem by interviewing people and making the people around us aware of why they got in that situation , that mostly variates. SOCIAL PROBLEM I believe that homelessness is a widespread problem in this city as well as the marketing of illicit drugs.</t>
  </si>
  <si>
    <t>400 East 58th St New york, New York 10022 United States</t>
  </si>
  <si>
    <t>347-9125915</t>
  </si>
  <si>
    <t>Emmi</t>
  </si>
  <si>
    <t>emmidoumit@gmail.com</t>
  </si>
  <si>
    <t>Nabel</t>
  </si>
  <si>
    <t>Qaid</t>
  </si>
  <si>
    <t>nabelqaid13@gmail.com</t>
  </si>
  <si>
    <t>1621Canarsie Road</t>
  </si>
  <si>
    <t>+19298991852</t>
  </si>
  <si>
    <t>qaid AL khdhaer</t>
  </si>
  <si>
    <t>Heidy</t>
  </si>
  <si>
    <t>heidyzapata@claremontihs.org</t>
  </si>
  <si>
    <t>4054 Edson Ave, Bronx ny 10466</t>
  </si>
  <si>
    <t>+19178870747</t>
  </si>
  <si>
    <t>Emiliano Zapata</t>
  </si>
  <si>
    <t>+19176674060</t>
  </si>
  <si>
    <t>Kamielle</t>
  </si>
  <si>
    <t>kamielles2789@nycstudents.net</t>
  </si>
  <si>
    <t>41 23 glean st</t>
  </si>
  <si>
    <t>+19294885328</t>
  </si>
  <si>
    <t>Haparto Sanchez</t>
  </si>
  <si>
    <t>Albry</t>
  </si>
  <si>
    <t>Witherspoon</t>
  </si>
  <si>
    <t>albryw@nycstudents.net</t>
  </si>
  <si>
    <t>41-26 75th St Elmhurst NY</t>
  </si>
  <si>
    <t>+19172078531</t>
  </si>
  <si>
    <t>Charles Witherspoon Sr.</t>
  </si>
  <si>
    <t>Zrelli</t>
  </si>
  <si>
    <t>kxjgonesome@gmail.com</t>
  </si>
  <si>
    <t>41-42 52nd street queens woodside</t>
  </si>
  <si>
    <t>+19294044133</t>
  </si>
  <si>
    <t>alex zrelli, patricia fonseca</t>
  </si>
  <si>
    <t>Kyra</t>
  </si>
  <si>
    <t>Sapera</t>
  </si>
  <si>
    <t>kyras40@nyctsudents.net</t>
  </si>
  <si>
    <t>Additional Email kyrasapera@gmail.com</t>
  </si>
  <si>
    <t>41-43 39th Place Apt 1D Sunnyside, New York 11104 United States</t>
  </si>
  <si>
    <t>(646)549-9269</t>
  </si>
  <si>
    <t>Adrian Sapera</t>
  </si>
  <si>
    <t>stelicasapera@gmail.com</t>
  </si>
  <si>
    <t>(646)379-3085</t>
  </si>
  <si>
    <t>Doha</t>
  </si>
  <si>
    <t>- FY alum, missing kintone record email - doha.Ibrahim 2002@gmail.com</t>
  </si>
  <si>
    <t>4136 Longshore Ave. Philadelphia,A</t>
  </si>
  <si>
    <t>Anwar Hussain</t>
  </si>
  <si>
    <t>flowerdoha@hotmail.com</t>
  </si>
  <si>
    <t>SARAHI</t>
  </si>
  <si>
    <t>Alcantara</t>
  </si>
  <si>
    <t>salcant21@is125q.org</t>
  </si>
  <si>
    <t>4140 52st Woodside NY 11374</t>
  </si>
  <si>
    <t>+17185930276</t>
  </si>
  <si>
    <t>Valdez</t>
  </si>
  <si>
    <t>108116374@ideastudent.org</t>
  </si>
  <si>
    <t>4143 hickory sun st</t>
  </si>
  <si>
    <t>+12106068334</t>
  </si>
  <si>
    <t>Brenda Flores</t>
  </si>
  <si>
    <t>Navarrete</t>
  </si>
  <si>
    <t>alann19@nycstudents.net</t>
  </si>
  <si>
    <t>41st ave elmhurst, New York 11373 United States</t>
  </si>
  <si>
    <t>Karen aca</t>
  </si>
  <si>
    <t>Hamzah</t>
  </si>
  <si>
    <t>Saleh</t>
  </si>
  <si>
    <t>hamzahsaleh2006@gmail.com</t>
  </si>
  <si>
    <t>Hetal made inactive on April 12th after the Principal Tom asked them and they said they are no longer interested in participating -- this was after we sent the Match Announcement with Alina Montbriand</t>
  </si>
  <si>
    <t>165 Sherman Ave New York, NY 10034</t>
  </si>
  <si>
    <t>+13474532972</t>
  </si>
  <si>
    <t>Abdulghani Saleh and Hialh Saleh</t>
  </si>
  <si>
    <t>hialhisa@gmail.com</t>
  </si>
  <si>
    <t>+16466488202</t>
  </si>
  <si>
    <t>Yolet</t>
  </si>
  <si>
    <t>yoletg2789@nycstudents.net</t>
  </si>
  <si>
    <t>42-72 80th Street, Elmhurst, NY, 11373</t>
  </si>
  <si>
    <t>+19292477056</t>
  </si>
  <si>
    <t>Alberta Sanchez</t>
  </si>
  <si>
    <t>Andrade</t>
  </si>
  <si>
    <t>sofiaa123@nycstudents.net</t>
  </si>
  <si>
    <t>42-72-80th street New York city, New York 11373 United States</t>
  </si>
  <si>
    <t>sofia</t>
  </si>
  <si>
    <t>Shabib</t>
  </si>
  <si>
    <t>Mahrus</t>
  </si>
  <si>
    <t>shabibm@nycstudents.net</t>
  </si>
  <si>
    <t>4225 Layton St</t>
  </si>
  <si>
    <t>+13468598933</t>
  </si>
  <si>
    <t>Sazeda Parvin</t>
  </si>
  <si>
    <t>jromero21@is125q.org</t>
  </si>
  <si>
    <t>43 23 43rd street</t>
  </si>
  <si>
    <t>+19172381644</t>
  </si>
  <si>
    <t>Justina Romero</t>
  </si>
  <si>
    <t>joseo2019@flushinginternational.org</t>
  </si>
  <si>
    <t>43-30 147 street flushing NY 11355</t>
  </si>
  <si>
    <t>+13477208587</t>
  </si>
  <si>
    <t>Josue Nehemias Vasquez Lopez</t>
  </si>
  <si>
    <t>daniellpo2004@gmail.com</t>
  </si>
  <si>
    <t>+13477373328</t>
  </si>
  <si>
    <t>Hayden-Miguel</t>
  </si>
  <si>
    <t>Rene Serrano</t>
  </si>
  <si>
    <t>hserran21@is125q.org</t>
  </si>
  <si>
    <t>43-30 48th st Sunnyside, NY 11104</t>
  </si>
  <si>
    <t>+13477819633</t>
  </si>
  <si>
    <t>Rosa Naula</t>
  </si>
  <si>
    <t>Mazaher (Moon)</t>
  </si>
  <si>
    <t>mazaher.mohamed@ellisprep.com</t>
  </si>
  <si>
    <t>6040 Huxley Ave Bronx, New York 10471 United States</t>
  </si>
  <si>
    <t>Ammar Ahmed</t>
  </si>
  <si>
    <t>ToranAmmar2@gmail.com</t>
  </si>
  <si>
    <t>Lungtop</t>
  </si>
  <si>
    <t>tenzinl75@nycstudents.net</t>
  </si>
  <si>
    <t>44-21 Macnish St Queens Elmhurst, New York 11373 United States</t>
  </si>
  <si>
    <t>Tenzin Lungtop</t>
  </si>
  <si>
    <t>Tenzinl75@nycstudents.net</t>
  </si>
  <si>
    <t>Valeri</t>
  </si>
  <si>
    <t>Viveros</t>
  </si>
  <si>
    <t>viverosdayana16@gmail.com</t>
  </si>
  <si>
    <t>School Email: valerinv4@nycstudents.net</t>
  </si>
  <si>
    <t>4602 47 are vvovside,Ny 11377</t>
  </si>
  <si>
    <t>leidy patricia ortiz</t>
  </si>
  <si>
    <t>Katelynn (Kate)</t>
  </si>
  <si>
    <t>katelynna5101@nycstudents.net</t>
  </si>
  <si>
    <t>Additional Email isabellaqueen2013@icloud.com</t>
  </si>
  <si>
    <t>46th st 3332 22e woodsiden, New York 11377 United States</t>
  </si>
  <si>
    <t>katelynn</t>
  </si>
  <si>
    <t>katelynna5101@nycstudents.com</t>
  </si>
  <si>
    <t>Lim</t>
  </si>
  <si>
    <t>johnl227@nycstudents.net</t>
  </si>
  <si>
    <t>47-19 67str woodside ny 11377</t>
  </si>
  <si>
    <t>+16462368606</t>
  </si>
  <si>
    <t>Linda Lim</t>
  </si>
  <si>
    <t>rcampos21@is125q.org</t>
  </si>
  <si>
    <t>47-27 , 45th Street Queens, NY 11377</t>
  </si>
  <si>
    <t>+13476006476</t>
  </si>
  <si>
    <t>Ruth Campos</t>
  </si>
  <si>
    <t>Eileen</t>
  </si>
  <si>
    <t>Spikes</t>
  </si>
  <si>
    <t>eileens210@yahoo.com</t>
  </si>
  <si>
    <t>4707 Castle Knolls, San Antonio TX 78218</t>
  </si>
  <si>
    <t>+19562703109</t>
  </si>
  <si>
    <t>Angel paez Gloria Bernal</t>
  </si>
  <si>
    <t>Aljabyali</t>
  </si>
  <si>
    <t>a.aljabyali@ihsph.org</t>
  </si>
  <si>
    <t>631 Nostrand Ave</t>
  </si>
  <si>
    <t>+19295575495</t>
  </si>
  <si>
    <t>Saleh aljabyali</t>
  </si>
  <si>
    <t>Arcangel</t>
  </si>
  <si>
    <t>arcangelgrodriguez@gmail.com</t>
  </si>
  <si>
    <t>&amp;#43;12107029960 arcangelgrodriguez@gmail.com</t>
  </si>
  <si>
    <t>4715 gavlick farm</t>
  </si>
  <si>
    <t>Sorangel Ayla</t>
  </si>
  <si>
    <t>xavier</t>
  </si>
  <si>
    <t>lugo</t>
  </si>
  <si>
    <t>xlugo21@is125q.org</t>
  </si>
  <si>
    <t>4728 44st Flushing, NY 11377</t>
  </si>
  <si>
    <t>+13472386275</t>
  </si>
  <si>
    <t>Jason Lugo</t>
  </si>
  <si>
    <t>Yousef</t>
  </si>
  <si>
    <t>Alzandani</t>
  </si>
  <si>
    <t>y.alzandani@ihsph.org</t>
  </si>
  <si>
    <t>687 Bradford st</t>
  </si>
  <si>
    <t>+13473359674</t>
  </si>
  <si>
    <t>Rizik Alzandani</t>
  </si>
  <si>
    <t>nouhayla</t>
  </si>
  <si>
    <t>elidrissi</t>
  </si>
  <si>
    <t>nouhaylathecutest@gmail.com</t>
  </si>
  <si>
    <t>48 34 37th st Long island city 11101 3r</t>
  </si>
  <si>
    <t>+13473031898</t>
  </si>
  <si>
    <t>Kassem Elidrissi</t>
  </si>
  <si>
    <t>babyny2007@me.com</t>
  </si>
  <si>
    <t>48-10 69street apartment 2 Woodside New York</t>
  </si>
  <si>
    <t>+13479906959</t>
  </si>
  <si>
    <t>Ana Moreno Abel Moreno Martinez</t>
  </si>
  <si>
    <t>Richardson</t>
  </si>
  <si>
    <t>nyloganr@gmail.com</t>
  </si>
  <si>
    <t>4802 43rd street 7C Woodside NY 11377</t>
  </si>
  <si>
    <t>+17183550113</t>
  </si>
  <si>
    <t>Nannette richardson</t>
  </si>
  <si>
    <t>Buestan</t>
  </si>
  <si>
    <t>andersonb28@nycstudents.net</t>
  </si>
  <si>
    <t>50 40 jacoubus st</t>
  </si>
  <si>
    <t>+16463201147</t>
  </si>
  <si>
    <t>Claudia Oriana</t>
  </si>
  <si>
    <t>valeriav31@nycstudents.net</t>
  </si>
  <si>
    <t>blanca moran</t>
  </si>
  <si>
    <t>Anam</t>
  </si>
  <si>
    <t>logana30@nycstudents.net</t>
  </si>
  <si>
    <t>50-40 JABOUS ST</t>
  </si>
  <si>
    <t>+13473561553</t>
  </si>
  <si>
    <t>FEI YAN</t>
  </si>
  <si>
    <t>Alyson</t>
  </si>
  <si>
    <t>alysona7@nycstudents.net</t>
  </si>
  <si>
    <t>50-40 jacabous st</t>
  </si>
  <si>
    <t>+13476462889</t>
  </si>
  <si>
    <t>Claribel Rendon</t>
  </si>
  <si>
    <t>Waasif</t>
  </si>
  <si>
    <t>waasifm@nycstudents.net</t>
  </si>
  <si>
    <t>50-40 Jacob us st</t>
  </si>
  <si>
    <t>+13472356956</t>
  </si>
  <si>
    <t>Sumba</t>
  </si>
  <si>
    <t>a.valladares28@icloud.com</t>
  </si>
  <si>
    <t xml:space="preserve"> 32-12 102nd St, Flushing, NY 11369</t>
  </si>
  <si>
    <t>+13472837379</t>
  </si>
  <si>
    <t>Ana Valladares</t>
  </si>
  <si>
    <t>joseg527@mail.nycstudents.net</t>
  </si>
  <si>
    <t>email:  joseg527@nycstudents.net</t>
  </si>
  <si>
    <t>50-40 Jacobs st Elmhurst NY 1B7B</t>
  </si>
  <si>
    <t xml:space="preserve">"I wanted to grow as a leader and learn to support others.This program helped me realize that showing more leadership leads to more respect and responsibilities. It taught me to treat my companions better and listen to their ideas."
</t>
  </si>
  <si>
    <t>Maria Flores Vegas</t>
  </si>
  <si>
    <t>Dolma</t>
  </si>
  <si>
    <t>jessica763@gmail.com</t>
  </si>
  <si>
    <t>50-40 jacobus</t>
  </si>
  <si>
    <t>Tsering and gelek</t>
  </si>
  <si>
    <t>nataly3455@gmail.com</t>
  </si>
  <si>
    <t>50-40 Jacobus</t>
  </si>
  <si>
    <t>Claudia and Hector</t>
  </si>
  <si>
    <t>Dafne</t>
  </si>
  <si>
    <t>dafnes7@nycstudents.net</t>
  </si>
  <si>
    <t>50-40 jacobus elmhurst ny 11373</t>
  </si>
  <si>
    <t>r</t>
  </si>
  <si>
    <t>kira</t>
  </si>
  <si>
    <t>guartasaca</t>
  </si>
  <si>
    <t>k.guartasaca@ihsph.org</t>
  </si>
  <si>
    <t>10 argyle road</t>
  </si>
  <si>
    <t>+19293179629</t>
  </si>
  <si>
    <t>hilda guartasaca</t>
  </si>
  <si>
    <t>Angeliz</t>
  </si>
  <si>
    <t>Castano</t>
  </si>
  <si>
    <t>angelizc3@nycstudents.nets</t>
  </si>
  <si>
    <t>50-40 Jacobus st</t>
  </si>
  <si>
    <t>+19172993303</t>
  </si>
  <si>
    <t>Lourdes Naula</t>
  </si>
  <si>
    <t>christopherh409@nycstudents.net</t>
  </si>
  <si>
    <t>50-40 Jacobus St</t>
  </si>
  <si>
    <t>+19294616121</t>
  </si>
  <si>
    <t>Flavia pkuma</t>
  </si>
  <si>
    <t>cindyp81@nycstudents.net</t>
  </si>
  <si>
    <t>50-40 jacobus st</t>
  </si>
  <si>
    <t>+12345678910</t>
  </si>
  <si>
    <t>Liu Mei Xian</t>
  </si>
  <si>
    <t>harrisona14@nycstudents.net</t>
  </si>
  <si>
    <t>+19174982462</t>
  </si>
  <si>
    <t>Harrison Arias , Maria Ramos funez</t>
  </si>
  <si>
    <t>Keily</t>
  </si>
  <si>
    <t>keily.aquinojavier@casa311.com</t>
  </si>
  <si>
    <t>102 47 Corona Av. NY</t>
  </si>
  <si>
    <t>+19295301923</t>
  </si>
  <si>
    <t>Ines Aquino, Elias Javier</t>
  </si>
  <si>
    <t>joyp16@nycstudents.net</t>
  </si>
  <si>
    <t>Hetal called Jagdish to ask if Joy can attend Summit/Soiree 2024 -- Jagdish gave Diya's number (9293966898); Diya confirmed coming with Joy and Mother  jk08291974@gmail.com  - Father's email JOY DOES NOT GET OUR TEXTS -- BETTER TO CALL HIM OR SISTER - DIYA</t>
  </si>
  <si>
    <t>Jagdish Kumar Patel</t>
  </si>
  <si>
    <t>jackelinem14@nycstudents.net</t>
  </si>
  <si>
    <t>104 41 41 ave queens NY</t>
  </si>
  <si>
    <t>Florenia Moran</t>
  </si>
  <si>
    <t>Mariano</t>
  </si>
  <si>
    <t>pierceterrence@gmail.com</t>
  </si>
  <si>
    <t>Marie Mariano</t>
  </si>
  <si>
    <t>Darielkys</t>
  </si>
  <si>
    <t>darielkys@nycstudents.net</t>
  </si>
  <si>
    <t>50-40 Jacobus st elmhurst ny</t>
  </si>
  <si>
    <t>Marisol</t>
  </si>
  <si>
    <t>maryc69@nycstudents.net</t>
  </si>
  <si>
    <t>50-40 jacobus st elmhurst ny</t>
  </si>
  <si>
    <t>Rosa paredes</t>
  </si>
  <si>
    <t>Cajamarca</t>
  </si>
  <si>
    <t>briannac381@nycstudents.net</t>
  </si>
  <si>
    <t>50-40 Jacobus St Elmhurst NY 11373</t>
  </si>
  <si>
    <t>Isauro Cajamarca</t>
  </si>
  <si>
    <t>Saul</t>
  </si>
  <si>
    <t>dutan</t>
  </si>
  <si>
    <t>geovanyd652@gmail.com</t>
  </si>
  <si>
    <t>105-19 37th Avenue, 105 19 37 avenue</t>
  </si>
  <si>
    <t>+13473503361</t>
  </si>
  <si>
    <t>Olgalidia sarmiento</t>
  </si>
  <si>
    <t>brendap47@nycstudents.net</t>
  </si>
  <si>
    <t>50-40 Jacobus st Elmhurst NY 11378</t>
  </si>
  <si>
    <t>+13474457880</t>
  </si>
  <si>
    <t>Sara Perez and Carmen perez</t>
  </si>
  <si>
    <t>opalite45@icloud.com</t>
  </si>
  <si>
    <t>Wendy Nicholas emailed 3/31/22 saying that Heather is not interested in continuing for IR3 - Hetal marked as inactive (3/31/22)</t>
  </si>
  <si>
    <t>1148 Boynton Avenue Bronx, NY 10472 apt 3C</t>
  </si>
  <si>
    <t>+19178051672</t>
  </si>
  <si>
    <t>Elise Argueta</t>
  </si>
  <si>
    <t>eargueta63@gmail.com</t>
  </si>
  <si>
    <t>+17186684624</t>
  </si>
  <si>
    <t>chelseat56@nycstudents.net</t>
  </si>
  <si>
    <t>50-40 Jacobus St Elmhurst NY 11378</t>
  </si>
  <si>
    <t>Fermin Torres</t>
  </si>
  <si>
    <t>Jolina</t>
  </si>
  <si>
    <t>Narbona</t>
  </si>
  <si>
    <t>jolinanarbona1060@yahoo.com</t>
  </si>
  <si>
    <t>116-40 Guy R Brewer blvd</t>
  </si>
  <si>
    <t>+15168491953</t>
  </si>
  <si>
    <t>chanel</t>
  </si>
  <si>
    <t>allenc83@nycstudents.net</t>
  </si>
  <si>
    <t>50-40 Jacobus St. Elmhurst N.Y. 11373</t>
  </si>
  <si>
    <t>He yun ping</t>
  </si>
  <si>
    <t>Cortes Mejia</t>
  </si>
  <si>
    <t>karenc211@nycstudents.net</t>
  </si>
  <si>
    <t>IS5Ines Mejia Toxtli</t>
  </si>
  <si>
    <t>Eljilguero5507@gmail.com</t>
  </si>
  <si>
    <t>646-508-5587</t>
  </si>
  <si>
    <t>Liam</t>
  </si>
  <si>
    <t>Fernazdez</t>
  </si>
  <si>
    <t>liamf52@nycstudents.net</t>
  </si>
  <si>
    <t>50-40 Jacobus streat</t>
  </si>
  <si>
    <t>Wendy silvestre</t>
  </si>
  <si>
    <t>Danny</t>
  </si>
  <si>
    <t>Yauri</t>
  </si>
  <si>
    <t>dannyy15@nycstudents.net</t>
  </si>
  <si>
    <t>50-40 Jacobus Street, Elmhurst NY 11373</t>
  </si>
  <si>
    <t>Prince</t>
  </si>
  <si>
    <t>Agbotui</t>
  </si>
  <si>
    <t>princeagbotui513@gmail.com</t>
  </si>
  <si>
    <t>116-47 193rd st</t>
  </si>
  <si>
    <t>+15165348229</t>
  </si>
  <si>
    <t>Raymonde Toussaint</t>
  </si>
  <si>
    <t>melvinp43@nycstudents.net</t>
  </si>
  <si>
    <t>Oliver Paz and Jenny pita</t>
  </si>
  <si>
    <t>Sherlyn</t>
  </si>
  <si>
    <t>Nayotl</t>
  </si>
  <si>
    <t>sherlynn@nycstudents.net</t>
  </si>
  <si>
    <t>+13473615592</t>
  </si>
  <si>
    <t>Teresa Cuas</t>
  </si>
  <si>
    <t>Adalay</t>
  </si>
  <si>
    <t>adalayr2789@nycstudents.net</t>
  </si>
  <si>
    <t>50-40 Jacobus Street, Elmhurst, NY 11373</t>
  </si>
  <si>
    <t>Waleska Perez</t>
  </si>
  <si>
    <t>arielo4757@nycstudents.net</t>
  </si>
  <si>
    <t>+19179431777</t>
  </si>
  <si>
    <t>Massiel Rodriguez</t>
  </si>
  <si>
    <t>Heyder</t>
  </si>
  <si>
    <t>heyderm@nycstudents.net</t>
  </si>
  <si>
    <t>50-40 jacobusst elmhurst N.Y.</t>
  </si>
  <si>
    <t>Vanessa Gonzalez</t>
  </si>
  <si>
    <t>Ash</t>
  </si>
  <si>
    <t>juliaa101@nycstudents.net</t>
  </si>
  <si>
    <t>50-40 jacoubus st</t>
  </si>
  <si>
    <t>+17184191652</t>
  </si>
  <si>
    <t>Medina Ash</t>
  </si>
  <si>
    <t>Kaitlyn</t>
  </si>
  <si>
    <t>kaitlync5044@nycstudents.net</t>
  </si>
  <si>
    <t>50-40 jcpubus</t>
  </si>
  <si>
    <t>+13477768287</t>
  </si>
  <si>
    <t>Stephanie Lozada</t>
  </si>
  <si>
    <t>Sophia</t>
  </si>
  <si>
    <t>sophias301@nycstudents.net</t>
  </si>
  <si>
    <t>Additional Email Sophiasolis29@icloud.com</t>
  </si>
  <si>
    <t>50-40jacobus street new york, New York 11673 United States</t>
  </si>
  <si>
    <t>(347)677-8341</t>
  </si>
  <si>
    <t>patrecia</t>
  </si>
  <si>
    <t>SOphias301@nycstudents.net</t>
  </si>
  <si>
    <t>Ndeye</t>
  </si>
  <si>
    <t>ndeye.diediou@ellisprep.com</t>
  </si>
  <si>
    <t>Lansana Diedhiou</t>
  </si>
  <si>
    <t>nava</t>
  </si>
  <si>
    <t>cnava21@is125q.org</t>
  </si>
  <si>
    <t>50-48 47th St, Flushing, NY 11377</t>
  </si>
  <si>
    <t>+13476983212</t>
  </si>
  <si>
    <t>juanita ramos</t>
  </si>
  <si>
    <t>Alkutaini</t>
  </si>
  <si>
    <t>ibrahima106@nycstudents.net</t>
  </si>
  <si>
    <t>Enlightened Leader $20 - he emailed on 6/14 asking monetary gift. We replied asking for info in 6/26, 8/8 and 8/14 with no response. We tried calls, texts, vms but no response. PQ 8/23</t>
  </si>
  <si>
    <t>5001 65 pl woodside queens nyc</t>
  </si>
  <si>
    <t>+16462064415</t>
  </si>
  <si>
    <t>Sami and Laila</t>
  </si>
  <si>
    <t>Abcdee</t>
  </si>
  <si>
    <t>Arguello</t>
  </si>
  <si>
    <t>smcam0106@gmail.com</t>
  </si>
  <si>
    <t>Went through the course two times -- strong student, a lot on her plate. (HJ) secondary email address: 108050931@ideastudent.org</t>
  </si>
  <si>
    <t>5027 Bayhead</t>
  </si>
  <si>
    <t>austinliu0313@gmail.com</t>
  </si>
  <si>
    <t>51-03 92nd St Queens, NY 11373, 2</t>
  </si>
  <si>
    <t>+19178150798</t>
  </si>
  <si>
    <t>Li Lin</t>
  </si>
  <si>
    <t>justin</t>
  </si>
  <si>
    <t>zenetno</t>
  </si>
  <si>
    <t>justinzen08@gmail.com</t>
  </si>
  <si>
    <t>51-55 47st Woodside, NY 11377</t>
  </si>
  <si>
    <t>+19296001097</t>
  </si>
  <si>
    <t>Beatriz</t>
  </si>
  <si>
    <t>Espinosa</t>
  </si>
  <si>
    <t>beatrizespinlsa@claremontihs.org</t>
  </si>
  <si>
    <t>Email from EL Post Survey: beatrizespinosa@claremontihs.org</t>
  </si>
  <si>
    <t>1190 Washington AV</t>
  </si>
  <si>
    <t>+17184014001</t>
  </si>
  <si>
    <t>Eusebia Ponce Rosas</t>
  </si>
  <si>
    <t>Esteves</t>
  </si>
  <si>
    <t>estevesjavier90@gmail.com</t>
  </si>
  <si>
    <t>11/17/23 - PQ outreach, updated email from 8718451@philasd.org to  Estevesjavier90@gmail.com</t>
  </si>
  <si>
    <t>5101erdrick st philadelphia, pa 19124</t>
  </si>
  <si>
    <t>+12155311277</t>
  </si>
  <si>
    <t>Luis Esteves</t>
  </si>
  <si>
    <t>ljesteves@yahoo.com</t>
  </si>
  <si>
    <t>+12678792836</t>
  </si>
  <si>
    <t>Arabella (Bella)</t>
  </si>
  <si>
    <t>arabellag@nycstudents.net</t>
  </si>
  <si>
    <t>5223 69 Pl Maspeth, New York 11378 United States</t>
  </si>
  <si>
    <t>(347)600-7794</t>
  </si>
  <si>
    <t>Geraldine Gonzalez</t>
  </si>
  <si>
    <t>malyn110@gmail.com</t>
  </si>
  <si>
    <t>(347)942-8569</t>
  </si>
  <si>
    <t>Claribelisa</t>
  </si>
  <si>
    <t>claribelisa.gonzalez@ichsbronx.org</t>
  </si>
  <si>
    <t>529 east 138str bronx,10454 NY</t>
  </si>
  <si>
    <t>+13479579118</t>
  </si>
  <si>
    <t>Blandina gonzalez</t>
  </si>
  <si>
    <t>blandinag45@gmail.com</t>
  </si>
  <si>
    <t>+19172158837</t>
  </si>
  <si>
    <t>Tsang</t>
  </si>
  <si>
    <t>sophiat126@nycstudents.net</t>
  </si>
  <si>
    <t>54-29 80th Street Elmhurst, New York 11373 United States</t>
  </si>
  <si>
    <t>Chantell</t>
  </si>
  <si>
    <t>c.palacios@ihsph.org</t>
  </si>
  <si>
    <t>121 5th Avenue, Brooklyn NY</t>
  </si>
  <si>
    <t>+13479162048</t>
  </si>
  <si>
    <t>Karin Sanchez</t>
  </si>
  <si>
    <t>Kaitlynn</t>
  </si>
  <si>
    <t>Coppin</t>
  </si>
  <si>
    <t>kaitlynnc9329@bronxcommunityhighschool.org</t>
  </si>
  <si>
    <t>1210 Croes ave, 4C</t>
  </si>
  <si>
    <t>+13472618339</t>
  </si>
  <si>
    <t>nina cruz</t>
  </si>
  <si>
    <t>ninacruz233@gmail.com</t>
  </si>
  <si>
    <t>+13472378998</t>
  </si>
  <si>
    <t>ORtiz</t>
  </si>
  <si>
    <t>samuelortiz.student@hseigators.org</t>
  </si>
  <si>
    <t>1260 webster ave 13b , Bronx, NY10456</t>
  </si>
  <si>
    <t>Billy Ortiz</t>
  </si>
  <si>
    <t>N/A@notavailable.com</t>
  </si>
  <si>
    <t>+19294141012</t>
  </si>
  <si>
    <t>Oceanne.</t>
  </si>
  <si>
    <t>Oceanne provided this email address on her application but we got bounce back:oceannecompaore@gmail.com -- school provided her school email address (HJ, 7/15/2021)</t>
  </si>
  <si>
    <t>932 bronx park south,  Appartement 5A, bronx,10460,New York</t>
  </si>
  <si>
    <t>+19295327299</t>
  </si>
  <si>
    <t>Zalissa ouedraogo</t>
  </si>
  <si>
    <t>zalissa.ouedraogo@gmail.com</t>
  </si>
  <si>
    <t>+19292419675</t>
  </si>
  <si>
    <t>Rogina</t>
  </si>
  <si>
    <t>Sobhy</t>
  </si>
  <si>
    <t>ourbelovedphase@nycstudents.net</t>
  </si>
  <si>
    <t>557 Seneca Ave 1L Ridgewood NY 11385</t>
  </si>
  <si>
    <t>+13477710126</t>
  </si>
  <si>
    <t>Yousry Farag</t>
  </si>
  <si>
    <t>Sanjy</t>
  </si>
  <si>
    <t>Saint olive</t>
  </si>
  <si>
    <t>2024_sanjysaintolive@ihs-us.org</t>
  </si>
  <si>
    <t>3902 Avenue H Brooklyn NY 11210</t>
  </si>
  <si>
    <t>+13478340142</t>
  </si>
  <si>
    <t>Chantal Jean</t>
  </si>
  <si>
    <t>andyh97@nycstudents.net</t>
  </si>
  <si>
    <t>56-38, Van Cleef Street, 2FL Corona, NY 11368</t>
  </si>
  <si>
    <t>+13478254021</t>
  </si>
  <si>
    <t>Carmen Zhagnay</t>
  </si>
  <si>
    <t>jeffrey</t>
  </si>
  <si>
    <t>Chi</t>
  </si>
  <si>
    <t>c.jeffrey2021@flushinginternational.org</t>
  </si>
  <si>
    <t>13237 POPLE AVE 3D</t>
  </si>
  <si>
    <t>+13472046109</t>
  </si>
  <si>
    <t>Zheng Feng Ling</t>
  </si>
  <si>
    <t>Ameia</t>
  </si>
  <si>
    <t>ameiacampbell01@icloud.com</t>
  </si>
  <si>
    <t>phone number: &amp;#43;13474850003 email: ameiacampbell01@icloud.com</t>
  </si>
  <si>
    <t>137-21-220th pl</t>
  </si>
  <si>
    <t>Kenesha Campbell</t>
  </si>
  <si>
    <t>Oumaru</t>
  </si>
  <si>
    <t>Batchilly</t>
  </si>
  <si>
    <t>oumaru.batchilly@ichsbronx.org</t>
  </si>
  <si>
    <t>1420 washington ave</t>
  </si>
  <si>
    <t>+19294088224</t>
  </si>
  <si>
    <t>halimatou batchilly</t>
  </si>
  <si>
    <t>khyia</t>
  </si>
  <si>
    <t>cobb</t>
  </si>
  <si>
    <t>cobbkhyia13@gmail.com</t>
  </si>
  <si>
    <t>143-10 springfeild blvd</t>
  </si>
  <si>
    <t>+19178655311</t>
  </si>
  <si>
    <t>keisha</t>
  </si>
  <si>
    <t>Rue</t>
  </si>
  <si>
    <t>nana.topangaaa@gmail.com</t>
  </si>
  <si>
    <t>143-10 springfield blv</t>
  </si>
  <si>
    <t>+13477377439</t>
  </si>
  <si>
    <t>Sabine Alvarez</t>
  </si>
  <si>
    <t>Amoi</t>
  </si>
  <si>
    <t>amoin@nycstudents.net</t>
  </si>
  <si>
    <t>143-10 springfield blvd, Queens, NY 11413</t>
  </si>
  <si>
    <t>+19176183120</t>
  </si>
  <si>
    <t>Vaughan Waith</t>
  </si>
  <si>
    <t>Chabbi</t>
  </si>
  <si>
    <t>ryanc7597@nycstudents.net</t>
  </si>
  <si>
    <t xml:space="preserve">567 w 149th APT 37 new york, New York 10031 United States
</t>
  </si>
  <si>
    <t>RYAN</t>
  </si>
  <si>
    <t>(929)673-4798</t>
  </si>
  <si>
    <t>rachelr186@nycstudents.net</t>
  </si>
  <si>
    <t>[BC 6/27] - VM -- PQ 10/26 Wrong email - should be rachelr186@nycstudents.net</t>
  </si>
  <si>
    <t>58 43 Penrod Street</t>
  </si>
  <si>
    <t>+19293265166</t>
  </si>
  <si>
    <t>Santa Rodriguez</t>
  </si>
  <si>
    <t>Jimbo</t>
  </si>
  <si>
    <t>aimeej2@nycstudents.net</t>
  </si>
  <si>
    <t>58-15 48th Avenue,Woodside NY 11377</t>
  </si>
  <si>
    <t>Jenny Bombon</t>
  </si>
  <si>
    <t>108059508@ideastudent.org</t>
  </si>
  <si>
    <t>5818 castle lake</t>
  </si>
  <si>
    <t>+12109133854</t>
  </si>
  <si>
    <t>irazema gamez</t>
  </si>
  <si>
    <t>Navil</t>
  </si>
  <si>
    <t>Sheikh</t>
  </si>
  <si>
    <t>nsheikh21@is125q.org</t>
  </si>
  <si>
    <t>59-06A 38th Avenue apt A4 Woodside New York</t>
  </si>
  <si>
    <t>+16315450142</t>
  </si>
  <si>
    <t>Farhana Akter</t>
  </si>
  <si>
    <t>l.bryan2020@flushinginternational.org</t>
  </si>
  <si>
    <t>He is a leader in his class group and very helpful, fluent in both Spanish and English. Big potential to be a great leader.</t>
  </si>
  <si>
    <t>149-41 Cherry Avenue</t>
  </si>
  <si>
    <t>+19292088014</t>
  </si>
  <si>
    <t>Teresa Shum</t>
  </si>
  <si>
    <t>Hazel</t>
  </si>
  <si>
    <t>hazelp8824@nycstudents.net</t>
  </si>
  <si>
    <t>59-29 Calloway Street, Corona, NY 11368</t>
  </si>
  <si>
    <t>+13474595705</t>
  </si>
  <si>
    <t>Grisela Mejia</t>
  </si>
  <si>
    <t>Silvana</t>
  </si>
  <si>
    <t>Tapia</t>
  </si>
  <si>
    <t>2024_silvanatapia@ihs-us.org</t>
  </si>
  <si>
    <t>418 E 77th st New York, NY</t>
  </si>
  <si>
    <t>+13473023580</t>
  </si>
  <si>
    <t>Rosario Merchan</t>
  </si>
  <si>
    <t>Veletanga</t>
  </si>
  <si>
    <t>j.veletanga2018@flushinginternational.org</t>
  </si>
  <si>
    <t>59-37 van Doren st queens New York  11368</t>
  </si>
  <si>
    <t>+17185943496</t>
  </si>
  <si>
    <t>Maria fajardo</t>
  </si>
  <si>
    <t>+13479879260</t>
  </si>
  <si>
    <t>Roger</t>
  </si>
  <si>
    <t>Cartay</t>
  </si>
  <si>
    <t>rogerc69@nycstudents.net</t>
  </si>
  <si>
    <t>Haoyue confirmed this is her student -- Hetal updated the school name to Flushing IHS Phone Number&amp;#34; &amp;#43;15164179225 Email: rogerc69@nycstudents.net</t>
  </si>
  <si>
    <t>155-17cherry</t>
  </si>
  <si>
    <t>+15164179225</t>
  </si>
  <si>
    <t>aymar</t>
  </si>
  <si>
    <t>Vladimir</t>
  </si>
  <si>
    <t>Solano</t>
  </si>
  <si>
    <t>vladimirs46@nycstudents.net</t>
  </si>
  <si>
    <t>6 edge combe ave new york, New York 10030 United States</t>
  </si>
  <si>
    <t>ms diaz</t>
  </si>
  <si>
    <t>marian</t>
  </si>
  <si>
    <t>quero</t>
  </si>
  <si>
    <t>marianq@nycstudents.net</t>
  </si>
  <si>
    <t>6 Edgecombe Ave New York, NY 10030 New York, New York 10030 United States</t>
  </si>
  <si>
    <t>Reid pierce</t>
  </si>
  <si>
    <t>bombinyomom@gmail.com</t>
  </si>
  <si>
    <t>Kevin Bednar, PSL, said Jason told him he was no longer interested in any programs. Hetal made Jason inactive (11/21/22) About Intern: The X Intern was born in the United States. They speak English. This is their first year and round in the program. One of the jobs they listed that they are interested in is, &amp;#34;head chef.&amp;#34;</t>
  </si>
  <si>
    <t>162-23 N conduit ave 11434  Jamaica,NY</t>
  </si>
  <si>
    <t>+13473100757</t>
  </si>
  <si>
    <t>madeline tavarez</t>
  </si>
  <si>
    <t>madelinetavarez@gmail.com</t>
  </si>
  <si>
    <t>+13478693854</t>
  </si>
  <si>
    <t>Shianne</t>
  </si>
  <si>
    <t>Boncoeur</t>
  </si>
  <si>
    <t>shianneb10@nycstudents.net</t>
  </si>
  <si>
    <t>179-40 selover road 11434</t>
  </si>
  <si>
    <t>+13478760745</t>
  </si>
  <si>
    <t>janelle boncoeur</t>
  </si>
  <si>
    <t>Marianny</t>
  </si>
  <si>
    <t>Guachichulca</t>
  </si>
  <si>
    <t>mariannyg2793@nycstudents.net</t>
  </si>
  <si>
    <t>Additional Email mariannyzerpa@gmail.com</t>
  </si>
  <si>
    <t>6 edgecombe Ave nuw york ny 14, New York 10030 United States</t>
  </si>
  <si>
    <t>Mesias alfonso</t>
  </si>
  <si>
    <t>keylinc12@nycstudents.net</t>
  </si>
  <si>
    <t>6 Edgecombe Avenue New York, New York 10030 United States</t>
  </si>
  <si>
    <t>Sumlang</t>
  </si>
  <si>
    <t>chloesumlang0216@nycstudents.net</t>
  </si>
  <si>
    <t>Additional Email:  Chloesumlang0216@gmail.com</t>
  </si>
  <si>
    <t>18-15 maspeth, New York 11279 United States</t>
  </si>
  <si>
    <t>(1)929-342-9539</t>
  </si>
  <si>
    <t>Irene Sumlang</t>
  </si>
  <si>
    <t>Irenesumlang@gmail.com</t>
  </si>
  <si>
    <t>axeln29@nycstudents.net</t>
  </si>
  <si>
    <t>Additional Email Mariapascal694@gmail.com</t>
  </si>
  <si>
    <t>60-43 68th Ave Queens, New York 11385 United States</t>
  </si>
  <si>
    <t>(718)930-8159</t>
  </si>
  <si>
    <t>Maspth - I.S. 93</t>
  </si>
  <si>
    <t>Maria Pascal</t>
  </si>
  <si>
    <t>mariapascal694@gmail.com</t>
  </si>
  <si>
    <t>nunezleila6@gmail.com</t>
  </si>
  <si>
    <t>600 West 136th Street #4B New York, N.Y. 10031</t>
  </si>
  <si>
    <t>+13472769702</t>
  </si>
  <si>
    <t>Riverdale Kingsbridge Academy NY</t>
  </si>
  <si>
    <t>Carlos Nunez</t>
  </si>
  <si>
    <t>Alejandro</t>
  </si>
  <si>
    <t>Dejesus</t>
  </si>
  <si>
    <t>alejandrod41@nycstudents.net</t>
  </si>
  <si>
    <t>6003 68th avenue Ridgewood, NY 11385</t>
  </si>
  <si>
    <t>+19294002536</t>
  </si>
  <si>
    <t>Judy cruz</t>
  </si>
  <si>
    <t>Aryn</t>
  </si>
  <si>
    <t>aryna@nycstudent.net</t>
  </si>
  <si>
    <t>6013 menahan street Flushing, NY 11385</t>
  </si>
  <si>
    <t>+19292286600</t>
  </si>
  <si>
    <t>Chronicle Arias</t>
  </si>
  <si>
    <t>Scarlett</t>
  </si>
  <si>
    <t>Cotto</t>
  </si>
  <si>
    <t>scarlettsophie03@gmail.com</t>
  </si>
  <si>
    <t>Hetal made her inactive on 3/31 after receiving an email from Wendy Nicholas saying that Scarlett isn't interested in continuing for IR3 Hetal updated her email from scarlettsophia03@icloud.com to her gmail (2/2/22)</t>
  </si>
  <si>
    <t>186 E 164th St Apt 4B, Bronx NY, 10456</t>
  </si>
  <si>
    <t>+19292739022</t>
  </si>
  <si>
    <t>Noemi Martinez</t>
  </si>
  <si>
    <t>scarlettsophia03@icloud.com</t>
  </si>
  <si>
    <t>+16463053203</t>
  </si>
  <si>
    <t>Deosaran</t>
  </si>
  <si>
    <t>abigaildeosaran@gmail.com</t>
  </si>
  <si>
    <t>194-16 hollis ave</t>
  </si>
  <si>
    <t>+16463993458</t>
  </si>
  <si>
    <t>Rachelle Boodram</t>
  </si>
  <si>
    <t xml:space="preserve">CUNY - Queensbourough </t>
  </si>
  <si>
    <t>Raymound</t>
  </si>
  <si>
    <t>raymound.sanchez@casa311.com</t>
  </si>
  <si>
    <t>Corona</t>
  </si>
  <si>
    <t>+19294045065</t>
  </si>
  <si>
    <t>Johana sanchez</t>
  </si>
  <si>
    <t>Ani</t>
  </si>
  <si>
    <t>aniperez@claremontihs.org</t>
  </si>
  <si>
    <t>2051 Grand concourse Bronx, NY 10453</t>
  </si>
  <si>
    <t>+19295353726</t>
  </si>
  <si>
    <t>Aniquenia Castro</t>
  </si>
  <si>
    <t>jasminew46706@gmail.com</t>
  </si>
  <si>
    <t>207-21 Hillside Avenue Queens Village, New York 11427</t>
  </si>
  <si>
    <t>+16464726280</t>
  </si>
  <si>
    <t>Marjorie White</t>
  </si>
  <si>
    <t xml:space="preserve">Queensbourough Community college </t>
  </si>
  <si>
    <t>Yeiry</t>
  </si>
  <si>
    <t>Rosa rodriguez</t>
  </si>
  <si>
    <t>rosayeiry@gmail.com</t>
  </si>
  <si>
    <t>215 bush st</t>
  </si>
  <si>
    <t>+19295386441</t>
  </si>
  <si>
    <t>Jeidy rodriguez</t>
  </si>
  <si>
    <t>adamc134@nycstudents.com</t>
  </si>
  <si>
    <t xml:space="preserve">6029 Madison street Flushing, NY 11385 </t>
  </si>
  <si>
    <t>+13472212357</t>
  </si>
  <si>
    <t>Rose colon</t>
  </si>
  <si>
    <t>pr4life@aol.com</t>
  </si>
  <si>
    <t>6039 71st Avenue Ridgewood</t>
  </si>
  <si>
    <t>+13475541819</t>
  </si>
  <si>
    <t>Mryna Rivera, Carlotta Rivera</t>
  </si>
  <si>
    <t>Aidan</t>
  </si>
  <si>
    <t>Lester</t>
  </si>
  <si>
    <t>aidanl76@nycstudents.net</t>
  </si>
  <si>
    <t>2325 100th Street East Elmhurst</t>
  </si>
  <si>
    <t>+13476179211</t>
  </si>
  <si>
    <t>Cameron De Suza</t>
  </si>
  <si>
    <t>Estefania</t>
  </si>
  <si>
    <t>108071674@ideastudent.org</t>
  </si>
  <si>
    <t>6043 castle hunt, 78218, San Antonio</t>
  </si>
  <si>
    <t>Abdelaal</t>
  </si>
  <si>
    <t>yousefabdela0@gmail.com</t>
  </si>
  <si>
    <t>6045 70th avenue ridgewood NY</t>
  </si>
  <si>
    <t>+19292939660</t>
  </si>
  <si>
    <t>Sara Abdelaal</t>
  </si>
  <si>
    <t>isantia21@is125q.org</t>
  </si>
  <si>
    <t>6109 39th Ave Apt H6, Woodside, NY 11377</t>
  </si>
  <si>
    <t>+19292067454</t>
  </si>
  <si>
    <t>Alejandra Vanegas</t>
  </si>
  <si>
    <t>Campoverde</t>
  </si>
  <si>
    <t>alejandracamp0917@gmail.com</t>
  </si>
  <si>
    <t>611 Onderdonk Ave, Ridgewood, NY 11385</t>
  </si>
  <si>
    <t>+13477017485</t>
  </si>
  <si>
    <t>Monica Barros</t>
  </si>
  <si>
    <t>Morillo</t>
  </si>
  <si>
    <t>robert.morillo.24@wheels-student.org</t>
  </si>
  <si>
    <t>About Intern:  The second Intern was born in America but his parents are from the Dominican Republic. He is native English speaker. This is his first year and second round in the program. The jobs that he listed that he is interested in are, &amp;#34;Comedian, script writing, Acting&amp;#34;.</t>
  </si>
  <si>
    <t>611 West 176th street, New York, NY 10033 Apt 1C</t>
  </si>
  <si>
    <t>+19174036517</t>
  </si>
  <si>
    <t>Robert Morillo</t>
  </si>
  <si>
    <t>kingmorillo@gmail.com</t>
  </si>
  <si>
    <t>+19293301883</t>
  </si>
  <si>
    <t>Silvana.</t>
  </si>
  <si>
    <t>418 east 77th street</t>
  </si>
  <si>
    <t>Marisol Merchan</t>
  </si>
  <si>
    <t>Ronald.</t>
  </si>
  <si>
    <t>2229 valetine avenue 1c, Bronx, NY 10457</t>
  </si>
  <si>
    <t>frania</t>
  </si>
  <si>
    <t>Iyana</t>
  </si>
  <si>
    <t>Rankin</t>
  </si>
  <si>
    <t>iyanarankin05@gmail.com</t>
  </si>
  <si>
    <t>636 East 96 Street Brooklyn, NY 11236</t>
  </si>
  <si>
    <t>+13475456409</t>
  </si>
  <si>
    <t>Donna Kornegay</t>
  </si>
  <si>
    <t>Donnakornegay33@gmail.com</t>
  </si>
  <si>
    <t>+13475457951</t>
  </si>
  <si>
    <t>Rocky Mountain College- I attent online</t>
  </si>
  <si>
    <t>Ronen</t>
  </si>
  <si>
    <t>countryman</t>
  </si>
  <si>
    <t>ronenc@nycstudents.net</t>
  </si>
  <si>
    <t>6472 82nd Place NY, New York 11379 United States</t>
  </si>
  <si>
    <t>Alissa countryman</t>
  </si>
  <si>
    <t>alissabobrow@gmail.com</t>
  </si>
  <si>
    <t>646-498-9532</t>
  </si>
  <si>
    <t>Domingo</t>
  </si>
  <si>
    <t>jayd8208@gmail.com</t>
  </si>
  <si>
    <t>65 grandview ave new york, New York 10303 United States</t>
  </si>
  <si>
    <t>(917)673-6038</t>
  </si>
  <si>
    <t>shanna walker</t>
  </si>
  <si>
    <t>shanna.walker@aol.com</t>
  </si>
  <si>
    <t>(917)535-0021</t>
  </si>
  <si>
    <t>Grace</t>
  </si>
  <si>
    <t>Avellino</t>
  </si>
  <si>
    <t>gracea77@nycstudents.net</t>
  </si>
  <si>
    <t>65-15 78th street Middle village, New York 11379 United States</t>
  </si>
  <si>
    <t xml:space="preserve">"I loved how everything we did was fun and enjoyable. I learned the importance of teamwork, listening, and stakeholder roles in the arts. I realized that to be a good leader, I also need to be a good listener. Originally, I wanted to pursue singing/acting, but now I’m considering medical fields."
</t>
  </si>
  <si>
    <t>Richard Avellino</t>
  </si>
  <si>
    <t>ravellino67@gmail.com</t>
  </si>
  <si>
    <t>Genevib</t>
  </si>
  <si>
    <t>genevib122@gmail.com</t>
  </si>
  <si>
    <t>66-03 Fresh Pond RD</t>
  </si>
  <si>
    <t>+13476780094</t>
  </si>
  <si>
    <t>Yvanna De Los Angeles</t>
  </si>
  <si>
    <t>Chynah</t>
  </si>
  <si>
    <t>loveable.chy23@gmail.com</t>
  </si>
  <si>
    <t>Additional Email - chynaha23@gmail.com</t>
  </si>
  <si>
    <t>668 cary ave staten island, New York 10310 United States</t>
  </si>
  <si>
    <t>(347)825-1947</t>
  </si>
  <si>
    <t>barbara adams</t>
  </si>
  <si>
    <t>barbarakadams87@yahoo.com</t>
  </si>
  <si>
    <t>(347)283-3848</t>
  </si>
  <si>
    <t>Tenesaca</t>
  </si>
  <si>
    <t>kevint5382@nycstudents.net</t>
  </si>
  <si>
    <t>Additional Email tenesacak07@gmail.com</t>
  </si>
  <si>
    <t>680 48th st estados unidos, New York 11220 United States</t>
  </si>
  <si>
    <t>(718)344-7195</t>
  </si>
  <si>
    <t>Han</t>
  </si>
  <si>
    <t>terrenceh35@nycstudents.net</t>
  </si>
  <si>
    <t>70-02 54th Ave NY, New York 11378 United States</t>
  </si>
  <si>
    <t>Jialing</t>
  </si>
  <si>
    <t>Amayreli</t>
  </si>
  <si>
    <t>Ortega Garcia</t>
  </si>
  <si>
    <t>amayrelio@nycstudents.net</t>
  </si>
  <si>
    <t>70-02 54th Ave Queens, New York 11378 United States</t>
  </si>
  <si>
    <t>1+(929)-(5044)-(585)</t>
  </si>
  <si>
    <t>Vanessa Garcia</t>
  </si>
  <si>
    <t>william</t>
  </si>
  <si>
    <t>william.robinson@ichsbronx.org</t>
  </si>
  <si>
    <t>2514 colden avenue ,Bronx NewYork ,10469</t>
  </si>
  <si>
    <t>+19294741416</t>
  </si>
  <si>
    <t>william robinson</t>
  </si>
  <si>
    <t>Roldan</t>
  </si>
  <si>
    <t>sorayar9@nycstudents.net</t>
  </si>
  <si>
    <t>70-02 66th street apt 1L</t>
  </si>
  <si>
    <t>+17188138697</t>
  </si>
  <si>
    <t>Sadie Guerra</t>
  </si>
  <si>
    <t>Alexandra</t>
  </si>
  <si>
    <t>Szostak</t>
  </si>
  <si>
    <t>alexandras188@nycstudents.net</t>
  </si>
  <si>
    <t>70-16 60th street 2R NY 11385</t>
  </si>
  <si>
    <t>+13476289514</t>
  </si>
  <si>
    <t>Ewa Szostak</t>
  </si>
  <si>
    <t>Bradley</t>
  </si>
  <si>
    <t>Edwards</t>
  </si>
  <si>
    <t>bradleye13@nycstudents.net</t>
  </si>
  <si>
    <t>715 New York Ave North Baldwin</t>
  </si>
  <si>
    <t>+13477422847</t>
  </si>
  <si>
    <t>Anecka Jean-Francois</t>
  </si>
  <si>
    <t>Aneckaphillip81@gmail.com</t>
  </si>
  <si>
    <t>+13476458165</t>
  </si>
  <si>
    <t>Micaias</t>
  </si>
  <si>
    <t>obedm695@gmail.com</t>
  </si>
  <si>
    <t>268 west256th st.</t>
  </si>
  <si>
    <t>+19143493099</t>
  </si>
  <si>
    <t>Nadiye Gonzalez</t>
  </si>
  <si>
    <t>Nadiyegonzalez@gmail.com</t>
  </si>
  <si>
    <t>+13474886278</t>
  </si>
  <si>
    <t>wendy</t>
  </si>
  <si>
    <t>carchipulla</t>
  </si>
  <si>
    <t>wendy.carchipullaviz@casa311.com</t>
  </si>
  <si>
    <t>Alternate Email: vizhnayrosa7@gmail.com</t>
  </si>
  <si>
    <t>34 71 111th Corona 11368</t>
  </si>
  <si>
    <t>+13476915712</t>
  </si>
  <si>
    <t>rosa vizhany</t>
  </si>
  <si>
    <t>aazad21@is125q.org</t>
  </si>
  <si>
    <t>72-10 41st Ave Woodside NY 11377 4p</t>
  </si>
  <si>
    <t>+13479726244</t>
  </si>
  <si>
    <t>Shahin Azad</t>
  </si>
  <si>
    <t>Skarleth</t>
  </si>
  <si>
    <t>skarlethacosta668@gmail.com</t>
  </si>
  <si>
    <t>35 45 94 st</t>
  </si>
  <si>
    <t>+19294714369</t>
  </si>
  <si>
    <t>Carlos Acosta</t>
  </si>
  <si>
    <t>jason2501diaz@yahoo.com</t>
  </si>
  <si>
    <t>7331 birch stage rd</t>
  </si>
  <si>
    <t>Antonio</t>
  </si>
  <si>
    <t>antoniov63@nycstudents.net</t>
  </si>
  <si>
    <t>3530 104 street Corona, New York 11368 United States</t>
  </si>
  <si>
    <t>P.S./I.S. 119 The Glendale</t>
  </si>
  <si>
    <t>Viveca valdez</t>
  </si>
  <si>
    <t>Vivaldez88@gmail.con</t>
  </si>
  <si>
    <t>Lillian</t>
  </si>
  <si>
    <t>Green</t>
  </si>
  <si>
    <t>7331 Birch stage rd</t>
  </si>
  <si>
    <t>Khyan</t>
  </si>
  <si>
    <t>albertk33@nycstudents.net</t>
  </si>
  <si>
    <t>73rd st, Jackson Heights, Roosevelt Avenue</t>
  </si>
  <si>
    <t>+19293271972</t>
  </si>
  <si>
    <t>Chee Khyan</t>
  </si>
  <si>
    <t>Yobani</t>
  </si>
  <si>
    <t>yobanig2789@nycstudents.net</t>
  </si>
  <si>
    <t>Developing Leader - He emailed us in 6/27 sharing his address. 6/28th BC replied asking for bank account to which he replied 6/29 saying that his father bank account but didn't give number and saying he wanted to participate at the Summit (7/1) . Anny reached out again in 8/9 asking for Bank account Number and again in 8/14 and by phone but no response.  PQ 8/23</t>
  </si>
  <si>
    <t>74 34 45av queens</t>
  </si>
  <si>
    <t>lizbeth perez, moses gonzalez</t>
  </si>
  <si>
    <t>Guterirez</t>
  </si>
  <si>
    <t>leslyg32@nycstudents.net</t>
  </si>
  <si>
    <t>74-41 45th Avenue, Elmhurst,NY 11373</t>
  </si>
  <si>
    <t>+19172571040</t>
  </si>
  <si>
    <t>Mercedes Herrera</t>
  </si>
  <si>
    <t>Tylynn</t>
  </si>
  <si>
    <t>Reddick</t>
  </si>
  <si>
    <t>tylynnreddick@gmail.com</t>
  </si>
  <si>
    <t>Reasoning N/A Business Idea I wanna start real estate Social Problem By keeping the community clean and non violent</t>
  </si>
  <si>
    <t>773 manor rd Staten Island, New York 10314 United States</t>
  </si>
  <si>
    <t>(347)522-2115</t>
  </si>
  <si>
    <t>Deirdre hines</t>
  </si>
  <si>
    <t>deirdrehines@ymail.com</t>
  </si>
  <si>
    <t>(347)893-0472</t>
  </si>
  <si>
    <t>Micaela</t>
  </si>
  <si>
    <t>Arana</t>
  </si>
  <si>
    <t>micaelaa9@nycstudents.net</t>
  </si>
  <si>
    <t>79 15 penelope ave Middle village,NY, New York 11379 United States</t>
  </si>
  <si>
    <t>Vanassa</t>
  </si>
  <si>
    <t>Micaelaa9@nycstudents.net</t>
  </si>
  <si>
    <t>Anonya</t>
  </si>
  <si>
    <t>Barua</t>
  </si>
  <si>
    <t>subirbarua2303@gmail.com</t>
  </si>
  <si>
    <t>79-11 41st Ave Apt C211 Elmhurst NY 11373</t>
  </si>
  <si>
    <t>+19292574178</t>
  </si>
  <si>
    <t>Subir Barua</t>
  </si>
  <si>
    <t>Jaliyha</t>
  </si>
  <si>
    <t>Eberhart</t>
  </si>
  <si>
    <t>jaliyhae0499@bronxcommunityhighschool.org</t>
  </si>
  <si>
    <t>365 E 183rd street 4fd bronx ny 10458</t>
  </si>
  <si>
    <t>+16467849692</t>
  </si>
  <si>
    <t>elicia vails</t>
  </si>
  <si>
    <t>vailselicia1@gmail.com</t>
  </si>
  <si>
    <t>Landi</t>
  </si>
  <si>
    <t>lesliel77@nycstudenrs.net</t>
  </si>
  <si>
    <t>Additional Email landimanuel56@gmail.com</t>
  </si>
  <si>
    <t>79-11 41st Ave. Elmhurst, New York 11373 United States</t>
  </si>
  <si>
    <t>(929)304-3857</t>
  </si>
  <si>
    <t>Manuel Landi</t>
  </si>
  <si>
    <t>landimanuel56@gmail.com</t>
  </si>
  <si>
    <t>liam</t>
  </si>
  <si>
    <t>guiffre</t>
  </si>
  <si>
    <t>liamg86@nycstudents.net</t>
  </si>
  <si>
    <t>79-15 Penelope Ave Middle Village, New York 11379 United States</t>
  </si>
  <si>
    <t>Karen Guiffre</t>
  </si>
  <si>
    <t>Tacuri</t>
  </si>
  <si>
    <t>lesliet77@nycstudents.net</t>
  </si>
  <si>
    <t>37-21 100th St</t>
  </si>
  <si>
    <t>+13479658842</t>
  </si>
  <si>
    <t>Maria pintado</t>
  </si>
  <si>
    <t>Grover</t>
  </si>
  <si>
    <t>jacobg422@nyc.studnets.net</t>
  </si>
  <si>
    <t>79-15 Penelope Ave middle village, NY New York City, New York 11379 United States</t>
  </si>
  <si>
    <t>Lisa</t>
  </si>
  <si>
    <t>PurestLisa@aol.com</t>
  </si>
  <si>
    <t>917-751-8378</t>
  </si>
  <si>
    <t>Karen Maria</t>
  </si>
  <si>
    <t>Grullon Moronta</t>
  </si>
  <si>
    <t>karenmoronta657@gmail.com</t>
  </si>
  <si>
    <t>790 Gran Concourse</t>
  </si>
  <si>
    <t>+19173421030</t>
  </si>
  <si>
    <t>Arpan</t>
  </si>
  <si>
    <t>Dhar</t>
  </si>
  <si>
    <t>lowerlorg@gmail.com</t>
  </si>
  <si>
    <t>80 90</t>
  </si>
  <si>
    <t>+13477769888</t>
  </si>
  <si>
    <t>CDhar</t>
  </si>
  <si>
    <t>Cielo</t>
  </si>
  <si>
    <t>brandonc735@nycstudents.net</t>
  </si>
  <si>
    <t>80-18 45th Ave Elmhurst, NY 11373</t>
  </si>
  <si>
    <t>+17183737399</t>
  </si>
  <si>
    <t>Andy Maria</t>
  </si>
  <si>
    <t>kevina455@nycstudents.net</t>
  </si>
  <si>
    <t>801 Cypress Avenue Flushing, NY 11385</t>
  </si>
  <si>
    <t>+13478987856</t>
  </si>
  <si>
    <t>Maria Sinchi</t>
  </si>
  <si>
    <t>jenniferm485@nycstudens.net</t>
  </si>
  <si>
    <t>81-17 Britton Ave Elmhurst, New York 11373 United States</t>
  </si>
  <si>
    <t>(929)451-2233</t>
  </si>
  <si>
    <t>mCoxbaxin21@gmail.com</t>
  </si>
  <si>
    <t>347765-7641</t>
  </si>
  <si>
    <t>Teji</t>
  </si>
  <si>
    <t>Bains</t>
  </si>
  <si>
    <t>hartejpartapb@nycstudents.net</t>
  </si>
  <si>
    <t>8128 261st glen oaks 11004 glen oaks, New York 11004 United States</t>
  </si>
  <si>
    <t>(516)906-8979</t>
  </si>
  <si>
    <t>kuldip</t>
  </si>
  <si>
    <t>Bkuldip718@gmail.com</t>
  </si>
  <si>
    <t>(718)314-5218</t>
  </si>
  <si>
    <t>fatimag23@nycstudents.net</t>
  </si>
  <si>
    <t>83-40 Britton Ave elmhurst 11373</t>
  </si>
  <si>
    <t>+13476592789</t>
  </si>
  <si>
    <t>Rafael Garcia</t>
  </si>
  <si>
    <t>Jandiel</t>
  </si>
  <si>
    <t>Pesantez</t>
  </si>
  <si>
    <t>p.jandiel2020@flushinginternational.org</t>
  </si>
  <si>
    <t>He fell asleep for a while in session 2 but was willing to know and learn.</t>
  </si>
  <si>
    <t>45 36 national st</t>
  </si>
  <si>
    <t>+13475690850</t>
  </si>
  <si>
    <t>johanna roldan</t>
  </si>
  <si>
    <t>Dontay</t>
  </si>
  <si>
    <t>Mccaskill</t>
  </si>
  <si>
    <t>108046307@ideastudent.org</t>
  </si>
  <si>
    <t>8351 greenham street</t>
  </si>
  <si>
    <t>Jackson and James</t>
  </si>
  <si>
    <t>angelg415@nycstudents.net</t>
  </si>
  <si>
    <t>84 19 51AV</t>
  </si>
  <si>
    <t>+13472947829</t>
  </si>
  <si>
    <t>Eliana Hernandez</t>
  </si>
  <si>
    <t>Antonino (Nino)</t>
  </si>
  <si>
    <t>antoninol3@nycstudents.net</t>
  </si>
  <si>
    <t>Additional Email:  onetakeking@gmail.com</t>
  </si>
  <si>
    <t>84-46 Dana Ct Queens, New York 11379 United States</t>
  </si>
  <si>
    <t>Nick Luciano</t>
  </si>
  <si>
    <t>nickluciano@yahoo.com</t>
  </si>
  <si>
    <t>Kong</t>
  </si>
  <si>
    <t>davidk260@nycstudents.net</t>
  </si>
  <si>
    <t>84-79</t>
  </si>
  <si>
    <t>+19176128818</t>
  </si>
  <si>
    <t>Zhou die qiu</t>
  </si>
  <si>
    <t>Nathalie</t>
  </si>
  <si>
    <t>nathalieflores062710@gmail.com</t>
  </si>
  <si>
    <t>48 11 98th at Corona ny 11368</t>
  </si>
  <si>
    <t>+19294567936</t>
  </si>
  <si>
    <t>Jose Flores</t>
  </si>
  <si>
    <t>Kaylin (Kay)</t>
  </si>
  <si>
    <t>Newmwn</t>
  </si>
  <si>
    <t>kaylinnewmann@gmail.com</t>
  </si>
  <si>
    <t>Reasoning N/A Business Idea More effective healthcare performance Social Problem Gun control</t>
  </si>
  <si>
    <t>87-04 commonwealth blvd Queens, New York 11426 United States</t>
  </si>
  <si>
    <t>(347)476-9829</t>
  </si>
  <si>
    <t>Kaylin</t>
  </si>
  <si>
    <t>2023_mohameddoukoure@ihs-us.org</t>
  </si>
  <si>
    <t>488 E 163rd street Apt 3D Bronx, NY</t>
  </si>
  <si>
    <t>+16319337322</t>
  </si>
  <si>
    <t>Mahoua Kouyate</t>
  </si>
  <si>
    <t>fengchai168@gmail.com</t>
  </si>
  <si>
    <t>53-40 96st floor 2 corona ny 11368</t>
  </si>
  <si>
    <t>+16465153864</t>
  </si>
  <si>
    <t>Fengchai</t>
  </si>
  <si>
    <t>Romero Reyes</t>
  </si>
  <si>
    <t>luisr721@nycstudents.net</t>
  </si>
  <si>
    <t>87-15 77th Woodhaven</t>
  </si>
  <si>
    <t>+13479887944</t>
  </si>
  <si>
    <t>Jose Luis Romero</t>
  </si>
  <si>
    <t>Teutle</t>
  </si>
  <si>
    <t>alejandrot43@nycstudents.net</t>
  </si>
  <si>
    <t>87-36 52nd Avenue Elmhurst,ny.11373</t>
  </si>
  <si>
    <t>+19295707673</t>
  </si>
  <si>
    <t>Livia teutle</t>
  </si>
  <si>
    <t>Jeimery</t>
  </si>
  <si>
    <t>jsosa8618@chcprep.net</t>
  </si>
  <si>
    <t>Alternate email: jeimery123@gmail.com In 250 ? 500 words, describe three traits which make you a leader and a strong student. Three traits which make me a Leader and a strong student would be a good communicator, hardworking and encouraging. In 100 ? 250 words, how can SPEAKHIRE help you you boost your own academic profile? Speakhire could help me boost my own academic profile by having. An opportunity to network with new people and can lead to bigger career opportunities. In 100 ? 250 words, what opportunities do young people who are immigrant and first-generation American currently have to gain awareness of career opportunities? The opportunities that young people who are immigrant and first-generation American currently have to gain awareness of career opportunities by exploring immigration of the United States children will gain an understanding of the variety of reason why people emigrate and how immigration has changed and stayed the same. In 250 ? 500 words, why you would succeed as a SPEAKHIRE for your grade at your school. If you do not meet all the requirements, explain why we should consider you for the position. I would succeed as a Speakhire for my grade at school because I have excellent communication skills in different group setting and Engagement , and the opportunity to grow as a person. List the classes you will be taking the upcoming school year and any other activities which will keep you occupied. Please explain to us how many hours a week you will dedicate towards SPEAKHIRE and what your schedule will look like. Classes I?m taking this upcoming year is chemistry, Video games , Algebra ll, Trigonmetry ,ELA ,Us History , gym. The hours a week i will dedicate would be after school hour. Outline your main responsibilities as a SPEAKHIRE Ambassador: Providing feedback and insight ,participating , communication.</t>
  </si>
  <si>
    <t>8710 85st Woodhaven Queens New York 11421</t>
  </si>
  <si>
    <t>+19294946713</t>
  </si>
  <si>
    <t>Maria Anglero</t>
  </si>
  <si>
    <t>mariabella182@gmail.com</t>
  </si>
  <si>
    <t>+16468043307</t>
  </si>
  <si>
    <t>Mishka</t>
  </si>
  <si>
    <t>mishkam3@nycstudents.net</t>
  </si>
  <si>
    <t>8748937509 maspeth, New York 11378 United States</t>
  </si>
  <si>
    <t>andrea diaz</t>
  </si>
  <si>
    <t>hfihfwiuwghi@gmail.com</t>
  </si>
  <si>
    <t>(897)897-9878</t>
  </si>
  <si>
    <t>Aspiroz</t>
  </si>
  <si>
    <t>omara236@nycstudents.net</t>
  </si>
  <si>
    <t>88-20 Whitney Avenue, Elmhurst, NY 11373</t>
  </si>
  <si>
    <t>+13474387007</t>
  </si>
  <si>
    <t>Gregoria Aspiroz</t>
  </si>
  <si>
    <t>Aileen</t>
  </si>
  <si>
    <t>Aceituno</t>
  </si>
  <si>
    <t>aceitunoaileen5@gmail.com</t>
  </si>
  <si>
    <t>8835 Willmon Way Building X Apt02 Windcrest  TX 78239 United States</t>
  </si>
  <si>
    <t>+13107662099</t>
  </si>
  <si>
    <t>Sayda Lopez</t>
  </si>
  <si>
    <t>Zainab</t>
  </si>
  <si>
    <t>Tunkara</t>
  </si>
  <si>
    <t>zainab.tunkara@gchs.nyc</t>
  </si>
  <si>
    <t>Email: zainab.tunkara@gchs.nyc Phone #: &amp;#43;19293417163 Emergency Contact Ummkulthum Tunkara (sister) - 9293419297</t>
  </si>
  <si>
    <t>889 Hunts Point Ave</t>
  </si>
  <si>
    <t>Fatoumata Tunkara</t>
  </si>
  <si>
    <t>fatoutunkara433@gmail.com</t>
  </si>
  <si>
    <t>Grayson</t>
  </si>
  <si>
    <t>graysonchen1004@gmail.com</t>
  </si>
  <si>
    <t>Additional Email yichen820320@gmail.com</t>
  </si>
  <si>
    <t>57-49 mazeau st Maspeth, New York 11378 United States</t>
  </si>
  <si>
    <t>Yi Chen</t>
  </si>
  <si>
    <t>yichen820320@gmail.com</t>
  </si>
  <si>
    <t>hazelp0307@icloud.com</t>
  </si>
  <si>
    <t>59-21 Calloway street apt 4m corona New York 11368</t>
  </si>
  <si>
    <t>+16469647242</t>
  </si>
  <si>
    <t xml:space="preserve">Fashion industries
</t>
  </si>
  <si>
    <t>Gricelda Mejia</t>
  </si>
  <si>
    <t>j.leon@ihsph.org</t>
  </si>
  <si>
    <t>590 E 21 ST</t>
  </si>
  <si>
    <t>+19783268973</t>
  </si>
  <si>
    <t>Ana Silvia Ramos</t>
  </si>
  <si>
    <t>melanyochoa2851@gmail.com</t>
  </si>
  <si>
    <t>89-06 91st ave Woodhaven 11421</t>
  </si>
  <si>
    <t>+19294126544</t>
  </si>
  <si>
    <t>Norma</t>
  </si>
  <si>
    <t>Davionn</t>
  </si>
  <si>
    <t>davdown92@gmail.com</t>
  </si>
  <si>
    <t>919 E 84st 11236</t>
  </si>
  <si>
    <t>+13473379460</t>
  </si>
  <si>
    <t>Doreen Thomas</t>
  </si>
  <si>
    <t>Abbas</t>
  </si>
  <si>
    <t>zhara0307@gmail.com</t>
  </si>
  <si>
    <t>92 29 53rd av apt 2a</t>
  </si>
  <si>
    <t>+16467047762</t>
  </si>
  <si>
    <t>zhara abbas</t>
  </si>
  <si>
    <t>Eduardo</t>
  </si>
  <si>
    <t>eduardog88@nycstudent.net</t>
  </si>
  <si>
    <t>92-44 51st elmhurst 11373</t>
  </si>
  <si>
    <t>+13474555896</t>
  </si>
  <si>
    <t>Thomas (Alejandro)</t>
  </si>
  <si>
    <t>thomasr7511@nycstudents.net</t>
  </si>
  <si>
    <t>6 Edgecombe Ave 4th floor, New York, NY 10030 manhattan, New York 10030 United States</t>
  </si>
  <si>
    <t>melissao53@nycstudents.net</t>
  </si>
  <si>
    <t>9243 52nd ave elmhurst</t>
  </si>
  <si>
    <t>+19173482250</t>
  </si>
  <si>
    <t>Ivonne Ortega</t>
  </si>
  <si>
    <t>Suri</t>
  </si>
  <si>
    <t>Smatkitboriharn</t>
  </si>
  <si>
    <t>suris18@nycstudents.net</t>
  </si>
  <si>
    <t>9307 49th ave Flushing, NY 11373</t>
  </si>
  <si>
    <t>+19294240518</t>
  </si>
  <si>
    <t>Suchart Smatkitboriharn</t>
  </si>
  <si>
    <t>Tomai</t>
  </si>
  <si>
    <t>tomaijnelson@gmail.com</t>
  </si>
  <si>
    <t>Reasoning N/A Business Idea social work Social Problem mental health</t>
  </si>
  <si>
    <t>939 Rockaway Ave Brooklyn, New York 11212 United States</t>
  </si>
  <si>
    <t>(917)250-2180</t>
  </si>
  <si>
    <t>mona eleuthere</t>
  </si>
  <si>
    <t>haadstar@hotmail.com</t>
  </si>
  <si>
    <t>(845)664-5668</t>
  </si>
  <si>
    <t>Barrueco</t>
  </si>
  <si>
    <t>alexa.barrueco.24@wheels-student.org</t>
  </si>
  <si>
    <t>About Intern: This Intern was born in the United States. She speaks Spanish and English. This is her first round and year in the program. The jobs she listed that she is interested in are, &amp;#34;Career Open Text I?m mostly interested in Psychology, business or cosmetology.&amp;#34; Mostly she is needing someone to help her develop her general career skills. email: alexa.barrueco.24@wheels-student.org other email: alexabarrueco221@gmail.com phone number: 9294539063</t>
  </si>
  <si>
    <t>636 w 174th st apt 12C New York City New York 10033 United States</t>
  </si>
  <si>
    <t>Ruby Barrueco</t>
  </si>
  <si>
    <t>rubybarrueco221@gmail.com</t>
  </si>
  <si>
    <t>Wating</t>
  </si>
  <si>
    <t>Steveen</t>
  </si>
  <si>
    <t>Rocafuerte</t>
  </si>
  <si>
    <t>stvnchoco101805@gmail.com</t>
  </si>
  <si>
    <t>155 central ave</t>
  </si>
  <si>
    <t>+13473986754</t>
  </si>
  <si>
    <t>Byron</t>
  </si>
  <si>
    <t>Avelar Paredes</t>
  </si>
  <si>
    <t>bavelar21@is125q.org</t>
  </si>
  <si>
    <t>Email: bavelar21@is125q.org Additional email:  byronavelar0@gmail.com Haven't participated in any SPEAKHIRE programs but was recommended by Alicia Vaquero (acortes21@is125q.org) who took part in the EL course with IS125 and also doing the Planned Parenthood Virtual Program</t>
  </si>
  <si>
    <t>64-12 35th Ave, Queens, NY 11377</t>
  </si>
  <si>
    <t>Partner Program Participant</t>
  </si>
  <si>
    <t>Ruben Bolanos</t>
  </si>
  <si>
    <t>Step-Father</t>
  </si>
  <si>
    <t>rubenbolanos8@gmail.com</t>
  </si>
  <si>
    <t>Amar</t>
  </si>
  <si>
    <t>Persaud</t>
  </si>
  <si>
    <t>amarp10@nycstudents.net</t>
  </si>
  <si>
    <t>Additional Email - amarp345@icloud.com</t>
  </si>
  <si>
    <t>9435 new York city, New York 11428 United States</t>
  </si>
  <si>
    <t>Czajka</t>
  </si>
  <si>
    <t>victorc243@nycstudents.net</t>
  </si>
  <si>
    <t>6419 60th Place, Ridgewood, NY 11385</t>
  </si>
  <si>
    <t>+19179307054</t>
  </si>
  <si>
    <t>Katarzyna Czajka</t>
  </si>
  <si>
    <t>Noah</t>
  </si>
  <si>
    <t>noahr84@nycstudents.net</t>
  </si>
  <si>
    <t>95-14</t>
  </si>
  <si>
    <t>+19292313871</t>
  </si>
  <si>
    <t>Leticia castelan</t>
  </si>
  <si>
    <t>angelr4411@nycstudents.net</t>
  </si>
  <si>
    <t>96-06 43rd Avenue, Corona, NY 11368</t>
  </si>
  <si>
    <t>+16465476591</t>
  </si>
  <si>
    <t>Rocio Fructuoso</t>
  </si>
  <si>
    <t>sebastiana175@nycstudents.net</t>
  </si>
  <si>
    <t>Reasoning N/A Business Idea Creating housing for homeless and immigrant families Social Problem Poverty</t>
  </si>
  <si>
    <t>96-36 42nd Ave Queens, New York 11368 United States</t>
  </si>
  <si>
    <t>347-290-3901</t>
  </si>
  <si>
    <t>Sebastiana175@nycstudents.net</t>
  </si>
  <si>
    <t>arturob14@nycstudents.net</t>
  </si>
  <si>
    <t>97-36 55th avenue corona, NY, 11368</t>
  </si>
  <si>
    <t>Elizabeth Vazquez</t>
  </si>
  <si>
    <t>brandons630@nycstudents.net</t>
  </si>
  <si>
    <t>970243 AV</t>
  </si>
  <si>
    <t>+13474003738</t>
  </si>
  <si>
    <t>Maria Fragoso</t>
  </si>
  <si>
    <t>Thuy</t>
  </si>
  <si>
    <t>Trinh</t>
  </si>
  <si>
    <t>2022_phuongthuytrinh@ihs-us.org</t>
  </si>
  <si>
    <t>40 River Road/APT#21G, NY-10044</t>
  </si>
  <si>
    <t>+19174363340</t>
  </si>
  <si>
    <t>Hiep Trinh</t>
  </si>
  <si>
    <t>Kayla</t>
  </si>
  <si>
    <t>kaylaa126@nycstudents.net</t>
  </si>
  <si>
    <t>98-12 38 avenue</t>
  </si>
  <si>
    <t>+19178610366</t>
  </si>
  <si>
    <t>Florentina De Los Santos</t>
  </si>
  <si>
    <t>Azul</t>
  </si>
  <si>
    <t>azuls@nycstudents.net</t>
  </si>
  <si>
    <t>99-11 57 av</t>
  </si>
  <si>
    <t>+13477328045</t>
  </si>
  <si>
    <t>Ruth Santiago</t>
  </si>
  <si>
    <t>Fajardo</t>
  </si>
  <si>
    <t>johnf230@nycstudents.net</t>
  </si>
  <si>
    <t>99-19 42nd Ave</t>
  </si>
  <si>
    <t>+16463288643</t>
  </si>
  <si>
    <t>Maria Yascaribay</t>
  </si>
  <si>
    <t>99-19 St 42 Ave NY 11368</t>
  </si>
  <si>
    <t>amirsaunders7@gmail.com</t>
  </si>
  <si>
    <t>0% attendance round 1 -- Hetal discontinued 1/21/22</t>
  </si>
  <si>
    <t>65 07 Tulip Street, Philadelphia, PA</t>
  </si>
  <si>
    <t>+12154360692</t>
  </si>
  <si>
    <t>Crystal Flynn</t>
  </si>
  <si>
    <t>crysflynn@gmail.com</t>
  </si>
  <si>
    <t>+12156882355</t>
  </si>
  <si>
    <t>leyli.hernandezdeleon@casa311.com</t>
  </si>
  <si>
    <t>99-22 42 Ave Bsmt Corona N.y. 11368</t>
  </si>
  <si>
    <t>Summit 2024, Summit 2025, ICAN, "#Cheers4Careers,"</t>
  </si>
  <si>
    <t>Pinero</t>
  </si>
  <si>
    <t>nycjustinp@gmail.com</t>
  </si>
  <si>
    <t>692 Brush avenue, Bronx, 10465</t>
  </si>
  <si>
    <t>+16468860422</t>
  </si>
  <si>
    <t>Teddy Pinero</t>
  </si>
  <si>
    <t>thebeasthulk@gmail.com</t>
  </si>
  <si>
    <t>+19174020351</t>
  </si>
  <si>
    <t>Rhonda (She/Her)</t>
  </si>
  <si>
    <t>Cox</t>
  </si>
  <si>
    <t>rhondeezy43067@gmail.com</t>
  </si>
  <si>
    <t>7654 FM 78, Suite 120 78244</t>
  </si>
  <si>
    <t>+12106381937</t>
  </si>
  <si>
    <t>Toni Campbell</t>
  </si>
  <si>
    <t>Oo</t>
  </si>
  <si>
    <t>jonathano202@nycstudents.net</t>
  </si>
  <si>
    <t>84-20 51st ave Queens, New York 11373 United States</t>
  </si>
  <si>
    <t>Jonnel</t>
  </si>
  <si>
    <t>Estevez</t>
  </si>
  <si>
    <t>jonnel115@yahoo.com</t>
  </si>
  <si>
    <t>Bleecker St, 2142, Ridgewood, NYC</t>
  </si>
  <si>
    <t>+19179740864</t>
  </si>
  <si>
    <t>Ileen Estevez</t>
  </si>
  <si>
    <t>ileen253@yahoo.com</t>
  </si>
  <si>
    <t>Gisselle</t>
  </si>
  <si>
    <t>Funez</t>
  </si>
  <si>
    <t>gissellefunez.student@hseigators.org</t>
  </si>
  <si>
    <t>Bronx NY 2332 tiebout Ave apt 6E 10458 Bronx ny</t>
  </si>
  <si>
    <t>Cyndi</t>
  </si>
  <si>
    <t>Cassidie</t>
  </si>
  <si>
    <t>cassidiej@nycstudents.net</t>
  </si>
  <si>
    <t>Additional Email - cassidiejackson49@gmail.com</t>
  </si>
  <si>
    <t>94-16 205th st Hollis NY queens, New York 11423 United States</t>
  </si>
  <si>
    <t>(347)433-0497</t>
  </si>
  <si>
    <t>Trinity</t>
  </si>
  <si>
    <t>Cole</t>
  </si>
  <si>
    <t>trincole11@charter.newvisions.org</t>
  </si>
  <si>
    <t>7/19/23 quote - &amp;#34;My experience with Speakhire was amazing. I was able to learn so much and have fun doing it, which made learning new skills a breeze. Speakhire taught me about realistic career plans and how I will be able to flourish on my own in ANY field I take up.&amp;#34;</t>
  </si>
  <si>
    <t>Bronx,Ny 2641 jerome Ave</t>
  </si>
  <si>
    <t>+19178709651</t>
  </si>
  <si>
    <t>Iyesha Evans</t>
  </si>
  <si>
    <t>Urgiles</t>
  </si>
  <si>
    <t>christopheru20@nycstudents.net</t>
  </si>
  <si>
    <t>Corona ny</t>
  </si>
  <si>
    <t>+13475643459</t>
  </si>
  <si>
    <t>Cesar and nube last name urgiles</t>
  </si>
  <si>
    <t>Carranza</t>
  </si>
  <si>
    <t>bryancarranza705@gmail.com</t>
  </si>
  <si>
    <t>9808 41st ave</t>
  </si>
  <si>
    <t>+13477769180</t>
  </si>
  <si>
    <t>Mari Rosales</t>
  </si>
  <si>
    <t>Guadalupe</t>
  </si>
  <si>
    <t>Orea</t>
  </si>
  <si>
    <t>guadalupe.orealuna@casa311.com</t>
  </si>
  <si>
    <t>9907 42nd Avenue Corona, NY 11368</t>
  </si>
  <si>
    <t>+13474594083</t>
  </si>
  <si>
    <t>Leticia Luna</t>
  </si>
  <si>
    <t>Jaylenn</t>
  </si>
  <si>
    <t>jaylenn.ortega.24@wheels-student.org</t>
  </si>
  <si>
    <t>About Intern: The X Intern was also born in the United States. She speaks English and Spanish. This is her first year and round in the program. Careers that she is looking at include, &amp;#34;something that has to do with crime, fbi, or something that has to do with sports.&amp;#34;</t>
  </si>
  <si>
    <t>997 dekalb avenue</t>
  </si>
  <si>
    <t>+19177366011</t>
  </si>
  <si>
    <t>Miguelina Vargas</t>
  </si>
  <si>
    <t>Tamema</t>
  </si>
  <si>
    <t>tjahan2228@clintonhs.net</t>
  </si>
  <si>
    <t>tjahan2228@clintonhs.net 19293040071</t>
  </si>
  <si>
    <t>Bronx NY 10467</t>
  </si>
  <si>
    <t>Dewitt Clinton High School NJ</t>
  </si>
  <si>
    <t xml:space="preserve">Prospective FY </t>
  </si>
  <si>
    <t>Md F Haque</t>
  </si>
  <si>
    <t>jahantamema@gmail.com</t>
  </si>
  <si>
    <t>+19293040071</t>
  </si>
  <si>
    <t>megan</t>
  </si>
  <si>
    <t>echaverry</t>
  </si>
  <si>
    <t>meganechaverry88@gmail.com</t>
  </si>
  <si>
    <t>cypress hill street 74-48</t>
  </si>
  <si>
    <t>+13476337772</t>
  </si>
  <si>
    <t>Milagros Rivera</t>
  </si>
  <si>
    <t>Quincy</t>
  </si>
  <si>
    <t>Golden</t>
  </si>
  <si>
    <t>quincyg3577@nycstudents.net</t>
  </si>
  <si>
    <t>Elmhurst 05 85</t>
  </si>
  <si>
    <t>+16466753487</t>
  </si>
  <si>
    <t>Neffy</t>
  </si>
  <si>
    <t>Assa</t>
  </si>
  <si>
    <t>Diambou</t>
  </si>
  <si>
    <t>a.diambou@ihsph.org</t>
  </si>
  <si>
    <t>Brooklyn gate av 408</t>
  </si>
  <si>
    <t>+13477759221</t>
  </si>
  <si>
    <t>Astan Soumare</t>
  </si>
  <si>
    <t>permana</t>
  </si>
  <si>
    <t>axelp21@nycstudents.net</t>
  </si>
  <si>
    <t>Elmhurst Ave.</t>
  </si>
  <si>
    <t>+13477928637</t>
  </si>
  <si>
    <t>Budy permana wati wijjiwati</t>
  </si>
  <si>
    <t>Hillary</t>
  </si>
  <si>
    <t>Barros</t>
  </si>
  <si>
    <t>hillaryb25@nycstudnets.net</t>
  </si>
  <si>
    <t>Elmhurst Queens Ny</t>
  </si>
  <si>
    <t>+16465490840</t>
  </si>
  <si>
    <t>Olga Molina</t>
  </si>
  <si>
    <t>leannal18@nycstudents.net</t>
  </si>
  <si>
    <t>Elmurhst 85-10</t>
  </si>
  <si>
    <t>+19172808308</t>
  </si>
  <si>
    <t>Xiuying he</t>
  </si>
  <si>
    <t>Eshaun</t>
  </si>
  <si>
    <t>Singh</t>
  </si>
  <si>
    <t>eshauns@nycstudents.net</t>
  </si>
  <si>
    <t>Francis lewsis blvd queens, New York 11428 United States</t>
  </si>
  <si>
    <t>(929)866-7388</t>
  </si>
  <si>
    <t>Sadhya</t>
  </si>
  <si>
    <t>eshaun632@gmail.com</t>
  </si>
  <si>
    <t>(718)300-4431</t>
  </si>
  <si>
    <t>mia</t>
  </si>
  <si>
    <t>mia.altamirano@casa311.com</t>
  </si>
  <si>
    <t>I live in queens   106-10 34 ave</t>
  </si>
  <si>
    <t>+19176836407</t>
  </si>
  <si>
    <t>Mom: Yasmin Ramirez,   Dad: David Altamirano</t>
  </si>
  <si>
    <t>blevans032@gmail.com</t>
  </si>
  <si>
    <t>I live in San Antonio, Texas, my address is 7407 Magnolia Bluff</t>
  </si>
  <si>
    <t>+16149055772</t>
  </si>
  <si>
    <t>Benita Favours and Edward Favours</t>
  </si>
  <si>
    <t>Izabella</t>
  </si>
  <si>
    <t>Marin</t>
  </si>
  <si>
    <t>izabellam25@nycstudents.net</t>
  </si>
  <si>
    <t>I was born in America and both of my parents were born in different countries</t>
  </si>
  <si>
    <t>+16469946763</t>
  </si>
  <si>
    <t>Victoria Marin</t>
  </si>
  <si>
    <t>Josey</t>
  </si>
  <si>
    <t>jasonjosey610@gmail.com</t>
  </si>
  <si>
    <t>idk</t>
  </si>
  <si>
    <t>+13477716031</t>
  </si>
  <si>
    <t>Lillie Brown</t>
  </si>
  <si>
    <t>Karma</t>
  </si>
  <si>
    <t>Tsering</t>
  </si>
  <si>
    <t>karmat19@nycstudents.net</t>
  </si>
  <si>
    <t>Jacobus street</t>
  </si>
  <si>
    <t>+19158925799</t>
  </si>
  <si>
    <t>Sangya Thoma</t>
  </si>
  <si>
    <t>Jaden</t>
  </si>
  <si>
    <t>Cuatianquiz</t>
  </si>
  <si>
    <t>jadenc107@nycstudents.net</t>
  </si>
  <si>
    <t>Lamont av Elmhurst, NY 11373</t>
  </si>
  <si>
    <t>+19292336154</t>
  </si>
  <si>
    <t>Elizabeth Enriquez</t>
  </si>
  <si>
    <t>Devon</t>
  </si>
  <si>
    <t>Burgos</t>
  </si>
  <si>
    <t>deathkingland7676@gmail.com</t>
  </si>
  <si>
    <t>Cambria Heights 117-18 222nd St</t>
  </si>
  <si>
    <t>+15163606150</t>
  </si>
  <si>
    <t>veronica valle</t>
  </si>
  <si>
    <t>Toure.</t>
  </si>
  <si>
    <t>780 concourse village west Apt. 5a Bronx New York</t>
  </si>
  <si>
    <t>+19298559186</t>
  </si>
  <si>
    <t>Fatou Drammeh and Lasana Drammeh</t>
  </si>
  <si>
    <t>hanaehsphone@gmail.com</t>
  </si>
  <si>
    <t>Converse,Texas 8539 lone shadow trail,78109</t>
  </si>
  <si>
    <t>Sotelo</t>
  </si>
  <si>
    <t>+12109529072</t>
  </si>
  <si>
    <t>Bionca</t>
  </si>
  <si>
    <t>denisefelipe024@gmail.com</t>
  </si>
  <si>
    <t>+19293866543</t>
  </si>
  <si>
    <t>Denise Felipe</t>
  </si>
  <si>
    <t>O'Grady</t>
  </si>
  <si>
    <t>devinogrady9@gmail.com</t>
  </si>
  <si>
    <t>+19295035146</t>
  </si>
  <si>
    <t>Henry Martinez DeJesus</t>
  </si>
  <si>
    <t>Guaillas</t>
  </si>
  <si>
    <t>alex2019@flushinginternational.org</t>
  </si>
  <si>
    <t>Email: alex2019@flushinginternational.org Phone number: &amp;#43;19292685566</t>
  </si>
  <si>
    <t>jamaica 170-34 11432</t>
  </si>
  <si>
    <t>alexguayas8@gmail.com</t>
  </si>
  <si>
    <t>+19292685566</t>
  </si>
  <si>
    <t>Ajahni</t>
  </si>
  <si>
    <t>Richards</t>
  </si>
  <si>
    <t>ajahnirichards500@gmail.com</t>
  </si>
  <si>
    <t>Expecting Ambassador application </t>
  </si>
  <si>
    <t>Queens, New York 11434</t>
  </si>
  <si>
    <t>+13472853876</t>
  </si>
  <si>
    <t>Mona Collymore</t>
  </si>
  <si>
    <t>collymoremona95@gmail.com</t>
  </si>
  <si>
    <t>+13472514567</t>
  </si>
  <si>
    <t>jdjdis@outlook.com</t>
  </si>
  <si>
    <t>The hell you don't need my Address</t>
  </si>
  <si>
    <t>+18888887007</t>
  </si>
  <si>
    <t>Mitchell</t>
  </si>
  <si>
    <t>973-757-8567</t>
  </si>
  <si>
    <t>lameekacroon@gmail.com</t>
  </si>
  <si>
    <t>973-640-6732</t>
  </si>
  <si>
    <t>973-489-9536</t>
  </si>
  <si>
    <t>edna.adams37@gmail.com</t>
  </si>
  <si>
    <t>973-489-973-878-6189; 973-878-2331</t>
  </si>
  <si>
    <t>973-517-3118</t>
  </si>
  <si>
    <t>danielabrito135@gmail.com</t>
  </si>
  <si>
    <t>973-776-2340</t>
  </si>
  <si>
    <t>Donna</t>
  </si>
  <si>
    <t>862-283-2503</t>
  </si>
  <si>
    <t>vickysueno@hotmail.com</t>
  </si>
  <si>
    <t>973-849-7332</t>
  </si>
  <si>
    <t>jasonjiang250@gmail.com</t>
  </si>
  <si>
    <t>+19296228082</t>
  </si>
  <si>
    <t>mei zhen li</t>
  </si>
  <si>
    <t>Jaileen</t>
  </si>
  <si>
    <t>973-286-9669</t>
  </si>
  <si>
    <t>joanna.estevez8@gmail.com</t>
  </si>
  <si>
    <t>646-721-8306</t>
  </si>
  <si>
    <t>Jean Paul</t>
  </si>
  <si>
    <t>guzmansito121211@gmail.com</t>
  </si>
  <si>
    <t>+19293127488</t>
  </si>
  <si>
    <t>Doris Perez</t>
  </si>
  <si>
    <t>joshua.vargas.24@wheels-student.org</t>
  </si>
  <si>
    <t>+19294202672</t>
  </si>
  <si>
    <t>teresa vargas</t>
  </si>
  <si>
    <t>Zarrian</t>
  </si>
  <si>
    <t>Stewart</t>
  </si>
  <si>
    <t>stewart.zarrian@ideawalzem.org</t>
  </si>
  <si>
    <t>na you good</t>
  </si>
  <si>
    <t>+12107179911</t>
  </si>
  <si>
    <t>margo</t>
  </si>
  <si>
    <t>sergior118@nycstudents.net</t>
  </si>
  <si>
    <t>+13478484393</t>
  </si>
  <si>
    <t>Yesenia Fletes</t>
  </si>
  <si>
    <t>Areizaga</t>
  </si>
  <si>
    <t>973-820-6608</t>
  </si>
  <si>
    <t>nelsonjr.751@gmail.com</t>
  </si>
  <si>
    <t>973-820-8884</t>
  </si>
  <si>
    <t>Navarette</t>
  </si>
  <si>
    <t>973-836-3984</t>
  </si>
  <si>
    <t>nancytapia1781@gmail.com</t>
  </si>
  <si>
    <t>973-220-4681</t>
  </si>
  <si>
    <t>Nayely</t>
  </si>
  <si>
    <t>973-518-4727</t>
  </si>
  <si>
    <t>marthajimenez784@gmail.com</t>
  </si>
  <si>
    <t>Onyebuchi</t>
  </si>
  <si>
    <t>Okafor</t>
  </si>
  <si>
    <t>862-336-0105</t>
  </si>
  <si>
    <t>umie2001@gmail.com</t>
  </si>
  <si>
    <t>calix</t>
  </si>
  <si>
    <t>calixwilliam999@gmail.com</t>
  </si>
  <si>
    <t>not sure'</t>
  </si>
  <si>
    <t>+12015552031</t>
  </si>
  <si>
    <t>terry calix</t>
  </si>
  <si>
    <t>Djoumande</t>
  </si>
  <si>
    <t>NY Bryant 769</t>
  </si>
  <si>
    <t>+19295351234</t>
  </si>
  <si>
    <t>862-900-1738</t>
  </si>
  <si>
    <t>raissatoure91@gmail.com</t>
  </si>
  <si>
    <t>973-489-1015</t>
  </si>
  <si>
    <t>Reinalis</t>
  </si>
  <si>
    <t>973-855-0064</t>
  </si>
  <si>
    <t>mendezmilagros780@gmail.com</t>
  </si>
  <si>
    <t>973-202-7537</t>
  </si>
  <si>
    <t>Kejahnie</t>
  </si>
  <si>
    <t>Fagan</t>
  </si>
  <si>
    <t>kejahnie690@gmail.com</t>
  </si>
  <si>
    <t>queens 111-37 francis lewis blvd NY</t>
  </si>
  <si>
    <t>+13479779524</t>
  </si>
  <si>
    <t>Helena Hypolite</t>
  </si>
  <si>
    <t>Penzo</t>
  </si>
  <si>
    <t>973-336-7238</t>
  </si>
  <si>
    <t>milipabon@hotmail.com</t>
  </si>
  <si>
    <t>862-367-3956</t>
  </si>
  <si>
    <t>Tayshamarie</t>
  </si>
  <si>
    <t>tayshamarie.ramos@gmail.com</t>
  </si>
  <si>
    <t>973-273-3509</t>
  </si>
  <si>
    <t>Zion</t>
  </si>
  <si>
    <t>zionlogan0500@gmail.com</t>
  </si>
  <si>
    <t>queens cambria height 218 st 118-40</t>
  </si>
  <si>
    <t>+13476452086</t>
  </si>
  <si>
    <t>Numin nauhn</t>
  </si>
  <si>
    <t>Shantae</t>
  </si>
  <si>
    <t>347-299-5415</t>
  </si>
  <si>
    <t>1212shan2@gmail.com</t>
  </si>
  <si>
    <t>Abdoulaye</t>
  </si>
  <si>
    <t>Kaba</t>
  </si>
  <si>
    <t>abdoulayek2789@nycstudents.net</t>
  </si>
  <si>
    <t>queens ny</t>
  </si>
  <si>
    <t>+17182773829</t>
  </si>
  <si>
    <t>Maamadi Kaba</t>
  </si>
  <si>
    <t>Ramirez Tapia</t>
  </si>
  <si>
    <t>247-743-6531</t>
  </si>
  <si>
    <t>maddieramirez143@gmx.es</t>
  </si>
  <si>
    <t>347-512-9383</t>
  </si>
  <si>
    <t>Arianna</t>
  </si>
  <si>
    <t>ariannafrancisco893@gmail.com</t>
  </si>
  <si>
    <t>enny francisco</t>
  </si>
  <si>
    <t>ennyalba12@gmail.com</t>
  </si>
  <si>
    <t>Trevino</t>
  </si>
  <si>
    <t>108071714@ideastudent.org</t>
  </si>
  <si>
    <t>San Antiono</t>
  </si>
  <si>
    <t>+12104222999</t>
  </si>
  <si>
    <t>maricela trevino</t>
  </si>
  <si>
    <t>Luisa Gomez</t>
  </si>
  <si>
    <t>108112008@ideastudent.org</t>
  </si>
  <si>
    <t>&amp;#43;12015550123 AnnaGomez@ideastudent.org Idea112008 - 108 112008@ideastudent.org</t>
  </si>
  <si>
    <t>Karen Gomez</t>
  </si>
  <si>
    <t>Cilicia</t>
  </si>
  <si>
    <t>Cummings</t>
  </si>
  <si>
    <t>ciliciacummings12@gmail.com</t>
  </si>
  <si>
    <t xml:space="preserve">Quincy Cummings </t>
  </si>
  <si>
    <t>Perry</t>
  </si>
  <si>
    <t>destinyperry123456@gmail.com</t>
  </si>
  <si>
    <t>Left program early after being matched for MR2 FY 2019 - 2020; teen girl disputes</t>
  </si>
  <si>
    <t xml:space="preserve">Mary Boeninghaus </t>
  </si>
  <si>
    <t>mary.boeninghaus39@gmail.com</t>
  </si>
  <si>
    <t>Lenee</t>
  </si>
  <si>
    <t>Goggins</t>
  </si>
  <si>
    <t>leneegoggins@gmail.com</t>
  </si>
  <si>
    <t>Went through one full round MR1 FY 2019 - 2020 but didn't complete MR2 because of school female ingroup conflicts</t>
  </si>
  <si>
    <t>Natasha Aaron</t>
  </si>
  <si>
    <t>natasha.aaron@me.com</t>
  </si>
  <si>
    <t>Kasarah</t>
  </si>
  <si>
    <t>Windley</t>
  </si>
  <si>
    <t>windley.kasarah@gmail.com</t>
  </si>
  <si>
    <t>Carliza clarke</t>
  </si>
  <si>
    <t>carlizaclarke@gmail.com</t>
  </si>
  <si>
    <t>Mamdiara</t>
  </si>
  <si>
    <t>mamdiara.ndiaye@ellisprep.com</t>
  </si>
  <si>
    <t xml:space="preserve">Satou Tague </t>
  </si>
  <si>
    <t>mamdiara10.20@gmail.com</t>
  </si>
  <si>
    <t>Sabrin</t>
  </si>
  <si>
    <t>Haque</t>
  </si>
  <si>
    <t>ayysabrin1179@gmail.com</t>
  </si>
  <si>
    <t xml:space="preserve">Anwar Hossain </t>
  </si>
  <si>
    <t>ahossain8622@GMAIL.COM</t>
  </si>
  <si>
    <t>917-979-8622</t>
  </si>
  <si>
    <t>Xin Xi</t>
  </si>
  <si>
    <t>biubiu365734@gmail.com</t>
  </si>
  <si>
    <t>Xi Rong Huang</t>
  </si>
  <si>
    <t>qwq580230@gmail.com</t>
  </si>
  <si>
    <t>Quiga</t>
  </si>
  <si>
    <t>joselinnicole13@gmail.com</t>
  </si>
  <si>
    <t xml:space="preserve">Maria Quiga </t>
  </si>
  <si>
    <t>yoselinnicole199@gmail.com</t>
  </si>
  <si>
    <t>Hernandez Sosa</t>
  </si>
  <si>
    <t>kiarahernandezsosa@gmail.com</t>
  </si>
  <si>
    <t>646-904-1965</t>
  </si>
  <si>
    <t xml:space="preserve">Joanna Tabares </t>
  </si>
  <si>
    <t>KiaraHernandezsosa@gmail.com</t>
  </si>
  <si>
    <t>347-356-4355</t>
  </si>
  <si>
    <t>Henriquez</t>
  </si>
  <si>
    <t>kylian_colocolo_5@hotmail.com</t>
  </si>
  <si>
    <t xml:space="preserve">Ana alvarado </t>
  </si>
  <si>
    <t>929-297-3717</t>
  </si>
  <si>
    <t>Oneyda</t>
  </si>
  <si>
    <t>Melgar</t>
  </si>
  <si>
    <t>oneydamelgar14142@gmail.com</t>
  </si>
  <si>
    <t>929-217-0787</t>
  </si>
  <si>
    <t>Melida Aguilar</t>
  </si>
  <si>
    <t>347-827-9848</t>
  </si>
  <si>
    <t>Noe</t>
  </si>
  <si>
    <t>Juarez</t>
  </si>
  <si>
    <t>108047057@ideastudent.org</t>
  </si>
  <si>
    <t>&amp;#43;12105476976 108047057@ideastudent.org</t>
  </si>
  <si>
    <t>st.hedwig</t>
  </si>
  <si>
    <t>Ruben</t>
  </si>
  <si>
    <t>Dorado</t>
  </si>
  <si>
    <t>108046660@ideastudent.org</t>
  </si>
  <si>
    <t>summerwih</t>
  </si>
  <si>
    <t>+12014271587</t>
  </si>
  <si>
    <t>rubendorado</t>
  </si>
  <si>
    <t>Mason</t>
  </si>
  <si>
    <t>lil.zomber520@gmail.com</t>
  </si>
  <si>
    <t>+12102943453</t>
  </si>
  <si>
    <t>brenda flores</t>
  </si>
  <si>
    <t>cuca1114222@gmail.com</t>
  </si>
  <si>
    <t>phone number: &amp;#43;15169021544 email: cuca1114222@gmail.com</t>
  </si>
  <si>
    <t>WEST HEMPSTEAD, NY 11552-2659</t>
  </si>
  <si>
    <t>Maria montes</t>
  </si>
  <si>
    <t>Abrahan</t>
  </si>
  <si>
    <t>abrahan.german@ellisprep.com</t>
  </si>
  <si>
    <t>Abrahan never followed through with applying and coming to sessions even though he was matched with Demi IR 1 FY 20-21.  Whatsapp: 347-862-5505</t>
  </si>
  <si>
    <t>347-862-5505</t>
  </si>
  <si>
    <t>Nyheem</t>
  </si>
  <si>
    <t>nrobinson6526@bxslf.org</t>
  </si>
  <si>
    <t>willett ave, bronx ny</t>
  </si>
  <si>
    <t>+19294044227</t>
  </si>
  <si>
    <t>Veronica Brown</t>
  </si>
  <si>
    <t>Nofah</t>
  </si>
  <si>
    <t>Daeis</t>
  </si>
  <si>
    <t>nofahd@nycstudents.net</t>
  </si>
  <si>
    <t>Additional Email nofahd@gmail.com</t>
  </si>
  <si>
    <t>Woodside 43-10 New York, New York 11377 United States</t>
  </si>
  <si>
    <t>(646)842-1448</t>
  </si>
  <si>
    <t>Samir Daeis</t>
  </si>
  <si>
    <t>sdaeis@yahoo.com</t>
  </si>
  <si>
    <t>(646)483-1449</t>
  </si>
  <si>
    <t>Fatimah</t>
  </si>
  <si>
    <t>Jawneh</t>
  </si>
  <si>
    <t>fatima.jawneh2@gmail.com</t>
  </si>
  <si>
    <t>FY alumni, missing kintone record</t>
  </si>
  <si>
    <t>vgarcia21202@gmail.com</t>
  </si>
  <si>
    <t>12 Sessions - we matched Vanessa with a veterinarian who told her exactly what she should do and she decided she didn't need another Champion because she actually got in to a summer hs vet program.</t>
  </si>
  <si>
    <t>973-803-6856</t>
  </si>
  <si>
    <t>garcia618@aol.com</t>
  </si>
  <si>
    <t>Begayim</t>
  </si>
  <si>
    <t>Makenova</t>
  </si>
  <si>
    <t>bmakenova@gmai.com</t>
  </si>
  <si>
    <t>Fy alum, no record in kintone</t>
  </si>
  <si>
    <t>nastiagomes@gmail.com</t>
  </si>
  <si>
    <t>ghe@gmail.com</t>
  </si>
  <si>
    <t>benjaminm224@nycstudents.net</t>
  </si>
  <si>
    <t>Noashin</t>
  </si>
  <si>
    <t>Sarker</t>
  </si>
  <si>
    <t>sarker.noashin@ellisprep.com</t>
  </si>
  <si>
    <t>Goes by Nafisha Naoshin as full name  Lena and Nafisha met in the main room of a session and Nafisha said she was interested in learning more about nursing -- Lena said she's a nurse; they both agreed to this as a tentative match - Hetal December 9, 2020 &amp;#34;I'm thankful to learn what it takes to achieve future goals and build my confidence to pursue them through SPEAK. This is my second year, and I've already had so many doors open for me by the successful women I spoke with my first year. They continue to help me think about my long term life goals and what I need to do to achieve them. I know this year, I'll be able to further enhance my knowledge through additional network connections and work towards building a successful life and career so I can also be a strong role model for the next generation of leaders.&amp;#34; Completed FY 2019 - 2020 but continued on through high school for FY 2020 - 2021</t>
  </si>
  <si>
    <t xml:space="preserve">i am really glad that i have speak . for speak i meet awesome people </t>
  </si>
  <si>
    <t>mimi.kante@ellisprep.com</t>
  </si>
  <si>
    <t>Mimi called on May 8, 2024, Hetal picked up -- Mimi was calling to see if we had any internships for her cousin -- win if she remembered to reach out to us. She's currently in her third year at St John Fisher U in Rochester pursuing International Relations and Political Science and wants to work for UN Women.  Full name is Aminata; nickname Mimi</t>
  </si>
  <si>
    <t>929 497 8539</t>
  </si>
  <si>
    <t>St. John Fisher.</t>
  </si>
  <si>
    <t>Safiatou</t>
  </si>
  <si>
    <t>safiatou.jalloh@ellisprep.com</t>
  </si>
  <si>
    <t>929-407-5077</t>
  </si>
  <si>
    <t>Aboubacr Diallo</t>
  </si>
  <si>
    <t>safiadiallo2000@gmail.com</t>
  </si>
  <si>
    <t>Dayany</t>
  </si>
  <si>
    <t>dayanyf@nycstudents.net</t>
  </si>
  <si>
    <t>Donovan</t>
  </si>
  <si>
    <t>Gangaram</t>
  </si>
  <si>
    <t>donovang38@nyhcstudents.net</t>
  </si>
  <si>
    <t>Additional Email - donovang0410@gmail.com</t>
  </si>
  <si>
    <t>Nieto</t>
  </si>
  <si>
    <t>Saldana</t>
  </si>
  <si>
    <t>Kimora</t>
  </si>
  <si>
    <t>Codrington</t>
  </si>
  <si>
    <t>kimorac30@nycstudents.net</t>
  </si>
  <si>
    <t>(917)283-8858</t>
  </si>
  <si>
    <t>Marciano</t>
  </si>
  <si>
    <t>marcianon@nycstudents.net</t>
  </si>
  <si>
    <t>Timcus</t>
  </si>
  <si>
    <t>timcusl2024@desoto130.org</t>
  </si>
  <si>
    <t>desoto130</t>
  </si>
  <si>
    <t>DeSoto 130</t>
  </si>
  <si>
    <t>Zabdy.</t>
  </si>
  <si>
    <t>Was labeled as an LE Intern profile but never showed up and is now marked as inactive (HJ, 7/6/2021)</t>
  </si>
  <si>
    <t>640 Wales Av, Bronx, NY, 10455</t>
  </si>
  <si>
    <t>+16464671010</t>
  </si>
  <si>
    <t>Skyler</t>
  </si>
  <si>
    <t>Tran</t>
  </si>
  <si>
    <t>skylert2024@desoto130.org</t>
  </si>
  <si>
    <t>Mayaimi</t>
  </si>
  <si>
    <t>mayaimil2024@desoto130.org</t>
  </si>
  <si>
    <t>Jax</t>
  </si>
  <si>
    <t>Panlilio</t>
  </si>
  <si>
    <t>jaxp2024@desoto130.org</t>
  </si>
  <si>
    <t>karin</t>
  </si>
  <si>
    <t>huang</t>
  </si>
  <si>
    <t>karinh2024@desoto130.org</t>
  </si>
  <si>
    <t>Olivia</t>
  </si>
  <si>
    <t>oliviaz2024@desoto130.org</t>
  </si>
  <si>
    <t>adama</t>
  </si>
  <si>
    <t>faye</t>
  </si>
  <si>
    <t>ndeyefaye1945@outlook.com</t>
  </si>
  <si>
    <t>isabella@speakhire.org</t>
  </si>
  <si>
    <t>juliachennn147@gmail.com</t>
  </si>
  <si>
    <t>Kleivs</t>
  </si>
  <si>
    <t>kelvisz2024@desoto130.org</t>
  </si>
  <si>
    <t>Alston</t>
  </si>
  <si>
    <t>alstonz2024@desoto130.org</t>
  </si>
  <si>
    <t>Prete</t>
  </si>
  <si>
    <t>christopherp2024@desoto130.org</t>
  </si>
  <si>
    <t>4165 53rd Street Apt#1F Woodside NY 11377</t>
  </si>
  <si>
    <t>+19294186259</t>
  </si>
  <si>
    <t>+16464203062</t>
  </si>
  <si>
    <t>angel (Duplicate)</t>
  </si>
  <si>
    <t>angelc4323@nysctudents.net</t>
  </si>
  <si>
    <t>3133 queens blv</t>
  </si>
  <si>
    <t>miguel martinez y lorena Cedeno</t>
  </si>
  <si>
    <t>Jeannot (Duplicate)</t>
  </si>
  <si>
    <t>130-37Francis Lewis Blvd Laurelton</t>
  </si>
  <si>
    <t>Viviane Jennot</t>
  </si>
  <si>
    <t>cristian (Duplicate)</t>
  </si>
  <si>
    <t>bravo</t>
  </si>
  <si>
    <t>darwin (Duplicate)</t>
  </si>
  <si>
    <t>chimborazo</t>
  </si>
  <si>
    <t>quees</t>
  </si>
  <si>
    <t>Galo chimborazo</t>
  </si>
  <si>
    <t>Sample</t>
  </si>
  <si>
    <t>Intern 2</t>
  </si>
  <si>
    <t>foundationalyear@speakhire.org</t>
  </si>
  <si>
    <t>Intern 3</t>
  </si>
  <si>
    <t>richard (Duplicate)</t>
  </si>
  <si>
    <t>ladino</t>
  </si>
  <si>
    <t>hihihihi@gmail.com</t>
  </si>
  <si>
    <t>50-40 jacob st</t>
  </si>
  <si>
    <t>tu mama tu papa</t>
  </si>
  <si>
    <t>Hetal</t>
  </si>
  <si>
    <t>jani.hetal@gmail.com</t>
  </si>
  <si>
    <t>+17183098008</t>
  </si>
  <si>
    <t>Hetal Jani</t>
  </si>
  <si>
    <t>jheymi (Duplicate)</t>
  </si>
  <si>
    <t>ortiz</t>
  </si>
  <si>
    <t>50 47 48 st</t>
  </si>
  <si>
    <t>+15294839559</t>
  </si>
  <si>
    <t>Pranit</t>
  </si>
  <si>
    <t>Kumbhar</t>
  </si>
  <si>
    <t>ksi@gmail.com</t>
  </si>
  <si>
    <t>+12015553213</t>
  </si>
  <si>
    <t>test</t>
  </si>
  <si>
    <t>kunga (Duplicate)</t>
  </si>
  <si>
    <t>Woodsite 61st</t>
  </si>
  <si>
    <t>Leanna (Duplicate)</t>
  </si>
  <si>
    <t>Elmursht 85-10</t>
  </si>
  <si>
    <t>Xiuyinghe</t>
  </si>
  <si>
    <t>MELANIE (Duplicate)</t>
  </si>
  <si>
    <t>RODAS</t>
  </si>
  <si>
    <t>melanier268@nycstudents.net</t>
  </si>
  <si>
    <t>69-08 38th ave</t>
  </si>
  <si>
    <t>+19293476744</t>
  </si>
  <si>
    <t>SANDRA VILLI</t>
  </si>
  <si>
    <t>Intern</t>
  </si>
  <si>
    <t>connect@speakhire.org</t>
  </si>
  <si>
    <t>info@speakmentorship.org</t>
  </si>
  <si>
    <t>Intern 4</t>
  </si>
  <si>
    <t>talentresources@speakhire.org</t>
  </si>
  <si>
    <t>2630 Marion ave, Bronx NY 10458</t>
  </si>
  <si>
    <t>+16468746270</t>
  </si>
  <si>
    <t>+16466577248</t>
  </si>
  <si>
    <t>Verni (Duplicate)</t>
  </si>
  <si>
    <t>44-06-72 street woodside</t>
  </si>
  <si>
    <t>Fung</t>
  </si>
  <si>
    <t>natalief2024@desoto130.org</t>
  </si>
  <si>
    <t>lucasw2024@desoto130.org</t>
  </si>
  <si>
    <t>Ozodbek</t>
  </si>
  <si>
    <t>Mavlyanov</t>
  </si>
  <si>
    <t>ozodbekm@nycstudents.net</t>
  </si>
  <si>
    <t>Cashed Awarded $125 check on Aug 28, 2023 Email: Ozodbekm@nycstudents.net Phone #: &amp;#43;19292857963 Emergency Contact - 3478551482</t>
  </si>
  <si>
    <t>+19292857963</t>
  </si>
  <si>
    <t>James Madison High School 22K425 NY</t>
  </si>
  <si>
    <t>Lobar Nuridinova</t>
  </si>
  <si>
    <t>lobarnuridinova@gmail.com</t>
  </si>
  <si>
    <t>Shakira</t>
  </si>
  <si>
    <t>shakirar33@nycstudents.net</t>
  </si>
  <si>
    <t>Yuqi (Richie)</t>
  </si>
  <si>
    <t>&amp;#34;My most profound experience with Inspiring Leadership was when we were building the tallest building out of tape and sticks. My non positional leadership was brought out while we were doing this activity. I took the initiative when the team was not integrated and I assigned different tasks to each team member so we could assemble different parts of the building and put them together at the same time. With everyone's active cooperation, we won the first place in this event. Speakhire is very good at using group activities to explore the strengths of each member. But the sucession of Inspiring Leadership wouldn?t be complete without the ambassadors, they always put themselves in our shoes and give us as much time as we need. They have an extraordinary passion for what they do, even tho the don?t speak perfect English but they will do anything they can to understand us and make each one of us feel valued. They help us patiently and carefully observe and take care of each student's feelings. Under their guidance, my experiences in Inspiring Leadership have become capital for my future.&amp;#34; Provided quote to Francesca on 1/26/24 Inspiring Leadership Alum of Summer 2023</t>
  </si>
  <si>
    <t>646-617-5246</t>
  </si>
  <si>
    <t>Yamilet</t>
  </si>
  <si>
    <t>Correa</t>
  </si>
  <si>
    <t>yamiletc27@nycstudents.net</t>
  </si>
  <si>
    <t>1(917)431-1893</t>
  </si>
  <si>
    <t>Jayda</t>
  </si>
  <si>
    <t>Caimares</t>
  </si>
  <si>
    <t>jaydac44@nycstudents.net</t>
  </si>
  <si>
    <t>jasonnyc28@gmail.com</t>
  </si>
  <si>
    <t>Name</t>
  </si>
  <si>
    <t>Partner Record ID</t>
  </si>
  <si>
    <t>Location</t>
  </si>
  <si>
    <t>PSL Name</t>
  </si>
  <si>
    <t>Primary Title</t>
  </si>
  <si>
    <t>PSL Email</t>
  </si>
  <si>
    <t>PSL Phone Number</t>
  </si>
  <si>
    <t>Course Liason</t>
  </si>
  <si>
    <t>Course Liason Title</t>
  </si>
  <si>
    <t>Course Liason Email</t>
  </si>
  <si>
    <t>Course Liason Phone Number</t>
  </si>
  <si>
    <t>Secondary Course Liason</t>
  </si>
  <si>
    <t>Secondary Course Liason Title</t>
  </si>
  <si>
    <t>Secondary Course Liason Email</t>
  </si>
  <si>
    <t>Secondary Course Liaison Phone Number</t>
  </si>
  <si>
    <t>Associated Program</t>
  </si>
  <si>
    <t>Program Year</t>
  </si>
  <si>
    <t>Total Interns Per Program</t>
  </si>
  <si>
    <t>Registered Interns</t>
  </si>
  <si>
    <t>Unregistered Interns</t>
  </si>
  <si>
    <t xml:space="preserve">Corona Arts &amp; Sciences Academy
</t>
  </si>
  <si>
    <t>98-11 44 Avenue, Queens, NY 11368</t>
  </si>
  <si>
    <t>Michelle Pinargote (she/her)</t>
  </si>
  <si>
    <t>7th grade ELL Teacher</t>
  </si>
  <si>
    <t>MPinargote@schools.nyc.gov</t>
  </si>
  <si>
    <t>Jose Benitez (He/Him)</t>
  </si>
  <si>
    <t>Student Council Advisor</t>
  </si>
  <si>
    <t>jbenitez9@schools.nyc.gov</t>
  </si>
  <si>
    <t xml:space="preserve">Crotona International High School
</t>
  </si>
  <si>
    <t>2474 Crotona Ave, Bronx, NY 10458</t>
  </si>
  <si>
    <t>Eva Morales</t>
  </si>
  <si>
    <t>SYEP or Internship Information</t>
  </si>
  <si>
    <t>emorales@crotonaihs.org</t>
  </si>
  <si>
    <t xml:space="preserve">Sara Regalado 
</t>
  </si>
  <si>
    <t>Assistant Principal</t>
  </si>
  <si>
    <t>sregalado@crotonaihs.org</t>
  </si>
  <si>
    <t xml:space="preserve">International High School at Union Square
</t>
  </si>
  <si>
    <t>40 Irving Pl, New York, NY 10003</t>
  </si>
  <si>
    <t>Juan Carlos (He/Him)</t>
  </si>
  <si>
    <t>College Advisor &amp; CDOS Coordinator previously 11th Grade Mathematics Teacher &amp; Service Coordinator</t>
  </si>
  <si>
    <t>juan@ihs-us.org</t>
  </si>
  <si>
    <t>(718)607-5124</t>
  </si>
  <si>
    <t>Margaret Hegarty (she/her)</t>
  </si>
  <si>
    <t>maggie@ihs-us.org</t>
  </si>
  <si>
    <t>214-960-6540</t>
  </si>
  <si>
    <t xml:space="preserve">Thomas J. McCann Intermediate School IS 125Q
</t>
  </si>
  <si>
    <t>46-02 47th Avenue Queens, NY 11377</t>
  </si>
  <si>
    <t>Paola Almodovar</t>
  </si>
  <si>
    <t>PAlmodovar@schools.nyc.gov</t>
  </si>
  <si>
    <t>718-937-0320 ext: 5301</t>
  </si>
  <si>
    <t>Michaela Macchiarola (She/Her)</t>
  </si>
  <si>
    <t>516-458-2136</t>
  </si>
  <si>
    <t xml:space="preserve">JFK Campus Building
</t>
  </si>
  <si>
    <t>99 Terrace View Avenue
Bronx NY 10463</t>
  </si>
  <si>
    <t xml:space="preserve">Jessica Goring
</t>
  </si>
  <si>
    <t>Principal of Bronx School of Law and Finance</t>
  </si>
  <si>
    <t>JGoring@schools.nyc.gov</t>
  </si>
  <si>
    <t>Mcintosh Shoundel</t>
  </si>
  <si>
    <t>Bronx Theatre High School (10X546)</t>
  </si>
  <si>
    <t>SMcintosh4@schools.nyc.gov</t>
  </si>
  <si>
    <t>718-329-2902 Ext. 7242</t>
  </si>
  <si>
    <t>Kirsten Larson</t>
  </si>
  <si>
    <t>KLarson2@schools.nyc.gov</t>
  </si>
  <si>
    <t xml:space="preserve">Queens Preparatory Academy
</t>
  </si>
  <si>
    <t>143-10 Springfield Blvd Queens, NY 11413</t>
  </si>
  <si>
    <t>Kevin Bednar (he/him/his)</t>
  </si>
  <si>
    <t>KBednar@schools.nyc.gov</t>
  </si>
  <si>
    <t>516-698-9816</t>
  </si>
  <si>
    <t>Moona Zaidi (she/her/hers)</t>
  </si>
  <si>
    <t>ELA Teacher</t>
  </si>
  <si>
    <t>MZaidi2@schools.nyc.gov</t>
  </si>
  <si>
    <t xml:space="preserve">The Walter H. Crowley School of Leadership at I.S. 5 
</t>
  </si>
  <si>
    <t>50-40 Jacobus St, Elmhurst, NY 11373</t>
  </si>
  <si>
    <t>Christina Koenig</t>
  </si>
  <si>
    <t>ckoenig2@schools.nyc.gov</t>
  </si>
  <si>
    <t>718-205-6788 or 9175924931 (cell)</t>
  </si>
  <si>
    <t>Ms. Nancy Bonocore (She/her/hers)</t>
  </si>
  <si>
    <t>Special Education Teacher</t>
  </si>
  <si>
    <t>NBonocore@schools.nyc.gov</t>
  </si>
  <si>
    <t>Ms. Josephine Cervoni (she/hers)</t>
  </si>
  <si>
    <t>SS Teacher</t>
  </si>
  <si>
    <t>JCervoni@schools.nyc.gov</t>
  </si>
  <si>
    <t xml:space="preserve">Washington Heights Expeditionary Learning School (WHEELS)
</t>
  </si>
  <si>
    <t>511 West 182nd Street New York, NY 10033</t>
  </si>
  <si>
    <t>Samantha Love (she, her)</t>
  </si>
  <si>
    <t>11th Grade Team Leader</t>
  </si>
  <si>
    <t>s.love@wheelsnyc.org</t>
  </si>
  <si>
    <t>(202)256-7428</t>
  </si>
  <si>
    <t xml:space="preserve">QD24
</t>
  </si>
  <si>
    <t>QD24</t>
  </si>
  <si>
    <t>James Leahy</t>
  </si>
  <si>
    <t>Field Support Liaison</t>
  </si>
  <si>
    <t>Jleahy@schools.nyc.gov</t>
  </si>
  <si>
    <t>646-248-1267</t>
  </si>
  <si>
    <t>Ellen Darensbourg</t>
  </si>
  <si>
    <t>NYS Integration Project Grant Manager</t>
  </si>
  <si>
    <t>edarensbourg@schools.nyc.gov</t>
  </si>
  <si>
    <t>646-457-8565</t>
  </si>
  <si>
    <t>Grants Manager</t>
  </si>
  <si>
    <t>PATS isn't complete, not sure if all the names are part of the program</t>
  </si>
  <si>
    <t xml:space="preserve">Maspeth Town Hall
</t>
  </si>
  <si>
    <t>53-37 72nd St, Maspeth, NY 11378</t>
  </si>
  <si>
    <t>Bill Donovan</t>
  </si>
  <si>
    <t xml:space="preserve">bdonovan@maspethtownhall.org
</t>
  </si>
  <si>
    <t xml:space="preserve">Tiffany Quiles
</t>
  </si>
  <si>
    <t>In class summer course PSL (DL)</t>
  </si>
  <si>
    <t xml:space="preserve">Tiffanyannquiles@gmail.com
</t>
  </si>
  <si>
    <t xml:space="preserve">(347) 605-2242
</t>
  </si>
  <si>
    <t xml:space="preserve">Philip Pavone
</t>
  </si>
  <si>
    <t>philippavone003@gmail.com</t>
  </si>
  <si>
    <t xml:space="preserve">(917) 617-9688
</t>
  </si>
  <si>
    <t xml:space="preserve">“SPEAKHIRE has been an incredible partner in developing leaders and opening doors for underrepresented talent. We’ve seen firsthand how they connect young people to mentors, leadership opportunities, and career pathways that build confidence, voice, and direction. Their impact on our young leaders at MaspethTown Hall has been powerful, equipping them with public speaking and presentation skills that will last a lifetime.”
</t>
  </si>
  <si>
    <t xml:space="preserve">NYC DOE Access
</t>
  </si>
  <si>
    <t>Veronica Pichardo</t>
  </si>
  <si>
    <t>Director of Student Services</t>
  </si>
  <si>
    <t>VPichardo@schools.nyc.gov</t>
  </si>
  <si>
    <t>646-248-4706</t>
  </si>
  <si>
    <t>Yuet Chu</t>
  </si>
  <si>
    <t>ACCESS Executive Director</t>
  </si>
  <si>
    <t>YChu@schools.nyc.gov</t>
  </si>
  <si>
    <t>917.705.5856</t>
  </si>
  <si>
    <t xml:space="preserve">Claremont International High School
</t>
  </si>
  <si>
    <t>240 EAST 172nd ST Bronx, NY 10457</t>
  </si>
  <si>
    <t>Jessica Trejos</t>
  </si>
  <si>
    <t>Community Partnerships Coordinator</t>
  </si>
  <si>
    <t>jessicat@claremontihs.org</t>
  </si>
  <si>
    <t>Rachael Horowitz</t>
  </si>
  <si>
    <t>Rachaelhorowitz@claremontihs.org</t>
  </si>
  <si>
    <t>646-283-4860</t>
  </si>
  <si>
    <t xml:space="preserve">High School for Excellence and Innovation
</t>
  </si>
  <si>
    <t>650 Academy Street, New York, NY 10034</t>
  </si>
  <si>
    <t>Joseph Ferraro</t>
  </si>
  <si>
    <t>College and Career Teacher</t>
  </si>
  <si>
    <t>jferraro@hseigators.org</t>
  </si>
  <si>
    <t>Kim Balin</t>
  </si>
  <si>
    <t>kbalin@hseigators.org</t>
  </si>
  <si>
    <t>917-952-8594</t>
  </si>
  <si>
    <t xml:space="preserve">International Community High School Bronx
</t>
  </si>
  <si>
    <t>345 Brook Ave, Bronx, New York, 10454</t>
  </si>
  <si>
    <t>Aldo Maldonado (Him/His)</t>
  </si>
  <si>
    <t>Community Coordinator</t>
  </si>
  <si>
    <t>Mr.aldo@ichsbronx.org</t>
  </si>
  <si>
    <t>917-4021366</t>
  </si>
  <si>
    <t>Grace Beniquez (She, Her)</t>
  </si>
  <si>
    <t>Internships Coordinator</t>
  </si>
  <si>
    <t>Ms.beniquez@ichsbronx.org</t>
  </si>
  <si>
    <t>7186654128 X4154 or 5164372915</t>
  </si>
  <si>
    <t xml:space="preserve">IDEA PS
</t>
  </si>
  <si>
    <t>2115 W. Pike Blvd. Weslaco, TX 78596</t>
  </si>
  <si>
    <t xml:space="preserve">Weslaco </t>
  </si>
  <si>
    <t xml:space="preserve">Mario Casas - Walzem
</t>
  </si>
  <si>
    <t>21st Century Site Coordinator</t>
  </si>
  <si>
    <t>jose.casas@ideapublicschools.org</t>
  </si>
  <si>
    <t>Craig Richardson</t>
  </si>
  <si>
    <t>CRichardson3@schools.nyc.gov</t>
  </si>
  <si>
    <t>Michelle Pinargote</t>
  </si>
  <si>
    <t xml:space="preserve">Flushing International High School
</t>
  </si>
  <si>
    <t>144-80 Barclay Ave in Queens, NY</t>
  </si>
  <si>
    <t>Rosmery Milczewski</t>
  </si>
  <si>
    <t>RHolguin@schools.nyc.gov</t>
  </si>
  <si>
    <t>718.463.2348</t>
  </si>
  <si>
    <t>“When we learned about SPEAKHIRE, we immediately wanted to partner with them. The idea that our students from one of the poorest areas in the South Bronx could be mentored by Career Pathway Champions was truly exciting. Through this program, students explore their career interests directly with professionals, build essential skills, and gain guidance on navigating hurdles as they prepare for life after high school. We look forward to continuing our partnership with SPEAKHIRE.”  - Grace Beniquez -- Seminars, EL and FY</t>
  </si>
  <si>
    <t xml:space="preserve">The International HS at Prospect Heights
</t>
  </si>
  <si>
    <t>883 Classon Ave, 4th Floor, Brooklyn, NY 11225</t>
  </si>
  <si>
    <t>Jessica Klonsky (she/her)</t>
  </si>
  <si>
    <t>English Teacher Senior Class</t>
  </si>
  <si>
    <t>j.klonsky@ihsph.org</t>
  </si>
  <si>
    <t>Corinne Frost (She/Her)</t>
  </si>
  <si>
    <t>cfrost@schools.nyc.gov</t>
  </si>
  <si>
    <t>516-209-7397</t>
  </si>
  <si>
    <t xml:space="preserve">I.S. 93
</t>
  </si>
  <si>
    <t>66-56 Forest Ave, Ridgewood, NY 11385</t>
  </si>
  <si>
    <t>Regina Seabrooks</t>
  </si>
  <si>
    <t>RSeabro2@schools.nyc.gov</t>
  </si>
  <si>
    <t>Library: 718-821-4882 x 4050 or x 4052 Cell 917-886-4243</t>
  </si>
  <si>
    <t>Melina Castillo (She/Her/Hers)</t>
  </si>
  <si>
    <t>Mcastillo37@schools.nyc.gov</t>
  </si>
  <si>
    <t>646-302-5127</t>
  </si>
  <si>
    <t xml:space="preserve">Academy of Medical Technology
</t>
  </si>
  <si>
    <t>8-21 Bay 25 Street, Queens, NY 11691</t>
  </si>
  <si>
    <t xml:space="preserve">Flushing HS
</t>
  </si>
  <si>
    <t>35-01 Union St, Flushing, NY 11354</t>
  </si>
  <si>
    <t>Sati Selin Alicanouglu</t>
  </si>
  <si>
    <t>salicanoglu@schools.nyc.gov</t>
  </si>
  <si>
    <t>Debra Lavache</t>
  </si>
  <si>
    <t>Assistant Principal of Supervision LOTE, Fine Arts, Music, Library Services, Health and Business</t>
  </si>
  <si>
    <t>7188887500 X1953</t>
  </si>
  <si>
    <t>Leah Pascarella</t>
  </si>
  <si>
    <t>11th Grade Teacher</t>
  </si>
  <si>
    <t>Lpascarella@claremontihs.org</t>
  </si>
  <si>
    <t>516-474-4099</t>
  </si>
  <si>
    <t xml:space="preserve">“SPEAKHIRE has been the missing puzzle piece for our undocumented and immigrant students, giving them genuine connections to mentors and professionals in the fields they aspire to. Even in our first year, we’ve seen students light up with excitement at the opportunity to expand their horizons beyond the classroom. We’re grateful for the language and emotional support the program provides, and we look forward to seeing these mentorships benefit our students now and in the future.” - Sara Regalado
</t>
  </si>
  <si>
    <t xml:space="preserve">Cypress Hills Collegiate Preparatory School
</t>
  </si>
  <si>
    <t>999 Jamaica Ave Brooklyn, NY 11208</t>
  </si>
  <si>
    <t>Elva Cankat</t>
  </si>
  <si>
    <t>School Counselor</t>
  </si>
  <si>
    <t>ECankat@schools.nyc.gov</t>
  </si>
  <si>
    <t>718-647-1672 option 5 (cell: 917 5898182)</t>
  </si>
  <si>
    <t>Nti B.</t>
  </si>
  <si>
    <t>ntib@cypresshills.org</t>
  </si>
  <si>
    <t xml:space="preserve">Frankford High School
</t>
  </si>
  <si>
    <t>Oxford Ave. &amp; Wakeling St. Philadelphia, PA 19124</t>
  </si>
  <si>
    <t>Rachel Moore</t>
  </si>
  <si>
    <t>AP</t>
  </si>
  <si>
    <t>rmoore3@philasd.org</t>
  </si>
  <si>
    <t>Ms. Isabella Dibileo</t>
  </si>
  <si>
    <t>Counselor 9/10</t>
  </si>
  <si>
    <t>idibileo@philasd.org</t>
  </si>
  <si>
    <t>Mr. Tyrone Eberhardt</t>
  </si>
  <si>
    <t>Counselor 11/12</t>
  </si>
  <si>
    <t>teberhardt@philasd.org</t>
  </si>
  <si>
    <t>Emma Lazarus High School</t>
  </si>
  <si>
    <t>100 Hester St, New York, NY 10002</t>
  </si>
  <si>
    <t>Aimee Kaplan</t>
  </si>
  <si>
    <t>EMMA - MISSION Program Director</t>
  </si>
  <si>
    <t>akaplan@missionsociety.org</t>
  </si>
  <si>
    <t>Rosanni Encarnacion</t>
  </si>
  <si>
    <t>Internship Coordinator</t>
  </si>
  <si>
    <t>rencarnacion@missionsociety.org</t>
  </si>
  <si>
    <t>Julia Kaminsky or Jasmine Knowles</t>
  </si>
  <si>
    <t>jkaminsky@missionsociety.org or jknowles@missionsociety.org</t>
  </si>
  <si>
    <t xml:space="preserve">NYC Mission - ELLIS Preparatory
</t>
  </si>
  <si>
    <t>2266 5th Ave. New York, NY 10037-9998</t>
  </si>
  <si>
    <t xml:space="preserve">Jonathan Pinque
</t>
  </si>
  <si>
    <t>mr.pinque@ellisprep.com</t>
  </si>
  <si>
    <t>Sarah Mena (formerly Rivera)</t>
  </si>
  <si>
    <t>Mission - ELLIS Prep LTW Program Coordinator</t>
  </si>
  <si>
    <t>ms.rivera@ellisprep.com</t>
  </si>
  <si>
    <t>347-208-6698</t>
  </si>
  <si>
    <t>Mission Edrick Johnson Office</t>
  </si>
  <si>
    <t>212.674.3500 x232</t>
  </si>
  <si>
    <t xml:space="preserve">ELLIS Preparatory
</t>
  </si>
  <si>
    <t>99 Terrace View Avenue, Bronx, NY 10463</t>
  </si>
  <si>
    <t>Annel Tineo</t>
  </si>
  <si>
    <t>347-843-3941</t>
  </si>
  <si>
    <t>Sara Rivera</t>
  </si>
  <si>
    <t>Mission Society Program Coordinator</t>
  </si>
  <si>
    <t>Jonathan Pinque</t>
  </si>
  <si>
    <t xml:space="preserve">“Our partnership with SPEAKHIRE has been an amazing journey, giving students the chance to connect directly with professionals in their fields of interest and build meaningful relationships that often last beyond the program. These Career Pathway Champions provide the guidance, insight, and social-emotional support that students need to better understand their career goals and future opportunities. SPEAKHIRE has truly expanded avenues for our students, supporting career readiness, college planning, and internships in ways that align perfectly with our Learning Through Work program.” - Sarah Rivera, FY
</t>
  </si>
  <si>
    <t>“What I appreciate most about SPEAKHIREis their ability to support our school as well as the interns, showing immense support, being able to do their follow-through, and communicate readily throughout this entire experience.” - Annel Tineo</t>
  </si>
  <si>
    <t xml:space="preserve">George Washington
</t>
  </si>
  <si>
    <t>10175 Bustleton Ave Philadelphia, PA 19116</t>
  </si>
  <si>
    <t>Caitlyn Boyle</t>
  </si>
  <si>
    <t>Community Schools Coordinator</t>
  </si>
  <si>
    <t>caitlyn.boyle@phila.gov</t>
  </si>
  <si>
    <t>Carol Ciaccia (She &amp; her)</t>
  </si>
  <si>
    <t>Instructor &amp; Accounting/Finance CTE Program Director</t>
  </si>
  <si>
    <t>cmciaccia@philasd.org</t>
  </si>
  <si>
    <t>215-880-6539 - cell (267) 423-4068 - other number</t>
  </si>
  <si>
    <t>Sarah Thomas</t>
  </si>
  <si>
    <t>ESOL Director</t>
  </si>
  <si>
    <t>sethomas@philasd.org</t>
  </si>
  <si>
    <t xml:space="preserve">International HS for Health Sciences
</t>
  </si>
  <si>
    <t>48-01 90 Street, Queens, NY 11373</t>
  </si>
  <si>
    <t>Ariela Rothstein (she/they)</t>
  </si>
  <si>
    <t>teacher/internship coordinator/advisor</t>
  </si>
  <si>
    <t>arothstein6@schools.nyc.gov</t>
  </si>
  <si>
    <t>(718) 595-8600</t>
  </si>
  <si>
    <t>Cris Avanzado</t>
  </si>
  <si>
    <t>cavanzado@schools.nyc.gov</t>
  </si>
  <si>
    <t xml:space="preserve">International High School at Lafayette
</t>
  </si>
  <si>
    <t>2630 Benson Avenue Brooklyn, NY 11214</t>
  </si>
  <si>
    <t>Angie Bnyamin</t>
  </si>
  <si>
    <t>Guidance Counselor</t>
  </si>
  <si>
    <t>abnyamin@inths.org</t>
  </si>
  <si>
    <t xml:space="preserve">Bronx Community HS and Washington Irving YABC
</t>
  </si>
  <si>
    <t>40 Irving Place NY, NY 10003</t>
  </si>
  <si>
    <t>Wendy Nicholas</t>
  </si>
  <si>
    <t>YABC/BCHS Mission Program Director</t>
  </si>
  <si>
    <t>wnicholas@missionsociety.org</t>
  </si>
  <si>
    <t>646-628-1553</t>
  </si>
  <si>
    <t>Aniqa Garrison</t>
  </si>
  <si>
    <t>BCHS - Mission Internship Coordinator</t>
  </si>
  <si>
    <t>agarrison@missionsociety.org</t>
  </si>
  <si>
    <t>646-628-1623</t>
  </si>
  <si>
    <t>Celine Ibanez</t>
  </si>
  <si>
    <t>YABC - Mission Internship Coordinator</t>
  </si>
  <si>
    <t>cibanez@missionsociety.org</t>
  </si>
  <si>
    <t xml:space="preserve">“Our students are working directly with professionals and getting mentored by them. They are enjoying the program, receiving rating reviews, and are very deeply connected to the professionals. The program provides a great and unique opportunity for students, especially younger youth starting 9th and 10th grade, and our school plans to continue participating in the future.”
</t>
  </si>
  <si>
    <t>Justine Thomas (she/her/hers)</t>
  </si>
  <si>
    <t>j.thomas@wheelsnyc.org</t>
  </si>
  <si>
    <t>646-342-0842</t>
  </si>
  <si>
    <t xml:space="preserve">Division of Multilingual Learners 
</t>
  </si>
  <si>
    <t>Charlene Clarke</t>
  </si>
  <si>
    <t>Executive Director - Multilingual &amp; Immigrant Student Supports</t>
  </si>
  <si>
    <t xml:space="preserve">CClarke25@schools.nyc.gov
</t>
  </si>
  <si>
    <t>Lisa Pineda</t>
  </si>
  <si>
    <t>lpineda@schools.nyc.gov</t>
  </si>
  <si>
    <t xml:space="preserve">LOIS JENKINS (She, Her, Hers)
</t>
  </si>
  <si>
    <t>Director of College Readiness - Multilingual Learners and Immigrant Student Support</t>
  </si>
  <si>
    <t>Georgia Fiorentinos (she/hers)</t>
  </si>
  <si>
    <t>Advisory and Science Teacher</t>
  </si>
  <si>
    <t>GFiorentinos@schools.nyc.gov</t>
  </si>
  <si>
    <t xml:space="preserve">Mott Hall
</t>
  </si>
  <si>
    <t>6 Edgecombe Ave., New York, NY 10030</t>
  </si>
  <si>
    <t xml:space="preserve">Anthony Hosey (He/His/Him)
</t>
  </si>
  <si>
    <t xml:space="preserve">AHosey@schools.nyc.gov
</t>
  </si>
  <si>
    <t xml:space="preserve">(914) 715-5592
</t>
  </si>
  <si>
    <t xml:space="preserve">Daniela Lawrence (She/hers)
</t>
  </si>
  <si>
    <t xml:space="preserve">Teacher
</t>
  </si>
  <si>
    <t xml:space="preserve">DPierce6@schools.nyc.gov
</t>
  </si>
  <si>
    <t xml:space="preserve">347-257-5567 
</t>
  </si>
  <si>
    <t xml:space="preserve">dlawrence23@schools.nyc.gov
</t>
  </si>
  <si>
    <t>914-943-0271</t>
  </si>
  <si>
    <t xml:space="preserve">Pan American IHS Monroe
</t>
  </si>
  <si>
    <t>PAIHSMonroe</t>
  </si>
  <si>
    <t>1300 Boynton Avenue
Bronx, NY 10472</t>
  </si>
  <si>
    <t>Matthew Breines</t>
  </si>
  <si>
    <t>College and Career Counselor</t>
  </si>
  <si>
    <t>matthew@paihsmonroe.org</t>
  </si>
  <si>
    <t>Amela Kucevic</t>
  </si>
  <si>
    <t>amela@paihsmonroe.org</t>
  </si>
  <si>
    <t>Christy &amp; Elpidio</t>
  </si>
  <si>
    <t>Career Counseling</t>
  </si>
  <si>
    <t>christy@paihsmonroe.org</t>
  </si>
  <si>
    <t>elpidio@paihsmonroe.org</t>
  </si>
  <si>
    <t>Pathway Days</t>
  </si>
  <si>
    <t xml:space="preserve">"I loved how the speaker wanted our kids to speak up and the tips at the end to use to create goals. They did well on connecting with students during the seminar. It was a great experience for our kids to get these useful tips from an outsider. It was all very well done." - Michelle Pinargote (2021)
</t>
  </si>
  <si>
    <t>Magda Aboulfadl</t>
  </si>
  <si>
    <t>School Counselor and Internship Coordinator</t>
  </si>
  <si>
    <t>maboulfadl@claremontihs.org</t>
  </si>
  <si>
    <t>Bridges</t>
  </si>
  <si>
    <t>5 12th grade teachers</t>
  </si>
  <si>
    <t>Bridges@flushinginternational.org</t>
  </si>
  <si>
    <t xml:space="preserve">"The speakers were able to connect personally with students and touched upon many of the topics we discussed in class. All of them had experiences that resonated with many students, and their insights and advice were very valuable.“ - Grace Beniquez (2022)
</t>
  </si>
  <si>
    <t>Regina Mian (she/hers)Nitika Nadgar</t>
  </si>
  <si>
    <t>Visual Arts Teacher</t>
  </si>
  <si>
    <t>regina@ihs-us.org</t>
  </si>
  <si>
    <t>845-649-9910</t>
  </si>
  <si>
    <t xml:space="preserve">Pathways to Graduation Bronx
</t>
  </si>
  <si>
    <t>P2GBronx</t>
  </si>
  <si>
    <t>1010 Rev. James Polite Ave. Room 522 Bronx, NY 10459</t>
  </si>
  <si>
    <t>Ernesto Nunez</t>
  </si>
  <si>
    <t>Bronx College &amp; Career Coordinator</t>
  </si>
  <si>
    <t>ENunez21@schools.nyc.gov</t>
  </si>
  <si>
    <t xml:space="preserve">Pathways To Graduation Manhattan
</t>
  </si>
  <si>
    <t>P2GManhattan</t>
  </si>
  <si>
    <t>Adon Cooper</t>
  </si>
  <si>
    <t>CCRC Coordinator</t>
  </si>
  <si>
    <t>acooper20@schools.nyc.gov</t>
  </si>
  <si>
    <t>Office: (212)244-1274 Ext. 1025 or 212609-8490</t>
  </si>
  <si>
    <t>Office: (212)244-1274 Ext. 1025 Office: (212)244-1274 Ext. 1025 or 212609-8490</t>
  </si>
  <si>
    <t>School of the Future</t>
  </si>
  <si>
    <t>SOF</t>
  </si>
  <si>
    <t>127 East 22nd Street
New York, NY 10010</t>
  </si>
  <si>
    <t>Katherine Brown (she/hers)</t>
  </si>
  <si>
    <t>Instructional AP for Math and Science</t>
  </si>
  <si>
    <t>kbrown2@sof.edu</t>
  </si>
  <si>
    <t>(212) 475-8086</t>
  </si>
  <si>
    <t>Ian Thomas (he/him)</t>
  </si>
  <si>
    <t>Connective Inc. Coordinator</t>
  </si>
  <si>
    <t>ianthomasminor2@gmail.com</t>
  </si>
  <si>
    <t>John Fanning</t>
  </si>
  <si>
    <t>johndfanning@gmail.com</t>
  </si>
  <si>
    <t xml:space="preserve">Bushwick Community HS
</t>
  </si>
  <si>
    <t>231 Palmetto St, Brooklyn, NY 11221</t>
  </si>
  <si>
    <t xml:space="preserve">April Lawrie 
</t>
  </si>
  <si>
    <t>Program Director</t>
  </si>
  <si>
    <t>alawrie@stnicksalliance.org</t>
  </si>
  <si>
    <t>347.831.5466</t>
  </si>
  <si>
    <t>Ebony N. Singleton (she/hers)</t>
  </si>
  <si>
    <t>ESingleton2@schools.nyc.gov</t>
  </si>
  <si>
    <t>Ph: 718.443.3083 Ext. 336</t>
  </si>
  <si>
    <t xml:space="preserve">Ashley Rivera
</t>
  </si>
  <si>
    <t>College and Career Coordinator</t>
  </si>
  <si>
    <t>arivera@stnicksalliance.org</t>
  </si>
  <si>
    <t>347-831-5349</t>
  </si>
  <si>
    <t xml:space="preserve">PS 130
</t>
  </si>
  <si>
    <t>143 Baxter Street, New York, NY 10013</t>
  </si>
  <si>
    <t xml:space="preserve">Beena Thomas
</t>
  </si>
  <si>
    <t xml:space="preserve">Assistant Principal 
</t>
  </si>
  <si>
    <t xml:space="preserve">bthomas16@desoto130.org
</t>
  </si>
  <si>
    <t xml:space="preserve">212.226.8072 ext. 5122
</t>
  </si>
  <si>
    <t>Gotham Collaborative HS</t>
  </si>
  <si>
    <t>1980 Lafayette Ave, Bronx, NY 10473</t>
  </si>
  <si>
    <t xml:space="preserve">Amy Pavlik (She/her)
</t>
  </si>
  <si>
    <t xml:space="preserve">Special Education Coordinator
</t>
  </si>
  <si>
    <t xml:space="preserve">apavlik@gchs.nyc
</t>
  </si>
  <si>
    <t xml:space="preserve">515-460-3296
</t>
  </si>
  <si>
    <t xml:space="preserve">Kristy Lebron
</t>
  </si>
  <si>
    <t>Counselor/Transition Coordinator</t>
  </si>
  <si>
    <t xml:space="preserve">klebron@gchs.nyc
</t>
  </si>
  <si>
    <t>Amanda Morris</t>
  </si>
  <si>
    <t>Internships Coordinator and WBL Coordinator</t>
  </si>
  <si>
    <t xml:space="preserve">amorris@gchs.nyc </t>
  </si>
  <si>
    <t>Regina Mian (she/hers)</t>
  </si>
  <si>
    <t>C. Gin (they/them)</t>
  </si>
  <si>
    <t>gin@wheelsnyc.org</t>
  </si>
  <si>
    <t>212-781-0524</t>
  </si>
  <si>
    <t>ID</t>
  </si>
  <si>
    <t>User Info</t>
  </si>
  <si>
    <t>Contact Details</t>
  </si>
  <si>
    <t>Application Status</t>
  </si>
  <si>
    <t>Account Created</t>
  </si>
  <si>
    <t>Last Updated</t>
  </si>
  <si>
    <t>Last Submitted</t>
  </si>
  <si>
    <t>Rana Musleh</t>
  </si>
  <si>
    <t>FY Alum</t>
  </si>
  <si>
    <t>[object Object]</t>
  </si>
  <si>
    <t>Mei</t>
  </si>
  <si>
    <t>Francesca  Gonzalez</t>
  </si>
  <si>
    <t>Devin Rhodie</t>
  </si>
  <si>
    <t>Jackie</t>
  </si>
  <si>
    <t>EL Alum</t>
  </si>
  <si>
    <t>Menna</t>
  </si>
  <si>
    <t>Alex "Krista" Aquino Cruz</t>
  </si>
  <si>
    <t>Erick. Cuzco Cualchi</t>
  </si>
  <si>
    <t>DL Alum</t>
  </si>
  <si>
    <t>Kohen Álvarez Reyes</t>
  </si>
  <si>
    <t>IL Alum</t>
  </si>
  <si>
    <t>David Cometta</t>
  </si>
  <si>
    <t>Alan Li</t>
  </si>
  <si>
    <t>Mahia Chowdhury</t>
  </si>
  <si>
    <t>Ozodbek Mavlyanov</t>
  </si>
  <si>
    <t>Tiffany McPherson</t>
  </si>
  <si>
    <t>Alina Mondrunova</t>
  </si>
  <si>
    <t>Carla Solis</t>
  </si>
  <si>
    <t>Syed Zaidi</t>
  </si>
  <si>
    <t>Danzan Chimidov</t>
  </si>
  <si>
    <t>Alejandra Mayorga</t>
  </si>
  <si>
    <t>Giosmar García</t>
  </si>
  <si>
    <t>Zainab Tunkara</t>
  </si>
  <si>
    <t>Ronelson Philippeau</t>
  </si>
  <si>
    <t>Niyati Trivedi</t>
  </si>
  <si>
    <t>Yuqi (Richie) Hung</t>
  </si>
  <si>
    <t>Waasif Muhammad</t>
  </si>
  <si>
    <t>Liam Fernazdez</t>
  </si>
  <si>
    <t>Izabella Marin</t>
  </si>
  <si>
    <t>Cindy Pan</t>
  </si>
  <si>
    <t>Joy Patel</t>
  </si>
  <si>
    <t>Harrison Arias</t>
  </si>
  <si>
    <t>Angeliz Castano</t>
  </si>
  <si>
    <t>Jostyn Loor</t>
  </si>
  <si>
    <t>Lucas Rocano</t>
  </si>
  <si>
    <t>Sara Moni</t>
  </si>
  <si>
    <t>Ashley Infante</t>
  </si>
  <si>
    <t>Joel Polanco Trinidad</t>
  </si>
  <si>
    <t>Galo Tenezaca</t>
  </si>
  <si>
    <t>MELANIE (Duplicate) RODAS</t>
  </si>
  <si>
    <t>angel (Duplicate) Martinez</t>
  </si>
  <si>
    <t>Alberto De leon lopez</t>
  </si>
  <si>
    <t>Jayden Giri</t>
  </si>
  <si>
    <t>jheymi (Duplicate) ortiz</t>
  </si>
  <si>
    <t>Kunga Oeden</t>
  </si>
  <si>
    <t>Melanie Rodas</t>
  </si>
  <si>
    <t>Aneeda (Winnie) VONGNORKEO</t>
  </si>
  <si>
    <t>Katherine (Katy) Flores</t>
  </si>
  <si>
    <t>Joseph (Joe) Fisher</t>
  </si>
  <si>
    <t>Sebastian Perez Obregon</t>
  </si>
  <si>
    <t>kathleen loja</t>
  </si>
  <si>
    <t>Santos Coyotl Coyotl</t>
  </si>
  <si>
    <t>Jean Paul Guzman</t>
  </si>
  <si>
    <t>Julieth Vasquez</t>
  </si>
  <si>
    <t>Leilany Ortiz</t>
  </si>
  <si>
    <t>Magby Orellana</t>
  </si>
  <si>
    <t>Melany Ortiz</t>
  </si>
  <si>
    <t>Klint Day</t>
  </si>
  <si>
    <t>Rhonda (She/Her) Cox</t>
  </si>
  <si>
    <t>Heidy Zapata</t>
  </si>
  <si>
    <t>Yaire Moore</t>
  </si>
  <si>
    <t>Chamely Lantigua</t>
  </si>
  <si>
    <t>Hatouma Doucoure</t>
  </si>
  <si>
    <t>Catalina Nunez De Caceres</t>
  </si>
  <si>
    <t>Nicole Molano</t>
  </si>
  <si>
    <t>Madusu Jabateh</t>
  </si>
  <si>
    <t>Emely Nolasco</t>
  </si>
  <si>
    <t>Adama Bah</t>
  </si>
  <si>
    <t>Maria  De La Cruz</t>
  </si>
  <si>
    <t>Nusrat Jahan</t>
  </si>
  <si>
    <t>Fernanda Marte Vasquez</t>
  </si>
  <si>
    <t>Bessirou Doukoure</t>
  </si>
  <si>
    <t>Mamadu Drame</t>
  </si>
  <si>
    <t>Zakaria Billa</t>
  </si>
  <si>
    <t>Mouhamed Barry</t>
  </si>
  <si>
    <t>Trisha Landolt</t>
  </si>
  <si>
    <t>Dalissa Cabrera</t>
  </si>
  <si>
    <t>Claribelisa Gonzalez</t>
  </si>
  <si>
    <t>Omar Camara</t>
  </si>
  <si>
    <t>Amy Samb</t>
  </si>
  <si>
    <t>Johnfree Carrasco</t>
  </si>
  <si>
    <t>Manuela Salazar</t>
  </si>
  <si>
    <t>Xinyao Yang</t>
  </si>
  <si>
    <t>Hanbin Wan</t>
  </si>
  <si>
    <t>I Chean (Veronica) Hung</t>
  </si>
  <si>
    <t>Xiuyan Piao</t>
  </si>
  <si>
    <t>Jhennel Bailey</t>
  </si>
  <si>
    <t>Bradley Edwards</t>
  </si>
  <si>
    <t>Shikha Chauhan</t>
  </si>
  <si>
    <t>Ivelisse Valentin</t>
  </si>
  <si>
    <t>Rakdh Alzukary</t>
  </si>
  <si>
    <t>Jeimery Sosa</t>
  </si>
  <si>
    <t>Thierno Diallo</t>
  </si>
  <si>
    <t>Jose Montalvan</t>
  </si>
  <si>
    <t>Nasif Zaman</t>
  </si>
  <si>
    <t>Khondoker Rahman</t>
  </si>
  <si>
    <t>Yongqiang Tan</t>
  </si>
  <si>
    <t>Jaiahna Gadsden</t>
  </si>
  <si>
    <t>Chenming Tian</t>
  </si>
  <si>
    <t>Jiaying Zhu</t>
  </si>
  <si>
    <t>Ahnaf Chowdhury</t>
  </si>
  <si>
    <t>Madina Raufi</t>
  </si>
  <si>
    <t>Cindy Herrera</t>
  </si>
  <si>
    <t>Jabez Yorrick</t>
  </si>
  <si>
    <t>Masooma Chaudhry</t>
  </si>
  <si>
    <t>Jia Meng Woon</t>
  </si>
  <si>
    <t>Dijonay Mogg Mogg</t>
  </si>
  <si>
    <t>Dante Matthews</t>
  </si>
  <si>
    <t>Yemili Goodridge</t>
  </si>
  <si>
    <t>Ariah Martin</t>
  </si>
  <si>
    <t>Ajahni Richards</t>
  </si>
  <si>
    <t>Angely Li Zheng</t>
  </si>
  <si>
    <t>Bryan Payana</t>
  </si>
  <si>
    <t>Bindadevi Sukhandan</t>
  </si>
  <si>
    <t>Luis Parra Pestana</t>
  </si>
  <si>
    <t>Samar Chaudhry</t>
  </si>
  <si>
    <t>Munir ahmad Bakhtyar</t>
  </si>
  <si>
    <t>Juliana Cáceres</t>
  </si>
  <si>
    <t>Allan Gonzalez</t>
  </si>
  <si>
    <t>Joanna Veletanga</t>
  </si>
  <si>
    <t>Luisa Rosario</t>
  </si>
  <si>
    <t>Amir Soman</t>
  </si>
  <si>
    <t>Zabdy Orellana</t>
  </si>
  <si>
    <t>Gabriela Turbi</t>
  </si>
  <si>
    <t>Jahzion Plummer</t>
  </si>
  <si>
    <t>Ben Junior Polynice</t>
  </si>
  <si>
    <t>Iyana Rankin</t>
  </si>
  <si>
    <t>Leila Nunez</t>
  </si>
  <si>
    <t>Aide Estudillo</t>
  </si>
  <si>
    <t>Charlin Liz</t>
  </si>
  <si>
    <t>An Nguyen</t>
  </si>
  <si>
    <t>Cynthia Akanaga</t>
  </si>
  <si>
    <t>Claudia Santana</t>
  </si>
  <si>
    <t>Yarlin Peralta</t>
  </si>
  <si>
    <t>Daejahnae Coleman</t>
  </si>
  <si>
    <t>Brianna Mcleod</t>
  </si>
  <si>
    <t>Norell Pauling</t>
  </si>
  <si>
    <t>Zenoul DJEPONOGNI</t>
  </si>
  <si>
    <t>Clari Luz Guzman</t>
  </si>
  <si>
    <t>Kamylle Camacho</t>
  </si>
  <si>
    <t>Nahiara Richiez Avila</t>
  </si>
  <si>
    <t>Amara Sinclair</t>
  </si>
  <si>
    <t>Ciara Campbell</t>
  </si>
  <si>
    <t>Madison Berjot</t>
  </si>
  <si>
    <t>Tamema Jahan</t>
  </si>
  <si>
    <t>Brandon Evans</t>
  </si>
  <si>
    <t>Zarrian Stewart</t>
  </si>
  <si>
    <t>Juan Trevino</t>
  </si>
  <si>
    <t>Juan Lozano</t>
  </si>
  <si>
    <t>Ruben Dorado</t>
  </si>
  <si>
    <t>Merilyn Ortiz Rodriguez</t>
  </si>
  <si>
    <t>Noe Juarez</t>
  </si>
  <si>
    <t>Djaka Kante</t>
  </si>
  <si>
    <t>FY Alum,EL Alum</t>
  </si>
  <si>
    <t>Oceanne Compaore</t>
  </si>
  <si>
    <t>Ofelia (Sara) Lopez</t>
  </si>
  <si>
    <t>Rafialy Carrasco</t>
  </si>
  <si>
    <t>Michael Steven Paredes Franco</t>
  </si>
  <si>
    <t>Cheikh Ka</t>
  </si>
  <si>
    <t>Jeremy Zapata</t>
  </si>
  <si>
    <t>Mouhamed Samb</t>
  </si>
  <si>
    <t>Akira Quezada</t>
  </si>
  <si>
    <t>Ousmane Nabe</t>
  </si>
  <si>
    <t>Fatoumata Barry</t>
  </si>
  <si>
    <t>Joselyn Guaraca</t>
  </si>
  <si>
    <t>Christian Guzman Jerez</t>
  </si>
  <si>
    <t>Aliyah Maliq</t>
  </si>
  <si>
    <t>Yovangely Mejia</t>
  </si>
  <si>
    <t>Eileen Spikes</t>
  </si>
  <si>
    <t>Ismatu Barry</t>
  </si>
  <si>
    <t>Michael David Paredes</t>
  </si>
  <si>
    <t>Jazling Garcia Garcia</t>
  </si>
  <si>
    <t>Liccy Dubon Zamora</t>
  </si>
  <si>
    <t>Emili Ordonez</t>
  </si>
  <si>
    <t>Romel Elvir Villanueva</t>
  </si>
  <si>
    <t>Diego Rojas</t>
  </si>
  <si>
    <t>Angelica Rubiera</t>
  </si>
  <si>
    <t>Naomi Lantigua</t>
  </si>
  <si>
    <t>Akshay Intern</t>
  </si>
  <si>
    <t>Norvia Tavarez</t>
  </si>
  <si>
    <t>Sebastian Francisco</t>
  </si>
  <si>
    <t>Adriel Tavarez Tavarez</t>
  </si>
  <si>
    <t>Slinne Cruz</t>
  </si>
  <si>
    <t>Luis Chicas</t>
  </si>
  <si>
    <t>Sadia Islam</t>
  </si>
  <si>
    <t>Daniel Pierre</t>
  </si>
  <si>
    <t>Sadi Islam</t>
  </si>
  <si>
    <t>Mei Chen</t>
  </si>
  <si>
    <t>Sanzida Ahmed</t>
  </si>
  <si>
    <t>Soliha Akhmedova</t>
  </si>
  <si>
    <t>Diego Ramirez</t>
  </si>
  <si>
    <t>Sergio Avila</t>
  </si>
  <si>
    <t>Donis Aldana</t>
  </si>
  <si>
    <t>Leslie D. Sanchez Olivo</t>
  </si>
  <si>
    <t>Omairi Cruz Tejada</t>
  </si>
  <si>
    <t>Daniela Gonzalez</t>
  </si>
  <si>
    <t>Indira Yamileth Nunez Mateo</t>
  </si>
  <si>
    <t>Kevin Portillo</t>
  </si>
  <si>
    <t>Emelin Arzu</t>
  </si>
  <si>
    <t>Liuyi Qiu</t>
  </si>
  <si>
    <t>Oscar Pardo</t>
  </si>
  <si>
    <t>Susana Franco Lopez</t>
  </si>
  <si>
    <t>Manuela Osorno</t>
  </si>
  <si>
    <t>Sandy Mercedes</t>
  </si>
  <si>
    <t>Justin Martinez</t>
  </si>
  <si>
    <t>Yafei Huang</t>
  </si>
  <si>
    <t>Tatiana Cardona</t>
  </si>
  <si>
    <t>Yesica Fila</t>
  </si>
  <si>
    <t>Bohan Yang</t>
  </si>
  <si>
    <t>Wilberto Velasquez</t>
  </si>
  <si>
    <t>Zhihao Huang</t>
  </si>
  <si>
    <t>Mathews Huacon</t>
  </si>
  <si>
    <t>JiaJing Li</t>
  </si>
  <si>
    <t>Cesar Misael Orellana Riera</t>
  </si>
  <si>
    <t>Romina  Sulaimonova</t>
  </si>
  <si>
    <t>Zihan Zhang</t>
  </si>
  <si>
    <t>Yomar Matias</t>
  </si>
  <si>
    <t>Kaite Cai</t>
  </si>
  <si>
    <t>Kimberlin Ruiz</t>
  </si>
  <si>
    <t>Long Xiong Long</t>
  </si>
  <si>
    <t>Juan David Baron</t>
  </si>
  <si>
    <t>Claribel Escobar</t>
  </si>
  <si>
    <t>Yuxi Yang</t>
  </si>
  <si>
    <t>Christopher Mendoza</t>
  </si>
  <si>
    <t>Jaritza Ortega</t>
  </si>
  <si>
    <t>Melanny Pinzon</t>
  </si>
  <si>
    <t>Qingyang Lin</t>
  </si>
  <si>
    <t>Yeling Lin</t>
  </si>
  <si>
    <t>Marlin Rodriguez</t>
  </si>
  <si>
    <t>Longyu Lin</t>
  </si>
  <si>
    <t>David Reynoso Fernandez</t>
  </si>
  <si>
    <t>Walter Ramos</t>
  </si>
  <si>
    <t>Carlos Hernandez</t>
  </si>
  <si>
    <t>Rony Velasco</t>
  </si>
  <si>
    <t>Zhihui Guo</t>
  </si>
  <si>
    <t>Abner Abreu</t>
  </si>
  <si>
    <t>Valentina Guerrero</t>
  </si>
  <si>
    <t>JiaJie Liu</t>
  </si>
  <si>
    <t>Erick Buitrago</t>
  </si>
  <si>
    <t>Vilma Coc pop</t>
  </si>
  <si>
    <t>Robeliza Nunez</t>
  </si>
  <si>
    <t>Yuzhi Fang</t>
  </si>
  <si>
    <t>Siyan Wu</t>
  </si>
  <si>
    <t>Marilyn Arroyo</t>
  </si>
  <si>
    <t>Yechi Ma</t>
  </si>
  <si>
    <t>Luis Cardenas</t>
  </si>
  <si>
    <t>Gema Alarcon</t>
  </si>
  <si>
    <t>Fredis Chavez Portillo</t>
  </si>
  <si>
    <t>Dylan Fabre</t>
  </si>
  <si>
    <t>Sijia Su</t>
  </si>
  <si>
    <t>Ziyi Lin</t>
  </si>
  <si>
    <t>Baseria  Atta</t>
  </si>
  <si>
    <t>Bryan Montesdeoca Montesdeoca</t>
  </si>
  <si>
    <t>Zeyad Marzouk</t>
  </si>
  <si>
    <t>Naveer Ramsarran</t>
  </si>
  <si>
    <t>Ishmael Callender</t>
  </si>
  <si>
    <t>Isaiah Callender</t>
  </si>
  <si>
    <t>Bairon Villanueva</t>
  </si>
  <si>
    <t>Sisely Hernandez</t>
  </si>
  <si>
    <t>Angelica Reynoso</t>
  </si>
  <si>
    <t>Hannah Perez</t>
  </si>
  <si>
    <t>Jose? Rivera</t>
  </si>
  <si>
    <t>Shiqing Wei</t>
  </si>
  <si>
    <t>Asia Atta</t>
  </si>
  <si>
    <t>Sindi Valerio Frias</t>
  </si>
  <si>
    <t>Karidjatou Kone</t>
  </si>
  <si>
    <t>Chuanxun Li</t>
  </si>
  <si>
    <t>Andres Munoz</t>
  </si>
  <si>
    <t>Cleidy Ramirez</t>
  </si>
  <si>
    <t>Maria Ventura</t>
  </si>
  <si>
    <t>Jhony Diaz</t>
  </si>
  <si>
    <t>Diana Chima</t>
  </si>
  <si>
    <t>Carlos Ramirez</t>
  </si>
  <si>
    <t>Anderson Martinez</t>
  </si>
  <si>
    <t>Santiago Espinel</t>
  </si>
  <si>
    <t>Rocio Hernandez</t>
  </si>
  <si>
    <t>Elver Veras</t>
  </si>
  <si>
    <t>Wanting Huang</t>
  </si>
  <si>
    <t>Siyu Liu</t>
  </si>
  <si>
    <t>Meybelin Nicole Marquez</t>
  </si>
  <si>
    <t>Fatima Magana</t>
  </si>
  <si>
    <t>Pablo Justiniano</t>
  </si>
  <si>
    <t>Douglas Carrasco Carcamo</t>
  </si>
  <si>
    <t>Chanely Astacio</t>
  </si>
  <si>
    <t>Khadim Ndiaye</t>
  </si>
  <si>
    <t>Eliana Cabral</t>
  </si>
  <si>
    <t>Jingru Feng</t>
  </si>
  <si>
    <t>Santiago Diaz</t>
  </si>
  <si>
    <t>Fatou Diedhiou</t>
  </si>
  <si>
    <t>Evelyn Guaman</t>
  </si>
  <si>
    <t>Johana Gonzalez</t>
  </si>
  <si>
    <t>Yongjian Dai</t>
  </si>
  <si>
    <t>Paola Munoz</t>
  </si>
  <si>
    <t>Nanci Garcia</t>
  </si>
  <si>
    <t>Aisha Patel</t>
  </si>
  <si>
    <t>Active</t>
  </si>
  <si>
    <t>Rasoul Sher  Ahmad</t>
  </si>
  <si>
    <t>Fabiana Justiniano</t>
  </si>
  <si>
    <t>Anderson Berrios</t>
  </si>
  <si>
    <t>Eliana Alfonso Hernandez</t>
  </si>
  <si>
    <t>Wendy Choc Coc</t>
  </si>
  <si>
    <t>Phue Naing</t>
  </si>
  <si>
    <t>Jeymi Rodiguez</t>
  </si>
  <si>
    <t>Genesis Martinez</t>
  </si>
  <si>
    <t>Nataly Bolanos</t>
  </si>
  <si>
    <t>Sofia Vasquez</t>
  </si>
  <si>
    <t>Elian Acosta</t>
  </si>
  <si>
    <t>Homero Mendoza</t>
  </si>
  <si>
    <t>Mishelle Carol</t>
  </si>
  <si>
    <t>Marwin Silverio Rodriguez</t>
  </si>
  <si>
    <t>Halimatou Sacko</t>
  </si>
  <si>
    <t>Katherin Dubón</t>
  </si>
  <si>
    <t>Mohamed Danso</t>
  </si>
  <si>
    <t>Shahzodabonu Davronova</t>
  </si>
  <si>
    <t>Jannatul Monalisa</t>
  </si>
  <si>
    <t>Alisha Guillaume</t>
  </si>
  <si>
    <t>Alexza Martinez</t>
  </si>
  <si>
    <t>Marziyaoy Norkulova</t>
  </si>
  <si>
    <t>Rukhshona Sharofova</t>
  </si>
  <si>
    <t>Ketu Patel</t>
  </si>
  <si>
    <t>Mahliyo Kilichkulova</t>
  </si>
  <si>
    <t>Dilnoza Hakberdieva</t>
  </si>
  <si>
    <t>Amir Saunders</t>
  </si>
  <si>
    <t>Zarshed Narziloev</t>
  </si>
  <si>
    <t>Alisha Ramos</t>
  </si>
  <si>
    <t>Anthony Mazariegos</t>
  </si>
  <si>
    <t>Patricia Manrique</t>
  </si>
  <si>
    <t>Vitaliy Kuz</t>
  </si>
  <si>
    <t>Sanjida Fnu</t>
  </si>
  <si>
    <t>Steisy Rodriguez</t>
  </si>
  <si>
    <t>Dayanara Angulo Riascos</t>
  </si>
  <si>
    <t>Salina Magarati</t>
  </si>
  <si>
    <t>Juliana Claire Cahumnas</t>
  </si>
  <si>
    <t>Fabian Kuclo</t>
  </si>
  <si>
    <t>Angelo De La Cruz</t>
  </si>
  <si>
    <t>Victor Rivas</t>
  </si>
  <si>
    <t>Mahmoud Ahmed</t>
  </si>
  <si>
    <t>Maria Polanco</t>
  </si>
  <si>
    <t>Xilena Toris</t>
  </si>
  <si>
    <t>Juan Guaman</t>
  </si>
  <si>
    <t>Paula Arias</t>
  </si>
  <si>
    <t>Ariel Cedeno</t>
  </si>
  <si>
    <t>Vimadel Estrella</t>
  </si>
  <si>
    <t>Justin Jimenez</t>
  </si>
  <si>
    <t>Michelove jeanbaptiste</t>
  </si>
  <si>
    <t>Antonia Ajtzalam</t>
  </si>
  <si>
    <t>Malika Bahronbekova</t>
  </si>
  <si>
    <t>Genesis Moreno</t>
  </si>
  <si>
    <t>Alison Vargas</t>
  </si>
  <si>
    <t>Raya Tovmasyan</t>
  </si>
  <si>
    <t>Ketevan Antidze</t>
  </si>
  <si>
    <t>Ricaldyne Saturne</t>
  </si>
  <si>
    <t>Mayerli Torres</t>
  </si>
  <si>
    <t>Abbah Fatima</t>
  </si>
  <si>
    <t>Rubaya Nasrin</t>
  </si>
  <si>
    <t>Laziz Djuraev</t>
  </si>
  <si>
    <t>Yasmine El himdi</t>
  </si>
  <si>
    <t>Genesis Araujo</t>
  </si>
  <si>
    <t>Steffania Molina</t>
  </si>
  <si>
    <t>Genesis Mercado</t>
  </si>
  <si>
    <t>Rowena Otero</t>
  </si>
  <si>
    <t>Luis Rodriguez</t>
  </si>
  <si>
    <t>Shobha Gurung</t>
  </si>
  <si>
    <t>Nadilka Hernandez</t>
  </si>
  <si>
    <t>Abdelrahman Mohamed</t>
  </si>
  <si>
    <t>Wildainy Martinez</t>
  </si>
  <si>
    <t>Xuyuan Zhao</t>
  </si>
  <si>
    <t>Mame Fatime Sarr</t>
  </si>
  <si>
    <t>Rongze Yu</t>
  </si>
  <si>
    <t>Emmanuel Rezil</t>
  </si>
  <si>
    <t>Sabina Musayeva</t>
  </si>
  <si>
    <t>Samuel Rodriguez</t>
  </si>
  <si>
    <t>Stephanie Mendoza</t>
  </si>
  <si>
    <t>Jariel Fernandez</t>
  </si>
  <si>
    <t>Lady Villa</t>
  </si>
  <si>
    <t>Rassiel Munoz Gomez</t>
  </si>
  <si>
    <t>Edison Vacacela</t>
  </si>
  <si>
    <t>Frailyn Cruz</t>
  </si>
  <si>
    <t>Navier Rojas</t>
  </si>
  <si>
    <t>Wasin Shihab</t>
  </si>
  <si>
    <t>Andrea Guevara</t>
  </si>
  <si>
    <t>Leo Monnier</t>
  </si>
  <si>
    <t>Vy Vo</t>
  </si>
  <si>
    <t>Amelia Rodriguez</t>
  </si>
  <si>
    <t>Yanquel Hernandez</t>
  </si>
  <si>
    <t>Yannelle Kunakey</t>
  </si>
  <si>
    <t>Hamzah Saleh</t>
  </si>
  <si>
    <t>Dania Alshami</t>
  </si>
  <si>
    <t>Yiengchuk Dorji</t>
  </si>
  <si>
    <t>Subham Saud</t>
  </si>
  <si>
    <t>Jhon Fila</t>
  </si>
  <si>
    <t>Ilsy Hernandez</t>
  </si>
  <si>
    <t>Shirley Cullqui</t>
  </si>
  <si>
    <t>Erika Matias</t>
  </si>
  <si>
    <t>Alessandro Pineda</t>
  </si>
  <si>
    <t>Mehedi Hasan</t>
  </si>
  <si>
    <t>Dipson Khatri Chhetri</t>
  </si>
  <si>
    <t>Yamile Bastidas</t>
  </si>
  <si>
    <t>Axel Almonte</t>
  </si>
  <si>
    <t>Europe Oli</t>
  </si>
  <si>
    <t>Samira Vivas</t>
  </si>
  <si>
    <t>Jose Romero</t>
  </si>
  <si>
    <t>Afrin Tripti</t>
  </si>
  <si>
    <t>Pratima Bohara</t>
  </si>
  <si>
    <t>Nayeli Cruz</t>
  </si>
  <si>
    <t>DL Alum,FY Alum</t>
  </si>
  <si>
    <t>Kenia Cholom</t>
  </si>
  <si>
    <t>Dina Lagua</t>
  </si>
  <si>
    <t>Miguel Gonzalez</t>
  </si>
  <si>
    <t>Keyla Lliguin</t>
  </si>
  <si>
    <t>Yosandy Liz</t>
  </si>
  <si>
    <t>Alessandro Guzman</t>
  </si>
  <si>
    <t>Jaylin Rosa Gonzalez</t>
  </si>
  <si>
    <t>Jennyfer Montilla</t>
  </si>
  <si>
    <t>Jaliyha Eberhart</t>
  </si>
  <si>
    <t>Anjalie Ramkissoon</t>
  </si>
  <si>
    <t>Joshua Jimenez</t>
  </si>
  <si>
    <t>Crisffer Urena</t>
  </si>
  <si>
    <t>Angelina Gil</t>
  </si>
  <si>
    <t>Ligia Espinoza</t>
  </si>
  <si>
    <t>Genesis Munoz</t>
  </si>
  <si>
    <t>Ashley Rodriguez</t>
  </si>
  <si>
    <t>Niloy Ahmed</t>
  </si>
  <si>
    <t>Yonathan Martinez</t>
  </si>
  <si>
    <t>Josselyn Rivera</t>
  </si>
  <si>
    <t>Stephanie Sosa</t>
  </si>
  <si>
    <t>Abdulghani Ali</t>
  </si>
  <si>
    <t>Lady Calle</t>
  </si>
  <si>
    <t>Fernando Zelaya</t>
  </si>
  <si>
    <t>Gelber Garcia</t>
  </si>
  <si>
    <t>Gafar Aliyev</t>
  </si>
  <si>
    <t>Lisy Sanchez</t>
  </si>
  <si>
    <t>Ciara Cruz</t>
  </si>
  <si>
    <t>Akemi Liz</t>
  </si>
  <si>
    <t>Myrny St Vil</t>
  </si>
  <si>
    <t>Justin Pinero</t>
  </si>
  <si>
    <t>Tasrifa Sultana</t>
  </si>
  <si>
    <t>Bebehonem Robertina</t>
  </si>
  <si>
    <t>Loyda Martinez</t>
  </si>
  <si>
    <t>JOSIMAR LUCERO</t>
  </si>
  <si>
    <t>Israel Martinez</t>
  </si>
  <si>
    <t>Luis Acevedo</t>
  </si>
  <si>
    <t>Aura Caraballo</t>
  </si>
  <si>
    <t>Heiscelys Campusano</t>
  </si>
  <si>
    <t>Diogo Perez</t>
  </si>
  <si>
    <t>Tiasha Grullon</t>
  </si>
  <si>
    <t>Cristian Rodriguez</t>
  </si>
  <si>
    <t>Maria  Ramirez</t>
  </si>
  <si>
    <t>Matthew Vargas</t>
  </si>
  <si>
    <t>Omar Piron II</t>
  </si>
  <si>
    <t>Juana Verdecia</t>
  </si>
  <si>
    <t>Scarlett Cotto</t>
  </si>
  <si>
    <t>Gabriel Morris</t>
  </si>
  <si>
    <t>Mariama Toure</t>
  </si>
  <si>
    <t>Takezo Fujita Ostman</t>
  </si>
  <si>
    <t>Osvaldo Rodriguez</t>
  </si>
  <si>
    <t>Ali Salem</t>
  </si>
  <si>
    <t>Johalyn Perez</t>
  </si>
  <si>
    <t>Eliexer Santos</t>
  </si>
  <si>
    <t>Kaitlynn Coppin</t>
  </si>
  <si>
    <t>Meiyu Chen</t>
  </si>
  <si>
    <t>Kiara Paulino</t>
  </si>
  <si>
    <t>Emely Payano</t>
  </si>
  <si>
    <t>Darwin Guerrero</t>
  </si>
  <si>
    <t>Ana. Fabian</t>
  </si>
  <si>
    <t>Diego Dinardi</t>
  </si>
  <si>
    <t>Noelia Pimentel</t>
  </si>
  <si>
    <t>Ashley Sosa</t>
  </si>
  <si>
    <t>Lisvany Guzman</t>
  </si>
  <si>
    <t>Francisco Dominguez</t>
  </si>
  <si>
    <t>Sebastien Sierra</t>
  </si>
  <si>
    <t>Jose Orellana</t>
  </si>
  <si>
    <t>Aminata Kebe</t>
  </si>
  <si>
    <t>EL Alum,FY Alum</t>
  </si>
  <si>
    <t>Kadidiatou Traore</t>
  </si>
  <si>
    <t>Aboubacar Sidiki Djoumande</t>
  </si>
  <si>
    <t>Greisi Colon</t>
  </si>
  <si>
    <t>Heather Nieves</t>
  </si>
  <si>
    <t>Bianca mora</t>
  </si>
  <si>
    <t>Sael Marroquin</t>
  </si>
  <si>
    <t>Valentina Jaque</t>
  </si>
  <si>
    <t>Moussa Doukoure</t>
  </si>
  <si>
    <t>Boubacar Diallo</t>
  </si>
  <si>
    <t>Victor Reyes Avila</t>
  </si>
  <si>
    <t>Aaliyah Aybar</t>
  </si>
  <si>
    <t>Noely Candelario</t>
  </si>
  <si>
    <t>Carolyn Guzman</t>
  </si>
  <si>
    <t>Kaddijatou Sey</t>
  </si>
  <si>
    <t>Edgar Silverio</t>
  </si>
  <si>
    <t>Akram Mehdi</t>
  </si>
  <si>
    <t>ilse cotiy tambriz</t>
  </si>
  <si>
    <t>Denzel Velasquez</t>
  </si>
  <si>
    <t>Jose Salas</t>
  </si>
  <si>
    <t>Karen Maria Grullon Moronta</t>
  </si>
  <si>
    <t>Shiralyn Altagracia Torres</t>
  </si>
  <si>
    <t>Jhojanly Mendez</t>
  </si>
  <si>
    <t>Assane Thiam</t>
  </si>
  <si>
    <t>Oussema Saddi</t>
  </si>
  <si>
    <t>Maria Cogollo</t>
  </si>
  <si>
    <t>Shengmin(Jayden) Jin</t>
  </si>
  <si>
    <t>Andrea Magana</t>
  </si>
  <si>
    <t>Jhon Castro</t>
  </si>
  <si>
    <t>Jiahe(Emily) Xu</t>
  </si>
  <si>
    <t>Wendy Reyes</t>
  </si>
  <si>
    <t>Bryan Li</t>
  </si>
  <si>
    <t>Juan Azogue</t>
  </si>
  <si>
    <t>Karen Alvarez</t>
  </si>
  <si>
    <t>Julio Illicachi</t>
  </si>
  <si>
    <t>Chih Jou (Jacklin) SU</t>
  </si>
  <si>
    <t>Scarlet Mieles</t>
  </si>
  <si>
    <t>Skarleth Acosta</t>
  </si>
  <si>
    <t>Jandiel Pesantez</t>
  </si>
  <si>
    <t>Danna Alava</t>
  </si>
  <si>
    <t>Nelson Guzman</t>
  </si>
  <si>
    <t>CATALINA ORTIZ</t>
  </si>
  <si>
    <t>William Q Quizar</t>
  </si>
  <si>
    <t>Nixon Vergara</t>
  </si>
  <si>
    <t>Sushil Magar</t>
  </si>
  <si>
    <t>Johana Garcia</t>
  </si>
  <si>
    <t>Kahori Toribio Vargas</t>
  </si>
  <si>
    <t>Brian Rodriguez Rodriguez</t>
  </si>
  <si>
    <t>antonio lima</t>
  </si>
  <si>
    <t>Treicy Colon</t>
  </si>
  <si>
    <t>Emily Cosquillo</t>
  </si>
  <si>
    <t>Johnkarl Royales</t>
  </si>
  <si>
    <t>Eliseo Palacios</t>
  </si>
  <si>
    <t>Fredline Calixte</t>
  </si>
  <si>
    <t>kilmer zabala</t>
  </si>
  <si>
    <t>Javier Fortuna</t>
  </si>
  <si>
    <t>Mohamed Doukoure</t>
  </si>
  <si>
    <t>Elian Duarte</t>
  </si>
  <si>
    <t>lizbeth Luna Luna</t>
  </si>
  <si>
    <t>Elaine Felipe</t>
  </si>
  <si>
    <t>Suigly Gomez</t>
  </si>
  <si>
    <t>Anisah Tofa</t>
  </si>
  <si>
    <t>cristofe hernandez</t>
  </si>
  <si>
    <t>Maria Ines Lara Mejia</t>
  </si>
  <si>
    <t>Clemely Vasquez</t>
  </si>
  <si>
    <t>Anyeli Riveras</t>
  </si>
  <si>
    <t>Raul Alonzo</t>
  </si>
  <si>
    <t>Mohammed hossain</t>
  </si>
  <si>
    <t>brayan mendez</t>
  </si>
  <si>
    <t>Francheska Caraballo</t>
  </si>
  <si>
    <t>D'marjia Rankine</t>
  </si>
  <si>
    <t>Yuxin Gong</t>
  </si>
  <si>
    <t>Enmanuel Gervacio Rodriguez</t>
  </si>
  <si>
    <t>Franllelis Rodriguez</t>
  </si>
  <si>
    <t>Humayra Barsha</t>
  </si>
  <si>
    <t>Assa Diambou</t>
  </si>
  <si>
    <t>Jocelyn Leon</t>
  </si>
  <si>
    <t>kira guartasaca</t>
  </si>
  <si>
    <t>Chantell Palacios</t>
  </si>
  <si>
    <t>Nabel Qaid</t>
  </si>
  <si>
    <t>Lorna Bonilla</t>
  </si>
  <si>
    <t>rashani Rodriguez</t>
  </si>
  <si>
    <t>Yousef Alzandani</t>
  </si>
  <si>
    <t>Ali Aljabyali</t>
  </si>
  <si>
    <t>Oumou Barry</t>
  </si>
  <si>
    <t>Yasmeily Torres Santana</t>
  </si>
  <si>
    <t>Franklin Bello</t>
  </si>
  <si>
    <t>Lennyn De la Cruz</t>
  </si>
  <si>
    <t>Sebastien Paillant</t>
  </si>
  <si>
    <t>Jose Pichardo</t>
  </si>
  <si>
    <t>omar rosario disla</t>
  </si>
  <si>
    <t>Janeth Lopez Barragan</t>
  </si>
  <si>
    <t>Jocelyn Merino</t>
  </si>
  <si>
    <t>Soraya Roldan</t>
  </si>
  <si>
    <t>Matthew Maldonado</t>
  </si>
  <si>
    <t>Melissa Ortega</t>
  </si>
  <si>
    <t>Esha Neupane</t>
  </si>
  <si>
    <t>Fatima Luna</t>
  </si>
  <si>
    <t>Alina Delgado</t>
  </si>
  <si>
    <t>Genevib Diaz</t>
  </si>
  <si>
    <t>Michael Dutan</t>
  </si>
  <si>
    <t>megan echaverry</t>
  </si>
  <si>
    <t>Zhenhua Tan</t>
  </si>
  <si>
    <t>Luis Romero Reyes</t>
  </si>
  <si>
    <t>Suri Smatkitboriharn</t>
  </si>
  <si>
    <t>Alexandra Szostak</t>
  </si>
  <si>
    <t>Kevin Aguayza</t>
  </si>
  <si>
    <t>David Rivera</t>
  </si>
  <si>
    <t>Yousef Abdelaal</t>
  </si>
  <si>
    <t>Alejandro Dejesus</t>
  </si>
  <si>
    <t>Leslie Prado</t>
  </si>
  <si>
    <t>Melany Ochoa</t>
  </si>
  <si>
    <t>Danialdo Luna</t>
  </si>
  <si>
    <t>David Li</t>
  </si>
  <si>
    <t>Sanjay Abraham</t>
  </si>
  <si>
    <t>Rogina Sobhy</t>
  </si>
  <si>
    <t>Tatiana Zumba</t>
  </si>
  <si>
    <t>Katie Caba</t>
  </si>
  <si>
    <t>Adam Colon</t>
  </si>
  <si>
    <t>Owen Supliguicha</t>
  </si>
  <si>
    <t>Brandon Vazquez</t>
  </si>
  <si>
    <t>Shyla Williams</t>
  </si>
  <si>
    <t>cirilo luna</t>
  </si>
  <si>
    <t>Zoe Elizalde</t>
  </si>
  <si>
    <t>Destiny Cortez</t>
  </si>
  <si>
    <t>Tenzin Namsal</t>
  </si>
  <si>
    <t>Aryn Arias</t>
  </si>
  <si>
    <t>Eduardo Garcia</t>
  </si>
  <si>
    <t>Logan Richardson</t>
  </si>
  <si>
    <t>chrystall rivas</t>
  </si>
  <si>
    <t>Hayden-Miguel Rene Serrano</t>
  </si>
  <si>
    <t>Victor Czajka</t>
  </si>
  <si>
    <t>Angely Abreu</t>
  </si>
  <si>
    <t>EL Alum,DL Alum</t>
  </si>
  <si>
    <t>Keily Aquino</t>
  </si>
  <si>
    <t>Mariama Jarmegeh</t>
  </si>
  <si>
    <t>Navil Sheikh</t>
  </si>
  <si>
    <t>Mariama Sey</t>
  </si>
  <si>
    <t>Beatriz Espinosa</t>
  </si>
  <si>
    <t>Arpan Dhar</t>
  </si>
  <si>
    <t>John Lim</t>
  </si>
  <si>
    <t>Jaden Cuatianquiz</t>
  </si>
  <si>
    <t>justin zenetno</t>
  </si>
  <si>
    <t>Kyara Guzman</t>
  </si>
  <si>
    <t>Kelly Contreras</t>
  </si>
  <si>
    <t>xavier lugo</t>
  </si>
  <si>
    <t>Lizyanny Prandy</t>
  </si>
  <si>
    <t>Uvegeni Flores</t>
  </si>
  <si>
    <t>David Kong</t>
  </si>
  <si>
    <t>mia Altamirano</t>
  </si>
  <si>
    <t>karen grullon</t>
  </si>
  <si>
    <t>Jonathan Martinez</t>
  </si>
  <si>
    <t>SARAHI Alcantara</t>
  </si>
  <si>
    <t>nouhayla elidrissi</t>
  </si>
  <si>
    <t>Anthony Chauca</t>
  </si>
  <si>
    <t>Christian nava</t>
  </si>
  <si>
    <t>Damian Fenoutt</t>
  </si>
  <si>
    <t>Romina Campos</t>
  </si>
  <si>
    <t>Anisa Azad</t>
  </si>
  <si>
    <t>Aya Zrelli</t>
  </si>
  <si>
    <t>hailie sucuzhanay</t>
  </si>
  <si>
    <t>Isabella Santiago</t>
  </si>
  <si>
    <t>Alejandra Campoverde</t>
  </si>
  <si>
    <t>Awa Ndiaye</t>
  </si>
  <si>
    <t>Ian martinez</t>
  </si>
  <si>
    <t>Mously Thiam</t>
  </si>
  <si>
    <t>Anny Garcia</t>
  </si>
  <si>
    <t>Ana Almanzar</t>
  </si>
  <si>
    <t>Razina Issoufou</t>
  </si>
  <si>
    <t>Hazel Perez</t>
  </si>
  <si>
    <t>Angel Ramirez</t>
  </si>
  <si>
    <t>Omar Aspiroz</t>
  </si>
  <si>
    <t>Yolet Gonzalez</t>
  </si>
  <si>
    <t>Jessica Mendoza</t>
  </si>
  <si>
    <t>Josue Cuello-Marte</t>
  </si>
  <si>
    <t>James Romero</t>
  </si>
  <si>
    <t>Amy Perez</t>
  </si>
  <si>
    <t>Gabriela Pena</t>
  </si>
  <si>
    <t>Jonnel Estevez</t>
  </si>
  <si>
    <t>Karla Arriola</t>
  </si>
  <si>
    <t>katerin Vasquez</t>
  </si>
  <si>
    <t>Skirlie De La Cruz</t>
  </si>
  <si>
    <t>Silvana. Tapia</t>
  </si>
  <si>
    <t>Nicoll Suarez</t>
  </si>
  <si>
    <t>Paula Astudillo</t>
  </si>
  <si>
    <t>Julia Pontes</t>
  </si>
  <si>
    <t>FY Alum,DL Alum</t>
  </si>
  <si>
    <t>Maria  Mercedes Castro</t>
  </si>
  <si>
    <t>Alejandra Minan</t>
  </si>
  <si>
    <t>Briana Almeida</t>
  </si>
  <si>
    <t>Maria Jose Caprio</t>
  </si>
  <si>
    <t>Salma Ramirez Tlapa</t>
  </si>
  <si>
    <t>Connie Tai</t>
  </si>
  <si>
    <t>Audrey Made Mewoli</t>
  </si>
  <si>
    <t>Keren Mejia Calderon</t>
  </si>
  <si>
    <t>Thuy Trinh</t>
  </si>
  <si>
    <t>Avril Mejia</t>
  </si>
  <si>
    <t>Diarra Fall</t>
  </si>
  <si>
    <t>Diego Lojano</t>
  </si>
  <si>
    <t>Mario Brito</t>
  </si>
  <si>
    <t>Genesis Lochart</t>
  </si>
  <si>
    <t>James Ametefe</t>
  </si>
  <si>
    <t>Erick Ocana</t>
  </si>
  <si>
    <t>Samira Cuero Vivas</t>
  </si>
  <si>
    <t>Luis Grullon</t>
  </si>
  <si>
    <t>Helena Bedward</t>
  </si>
  <si>
    <t>Brailyn Ramirez</t>
  </si>
  <si>
    <t>Tryana Hernandez</t>
  </si>
  <si>
    <t>Brandon Nunez</t>
  </si>
  <si>
    <t>Lhianna Capell</t>
  </si>
  <si>
    <t>Yorlan Espinal</t>
  </si>
  <si>
    <t>Noah Ramos</t>
  </si>
  <si>
    <t>Ximena Ordonez</t>
  </si>
  <si>
    <t>Seam PatwaRy</t>
  </si>
  <si>
    <t>Albert Khyan</t>
  </si>
  <si>
    <t>Christopher Urgiles</t>
  </si>
  <si>
    <t>Angel Guaman</t>
  </si>
  <si>
    <t>Albry Witherspoon</t>
  </si>
  <si>
    <t>Ibrahim Alkutaini</t>
  </si>
  <si>
    <t>Fatima Garcia</t>
  </si>
  <si>
    <t>Rashel Cabreja</t>
  </si>
  <si>
    <t>Arturo Barrios</t>
  </si>
  <si>
    <t>Lesly Guterirez</t>
  </si>
  <si>
    <t>Shabib Mahrus</t>
  </si>
  <si>
    <t>Jhon Quillay</t>
  </si>
  <si>
    <t>Adalay Rodriguez</t>
  </si>
  <si>
    <t>Quincy Golden</t>
  </si>
  <si>
    <t>Hillary Barros</t>
  </si>
  <si>
    <t>Maradiatou Kassim</t>
  </si>
  <si>
    <t>Stheysis (Stacy) Genao</t>
  </si>
  <si>
    <t>Wladimir Veloz Balbuena</t>
  </si>
  <si>
    <t>Sabrina Galay</t>
  </si>
  <si>
    <t>Rasheed Abdulla</t>
  </si>
  <si>
    <t>Nana  Keita</t>
  </si>
  <si>
    <t>Alexa Veloz Balbuena</t>
  </si>
  <si>
    <t>Maria Cuahuiz Del Carmen</t>
  </si>
  <si>
    <t>Valentina Abreu</t>
  </si>
  <si>
    <t>Elaisa Vinicio</t>
  </si>
  <si>
    <t>Jaymin Ortega</t>
  </si>
  <si>
    <t>Aimee Jimbo</t>
  </si>
  <si>
    <t>Ariel Ortiz</t>
  </si>
  <si>
    <t>Sherlyn Nayotl</t>
  </si>
  <si>
    <t>Leandro Chavez</t>
  </si>
  <si>
    <t>Hayes Mendez</t>
  </si>
  <si>
    <t>siolimar-shadow alba alba</t>
  </si>
  <si>
    <t>Adalbelys Polanco</t>
  </si>
  <si>
    <t>Carlos Vasquez</t>
  </si>
  <si>
    <t>Kimberly Paulino</t>
  </si>
  <si>
    <t>Dilcia Guzman</t>
  </si>
  <si>
    <t>Yisneiri Rojas</t>
  </si>
  <si>
    <t>Shanick De Leon</t>
  </si>
  <si>
    <t>Jaylenn Ortega</t>
  </si>
  <si>
    <t>Yoana Reyes</t>
  </si>
  <si>
    <t>Jeremy Rodriguez</t>
  </si>
  <si>
    <t>Hanan Awad</t>
  </si>
  <si>
    <t>Emanuel Ortiz</t>
  </si>
  <si>
    <t>Raquel Guerrero</t>
  </si>
  <si>
    <t>Justin Lora</t>
  </si>
  <si>
    <t>Aboubacar Barry</t>
  </si>
  <si>
    <t>Toure Drame</t>
  </si>
  <si>
    <t>Fatima Traore</t>
  </si>
  <si>
    <t>Awilca Laurencio</t>
  </si>
  <si>
    <t>Carlos Disla</t>
  </si>
  <si>
    <t>Debixs Figueroa</t>
  </si>
  <si>
    <t>Jayrenk Ramos</t>
  </si>
  <si>
    <t>Jane Villalobo</t>
  </si>
  <si>
    <t>Yumeiry Mauricio</t>
  </si>
  <si>
    <t>Nathalie Flores</t>
  </si>
  <si>
    <t>Dayra Bustos</t>
  </si>
  <si>
    <t>Danna Acosta Medina</t>
  </si>
  <si>
    <t>Melany Cumbal</t>
  </si>
  <si>
    <t>Stacy Espinoza</t>
  </si>
  <si>
    <t>Dahianna `Guzman</t>
  </si>
  <si>
    <t>Genesis Gomez</t>
  </si>
  <si>
    <t>Josue Bueno</t>
  </si>
  <si>
    <t>Sebastian Cruz</t>
  </si>
  <si>
    <t>Stephanie Leonzo</t>
  </si>
  <si>
    <t>Benjamin Medrano</t>
  </si>
  <si>
    <t>Daylan Peralta</t>
  </si>
  <si>
    <t>yosselin solis</t>
  </si>
  <si>
    <t>Albert Mercedes Marte</t>
  </si>
  <si>
    <t>Arceline Rodrguez Lebron</t>
  </si>
  <si>
    <t>Francisco Sorto</t>
  </si>
  <si>
    <t>Aboubacar Traore</t>
  </si>
  <si>
    <t>Karina Tejada</t>
  </si>
  <si>
    <t>Jeyrent Cid Martinez</t>
  </si>
  <si>
    <t>Gary Hernandez</t>
  </si>
  <si>
    <t>Celso Velasquez</t>
  </si>
  <si>
    <t>Brayan Orozco</t>
  </si>
  <si>
    <t>Aristid Reynoso</t>
  </si>
  <si>
    <t>Wilenie De Jesus Lancer</t>
  </si>
  <si>
    <t>Diego Rodriguez</t>
  </si>
  <si>
    <t>Bashayer Ali</t>
  </si>
  <si>
    <t>Ansel Castro</t>
  </si>
  <si>
    <t>Enmanuel Acevedo</t>
  </si>
  <si>
    <t>Jhoana Guevara</t>
  </si>
  <si>
    <t>Victoriano Sosa</t>
  </si>
  <si>
    <t>Ashley Diaz</t>
  </si>
  <si>
    <t>Hemeregilda Mejia</t>
  </si>
  <si>
    <t>Fredy Botzoc</t>
  </si>
  <si>
    <t>Juan Miranda</t>
  </si>
  <si>
    <t>Shirly Sambula</t>
  </si>
  <si>
    <t>Felix Acevedo</t>
  </si>
  <si>
    <t>Ashley Martínez</t>
  </si>
  <si>
    <t>Arlen Ramos Vasquez</t>
  </si>
  <si>
    <t>Maria Larias</t>
  </si>
  <si>
    <t>Stalyn Chucino</t>
  </si>
  <si>
    <t>trinity  yined</t>
  </si>
  <si>
    <t>Mauricio Javier</t>
  </si>
  <si>
    <t>Arafat houssen</t>
  </si>
  <si>
    <t>Wenely Pichardo cabrera</t>
  </si>
  <si>
    <t>Anthony Angelo Chaluisa</t>
  </si>
  <si>
    <t>Daylers Custodio</t>
  </si>
  <si>
    <t>Schayna Ceballos</t>
  </si>
  <si>
    <t>April Hiciano</t>
  </si>
  <si>
    <t>Michael Zhicay</t>
  </si>
  <si>
    <t>Runelvis Espejo</t>
  </si>
  <si>
    <t>Crisbelly Lopez</t>
  </si>
  <si>
    <t>Marco Antonio Lara</t>
  </si>
  <si>
    <t>Mayra Damian</t>
  </si>
  <si>
    <t>Elba Larias</t>
  </si>
  <si>
    <t>Juan Martinez</t>
  </si>
  <si>
    <t>Mathias Morocho</t>
  </si>
  <si>
    <t>Rachel Rodriguez</t>
  </si>
  <si>
    <t>Maria de lourdes Polanco</t>
  </si>
  <si>
    <t>David Mendez</t>
  </si>
  <si>
    <t>Elbin Ortiz</t>
  </si>
  <si>
    <t>Kelly Gutierrez</t>
  </si>
  <si>
    <t>DL Alum,EL Alum</t>
  </si>
  <si>
    <t>Antonella Polanco</t>
  </si>
  <si>
    <t>Shaimaa Majzoub</t>
  </si>
  <si>
    <t>Kevin Orozco Miranda</t>
  </si>
  <si>
    <t>Joshuar Samaniego</t>
  </si>
  <si>
    <t>Jefry García Par</t>
  </si>
  <si>
    <t>Yasmin Abdulla</t>
  </si>
  <si>
    <t>Syeda Zaidi</t>
  </si>
  <si>
    <t>Ashley Zapatanga</t>
  </si>
  <si>
    <t>Elijah Maduro</t>
  </si>
  <si>
    <t>Chris Lewis</t>
  </si>
  <si>
    <t>Ameer Shahid</t>
  </si>
  <si>
    <t>Nathaly Loja</t>
  </si>
  <si>
    <t>Corey Lumpkin</t>
  </si>
  <si>
    <t>Adam Francis</t>
  </si>
  <si>
    <t>Karolay Esis Finel</t>
  </si>
  <si>
    <t>Ronique White</t>
  </si>
  <si>
    <t>Nahmya  Bejot</t>
  </si>
  <si>
    <t>Jason Hernandez</t>
  </si>
  <si>
    <t>Nathaniel Seatts</t>
  </si>
  <si>
    <t>Jayson Munoz</t>
  </si>
  <si>
    <t>Arielle Matapersad</t>
  </si>
  <si>
    <t>Rohan Basavaraj</t>
  </si>
  <si>
    <t>Kejahnie Fagan</t>
  </si>
  <si>
    <t>Edwin Rodriguez</t>
  </si>
  <si>
    <t>Malik Blake</t>
  </si>
  <si>
    <t>Dejahn Gordon</t>
  </si>
  <si>
    <t>Patricia Jean Charles</t>
  </si>
  <si>
    <t>Zaniyah Danzine</t>
  </si>
  <si>
    <t>Prince Agbotui</t>
  </si>
  <si>
    <t>Cristobal Cespedes</t>
  </si>
  <si>
    <t>Jayde Smoak</t>
  </si>
  <si>
    <t>Rushawn Smith</t>
  </si>
  <si>
    <t>Alanthoney Walters</t>
  </si>
  <si>
    <t>Jaymarcus Desir</t>
  </si>
  <si>
    <t>Ephraim Orisakiya</t>
  </si>
  <si>
    <t>Jose Castillo</t>
  </si>
  <si>
    <t>Amonique Wynter</t>
  </si>
  <si>
    <t>Justin Smith</t>
  </si>
  <si>
    <t>Anais Martinez</t>
  </si>
  <si>
    <t>Jason Martinez</t>
  </si>
  <si>
    <t>Wilson Infante</t>
  </si>
  <si>
    <t>Jevaughnie francis</t>
  </si>
  <si>
    <t>Daniel Merceron</t>
  </si>
  <si>
    <t>Zayden Parker</t>
  </si>
  <si>
    <t>Tyliek Ward</t>
  </si>
  <si>
    <t>Leudis Rosario</t>
  </si>
  <si>
    <t>Angelo Cifuentes</t>
  </si>
  <si>
    <t>Angel Tavarez</t>
  </si>
  <si>
    <t>Oluwateniayo - Tenny Maraiyesa</t>
  </si>
  <si>
    <t>Tiannae Charles</t>
  </si>
  <si>
    <t>Lutherson Lozandier</t>
  </si>
  <si>
    <t>Aiden Louisy</t>
  </si>
  <si>
    <t>Shianne Boncoeur</t>
  </si>
  <si>
    <t>Anari Roberts</t>
  </si>
  <si>
    <t>Mary Anene</t>
  </si>
  <si>
    <t>Malachi Cooke</t>
  </si>
  <si>
    <t>Tameerah Sutherland</t>
  </si>
  <si>
    <t>Jabari Peters-Hyman</t>
  </si>
  <si>
    <t>Zion Logan</t>
  </si>
  <si>
    <t>Christian Barnaby</t>
  </si>
  <si>
    <t>Luz Yasaca</t>
  </si>
  <si>
    <t>santiago (Duplicate) julio vargas</t>
  </si>
  <si>
    <t>Daniel Ramirez</t>
  </si>
  <si>
    <t>Calyton Walker</t>
  </si>
  <si>
    <t>Larry Josey</t>
  </si>
  <si>
    <t>Sébastien Jeannot</t>
  </si>
  <si>
    <t>Ytaliashe Joseph</t>
  </si>
  <si>
    <t>Yonaiker Briceno</t>
  </si>
  <si>
    <t>Aaliyah Escalante</t>
  </si>
  <si>
    <t>Michaell Morban</t>
  </si>
  <si>
    <t>Chrisnelly Garcia</t>
  </si>
  <si>
    <t>Richard Murillo</t>
  </si>
  <si>
    <t>Jazlyn Feliciano Hidalgo</t>
  </si>
  <si>
    <t>Valery Stephanie Ozuna taveras</t>
  </si>
  <si>
    <t>Alexa  Barrueco</t>
  </si>
  <si>
    <t>Matthew Wright</t>
  </si>
  <si>
    <t>Jefferson Colon</t>
  </si>
  <si>
    <t>Diore Philips</t>
  </si>
  <si>
    <t>Kenny Hernandez</t>
  </si>
  <si>
    <t>Alisson Galay</t>
  </si>
  <si>
    <t>Adissa Nakoulma</t>
  </si>
  <si>
    <t>Umu Jalloh</t>
  </si>
  <si>
    <t>Trinity Cole</t>
  </si>
  <si>
    <t>Giancarlos Castillo-Bujosa</t>
  </si>
  <si>
    <t>Nyheem Robinson</t>
  </si>
  <si>
    <t>Elliott Robles</t>
  </si>
  <si>
    <t>Ingrid Medina Jackson</t>
  </si>
  <si>
    <t>Tyler Brown</t>
  </si>
  <si>
    <t>Yancen Rodriguez</t>
  </si>
  <si>
    <t>Kenry Aldana</t>
  </si>
  <si>
    <t>Julian Duarte</t>
  </si>
  <si>
    <t>Ana Almeida</t>
  </si>
  <si>
    <t>Christopher Auquilla</t>
  </si>
  <si>
    <t>Melany Alcala Lopez</t>
  </si>
  <si>
    <t>Taliana Valencia</t>
  </si>
  <si>
    <t>Emily Tavarez</t>
  </si>
  <si>
    <t>Kerly Rodriguez</t>
  </si>
  <si>
    <t>Jorge. Lopez</t>
  </si>
  <si>
    <t>Daniela Ysamar Nunez Sanches</t>
  </si>
  <si>
    <t>Marina Diaz</t>
  </si>
  <si>
    <t>Miguel Angel Duarte Guiterrez</t>
  </si>
  <si>
    <t>Claudia Herazo</t>
  </si>
  <si>
    <t>Jose SANAN</t>
  </si>
  <si>
    <t>Elvianny (Pamela) De Jesús</t>
  </si>
  <si>
    <t>Bintou Diop</t>
  </si>
  <si>
    <t>Doussouba Diakite</t>
  </si>
  <si>
    <t>Maria Castro</t>
  </si>
  <si>
    <t>Jaime Lara</t>
  </si>
  <si>
    <t>Jhan Motta</t>
  </si>
  <si>
    <t>Ashwini Borela</t>
  </si>
  <si>
    <t>Rinchen Wangmo</t>
  </si>
  <si>
    <t>Julia Aliessa</t>
  </si>
  <si>
    <t>Hendry Bello</t>
  </si>
  <si>
    <t>Yannick Diaby</t>
  </si>
  <si>
    <t>El Hadji Ndong</t>
  </si>
  <si>
    <t>Alexander Torres</t>
  </si>
  <si>
    <t>Olivia Richmyr Paul Joseph</t>
  </si>
  <si>
    <t>Josue Pacheco</t>
  </si>
  <si>
    <t>Fredy Toaquiza</t>
  </si>
  <si>
    <t>Sanjy Saint olive</t>
  </si>
  <si>
    <t>Fanny Tixi</t>
  </si>
  <si>
    <t>Karina Cando</t>
  </si>
  <si>
    <t>Alison Torres Cualchi</t>
  </si>
  <si>
    <t>Ronald. Pujols</t>
  </si>
  <si>
    <t>Wilman Reyes</t>
  </si>
  <si>
    <t>Lesly Chucino</t>
  </si>
  <si>
    <t>Karilyne Suazo</t>
  </si>
  <si>
    <t>Yamilette Rodriguez Franjul</t>
  </si>
  <si>
    <t>Esau Leon</t>
  </si>
  <si>
    <t>Brandon Alvarez</t>
  </si>
  <si>
    <t>John Fajardo</t>
  </si>
  <si>
    <t>Vanessa Martinez</t>
  </si>
  <si>
    <t>Leyli. Hernandez</t>
  </si>
  <si>
    <t>Nemesis Macias Rosales</t>
  </si>
  <si>
    <t>Adriana Flores</t>
  </si>
  <si>
    <t>Brandon Salazar</t>
  </si>
  <si>
    <t>Alison Aucancela</t>
  </si>
  <si>
    <t>Nelly Zumba</t>
  </si>
  <si>
    <t>Michael Cabrera</t>
  </si>
  <si>
    <t>Luis Rivera</t>
  </si>
  <si>
    <t>Bryan Carranza</t>
  </si>
  <si>
    <t>Darwin Jumelles Vicente</t>
  </si>
  <si>
    <t>Aidan Lester</t>
  </si>
  <si>
    <t>Emily Guzman</t>
  </si>
  <si>
    <t>Jacob Chimborazo</t>
  </si>
  <si>
    <t>Abellah Abreu</t>
  </si>
  <si>
    <t>Jesus Gonzalez</t>
  </si>
  <si>
    <t>Mario Nieves</t>
  </si>
  <si>
    <t>Christopher Beltran</t>
  </si>
  <si>
    <t>Pamela Aguirre</t>
  </si>
  <si>
    <t>Natalie Fernandez</t>
  </si>
  <si>
    <t>Ashley Soriano</t>
  </si>
  <si>
    <t>Braulio Gutierrez</t>
  </si>
  <si>
    <t>America Sanchez</t>
  </si>
  <si>
    <t>Ginna Saquisilli</t>
  </si>
  <si>
    <t>Cynthia. Pilatasig</t>
  </si>
  <si>
    <t>Edwin Gutierrez</t>
  </si>
  <si>
    <t>Pablo Velez</t>
  </si>
  <si>
    <t>Christopher Bernal</t>
  </si>
  <si>
    <t>Carlos Yucailla</t>
  </si>
  <si>
    <t>Gloria Guayan</t>
  </si>
  <si>
    <t>Steveen Rocafuerte</t>
  </si>
  <si>
    <t>Edison Machasilla</t>
  </si>
  <si>
    <t>Jenny Cayambe</t>
  </si>
  <si>
    <t>Jasmin Mendoza</t>
  </si>
  <si>
    <t>Leslie Tacuri</t>
  </si>
  <si>
    <t>Christopher Huerta</t>
  </si>
  <si>
    <t>Nerely Roa</t>
  </si>
  <si>
    <t>Joshua Andrews</t>
  </si>
  <si>
    <t>Fazil Mohamed</t>
  </si>
  <si>
    <t>Shemmanie King</t>
  </si>
  <si>
    <t>Abdoulaye Kaba</t>
  </si>
  <si>
    <t>Kijhani Davidson</t>
  </si>
  <si>
    <t>Germayoly German</t>
  </si>
  <si>
    <t>Yoanni Baez</t>
  </si>
  <si>
    <t>Verni Perez</t>
  </si>
  <si>
    <t>Allen Chen</t>
  </si>
  <si>
    <t>Brianna Cajamarca</t>
  </si>
  <si>
    <t>Aashish Acharya</t>
  </si>
  <si>
    <t>Leanna Lin</t>
  </si>
  <si>
    <t>Derek Perez</t>
  </si>
  <si>
    <t>Jose Garcia</t>
  </si>
  <si>
    <t>Alex Garcia</t>
  </si>
  <si>
    <t>Jessica Dolma</t>
  </si>
  <si>
    <t>Nataly Buestan</t>
  </si>
  <si>
    <t>Budthima Thummanee</t>
  </si>
  <si>
    <t>Samuel Andino</t>
  </si>
  <si>
    <t>Heyder Mayorga</t>
  </si>
  <si>
    <t>Mike Humala</t>
  </si>
  <si>
    <t>Jose Hernandez Hernandez</t>
  </si>
  <si>
    <t>Dafne Sanchez</t>
  </si>
  <si>
    <t>Darielkys Tavarez</t>
  </si>
  <si>
    <t>Brandon Cielo</t>
  </si>
  <si>
    <t>Mary Carchi</t>
  </si>
  <si>
    <t>Chelsea Torres</t>
  </si>
  <si>
    <t>Brenda Perez</t>
  </si>
  <si>
    <t>Isaac Elexey</t>
  </si>
  <si>
    <t>Ndeye Diedhiou</t>
  </si>
  <si>
    <t>Danny Yauri</t>
  </si>
  <si>
    <t>Kristina Williams</t>
  </si>
  <si>
    <t>Mayra Garcia</t>
  </si>
  <si>
    <t>Israel Cumina Cumina</t>
  </si>
  <si>
    <t>Josselyn (Duplicate) choloquinga</t>
  </si>
  <si>
    <t>Johan Afannador</t>
  </si>
  <si>
    <t>Mateo Buele</t>
  </si>
  <si>
    <t>Lauren Pena</t>
  </si>
  <si>
    <t>DL Alum,IL Alum</t>
  </si>
  <si>
    <t>Juan Esteban Runza Nieto Runza Nieto</t>
  </si>
  <si>
    <t>lisbeth peña</t>
  </si>
  <si>
    <t>Marvin. Merino</t>
  </si>
  <si>
    <t>deisymar</t>
  </si>
  <si>
    <t>Dariel Harrison</t>
  </si>
  <si>
    <t>Lia Luciano</t>
  </si>
  <si>
    <t>Jade Gordillo</t>
  </si>
  <si>
    <t>royce</t>
  </si>
  <si>
    <t>sabrina chen</t>
  </si>
  <si>
    <t>Mongraal</t>
  </si>
  <si>
    <t>Jmnz</t>
  </si>
  <si>
    <t>Karen Cortes Mejia</t>
  </si>
  <si>
    <t>Janice He</t>
  </si>
  <si>
    <t>Reina Orozco</t>
  </si>
  <si>
    <t>geo</t>
  </si>
  <si>
    <t>diana</t>
  </si>
  <si>
    <t>jasmine</t>
  </si>
  <si>
    <t>galo</t>
  </si>
  <si>
    <t>ethan muniz</t>
  </si>
  <si>
    <t>simon</t>
  </si>
  <si>
    <t>yesly</t>
  </si>
  <si>
    <t>jhoana</t>
  </si>
  <si>
    <t>JD</t>
  </si>
  <si>
    <t>hurles</t>
  </si>
  <si>
    <t>Yoban Pakhrin</t>
  </si>
  <si>
    <t>Carlos Martinez</t>
  </si>
  <si>
    <t>Domenica Rivera</t>
  </si>
  <si>
    <t>Darwin Chimborazo</t>
  </si>
  <si>
    <t>Camila Llivicura</t>
  </si>
  <si>
    <t>Steven condo</t>
  </si>
  <si>
    <t>Joel Polanco</t>
  </si>
  <si>
    <t>Kritika Gurung</t>
  </si>
  <si>
    <t>Santiago (Duplicate) Vargas</t>
  </si>
  <si>
    <t>Val</t>
  </si>
  <si>
    <t>Cristian Bravo</t>
  </si>
  <si>
    <t>Angel Cedeno</t>
  </si>
  <si>
    <t>Jacob Layedra</t>
  </si>
  <si>
    <t>Darlene Degante</t>
  </si>
  <si>
    <t>Mayra Poma</t>
  </si>
  <si>
    <t>Emiliano Hernandez Cordero</t>
  </si>
  <si>
    <t>fanny belisario</t>
  </si>
  <si>
    <t>valentina</t>
  </si>
  <si>
    <t>maribel</t>
  </si>
  <si>
    <t>victor Quino</t>
  </si>
  <si>
    <t>keiverson oliveros</t>
  </si>
  <si>
    <t>juan</t>
  </si>
  <si>
    <t>kevin</t>
  </si>
  <si>
    <t>marco pena</t>
  </si>
  <si>
    <t>michelle iduseri</t>
  </si>
  <si>
    <t>jhmiere jackson</t>
  </si>
  <si>
    <t>Ella</t>
  </si>
  <si>
    <t>Zainab Ansari</t>
  </si>
  <si>
    <t>Rachel Olatunji</t>
  </si>
  <si>
    <t>Jordan Houseal</t>
  </si>
  <si>
    <t>Demelee Mercedes</t>
  </si>
  <si>
    <t>tomai nelson</t>
  </si>
  <si>
    <t>Ding</t>
  </si>
  <si>
    <t>Jonathan S</t>
  </si>
  <si>
    <t>Jezeniah</t>
  </si>
  <si>
    <t>Terrence Smith</t>
  </si>
  <si>
    <t>Mooka</t>
  </si>
  <si>
    <t>Camiah Small</t>
  </si>
  <si>
    <t>Tylynn Reddick</t>
  </si>
  <si>
    <t>Kay</t>
  </si>
  <si>
    <t>Isabella Rodriguez</t>
  </si>
  <si>
    <t>Carolyn Burrow</t>
  </si>
  <si>
    <t>Jah</t>
  </si>
  <si>
    <t>Brianna Ramos</t>
  </si>
  <si>
    <t>Angel Ojo</t>
  </si>
  <si>
    <t>Hailey lopez</t>
  </si>
  <si>
    <t>jayden domingo</t>
  </si>
  <si>
    <t>chynah adams</t>
  </si>
  <si>
    <t>melanie mora</t>
  </si>
  <si>
    <t>michelle</t>
  </si>
  <si>
    <t>Aniya Maldonado</t>
  </si>
  <si>
    <t>Ashiki</t>
  </si>
  <si>
    <t>Priya p</t>
  </si>
  <si>
    <t>matheus teodoro</t>
  </si>
  <si>
    <t>Misha Patel</t>
  </si>
  <si>
    <t>Julissa Vazquez</t>
  </si>
  <si>
    <t>Uriel Garcia Hernandez</t>
  </si>
  <si>
    <t>cassidie jackson</t>
  </si>
  <si>
    <t>Eshaun Singh</t>
  </si>
  <si>
    <t>Shirlise Young</t>
  </si>
  <si>
    <t>Rebecca Sanchez</t>
  </si>
  <si>
    <t>Jaiden Dash</t>
  </si>
  <si>
    <t>Nowell Sue-Kam-Ling</t>
  </si>
  <si>
    <t>Jody-Ann Dillon</t>
  </si>
  <si>
    <t>lauren saunders</t>
  </si>
  <si>
    <t>yana</t>
  </si>
  <si>
    <t>Sebastian Gonzalez</t>
  </si>
  <si>
    <t>Kimora Codrington</t>
  </si>
  <si>
    <t>gabby</t>
  </si>
  <si>
    <t>Don</t>
  </si>
  <si>
    <t>Nalah Vera</t>
  </si>
  <si>
    <t>maliha rahman</t>
  </si>
  <si>
    <t>angie</t>
  </si>
  <si>
    <t>Nyla Matthews</t>
  </si>
  <si>
    <t>Nuru Sherpa</t>
  </si>
  <si>
    <t>miyeli</t>
  </si>
  <si>
    <t>williams</t>
  </si>
  <si>
    <t>santiago</t>
  </si>
  <si>
    <t>t t</t>
  </si>
  <si>
    <t>123@! 123@!</t>
  </si>
  <si>
    <t>test tes</t>
  </si>
  <si>
    <t>123!@/- 123!@/-</t>
  </si>
  <si>
    <t>test test</t>
  </si>
  <si>
    <t>test 2</t>
  </si>
  <si>
    <t>santi</t>
  </si>
  <si>
    <t>marcos</t>
  </si>
  <si>
    <t>valeria varags</t>
  </si>
  <si>
    <t>sebastian ramirez</t>
  </si>
  <si>
    <t>Miyeli Quispe</t>
  </si>
  <si>
    <t>Emi</t>
  </si>
  <si>
    <t>abdel</t>
  </si>
  <si>
    <t>tomas mantoilla</t>
  </si>
  <si>
    <t>Willian sanchez</t>
  </si>
  <si>
    <t>Kendri Lopez</t>
  </si>
  <si>
    <t>Nicol Gutierrez</t>
  </si>
  <si>
    <t>Tomas david Mantillasalazar</t>
  </si>
  <si>
    <t>NNON CHALANT DREAD HEAD</t>
  </si>
  <si>
    <t>SIGMA SIGMA BOY</t>
  </si>
  <si>
    <t>Anonya Barua</t>
  </si>
  <si>
    <t>bozi</t>
  </si>
  <si>
    <t>Aiza Azad</t>
  </si>
  <si>
    <t>Nathan Barthels</t>
  </si>
  <si>
    <t>amara</t>
  </si>
  <si>
    <t>jui</t>
  </si>
  <si>
    <t>Ashly Quezada</t>
  </si>
  <si>
    <t>Andrea Moreno</t>
  </si>
  <si>
    <t>michell benavidez</t>
  </si>
  <si>
    <t>Jesus Daniel</t>
  </si>
  <si>
    <t>ryan chabbi</t>
  </si>
  <si>
    <t>mishka martinez</t>
  </si>
  <si>
    <t>chris</t>
  </si>
  <si>
    <t>Jason Jiang</t>
  </si>
  <si>
    <t>ALAN</t>
  </si>
  <si>
    <t>zoe</t>
  </si>
  <si>
    <t>julie</t>
  </si>
  <si>
    <t>Kaitlyn Castro</t>
  </si>
  <si>
    <t>Yazzie Abbas</t>
  </si>
  <si>
    <t>Anderson Buestan</t>
  </si>
  <si>
    <t>Yogesh Karki</t>
  </si>
  <si>
    <t>Sergio Rojas</t>
  </si>
  <si>
    <t>dylan Cardenas</t>
  </si>
  <si>
    <t>Sebastian Franco</t>
  </si>
  <si>
    <t>Juan Saul Alvarado Salazar</t>
  </si>
  <si>
    <t>mom and dad</t>
  </si>
  <si>
    <t>dhilany</t>
  </si>
  <si>
    <t>Frankie Boccio.</t>
  </si>
  <si>
    <t>Jaz</t>
  </si>
  <si>
    <t>Ayman Rahat</t>
  </si>
  <si>
    <t>Raiyat Adheer</t>
  </si>
  <si>
    <t>les</t>
  </si>
  <si>
    <t>jason lee</t>
  </si>
  <si>
    <t>brianna</t>
  </si>
  <si>
    <t>Mary Iesha Bautista</t>
  </si>
  <si>
    <t>keylincespedes cespedes</t>
  </si>
  <si>
    <t>victoria</t>
  </si>
  <si>
    <t>Steven Diez</t>
  </si>
  <si>
    <t>Akshay- Test Intern</t>
  </si>
  <si>
    <t>Lessly Flores</t>
  </si>
  <si>
    <t>Deneira Thomas</t>
  </si>
  <si>
    <t>VLADIMIR SOLANO</t>
  </si>
  <si>
    <t>david</t>
  </si>
  <si>
    <t>Kevin mendoza</t>
  </si>
  <si>
    <t>leydy pinzon</t>
  </si>
  <si>
    <t>sophia</t>
  </si>
  <si>
    <t>Rafaela Almeida</t>
  </si>
  <si>
    <t>kerly</t>
  </si>
  <si>
    <t>Mairol Rivas</t>
  </si>
  <si>
    <t>Raderly Morel</t>
  </si>
  <si>
    <t>Estuardo  Lopez</t>
  </si>
  <si>
    <t>Ivania Posada</t>
  </si>
  <si>
    <t>Raimelis Garcia</t>
  </si>
  <si>
    <t>Tariana Garcia Encarnacion</t>
  </si>
  <si>
    <t>Oskarina Cepeda</t>
  </si>
  <si>
    <t>Licsy Reyes</t>
  </si>
  <si>
    <t>Herimar Bonifacio</t>
  </si>
  <si>
    <t>Albert D Leon Johnson</t>
  </si>
  <si>
    <t>Wendy Ouedraogo</t>
  </si>
  <si>
    <t>Abigail Rodriguez Bautista</t>
  </si>
  <si>
    <t>Eimy Alexandra Carpio Cuesta</t>
  </si>
  <si>
    <t>Sanat Gaybullov</t>
  </si>
  <si>
    <t>Sezim Bolotbekova Bolotbekova</t>
  </si>
  <si>
    <t>Nazim Bolotbekova</t>
  </si>
  <si>
    <t>Islam Aldodoo</t>
  </si>
  <si>
    <t>Akhmadzhon  Vakhidov</t>
  </si>
  <si>
    <t>Saidatou  Diallo</t>
  </si>
  <si>
    <t>Josie Joseph</t>
  </si>
  <si>
    <t>Alpha Sylla</t>
  </si>
  <si>
    <t>Melvin Martinez</t>
  </si>
  <si>
    <t>Batma  Ramazanova</t>
  </si>
  <si>
    <t>Ehsanullah Sulimanzoy</t>
  </si>
  <si>
    <t>Bibi Borber</t>
  </si>
  <si>
    <t>Naimatou Sefou Moussa</t>
  </si>
  <si>
    <t>Zuura Ramazanova</t>
  </si>
  <si>
    <t>Daina Charles</t>
  </si>
  <si>
    <t>Abdurakhim Yunusov</t>
  </si>
  <si>
    <t>Hongning Wei</t>
  </si>
  <si>
    <t>Abdalmanaim  Salah</t>
  </si>
  <si>
    <t>Wendy Reyes-Blanco</t>
  </si>
  <si>
    <t>Matiullah  Sulimanzoy</t>
  </si>
  <si>
    <t>Asmaa Alkhadashi</t>
  </si>
  <si>
    <t>Arwa Alhaj</t>
  </si>
  <si>
    <t>Souleymane Bah</t>
  </si>
  <si>
    <t>Dinelys Ana Baez Espinal</t>
  </si>
  <si>
    <t>Shabiha Rahman</t>
  </si>
  <si>
    <t>Leila Titikpina</t>
  </si>
  <si>
    <t>Ashmel Martinez</t>
  </si>
  <si>
    <t>Yamin Titikpina</t>
  </si>
  <si>
    <t>Safiatou Jalloh</t>
  </si>
  <si>
    <t>Yann Noumbi</t>
  </si>
  <si>
    <t>Amizo Kante</t>
  </si>
  <si>
    <t>Mimi  Kante</t>
  </si>
  <si>
    <t>Mama  Kouyate</t>
  </si>
  <si>
    <t>Aicha Doukoure</t>
  </si>
  <si>
    <t>Kasarah Windley</t>
  </si>
  <si>
    <t>Jalen  Lynn</t>
  </si>
  <si>
    <t>Arianna Francisco</t>
  </si>
  <si>
    <t>Cilicia Cummings</t>
  </si>
  <si>
    <t>Irene Almonte</t>
  </si>
  <si>
    <t>Catalina Henriquez</t>
  </si>
  <si>
    <t>Oneyda Melgar</t>
  </si>
  <si>
    <t>Nicole Quiga</t>
  </si>
  <si>
    <t>Aisha Dawran</t>
  </si>
  <si>
    <t>Xin Xi  Li</t>
  </si>
  <si>
    <t>Destiny Perry</t>
  </si>
  <si>
    <t>Wendy Urias</t>
  </si>
  <si>
    <t>Mahfuja Khatun</t>
  </si>
  <si>
    <t>Yi  Chen</t>
  </si>
  <si>
    <t>Lenee Goggins</t>
  </si>
  <si>
    <t>Chitra Srikishun</t>
  </si>
  <si>
    <t>Noashin Sarker</t>
  </si>
  <si>
    <t>Lylia Belbegra</t>
  </si>
  <si>
    <t>Fatuma Bulloh</t>
  </si>
  <si>
    <t>Dema Alhuraibi</t>
  </si>
  <si>
    <t>Mamdiara Ndiaye</t>
  </si>
  <si>
    <t>Afrida Ahmed</t>
  </si>
  <si>
    <t>jeffrey Chi</t>
  </si>
  <si>
    <t>Alex Guaillas</t>
  </si>
  <si>
    <t>Roger Cartay</t>
  </si>
  <si>
    <t>Sanzida Chowdhury</t>
  </si>
  <si>
    <t>Khadidia Traore</t>
  </si>
  <si>
    <t>Nassira Cisse</t>
  </si>
  <si>
    <t>Bianka Pena</t>
  </si>
  <si>
    <t>David Valencia</t>
  </si>
  <si>
    <t>Ina Hoxhaj</t>
  </si>
  <si>
    <t>Emiliano Hernandez</t>
  </si>
  <si>
    <t>Joe Fisher</t>
  </si>
  <si>
    <t>Erick Cuzco Cualchi</t>
  </si>
  <si>
    <t>Katy</t>
  </si>
  <si>
    <t>Alejandra Minan Rodriguez</t>
  </si>
  <si>
    <t>Rushi KOTAMRAJU</t>
  </si>
  <si>
    <t>Lionel Hipo</t>
  </si>
  <si>
    <t>ibaad</t>
  </si>
  <si>
    <t>Chefonfire</t>
  </si>
  <si>
    <t>kate</t>
  </si>
  <si>
    <t>johan</t>
  </si>
  <si>
    <t>alejandro</t>
  </si>
  <si>
    <t>Grayson Chen</t>
  </si>
  <si>
    <t>Jhordy Mayancela</t>
  </si>
  <si>
    <t>The Great One</t>
  </si>
  <si>
    <t>jacob Grover</t>
  </si>
  <si>
    <t>Fer</t>
  </si>
  <si>
    <t>Fern</t>
  </si>
  <si>
    <t>Veronica Liu</t>
  </si>
  <si>
    <t>BC</t>
  </si>
  <si>
    <t>angelique</t>
  </si>
  <si>
    <t>Jimena Test</t>
  </si>
  <si>
    <t>leonor</t>
  </si>
  <si>
    <t>b v</t>
  </si>
  <si>
    <t>f g</t>
  </si>
  <si>
    <t>f</t>
  </si>
  <si>
    <t>Damyra Ochoa</t>
  </si>
  <si>
    <t>ICHYA Subedi</t>
  </si>
  <si>
    <t>Jonathan Oo</t>
  </si>
  <si>
    <t>Sophia Tsang</t>
  </si>
  <si>
    <t>Marciano Navarro</t>
  </si>
  <si>
    <t>Jaxson Maisonave-herrera</t>
  </si>
  <si>
    <t>Symphony Uddin</t>
  </si>
  <si>
    <t>Gabriela Rojas</t>
  </si>
  <si>
    <t>Fark</t>
  </si>
  <si>
    <t>Grace Avellino</t>
  </si>
  <si>
    <t>Nino</t>
  </si>
  <si>
    <t>Ada Pun</t>
  </si>
  <si>
    <t>Blair Vales</t>
  </si>
  <si>
    <t>t tt</t>
  </si>
  <si>
    <t>Jessie Rao</t>
  </si>
  <si>
    <t>ayaat</t>
  </si>
  <si>
    <t>Kevin Chen</t>
  </si>
  <si>
    <t>sushi test</t>
  </si>
  <si>
    <t>rushi test</t>
  </si>
  <si>
    <t>test rushi</t>
  </si>
  <si>
    <t>tt tt</t>
  </si>
  <si>
    <t>sakshi t</t>
  </si>
  <si>
    <t>Chlo / Chloe</t>
  </si>
  <si>
    <t>Rish G</t>
  </si>
  <si>
    <t>Benjamin Molina</t>
  </si>
  <si>
    <t>Grayson Wei</t>
  </si>
  <si>
    <t>Shai</t>
  </si>
  <si>
    <t>Gargi Kishor Kulkarni</t>
  </si>
  <si>
    <t>samia tasnim</t>
  </si>
  <si>
    <t>Isha</t>
  </si>
  <si>
    <t>rush kotamraju</t>
  </si>
  <si>
    <t>test u</t>
  </si>
  <si>
    <t>Rushi Test</t>
  </si>
  <si>
    <t>Lori Bunnell-Purdy</t>
  </si>
  <si>
    <t>chrome test</t>
  </si>
  <si>
    <t>ehileem</t>
  </si>
  <si>
    <t>mimi</t>
  </si>
  <si>
    <t>Endy</t>
  </si>
  <si>
    <t>Valerio Ramos</t>
  </si>
  <si>
    <t>cris</t>
  </si>
  <si>
    <t>sergio</t>
  </si>
  <si>
    <t>miguel</t>
  </si>
  <si>
    <t>Brenda Lara Mendoza</t>
  </si>
  <si>
    <t>Rushi Kotamraju</t>
  </si>
  <si>
    <t>Rushi kotamraju</t>
  </si>
  <si>
    <t>Axel Narvaez</t>
  </si>
  <si>
    <t>yamilet</t>
  </si>
  <si>
    <t>Alston Zhou</t>
  </si>
  <si>
    <t>Lucas Wu</t>
  </si>
  <si>
    <t>Julia Chen</t>
  </si>
  <si>
    <t>Chris / C.J.</t>
  </si>
  <si>
    <t>Mayaimi Lam</t>
  </si>
  <si>
    <t>Tim</t>
  </si>
  <si>
    <t>Isabella Lam</t>
  </si>
  <si>
    <t>adama faye</t>
  </si>
  <si>
    <t>Kleivs Zhu</t>
  </si>
  <si>
    <t>Ricardo Stiven Puluche Vega</t>
  </si>
  <si>
    <t>angel</t>
  </si>
  <si>
    <t>Rushideep KOTAMRAJU</t>
  </si>
  <si>
    <t>jishel mendoza</t>
  </si>
  <si>
    <t>josue</t>
  </si>
  <si>
    <t>Rafael Cordero</t>
  </si>
  <si>
    <t>kelianny</t>
  </si>
  <si>
    <t>test seminar</t>
  </si>
  <si>
    <t>wilmary</t>
  </si>
  <si>
    <t>Mafer</t>
  </si>
  <si>
    <t>Wendinso Kabore</t>
  </si>
  <si>
    <t>Lera</t>
  </si>
  <si>
    <t>soulemane</t>
  </si>
  <si>
    <t>Polina Malinovska</t>
  </si>
  <si>
    <t>may</t>
  </si>
  <si>
    <t>Enyer Cabrera</t>
  </si>
  <si>
    <t>joselyn</t>
  </si>
  <si>
    <t>Mariama  Diallo</t>
  </si>
  <si>
    <t>Aryna (pronounce as Ariana)</t>
  </si>
  <si>
    <t>jonathan chachipanta</t>
  </si>
  <si>
    <t>nathy</t>
  </si>
  <si>
    <t>Laura o Lau</t>
  </si>
  <si>
    <t>Diego Covarrubias</t>
  </si>
  <si>
    <t>Jazir Cabrera</t>
  </si>
  <si>
    <t>Abel</t>
  </si>
  <si>
    <t>alexandra</t>
  </si>
  <si>
    <t>Lleilin Guerra</t>
  </si>
  <si>
    <t>Yoleinny Sosa Marte</t>
  </si>
  <si>
    <t>FRAN TEST TEST</t>
  </si>
  <si>
    <t>Test intern</t>
  </si>
  <si>
    <t>test intern001</t>
  </si>
  <si>
    <t>dgdf dfgdfgf</t>
  </si>
  <si>
    <t>Sebas</t>
  </si>
  <si>
    <t>khadim ka</t>
  </si>
  <si>
    <t>test000 Intern</t>
  </si>
  <si>
    <t>Faith Aldiano</t>
  </si>
  <si>
    <t>Big Bagel</t>
  </si>
  <si>
    <t>Josephine Cervoni</t>
  </si>
  <si>
    <t>Moon</t>
  </si>
  <si>
    <t>TEST DELETE</t>
  </si>
  <si>
    <t>Mrs. Castillo</t>
  </si>
  <si>
    <t>Maria Manoloudi</t>
  </si>
  <si>
    <t>333 ew</t>
  </si>
  <si>
    <t>Francesca TEST TEST</t>
  </si>
  <si>
    <t>asdas sdsfs</t>
  </si>
  <si>
    <t>asd asdf</t>
  </si>
  <si>
    <t>12 44</t>
  </si>
  <si>
    <t>Dayra Taveras</t>
  </si>
  <si>
    <t>Marthiel Cruz</t>
  </si>
  <si>
    <t>Ellinghton Lugo</t>
  </si>
  <si>
    <t>Jeter Perez</t>
  </si>
  <si>
    <t>caba</t>
  </si>
  <si>
    <t>joustin hiraldo</t>
  </si>
  <si>
    <t>Edwin Leiva</t>
  </si>
  <si>
    <t>Fania Minaya</t>
  </si>
  <si>
    <t>Kevin Duran</t>
  </si>
  <si>
    <t>Kendi Wang</t>
  </si>
  <si>
    <t>Angel Angel</t>
  </si>
  <si>
    <t>Enyerson Martinez</t>
  </si>
  <si>
    <t>enyer martinez</t>
  </si>
  <si>
    <t>Lilai Yang</t>
  </si>
  <si>
    <t>Assia</t>
  </si>
  <si>
    <t>dfsa sdaf</t>
  </si>
  <si>
    <t>Katherine Ruano</t>
  </si>
  <si>
    <t>𝐑𝐚𝐠𝐡𝐝 𝐒𝐚𝐥𝐚𝐡</t>
  </si>
  <si>
    <t>Jass</t>
  </si>
  <si>
    <t>Rose</t>
  </si>
  <si>
    <t>Cheikhouna Keinde</t>
  </si>
  <si>
    <t>Naomi Nolasco</t>
  </si>
  <si>
    <t>Jarielis Basora</t>
  </si>
  <si>
    <t>Abir Mahmood</t>
  </si>
  <si>
    <t>Yobani Gonzalez</t>
  </si>
  <si>
    <t>Yeuri iven</t>
  </si>
  <si>
    <t>Yeodan Fernandez</t>
  </si>
  <si>
    <t>Yasir Sharifi</t>
  </si>
  <si>
    <t>Yanell Pacheco</t>
  </si>
  <si>
    <t>william Robinson</t>
  </si>
  <si>
    <t>Wilfred Quezada</t>
  </si>
  <si>
    <t>wendy carchipulla</t>
  </si>
  <si>
    <t>Wayne Desvarieux</t>
  </si>
  <si>
    <t>Valeri Viveros</t>
  </si>
  <si>
    <t>valeria vasquez</t>
  </si>
  <si>
    <t>Valentino Dima</t>
  </si>
  <si>
    <t>Richard Ladino</t>
  </si>
  <si>
    <t>Thanwer Mahmud</t>
  </si>
  <si>
    <t>Tasnim Jahan</t>
  </si>
  <si>
    <t>Sample  Intern 4</t>
  </si>
  <si>
    <t>Romina Torres</t>
  </si>
  <si>
    <t>Steven G Guillen</t>
  </si>
  <si>
    <t>Steven Liriano</t>
  </si>
  <si>
    <t>Sofia Ortega</t>
  </si>
  <si>
    <t>Abcdee Arguello</t>
  </si>
  <si>
    <t>sm ahnaf shahriar</t>
  </si>
  <si>
    <t>Shichuan Zhou</t>
  </si>
  <si>
    <t>Sharon Gomez</t>
  </si>
  <si>
    <t>Sayyora Khadjimatova</t>
  </si>
  <si>
    <t>sherya pandey</t>
  </si>
  <si>
    <t>Samuel ORtiz</t>
  </si>
  <si>
    <t>Said Rustamov</t>
  </si>
  <si>
    <t>Sabrina Ashurova</t>
  </si>
  <si>
    <t>BIBI MIRYAM Sharifi</t>
  </si>
  <si>
    <t>Ruth Terrero</t>
  </si>
  <si>
    <t>Mohiruza Raimkulova</t>
  </si>
  <si>
    <t>Yeiry Rosa rodriguez</t>
  </si>
  <si>
    <t>Raymound Sanchez</t>
  </si>
  <si>
    <t>Terrence Mariano</t>
  </si>
  <si>
    <t>Precious George</t>
  </si>
  <si>
    <t>Santiago Narvaez</t>
  </si>
  <si>
    <t>Paulina Jachero</t>
  </si>
  <si>
    <t>Pamela Mondragón</t>
  </si>
  <si>
    <t>Jefferson Perez</t>
  </si>
  <si>
    <t>Oumaru Batchilly</t>
  </si>
  <si>
    <t>Oscar Choloquinga</t>
  </si>
  <si>
    <t>Micaias Infante</t>
  </si>
  <si>
    <t>Nigora Uktamboeva</t>
  </si>
  <si>
    <t>Ngawang Tashi</t>
  </si>
  <si>
    <t>Nelson Acosta</t>
  </si>
  <si>
    <t>Anastasia Smetaniuk</t>
  </si>
  <si>
    <t>Anastasiia Smetaniuk</t>
  </si>
  <si>
    <t>Nashly Del valle</t>
  </si>
  <si>
    <t>naomy martinez</t>
  </si>
  <si>
    <t>Nancy Giron</t>
  </si>
  <si>
    <t>Rue Alvarez</t>
  </si>
  <si>
    <t>Oliullah Shahin</t>
  </si>
  <si>
    <t>Luis Ulloa</t>
  </si>
  <si>
    <t>Mimi Agbobli</t>
  </si>
  <si>
    <t>Michael Suarez Suarez</t>
  </si>
  <si>
    <t>Sonam Choetso</t>
  </si>
  <si>
    <t>Melvin Paz</t>
  </si>
  <si>
    <t>Mbarak Tchedre</t>
  </si>
  <si>
    <t>Maycor Terrero</t>
  </si>
  <si>
    <t>Marvin Tuaza</t>
  </si>
  <si>
    <t>Marisela Calle Sarmiento</t>
  </si>
  <si>
    <t>Maria  Barrera</t>
  </si>
  <si>
    <t>Mariama Diallo</t>
  </si>
  <si>
    <t>Belen Membreno</t>
  </si>
  <si>
    <t>Manifer Triunfel</t>
  </si>
  <si>
    <t>Danna Prieto</t>
  </si>
  <si>
    <t>Luofeng Lin</t>
  </si>
  <si>
    <t>Mason Flores</t>
  </si>
  <si>
    <t>Lidia Pujol</t>
  </si>
  <si>
    <t>Leah Bowers</t>
  </si>
  <si>
    <t>Edison Lam</t>
  </si>
  <si>
    <t>Kiara Hernandez Sosa</t>
  </si>
  <si>
    <t>Kevin Guaman paucar</t>
  </si>
  <si>
    <t>Kayla Astudillo</t>
  </si>
  <si>
    <t>Karen Pulla</t>
  </si>
  <si>
    <t>Kamyl Batista</t>
  </si>
  <si>
    <t>Josue Lantigua</t>
  </si>
  <si>
    <t>Joshua (Duplicate) Vargas</t>
  </si>
  <si>
    <t>Jordi Naula</t>
  </si>
  <si>
    <t>Jolina Narbona</t>
  </si>
  <si>
    <t>Johana Tuapanta</t>
  </si>
  <si>
    <t>IL Alum,DL Alum</t>
  </si>
  <si>
    <t>Jlynn Ortiz</t>
  </si>
  <si>
    <t>Jessiel Jaquez</t>
  </si>
  <si>
    <t>Jesline Placencia</t>
  </si>
  <si>
    <t>Jared Gonzalez</t>
  </si>
  <si>
    <t>Jayson Liz</t>
  </si>
  <si>
    <t>Lillian Green</t>
  </si>
  <si>
    <t>Jasmine White</t>
  </si>
  <si>
    <t>Hetal Green</t>
  </si>
  <si>
    <t>Jandel Garcia</t>
  </si>
  <si>
    <t>Eric Jiang</t>
  </si>
  <si>
    <t>Tahsin Ishmam</t>
  </si>
  <si>
    <t>richard (Duplicate) ladino</t>
  </si>
  <si>
    <t>Hezou Awitala</t>
  </si>
  <si>
    <t>Hasly Cortes</t>
  </si>
  <si>
    <t>Hannah John</t>
  </si>
  <si>
    <t>Hairys (pronounces 'Iris') Leiva</t>
  </si>
  <si>
    <t>Habi Kane</t>
  </si>
  <si>
    <t>Guadalupe Orea</t>
  </si>
  <si>
    <t>Gisselle Funez</t>
  </si>
  <si>
    <t>Saul dutan</t>
  </si>
  <si>
    <t>Gaetty Martinez</t>
  </si>
  <si>
    <t>Freddy Cajilema</t>
  </si>
  <si>
    <t>Francis Calderon</t>
  </si>
  <si>
    <t>Sample Intern 2</t>
  </si>
  <si>
    <t>Fedjina Voltaire</t>
  </si>
  <si>
    <t>Fabricio Saquipulla</t>
  </si>
  <si>
    <t>Maria Gomez</t>
  </si>
  <si>
    <t>Emmanuel Aguirre</t>
  </si>
  <si>
    <t>Elvira Batista</t>
  </si>
  <si>
    <t>Elsa Pop</t>
  </si>
  <si>
    <t>Elisa Och</t>
  </si>
  <si>
    <t>Aaliyah Dennis</t>
  </si>
  <si>
    <t>Dolly Grullon</t>
  </si>
  <si>
    <t>Laura Puentes</t>
  </si>
  <si>
    <t>Devin O'Grady</t>
  </si>
  <si>
    <t>Denuar Batiz</t>
  </si>
  <si>
    <t>Bionca Felipe</t>
  </si>
  <si>
    <t>Devon Burgos</t>
  </si>
  <si>
    <t>Davionn Thomas</t>
  </si>
  <si>
    <t>Daniela yungan</t>
  </si>
  <si>
    <t>Marilyn Rosario</t>
  </si>
  <si>
    <t>khyia cobb</t>
  </si>
  <si>
    <t>Chloe Navarro</t>
  </si>
  <si>
    <t>Christopher Hernandez</t>
  </si>
  <si>
    <t>Christian Huerta Reyes</t>
  </si>
  <si>
    <t>Chenghao Yang</t>
  </si>
  <si>
    <t>Casey Olalia</t>
  </si>
  <si>
    <t>Carlos Cela</t>
  </si>
  <si>
    <t>william calix</t>
  </si>
  <si>
    <t>Karen Guaman</t>
  </si>
  <si>
    <t>Brittany Guaman</t>
  </si>
  <si>
    <t>Britney Peralta</t>
  </si>
  <si>
    <t>Jason Garcia</t>
  </si>
  <si>
    <t>Bidhata Tripathi</t>
  </si>
  <si>
    <t>Byron  Avelar Paredes</t>
  </si>
  <si>
    <t>Azul Santiago</t>
  </si>
  <si>
    <t>Sabrin Haque</t>
  </si>
  <si>
    <t>Aysline Francisco</t>
  </si>
  <si>
    <t>Axel permana</t>
  </si>
  <si>
    <t>Austin Liu</t>
  </si>
  <si>
    <t>Ariel Guaman</t>
  </si>
  <si>
    <t>Arcangel Rodriguez</t>
  </si>
  <si>
    <t>Ani Perez</t>
  </si>
  <si>
    <t>Angie Inestroza</t>
  </si>
  <si>
    <t>Andy Humala</t>
  </si>
  <si>
    <t>Andrews Tavarez</t>
  </si>
  <si>
    <t>Andrew Lazo</t>
  </si>
  <si>
    <t>Andersson Ramos Mejia</t>
  </si>
  <si>
    <t>Ancly Tzul</t>
  </si>
  <si>
    <t>Anahi Tenelema</t>
  </si>
  <si>
    <t>Ana Gonzalez</t>
  </si>
  <si>
    <t>Amoi Nelson</t>
  </si>
  <si>
    <t>Ameia Campbell</t>
  </si>
  <si>
    <t>Allan Chiquito</t>
  </si>
  <si>
    <t>Khristal</t>
  </si>
  <si>
    <t>Alejandro Teutle</t>
  </si>
  <si>
    <t>Aissata Samassa</t>
  </si>
  <si>
    <t>Aimee Centeno</t>
  </si>
  <si>
    <t>Alicia Vaquero</t>
  </si>
  <si>
    <t>Aileen Aceituno</t>
  </si>
  <si>
    <t>Jayden Lliguichuzhca</t>
  </si>
  <si>
    <t>Angie Cartagena</t>
  </si>
  <si>
    <t>Abrahan Castro</t>
  </si>
  <si>
    <t>Abigail Deosaran</t>
  </si>
  <si>
    <t>Katherine Sumba</t>
  </si>
  <si>
    <t>Lakshmi Jason</t>
  </si>
  <si>
    <t>Nabeel adam</t>
  </si>
  <si>
    <t>Ronniel Gomez</t>
  </si>
  <si>
    <t>Ray Valdez</t>
  </si>
  <si>
    <t>Anna Luisa Gomez</t>
  </si>
  <si>
    <t>Estefania  Lopez</t>
  </si>
  <si>
    <t>Dontay Mccaskill</t>
  </si>
  <si>
    <t>Rafat Galeana</t>
  </si>
  <si>
    <t>IgnoreThisIntern Yangfa</t>
  </si>
  <si>
    <t>SOPHIA</t>
  </si>
  <si>
    <t>Yangfa Wu</t>
  </si>
  <si>
    <t>Status</t>
  </si>
  <si>
    <t>In Progress</t>
  </si>
  <si>
    <t>App Submitted</t>
  </si>
  <si>
    <t>Anna Carina Radulovich</t>
  </si>
  <si>
    <t>Hesam Moghaddam</t>
  </si>
  <si>
    <t>Sample Sample</t>
  </si>
  <si>
    <t>8511 260th St</t>
  </si>
  <si>
    <t>Test test</t>
  </si>
  <si>
    <t>8511 260th St.</t>
  </si>
  <si>
    <t>Anitha Pai</t>
  </si>
  <si>
    <t>Melisa Bedoya</t>
  </si>
  <si>
    <t>Florencia Victoria Lechin</t>
  </si>
  <si>
    <t>Kaya Rachel Schmandt</t>
  </si>
  <si>
    <t>Nyla Khan</t>
  </si>
  <si>
    <t>Sujatha Koduvayur</t>
  </si>
  <si>
    <t>Rosalie Girard</t>
  </si>
  <si>
    <t>Bertha deLanda</t>
  </si>
  <si>
    <t>Lily Chu</t>
  </si>
  <si>
    <t>Brandy  Marie Jones</t>
  </si>
  <si>
    <t>Rachel Schochet</t>
  </si>
  <si>
    <t>Ashley Wu</t>
  </si>
  <si>
    <t>Andres Duran</t>
  </si>
  <si>
    <t>Ariel Sabrina Brigmann</t>
  </si>
  <si>
    <t>Anna Mullins</t>
  </si>
  <si>
    <t>Ebona Mais</t>
  </si>
  <si>
    <t>Josef Farrar</t>
  </si>
  <si>
    <t>Ines Anous</t>
  </si>
  <si>
    <t>Jennifer Ranfla</t>
  </si>
  <si>
    <t>Danielle Flood</t>
  </si>
  <si>
    <t>Mohammed Jamal</t>
  </si>
  <si>
    <t>Behraam Baqai</t>
  </si>
  <si>
    <t>Ammarah Shaikh</t>
  </si>
  <si>
    <t>Gary Ballensweig</t>
  </si>
  <si>
    <t>Lauren Wegner</t>
  </si>
  <si>
    <t>Brian Blackwell</t>
  </si>
  <si>
    <t>Melanie Nunez</t>
  </si>
  <si>
    <t>Kenya Medina</t>
  </si>
  <si>
    <t>DAVID LOAIZA</t>
  </si>
  <si>
    <t>Johnny Wang</t>
  </si>
  <si>
    <t>SANTOSH KC</t>
  </si>
  <si>
    <t>Maria G Burn (D)</t>
  </si>
  <si>
    <t>Andy Bolanos</t>
  </si>
  <si>
    <t>Luna Martinez</t>
  </si>
  <si>
    <t>GWENDOLYN MURPH</t>
  </si>
  <si>
    <t>Sandhya Jain-Patel</t>
  </si>
  <si>
    <t>Chermain Jennings</t>
  </si>
  <si>
    <t>Kristina King</t>
  </si>
  <si>
    <t>Tina Loarte-Rodriguez</t>
  </si>
  <si>
    <t>Omar Ghorab</t>
  </si>
  <si>
    <t>Ayca Sezgin</t>
  </si>
  <si>
    <t>Marco Jaramillo</t>
  </si>
  <si>
    <t>Palki Kaur Patpatia</t>
  </si>
  <si>
    <t>Ranjini Sankaranarayanan</t>
  </si>
  <si>
    <t>Debasmita Ray</t>
  </si>
  <si>
    <t>Shashikala Giridhar Krishnan</t>
  </si>
  <si>
    <t>Sonia J Jimenez Mercado</t>
  </si>
  <si>
    <t>Yazmin Pariamachi</t>
  </si>
  <si>
    <t>3935 W Minor St</t>
  </si>
  <si>
    <t>131-16 135th St</t>
  </si>
  <si>
    <t>Jing Yuan</t>
  </si>
  <si>
    <t>2 Redwood Court</t>
  </si>
  <si>
    <t>Lady Freire</t>
  </si>
  <si>
    <t>1067 Evergreen Way</t>
  </si>
  <si>
    <t>Bangalore</t>
  </si>
  <si>
    <t>Dr. Unnatti Jain</t>
  </si>
  <si>
    <t>4622 Battenburg Lane</t>
  </si>
  <si>
    <t>Tiffany Ribadeneyra</t>
  </si>
  <si>
    <t>51 Cody Avenue</t>
  </si>
  <si>
    <t>2025 1st avenue</t>
  </si>
  <si>
    <t>5764 N Orange Blossom Trl PMB 94054</t>
  </si>
  <si>
    <t>Priyanka Prasad</t>
  </si>
  <si>
    <t>Laguna Del Chipe</t>
  </si>
  <si>
    <t>Megan Leasher</t>
  </si>
  <si>
    <t>216 Park Ave #1</t>
  </si>
  <si>
    <t>Christina Thomas</t>
  </si>
  <si>
    <t>33 SE 8th St Apt 310</t>
  </si>
  <si>
    <t>Archana Srinivasan</t>
  </si>
  <si>
    <t>4610 Center Blvd</t>
  </si>
  <si>
    <t>Wendy Velasquez Ebanks</t>
  </si>
  <si>
    <t>Vaidehi Gajjar</t>
  </si>
  <si>
    <t>Tatiana Nechaeva</t>
  </si>
  <si>
    <t>Susan Philipose</t>
  </si>
  <si>
    <t>Sunaina Mehta</t>
  </si>
  <si>
    <t>Smrithi Prem</t>
  </si>
  <si>
    <t>Sriramya Ayyagari</t>
  </si>
  <si>
    <t>Fatima Ramadan Sanz</t>
  </si>
  <si>
    <t>Sandra Llontop</t>
  </si>
  <si>
    <t>Sana Ahmad</t>
  </si>
  <si>
    <t>Saima Malik</t>
  </si>
  <si>
    <t>Sahabia  Ahmed</t>
  </si>
  <si>
    <t>Sam McConnell</t>
  </si>
  <si>
    <t>Hafeeja (Hafiza) Jameela Stratton</t>
  </si>
  <si>
    <t>Simone Lavery</t>
  </si>
  <si>
    <t>Ryane Montanez</t>
  </si>
  <si>
    <t>ROUSSOSS DEMISSE</t>
  </si>
  <si>
    <t>Rosie Chu</t>
  </si>
  <si>
    <t>Roopa Kohli</t>
  </si>
  <si>
    <t>Romina Tome</t>
  </si>
  <si>
    <t>Kemi Shoyinka</t>
  </si>
  <si>
    <t>Ritika Naik</t>
  </si>
  <si>
    <t>Rita Deo Barber</t>
  </si>
  <si>
    <t>Vanessa Rodriguez</t>
  </si>
  <si>
    <t>Renata Lozano Giral</t>
  </si>
  <si>
    <t>Rajnarind Kaur</t>
  </si>
  <si>
    <t>Rachel Dao</t>
  </si>
  <si>
    <t>Quynh Giao Thi Tran</t>
  </si>
  <si>
    <t>Princess Scott</t>
  </si>
  <si>
    <t>Ping Wang</t>
  </si>
  <si>
    <t>Priyanka Dixit</t>
  </si>
  <si>
    <t>Priyanka Mara</t>
  </si>
  <si>
    <t>Pritika Kumar</t>
  </si>
  <si>
    <t>Prithvi Mattur</t>
  </si>
  <si>
    <t>Preeti Thyparampil</t>
  </si>
  <si>
    <t>Patrick Burris</t>
  </si>
  <si>
    <t>Shaili Parikh</t>
  </si>
  <si>
    <t>Paola Lopez</t>
  </si>
  <si>
    <t>Pamela Calvo</t>
  </si>
  <si>
    <t>Otito Frances Iwuchukwu</t>
  </si>
  <si>
    <t>Oishee Dasgupta Dasgupta</t>
  </si>
  <si>
    <t>Oheneba Afriyie</t>
  </si>
  <si>
    <t>Odera Ekwunife</t>
  </si>
  <si>
    <t>Nikita Catharine Viswasam</t>
  </si>
  <si>
    <t>Nuoya Li</t>
  </si>
  <si>
    <t>Namrata Ramani</t>
  </si>
  <si>
    <t>Ifeoma Nnamani</t>
  </si>
  <si>
    <t>Nishika Vidanage-Lulejian</t>
  </si>
  <si>
    <t>Niki Pham</t>
  </si>
  <si>
    <t>Nilima Rao</t>
  </si>
  <si>
    <t>Nilesh Murthy</t>
  </si>
  <si>
    <t>Neha Singla</t>
  </si>
  <si>
    <t>Neha Ganjoo</t>
  </si>
  <si>
    <t>Neeti Nayak</t>
  </si>
  <si>
    <t xml:space="preserve">1400 Barton Road, Apt 1315, LA </t>
  </si>
  <si>
    <t>Natasha Patterson</t>
  </si>
  <si>
    <t>Natalie Jane Miller</t>
  </si>
  <si>
    <t>Nika Daniella Ankou</t>
  </si>
  <si>
    <t>Naina Mehta</t>
  </si>
  <si>
    <t>Natsumi Komatani</t>
  </si>
  <si>
    <t>Muzammil Iqbal</t>
  </si>
  <si>
    <t>Lata Murti</t>
  </si>
  <si>
    <t>4756  S. Blosser Rd., Santa Maria, CA 93455</t>
  </si>
  <si>
    <t>Muna Hassen</t>
  </si>
  <si>
    <t>Sahana Mukherjee</t>
  </si>
  <si>
    <t>Mark Swift</t>
  </si>
  <si>
    <t>Mohammed Baldiwala</t>
  </si>
  <si>
    <t>Marcus Smith</t>
  </si>
  <si>
    <t>Missie Miranda</t>
  </si>
  <si>
    <t>Min Jung Park</t>
  </si>
  <si>
    <t>Mikey Bedney</t>
  </si>
  <si>
    <t>Meghan Bethany Gunther</t>
  </si>
  <si>
    <t>Michael  Dougherty</t>
  </si>
  <si>
    <t>Melody Jia Fang</t>
  </si>
  <si>
    <t>Melissa Dallmeyer</t>
  </si>
  <si>
    <t>Melissa Mozelle Schad</t>
  </si>
  <si>
    <t>Maghee Disch</t>
  </si>
  <si>
    <t>Mario Badillo</t>
  </si>
  <si>
    <t>Matthew Roberson</t>
  </si>
  <si>
    <t>Mary Anne Maples</t>
  </si>
  <si>
    <t>Maryana Ivlev</t>
  </si>
  <si>
    <t>Mariann Melicharek Kessler</t>
  </si>
  <si>
    <t>115  Cypress  Drive  Kings  Park  NY 11754</t>
  </si>
  <si>
    <t>Marinee Lees</t>
  </si>
  <si>
    <t>Mariana Silva Aranha</t>
  </si>
  <si>
    <t>Mariana Tejeida-Olvera</t>
  </si>
  <si>
    <t>Maria José Montero Romero</t>
  </si>
  <si>
    <t>Manisha Sareen</t>
  </si>
  <si>
    <t>Christopher Mc Daid</t>
  </si>
  <si>
    <t>Ayanna Lyons</t>
  </si>
  <si>
    <t>Luz Santana</t>
  </si>
  <si>
    <t>Leif Castren</t>
  </si>
  <si>
    <t>Kunal Jani</t>
  </si>
  <si>
    <t>Kim Martinez</t>
  </si>
  <si>
    <t>Jan Panchalingam (D)</t>
  </si>
  <si>
    <t>Harshitha Girithara Gopalan</t>
  </si>
  <si>
    <t>Griselda Guadalupe Cuevas Zambrano</t>
  </si>
  <si>
    <t>Victor  Evans</t>
  </si>
  <si>
    <t>Esteban Proaño</t>
  </si>
  <si>
    <t>Lena K Dandy</t>
  </si>
  <si>
    <t>Daniela Alarcon</t>
  </si>
  <si>
    <t>Christopher Pasi</t>
  </si>
  <si>
    <t>Carolina Parra (D)</t>
  </si>
  <si>
    <t>Brandy Fonkam</t>
  </si>
  <si>
    <t>Bhavna Mohan Agnihotri</t>
  </si>
  <si>
    <t>Anna Carina Radulovich (D)</t>
  </si>
  <si>
    <t>Anya Smith</t>
  </si>
  <si>
    <t>Krista Lundgren</t>
  </si>
  <si>
    <t>322 Brookside Dr</t>
  </si>
  <si>
    <t>Reina Teeger</t>
  </si>
  <si>
    <t>96 Ivy Way</t>
  </si>
  <si>
    <t>Gary Blinth</t>
  </si>
  <si>
    <t>121 McCook Way</t>
  </si>
  <si>
    <t>Castile Dr</t>
  </si>
  <si>
    <t>Yodit Haile</t>
  </si>
  <si>
    <t>Yeji Lee</t>
  </si>
  <si>
    <t>Yan Guan</t>
  </si>
  <si>
    <t>Yadhira Del Carmen Arroyo Cruz</t>
  </si>
  <si>
    <t>Yada Treesukosol</t>
  </si>
  <si>
    <t xml:space="preserve">California State University Long Beach, Department of Psychology 1250 Bellflower Blvd </t>
  </si>
  <si>
    <t>Yann Rousseau</t>
  </si>
  <si>
    <t>Wilfredo Rosado</t>
  </si>
  <si>
    <t>Wendy Hennessy</t>
  </si>
  <si>
    <t>Wilson Antoine</t>
  </si>
  <si>
    <t>Weston Uribe</t>
  </si>
  <si>
    <t>Weina Chen</t>
  </si>
  <si>
    <t>Frank Weber</t>
  </si>
  <si>
    <t>Robert Wadams</t>
  </si>
  <si>
    <t>Waad Massoud</t>
  </si>
  <si>
    <t>Prasanna Vijayanathan</t>
  </si>
  <si>
    <t>Vatsala Sarathy</t>
  </si>
  <si>
    <t>Srishti Viyulie</t>
  </si>
  <si>
    <t>Suze Vilsaint</t>
  </si>
  <si>
    <t>Vignesh Sundar</t>
  </si>
  <si>
    <t>Vicki Teman</t>
  </si>
  <si>
    <t>Vicki Pollack</t>
  </si>
  <si>
    <t>Vi Bui</t>
  </si>
  <si>
    <t>Violeta Furculita</t>
  </si>
  <si>
    <t>Verónica Nataly Heredia Guzmán</t>
  </si>
  <si>
    <t>Vanessa Ballenas</t>
  </si>
  <si>
    <t>Vrunda Shah</t>
  </si>
  <si>
    <t>Vanessa Torres Soares Ferreira</t>
  </si>
  <si>
    <t>Valentina Sanabria</t>
  </si>
  <si>
    <t>Tulsi Patel</t>
  </si>
  <si>
    <t>Rashi Tripathi</t>
  </si>
  <si>
    <t>Tracy Pullman</t>
  </si>
  <si>
    <t>Trupti Kotadia</t>
  </si>
  <si>
    <t>Timothy Edingfield</t>
  </si>
  <si>
    <t>Tiffany Suarez</t>
  </si>
  <si>
    <t xml:space="preserve">904 Florence ave. Union Beach, NJ 07735 </t>
  </si>
  <si>
    <t>Tiffany Soojung Park</t>
  </si>
  <si>
    <t>Tara Shajan</t>
  </si>
  <si>
    <t>Tanya Toko</t>
  </si>
  <si>
    <t>Tanusree Munshi</t>
  </si>
  <si>
    <t>Tania Lopez</t>
  </si>
  <si>
    <t>Oluwatomisin (Tomi) Adesokan</t>
  </si>
  <si>
    <t>Stephanie Zhou</t>
  </si>
  <si>
    <t>Syed Hussain</t>
  </si>
  <si>
    <t>Susan Simpkins</t>
  </si>
  <si>
    <t>Sumeyya Ashraf Khan</t>
  </si>
  <si>
    <t>Susan Mikhin</t>
  </si>
  <si>
    <t>Venu GR</t>
  </si>
  <si>
    <t>Soraya Senosier</t>
  </si>
  <si>
    <t>Sandra Sarrouf</t>
  </si>
  <si>
    <t>Madhumitha Sowndararajan</t>
  </si>
  <si>
    <t>Ebunoluwa Sotubo</t>
  </si>
  <si>
    <t>Sonya Robinson</t>
  </si>
  <si>
    <t>Suzette Nicole Bennett</t>
  </si>
  <si>
    <t>Sloka Iyengar</t>
  </si>
  <si>
    <t>Sunkyung Park</t>
  </si>
  <si>
    <t>Swathi Koundinya</t>
  </si>
  <si>
    <t>Shwetha Gopalan</t>
  </si>
  <si>
    <t>Shoshana Leon</t>
  </si>
  <si>
    <t>Sher L. Pasquini</t>
  </si>
  <si>
    <t>Shawn Adams</t>
  </si>
  <si>
    <t>Sharon Shi</t>
  </si>
  <si>
    <t>Nerissa Shamji</t>
  </si>
  <si>
    <t>Stephanie Grandjacques</t>
  </si>
  <si>
    <t>Steven Flores</t>
  </si>
  <si>
    <t>Seema Dixit</t>
  </si>
  <si>
    <t>Saloni Dudziak</t>
  </si>
  <si>
    <t>Scotney Young</t>
  </si>
  <si>
    <t>Samantha Cadorniga</t>
  </si>
  <si>
    <t>Susan  Boxman</t>
  </si>
  <si>
    <t>Samar Deen</t>
  </si>
  <si>
    <t>Rashad Arps</t>
  </si>
  <si>
    <t>Poonam Sethi</t>
  </si>
  <si>
    <t>Pavan Gourisetty</t>
  </si>
  <si>
    <t>Olga Patel</t>
  </si>
  <si>
    <t>Noel Blanco</t>
  </si>
  <si>
    <t>Nisha Mathew</t>
  </si>
  <si>
    <t>Nikhita Pai</t>
  </si>
  <si>
    <t>Neeharika Curtis</t>
  </si>
  <si>
    <t>Natalie Oniszk-De Vincenzi</t>
  </si>
  <si>
    <t>Nadine Shahbaz</t>
  </si>
  <si>
    <t>Kelly Lynn Knarr</t>
  </si>
  <si>
    <t>Mihira Vedula Karra</t>
  </si>
  <si>
    <t>Mirela Alexe</t>
  </si>
  <si>
    <t>Meliza  Fernandez</t>
  </si>
  <si>
    <t>Maxine Antoinette Mitchell</t>
  </si>
  <si>
    <t>Maria Graciela Burn</t>
  </si>
  <si>
    <t>Monica Manglani</t>
  </si>
  <si>
    <t>Mandy Coligan</t>
  </si>
  <si>
    <t>Monique Rochell Anderson</t>
  </si>
  <si>
    <t>Malini Ramnarine</t>
  </si>
  <si>
    <t>Mallory Bogard</t>
  </si>
  <si>
    <t>Bela Madrigal</t>
  </si>
  <si>
    <t>Madhuri Sesha Sarma</t>
  </si>
  <si>
    <t>Madhuri (Maddy) Koushik</t>
  </si>
  <si>
    <t>Marissa Arciola</t>
  </si>
  <si>
    <t>Maha Khalawi</t>
  </si>
  <si>
    <t>Lucy Zheng</t>
  </si>
  <si>
    <t>Lynda Nwabuobi</t>
  </si>
  <si>
    <t>Loren Hernandez</t>
  </si>
  <si>
    <t>Loic Uriel Nguoghia</t>
  </si>
  <si>
    <t>Leanna Kieran Carroll</t>
  </si>
  <si>
    <t>Lizbeth Álvarez</t>
  </si>
  <si>
    <t>Lindsay Katherine LoBello</t>
  </si>
  <si>
    <t>Linda Guerrero</t>
  </si>
  <si>
    <t>Linda Ramirez</t>
  </si>
  <si>
    <t>Lien Nguyen</t>
  </si>
  <si>
    <t>Louise Malone</t>
  </si>
  <si>
    <t>Luisa Castro</t>
  </si>
  <si>
    <t>Leigh Ann Wilson</t>
  </si>
  <si>
    <t>Lauren Amelia Varga</t>
  </si>
  <si>
    <t>Laura Cejas</t>
  </si>
  <si>
    <t>Larry Williams</t>
  </si>
  <si>
    <t>Krupa Jani</t>
  </si>
  <si>
    <t>Kristen Farver</t>
  </si>
  <si>
    <t>Karim Rajmohamed</t>
  </si>
  <si>
    <t>Kiran Gill</t>
  </si>
  <si>
    <t>Kimberly Logan</t>
  </si>
  <si>
    <t>Kimberly Vo</t>
  </si>
  <si>
    <t>Keylin Rivera</t>
  </si>
  <si>
    <t>Kerry-Ann Henry</t>
  </si>
  <si>
    <t>Kenna Elice Ranson</t>
  </si>
  <si>
    <t>Kenia Wellington</t>
  </si>
  <si>
    <t>Pooja Kavi</t>
  </si>
  <si>
    <t>Kaushik Sampath</t>
  </si>
  <si>
    <t>Katherine Quach</t>
  </si>
  <si>
    <t>Kate Cory</t>
  </si>
  <si>
    <t>Karen Lynn Morcos</t>
  </si>
  <si>
    <t xml:space="preserve">22 Faith,  Irvine </t>
  </si>
  <si>
    <t>Karmen Leung</t>
  </si>
  <si>
    <t>Kapila Monga</t>
  </si>
  <si>
    <t>Kadiatou (Kady) Sylla</t>
  </si>
  <si>
    <t>Jasmine Zheng</t>
  </si>
  <si>
    <t>Julia Golkin</t>
  </si>
  <si>
    <t>Joy Shri Das</t>
  </si>
  <si>
    <t>Joanna Sun</t>
  </si>
  <si>
    <t>Jigar Patel</t>
  </si>
  <si>
    <t>Jennifer Rosen</t>
  </si>
  <si>
    <t>Janelle Amoako</t>
  </si>
  <si>
    <t>Karen Tan</t>
  </si>
  <si>
    <t>Josh Harris</t>
  </si>
  <si>
    <t>Joshua Foster</t>
  </si>
  <si>
    <t>John Mix</t>
  </si>
  <si>
    <t>Jody Kramer</t>
  </si>
  <si>
    <t>Jose Carlos Campos</t>
  </si>
  <si>
    <t>Joanne Antoine</t>
  </si>
  <si>
    <t>Jimy Shah</t>
  </si>
  <si>
    <t>Jenny Xochilt Salinas</t>
  </si>
  <si>
    <t>Jenny Chen</t>
  </si>
  <si>
    <t>Jenny Lisbet Chickering</t>
  </si>
  <si>
    <t>Jennifer Joelle Kachler</t>
  </si>
  <si>
    <t>Jennifer Demartini DuVall</t>
  </si>
  <si>
    <t>Jennifer Nguyen</t>
  </si>
  <si>
    <t>Jennifer Christman</t>
  </si>
  <si>
    <t>Jennifer Go</t>
  </si>
  <si>
    <t>Jayne Gonzalez</t>
  </si>
  <si>
    <t>Jason Alafgani</t>
  </si>
  <si>
    <t>Jaskiran Ghuman</t>
  </si>
  <si>
    <t xml:space="preserve"> 103-30 68th Avenue,  Forest Hills, NY</t>
  </si>
  <si>
    <t>Jannet Figueroa Gallardo</t>
  </si>
  <si>
    <t>Divya Jani</t>
  </si>
  <si>
    <t>Jamie Huang Chu</t>
  </si>
  <si>
    <t>Naqeebullah Jalalzay</t>
  </si>
  <si>
    <t>Jaisri Chety</t>
  </si>
  <si>
    <t>Jessica Ann Huang</t>
  </si>
  <si>
    <t>Jihan Maryam Bacchus</t>
  </si>
  <si>
    <t>Irina Zilbergleyt</t>
  </si>
  <si>
    <t>Irina Shevchenko</t>
  </si>
  <si>
    <t>Ian Paratore</t>
  </si>
  <si>
    <t>Ibtesam Khan</t>
  </si>
  <si>
    <t>31-57 31st Street</t>
  </si>
  <si>
    <t>Hira Ghani</t>
  </si>
  <si>
    <t>Harrison Thai</t>
  </si>
  <si>
    <t>Vicky  Ha</t>
  </si>
  <si>
    <t>Guiuliana Miranda</t>
  </si>
  <si>
    <t>Frank Guia</t>
  </si>
  <si>
    <t>Dyamond Gordon</t>
  </si>
  <si>
    <t>Chelsea Baker</t>
  </si>
  <si>
    <t>Geoffrey Irwin</t>
  </si>
  <si>
    <t>Giridhar Ravindran</t>
  </si>
  <si>
    <t>Golnaz Agahi</t>
  </si>
  <si>
    <t>Dragana Glumac</t>
  </si>
  <si>
    <t>Gabriela Amada Vega</t>
  </si>
  <si>
    <t>Gabby Riccardi</t>
  </si>
  <si>
    <t>Christa Margaret Gabert</t>
  </si>
  <si>
    <t>Rubinder Gill</t>
  </si>
  <si>
    <t>Francis Asprec</t>
  </si>
  <si>
    <t>Flavia  Mihaela Vaduva</t>
  </si>
  <si>
    <t>Benazir Fateh</t>
  </si>
  <si>
    <t>Sandra Rodriquez-Scarano</t>
  </si>
  <si>
    <t>Dr. Rabiaa'h Bhatia</t>
  </si>
  <si>
    <t>Estrella Mestres</t>
  </si>
  <si>
    <t>Evidence Ohikhuai</t>
  </si>
  <si>
    <t>Erycka Montoya</t>
  </si>
  <si>
    <t>Elizabeth Padilla-Crespo</t>
  </si>
  <si>
    <t>Emily Davis</t>
  </si>
  <si>
    <t>Elon Stein</t>
  </si>
  <si>
    <t>Ellerie Vaughn</t>
  </si>
  <si>
    <t>Elizabeth (Jean) Pierson</t>
  </si>
  <si>
    <t>Enrique Linan</t>
  </si>
  <si>
    <t>Elise George</t>
  </si>
  <si>
    <t>Ed Bianchi</t>
  </si>
  <si>
    <t>Dwayne Taylor</t>
  </si>
  <si>
    <t>Adelina Longoria</t>
  </si>
  <si>
    <t>Joan Marie Cadenhead</t>
  </si>
  <si>
    <t>Dorothea Weston</t>
  </si>
  <si>
    <t>Dorcas Adekunle</t>
  </si>
  <si>
    <t>Donald Johnson</t>
  </si>
  <si>
    <t>Divya Sharma</t>
  </si>
  <si>
    <t>Divya Karki</t>
  </si>
  <si>
    <t>Disha Mattive</t>
  </si>
  <si>
    <t>Diane French</t>
  </si>
  <si>
    <t>DIANA REÁTEGUI</t>
  </si>
  <si>
    <t>Dhivya Haridass</t>
  </si>
  <si>
    <t>Sandra Denton</t>
  </si>
  <si>
    <t>Denise Vargas</t>
  </si>
  <si>
    <t>Demi Ajayi</t>
  </si>
  <si>
    <t>Diana Elejalde</t>
  </si>
  <si>
    <t>Debaleena Majumdar</t>
  </si>
  <si>
    <t>Lee Davis</t>
  </si>
  <si>
    <t>David Temple</t>
  </si>
  <si>
    <t>Dave Landa</t>
  </si>
  <si>
    <t>Daniela Fernandez Espinosa</t>
  </si>
  <si>
    <t>Danielle Lian Farage</t>
  </si>
  <si>
    <t>Daniela Russo</t>
  </si>
  <si>
    <t>Dalida Jaafar</t>
  </si>
  <si>
    <t xml:space="preserve">3800 W Devonshire Ave Apt 50, Hemet </t>
  </si>
  <si>
    <t>Dominique Kagele</t>
  </si>
  <si>
    <t>Carmen Maldonado-Bowling</t>
  </si>
  <si>
    <t>Colleen Rebecca Osborne</t>
  </si>
  <si>
    <t>Claudia Mendez</t>
  </si>
  <si>
    <t>Christine Elizabeth Katt</t>
  </si>
  <si>
    <t>CHRISTINA BROOMES</t>
  </si>
  <si>
    <t>Christina Kiffney</t>
  </si>
  <si>
    <t>Christian Espinoza</t>
  </si>
  <si>
    <t>Jennifer Chowdhury</t>
  </si>
  <si>
    <t>Christa Neu</t>
  </si>
  <si>
    <t>Chiemela Okwandu</t>
  </si>
  <si>
    <t>Chetna Bail</t>
  </si>
  <si>
    <t>Chetana Manjunath Kaushik</t>
  </si>
  <si>
    <t>Joanne Hsu</t>
  </si>
  <si>
    <t>Chante Adams</t>
  </si>
  <si>
    <t>Lena Chang</t>
  </si>
  <si>
    <t>Chaney Matos</t>
  </si>
  <si>
    <t>Carlos Guzman</t>
  </si>
  <si>
    <t>Connie Lewin</t>
  </si>
  <si>
    <t>315 East 119th Street, Apt. 1</t>
  </si>
  <si>
    <t>Cathy Zubiate Whealon</t>
  </si>
  <si>
    <t>Casey Burry</t>
  </si>
  <si>
    <t>Malene Ginete Carr</t>
  </si>
  <si>
    <t>Carolina Chamorro</t>
  </si>
  <si>
    <t>Carmelo DeLeon</t>
  </si>
  <si>
    <t>Carly Elaine Grunwald</t>
  </si>
  <si>
    <t>Carla Pierini Borenstein</t>
  </si>
  <si>
    <t>Cara Every</t>
  </si>
  <si>
    <t>Rex Xiong</t>
  </si>
  <si>
    <t>Bryan Roberts</t>
  </si>
  <si>
    <t>Brenda  Morales</t>
  </si>
  <si>
    <t>Bindu Krishna</t>
  </si>
  <si>
    <t>Bhakti Pitre</t>
  </si>
  <si>
    <t>Benjamin Curtis</t>
  </si>
  <si>
    <t>Sara Benavent</t>
  </si>
  <si>
    <t>Azikiwe  Rich</t>
  </si>
  <si>
    <t>Dima Al Ayderous</t>
  </si>
  <si>
    <t>Aya Elawad</t>
  </si>
  <si>
    <t>AUGUSTO SALCEDO</t>
  </si>
  <si>
    <t>Anna Stolbova</t>
  </si>
  <si>
    <t>Asha  Nair</t>
  </si>
  <si>
    <t>Astha Rajvanshi</t>
  </si>
  <si>
    <t>April Carter</t>
  </si>
  <si>
    <t>Annie Camey Kuo</t>
  </si>
  <si>
    <t>Anna Butuzova</t>
  </si>
  <si>
    <t>Ankur Jaluria</t>
  </si>
  <si>
    <t>Anjuli Bahuguna</t>
  </si>
  <si>
    <t>Anisa Shukla</t>
  </si>
  <si>
    <t>Angelo Rodriguez</t>
  </si>
  <si>
    <t>Angana Deb</t>
  </si>
  <si>
    <t>Anastasia Maria Savelyeva</t>
  </si>
  <si>
    <t>Amy Patel</t>
  </si>
  <si>
    <t>Amy Sit</t>
  </si>
  <si>
    <t>Amrita Pritam</t>
  </si>
  <si>
    <t>Abigail Mawhirter</t>
  </si>
  <si>
    <t>Ahmed Imam</t>
  </si>
  <si>
    <t>Amelia Geary</t>
  </si>
  <si>
    <t>Alissa Meddlesaint</t>
  </si>
  <si>
    <t>Andrea Goodfriend</t>
  </si>
  <si>
    <t>Amanda Morgan Mackler</t>
  </si>
  <si>
    <t>Albert Rocco</t>
  </si>
  <si>
    <t>Alvaro Pavas-Hincapie</t>
  </si>
  <si>
    <t>Alpa Lachhman Rajai</t>
  </si>
  <si>
    <t>Alina Ispas Montbriand</t>
  </si>
  <si>
    <t>Joseph Temowo</t>
  </si>
  <si>
    <t>Akanksha Raina</t>
  </si>
  <si>
    <t>Alyssa Jean Marion Daum</t>
  </si>
  <si>
    <t>Amy Meredith Jones</t>
  </si>
  <si>
    <t>Afia Howladar</t>
  </si>
  <si>
    <t>Anne Tam</t>
  </si>
  <si>
    <t>Ashley Elizabeth Hudson-Hines</t>
  </si>
  <si>
    <t>Addy Michelle Jimenez Haga</t>
  </si>
  <si>
    <t>Adela Cimic</t>
  </si>
  <si>
    <t>Abhishek Mehta</t>
  </si>
  <si>
    <t>Andres  Rubiano</t>
  </si>
  <si>
    <t>Abdelrahman Bannora</t>
  </si>
  <si>
    <t>John ?Nico? Johnson</t>
  </si>
  <si>
    <t>3616 Palmer Avenue</t>
  </si>
  <si>
    <t>Andrea Schiralli</t>
  </si>
  <si>
    <t>Nahid Abazarnejad</t>
  </si>
  <si>
    <t>Teresa Antoinette Meier</t>
  </si>
  <si>
    <t>Nwamaka Genevieve Ejebe</t>
  </si>
  <si>
    <t>Chevon Drew</t>
  </si>
  <si>
    <t>Stephanie Elyssa Aines</t>
  </si>
  <si>
    <t>Anel Guel</t>
  </si>
  <si>
    <t>Brittany Delores White</t>
  </si>
  <si>
    <t>Margaret Ann Hopkins</t>
  </si>
  <si>
    <t>Neha Khorana</t>
  </si>
  <si>
    <t>Rashmi  Gupta</t>
  </si>
  <si>
    <t>Judith Socarras</t>
  </si>
  <si>
    <t>Liana Del Gobbo</t>
  </si>
  <si>
    <t>Ladan Nasser Miremadi</t>
  </si>
  <si>
    <t>Korrie Christine Tucker</t>
  </si>
  <si>
    <t>Maria Editha Zafra</t>
  </si>
  <si>
    <t>Julia Rine</t>
  </si>
  <si>
    <t>Dafne Aurora Arzate Martinez</t>
  </si>
  <si>
    <t>Suzanne Gleason</t>
  </si>
  <si>
    <t>Ana Del Campo</t>
  </si>
  <si>
    <t>Alexis Victoria Murshed</t>
  </si>
  <si>
    <t>Danita Yvette Knox</t>
  </si>
  <si>
    <t>Yvette Rosario-Perez</t>
  </si>
  <si>
    <t>Jessica Lissette Guzman</t>
  </si>
  <si>
    <t>Jessie Medina</t>
  </si>
  <si>
    <t>Yenory Pouncil</t>
  </si>
  <si>
    <t>Hila Raen</t>
  </si>
  <si>
    <t>Sarah Esmi</t>
  </si>
  <si>
    <t>Ursula Renee Wright</t>
  </si>
  <si>
    <t>Adesola Kike Oshinoiki</t>
  </si>
  <si>
    <t>Auset Keona Burks</t>
  </si>
  <si>
    <t>Diana Rodriguez</t>
  </si>
  <si>
    <t>Dieketseng (Dee) Mamohato Nova</t>
  </si>
  <si>
    <t>Elise Cruz</t>
  </si>
  <si>
    <t>Freeha Ihsan</t>
  </si>
  <si>
    <t>Haribani Sangeeta Malhotra</t>
  </si>
  <si>
    <t>Heather Rose Gallant</t>
  </si>
  <si>
    <t>Ivayana Liggins</t>
  </si>
  <si>
    <t>Jaine Briscoe-Price</t>
  </si>
  <si>
    <t>Jesse Marissa Jewell</t>
  </si>
  <si>
    <t>Katherine Leigh Taylor</t>
  </si>
  <si>
    <t>Kathryn Mary Krupowicz</t>
  </si>
  <si>
    <t>Lauren Camille Reyes</t>
  </si>
  <si>
    <t>Lee Ann Manning Chan</t>
  </si>
  <si>
    <t>Lina Nader Saddouq</t>
  </si>
  <si>
    <t>Lola Adeyemo</t>
  </si>
  <si>
    <t>Tahsin Loqman</t>
  </si>
  <si>
    <t>Tamara Dattolo</t>
  </si>
  <si>
    <t>Tasha Butler</t>
  </si>
  <si>
    <t>Vanessa Luna</t>
  </si>
  <si>
    <t>Shella Leahy</t>
  </si>
  <si>
    <t>Saudia Ganie</t>
  </si>
  <si>
    <t>Samantha Electa Williams</t>
  </si>
  <si>
    <t>Pamela Lynn Stroupe</t>
  </si>
  <si>
    <t>Lynette Monica Sandoval Corning</t>
  </si>
  <si>
    <t>Madeleine Lilly Oldaker</t>
  </si>
  <si>
    <t>Madiana Hedayet</t>
  </si>
  <si>
    <t>Magdalene Clare Nitschke</t>
  </si>
  <si>
    <t>Maria Dicino</t>
  </si>
  <si>
    <t>Maydelli Mendoza</t>
  </si>
  <si>
    <t>Meredith McCracken</t>
  </si>
  <si>
    <t>Michelle Castillo</t>
  </si>
  <si>
    <t>Mital Desai</t>
  </si>
  <si>
    <t>Renee Lyn Frey</t>
  </si>
  <si>
    <t>Renna Patel</t>
  </si>
  <si>
    <t>Suraiya Khatun</t>
  </si>
  <si>
    <t>Danielle Weinstein</t>
  </si>
  <si>
    <t>Shanell Mosley</t>
  </si>
  <si>
    <t>Angie Isbel Miguel</t>
  </si>
  <si>
    <t>Valeria Andrea Flores Montoya</t>
  </si>
  <si>
    <t>Selene Ceja</t>
  </si>
  <si>
    <t>Pragyansmita Nayak</t>
  </si>
  <si>
    <t>Maryam Rezakhani</t>
  </si>
  <si>
    <t>Pelumi Adeleke</t>
  </si>
  <si>
    <t>Akanksha  sharma</t>
  </si>
  <si>
    <t>Brenda Báez-Costa</t>
  </si>
  <si>
    <t>Melody C Eric  Bell-Gam</t>
  </si>
  <si>
    <t>—</t>
  </si>
  <si>
    <t>Ibrahim AlRajhi</t>
  </si>
  <si>
    <t>Rana Arshed Hafiz</t>
  </si>
  <si>
    <t>Sharlene Alexander Bleier</t>
  </si>
  <si>
    <t>Lourdes Duarte Davila</t>
  </si>
  <si>
    <t>Ryan Claire Hirsch</t>
  </si>
  <si>
    <t>Ben Kuson Junya</t>
  </si>
  <si>
    <t>Craig Alan Humphreys</t>
  </si>
  <si>
    <t>Indraneel Rakshit</t>
  </si>
  <si>
    <t>Mel Reyes</t>
  </si>
  <si>
    <t>April Ta'Sha Swayzer</t>
  </si>
  <si>
    <t>Maanas Bukkuri</t>
  </si>
  <si>
    <t>Leana Huynh</t>
  </si>
  <si>
    <t>Raufu Riliwan Ganiyu</t>
  </si>
  <si>
    <t>Olabode (Bode) Ogundare</t>
  </si>
  <si>
    <t>Savanna Louise Brown</t>
  </si>
  <si>
    <t>Thomas Bosket</t>
  </si>
  <si>
    <t>Stephanie Guzman</t>
  </si>
  <si>
    <t>Farah Anita Minwalla</t>
  </si>
  <si>
    <t>Nicolla Martin</t>
  </si>
  <si>
    <t>Janelle Zwiren</t>
  </si>
  <si>
    <t>Ehab Amin</t>
  </si>
  <si>
    <t>Jared Zlotnick</t>
  </si>
  <si>
    <t>Daineroy Allen</t>
  </si>
  <si>
    <t>Kevin Mang Kuate Fodouop</t>
  </si>
  <si>
    <t>Rebecca Natalie Parke</t>
  </si>
  <si>
    <t>Zachary Murphy</t>
  </si>
  <si>
    <t>Adam Colton Lorts</t>
  </si>
  <si>
    <t>Irma Corzo</t>
  </si>
  <si>
    <t>Danella Abdul-Barr</t>
  </si>
  <si>
    <t>Jeffrey Meyerson</t>
  </si>
  <si>
    <t>Ahmed Abdelaziz Abowasa</t>
  </si>
  <si>
    <t>Kathy Fountaine</t>
  </si>
  <si>
    <t>Surbhi Mahamwal</t>
  </si>
  <si>
    <t>Melanie May Rome</t>
  </si>
  <si>
    <t>Veronica Oglesby</t>
  </si>
  <si>
    <t>Deepika Narul</t>
  </si>
  <si>
    <t>Vira Egli</t>
  </si>
  <si>
    <t>Marinna Bernal</t>
  </si>
  <si>
    <t>Margaret Weiss</t>
  </si>
  <si>
    <t>Aasheesh Tandon</t>
  </si>
  <si>
    <t>Jane Cardwell</t>
  </si>
  <si>
    <t>Rea Loretta</t>
  </si>
  <si>
    <t>Susmita De</t>
  </si>
  <si>
    <t>XIONG XIONG</t>
  </si>
  <si>
    <t>gu h</t>
  </si>
  <si>
    <t>Daniel Nadeem</t>
  </si>
  <si>
    <t>Ritik</t>
  </si>
  <si>
    <t>156 Liberty Ave</t>
  </si>
  <si>
    <t>3913 W Carver Rd</t>
  </si>
  <si>
    <t>Divya Padgaonkar</t>
  </si>
  <si>
    <t xml:space="preserve"> 1311 Jackson Ave - Apt 8C,  Long Island City, NY</t>
  </si>
  <si>
    <t>Akshay Champion</t>
  </si>
  <si>
    <t>Ritik Test</t>
  </si>
  <si>
    <t>156 TERRACE AVE</t>
  </si>
  <si>
    <t>Lorem ipsum dolor Lorem ipsum dolor</t>
  </si>
  <si>
    <t>Lorem ipsum dolor</t>
  </si>
  <si>
    <t>Ritik kale</t>
  </si>
  <si>
    <t>Andrew Baum</t>
  </si>
  <si>
    <t>Jacob Makola</t>
  </si>
  <si>
    <t>Simon Winograd</t>
  </si>
  <si>
    <t>Arturo Paniagua</t>
  </si>
  <si>
    <t>arturo.paniagua@csaa.com</t>
  </si>
  <si>
    <t>Muhammad Awais</t>
  </si>
  <si>
    <t>Frances Tseng</t>
  </si>
  <si>
    <t>Gisela Castaneda</t>
  </si>
  <si>
    <t>Gregg Garcia</t>
  </si>
  <si>
    <t>James Baroi</t>
  </si>
  <si>
    <t>Lamon Chapman</t>
  </si>
  <si>
    <t>Sarah Anne Mead Lupberger</t>
  </si>
  <si>
    <t>John McFarland</t>
  </si>
  <si>
    <t>1911 Kings Cross NW</t>
  </si>
  <si>
    <t>Isabel Flores Mendoza</t>
  </si>
  <si>
    <t>Eduardo Kodaka</t>
  </si>
  <si>
    <t>Av. Almirante Miguel Grau 1430 Dpto 505 Barranco</t>
  </si>
  <si>
    <t>María</t>
  </si>
  <si>
    <t>Av Jacinto Lara 212 San Isidro</t>
  </si>
  <si>
    <t>Bojana Bozanic</t>
  </si>
  <si>
    <t>150 Myrtle Ave</t>
  </si>
  <si>
    <t>Akshaya Murthy</t>
  </si>
  <si>
    <t>887 Hamilton Dr</t>
  </si>
  <si>
    <t>1565 Davis Farm Dr</t>
  </si>
  <si>
    <t>Sunil</t>
  </si>
  <si>
    <t>11261 LOST MAPLES TRL</t>
  </si>
  <si>
    <t>514 Gramatan avenue</t>
  </si>
  <si>
    <t>delete me after 3/25 test</t>
  </si>
  <si>
    <t>HUSSEIN CHEAYTO</t>
  </si>
  <si>
    <t>test champion</t>
  </si>
  <si>
    <t>Champion test</t>
  </si>
  <si>
    <t>Betsy</t>
  </si>
  <si>
    <t>Amanda Cadau</t>
  </si>
  <si>
    <t>510 21st Street</t>
  </si>
  <si>
    <t>SOUMYA MISHRA</t>
  </si>
  <si>
    <t>999 abcd dr</t>
  </si>
  <si>
    <t>Champions Example</t>
  </si>
  <si>
    <t>1234 example address</t>
  </si>
  <si>
    <t>Ranjana Venkataraman</t>
  </si>
  <si>
    <t>TEST Delete</t>
  </si>
  <si>
    <t>Jasmine Francis</t>
  </si>
  <si>
    <t>test - delete me after 9/20 test</t>
  </si>
  <si>
    <t>Doaa Kazweni</t>
  </si>
  <si>
    <t>140E 14thSt</t>
  </si>
  <si>
    <t>Sevda Akbari</t>
  </si>
  <si>
    <t>436 bruns ct.</t>
  </si>
  <si>
    <t>Rushideep Kotamraju</t>
  </si>
  <si>
    <t>Ryan Edelson</t>
  </si>
  <si>
    <t>test delete</t>
  </si>
  <si>
    <t>TESTER DELETE</t>
  </si>
  <si>
    <t>Florence Chan</t>
  </si>
  <si>
    <t>Rachel Krebs</t>
  </si>
  <si>
    <t>248 Main Street #4</t>
  </si>
  <si>
    <t>TEST TEST</t>
  </si>
  <si>
    <t>Emma</t>
  </si>
  <si>
    <t>404 E 55th</t>
  </si>
  <si>
    <t>David Friday</t>
  </si>
  <si>
    <t>Laura Davis</t>
  </si>
  <si>
    <t>Yagna Pathak</t>
  </si>
  <si>
    <t>Susanna Margareta Sabahi</t>
  </si>
  <si>
    <t>Nasteshia Robinson</t>
  </si>
  <si>
    <t>Tahsina Ahmed</t>
  </si>
  <si>
    <t>User ID</t>
  </si>
  <si>
    <t>Email</t>
  </si>
  <si>
    <t>Role</t>
  </si>
  <si>
    <t>Info Updated</t>
  </si>
  <si>
    <t>radulovichanna@gmail.com</t>
  </si>
  <si>
    <t>Champion</t>
  </si>
  <si>
    <t>hmoghaddam@microsoft.com</t>
  </si>
  <si>
    <t>Test2 test</t>
  </si>
  <si>
    <t>Test Sample</t>
  </si>
  <si>
    <t>test@gmail.com</t>
  </si>
  <si>
    <t>akshay+08@speakhire.org</t>
  </si>
  <si>
    <t>Brandy Marie Jones</t>
  </si>
  <si>
    <t>danielle.flood1027@gmail.com</t>
  </si>
  <si>
    <t>Christopher Herrera</t>
  </si>
  <si>
    <t>Maria Silva</t>
  </si>
  <si>
    <t>Arun Saxena</t>
  </si>
  <si>
    <t>jonathanpinque@speakhire.org</t>
  </si>
  <si>
    <t>Steve Walker</t>
  </si>
  <si>
    <t>Carlos Abad</t>
  </si>
  <si>
    <t>sunaimeh@gmail.com</t>
  </si>
  <si>
    <t>Sahabia Ahmed</t>
  </si>
  <si>
    <t>rockpointeservices@gmail.com</t>
  </si>
  <si>
    <t>quynh.tran.onel@gmail.com</t>
  </si>
  <si>
    <t>Michael Dougherty</t>
  </si>
  <si>
    <t>mfdougherty@fbi.gov</t>
  </si>
  <si>
    <t>Maria JosÃ© Montero Romero</t>
  </si>
  <si>
    <t>[NO FIRST] [NO LAST]</t>
  </si>
  <si>
    <t>New User</t>
  </si>
  <si>
    <t>Victor Evans</t>
  </si>
  <si>
    <t>Esteban ProaÃ±o</t>
  </si>
  <si>
    <t>bhavna.agnihotri@aig.com</t>
  </si>
  <si>
    <t>Dessie Hristov</t>
  </si>
  <si>
    <t>weber@umassglobal.edu</t>
  </si>
  <si>
    <t>VerÃ³nica Nataly Heredia GuzmÃ¡n</t>
  </si>
  <si>
    <t>tim.edingfield@gmail.com</t>
  </si>
  <si>
    <t>sher_pasquini@wvi.org</t>
  </si>
  <si>
    <t>Susan Boxman</t>
  </si>
  <si>
    <t>Meliza Fernandez</t>
  </si>
  <si>
    <t>meliza.fernandez@gmail.com</t>
  </si>
  <si>
    <t>manderson53@mgh.harvard.edu</t>
  </si>
  <si>
    <t>mallorybogard@gmail.com</t>
  </si>
  <si>
    <t>Lizbeth Ã_x0081_lvarez</t>
  </si>
  <si>
    <t>lindsay.lobello@icloud.com</t>
  </si>
  <si>
    <t>ld8305@outlook.com</t>
  </si>
  <si>
    <t>kristen.farver@skiphop.com</t>
  </si>
  <si>
    <t>keylinsrivera@gmail.com</t>
  </si>
  <si>
    <t>kapila.monga@gmail.com</t>
  </si>
  <si>
    <t>jrosen13@northwell.edu</t>
  </si>
  <si>
    <t>jaskiran1@gmail.com</t>
  </si>
  <si>
    <t>Vicky Ha</t>
  </si>
  <si>
    <t>Francesca Gonzalez</t>
  </si>
  <si>
    <t>Flavia Mihaela Vaduva</t>
  </si>
  <si>
    <t>fatehbenazir@gmail.com</t>
  </si>
  <si>
    <t>erycka.montoya@gmail.com</t>
  </si>
  <si>
    <t>drjmcadenhead@gmail.com</t>
  </si>
  <si>
    <t>divyakarkisw@gmail.com</t>
  </si>
  <si>
    <t>DIANA REÃ_x0081_TEGUI</t>
  </si>
  <si>
    <t>denisevargas478@gmail.com</t>
  </si>
  <si>
    <t>carrmg@state.gov</t>
  </si>
  <si>
    <t>carmelo.deleon2021@gmail.com</t>
  </si>
  <si>
    <t>carlapl28@gmail.com</t>
  </si>
  <si>
    <t>Brenda Morales</t>
  </si>
  <si>
    <t>Azikiwe Rich</t>
  </si>
  <si>
    <t>Asha Nair</t>
  </si>
  <si>
    <t>Andres Rubiano</t>
  </si>
  <si>
    <t>aar2213@tc.columbia.edu</t>
  </si>
  <si>
    <t>mennatallahm2009@gmail.com</t>
  </si>
  <si>
    <t>Arun k</t>
  </si>
  <si>
    <t>arun@speakhire.org</t>
  </si>
  <si>
    <t>Admin</t>
  </si>
  <si>
    <t>Arun Karthick</t>
  </si>
  <si>
    <t>arun+i1@speakhire.org</t>
  </si>
  <si>
    <t>Kevin Godfrey</t>
  </si>
  <si>
    <t>godfreykevina@gmail.com</t>
  </si>
  <si>
    <t>Adam Gueye</t>
  </si>
  <si>
    <t>Alex Aquino Cruz</t>
  </si>
  <si>
    <t>Kohen Ã_x0081_lvarez Reyes</t>
  </si>
  <si>
    <t>Giosmar GarcÃ­a</t>
  </si>
  <si>
    <t>Rashmi Gupta</t>
  </si>
  <si>
    <t>lchan225@hotmail.com</t>
  </si>
  <si>
    <t>mdicino@comcast.net</t>
  </si>
  <si>
    <t>mmccracken2013@gmail.com</t>
  </si>
  <si>
    <t>pragyansmita@gmail.com</t>
  </si>
  <si>
    <t>Akanksha sharma</t>
  </si>
  <si>
    <t>Brenda BÃ¡ez-Costa</t>
  </si>
  <si>
    <t>Melody C Eric Bell-Gam</t>
  </si>
  <si>
    <t>ranaarshedhafiz@gmail.com</t>
  </si>
  <si>
    <t>jz@bettergrowthconsulting.com</t>
  </si>
  <si>
    <t>kathyjo4261@yahoo.com</t>
  </si>
  <si>
    <t>melaniemrome@yahoo.com</t>
  </si>
  <si>
    <t>veronica.oglesby@gmail.com</t>
  </si>
  <si>
    <t>deepika.narula@capgemini.com</t>
  </si>
  <si>
    <t>margaret.weiss@gmail.com</t>
  </si>
  <si>
    <t>dsds@est.com</t>
  </si>
  <si>
    <t>dneem7308@gmail.com</t>
  </si>
  <si>
    <t>Rui Jie Yong</t>
  </si>
  <si>
    <t>ruijie@speakhire.org</t>
  </si>
  <si>
    <t>Fernanda Montane Azpiri</t>
  </si>
  <si>
    <t>Ritik Kale</t>
  </si>
  <si>
    <t>ri7ikkale27+testing01@gmail.com</t>
  </si>
  <si>
    <t>8718451@philasd.org</t>
  </si>
  <si>
    <t>Maria De La Cruz</t>
  </si>
  <si>
    <t>mariadelacruz@claremontihs.org</t>
  </si>
  <si>
    <t>Juliana CÃ¡ceres</t>
  </si>
  <si>
    <t>aliyahmaliq@gmail.com</t>
  </si>
  <si>
    <t>Chris Johns</t>
  </si>
  <si>
    <t>l337one.cj@gmail.com</t>
  </si>
  <si>
    <t>Akshay Nair</t>
  </si>
  <si>
    <t>akshaynair+05@speakhire.org</t>
  </si>
  <si>
    <t>Ritik.Kale@speakhire.org</t>
  </si>
  <si>
    <t>ri7ikkale27+testing007@gmail.com</t>
  </si>
  <si>
    <t>an_account@example.com</t>
  </si>
  <si>
    <t>akshaynair+03@speakhire.org</t>
  </si>
  <si>
    <t>Jimena Montane Azpiri</t>
  </si>
  <si>
    <t>jimena.montane@mespom.eu</t>
  </si>
  <si>
    <t>ritik.kale+champion3@speakhire.org</t>
  </si>
  <si>
    <t>ritik.kale+champion2@speakhire.org</t>
  </si>
  <si>
    <t>Liaison</t>
  </si>
  <si>
    <t>Ritik Champion</t>
  </si>
  <si>
    <t>ritik.kale+champion1@speakhire.org</t>
  </si>
  <si>
    <t>Blah Test</t>
  </si>
  <si>
    <t>test1233445@me.org</t>
  </si>
  <si>
    <t>akshay+01sta@speakhire.org</t>
  </si>
  <si>
    <t>tasfia@speakhire.org</t>
  </si>
  <si>
    <t>daniel.n@speakhire.org</t>
  </si>
  <si>
    <t>hazera@speakhire.org</t>
  </si>
  <si>
    <t>ziye.y@schools.nyc.gov</t>
  </si>
  <si>
    <t>emma.b@schools.nyc.gov</t>
  </si>
  <si>
    <t>diego.ramirez@schools.nyc.gov</t>
  </si>
  <si>
    <t>Nelson Wu</t>
  </si>
  <si>
    <t>NelsonWu@speakhire.org</t>
  </si>
  <si>
    <t>Romina Sulaimonova</t>
  </si>
  <si>
    <t>Baseria Atta</t>
  </si>
  <si>
    <t>fernanda.montaneazpiri@speakhire.org</t>
  </si>
  <si>
    <t>BlairVales@speakhire.org</t>
  </si>
  <si>
    <t>Marcus Nguyen</t>
  </si>
  <si>
    <t>marcus.nguyen@schools.nyc.gov</t>
  </si>
  <si>
    <t>Jordan Lee</t>
  </si>
  <si>
    <t>jordan.lee@schools.nyc.gov</t>
  </si>
  <si>
    <t>hetaljani@speakhire.org</t>
  </si>
  <si>
    <t>akshay+03staintern@speakhire.org</t>
  </si>
  <si>
    <t>Rasoul Sher Ahmad</t>
  </si>
  <si>
    <t>Amira Patel</t>
  </si>
  <si>
    <t>amira.patel@schools.nyc.gov</t>
  </si>
  <si>
    <t>Katherin DubÃ³n</t>
  </si>
  <si>
    <t>amira.patel+demo@speakhire.org</t>
  </si>
  <si>
    <t>Maria Ramirez</t>
  </si>
  <si>
    <t>valentinajaquesanchez24@gmail.com</t>
  </si>
  <si>
    <t>Maria Mercedes Castro</t>
  </si>
  <si>
    <t>avrilmejia2811@gmail.com</t>
  </si>
  <si>
    <t>Nana Keita</t>
  </si>
  <si>
    <t>Ashley MartÃ­nez</t>
  </si>
  <si>
    <t>trinity yined</t>
  </si>
  <si>
    <t>Jefry GarcÃ­a Par</t>
  </si>
  <si>
    <t>Nahmya Bejot</t>
  </si>
  <si>
    <t>luthersonl@students.net</t>
  </si>
  <si>
    <t>santiagojulio325@gmail.com</t>
  </si>
  <si>
    <t>SÃ©bastien Jeannot</t>
  </si>
  <si>
    <t>Alexa Barrueco</t>
  </si>
  <si>
    <t>yancinrd@gmail.com</t>
  </si>
  <si>
    <t>Elvianny (Pamela) De JesÃºs</t>
  </si>
  <si>
    <t>leylihdz0524@gmail.com</t>
  </si>
  <si>
    <t>alisona25@nycstudents.net</t>
  </si>
  <si>
    <t>lisbeth peÃ±a</t>
  </si>
  <si>
    <t>Sara Paez</t>
  </si>
  <si>
    <t>Deisymar Martinez</t>
  </si>
  <si>
    <t>dm25835901@crotonaihs.org</t>
  </si>
  <si>
    <t>Kelvin Altamirano</t>
  </si>
  <si>
    <t>Max Jimenez</t>
  </si>
  <si>
    <t>Marcia Varilla</t>
  </si>
  <si>
    <t>Paulina Goya</t>
  </si>
  <si>
    <t>geovani paz</t>
  </si>
  <si>
    <t>danna zhicay</t>
  </si>
  <si>
    <t>jasmine molina</t>
  </si>
  <si>
    <t>Jorge Lino</t>
  </si>
  <si>
    <t>justin chuqui</t>
  </si>
  <si>
    <t>galo yungan</t>
  </si>
  <si>
    <t>simon barrios</t>
  </si>
  <si>
    <t>Prim Waraloardgoson</t>
  </si>
  <si>
    <t>Alana Molina</t>
  </si>
  <si>
    <t>yesly reyes</t>
  </si>
  <si>
    <t>jhoana carrillo</t>
  </si>
  <si>
    <t>Juan David Toro Guarin</t>
  </si>
  <si>
    <t>harley tigre</t>
  </si>
  <si>
    <t>Alyson Alvarez</t>
  </si>
  <si>
    <t>Domenicar12@nycstudents.net</t>
  </si>
  <si>
    <t>Valerie Juca</t>
  </si>
  <si>
    <t>jacobl213@nycstudents.net</t>
  </si>
  <si>
    <t>Ronny Jeuff</t>
  </si>
  <si>
    <t>Josthyn Corozo</t>
  </si>
  <si>
    <t>josthyncorozo243@gmail.com</t>
  </si>
  <si>
    <t>valentina hernandez</t>
  </si>
  <si>
    <t>David Noguera</t>
  </si>
  <si>
    <t>annelisse gutierrez</t>
  </si>
  <si>
    <t>juan roman</t>
  </si>
  <si>
    <t>kevin marquez</t>
  </si>
  <si>
    <t>valerior3@nystudents.net</t>
  </si>
  <si>
    <t>priya@speakhire.org</t>
  </si>
  <si>
    <t>Michael Jorge nunez</t>
  </si>
  <si>
    <t>Teresa Malvasio</t>
  </si>
  <si>
    <t>tmalvasio@nycid.org</t>
  </si>
  <si>
    <t>Amer Godusevic</t>
  </si>
  <si>
    <t>Emmanuella Roberts</t>
  </si>
  <si>
    <t>zainab@speakhire.org</t>
  </si>
  <si>
    <t>rachel@speakhire.org</t>
  </si>
  <si>
    <t>Xavier Tyler</t>
  </si>
  <si>
    <t>Zahira Wardlaw</t>
  </si>
  <si>
    <t>Dingyan Ni</t>
  </si>
  <si>
    <t>Vanessa Nieves</t>
  </si>
  <si>
    <t>Jonathan Sevilla</t>
  </si>
  <si>
    <t>Olga Duro</t>
  </si>
  <si>
    <t>Aviana Crespo</t>
  </si>
  <si>
    <t>Samara Smalls</t>
  </si>
  <si>
    <t>Malichi Burchell</t>
  </si>
  <si>
    <t>Kaylin Newmwn</t>
  </si>
  <si>
    <t>Jahiem McNeil</t>
  </si>
  <si>
    <t>Aya Khoukhou</t>
  </si>
  <si>
    <t>Michelle iduseri</t>
  </si>
  <si>
    <t>michelleiduseri100@gmail.com</t>
  </si>
  <si>
    <t>John ADIBELI</t>
  </si>
  <si>
    <t>jadibeli@nycid.org</t>
  </si>
  <si>
    <t>Allan Avidano</t>
  </si>
  <si>
    <t>aavidano@nycid.org</t>
  </si>
  <si>
    <t>Robyn Piper</t>
  </si>
  <si>
    <t>rpiper@nycid.org</t>
  </si>
  <si>
    <t>Michael DeVito</t>
  </si>
  <si>
    <t>mdevito@nycid.org</t>
  </si>
  <si>
    <t>Theresa Doyle</t>
  </si>
  <si>
    <t>tdoyle@nycid.org</t>
  </si>
  <si>
    <t>Ashik Irfan</t>
  </si>
  <si>
    <t>isabellavilar1804@gmail.com</t>
  </si>
  <si>
    <t>testintern1992@test.com</t>
  </si>
  <si>
    <t>test67@test.com</t>
  </si>
  <si>
    <t>te@test.com</t>
  </si>
  <si>
    <t>misha.ptl1999@gmail.com</t>
  </si>
  <si>
    <t>Adam Ladouani</t>
  </si>
  <si>
    <t>Saifa Jui</t>
  </si>
  <si>
    <t>andrewbaum570@gmail.com</t>
  </si>
  <si>
    <t>jacob.makola@spxflow.com</t>
  </si>
  <si>
    <t>josemontalvan@speakhire.org</t>
  </si>
  <si>
    <t>Mauricio Lara</t>
  </si>
  <si>
    <t>jaimelara@speakhire.org</t>
  </si>
  <si>
    <t>shakira rodriguez</t>
  </si>
  <si>
    <t>Muhammad Yusuf</t>
  </si>
  <si>
    <t>Alicia Zhuang</t>
  </si>
  <si>
    <t>alicia@speakhire.org</t>
  </si>
  <si>
    <t>Declan Reidy</t>
  </si>
  <si>
    <t>dreidy@schools.nyc.gov</t>
  </si>
  <si>
    <t>shynckplaysr@gmail.com</t>
  </si>
  <si>
    <t>frances.artstudio@gmail.com</t>
  </si>
  <si>
    <t>gisela.castaneda@zendesk.com</t>
  </si>
  <si>
    <t>slupberger@gmail.com</t>
  </si>
  <si>
    <t>Angela Baylan</t>
  </si>
  <si>
    <t>yasnaidi navarro</t>
  </si>
  <si>
    <t>Amar Persaud</t>
  </si>
  <si>
    <t>gabrielle newlandg</t>
  </si>
  <si>
    <t>Teji Bains</t>
  </si>
  <si>
    <t>Donovan Gangaram</t>
  </si>
  <si>
    <t>angela baylan</t>
  </si>
  <si>
    <t>angelab70@nycstudents.net</t>
  </si>
  <si>
    <t>Mikhail Estiverne</t>
  </si>
  <si>
    <t>AkshayNair@speakhire.org</t>
  </si>
  <si>
    <t>Van Buren Liaison Test</t>
  </si>
  <si>
    <t>vanburentestliaison@vbhs.com</t>
  </si>
  <si>
    <t>williams linares</t>
  </si>
  <si>
    <t>williamsl2791@nycstudents.net</t>
  </si>
  <si>
    <t>Santiago Posse</t>
  </si>
  <si>
    <t>test111@gmail.com</t>
  </si>
  <si>
    <t>SYLVIA JOVANOVIC</t>
  </si>
  <si>
    <t>sjovanovic2@schools.nyc.gov</t>
  </si>
  <si>
    <t>AKSHAY NAIR</t>
  </si>
  <si>
    <t>akshayvijaynair@gmail.com</t>
  </si>
  <si>
    <t>test3@gmail.com</t>
  </si>
  <si>
    <t>test12@gmail.com</t>
  </si>
  <si>
    <t>test11@gmail.com</t>
  </si>
  <si>
    <t>test10@gmail.com</t>
  </si>
  <si>
    <t>test7@gmail.com</t>
  </si>
  <si>
    <t>test6@gmail.com</t>
  </si>
  <si>
    <t>testesttes233@gmail.com</t>
  </si>
  <si>
    <t>test1@gmail.com</t>
  </si>
  <si>
    <t>testtesttest@gmail.com</t>
  </si>
  <si>
    <t>santiago posse</t>
  </si>
  <si>
    <t>possesantiago29@gmail.com</t>
  </si>
  <si>
    <t>Carol Bautista</t>
  </si>
  <si>
    <t>carol@speakhire.org</t>
  </si>
  <si>
    <t>Jordan Barriga</t>
  </si>
  <si>
    <t>miyeliq20@gmail.com</t>
  </si>
  <si>
    <t>Jeremy Guaman</t>
  </si>
  <si>
    <t>Emily Aguayza</t>
  </si>
  <si>
    <t>Xiomara Larco</t>
  </si>
  <si>
    <t>Barbara AntÃºnez</t>
  </si>
  <si>
    <t>koryn perez</t>
  </si>
  <si>
    <t>Willan Sanchez</t>
  </si>
  <si>
    <t>Sudarshan Jagannathan</t>
  </si>
  <si>
    <t>sudarshanjagannathan@speakhire.org</t>
  </si>
  <si>
    <t>Facilitator</t>
  </si>
  <si>
    <t>Steven Becket</t>
  </si>
  <si>
    <t>intellesync@gmail.com</t>
  </si>
  <si>
    <t>kendrilopez725@gmail.com</t>
  </si>
  <si>
    <t>jimena.montane@sociocracyforall.org</t>
  </si>
  <si>
    <t>Eduardo Alarcon</t>
  </si>
  <si>
    <t>ealarcon@schools.nyc.gov</t>
  </si>
  <si>
    <t>Robert Brown</t>
  </si>
  <si>
    <t>rbrown80@schools.nyc.gov</t>
  </si>
  <si>
    <t>ABAAN ABAAN</t>
  </si>
  <si>
    <t>Elmhlay Pasahol</t>
  </si>
  <si>
    <t>Nofah Daeis</t>
  </si>
  <si>
    <t>anonyab@nycstudents.net</t>
  </si>
  <si>
    <t>Kyra Sapera</t>
  </si>
  <si>
    <t>Bozi Dape</t>
  </si>
  <si>
    <t>Lindsay Laochua</t>
  </si>
  <si>
    <t>Graham Wallace</t>
  </si>
  <si>
    <t>amara diawara</t>
  </si>
  <si>
    <t>saifa jui</t>
  </si>
  <si>
    <t>juisaifa7@gmail.com</t>
  </si>
  <si>
    <t>Brian Lesser-Hernandez</t>
  </si>
  <si>
    <t>blesser3@schools.nyc.gov</t>
  </si>
  <si>
    <t>Luz Gutierrez</t>
  </si>
  <si>
    <t>lamonchapman@speakhire.org</t>
  </si>
  <si>
    <t>Edwin Orduna</t>
  </si>
  <si>
    <t>Linda Acosta</t>
  </si>
  <si>
    <t>lacosta@schools.nyc.gov</t>
  </si>
  <si>
    <t>Jesus Leon</t>
  </si>
  <si>
    <t>Ruth Sailema</t>
  </si>
  <si>
    <t>kevin tenesaca</t>
  </si>
  <si>
    <t>ruthsailema80@nycstudents.net</t>
  </si>
  <si>
    <t>8ndreamoreno@gmail.com</t>
  </si>
  <si>
    <t>camilasailema8@gmail.com</t>
  </si>
  <si>
    <t>Arabella Gonzalez</t>
  </si>
  <si>
    <t>Terrence Han</t>
  </si>
  <si>
    <t>john.mcfarland@odgersberndtson.com</t>
  </si>
  <si>
    <t>santosc12@nycstudents.net</t>
  </si>
  <si>
    <t>Jean Guzman</t>
  </si>
  <si>
    <t>jeang3269@nycstudents.net</t>
  </si>
  <si>
    <t>christopher moreno</t>
  </si>
  <si>
    <t>christopherm1247@nycstudents.net</t>
  </si>
  <si>
    <t>jasonj2814@nycstudents.net</t>
  </si>
  <si>
    <t>Alan Navarrete</t>
  </si>
  <si>
    <t>Zoe Salas</t>
  </si>
  <si>
    <t>julia ash</t>
  </si>
  <si>
    <t>Yasmine Abbas</t>
  </si>
  <si>
    <t>yasminea38@nycstudents.net</t>
  </si>
  <si>
    <t>andersonb28@nycstudents.net5</t>
  </si>
  <si>
    <t>YOgeshk3@nycstudents.net</t>
  </si>
  <si>
    <t>SErgior118@nycstudents.net</t>
  </si>
  <si>
    <t>Aarjit Oli</t>
  </si>
  <si>
    <t>yairel aquino</t>
  </si>
  <si>
    <t>sebastian antonio</t>
  </si>
  <si>
    <t>Nabiha Momin</t>
  </si>
  <si>
    <t>Aylin Morocho</t>
  </si>
  <si>
    <t>kelly carchi</t>
  </si>
  <si>
    <t>SEbastianf4238@nycstudents.net</t>
  </si>
  <si>
    <t>Juana4753@nycstudents.net</t>
  </si>
  <si>
    <t>Jennifer Moreno</t>
  </si>
  <si>
    <t>Evelyn L</t>
  </si>
  <si>
    <t>Dhilany yauri</t>
  </si>
  <si>
    <t>Anderson Valverde</t>
  </si>
  <si>
    <t>sofia Andrade</t>
  </si>
  <si>
    <t>Jazmine Corte</t>
  </si>
  <si>
    <t>Jose Castaneda</t>
  </si>
  <si>
    <t>Leslie Landi</t>
  </si>
  <si>
    <t>Brianna Molina</t>
  </si>
  <si>
    <t>Evelyn .</t>
  </si>
  <si>
    <t>limevelyn383@gmail.com</t>
  </si>
  <si>
    <t>Akarsan Gurung</t>
  </si>
  <si>
    <t>Daniel Martinez</t>
  </si>
  <si>
    <t>Carolina Flores</t>
  </si>
  <si>
    <t>FNU Tenzin Dechen</t>
  </si>
  <si>
    <t>Valentina Tito</t>
  </si>
  <si>
    <t>Dhruv Patel</t>
  </si>
  <si>
    <t>Mirza Tarax</t>
  </si>
  <si>
    <t>arturoa28@nycstudents.nrt</t>
  </si>
  <si>
    <t>Veronica Vazquez</t>
  </si>
  <si>
    <t>Victoria Rodriguez</t>
  </si>
  <si>
    <t>aureliom6@nycstudents.net</t>
  </si>
  <si>
    <t>stevend303@nycstudents.net</t>
  </si>
  <si>
    <t>John doe</t>
  </si>
  <si>
    <t>k.eswar15108@gmail.com</t>
  </si>
  <si>
    <t>akshay.v.nair@pace.edu</t>
  </si>
  <si>
    <t>Dayany Flores</t>
  </si>
  <si>
    <t>David Mendoza</t>
  </si>
  <si>
    <t>kevinm1254@nycstudents.net</t>
  </si>
  <si>
    <t>Marianny Guachichulca</t>
  </si>
  <si>
    <t>ita1923@gmail.com</t>
  </si>
  <si>
    <t>Sophia solis</t>
  </si>
  <si>
    <t>kerly Yanchapanta</t>
  </si>
  <si>
    <t>Gabriella Ortega</t>
  </si>
  <si>
    <t>Dina Agueda-Furman</t>
  </si>
  <si>
    <t>dagueda@schools.nyc.gov</t>
  </si>
  <si>
    <t>Jennifer Gorman</t>
  </si>
  <si>
    <t>jdodge2@schools.nyc.gov</t>
  </si>
  <si>
    <t>Estuardo Lopez</t>
  </si>
  <si>
    <t>Akhmadzhon Vakhidov</t>
  </si>
  <si>
    <t>Saidatou Diallo</t>
  </si>
  <si>
    <t>Batma Ramazanova</t>
  </si>
  <si>
    <t>Abdalmanaim Salah</t>
  </si>
  <si>
    <t>Matiullah Sulimanzoy</t>
  </si>
  <si>
    <t>Mimi Kante</t>
  </si>
  <si>
    <t>Mama Kouyate</t>
  </si>
  <si>
    <t>Jalen Lynn</t>
  </si>
  <si>
    <t>Xin Xi Li</t>
  </si>
  <si>
    <t>JHondavidv@nycstudents.net</t>
  </si>
  <si>
    <t>inah7@nycstudents.net</t>
  </si>
  <si>
    <t>emilianoc2794@nycstudents.net</t>
  </si>
  <si>
    <t>Joseph Fisher</t>
  </si>
  <si>
    <t>josephf6998@nycstudents.net</t>
  </si>
  <si>
    <t>Aneeda VONGNORKEO</t>
  </si>
  <si>
    <t>aneedav@nycstudents.net</t>
  </si>
  <si>
    <t>Kesang Penjor</t>
  </si>
  <si>
    <t>kesangp@nycstudents.net</t>
  </si>
  <si>
    <t>erickc7931@nycstudents.net</t>
  </si>
  <si>
    <t>Katherine Flores</t>
  </si>
  <si>
    <t>karherinef@nycstudents.net</t>
  </si>
  <si>
    <t>alejandram3370@nycstudents.net</t>
  </si>
  <si>
    <t>k.saraswathi1222@gmail.com</t>
  </si>
  <si>
    <t>muhammad sddique</t>
  </si>
  <si>
    <t>Shafayata ahmmed</t>
  </si>
  <si>
    <t>Steven Chen</t>
  </si>
  <si>
    <t>katelynn abreu</t>
  </si>
  <si>
    <t>valentinat32@nyc.students.net</t>
  </si>
  <si>
    <t>zbooi@fordham.edu</t>
  </si>
  <si>
    <t>Evan Galinsky</t>
  </si>
  <si>
    <t>egalinsky@schools.nyc.gov</t>
  </si>
  <si>
    <t>francescatest2@gmail.com</t>
  </si>
  <si>
    <t>testpsl@gmail.com</t>
  </si>
  <si>
    <t>Saldana Itta</t>
  </si>
  <si>
    <t>melvinjovamejia@gmail.com</t>
  </si>
  <si>
    <t>testpartner003@test.com</t>
  </si>
  <si>
    <t>johan lozano</t>
  </si>
  <si>
    <t>escheltarax@gmail.com</t>
  </si>
  <si>
    <t>paolaemily753@gmail.com</t>
  </si>
  <si>
    <t>thomas roman</t>
  </si>
  <si>
    <t>tejaswiniparitala@gmail.com</t>
  </si>
  <si>
    <t>michelleordonezq@gmail.com</t>
  </si>
  <si>
    <t>Ethan Lin</t>
  </si>
  <si>
    <t>Lamon Test Chapman Test</t>
  </si>
  <si>
    <t>lamontest123@gmail.com</t>
  </si>
  <si>
    <t>avrilmejia@speakhire.org</t>
  </si>
  <si>
    <t>lisangpharmd@gmail.com</t>
  </si>
  <si>
    <t>Fernanda MontanÃ©</t>
  </si>
  <si>
    <t>fotosvideosfer@gmail.com</t>
  </si>
  <si>
    <t>Fernie Montana</t>
  </si>
  <si>
    <t>fermaz1234@gmail.com</t>
  </si>
  <si>
    <t>Amayreli Ortega Garcia</t>
  </si>
  <si>
    <t>Ayaat Hoque</t>
  </si>
  <si>
    <t>ayaath@nycstudents.net</t>
  </si>
  <si>
    <t>Brian Chen</t>
  </si>
  <si>
    <t>Angelique Arango</t>
  </si>
  <si>
    <t>jimena.montane@gmail.com</t>
  </si>
  <si>
    <t>feraz123@gmail.com</t>
  </si>
  <si>
    <t>liam guiffre</t>
  </si>
  <si>
    <t>Mathias Auyanet</t>
  </si>
  <si>
    <t>Raissa Marginean</t>
  </si>
  <si>
    <t>naimaarauf@gmail.com</t>
  </si>
  <si>
    <t>Dainna Zheng</t>
  </si>
  <si>
    <t>Jacob Grover</t>
  </si>
  <si>
    <t>Juliana Mateo</t>
  </si>
  <si>
    <t>Ronen countryman</t>
  </si>
  <si>
    <t>Micaela Arana</t>
  </si>
  <si>
    <t>Katrina Zheng</t>
  </si>
  <si>
    <t>leonor chuya</t>
  </si>
  <si>
    <t>H Duong</t>
  </si>
  <si>
    <t>hduong9401@bths.edu</t>
  </si>
  <si>
    <t>justin@speakhire.org</t>
  </si>
  <si>
    <t>blairvales999test@gmail.com</t>
  </si>
  <si>
    <t>francescatest@gmail.com</t>
  </si>
  <si>
    <t>FRAN g</t>
  </si>
  <si>
    <t>francescamthtest@gmail.com</t>
  </si>
  <si>
    <t>francescamthtest@speakhire.org</t>
  </si>
  <si>
    <t>Sakshi Patil</t>
  </si>
  <si>
    <t>sakshipatil@speakhire.org</t>
  </si>
  <si>
    <t>Sol Lilman</t>
  </si>
  <si>
    <t>Sol.Lilman@speakhire.org</t>
  </si>
  <si>
    <t>akshay@speakhire.org</t>
  </si>
  <si>
    <t>Philip Pavone</t>
  </si>
  <si>
    <t>Tiffany Quiles</t>
  </si>
  <si>
    <t>tiffanyannquiles@gmail.com</t>
  </si>
  <si>
    <t>Juan Perez</t>
  </si>
  <si>
    <t>jperez82@schools.nyc.gov</t>
  </si>
  <si>
    <t>ekodaka@gmail.com</t>
  </si>
  <si>
    <t>ochoadamy10@gmail.com</t>
  </si>
  <si>
    <t>MarÃ­a Lazo</t>
  </si>
  <si>
    <t>maria.h.lazo@gmail.com</t>
  </si>
  <si>
    <t>bdonovan@maspethtownhall.org</t>
  </si>
  <si>
    <t>newpartner333@gmail.com</t>
  </si>
  <si>
    <t>Mario Vingerhoets</t>
  </si>
  <si>
    <t>mg.vingerhoets@gmail.com</t>
  </si>
  <si>
    <t>Zexuan Liu</t>
  </si>
  <si>
    <t>test p</t>
  </si>
  <si>
    <t>newpartner1@gmail.com</t>
  </si>
  <si>
    <t>Sophie Zhang</t>
  </si>
  <si>
    <t>Farkhad Mirzoev</t>
  </si>
  <si>
    <t>Antonino Luciano</t>
  </si>
  <si>
    <t>onetakeking@gmail.com</t>
  </si>
  <si>
    <t>Anisa Gao</t>
  </si>
  <si>
    <t>AnisaGao@speakhire.org</t>
  </si>
  <si>
    <t>k.test12222@gmail.com</t>
  </si>
  <si>
    <t>Isabel Vargas-Soto</t>
  </si>
  <si>
    <t>izzy@speakhire.org</t>
  </si>
  <si>
    <t>test1234@gmail.com</t>
  </si>
  <si>
    <t>Ema Thotsa</t>
  </si>
  <si>
    <t>r.test3@gmail.com</t>
  </si>
  <si>
    <t>r.test2@gmail.com</t>
  </si>
  <si>
    <t>r.test1@gmail.com</t>
  </si>
  <si>
    <t>sakship2499@gmail.com</t>
  </si>
  <si>
    <t>testintern111@gmail.com</t>
  </si>
  <si>
    <t>Chloe Sumlang</t>
  </si>
  <si>
    <t>rish@gmail.com</t>
  </si>
  <si>
    <t>discoveringleadership@speakhire.org</t>
  </si>
  <si>
    <t>chloes118@nycstudents.net</t>
  </si>
  <si>
    <t>graysonw2@nycstudents.net</t>
  </si>
  <si>
    <t>Shaila Delgado Castillo</t>
  </si>
  <si>
    <t>shaila@speakhire.org</t>
  </si>
  <si>
    <t>metezhic@gmail.com</t>
  </si>
  <si>
    <t>Kenneth Polanco</t>
  </si>
  <si>
    <t>officialhhoat@gmail.com</t>
  </si>
  <si>
    <t>Gargi K Kulkarni</t>
  </si>
  <si>
    <t>gargikulkarni1899@gmail.com</t>
  </si>
  <si>
    <t>gargi@speakhire.org</t>
  </si>
  <si>
    <t>valerioramos445@gmail.com</t>
  </si>
  <si>
    <t>AfridaAhmed@speakhire.org</t>
  </si>
  <si>
    <t>chowdhuryrathila@gmail.com</t>
  </si>
  <si>
    <t>mitu999213@gmail.com</t>
  </si>
  <si>
    <t>Isha Subedi</t>
  </si>
  <si>
    <t>ishasubedi233@gmail.com</t>
  </si>
  <si>
    <t>joselynchisag81@gmail.com</t>
  </si>
  <si>
    <t>sandesh1371@gmail.com</t>
  </si>
  <si>
    <t>elvian1102@gmail.com</t>
  </si>
  <si>
    <t>raonv562@gmail.com</t>
  </si>
  <si>
    <t>newuser1234@gmail.com</t>
  </si>
  <si>
    <t>Stephanie Chen</t>
  </si>
  <si>
    <t>stephaniechen@speakhire.org</t>
  </si>
  <si>
    <t>k.test2@gmail.com</t>
  </si>
  <si>
    <t>k.test1111@gmail.com</t>
  </si>
  <si>
    <t>k.partnertest1@gmail.com</t>
  </si>
  <si>
    <t>k.test12@gmail.com</t>
  </si>
  <si>
    <t>lpurdy435@gmail.com</t>
  </si>
  <si>
    <t>k.test37@gmail.com</t>
  </si>
  <si>
    <t>k.test5@gmail.com</t>
  </si>
  <si>
    <t>k.test1@gmail.com</t>
  </si>
  <si>
    <t>Mimia Ousilas</t>
  </si>
  <si>
    <t>mimia@speakhire.org</t>
  </si>
  <si>
    <t>ehileem sanchez</t>
  </si>
  <si>
    <t>luismary alcantara</t>
  </si>
  <si>
    <t>luismarya2@nycstudents.net</t>
  </si>
  <si>
    <t>kalyani_nune@yahoo.com</t>
  </si>
  <si>
    <t>endy fragoso de los santos</t>
  </si>
  <si>
    <t>endyf2@nycstudents.net</t>
  </si>
  <si>
    <t>cristal ruiz</t>
  </si>
  <si>
    <t>sergio torres</t>
  </si>
  <si>
    <t>sergiot30@nycstudents.net</t>
  </si>
  <si>
    <t>bs.akshay@gmail.com</t>
  </si>
  <si>
    <t>Nisaury Tineo</t>
  </si>
  <si>
    <t>nisauryt@nycstudents.net</t>
  </si>
  <si>
    <t>david mendoza</t>
  </si>
  <si>
    <t>davidm1484@nycstudents.net</t>
  </si>
  <si>
    <t>miguel garcia castillo</t>
  </si>
  <si>
    <t>miguelangelg27@nycstudents.net</t>
  </si>
  <si>
    <t>Emily Diez</t>
  </si>
  <si>
    <t>christina.thomas@teamsnap.com</t>
  </si>
  <si>
    <t>k.intern4@gmail.com</t>
  </si>
  <si>
    <t>k.intern2@gmail.com</t>
  </si>
  <si>
    <t>Antonio Valdez</t>
  </si>
  <si>
    <t>Sunil Kumar Suvvari</t>
  </si>
  <si>
    <t>sunilkumarbusinessanalysis@gmail.com</t>
  </si>
  <si>
    <t>correayamilet65@gmail.com</t>
  </si>
  <si>
    <t>yamilet correa</t>
  </si>
  <si>
    <t>juliac2024@desoto130.org</t>
  </si>
  <si>
    <t>Skyler Tran</t>
  </si>
  <si>
    <t>Christopher Prete</t>
  </si>
  <si>
    <t>Natalie Fung</t>
  </si>
  <si>
    <t>Olivia Zhou</t>
  </si>
  <si>
    <t>Timcus Li</t>
  </si>
  <si>
    <t>isabellal2024@desoto130.org</t>
  </si>
  <si>
    <t>Jax Panlilio</t>
  </si>
  <si>
    <t>karin huang</t>
  </si>
  <si>
    <t>angel garcia</t>
  </si>
  <si>
    <t>k.intern1@gmail.com</t>
  </si>
  <si>
    <t>josue alvarado</t>
  </si>
  <si>
    <t>marian quero</t>
  </si>
  <si>
    <t>willian villalobis</t>
  </si>
  <si>
    <t>kelianny briceno</t>
  </si>
  <si>
    <t>paolaa60@nycstudents.net</t>
  </si>
  <si>
    <t>1dmdpinque@gmail.com</t>
  </si>
  <si>
    <t>inveri@nycstudenst.net</t>
  </si>
  <si>
    <t>test@champions.com</t>
  </si>
  <si>
    <t>danielarossi414@gmail.com</t>
  </si>
  <si>
    <t>test@seminars.com</t>
  </si>
  <si>
    <t>cheayto.hussein@hotmail.com</t>
  </si>
  <si>
    <t>Francesca TEST</t>
  </si>
  <si>
    <t>testemailfran@test.com</t>
  </si>
  <si>
    <t>test.champion1111@gmail.com</t>
  </si>
  <si>
    <t>Wilmary Ramirez</t>
  </si>
  <si>
    <t>Maria Matute</t>
  </si>
  <si>
    <t>Edwin Melendez</t>
  </si>
  <si>
    <t>Dayra Ayala</t>
  </si>
  <si>
    <t>Valeriia Chernobaeva</t>
  </si>
  <si>
    <t>soulemane lah</t>
  </si>
  <si>
    <t>mayra poma</t>
  </si>
  <si>
    <t>SAI ESWAR RUSHIDEEP KOTAMRAJU</t>
  </si>
  <si>
    <t>k.partner2@gmail.com</t>
  </si>
  <si>
    <t>k.champion1222@gmail.com</t>
  </si>
  <si>
    <t>testchampion123@gmail.com</t>
  </si>
  <si>
    <t>joselyn chisag</t>
  </si>
  <si>
    <t>Daniel Guillen</t>
  </si>
  <si>
    <t>Franklin Maisa</t>
  </si>
  <si>
    <t>nancycruznyc@gmail.com</t>
  </si>
  <si>
    <t>Arthur barbosa</t>
  </si>
  <si>
    <t>Aryna Maletskaya</t>
  </si>
  <si>
    <t>Elizabeth Duval</t>
  </si>
  <si>
    <t>betsyjenkyn@gmail.com</t>
  </si>
  <si>
    <t>Mathias Flores</t>
  </si>
  <si>
    <t>nathaly cosquillo</t>
  </si>
  <si>
    <t>Luis Freites</t>
  </si>
  <si>
    <t>Laura Chirinos</t>
  </si>
  <si>
    <t>segundo poalacin</t>
  </si>
  <si>
    <t>Gustavo Cargua</t>
  </si>
  <si>
    <t>Erika Pasochoa</t>
  </si>
  <si>
    <t>Joselyn Reyes</t>
  </si>
  <si>
    <t>Richard Andagana</t>
  </si>
  <si>
    <t>Inti Sisa</t>
  </si>
  <si>
    <t>Nelly Pilahuisin</t>
  </si>
  <si>
    <t>Angel Galindo</t>
  </si>
  <si>
    <t>Anisa Speakhire</t>
  </si>
  <si>
    <t>anisag@gmail.com</t>
  </si>
  <si>
    <t>anisa@speakhire.org</t>
  </si>
  <si>
    <t>amanda.cadau@troopers.ny.gov</t>
  </si>
  <si>
    <t>dhmink@gmail.com</t>
  </si>
  <si>
    <t>k.interntest2@gmail.com</t>
  </si>
  <si>
    <t>k.interntest1@speakhire.org</t>
  </si>
  <si>
    <t>sai@speakhire.org</t>
  </si>
  <si>
    <t>s2.intern@gmail.com</t>
  </si>
  <si>
    <t>leadershipcourses@speakhire.org</t>
  </si>
  <si>
    <t>jaleman7290@gmail.com</t>
  </si>
  <si>
    <t>test.intern@gmail.com</t>
  </si>
  <si>
    <t>Simone Stewart</t>
  </si>
  <si>
    <t>simone.o.stewart@gmail.com</t>
  </si>
  <si>
    <t>testintern001@gmail.com</t>
  </si>
  <si>
    <t>soumya.delhi@gmail.com</t>
  </si>
  <si>
    <t>Ingrid Renderos</t>
  </si>
  <si>
    <t>imrenderos@gmail.com</t>
  </si>
  <si>
    <t>WenqiWang@speakhire.org</t>
  </si>
  <si>
    <t>gfiorentinos@schools.nyc.gov</t>
  </si>
  <si>
    <t>pkirox@gmail.com</t>
  </si>
  <si>
    <t>garyblinth@speakhire.org</t>
  </si>
  <si>
    <t>test1233445@me.com</t>
  </si>
  <si>
    <t>Lady Mizhirumbay</t>
  </si>
  <si>
    <t>Sebastian serna</t>
  </si>
  <si>
    <t>test000@gmail.com</t>
  </si>
  <si>
    <t>jayden Gieri</t>
  </si>
  <si>
    <t>jaydeng316@nycstudents.net</t>
  </si>
  <si>
    <t>darlened18@nycstudent.net</t>
  </si>
  <si>
    <t>maryamk46@nycstundent.net</t>
  </si>
  <si>
    <t>sofiaa138@nycstudents.net</t>
  </si>
  <si>
    <t>Susan Scott</t>
  </si>
  <si>
    <t>susan.scott@morganstanley.com</t>
  </si>
  <si>
    <t>jcervoni@schools.nyc.gov</t>
  </si>
  <si>
    <t>nancy bonocore</t>
  </si>
  <si>
    <t>nbonocore@schools.nyc.gov</t>
  </si>
  <si>
    <t>Mazaher Mohamed</t>
  </si>
  <si>
    <t>Walter Tello</t>
  </si>
  <si>
    <t>emailtest3@gmail.com</t>
  </si>
  <si>
    <t>testeremail@gmail.com</t>
  </si>
  <si>
    <t>test-delete1@gmail.com</t>
  </si>
  <si>
    <t>nataliev78@nycstudents.net</t>
  </si>
  <si>
    <t>Alexander Aguilar</t>
  </si>
  <si>
    <t>chris.rodriguez2219@gmail.com</t>
  </si>
  <si>
    <t>Melina Castillo</t>
  </si>
  <si>
    <t>mcastillo37@schools.nyc.gov</t>
  </si>
  <si>
    <t>walter.ptello72005@gmail.com</t>
  </si>
  <si>
    <t>manoloudimaria84@gmail.com</t>
  </si>
  <si>
    <t>testuser@gmail.com</t>
  </si>
  <si>
    <t>francescagonzalez@yahoo.com</t>
  </si>
  <si>
    <t>Intern Test</t>
  </si>
  <si>
    <t>interntest@gmail.com</t>
  </si>
  <si>
    <t>interntest@speakhire.org</t>
  </si>
  <si>
    <t>esneider.serna@doctus.com.co</t>
  </si>
  <si>
    <t>iwanttobeastudent2@gmail.com</t>
  </si>
  <si>
    <t>iamastudent@gmail.com</t>
  </si>
  <si>
    <t>iwanttobeastudent@gmail.com</t>
  </si>
  <si>
    <t>test456@gmail.com</t>
  </si>
  <si>
    <t>test12334@gmail.com</t>
  </si>
  <si>
    <t>iwanttobeachampion@gmail.com</t>
  </si>
  <si>
    <t>Andy caba</t>
  </si>
  <si>
    <t>mariamanoloudi@speakhire.org</t>
  </si>
  <si>
    <t>Allison Perez</t>
  </si>
  <si>
    <t>el253472526@crotonnaihs.org</t>
  </si>
  <si>
    <t>nlmarciniak@gmail.com</t>
  </si>
  <si>
    <t>Leswin Garcia</t>
  </si>
  <si>
    <t>Pranit Kumbhar</t>
  </si>
  <si>
    <t>pranit@speakhire.org</t>
  </si>
  <si>
    <t>champions@speakhire.org</t>
  </si>
  <si>
    <t>alumni@speakhire.org</t>
  </si>
  <si>
    <t>huidghuidf@proton.me</t>
  </si>
  <si>
    <t>Josue Martinez</t>
  </si>
  <si>
    <t>jm25965857@crotonaihs.org</t>
  </si>
  <si>
    <t>Claudelys Gonzalez</t>
  </si>
  <si>
    <t>em260030879@crotonaihs.org</t>
  </si>
  <si>
    <t>em260030879@crotonihs.org</t>
  </si>
  <si>
    <t>safaritest@test.com</t>
  </si>
  <si>
    <t>yr250600376@crotonaihs.org</t>
  </si>
  <si>
    <t>em2600308790@crotonaihs.org</t>
  </si>
  <si>
    <t>mc206540703@crotonaihs.org</t>
  </si>
  <si>
    <t>Sophia Baker</t>
  </si>
  <si>
    <t>sophiabaker@speakhire.org</t>
  </si>
  <si>
    <t>Wenqi Wang</t>
  </si>
  <si>
    <t>wenqi@speakhire.org</t>
  </si>
  <si>
    <t>ranjana.v@gmail.com</t>
  </si>
  <si>
    <t>asdf1234@gmail.com</t>
  </si>
  <si>
    <t>student123@speakhire.org</t>
  </si>
  <si>
    <t>msjunechung@gmail.com</t>
  </si>
  <si>
    <t>sakshivpandirkar@gmail.com</t>
  </si>
  <si>
    <t>test@google.com</t>
  </si>
  <si>
    <t>testemail@delete.org</t>
  </si>
  <si>
    <t>fakeemail@test.org</t>
  </si>
  <si>
    <t>rteeger@yahoo.com</t>
  </si>
  <si>
    <t>Assetou Sacko</t>
  </si>
  <si>
    <t>jasfrancis95@gmail.com</t>
  </si>
  <si>
    <t>vickywwq@yahoo.com</t>
  </si>
  <si>
    <t>Britney Huynh</t>
  </si>
  <si>
    <t>BritneyHuynh@speakhire.org</t>
  </si>
  <si>
    <t>priyaprius22@gmail.com</t>
  </si>
  <si>
    <t>abarnaaketh@gmail.com</t>
  </si>
  <si>
    <t>dmk464@nyu.edu</t>
  </si>
  <si>
    <t>sevda.akbari@opus-group.com</t>
  </si>
  <si>
    <t>nikhil.warier@gmail.com</t>
  </si>
  <si>
    <t>Dhyey Dave</t>
  </si>
  <si>
    <t>dhyey3200@gmail.com</t>
  </si>
  <si>
    <t>k.rushi1222@gmail.com</t>
  </si>
  <si>
    <t>ryante6@gmail.com</t>
  </si>
  <si>
    <t>lauratkc@gmail.com</t>
  </si>
  <si>
    <t>test-delete@gmail.com</t>
  </si>
  <si>
    <t>mennamomen23@gmail.com</t>
  </si>
  <si>
    <t>tester-delete@gmail.com</t>
  </si>
  <si>
    <t>anshita@speakhire.org</t>
  </si>
  <si>
    <t>pranitkumbhar19@gmail.com</t>
  </si>
  <si>
    <t>daniel.lee@speakhire.org</t>
  </si>
  <si>
    <t>fchanw@gmail.com</t>
  </si>
  <si>
    <t>17sach17@gmail.com</t>
  </si>
  <si>
    <t>sachfanroddick@gmail.com</t>
  </si>
  <si>
    <t>ð_x009d__x0090_‘ð_x009d__x0090_šð_x009d__x0090_ ð_x009d__x0090_¡ð_x009d__x0090__x009d_ ð_x009d__x0090_’ð_x009d__x0090_šð_x009d__x0090_¥ð_x009d__x0090_šð_x009d__x0090_¡</t>
  </si>
  <si>
    <t>jatziry guity</t>
  </si>
  <si>
    <t>Ayele Dounou</t>
  </si>
  <si>
    <t>rosedounou@gmail.com</t>
  </si>
  <si>
    <t>dhyey@speakhire.org</t>
  </si>
  <si>
    <t>rachelkb123@gmail.com</t>
  </si>
  <si>
    <t>Liva Opong</t>
  </si>
  <si>
    <t>opongliva11@gmail.com</t>
  </si>
  <si>
    <t>tester@test.com</t>
  </si>
  <si>
    <t>Emma Fernandez</t>
  </si>
  <si>
    <t>emma.fernandez.e@gmail.com</t>
  </si>
  <si>
    <t>jarielis.basora@ichsbronx.org</t>
  </si>
  <si>
    <t>mr.aldo@ichsbronx.org</t>
  </si>
  <si>
    <t>David Friday Okumu</t>
  </si>
  <si>
    <t>fridayodiwour4@gmail.com</t>
  </si>
  <si>
    <t>abirmahmood6@gmail.com</t>
  </si>
  <si>
    <t>adrian@speakhire.org</t>
  </si>
  <si>
    <t>Anshita Thakkar</t>
  </si>
  <si>
    <t>anshita@speakhire.com</t>
  </si>
  <si>
    <t>Gauri Gupta</t>
  </si>
  <si>
    <t>gauri@speakhire.org</t>
  </si>
  <si>
    <t>laura@uptownconsulting.co</t>
  </si>
  <si>
    <t>KendiWang@speakhire.org</t>
  </si>
  <si>
    <t>yangfa@speakhire.org</t>
  </si>
  <si>
    <t>Sample Intern 4</t>
  </si>
  <si>
    <t>Pamela MondragÃ³n</t>
  </si>
  <si>
    <t>mmacchiarola@schools.nyc.gor</t>
  </si>
  <si>
    <t>Maria Barrera</t>
  </si>
  <si>
    <t>[NO LAST]</t>
  </si>
  <si>
    <t>Hannah [NO LAST]</t>
  </si>
  <si>
    <t>Byron Avelar Paredes</t>
  </si>
  <si>
    <t>Khristal Aquino Cruz</t>
  </si>
  <si>
    <t>khristal2005@gmail.com</t>
  </si>
  <si>
    <t>Estefania Lopez</t>
  </si>
  <si>
    <t>nasteshia.m.robinson.mil@mail.mil</t>
  </si>
  <si>
    <t>Sarata Cisse</t>
  </si>
  <si>
    <t>Brenda Conde</t>
  </si>
  <si>
    <t>brenda@speakhire.org</t>
  </si>
  <si>
    <t>PRISCILA QUIROZ</t>
  </si>
  <si>
    <t>priscilaquiroztippe@speakhire.org</t>
  </si>
  <si>
    <t>francescagonzalez@speakhire.org</t>
  </si>
  <si>
    <t>yangfa-wu-6-14-1#@yangfa.wu</t>
  </si>
  <si>
    <t>test7@speakhire.org</t>
  </si>
  <si>
    <t>yangfa-wu-6-8-2#@yangfa.wu</t>
  </si>
  <si>
    <t>yangfa-wu-6-8-1#@yangfa.wu</t>
  </si>
  <si>
    <t xml:space="preserve">Coming to May 2025 Meet and Greet </t>
  </si>
  <si>
    <t>Contact Name (Autofills)</t>
  </si>
  <si>
    <t>Screening and Onboarding (For Staff)</t>
  </si>
  <si>
    <t>Onboarding and Training</t>
  </si>
  <si>
    <t>NOTES</t>
  </si>
  <si>
    <t xml:space="preserve"> Not available but interested in next event</t>
  </si>
  <si>
    <t>Got a N/A message</t>
  </si>
  <si>
    <r>
      <rPr>
        <rFont val="sans-serif"/>
        <color rgb="FF1155CC"/>
        <sz val="11.0"/>
        <u/>
      </rPr>
      <t>nainamehta243@gmail.com</t>
    </r>
  </si>
  <si>
    <t>Screening Call Passed
References checked</t>
  </si>
  <si>
    <t>7/17/23 SB emailed for IRS 12/30/21 CT called, no answer &amp; not able to leave voicemail12/30/21 SB sent IR2 FY21-22 schedule list for matching 12/28/21 SB sent a text about match for IR1 FY21-22Double checked on 1/28 KW</t>
  </si>
  <si>
    <t>Left Message</t>
  </si>
  <si>
    <r>
      <rPr>
        <rFont val="sans-serif"/>
        <color rgb="FF1155CC"/>
        <sz val="11.0"/>
        <u/>
      </rPr>
      <t>johnlmix@gmail.com</t>
    </r>
  </si>
  <si>
    <t>Screening Call Passed</t>
  </si>
  <si>
    <t>Orientation and Onboarding</t>
  </si>
  <si>
    <t>4/10/23 CT not available for the Seminar and much availability for the next 6-7 months.4/3/23 CT asked about being an in-person Speaker for BCHS Seminar2/22/22 Completed CPC Training CTDid not attend scheduled training on 2/11/22, have yet to respond to outreach about training, SB emailing to reschedule 2/1/22 SB called and talked, resending congrats email12/29/21 congrats email sent with trainings and full IR2 schedule12/28/21 passed screening SB12/27/21 SB sent screening scheduling email</t>
  </si>
  <si>
    <r>
      <rPr>
        <rFont val="sans-serif"/>
        <color rgb="FF1155CC"/>
        <sz val="11.0"/>
        <u/>
      </rPr>
      <t>ERYCKA.MONTOYA@GMAIL.COM</t>
    </r>
  </si>
  <si>
    <t>4/25/23 SB emailed for IR33/2/23 CT sent email asking to be Speaker for BUSHWICKCHS Seminar 12/22/21 SB sent IR2 FY21-22 schedule list for matching Completed onboarding and orientation webinar on 11/5/21 SBPassed screening 10/29/21 with SB, sent congrats emailScreening scheduling email sent 10/21/21 SB</t>
  </si>
  <si>
    <r>
      <rPr>
        <rFont val="sans-serif"/>
        <color rgb="FF1155CC"/>
        <sz val="11.0"/>
        <u/>
      </rPr>
      <t>jrpatel130@gmail.com</t>
    </r>
  </si>
  <si>
    <t>7/17/23 - SB sent email for IRS, BC called &amp; left VM, and SB sent follow up text4/25/23 SB messaged for IR3 4/18/23 SB emailed for IR37/13/22 SB contacted for IRS match3/21/22 Not available for IR3 CTTraining completed 10/28/21 SBSB Screening passed 10/27/21Sent screening scheduling email on 10/20/21 SB</t>
  </si>
  <si>
    <t>Can't make it - mentioned to him about the Soiree on the 26</t>
  </si>
  <si>
    <r>
      <rPr>
        <rFont val="sans-serif"/>
        <color rgb="FF1155CC"/>
        <sz val="11.0"/>
        <u/>
      </rPr>
      <t>y.rousseau@barnes-international.com</t>
    </r>
  </si>
  <si>
    <t>3/1/24 WW emailed for IR34/24/23 SB emailed for GCHS Seminar3/16/23 LLT asked to be Seminar Speaker for Crotona IHS12/16/22 completed training with SB 11/30/22 CT sent follow up email regarding trainingSent Congrats email 6/16/22 CTScreening Call passed on 6/15/22 with CT. I left important notes about Seminars and FY in Screening Notes. He's only available for Seminars at this point and will let us know if he's available for FY. CTLG sent screening call scheduling email 6/14/22</t>
  </si>
  <si>
    <t>Left message -she called back, can't make it becuase of work, open to attending Soiree -send her invite flyer</t>
  </si>
  <si>
    <r>
      <rPr>
        <rFont val="sans-serif"/>
        <color rgb="FF1155CC"/>
        <sz val="11.0"/>
        <u/>
      </rPr>
      <t>Jrosen13@northwell.edu</t>
    </r>
  </si>
  <si>
    <t>3/5/24 WW emailed for sponsor session12/19/22 Jennifer is not available for IR2 but maybe for summer/fall round. CT12/08/22 CT asked about Wheels schedule for IR2Reached out about her references. Not available for IR1. CT 8/1/22 8/1/22 Not available for IR1. CTNeeds a strong group 7/5/22 SB contacted for IRS match 5/16/22 CT Attended CPC Orientation &amp; Onboarding Training</t>
  </si>
  <si>
    <t>Voice Mail Not Set Up</t>
  </si>
  <si>
    <r>
      <rPr>
        <rFont val="sans-serif"/>
        <color rgb="FF1155CC"/>
        <sz val="11.0"/>
        <u/>
      </rPr>
      <t>davisl13@mail.wlu.edu</t>
    </r>
  </si>
  <si>
    <t>Other email: davisl13@alumni.wlu.edu2/1/24 SB sent initial outreach for sponsor session -&gt; follow up 2/7 -&gt; tried other email 2/8 11/27/23 not able to be a STAR training speaker - "I communicated awhile back I won't be able to continue with Speakhire for the following year and so won't be able to attend the training"3/30/23 SB sent texted about IR33/1/23 SB sent follow up email2/24/23 SB emailed Wheels availability request and about Interns1/12/23 emailed SB, "I don't think I'll be able to serve this semester." - SB responded asking about IR31/10/23 SB emailed to follow up for IR21/6/23 SB emailed for IR2 match - crotona8/15/22 Not available for IR1 SBNeeds a strong group 4/29/22 passed training SB4/18/22 passed screening call - SB4/14/22 SB sent screening email and times for possible matches</t>
  </si>
  <si>
    <t>Is in Costa Rica -Should be back next week-mentioned Soiree</t>
  </si>
  <si>
    <r>
      <rPr>
        <rFont val="sans-serif"/>
        <color rgb="FF1155CC"/>
        <sz val="11.0"/>
        <u/>
      </rPr>
      <t>Kristen.farver@skiphop.com</t>
    </r>
  </si>
  <si>
    <t>2/7/23 CT not available for Wheels schedule. Afternoons are better. Reach out for IR32/6/23 CT sent email regarding IR2 for Wheels scheduleUse this email as backup: keschopp@aol.com 12/21/22 confirmed Mondays at 3 pm est with SB 12/20/22 SB followed up for IR2 availability via email - Kristen responded saying, "I have to be in NYC on Tuesdays so won’t have any place to have these calls. If you have 4-4:45 on other days I could possibly make it work." SB sent other schedules12/16/22 SB emailed for Ellis match11/16/22 Unavailable for IR1, asked to be reach out to in the spring. SB11/15/22 SB emailed for Wheels group12/14/21 SB sent Kristen text for match for IR1 FY21-22Kristen attended a training on 3/8/21 with JPSWants to use work AND personal email addressed in communication (work email: Kristen@skiphop.com)JPS sent congratulations email + email to schedule a trainingScreening email already sent. 2/12/21 SU.</t>
  </si>
  <si>
    <t xml:space="preserve">(516) 972-2838
</t>
  </si>
  <si>
    <r>
      <rPr>
        <rFont val="sans-serif"/>
        <color rgb="FF1155CC"/>
        <sz val="11.0"/>
        <u/>
      </rPr>
      <t>DrJMCadenhead@gmail.com</t>
    </r>
  </si>
  <si>
    <t>3/8/24 text communication - "I have taken some time off. My Dad passed away recently, and Mom and family are going through the process."7/17/23 - SB sent email for IRS, BC called &amp; left VM, and SB sent follow up text2/22/23 Joan agreed to Wheels match for IR3 2/21 Sb emailed for IR32/15/23 CT phone call with Joan. Wants to participate in virtual Seminars and FY, available for IR3 but 3 Interns only. Sent refresher info material. Updated email from jcaden81d@aol.com to DrJMCadenhead@gmail.com2/15/23 CT scheduled info phone call for 2/15/232/13/23 CT Joan had a busy year 22 but 23 should be less busy and she wants to participate in programs again.2/9/23 CT sent check in email7/11/22 Joan emailed SB and mentioned new job, SB responded asking for information -Updated to - Company: ABS/Ascension &amp; Job Title: Chief of Staff. From - company: The TriZetto Corporation &amp; Job title: QE&amp;A Project Lead. Joan also expressed interest in becoming a board member, SB sent info for that Confirmed match for IR1 FY21-2212/14/21 SB sent text for match for IR1 FY21-22Joan attended a training on 3/8/21 with JPSJoan said to send her a text message (516-972-2838, mobile) if there are any emergencies or urgent requests that need her attention.Joan Marie had her screening call with Soneya Uddin on 2/25/21 and passedJPS left a voicemail on 2/18/21Screening email already sent. 2/12/21 SU.</t>
  </si>
  <si>
    <r>
      <rPr>
        <rFont val="sans-serif"/>
        <color rgb="FF1155CC"/>
        <sz val="11.0"/>
        <u/>
      </rPr>
      <t>adelacimic@gmail.com</t>
    </r>
  </si>
  <si>
    <t>Not available for IR1 &amp; probably not much time in the future due to personal reasons. CT 9/7/227/5/22 LG reached out for IRS availability3/24/22 Not available for Seminars in May &amp; June due to visiting family overseas. CT3/21/22 Not available for IR3 CT12/22/21 SB sent IR2 FY21-22 schedule list for matching Adela attended a training webinar on 3/8/21 with JPSHJ marked Adela as Active Green based off of Malak's notes from screening (2/26/2021)Adela had a screening call with Malak Baker on 2/15/21JPS emailed on 2/7/2021 to schedule a Screening CallDouble checked 1/26 (KW)</t>
  </si>
  <si>
    <t xml:space="preserve">908-418-7106
</t>
  </si>
  <si>
    <r>
      <rPr>
        <rFont val="sans-serif"/>
        <color rgb="FF1155CC"/>
        <sz val="11.0"/>
        <u/>
      </rPr>
      <t>laurenvarg@gmail.com</t>
    </r>
  </si>
  <si>
    <t>Screening Call Passed
References checked
Group Training Call</t>
  </si>
  <si>
    <t>3/7/23 SB sent text about IR33/1/23 SB sent follow up email 2/24/23 SB emailed to see if available for IR3 wheels and sent About Interns01/03/23 CT called. Not available for IR2 but check in for IR312/08/22 CT asked about Wheels schedule for IR27/9/22 SB contacted for IRS4/5/22 Not available for IR3. CT12/28/21 SB sent follow up12/21/21 SB sent IR2 FY21-22 schedule list for matching Double checked on 1/26 (KW)Hetal had a conversation on 4/8/2020 after she had one session with Tasnim and Saima (ELLIS) [pair will be handed off to Kiran Gill who got approval from DOE to mentor and Lauren stepped in for first session] (she is social services law , but Journalism/media as a field she can talk about as a backup but not as strong)</t>
  </si>
  <si>
    <t>Estrella Mestres (D)</t>
  </si>
  <si>
    <r>
      <rPr>
        <rFont val="sans-serif"/>
        <color rgb="FF1155CC"/>
        <sz val="11.0"/>
        <u/>
      </rPr>
      <t>estrellamb@gmail.com</t>
    </r>
  </si>
  <si>
    <t>Completed training on 12/1/21 with SB11/24/21 congrats/training/match info email sent SBPassed screening 11/23/21 SB</t>
  </si>
  <si>
    <r>
      <rPr>
        <rFont val="sans-serif"/>
        <color rgb="FF1155CC"/>
        <sz val="11.0"/>
        <u/>
      </rPr>
      <t>ryane.montanez@gmail.com</t>
    </r>
  </si>
  <si>
    <t>References checked</t>
  </si>
  <si>
    <t>3/4/24 WW emailed for IR33/3/23 agreed to IR3 match SB3/1/23 SB sent follow up email2/24/23 SB emailed Ryane about IR3 Wheels availability and about Interns 11/1/22 SB emailed for Wheels match7/14/22 SB contacted for IRScompleted training with SB on 4/8/22 3/14/22 passed screening with SB, sending congrats/training email3/7/22 Screening scheduling email sent SB</t>
  </si>
  <si>
    <r>
      <rPr>
        <rFont val="sans-serif"/>
        <color rgb="FF1155CC"/>
        <sz val="11.0"/>
        <u/>
      </rPr>
      <t>ankurjaluria@gmail.com</t>
    </r>
  </si>
  <si>
    <t>Orientation and Onboarding
Onboarding Form</t>
  </si>
  <si>
    <t>1/17/24 WW emailed for sponsor session7/17/23 - SB sent email for IRS, BC called &amp; left VM, and SB sent follow up text - Not available for IRS, asked for IR13/27/23 CT called. She's not available for the rest of the school year for FY or Seminars due to teaching. We can reach out next academic year and check in again. 3/2/23 CT sent email asking to be Speaker for BUSHWICKCHS Seminar 10/03/22 Not available for IR1 because of teaching 2 classes. Reach out for IR2. CT4/16/22 Not available for Seminars during summer. CTAnkur informed us via email that her last name is only Jaluria now. CT 2/28/22Ankur emailed Jennifer Peterson-Sharma on 1/7/2021 stating she will not be able to participate in the program for a month of two, but would like to continue with the program after a few months break. Should be okay to consider for round three 2020-2021, not round two.Ankur accepted match for Round One 2020, but emailed last minute with family emergency and said she could not longer accommodate the match.Ankur was trained on 9/28/2020 at 7:30 pm EST with Jennifer Peterson-Sharma and Kiesha Charles.Emailed her for a training call on for september 17th at 7pmAnkur was screened on 9/15/2020 by Kiesha CharlesThe Screening Call was scheduled for 9/12/2020 but Ankur emailed on 9/10/2020 to say that a family emergency has occurred and she will be unable to conduct the Screening Call on the 12th. She will be in contact with Kiesha Charles to reschedule.Emailed on 8/31/2020 about setting up screening call</t>
  </si>
  <si>
    <t>Can't make it -but open to Soiree in June- Haven't been with Speakhire -last time 5 years agi</t>
  </si>
  <si>
    <r>
      <rPr>
        <rFont val="sans-serif"/>
        <color rgb="FF1155CC"/>
        <sz val="11.0"/>
        <u/>
      </rPr>
      <t>amy_sit@alumni.brown.edu</t>
    </r>
  </si>
  <si>
    <t>Amy made the #ChampionItForward video7/18/23 WW emailed for IRS, PQ followed up with text and call - not available for IRS, asked for IR13/29/23 SB sent text for IR311/28/22 Unavailable for IR2 - traveling in Feb. SB10/31/22 Amy emailed SB saying, "I just received word about a new workshop schedule for the next 8 weeks, and I won't be available on Thursdays after all."10/14/22 SB emailed for Wheels availability - Amy confirmed availability1/10/22 SB sent follow up email 1/5/22 SB sent IR2 FY21-22 schedule list for matching JPS emailed on 1/5/2021 to check her engagement status. Amy responded on 1/13/2021 saying: "Happy New Year! Apologies for the delay in response. In response to your questions, 1) I am still interested in being a Champion for the upcoming round, and 2) I don't have a need for a refresh training at this time." Amy called Hetal back on March 24th saying she'd love to mentor during this time of COVID-19 and would love to share within her company -- knows women who would be interested Hetal called on March 19, 2020 and left a voice message to reengage.</t>
  </si>
  <si>
    <t>Can't make it tomorrow or the Soiree</t>
  </si>
  <si>
    <t xml:space="preserve">862-250-3223
</t>
  </si>
  <si>
    <r>
      <rPr>
        <rFont val="sans-serif"/>
        <color rgb="FF1155CC"/>
        <sz val="11.0"/>
        <u/>
      </rPr>
      <t>tadesokan@gmail.com</t>
    </r>
  </si>
  <si>
    <t>3/4/24 WW emailed for IR32/7/23 CT called, Tomi is not available until September 231/5/23 SB called Tomi - answered but she was in a meeting and said she would call back, SB followed up with text1/3/23 SB sent another follow up12/20/22 SB followed up for IR2 matching12/16/22 SB emailed for match4/20/22 Not available for IR3. CT1/10/22 SB sent follow up email 1/5/22 SB sent IR2 FY21-22 schedule list for matching</t>
  </si>
  <si>
    <t>Can't make tomorrow - but look forward to invite for Soiree</t>
  </si>
  <si>
    <t xml:space="preserve">857-389-9018
</t>
  </si>
  <si>
    <r>
      <rPr>
        <rFont val="sans-serif"/>
        <color rgb="FF1155CC"/>
        <sz val="11.0"/>
        <u/>
      </rPr>
      <t>akanksharaina@gmail.com</t>
    </r>
  </si>
  <si>
    <t>2/28/23 CT left voicemail &amp; sent text to about taking over Wheels group for IR22/27/23 CT sent email asking to take over Wheels group for IR212/14/21 SB called and she is unable due to traveling these months, asked to be reached out to for IR2 FY21-2212/13/21 SB and CT reached out for IR1 FY21-22 matchAkanksha atteneded a CPC Training on 4/10/21 with JPSDoubled Checked 1/19 (KW)</t>
  </si>
  <si>
    <t>Can't make it because if child care -open to attending Soiree</t>
  </si>
  <si>
    <t xml:space="preserve">516-324-9554
</t>
  </si>
  <si>
    <r>
      <rPr>
        <rFont val="sans-serif"/>
        <color rgb="FF1155CC"/>
        <sz val="11.0"/>
        <u/>
      </rPr>
      <t>kiranjotgill1@gmail.com</t>
    </r>
  </si>
  <si>
    <t>Screening Call Passed
Group Training Call</t>
  </si>
  <si>
    <t>Not available for IR1, fulltime mom and very busy at the moment. CT 8/17/227/11/22 SB messaged for IRS match3/22/22 Expecting a baby soon1/10/22 SB sent follow up email 1/5/22 SB sent IR2 FY21-22 schedule list for matching JPS emailed on 1/5/2021 to check her engagement status, no response as of 1/14/2021. Followed up on 1/14/2021 Took a while when we contacted her in March 2020 about mentoring during COVID-19 but after getting clearance from DOE she can Said she is only available in evenings - Feb 2019</t>
  </si>
  <si>
    <t xml:space="preserve">347-528-1314
</t>
  </si>
  <si>
    <r>
      <rPr>
        <rFont val="sans-serif"/>
        <color rgb="FF1155CC"/>
        <sz val="11.0"/>
        <u/>
      </rPr>
      <t>agwtam@gmail.com</t>
    </r>
  </si>
  <si>
    <t>3/17/23 Confirmed group for IR33/14/23 agreed to Wheels schedule, emailing About Interns3/8/23 SB emailed about IR32/8/23 unavailable for IR2 - starting new job. SB emailed asking for updated job information2/6/23 CT asked for IR2 with Wheels schedule10/14/22 Anne confirmed wheels availability10/13/22 SB sent match request for Wheels7/11/22 Anne unavailable for IRS SB7/7/22 LG called, emailed for IRS availability3/21/22 Not available for IR3 CT1/7/22 Update job info and added new resume SB01/05/22 CT sent follow up email for matching12/30/21 SB sent IR2 FY21-22 schedule list for matching JPS sent re-engagement email to Anne on 1/6/2021</t>
  </si>
  <si>
    <t xml:space="preserve"> 516-776-1701</t>
  </si>
  <si>
    <r>
      <rPr>
        <rFont val="sans-serif"/>
        <color rgb="FF1155CC"/>
        <sz val="11.0"/>
        <u/>
      </rPr>
      <t>Jaskiran1@gmail.com</t>
    </r>
  </si>
  <si>
    <t>1/18/24 SB emailed for National Women Physician Day and to try and re-engage 3/8/23 SB texted for IR3 - not available for IR33/1/23 SB emailed for IR3 availability and sent About Interns 1/18/23 CT not available for IR2 due to work schedule1/17/23 CT sent follow up email1/10/23 CT sent check in emailJas is not available unless it's the weekends but might change by FY 21 - 22; going into a new job where schedule might change. Can do SPEAKHIRE Seminars -- Hetal to follow up (HJ, 2/21/21)Doubled Checked 1/19 (KW)Jaskiran said on 1/14/2021 that she is not available during the week for internship sessions because she is currently completing a fellowship training.JPS emailed on 1/5/2021 to check her engagement status, no response as of 1/14/2021. Followed up on 1/14/2021.Jaskiran called back and said that her schedule is not as flexible as it used to be. She said that if there is a mentoring opportunity for after 5 or on weekends, then she could do it. Otherwise, she is unavailable. Jennifer Peterson-Sharma called and left a vm on 10/6/2020 to check with Jaskiran's availability for the 2020-2021 mentoring rounds.</t>
  </si>
  <si>
    <t>Spoke to her-  she seem to say this is not her name - she can't make it tomorrow noght</t>
  </si>
  <si>
    <t xml:space="preserve">Ibtesam Khan
</t>
  </si>
  <si>
    <t xml:space="preserve"> 516-776-1701
</t>
  </si>
  <si>
    <t xml:space="preserve">Active CPC
</t>
  </si>
  <si>
    <t>Lena Dandy</t>
  </si>
  <si>
    <t xml:space="preserve">856-900-2505
</t>
  </si>
  <si>
    <t xml:space="preserve">dandylena97@gmail.com
</t>
  </si>
  <si>
    <r>
      <rPr>
        <rFont val="sans-serif"/>
        <color rgb="FF1155CC"/>
        <sz val="11.0"/>
        <u/>
      </rPr>
      <t>Lindsay.lobello@icloud.com</t>
    </r>
  </si>
  <si>
    <t>10/18/23 SB called Lindsay, she is not available because does not want to overextend herself with working multiple jobs - SB checked her linkedin, no longer at Loreal10/16/23 SB sent text to Lindsay about IR110/13/23 SB sent email to loreal email about IR1 (previous ones were to icloud email)10/5/23 SB sent follow up email about IR19/29/23 SB sent email about IR1 Ellis group (did not include info about in person 11th session yet)7/18/23 WW emailed for IRS, PQ followed up with phone and text, not available for IRS but interested in IR112/15/22 SB followed up on matching availability. Lindsay responded that she is not available for this round - unsure about IR3 &amp; to follow up as it gets closer12/13/22 SB emailed for IR2 - Monday availability10/11/22 Not available for IR1. In Spain until mid November. CT6/7/22 Sent email to Lindsay about potential Champions in her network. CT4/20/22 Not available for IR3. Working on project overseas for next 2 months. CTEmail updated to Lindsay.lobello@icloud.com from lindsay.lobello@loreal.com1/10/22 SB sent schedules for FY21-22 IR2 Doubled Checked 1/19 (KW)JPS emailed on 1/5/2021 to check her engagement status, no response as of 1/14/2021. Followed up on 1/14/2021 contacted for screening call 1/7</t>
  </si>
  <si>
    <r>
      <rPr>
        <rFont val="sans-serif"/>
        <color rgb="FF1155CC"/>
        <sz val="11.0"/>
        <u/>
      </rPr>
      <t>jenn.nguyen213@gmail.com</t>
    </r>
  </si>
  <si>
    <t>1/17/24 WW emailed for sponsor session7/17/23 - SB sent email for IRS, BC called &amp; left VM, and SB sent follow up text 7/13/23 SB sent email for IRS3/21/23 SB sent follow up email about IR33/16/23 SB emailed application link for network and IR3 request3/16/23 SB sent training video - unable to make live training3/6/23 Signed up for 3/16/23 training SB3/3/23 SB sent follow up email for training3/2/23 CT sent email asking to be Speaker for BUSHWICKCHS Seminar2/15/23 passed screening with SB2/14/23 SB emailed screening email</t>
  </si>
  <si>
    <r>
      <rPr>
        <rFont val="sans-serif"/>
        <color rgb="FF1155CC"/>
        <sz val="11.0"/>
        <u/>
      </rPr>
      <t>sa462@cornell.edu</t>
    </r>
  </si>
  <si>
    <t>1/18/24 - from linkedin: Samar got new position as Adjunct Professor at Yeshiva University - check with her when next in contact and update profile once confirmed7/17/23 BC called; her VM box is full &amp; cannot accept messages at this time. Sent text msg. - replied teaching summer course and not available7/14/23 SB texted Samar for IRS7/13/23 SB emailed for IRS3/29/23 SB sent text about IR33/2/23 CT sent email asking to be Speaker for BUSHWICKCHS Seminar9/16/22 Samar confirmed that she could do the Wheels schedule for IR1 - Thur mornings9/15/22 SB texted Samar about match - not available Tuesdays 4-4:45. Asking for Wheels instead9/13/22 SB sent match request for IR1 CT asked in reference email 8/9/22 interested in IR1 8/12/22 Updated email from samar.deen@ibm.com to sa462@cornell.edu8/11/22 SB messaged because her email is bouncing back, asked for updated one.6/13/22 Left position as a Data Scientist at IBM LG3/21/22 Not available for IR3 CTSAMAR PREFERS BOTH EMAILS TO BE ADDED TO MATCH ANNOUNCEMENTS: sa462@cornell.eduCompleted training 11/12/21 SBScreening call completed 11/11/21 by Hetal Hetal called Samar directly on 11/8/21 -- she didn't get the emails. Scheduled screening with her on the phone. 11/2/21 SB sent screening scheduling link via textSent follow up 10/12/21Sent screening scheduling email 10/6/21 SB</t>
  </si>
  <si>
    <t>Vicki Teman (D)</t>
  </si>
  <si>
    <r>
      <rPr>
        <rFont val="sans-serif"/>
        <color rgb="FF1155CC"/>
        <sz val="11.0"/>
        <u/>
      </rPr>
      <t>vickiteman2@gmail.com</t>
    </r>
  </si>
  <si>
    <t>5/10/24 - AT emailed regarding social media content for mothers day12/15/22 confirmed Ellis schedule for IR212/9/22 SB emailed for ellis match11/21/22 Interested in IR2, prefers females because she thinks they show more engagement. CT11/7/22 Unavailable for wheels10/28/22 SB emailed for wheels8/12/22 Interested in IR1 SB Needs STAR training - did not show up to last few sessions, communicated with Interns via text to reschedule and did not tell SPEAKHIRE7/13/22 SB messaged for IRS match - unavailable but interested for IR13/21/22 Not available for IR3 CT1/5/22 SB sent IR2 FY21-22 schedule list for matching She is dealing with some personal issues and can't be available until IR2 9/27/21 SB Doubled Checked 1/19 (KW)</t>
  </si>
  <si>
    <t>Maybe</t>
  </si>
  <si>
    <r>
      <rPr>
        <rFont val="sans-serif"/>
        <color rgb="FF1155CC"/>
        <sz val="11.0"/>
        <u/>
      </rPr>
      <t>skpark1@gmail.com</t>
    </r>
  </si>
  <si>
    <r>
      <t>confirmed Seminar Speaker for PS 130, March 26th in person1/11/24 not available at Crotona schedule, SB sent Ellis 1/10/24 SB emailed for IR2 Crotona10/31/23 SB emailed to see if she may have anyone in her network that could be a Champion for Ellis groupQuote about Soiree: "I thought the soirée was wonderful, I shared my thoughts and appreciation with Hetal 😊 I enjoyed every single speech and it was so touching to see Mouhamed’s video message! I feel so inspired by the work that goes into Speakhire and the interns’ (both past and present) stories of perseverance, determination, and leadership. I left the evening feeling energized and motivated and look forward to many future internship rounds. I was completely surprised and taken aback by the President’s Volunteer Service Award andI thought the soirée was wonderful, I shared my thoughts and appreciation with Hetal 😊 I enjoyed every single speech and it was so touching to see Mouhamed’s video message! I feel so inspired by the work that goes into Speakhire and the interns’ (both past and present) stories of perseverance, determination, and leadership. I left the evening feeling energized and motivated and look forward to many future internship rounds. I was completely surprised and taken aback by the President’s Volunteer Service Award and medal, so grateful and appreciative of the honor! medal, so grateful and appreciative of the honor!"Hero Quotes: "I remember being an immigrant student and wanted to be a source of inspiration, guidance, and support to immigrant high schoolers." / "I really enjoyed meeting each week with Mouhamed and Zakaria. At first I wasn't sure if I could be the mentor they needed to pursue their interests in health sciences, but quickly found ways to connect and develop their goals further. They held each other accountable and brought a positive and supportive energy to each session, and I am so grateful!" / "I really enjoyed meeting both Nazim and Sanat. I had sessions where I was 1:1 with both of them and that gave them both a bit more time to open up, which was nice! I feel that after the 1:1 they were able to speak more freely and I was able to get to know them - sometimes when we were all together on the call they would be a little shy and not as willing to share." / "I really enjoyed the experience - the 9 sessions went by really quickly!" 7/31/23 - 108 hours of service (6 IR*18 hours) + (2 Seminars * 4 hours) - Bronze award received on August 16th, 2023 7/17/23 - SB sent email for IRS, BC called &amp; left VM, and SB sent follow up text - Not available for IRS but interested in IR17/14/23 SB sent text for IRS7/13/23 SB sent email for IRS4/25/23 not available for IR32/10/23 CT left voicemail &amp; text asking for IR2 Wheels schedule12/27/22 SB reached out for updated reference info10/3/22 Confirmed wheel availability SB9/29/22 SB emailed for IR1 wheels matchInterested in IR1 9/12/22 SB4/7/2022 Hetal updated her company to The Floral Society from MOSCOT (</t>
    </r>
    <r>
      <rPr>
        <rFont val="sans-serif"/>
        <color rgb="FF1155CC"/>
        <sz val="11.0"/>
        <u/>
      </rPr>
      <t>http://ww.moscot.com)</t>
    </r>
    <r>
      <rPr>
        <rFont val="sans-serif"/>
        <sz val="11.0"/>
      </rPr>
      <t>01/05/22 CT sent follow up email for matching12/22/21 SB sent IR2 FY21-22 schedule list for matching Sunkyung attended a CPC Training Webinar on 1/16/2021 with JPS at 11 am estHetal Jani conducted screening call on NOvember 6, 2020 -- passed with flying colorsJennifer Peterson-Sharma emailed Sunkyung on 10/27/2020 to schedule a Mentor Screening Call.</t>
    </r>
  </si>
  <si>
    <t>maybe</t>
  </si>
  <si>
    <t>Joanne Hsu (D)</t>
  </si>
  <si>
    <r>
      <rPr>
        <rFont val="sans-serif"/>
        <color rgb="FF1155CC"/>
        <sz val="11.0"/>
        <u/>
      </rPr>
      <t>chemang@gmail.com</t>
    </r>
  </si>
  <si>
    <t>Completed onboarding and orientation webinar on 11/5/21 SB10/27/21 SB sent congrats and training scheduling email10/26/21 SB screening passed - Prefers to be matched with someone with a similar background.10/25/21 SB sent screening scheduling email</t>
  </si>
  <si>
    <t xml:space="preserve">Susan Philipose
</t>
  </si>
  <si>
    <t xml:space="preserve">susanvp@gmail.com
</t>
  </si>
  <si>
    <r>
      <rPr>
        <rFont val="sans-serif"/>
        <color rgb="FF1155CC"/>
        <sz val="11.0"/>
        <u/>
      </rPr>
      <t>reinateeger@gmail.com</t>
    </r>
  </si>
  <si>
    <t>Not Attending</t>
  </si>
  <si>
    <t>Prospect</t>
  </si>
  <si>
    <r>
      <rPr>
        <rFont val="sans-serif"/>
        <color rgb="FF1155CC"/>
        <sz val="11.0"/>
        <u/>
      </rPr>
      <t>msilva@flushingbank.com</t>
    </r>
  </si>
  <si>
    <t>can't make it</t>
  </si>
  <si>
    <r>
      <rPr>
        <rFont val="sans-serif"/>
        <color rgb="FF1155CC"/>
        <sz val="11.0"/>
        <u/>
      </rPr>
      <t>carmelo.DeLeon2021@gmail.com</t>
    </r>
  </si>
  <si>
    <t>2/13/24 SB emailed for IR31/16/24 emailed SB not available - asked about IR31/11/24 SB called - Carmelo said he is looking at schedule and will let us know as soon as he can1/10/24 SB sent text for IR21/9/24 SB emailed for IR2 Crotona9/25/23 WW texted for IR1 and he is not available9/21/23 WW emailed for IR15/4/23 SB texted for GCHS seminar5/3/23 SB emailed for seminar11/22/22 SB asked for Wheels. Carmelo said he would check his schedule and asked for info about Interns. SB sent email with info - Carmelo confirmed groupSB reached out via email on 7/5 and was not available IRS. BWM sent text on 8/4. BMW responded on 8/5 and he said to reach out in Septemeber to ask because he will be starting school. Only had one round (FY21-22 IR3) with good interns. Open to working with any group 7/5/22 SB emailed Carmelo for match, work is busy in the summer - unavailable for IRS 6/22/22 SB emailed Carmelo for IRS match4/21/22 Completed Orientation &amp; Onboarding Training. CT3/14/22 Passed screening with SB - agreed to do Pathways Day as well. Sending training email with Seminar info3/9/22 SB sent screening scheduling email</t>
  </si>
  <si>
    <t>not free shared details for soiree</t>
  </si>
  <si>
    <t xml:space="preserve">973-557-5204
</t>
  </si>
  <si>
    <r>
      <rPr>
        <rFont val="sans-serif"/>
        <color rgb="FF1155CC"/>
        <sz val="11.0"/>
        <u/>
      </rPr>
      <t>jenniferjkachler@gmail.com</t>
    </r>
  </si>
  <si>
    <t>7/18/23 WW emailed for IRS, PQ called, VM full, sent text3/7/23 SB sent Jennifer a text 3/1/23 SB emailed Jennifer for IR3 match and sent About Interns1/25/23 CT not available for IR2 anymore due to busy work schedule/travel until April. Reach out for IR31/9/23 CT available for Wheels IR21/3/23 CT followed up for IR2 12/27/22 CT asked for IR2 Wheels schedule4/22/22 Not available for IR3 due to busy work schedule and travelling globally. CT12/29/21 SB sent IR2 FY21-22 schedule list for matching</t>
  </si>
  <si>
    <t xml:space="preserve">Can't make it </t>
  </si>
  <si>
    <r>
      <rPr>
        <rFont val="sans-serif"/>
        <color rgb="FF1155CC"/>
        <sz val="11.0"/>
        <u/>
      </rPr>
      <t>divpad92@gmail.com</t>
    </r>
  </si>
  <si>
    <t>Onboarding Form</t>
  </si>
  <si>
    <t>Instagram: @divpads7/18/23 WW emailed for IRS and followed up with text and call, not available for IRS but interested in IR1 1/5/23 confirmed for IR2 Mondays at 3pm est (Crotona/Bronx/Queens schedule) SB1/4/23 not available for wheels schedule, provided other session times for IR2. CT1/4/23 CT asked for IR2 availability and wheels scheduleNot available for IR1. Has a few urgent/time-intensive projects this quarter. CT 9/6/22Ends sessions before 45 mins 7/7/22 Divya conformed for IRS LGDivya did FY 21-22 IR 1 and IR 2; said April 13 she can't do IR 3 but reach out next round (HJ 4/13/22)Doubled Checked 1/19 (KW)</t>
  </si>
  <si>
    <t>Can't -- two kids -- will share about Soiree</t>
  </si>
  <si>
    <t xml:space="preserve">718-406-5262
</t>
  </si>
  <si>
    <r>
      <rPr>
        <rFont val="sans-serif"/>
        <color rgb="FF1155CC"/>
        <sz val="11.0"/>
        <u/>
      </rPr>
      <t>lauracejas83@gmail.com</t>
    </r>
  </si>
  <si>
    <r>
      <t>11/1/23 WW sent follow-up email and VM for IR1, sent LinkedIn message10/25/23 SB sent text for IR1 10/23/23 SB emailed for IR1 7/18/23 WW emailed for IRS, followed up with call and text1/11/23 SB emailed new schedule for IR21/6/23 SB emailed for IR27/5/22 SB emailed Laura for match - unable to do IRS, but asked to be reached out to in September for IR1 1/6/22 SB called Laura, she is sick and unable to Champion for a while check back in a few months, IR3 maybe12/28/21 SB sent follow up 12/21/21 SB sent IR2 FY21-22 schedule list for matching Hetal updated Laura's profile from a LinkedIn update to current company from Priceline Agoda (</t>
    </r>
    <r>
      <rPr>
        <rFont val="sans-serif"/>
        <color rgb="FF1155CC"/>
        <sz val="11.0"/>
        <u/>
      </rPr>
      <t>https://www.agoda.com</t>
    </r>
    <r>
      <rPr>
        <rFont val="sans-serif"/>
        <sz val="11.0"/>
      </rPr>
      <t xml:space="preserve"> 350 Fifth Avenue New York City, NY 10118) and current title from Partner Program ManagerAs per email from Dona on 3/4/2020, she is ready for training. She also need an updated resume.</t>
    </r>
  </si>
  <si>
    <t>Moved to Nairobi -- can;t make it</t>
  </si>
  <si>
    <r>
      <rPr>
        <rFont val="sans-serif"/>
        <color rgb="FF1155CC"/>
        <sz val="11.0"/>
        <u/>
      </rPr>
      <t>janpanchalingam@gmail.com</t>
    </r>
  </si>
  <si>
    <t>6/29/22 LG left voicemail and sent text for IRS12/21/21 SB sent IR2 FY21-22 schedule list for matching Completed training on 12/1/21 with SB11/30/21 SB sent congrats and training email11/29/21 Jan passed screening SB11/29/21 SB sent screening scheduling email</t>
  </si>
  <si>
    <t>Can't make it -- flying to asia and back May 26</t>
  </si>
  <si>
    <r>
      <rPr>
        <rFont val="sans-serif"/>
        <color rgb="FF1155CC"/>
        <sz val="11.0"/>
        <u/>
      </rPr>
      <t>nishamathew00@gmail.com</t>
    </r>
  </si>
  <si>
    <t>10/30/23 WW called - Nisha can't do this round due to busy schedule10/24/23 SB sent message about IR110/23/23 SB emailed for IR1Not available during working hours Mo-Fr, only after 5pm. 4/18/22 CT12/22/21 SB sent IR2 FY21-22 schedule list for matching 12/14/21 SB called Nisha, she is unable for FY21-22 IR1, asked to reach back out in January for IR212/13/21 SB sent text for match for IR1 FY21-22Double checked 1/26 (KW)Hetal Texted on March 19th, 2020 during COVID-19Support SPEAK by being in the L'Oreal Paris WOW video in June 2019</t>
  </si>
  <si>
    <t>Attending</t>
  </si>
  <si>
    <t>Confirmed</t>
  </si>
  <si>
    <r>
      <rPr>
        <rFont val="sans-serif"/>
        <color rgb="FF1155CC"/>
        <sz val="11.0"/>
        <u/>
      </rPr>
      <t>kerryannhenry3@gmail.com</t>
    </r>
  </si>
  <si>
    <t>12/15/22 SB followed up for match12/13/22 SB emailed to re-engage and ask for Queens matchCompleted training 11/12/21 SB11/11/21 SB, Kerry-Ann passed screeningScreening scheduled for 11/11/21 at 9:00 am est SB11/8/21 Kerry-Ann emailed back saying she could not access appointment slots. SB responded asking her for her availability in the coming days11/8/21 SB sent screening scheduling email</t>
  </si>
  <si>
    <t xml:space="preserve">212-384-8322
</t>
  </si>
  <si>
    <r>
      <rPr>
        <rFont val="sans-serif"/>
        <color rgb="FF1155CC"/>
        <sz val="11.0"/>
        <u/>
      </rPr>
      <t>Mfdougherty@fbi.gov</t>
    </r>
  </si>
  <si>
    <t>3/2/23 CT sent email asking to be Speaker for BUSHWICKCHS Seminar Second email address Mdougherty7647@gmail.com9/20/22 Keep in mind: Michael is not allowed to use Zoom while at work which makes it harder for him to participate in Seminars and FY. CT</t>
  </si>
  <si>
    <r>
      <rPr>
        <rFont val="sans-serif"/>
        <color rgb="FF1155CC"/>
        <sz val="11.0"/>
        <u/>
      </rPr>
      <t>paola.lopez.zelaya@gmail.com</t>
    </r>
  </si>
  <si>
    <t>3/14/24 WW emailed for IR31/12/24 with Paola's masters school schedule she cannot make IR2 (and likely IR3 work) - she is very interested in FY 24-25 possibly for IRS or IR1 SB1/9/24 SB called Paola, she said she really loves the program and wants to participate. She is working part time and starting her masters, so things are busy. But she will look at the schedule and see if she can make it work - will let us know by EOD1/8/24 SB emailed for IR2 Crotona schedule 3/1/23 SB sent Paola follow up2/24/23 SB emailed Paola IR3 Wheels availability request and about Interns 1/12/23 SB emailed back - none of the times worked for her and we are unable to shift the times. Perhaps for IR31/5/23 in office Tues and Wed now - unable to do those schedules so SB sent other schedules 1/4/23 SB followed up via email for IR212/15/22 SB emailed for Union Square match4/27/22 Not available for Seminars until fall due to travelling abroad. CT02/03/22 Completed CPC Orientation &amp; Onboarding Training CT01/24/22 Invited to CPC Training CT04/01/22 Sent follow up email CTSent Instructional Guide &amp; Handbook 12/21/2021 CTScreening passed on 12/21/2021 by CTScreening scheduled for 12/21 SB12/17 screening scheduling email sent SB</t>
  </si>
  <si>
    <r>
      <rPr>
        <rFont val="sans-serif"/>
        <color rgb="FF1155CC"/>
        <sz val="11.0"/>
        <u/>
      </rPr>
      <t>angelo@nycasagroup.com</t>
    </r>
  </si>
  <si>
    <t>2/13/24 SB emailed for IR311/16/24 SB sent follow up about availability - not available, asking for IR3 1/11/24 SB called, left vm, and sent text for IR2 - Angelo called back, he is traveling to visit family somewhere warm in feb. but will look at the schedule and let us know as soon as possible1/10/24 SB emailed for IR2 Crotona 3/23/23 Angelo agreed to group and time for IR3 SB3/22/23 Angelo emailed saying this round works but asked if there could be a time change - SB responded explaining schedules3/21/23 SB sent Angelo text about IR3 - texted back said he would let us know by end of day3/16/23 SB emailed for IR312/01/22 CT Completed Orientation &amp; Onboarding Webinar11/30/22 CT left voicemail &amp; sent text about training11/28/22 SB followed up and corrected training dates11/21/22 SB followed up for training9/27/22 passed screening with SB, sending training emailScheduled screening for 9/27/22. SB9/22/22 SB sent screening scheduling email</t>
  </si>
  <si>
    <r>
      <rPr>
        <rFont val="sans-serif"/>
        <color rgb="FF1155CC"/>
        <sz val="11.0"/>
        <u/>
      </rPr>
      <t>MalloryBogard@gmail.com</t>
    </r>
  </si>
  <si>
    <t>3/30/23 SB texted to see if she would be available 11/29/22 CT called Mallory to check in with her. She's super busy at the moment because her business is doing so great. She does not have capacity to participate as Champion but would like us to reach out in March 2023 again to check in with her. Use her Mallory's personal email (MalloryBogard@gmail.com) instead of work email (Mallory@serhant.com). CTMallory is very busy until end of September. Reach out to her after September for CPC Training &amp; IR1. CTPassed screening on 6/9/22 with SB and LGSB &amp; LG sent screening scheduling email 6/8/22</t>
  </si>
  <si>
    <r>
      <rPr>
        <rFont val="sans-serif"/>
        <color rgb="FF1155CC"/>
        <sz val="11.0"/>
        <u/>
      </rPr>
      <t>bryan.roberts14@gmail.com</t>
    </r>
  </si>
  <si>
    <t>4/4/22 Not available for IR3. Going back to school. CT &amp; PQ12/22/21 SB sent IR2 FY21-22 schedule list for matching JPS called and left a message on 5/25/21 to check Bryan's status as a ChampionBryan attended a training webinar on 3/28/21 with JPS but has not submitted his onboarding materials as of 3/29/21Bryan was scheduled to attend a training webinar on 3/8/21 but did not show up. Sent follow up email on 3/10/21 to determine status moving forward.Bryan replied saying that the potential match dates do not work for him on 2/10/21 - JPS responded by asking for more specifics about his availability. JPS emailed on 2/10/21 to see if Bryan could be a champion for the IR2 20-21 session + schedule a trainingJPS emailed on 2/10/2021 to ask Bryan to sign up for a trainingBryan was screened on 2/9/2021 by Purvi ShahJPS emailed on 2/7/2021 to schedule a Screening Call</t>
  </si>
  <si>
    <r>
      <rPr>
        <rFont val="sans-serif"/>
        <color rgb="FF1155CC"/>
        <sz val="11.0"/>
        <u/>
      </rPr>
      <t>carochamorro09@gmail.com</t>
    </r>
  </si>
  <si>
    <t>3/8/24 WW emailed for IR3, called 3/15/241/11/23 SB sent email about IR2 Crotona 11/1/23 WW follow up for IR1, she is not available10/31/23 SB sent text for IR1 10/30/23 SB emailed for IR1 4/8/22 Not available for Seminars until late summer/fall. CTHetal confirmed with her 4/7/22 that she's busy with work and she said she'll reach back out when she's available -- try reaching out in July or October 2022 for further opportunities (4/8/22)12/28/21 Carolina said she was not available for a Seminar or for IR2 SB12/22/21 SB sent IR2 FY21-22 schedule list for matching Carolina attended a Champion Training Webinar on 2/20/21 with JPS at 11 am estCarolina was screened on 1/27/2020 at 8:15 am est by JPSJPS emailed on 1/26/2021 to schedule a screening call</t>
  </si>
  <si>
    <r>
      <rPr>
        <rFont val="sans-serif"/>
        <color rgb="FF1155CC"/>
        <sz val="11.0"/>
        <u/>
      </rPr>
      <t>amackler40@gmail.com</t>
    </r>
  </si>
  <si>
    <t>12/20 SB called Amanda and left a Voicemail12/17 SB sent Amanda a text about match for FY21-22 IR1 Amanda attended a training on 2/26/21 with JPSJPS followed up on 2/17/21 to schedule Amanda for a trainingJPS sent Amanda congratulations email + tried to get Amanda to schedule a training in January, but Amanda was unable to attend. JPS followed up on 2/4/21 to see if Amanda wanted to attend a training in February. Amanda was screened on 10/22/2020 at 4:20 pm EST by Jennifer Peterson-Sharma.Jennifer Peterson-Sharma emailed to schedule a screening call on 10/22/2020.</t>
  </si>
  <si>
    <r>
      <rPr>
        <rFont val="sans-serif"/>
        <color rgb="FF1155CC"/>
        <sz val="11.0"/>
        <u/>
      </rPr>
      <t>lkcnatalia@gmail.com</t>
    </r>
  </si>
  <si>
    <t>10/04/22 She won't be available in the near future due to a very busy work schedule. Will let us know if she's available again. CT called12/22/21 SB sent IR2 FY21-22 schedule list for matching JPS emailed on 1/5/2021 to check her engagement status, no response as of 1/14/2021. Followed up on 1/14/2021.Leanna was trained on 5:15 pm EST by Jennifer Peterson-SharmaJennifer Peterson-Sharma called on 10/6/2020. Leanna confirmed that she is available to mentor for the 2020-2021 mentoring rounds beginning in November. She also said she is available for the 10/20 Training Webinar.Scheduled for training with Kiesha and Jennifer on September 14th at 7:30, but she could not make it.</t>
  </si>
  <si>
    <r>
      <rPr>
        <rFont val="sans-serif"/>
        <color rgb="FF1155CC"/>
        <sz val="11.0"/>
        <u/>
      </rPr>
      <t>nadineshahbaz@gmail.com</t>
    </r>
  </si>
  <si>
    <t>10/04/22 Not available for IR1 due to new job. CT4/4/22 Not available for any Seminars the next few weeks. Just had a newborn. CT1/10/22 SB sent follow up email 1/5/22 SB sent IR2 FY21-22 schedule list for matching - Hetal marked as active on 3/24 and emailed requesting resume, bio, head shot to complete profile - Nadine replied to Hetal on 3/23 to say yes she can mentor and share the word - Hetal called on March 19.2020 to reengage and left a voice message</t>
  </si>
  <si>
    <r>
      <rPr>
        <rFont val="sans-serif"/>
        <color rgb="FF1155CC"/>
        <sz val="11.0"/>
        <u/>
      </rPr>
      <t>marmelflor64@gmail.com</t>
    </r>
  </si>
  <si>
    <t>3/22/23 SB sent text for IR31/3/23 CT called &amp; sent text for IR2 12/27/22 CT sent follow up text for IR2 12/22/22 CT sent text for IR2 12/19/2 CT followed up for IR2 12/14/22 CT followed up for IR2 12/08/22 CT asked about Wheels schedule for IR212/27/21 SB sent follow up 12/21/21 SB sent IR2 FY21-22 schedule list for matching Hetal contacted Mariann a few times even connecting on LinkedIn -- she finally responded by text 11/11/21 saying she was going through some personal stuff and we should reach out in 2022 January for the next roundMariann's work email is mmelicharek@citymd.netMariann completed her onboarding form 4/15/21Mariann attended a training webinar on 4/10/21 but has yet to submit the onboarding form (as of 4/12/21). JPS followed up on 4/12/21 to ask her to complete it.Mariann was screened on 3/18/21 by JPSJPS sent an re-engagement/screening call email on 2/22/21Marked as inactive/yellow because determined to be unresponsive candidate (according to Foundational Mentor Spreadsheet) as of June 18, 2019</t>
  </si>
  <si>
    <r>
      <rPr>
        <rFont val="sans-serif"/>
        <color rgb="FF1155CC"/>
        <sz val="11.0"/>
        <u/>
      </rPr>
      <t>wperruna@gmail.com</t>
    </r>
  </si>
  <si>
    <t>4/3/23 CT sent follow up to schedule Screening Call2/22/23 CT sent follow up email to re-engage2/9/23 CT sent re-engagement email5/24/22 SB sent re-engagement email HH email 8/5/21, HH voicemail/email 7/29/21, HH text (phone disconnected when called) 7/20/2021, SU sent outreach email on 3/2/21, 3/4/21, 3/9/21, 3/22. No response. JPS emailed on 4/22/21. SU sent outreach email on 3/2/21, 3/4/21, 3/9/21, 3/22. No response. JPS emailed on 4/22/21. uploaded to Kintone but marked as inactive/yellow until screening complete</t>
  </si>
  <si>
    <r>
      <rPr>
        <rFont val="sans-serif"/>
        <color rgb="FF1155CC"/>
        <sz val="11.0"/>
        <u/>
      </rPr>
      <t>poonam507@gmail.com</t>
    </r>
  </si>
  <si>
    <t>4/3/23 CT sent follow up with CPC training dates2/22/23 CT sent follow up email to re-engage2/9/23 CT sent re-engagement email5/18/22 SB sent re-engagement emailDoubled Checked 1/19 (KW)</t>
  </si>
  <si>
    <r>
      <rPr>
        <rFont val="sans-serif"/>
        <color rgb="FF1155CC"/>
        <sz val="11.0"/>
        <u/>
      </rPr>
      <t>danielle.farage@gmail.com</t>
    </r>
  </si>
  <si>
    <t>3/13/24 WW emailed for IR39/18/23 WW emailed for IR14/25/23 SB messaged for IR34/22/23 SB emailed for IR312/14 SB left Danielle a Voice mail 12/13/21 Hetal called Danielle about possible FY21-22 IR1 match and left VM, SB sent text, CT sent email Danielle attended a training with JPS on 5/8/21 but she has not submitted an onboarding form as of 5/10/21JPS reached out to Danielle on 2/4/2021 to see if she would like to attend a training.JPS reached out to three times (12/29/2020, 1/2/2021, and 1/4/2021) to scheduler her for a training but she never responded. Danielle was screened on 12/4/2020 at 12 pm EST by Jennifer Peterson-Sharma.Danielle is scheduled for a screening call on 12/4/2020Jennifer followed up on 12/1/2020 to schedule a Screening Call. No reply as of 12/1/2020.Jennifer Peterson-Sharma emailed on 11/27/2020 to schedule a Screening Call.</t>
  </si>
  <si>
    <r>
      <rPr>
        <rFont val="sans-serif"/>
        <color rgb="FF1155CC"/>
        <sz val="11.0"/>
        <u/>
      </rPr>
      <t>parikhshaili4@gmail.com</t>
    </r>
  </si>
  <si>
    <t>2/3/23 Hetal was able to reach Shaili by phone. She said she is traveling tonight to India until March 5th. We can send her an email with the refresher document -- wants to do mentoring over Seminar first. We can also send her training dates and her old IG. Follow up with text or call on March 8th, to confirm training and set her up with match for IR3.1/11/23 CT left voicemail &amp; sent text1/5/23 CT sent checking in text01/03/23 CT sent follow up email12/20/22 CT sent follow up email12/13/22 CT sent checking in email12/22/21 SB sent IR2 FY21-22 schedule list for matching Doubled Checked 1/19 (KW)Emailed her on august 28th 2020 to follow up since covid she responded but didnt reply after i sent her the onboarding materialsEmailed her again September 3rd for a follow and she responded with the finished onboarding form.Scheduled training call for September 8th 12-2pm with Kiesha, Jennifer Peterson and HetalDid training with Hetal, Kiesha and Jennifer Peterson September 9th 2020Shaili was screened on 3/26/2020 by Dona Rehm</t>
  </si>
  <si>
    <r>
      <rPr>
        <rFont val="sans-serif"/>
        <color rgb="FF1155CC"/>
        <sz val="11.0"/>
        <u/>
      </rPr>
      <t>nikhita.kamath@gmail.com</t>
    </r>
  </si>
  <si>
    <t>4/3/23 CT sent follow up with CPC training dates2/22/23 CT sent follow up email to re-engage2/9/23 CT sent re-engagement email5/18/22 SB sent re-engagement email1/10/21 SB sent schedules for FY21-22 IR2 Doubled Checked 1/19 (KW)Sent her a follow up since covid August 28th 2020Got back to me September 3rd 2020Emailed her onboarding materials september 3rd 2020Nikhita was screened on 1/13/2020 by Dona Rehmcontacted for screening call 1/7</t>
  </si>
  <si>
    <r>
      <rPr>
        <rFont val="sans-serif"/>
        <color rgb="FF1155CC"/>
        <sz val="11.0"/>
        <u/>
      </rPr>
      <t>danielarusso06@gmail.com</t>
    </r>
  </si>
  <si>
    <t>7/18/23 WW emailed for IRS, PC team followed up with text and call3/28/23 SB sent text about Ir3 10/13/22 Not available for IR1. CT12/22/21 SB sent IR2 FY21-22 schedule list for matching JPS followed up on 2/25/21JPS emailed on 2/22/21 to request Instructional Guide</t>
  </si>
  <si>
    <r>
      <rPr>
        <rFont val="sans-serif"/>
        <color rgb="FF1155CC"/>
        <sz val="11.0"/>
        <u/>
      </rPr>
      <t>maxine.mitchell@gmail.com</t>
    </r>
  </si>
  <si>
    <t>3/20/23 SB sent text about IR33/17/23 SB sent follow up email for IR33/14/23 SB emailed for IR310/04/22 Not available for IR1 due to new job. CT4/18/22 Not available for Seminars over the next few months. CT1/10/22 SB sent follow up email 1/5/22 SB sent IR2 FY21-22 schedule list for matching JPS emailed on 1/5/2021 to check her engagement status, no response as of 1/14/2021. Followed up on 1/14/2021 Hetal called on March 19th 2020 during COVID-19 but she has children now home from school and is WFH. Can't at this time but willing to mentor at a later time.</t>
  </si>
  <si>
    <r>
      <rPr>
        <rFont val="sans-serif"/>
        <color rgb="FF1155CC"/>
        <sz val="11.0"/>
        <u/>
      </rPr>
      <t>vickipollack1983@gmail.com</t>
    </r>
  </si>
  <si>
    <t>18/8/23 - AT sent re-engagement message on LinkedIn. Awaiting response.8/8/23 - AT emailed and sent re-engagement txt. Awaiting response. 4/3/23 CT sent follow up to schedule Screening Call2/22/23 CT sent follow up email to re-engage2/9/23 CT sent re-engagement email5/24/22 SB sent re-engagement email HH called is interested would like to know more and like to pursue (include time commintments in email) 7/20/21 JPS sent outreach email from Champions@speakhire.org on 7/20/21</t>
  </si>
  <si>
    <r>
      <rPr>
        <rFont val="sans-serif"/>
        <color rgb="FF1155CC"/>
        <sz val="11.0"/>
        <u/>
      </rPr>
      <t>jsd246@cornell.edu</t>
    </r>
  </si>
  <si>
    <t>12/22/21 SB emailed Joy asking for new position infoJoy's personal email is joy.s.das14@gmail.com. She would like her calendar invites be sent to her work email jsd246@cornell.edu.Joy had a refresher training with Jennifer Peterson-Sharma on 10/12/2020 at 7:30 pm EST. She was sent the refresher PDF and the training video. Did not hear back and followed up on 10/6Jennifer Peterson-Sharma emailed on 10/1 to ask about her availability for the mentoring rounds beginning in November.</t>
  </si>
  <si>
    <r>
      <rPr>
        <rFont val="sans-serif"/>
        <color rgb="FF1155CC"/>
        <sz val="11.0"/>
        <u/>
      </rPr>
      <t>elizabethj.pierson@yahoo.com</t>
    </r>
  </si>
  <si>
    <t>5/11/23 CT Elizabeth is open for in-person Seminars. Seminar Survey Response "perhaps if I was able to meet with them in person"2/6/23 CT Elizabeth mentioned that she doesn't use her middle name professionally. Use "Elizabeth Pierson" In Speaker Graphics, MA's etc. only. "I might lose my middle name and just say "Elizabeth Pierson" (I don't use my middle name professionally)."5/24/22 SB sent re-engagement email 3/23/22 Not available for seminars until fall. CTHH email 8/5/21, HH voicemail/text/email 7/28/21, HH voicemail/text 7/20/21 JPS sent an outreach email on 6/2/21Double checked 1/26 (KW)</t>
  </si>
  <si>
    <r>
      <rPr>
        <rFont val="sans-serif"/>
        <color rgb="FF1155CC"/>
        <sz val="11.0"/>
        <u/>
      </rPr>
      <t>vfm224@stern.nyu.edu</t>
    </r>
  </si>
  <si>
    <t>8/18 - AT sent re-engagement message on LinkedIn. Awaiting response.8/8/2023 - AT sent a re-engagement email + text to check if they would still like to Champion at SPEAKHIRE. Awaiting response. 7/17/23 - SB sent email for IRS, BC called &amp; left VM, and SB sent follow up text7/5/22 SB emailed for IRS match 01/05/22 CT sent follow up email for matching12/30/21 CT called &amp; left voicemail12/30/21 SB sent IR2 FY21-22 schedule list for matching 12/28/21 SB sent a text about match for IR1 FY21-22JPS followed up on 2/17/2021 - no response as of this date.JPS emailed on 2/9/2021 to see Violeta's availability for matching and sent refresher documentHetal called on 3/26/2020 to see about mentoring during COVID-19 and left a voice message</t>
  </si>
  <si>
    <r>
      <rPr>
        <rFont val="sans-serif"/>
        <color rgb="FF1155CC"/>
        <sz val="11.0"/>
        <u/>
      </rPr>
      <t>veronicaheredia55@hotmail.com</t>
    </r>
  </si>
  <si>
    <t>12/30/21 SB sent IR2 FY21-22 schedule list for matching 10/25/21 SB update phone number to +593998391999 from 2038100159Veronica needs some training but a very caring person and can be matched on language -- from Ecuador and keen interest in Korean culture (HJ, February 2021)</t>
  </si>
  <si>
    <r>
      <rPr>
        <rFont val="sans-serif"/>
        <color rgb="FF1155CC"/>
        <sz val="11.0"/>
        <u/>
      </rPr>
      <t>ast@isdglobal.org</t>
    </r>
  </si>
  <si>
    <t>3/9/23 CT sent follow up to schedule screening2/27/23 CT sent follow up to schedule screening2/21/23 CT sent follow up email regarding Screening Call2/14/23 CT talked to Anna over phone. She wants to participate in Seminars and FY. She's busy right now but probably available for IR3. Sent screening call email &amp; asked for updated information to update her profile.2/13/23 CT schedule info phone call for 2/14/232/13/23 CT left voicemail &amp; sent text2/9/23 CT sent re-engagement email, email bounced back5/24/22 SB sent re-engagement email 3/1/22 SB called, left VM, sent textHetal updated her profile job title from Senior Manager of Client Services to what it is now and the company name from Graphika to what it is now and reached her on LinkedIn to see if she's interested still (11/18/21)HH email 8/5/21, HH email (voicemail box is full) 7/29/21, HH voicemail/text 7/20/21uploaded to Kintone but marked as inactive/yellow until screening complete</t>
  </si>
  <si>
    <r>
      <rPr>
        <rFont val="sans-serif"/>
        <color rgb="FF1155CC"/>
        <sz val="11.0"/>
        <u/>
      </rPr>
      <t>caseyburry@gmail.com</t>
    </r>
  </si>
  <si>
    <t>1/12/24 texted SB, "I have school pickup on Mondays at 2:50. Can you please keep me in mind for the future? Mondays are usually great, but there was a change with my daughter's schedule and I can't do after 2:30."1/11/23 SB called back - Casey asked for a email or text, which had already been sent, Casey said she would look it over and let us know1/10/24 SB called - Casey answered and asked for a text or call tomorrow. SB sent text1/9/24 SB sent email for IR2 Crotona 7/18/23 WW emailed for IRS, PC team followed up with text and call3/16/23 SB send email for IR3 availability 12/27/22 CT not available for IR2 because of busy work in the spring. Reach out later next year.12/08/22 CT asked about Wheels schedule for IR29/12/22 Not available for IR1 but might be for IR2 or IR3. Follow up with her in spring. CT12/22/21 SB sent IR2 FY21-22 schedule list for matching</t>
  </si>
  <si>
    <r>
      <rPr>
        <rFont val="sans-serif"/>
        <color rgb="FF1155CC"/>
        <sz val="11.0"/>
        <u/>
      </rPr>
      <t>maarciola@gmail.com</t>
    </r>
  </si>
  <si>
    <t>7/18/23 WW emailed for IRS, PC team followed up with text and call3/14/23 CT called about taking over group of Interns for IR2. Very busy and not available the next few months but reach out for future rounds. Not available for IR1. CT 8/23/22Reenaged December 2021 and through a call in January to match for IR2 and also asked for text to share. 12/27/21 SB sent follow up12/21/21 SB sent IR2 FY21-22 schedule list for matching</t>
  </si>
  <si>
    <r>
      <rPr>
        <rFont val="sans-serif"/>
        <color rgb="FF1155CC"/>
        <sz val="11.0"/>
        <u/>
      </rPr>
      <t>slokaiyengar2014@gmail.com</t>
    </r>
  </si>
  <si>
    <t>4/3/23 CT sent follow up with CPC training dates2/22/23 CT sent follow up on checking in email2/9/23 CT sent check in emailNot available for IR1 due to being very busy. 8/15/22 CT5/18/22 SB sent re-engagement emailSloka replied to re-engagement email on 2/22/21 and said to reach back out to her in a couple of weeks (April - Round Three 2020-2021)Emailed her august 28th to set up a training callShe said she isn't able to move forward in the process because she has a new job and has a-lot to doSloka was screened on 3/26/2020 by Dona Rehm.</t>
  </si>
  <si>
    <r>
      <rPr>
        <rFont val="sans-serif"/>
        <color rgb="FF1155CC"/>
        <sz val="11.0"/>
        <u/>
      </rPr>
      <t>caroparra@gmail.com</t>
    </r>
  </si>
  <si>
    <r>
      <t>1/7/22 passed training SBCarolina mentioned she has not been receiving invite emails so add her work email as well to communications (</t>
    </r>
    <r>
      <rPr>
        <rFont val="sans-serif"/>
        <color rgb="FF1155CC"/>
        <sz val="11.0"/>
        <u/>
      </rPr>
      <t>parrashoots@gmail.com</t>
    </r>
    <r>
      <rPr>
        <rFont val="sans-serif"/>
        <sz val="11.0"/>
      </rPr>
      <t>) Carolina passed screening 12/15/21 SB, congrats email sentSent Screening Scheduling Email 12/06/21 CT</t>
    </r>
  </si>
  <si>
    <t>Carolina Parra</t>
  </si>
  <si>
    <r>
      <rPr>
        <rFont val="sans-serif"/>
        <color rgb="FF1155CC"/>
        <sz val="11.0"/>
        <u/>
      </rPr>
      <t>caroparra@gmail.com</t>
    </r>
  </si>
  <si>
    <r>
      <t>Unreliable - will abandon Seminar or Session if job pops up, she's is sweet and passionate but inconsistent.1/12/24 texted SB, "I'm available sometimes. I'd love to go ahead and take these coaching dates but don't want to cancel as my working schedule starts to fill up." - still unreliable1/10/24 SB emailed for IR2 Crotona 1/7/22 passed training SBCarolina mentioned she has not been receiving invite emails so add her work email as well to communications (</t>
    </r>
    <r>
      <rPr>
        <rFont val="sans-serif"/>
        <color rgb="FF1155CC"/>
        <sz val="11.0"/>
        <u/>
      </rPr>
      <t>parrashoots@gmail.com</t>
    </r>
    <r>
      <rPr>
        <rFont val="sans-serif"/>
        <sz val="11.0"/>
      </rPr>
      <t>) Carolina passed screening 12/15/21 SB, congrats email sentSent Screening Scheduling Email 12/06/21 CT</t>
    </r>
  </si>
  <si>
    <r>
      <rPr>
        <rFont val="sans-serif"/>
        <color rgb="FF1155CC"/>
        <sz val="11.0"/>
        <u/>
      </rPr>
      <t>estrellamb@gmail.com</t>
    </r>
  </si>
  <si>
    <t>3/1/24 WW emailed for IR311/1/23 not available for IR210/31/23 PQ messaged on instagram for IR1 - not available, PQ asking for IR2 10/30/23 SB emailed for IR1 1/3/23 CT called but number is not working, sent follow up email for IR2 12/27/22 CT sent follow up text for IR2 12/22/22 CT sent text for IR2 12/19/22 CT followed up for IR2 12/14/22 CT followed up for IR2 12/08/22 CT asked about Wheels schedule for IR22/23/22 SB tried to call - auto message "Number is not reachable"12/22/21 SB sent IR2 FY21-22 schedule list for matching Completed training on 12/1/21 with SB11/24/21 congrats/training/match info email sent SBPassed screening 11/23/21 SB</t>
  </si>
  <si>
    <r>
      <rPr>
        <rFont val="sans-serif"/>
        <color rgb="FF1155CC"/>
        <sz val="11.0"/>
        <u/>
      </rPr>
      <t>izilbergleyt@gmail.com</t>
    </r>
  </si>
  <si>
    <t>1/18/24 not available for IR2 but interested in IR3 - starting new job, SB asked for updated information1/9/24 WW emailed for IR2 Ellis 5/9/23 SB emailed Irina to get reference info - none currently on file4/28/23 passed training with SB4/24/23 CT asked if she can do the Seminar on June 24th instead of June 7th3/21/23 SB emailed Irina for IR33/16/23 CT added provided bio &amp; headshot from LinkedIn3/3/23 moved training to 4/28/23 SB3/2/23 CT sent email asking to be Speaker for BUSHWICKCHS Seminar 2/7/23 CT sent follow up regarding training &amp; Seminar1/30/23 CT Screening passed with CT &amp; HJ. Sent congrats email with Seminar presentation template. Reach out for IR3 with Monday schedule. Good as in-person Seminar Speaker.</t>
  </si>
  <si>
    <t xml:space="preserve">787-402-6071
</t>
  </si>
  <si>
    <r>
      <rPr>
        <rFont val="sans-serif"/>
        <color rgb="FF1155CC"/>
        <sz val="11.0"/>
        <u/>
      </rPr>
      <t>liz.alvarezrivera@gmail.com</t>
    </r>
  </si>
  <si>
    <t>1/10/23 SB left voice mail and sent text1/8/24 SB emailed for IR2 Crotona schedule 7/18/23 WW emailed for IRS, FG followed up with call and textNot available for IR1. Coming back to work from maternity leave and still adjusting. CT 8/30/221/28/22 Not available for Seminars in the near future due to newborn. CT12/22/21 SB sent IR2 FY21-22 schedule list for matching Norrell spoke with Lizbeth regarding mentoring during COVID-19. Lizbeth might be able to continue at 1hr a week but depends on her work schedule.</t>
  </si>
  <si>
    <r>
      <rPr>
        <rFont val="sans-serif"/>
        <color rgb="FF1155CC"/>
        <sz val="11.0"/>
        <u/>
      </rPr>
      <t>tribadeneyra@nassaucountyny.gov</t>
    </r>
  </si>
  <si>
    <t>1/8/24 SB called and left VM about rescheduling screening1/4/23 SB sent text about screening1/2/24 SB followed up about rescheduling screening callSigned up for screening call on 12/28/23 -&gt; did not show up, SB emailed and messaged but no response, SB emailed to reschedule12/26/23 SB sent screening email</t>
  </si>
  <si>
    <t>June Chung</t>
  </si>
  <si>
    <r>
      <rPr>
        <rFont val="sans-serif"/>
        <color rgb="FF1155CC"/>
        <sz val="11.0"/>
        <u/>
      </rPr>
      <t>chung.ju12@gmail.com</t>
    </r>
  </si>
  <si>
    <t>5/10//24 - AT emailed re social media content1/3/24 her close family member experiencing a major health decline - wants to delay orientation &amp; involvement til March/April 11/17/23 rescheduled traiing to 1/3/24 10/12/23 WW texted for sponsor session, follow-up 10/25/2310/7/23 June signed up for training on November 17th: 11am - 1pm9/28/23 passed screening by WW, training email sent9/27/23 SB sent email for screening call</t>
  </si>
  <si>
    <r>
      <rPr>
        <rFont val="sans-serif"/>
        <color rgb="FF1155CC"/>
        <sz val="11.0"/>
        <u/>
      </rPr>
      <t>GodfreyKevinA@gmail.com</t>
    </r>
  </si>
  <si>
    <t>2/16/24 completed training with SB1/24/24 SB updated email to GodfreyKevinA@gmail.com from kevin.godfrey@frontiersin.org1/17/24 Kevin text asking for training dates and update: He's experiencing layoff and don't have access to current email address. WW asked for alternative email1/3/24 WW text for training; he asked about summer session, reach out for IRSWanted to withdraw his application 10/2/23 - "I regretfully have to withdraw my application to become a Champion at this time. There are circumstances I have to attend to that would rob myself and the interns of my full attention if I do not deal with them.", "I do hope in the future, I can engage fully in this rewarding initiative."Signed up for training scheduled for 10/2/23 SB9/14/23 SB sent follow up email for training9/12/23 SB sent congrats email with training dates9/11/23 passed screening with SB</t>
  </si>
  <si>
    <r>
      <rPr>
        <rFont val="sans-serif"/>
        <color rgb="FF1155CC"/>
        <sz val="11.0"/>
        <u/>
      </rPr>
      <t>archanas1919@gmail.com</t>
    </r>
  </si>
  <si>
    <t>9/12/23 WW sent follow-up email for rescheduling screening call9/7/23 WW sent text and left VM for rescheduling screening call9/5/23 WW sent email for rescheduling screening call8/23/23 Archana showed up for screening but didn't notice its duration for 30-45 min, had something come up and wanted to reschedule - WW8/18/23 SB followed up for screening8/10/23 SB emailed for screening</t>
  </si>
  <si>
    <r>
      <rPr>
        <rFont val="sans-serif"/>
        <color rgb="FF1155CC"/>
        <sz val="11.0"/>
        <u/>
      </rPr>
      <t>changlena@aol.com</t>
    </r>
  </si>
  <si>
    <t>05/10/24 - AT emailed regarding Mother's day social media content1/18/24 not available for IR2 - "Unfortunately, my availability is better in the evenings at this point. If anything changes, I will let you know." SB1/9/24 SB sent follow up about IR212/29/23 SB emailed about IR2, sent Ellis schedule7/17/23 - SB sent email for IRS, BC called &amp; left VM, and SB sent follow up text5/23/23 CT Completed CPC Orientation &amp; Onboarding Webinar 5/18/23 son graduated SB5/8/23 SB sent follow up via text for training - scheduled training for 5/23/235/4/23 SB sent follow up email for training5/1/23 passed screening with SB4/27/23 Scheduled screening call with SB. Did not show, SB sent email and text to get her online. Still nothing. SB sent email to reschedule Instagram: LenaChang1 LinkedIn: Lena Chang Facebook: Lena Chang Twitter: @LenaChang8 TikTok: @lenachang8</t>
  </si>
  <si>
    <r>
      <rPr>
        <rFont val="sans-serif"/>
        <color rgb="FF1155CC"/>
        <sz val="11.0"/>
        <u/>
      </rPr>
      <t>cara.every@fmr.com</t>
    </r>
  </si>
  <si>
    <t>5.10.24 - AT emailed re social media content1/9/24 WW emailed for IR2-Ellis; she is available: only time conflict on Feb 13th11/16/23 Cara OOO until 11/20, to follow up about EY then. SB 11/14/23 SB sent email to follow up about EY11/9/23 SB emailed about EY sessions with Afrida11/3/23 SB emailed about Sponsor SessionsNot available to do Seminars (see screening notes)6/9/23 passed training with SB - most likely not available for IRS but yes for IR15/30/23 SB sent text to follow up for training - signed up for training on 6/9/235/25/23 SB sent follow up for training5/23/23 SB sent congrats email5/19/23 passed screening with SB, sending training email5/15/23 SB called, left VM and sent text - Cara called back and scheduled screening call for 5/19/235/10/23 SB sent text for screening4/25/23 SB sent follow up for screening4/10/23 SB sent screening email</t>
  </si>
  <si>
    <r>
      <rPr>
        <rFont val="sans-serif"/>
        <color rgb="FF1155CC"/>
        <sz val="11.0"/>
        <u/>
      </rPr>
      <t>lamonchapman@gmail.com</t>
    </r>
  </si>
  <si>
    <t>5/10/24 - AT emailed re Mothers Day social media content3/20/23 agreed to group for IR3 SB3/17/23 CT asked about being in-person Speaker for BCHS Seminar. Lamon is with family in NY until end of April or May before returning to Colombia.3/16/23 CT Completed CPC Training3/16/23 not available for wheels, but available for Crotona, SB sending about Interns3/13/23 passed screening with SB. Sending training email and request for IR3 matching.3/9/23 CT sent follow up email to schedule screening3/6/23 SB sent screening email</t>
  </si>
  <si>
    <r>
      <rPr>
        <rFont val="sans-serif"/>
        <color rgb="FF1155CC"/>
        <sz val="11.0"/>
        <u/>
      </rPr>
      <t>katherineq0708@gmail.com</t>
    </r>
  </si>
  <si>
    <t>5/10/23 SB sent text about screening1/23/23 CT followed up via email to schedule screening1/10/23 SB followed via email up to check in and see about screening1/4/23 emailed saying due to a family emergency she will need to reschedule her screening call and will do so with in a week. SB responded wishing her well &amp; sent reschedule informationScheduled screening for 1/4/23 SB12/26/22 may not have enough experience for FY but perhaps Seminars will work. Sending screening email. SB</t>
  </si>
  <si>
    <r>
      <rPr>
        <rFont val="sans-serif"/>
        <color rgb="FF1155CC"/>
        <sz val="11.0"/>
        <u/>
      </rPr>
      <t>Giselacastaneda8@gmail.com</t>
    </r>
  </si>
  <si>
    <t>Wants female Interns &amp; now works in technology and AI - asked to have fashion (arts/creative) background removed1/16/24 SB sent email to see if she would be okay with male Interns for IR2 Gisela would prefer to start with 2 Interns then go up from there and would prefer students from a similar background but not strict on it 8/7/23 Updated email from gisela.castaneda@zendesk.com to Giselacastaneda8@gmail.com - WILL NEED UPDATED JOB INFO BEFORE NEXT MATCH8/3/23 email bounced back with, "I am no longer working for Zendesk. Please direct your email to plouis@zendesk.com. Thank you." SB attempting to connect via phone and linkedin6/20/23 messaged SB said she wants to continue but only wants female Interns - SB responded asking about IRS or if the fall would work better3/24/23 SB sent follow up email about schedule3/20/23 SB sent follow up email to Gisela3/15/23 emailed SB, "I'd like to have a group that's interested in technology and within it, sales. I no longer do fashion and it is not a topic I'd like to cover or focus on! I've been in tech for the past 9 years :)" sent alternated groups at alternate times3/14/23 SB sent request about IR3 to Gisela3/8/23 SB sent email to Gisela checking in on IR2 group - will follow up with IR3 request 2/3/23 completed training with SB 1/9/23 SB followed up via text to let her know when IR2 starts - confirmed monday schedule 1/8/23 texted with HJ - out of country until 1/15 said maybe to Monday schedule and asked when round started 1/6/23 SB sent text about IR2 matching1/4/23 SB emailed for Crotona match for IR2 - got out of office email12/19/22 Scheduled training for 2/3/23 SB12/13/22 SB sent follow up text for training12/5/22 SB followed up for training via Google Voice11/30/22 SB followed up for training11/23/22 Passed screening with SB11/23/22 SB sent screening scheduling email</t>
  </si>
  <si>
    <r>
      <rPr>
        <rFont val="sans-serif"/>
        <color rgb="FF1155CC"/>
        <sz val="11.0"/>
        <u/>
      </rPr>
      <t>luzdsantana@outlook.com</t>
    </r>
  </si>
  <si>
    <t>2/13/24 SB emailed for IR311/14/23 SB emailed for new job information - information is correct10/30/23 WW left VM and text for IR1; WW sent follow-up email and VM 11/1/23 - available for IR110/27/23 SB called back and left VM after realizing Luz had called back day prior 10/26/23 SB called for IR1 and left VM 10/25/23 SB sent text for IR1 10/23/23 SB emailed for IR1 3/28/23 SB sent IR2 check in and request for IR31/12/23 CT Complete in CPC Orientation &amp; Onboarding Webinar1/10/23 confirmed IR2 Monday schedule SB1/5/23 confirmed training for 1/12/23. SB responded and asked for IR2 Monday schedule (Bronx, Queens, Crotona)1/4/23 SB followed up in email for training12/19/22 CT left voicemail &amp; sent text to schedule CPC Training12/13/22 Sb sent text to schedule training12/06/22 CT sent follow up email regarding training11/03/22 CT sent congrats email11/02/22 Passed screening with CT11/1/22 SB send screening scheduling email</t>
  </si>
  <si>
    <r>
      <rPr>
        <rFont val="sans-serif"/>
        <color rgb="FF1155CC"/>
        <sz val="11.0"/>
        <u/>
      </rPr>
      <t>vballenas@gmail.com</t>
    </r>
  </si>
  <si>
    <t>Reached out multiple times via email and text, no training dates worked. Did a round though.4/29/22 passed screening SB</t>
  </si>
  <si>
    <r>
      <rPr>
        <rFont val="sans-serif"/>
        <color rgb="FF1155CC"/>
        <sz val="11.0"/>
        <u/>
      </rPr>
      <t>Aar2213@tc.Columbia.edu</t>
    </r>
  </si>
  <si>
    <t>3/31/23 CT updated bio &amp; job title3/23/23 CT updated email to Aar2213@tc.Columbia.edu3/15/23 CT asked to be in-person Seminar Speaker at BUSHWICKCHS</t>
  </si>
  <si>
    <r>
      <rPr>
        <rFont val="sans-serif"/>
        <color rgb="FF1155CC"/>
        <sz val="11.0"/>
        <u/>
      </rPr>
      <t>Meliza.fernandez@gmail.com</t>
    </r>
  </si>
  <si>
    <t>1/10/23 CT sent check in text1/3/23 CT followed up 12/19/22 CT sent follow up email12/13/22 CT sent re-engagement emailPathways Speaker</t>
  </si>
  <si>
    <r>
      <rPr>
        <rFont val="sans-serif"/>
        <color rgb="FF1155CC"/>
        <sz val="11.0"/>
        <u/>
      </rPr>
      <t>cdlewin@gmail.com</t>
    </r>
  </si>
  <si>
    <t>3/3/23 texted SB, "I wish I could help but I'm not available at this time for the next few months. I'll consider signing up again the fall."2/27/23 SB messaged to see if she could be a replacement CPC for IR25/16/22 CT Attended CPC Orientation &amp; Onboarding Training5/5/22 Sent Congrats email CT5/4/22 Passed Screening Call CT4/25 SB sent screening email</t>
  </si>
  <si>
    <r>
      <rPr>
        <rFont val="sans-serif"/>
        <color rgb="FF1155CC"/>
        <sz val="11.0"/>
        <u/>
      </rPr>
      <t>sanzfatima@hotmail.com</t>
    </r>
  </si>
  <si>
    <r>
      <rPr>
        <rFont val="sans-serif"/>
        <color rgb="FF1155CC"/>
        <sz val="11.0"/>
        <u/>
      </rPr>
      <t>nuoyali.nl@gmail.com</t>
    </r>
  </si>
  <si>
    <t>2/7/23 CT call could not be connected due to restrictions on line. Sent text to check in.1/11/23 CT sent follow up email12/21/22 CT sent follow up email12/13/22 CT sent email to check in with Nuoya about continuing to participate as a Champion11/28/22 unsubscribed from newsletter SB 11/22/22 CT sent re-engagement email with training datesHJ Messaged Samar Deen, who had brought Nuoya if Nuoya was interested in continuing since she abandoned her IR2 group by not coming to the last 2 sessions - Samar reached out to her and confirmed she just has some personal issues right now but is interested for future rounds (HJ 4/13/22)2/21/22 SB texted to follow up about training2/18/22 SB sent follow up email2/16/22 SB sent congrats and training email2/16/22 Passed screening with SB2/14/22 SB sent screening and asked for flushing</t>
  </si>
  <si>
    <r>
      <rPr>
        <rFont val="sans-serif"/>
        <color rgb="FF1155CC"/>
        <sz val="11.0"/>
        <u/>
      </rPr>
      <t>cpasi55@gmail.com</t>
    </r>
  </si>
  <si>
    <t>2/13/24 SB emailed for IR310/17/23 Christopher email SB saying he is booked with projects but would love to participate in spring of 202410/16/23 SB emailed for IR112/9/22 emailed "I would like to be considered for the 2024 semesters because I have too much work going on in my life right now to make time for the internship." SB responded. marking inactive12/08/22 CT asked about Wheels schedule for IR202/03/22 Completed CPC Orientation &amp; Onboarding Training CT02/01/22 Sent Screening email &amp; CPC Training email with Handbook and Instructional Guide CT</t>
  </si>
  <si>
    <r>
      <rPr>
        <rFont val="sans-serif"/>
        <color rgb="FF1155CC"/>
        <sz val="11.0"/>
        <u/>
      </rPr>
      <t>ami2136@columbia.edu</t>
    </r>
  </si>
  <si>
    <t>12/29/23 SB reached out just to check in and touch base - hoping to re-engage3/22/23 SB sent text for IR33/17/23 SB sent follow up email about IR33/14/23 SB emailed for IR3 wheels12/20/22 SB followed up via email for IR2 match12/16/22 SB emailed for IR2 queens match10/04/22 Not available for IR1. CT7/9/22 SB contacted for IRS match4/27/22 Not available for Seminars in May. CTCompleted Onboarding and Orientation Webinar 1/28/22 SB 01/18/22 CT sent email with training dates, handbook, instructional guide1/17/22 SB sent screening follow upSent screening scheduling email 1/13/22 SB</t>
  </si>
  <si>
    <r>
      <rPr>
        <rFont val="sans-serif"/>
        <color rgb="FF1155CC"/>
        <sz val="11.0"/>
        <u/>
      </rPr>
      <t>rachel.d317@gmail.com</t>
    </r>
  </si>
  <si>
    <t>3/4/24 WW emailed for IR312/13/22 Rachel provided Daniel Lee with references and said she would be available for Seminars. CTRachel is a PA so her schedule changes (may only know 3 weeks in advance) - not available for FY. Maybe Seminars will work. She also said she would send over the professional reference info. 10/4/22 SB7/5/22 Rachel emailed to let us know she got a new position at work. SB responded asking for updated resume and for IR1 availability2/11/22 Completed Orientation and Onboarding Training SB 1/18/22 Rachel added to 1/28 training, asked to start Championing in the fall due to starting a new job. SB responded asking for new job info and about starting for IR3 or IRS01/13/22 Passed Screening, sent training &amp; IR2 schedule email CT1/10/22 SB sent screening scheduling email</t>
  </si>
  <si>
    <r>
      <rPr>
        <rFont val="sans-serif"/>
        <color rgb="FF1155CC"/>
        <sz val="11.0"/>
        <u/>
      </rPr>
      <t>Divyakarkisw@gmail.com</t>
    </r>
  </si>
  <si>
    <t>11/22/22 CT sent re-engagement email5/24/22 SB sent re-engagement email Could work potentially for EllisSB sent screening scheduling email on 10/18/21</t>
  </si>
  <si>
    <r>
      <rPr>
        <rFont val="sans-serif"/>
        <color rgb="FF1155CC"/>
        <sz val="11.0"/>
        <u/>
      </rPr>
      <t>kady2003@gmail.com</t>
    </r>
  </si>
  <si>
    <t>4/25/23 SB emailed for IR31/13/23 SB sent text for IR2 matching, Kady responded, "I'm sadly unavailable at the moment. Can I reach out when my schedule eases up from travels?" SB responded yes and that we can reach out for future rounds1/10/23 SB sent follow up email for matching1/6/22 SB emailed for IR2 ellisBMW sent text on 8/4. Is unavailable for IR1 due to a packed work schedule. Wants to be contacted for IR2. BMW Not available for IR1. She's really busy and wants to be contacted for IR2. CT 8/9/22 Only did FY21-22 IR3. Follow up with again to reengage Hetal updated her profile on March 21, 2022 after Kady replied all in the FY 21-22 IR 3 match announcement 12/21/21 SB sent IR2 FY21-22 schedule list for matching Completed onboarding and orientation webinar on 11/5/21 SBsent screening scheduling email 10/5/21 SB</t>
  </si>
  <si>
    <r>
      <rPr>
        <rFont val="sans-serif"/>
        <color rgb="FF1155CC"/>
        <sz val="11.0"/>
        <u/>
      </rPr>
      <t>tarasajan@yahoo.com</t>
    </r>
  </si>
  <si>
    <r>
      <t xml:space="preserve">HJ called Tara 2/3/23 and reached her -- she said in a meeting and will call back (4:50 pm est.)1/5/23 SB sent text about IR2 availability - Tara unavailable right now due to a busy schedule asked to be reached back out to in September of 2023. SB asked about references - only Dincil george is still good to reach out to, said she would send a replacement and their info1/3/23 SB followed up for IR2 availability12/27/22 SB followed up in email about availability12/19/22 Tara emailed back saying she will check schedule tomorrow and let us know. SB12/15/22 SB followed up for IR2 match12/13/22 SB emailed for IR2 Monday availabilityNot available for IR1 but reach out for IR2. CT 09/29/22She served in the Army and can be Matched for pilots, Armed Services. She only did IR2 New position? 7/5/22 LG called, texted for IRS availability2/22/22 SB sent congrats email with training infoCharlotte reached out on Feb 20, Hetal followed up to schedule her for screening on 2/21/22 -- passed screening (she came to us from a CRP (NAINA: </t>
    </r>
    <r>
      <rPr>
        <rFont val="sans-serif"/>
        <color rgb="FF1155CC"/>
        <sz val="11.0"/>
        <u/>
      </rPr>
      <t>https://speakhire.kintone.com/k/44/show#record=5)</t>
    </r>
    <r>
      <rPr>
        <rFont val="sans-serif"/>
        <sz val="11.0"/>
      </rPr>
      <t>Followed up again 10/12/21 SBFollowed up on 10/5/21 SBTara asked for more appointment slots, SB told her how to access following weeks on the schedule 10/24/21Sent screening scheduling email on 9/22/21</t>
    </r>
  </si>
  <si>
    <r>
      <rPr>
        <rFont val="sans-serif"/>
        <color rgb="FF1155CC"/>
        <sz val="11.0"/>
        <u/>
      </rPr>
      <t>jakemakola@gmail.com</t>
    </r>
  </si>
  <si>
    <t>12/14/21 SB left Jacob a voicemail 12/13/21 SB sent text asking availability for FY21-22 IR1 matchOther email address: jakemakola@gmail.comJake attended a training on 3/8/21 with JPSJake was screened on 2/25/21 by Annie KuoJPS emailed on 2/22/21 to schedule a Screening Call</t>
  </si>
  <si>
    <r>
      <rPr>
        <rFont val="sans-serif"/>
        <color rgb="FF1155CC"/>
        <sz val="11.0"/>
        <u/>
      </rPr>
      <t>vilsaintsuze@gmail.com</t>
    </r>
  </si>
  <si>
    <t>8/18 - AT sent re-engagement message on LinkedIn. Awaiting response.8/8/2023 - AT sent a re-engagement email and txt to check if they would still like to Champion at SPEAKHIRE. Awaiting response. 4/3/23 CT sent follow up with CPC training dates2/22/23 CT sent follow up email to re-engage2/9/23 CT sent re-engagement email5/18/22 SB sent re-engagement emailSB called, left VM, and texted about IR availability 1/24/22Suze had a Screening Call on 3/3/21 with JPSScreening email already sent. 2/12/21 SU. Double checked 1/26 (KW)</t>
  </si>
  <si>
    <t xml:space="preserve">(718) 764 7382
</t>
  </si>
  <si>
    <r>
      <rPr>
        <rFont val="sans-serif"/>
        <color rgb="FF1155CC"/>
        <sz val="11.0"/>
        <u/>
      </rPr>
      <t>scadorniga@gmail.com</t>
    </r>
  </si>
  <si>
    <r>
      <t xml:space="preserve">3/1/24 WW emailed for IR31/8/24 SB emailed for IR2 Crotona schedule 3/22/23 SB sent text about IR3 availability1/23/23 CT left voicemail &amp; sent text for IR21/17/23 CT sent follow up email for IR21/9/23 CT asked for IR2 availability with Wheels schedule7/5/22 SB contacted for IRS matchCompleted Onboarding and Orientation Webinar 1/28/22 SB 1/21/22 Sent Orientation &amp; Onboarding Training email, request for bio and headshotHJ made active green and screened by phone, scheduled her for training, and identified a match on 1/21/22Still active with Pilipino American Unity for Progress (UniPro) </t>
    </r>
    <r>
      <rPr>
        <rFont val="sans-serif"/>
        <color rgb="FF1155CC"/>
        <sz val="11.0"/>
        <u/>
      </rPr>
      <t>https://www.unipronow.org/</t>
    </r>
    <r>
      <rPr>
        <rFont val="sans-serif"/>
        <sz val="11.0"/>
      </rPr>
      <t xml:space="preserve"> </t>
    </r>
    <r>
      <rPr>
        <rFont val="sans-serif"/>
        <color rgb="FF1155CC"/>
        <sz val="11.0"/>
        <u/>
      </rPr>
      <t>https://www.unipronow.org/contact</t>
    </r>
    <r>
      <rPr>
        <rFont val="sans-serif"/>
        <sz val="11.0"/>
      </rPr>
      <t>Conversational Spanish -- can be matched with somebody who needs support feeling more comfortable speaking EnglishNo response. Discontinue/orange on 7/21/21. If reaches back out, still needs to go through screening.Screening email already sent. 2/16/21 SU. Soneya Uddin send a follow up email to Samantha 2/19/21. SU.Left voicemail follow up. 2/20/21. SU. Left a voicemail 2/25/21.SU. JPS called on 4/21/21 and left voicemail. Double checked 1/26 (KW)</t>
    </r>
  </si>
  <si>
    <t>Can't make it</t>
  </si>
  <si>
    <t xml:space="preserve">646-404-4739
</t>
  </si>
  <si>
    <r>
      <rPr>
        <rFont val="sans-serif"/>
        <color rgb="FF1155CC"/>
        <sz val="11.0"/>
        <u/>
      </rPr>
      <t>Bhavna.agnihotri@aig.com</t>
    </r>
  </si>
  <si>
    <t>2/8/24 WW emailed for IR3 Spanish only conversational, not fluent4/26/23 SB messaged Bhavna for IR3, she replied to email asking for session dates. SB responded with them. - agreed to time, SB sent about4/25/23 SB emailed for IR312/08/22 CT Bhavna confirmed availability for Wheels IR212/08/22 CT sent Wheels schedule for IR 28/15/22 SB followed up for email update. Bhavna out of country till September. SB asked about IR1 availability. She said year end is hectic for her, but she is interested in IR2 8/15/22 SB updated email to Bhavna.agnihotri@aig.com from bhavna_agnihotri@swissre.com8/11/22 SB messaged Bhavna because her email is bouncing back, asked for updated one.7/7/22 SB sent text for IRS match7/5/22 SB sent email for match 12/22/21 SB sent IR2 FY21-22 schedule list for matchingsecondary email: bhavna.agnihotri@gmail.com</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</si>
</sst>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dd/yyyy h:mm"/>
    <numFmt numFmtId="165" formatCode="M/d/yyyy"/>
    <numFmt numFmtId="166" formatCode="m/d/yyyy h:mm:ss"/>
    <numFmt numFmtId="167" formatCode="mmm yyyy"/>
    <numFmt numFmtId="168" formatCode="m/d/yyyy h:mm"/>
    <numFmt numFmtId="169" formatCode="m/d/yy"/>
    <numFmt numFmtId="170" formatCode="mm/dd/yyyy h:mm am/pm"/>
    <numFmt numFmtId="171" formatCode="m/d/yyyy h:mm am/pm"/>
    <numFmt numFmtId="172" formatCode="mmm dd, yyyy h:mm am/pm"/>
    <numFmt numFmtId="173" formatCode="m/d/yyyy, h:mm:ss am/pm"/>
  </numFmts>
  <fonts count="43">
    <font>
      <sz val="10.0"/>
      <color rgb="FF000000"/>
      <name val="Arial"/>
      <scheme val="minor"/>
    </font>
    <font>
      <color theme="1"/>
      <name val="Arial"/>
      <scheme val="minor"/>
    </font>
    <font>
      <color rgb="FFDFE4EC"/>
      <name val="Arial"/>
      <scheme val="minor"/>
    </font>
    <font>
      <b/>
      <sz val="10.0"/>
      <color theme="1"/>
      <name val="Arial"/>
      <scheme val="minor"/>
    </font>
    <font>
      <b/>
      <u/>
      <sz val="10.0"/>
      <color rgb="FF0000FF"/>
    </font>
    <font>
      <b/>
      <sz val="10.0"/>
      <color rgb="FF000000"/>
      <name val="Arial"/>
      <scheme val="minor"/>
    </font>
    <font>
      <b/>
      <u/>
      <color rgb="FF0000FF"/>
      <name val="Arial"/>
    </font>
    <font>
      <sz val="10.0"/>
      <color theme="1"/>
      <name val="Arial"/>
      <scheme val="minor"/>
    </font>
    <font>
      <u/>
      <sz val="10.0"/>
      <color rgb="FF0000FF"/>
    </font>
    <font>
      <u/>
      <sz val="10.0"/>
      <color rgb="FF000000"/>
      <name val="Arial"/>
      <scheme val="minor"/>
    </font>
    <font>
      <sz val="10.0"/>
      <color rgb="FF0000FF"/>
    </font>
    <font>
      <u/>
      <sz val="10.0"/>
      <color rgb="FF1155CC"/>
    </font>
    <font>
      <u/>
      <color rgb="FF0000FF"/>
    </font>
    <font>
      <u/>
      <sz val="10.0"/>
      <color rgb="FF000000"/>
      <name val="Arial"/>
      <scheme val="minor"/>
    </font>
    <font>
      <u/>
      <sz val="10.0"/>
      <color rgb="FF000000"/>
    </font>
    <font>
      <b/>
      <color theme="1"/>
      <name val="Arial"/>
      <scheme val="minor"/>
    </font>
    <font>
      <u/>
      <color rgb="FF222222"/>
      <name val="Arial"/>
    </font>
    <font>
      <u/>
      <color rgb="FF0000FF"/>
    </font>
    <font>
      <sz val="12.0"/>
      <color rgb="FF636363"/>
      <name val="Roboto"/>
    </font>
    <font>
      <u/>
      <color theme="1"/>
      <name val="Arial"/>
      <scheme val="minor"/>
    </font>
    <font>
      <b/>
      <color theme="1"/>
      <name val="Arial"/>
    </font>
    <font>
      <u/>
      <sz val="10.0"/>
      <color theme="1"/>
      <name val="Arial"/>
      <scheme val="minor"/>
    </font>
    <font>
      <color theme="1"/>
      <name val="Arial"/>
    </font>
    <font>
      <sz val="10.0"/>
      <color theme="1"/>
      <name val="Arial"/>
    </font>
    <font>
      <sz val="10.0"/>
      <color rgb="FF333333"/>
      <name val="Sans-serif"/>
    </font>
    <font>
      <sz val="10.0"/>
      <color rgb="FF333333"/>
      <name val="Arial"/>
    </font>
    <font>
      <sz val="11.0"/>
      <color rgb="FF000000"/>
      <name val="&quot;Aptos Narrow&quot;"/>
    </font>
    <font>
      <b/>
      <sz val="11.0"/>
      <color rgb="FF333333"/>
      <name val="Arial"/>
    </font>
    <font>
      <b/>
      <sz val="11.0"/>
      <color rgb="FF333333"/>
      <name val="Sans-serif"/>
    </font>
    <font>
      <sz val="11.0"/>
      <color rgb="FF333333"/>
      <name val="Arial"/>
    </font>
    <font>
      <sz val="11.0"/>
      <color rgb="FF333333"/>
      <name val="Sans-serif"/>
    </font>
    <font>
      <u/>
      <sz val="11.0"/>
      <color rgb="FF1155CC"/>
      <name val="Sans-serif"/>
    </font>
    <font>
      <u/>
      <sz val="11.0"/>
      <color rgb="FF1155CC"/>
      <name val="Sans-serif"/>
    </font>
    <font>
      <sz val="11.0"/>
      <color theme="1"/>
      <name val="Sans-serif"/>
    </font>
    <font>
      <u/>
      <sz val="11.0"/>
      <color rgb="FF0000FF"/>
      <name val="Sans-serif"/>
    </font>
    <font>
      <u/>
      <sz val="11.0"/>
      <color rgb="FF1155CC"/>
      <name val="Sans-serif"/>
    </font>
    <font>
      <u/>
      <sz val="11.0"/>
      <color rgb="FF1155CC"/>
      <name val="Sans-serif"/>
    </font>
    <font>
      <u/>
      <sz val="11.0"/>
      <color rgb="FF1155CC"/>
      <name val="Sans-serif"/>
    </font>
    <font>
      <u/>
      <sz val="11.0"/>
      <color rgb="FF0000FF"/>
      <name val="Sans-serif"/>
    </font>
    <font>
      <u/>
      <sz val="11.0"/>
      <color rgb="FF1155CC"/>
      <name val="Sans-serif"/>
    </font>
    <font>
      <u/>
      <sz val="11.0"/>
      <color rgb="FF0000FF"/>
      <name val="Sans-serif"/>
    </font>
    <font>
      <u/>
      <sz val="11.0"/>
      <color rgb="FF1155CC"/>
      <name val="Sans-serif"/>
    </font>
    <font>
      <u/>
      <sz val="11.0"/>
      <color rgb="FF0000FF"/>
      <name val="Sans-serif"/>
    </font>
  </fonts>
  <fills count="11">
    <fill>
      <patternFill patternType="none"/>
    </fill>
    <fill>
      <patternFill patternType="lightGray"/>
    </fill>
    <fill>
      <patternFill patternType="solid">
        <fgColor rgb="FFE7F9EF"/>
        <bgColor rgb="FFE7F9EF"/>
      </patternFill>
    </fill>
    <fill>
      <patternFill patternType="solid">
        <fgColor rgb="FFFFFF00"/>
        <bgColor rgb="FFFFFF00"/>
      </patternFill>
    </fill>
    <fill>
      <patternFill patternType="solid">
        <fgColor rgb="FFD9D2E9"/>
        <bgColor rgb="FFD9D2E9"/>
      </patternFill>
    </fill>
    <fill>
      <patternFill patternType="solid">
        <fgColor rgb="FFFFFFFF"/>
        <bgColor rgb="FFFFFFFF"/>
      </patternFill>
    </fill>
    <fill>
      <patternFill patternType="solid">
        <fgColor rgb="FF6AA84F"/>
        <bgColor rgb="FF6AA84F"/>
      </patternFill>
    </fill>
    <fill>
      <patternFill patternType="solid">
        <fgColor rgb="FFEA9999"/>
        <bgColor rgb="FFEA9999"/>
      </patternFill>
    </fill>
    <fill>
      <patternFill patternType="solid">
        <fgColor rgb="FFFF0000"/>
        <bgColor rgb="FFFF0000"/>
      </patternFill>
    </fill>
    <fill>
      <patternFill patternType="solid">
        <fgColor rgb="FFF4CCCC"/>
        <bgColor rgb="FFF4CCCC"/>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C1DDF7"/>
      </right>
      <bottom style="thin">
        <color rgb="FFC1DDF7"/>
      </bottom>
    </border>
    <border>
      <right style="thin">
        <color rgb="FFC1DDF7"/>
      </right>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shrinkToFit="0" wrapText="1"/>
    </xf>
    <xf borderId="1" fillId="0" fontId="1" numFmtId="0" xfId="0" applyAlignment="1" applyBorder="1" applyFont="1">
      <alignment horizontal="center" shrinkToFit="0" wrapText="1"/>
    </xf>
    <xf borderId="0" fillId="0" fontId="2" numFmtId="0" xfId="0" applyAlignment="1" applyFont="1">
      <alignment horizontal="center" shrinkToFit="0" wrapText="0"/>
    </xf>
    <xf borderId="0" fillId="0" fontId="1" numFmtId="0" xfId="0" applyAlignment="1" applyFont="1">
      <alignment horizontal="center" shrinkToFit="0"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2" fontId="3" numFmtId="0" xfId="0" applyAlignment="1" applyFill="1" applyFont="1">
      <alignment horizontal="center" readingOrder="0" shrinkToFit="0" vertical="center" wrapText="1"/>
    </xf>
    <xf borderId="0" fillId="2" fontId="3" numFmtId="165" xfId="0" applyAlignment="1" applyFont="1" applyNumberFormat="1">
      <alignment horizontal="center" readingOrder="0" shrinkToFit="0" vertical="center" wrapText="1"/>
    </xf>
    <xf borderId="0" fillId="2" fontId="4"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2" fontId="6"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0" fontId="0"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0" numFmtId="0" xfId="0" applyAlignment="1" applyFont="1">
      <alignment horizontal="center" shrinkToFit="0" vertical="center" wrapText="1"/>
    </xf>
    <xf borderId="0" fillId="0" fontId="0" numFmtId="165"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0" numFmtId="11"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7" numFmtId="167" xfId="0" applyAlignment="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168" xfId="0" applyAlignment="1" applyFont="1" applyNumberFormat="1">
      <alignment horizontal="center" readingOrder="0" shrinkToFit="0" vertical="center" wrapText="1"/>
    </xf>
    <xf borderId="0" fillId="3" fontId="0" numFmtId="0" xfId="0" applyAlignment="1" applyFill="1" applyFont="1">
      <alignment horizontal="center" readingOrder="0" shrinkToFit="0" vertical="center" wrapText="1"/>
    </xf>
    <xf borderId="0" fillId="3" fontId="7" numFmtId="0" xfId="0" applyAlignment="1" applyFont="1">
      <alignment horizontal="center" shrinkToFit="0" vertical="center" wrapText="1"/>
    </xf>
    <xf borderId="0" fillId="3" fontId="13" numFmtId="0" xfId="0" applyAlignment="1" applyFont="1">
      <alignment horizontal="center" readingOrder="0" shrinkToFit="0" vertical="center" wrapText="1"/>
    </xf>
    <xf borderId="0" fillId="3" fontId="0" numFmtId="165"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3" fontId="7"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4" fontId="15" numFmtId="0" xfId="0" applyAlignment="1" applyFill="1" applyFont="1">
      <alignment horizontal="center" readingOrder="0" shrinkToFit="0" vertical="center" wrapText="1"/>
    </xf>
    <xf borderId="0" fillId="5" fontId="16" numFmtId="0" xfId="0" applyAlignment="1" applyFill="1" applyFont="1">
      <alignment horizontal="center" readingOrder="0" shrinkToFit="0" vertical="center" wrapText="1"/>
    </xf>
    <xf borderId="0" fillId="0" fontId="7" numFmtId="169" xfId="0" applyAlignment="1" applyFont="1" applyNumberFormat="1">
      <alignment horizontal="center" readingOrder="0" shrinkToFit="0" vertical="center" wrapText="1"/>
    </xf>
    <xf borderId="0" fillId="5" fontId="0"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5" fontId="18" numFmtId="0" xfId="0" applyAlignment="1" applyFont="1">
      <alignment readingOrder="0" shrinkToFit="0" vertical="center" wrapText="1"/>
    </xf>
    <xf borderId="0" fillId="0" fontId="19"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20" numFmtId="0" xfId="0" applyAlignment="1" applyFont="1">
      <alignment horizontal="center" shrinkToFit="0" vertical="center" wrapText="1"/>
    </xf>
    <xf borderId="0" fillId="2" fontId="20" numFmtId="0" xfId="0" applyAlignment="1" applyFont="1">
      <alignment horizontal="center" shrinkToFit="0" vertical="center" wrapText="1"/>
    </xf>
    <xf borderId="0" fillId="0" fontId="21" numFmtId="0" xfId="0" applyAlignment="1" applyFont="1">
      <alignment horizontal="center" readingOrder="0" shrinkToFit="0" vertical="center" wrapText="1"/>
    </xf>
    <xf borderId="0" fillId="0" fontId="7" numFmtId="164" xfId="0" applyAlignment="1" applyFont="1" applyNumberFormat="1">
      <alignment horizontal="center" readingOrder="0" shrinkToFit="0" vertical="center" wrapText="1"/>
    </xf>
    <xf borderId="0" fillId="0" fontId="7" numFmtId="165" xfId="0" applyAlignment="1" applyFont="1" applyNumberFormat="1">
      <alignment horizontal="center" readingOrder="0" shrinkToFit="0" vertical="center" wrapText="1"/>
    </xf>
    <xf borderId="0" fillId="0" fontId="7" numFmtId="168" xfId="0" applyAlignment="1" applyFont="1" applyNumberFormat="1">
      <alignment horizontal="center" readingOrder="0" shrinkToFit="0" vertical="center" wrapText="1"/>
    </xf>
    <xf borderId="0" fillId="0" fontId="22" numFmtId="0" xfId="0" applyAlignment="1" applyFont="1">
      <alignment horizontal="center" shrinkToFit="0" vertical="center" wrapText="1"/>
    </xf>
    <xf borderId="0" fillId="0" fontId="0" numFmtId="170" xfId="0" applyAlignment="1" applyFont="1" applyNumberFormat="1">
      <alignment horizontal="center" readingOrder="0" shrinkToFit="0" vertical="center" wrapText="1"/>
    </xf>
    <xf borderId="0" fillId="0" fontId="7" numFmtId="170" xfId="0" applyAlignment="1" applyFont="1" applyNumberFormat="1">
      <alignment horizontal="center" readingOrder="0" shrinkToFit="0" vertical="center" wrapText="1"/>
    </xf>
    <xf borderId="0" fillId="0" fontId="0" numFmtId="171" xfId="0" applyAlignment="1" applyFont="1" applyNumberFormat="1">
      <alignment horizontal="center" readingOrder="0" shrinkToFit="0" vertical="center" wrapText="1"/>
    </xf>
    <xf borderId="0" fillId="0" fontId="0" numFmtId="0" xfId="0" applyAlignment="1" applyFont="1">
      <alignment horizontal="center" shrinkToFit="0" vertical="center" wrapText="1"/>
    </xf>
    <xf borderId="0" fillId="0" fontId="22" numFmtId="0" xfId="0" applyAlignment="1" applyFont="1">
      <alignment horizontal="center" shrinkToFit="0" wrapText="1"/>
    </xf>
    <xf borderId="0" fillId="0" fontId="7" numFmtId="172" xfId="0" applyAlignment="1" applyFont="1" applyNumberFormat="1">
      <alignment horizontal="center" readingOrder="0" shrinkToFit="0" vertical="center" wrapText="1"/>
    </xf>
    <xf borderId="0" fillId="0" fontId="7" numFmtId="0" xfId="0" applyAlignment="1" applyFont="1">
      <alignment horizontal="center" shrinkToFit="0" vertical="center" wrapText="1"/>
    </xf>
    <xf borderId="0" fillId="0" fontId="7" numFmtId="164" xfId="0" applyAlignment="1" applyFont="1" applyNumberFormat="1">
      <alignment horizontal="center" shrinkToFit="0" vertical="center" wrapText="1"/>
    </xf>
    <xf borderId="0" fillId="0" fontId="22" numFmtId="0" xfId="0" applyAlignment="1" applyFont="1">
      <alignment horizontal="center" readingOrder="0" shrinkToFit="0" vertical="center" wrapText="1"/>
    </xf>
    <xf borderId="0" fillId="0" fontId="0" numFmtId="165" xfId="0" applyAlignment="1" applyFont="1" applyNumberFormat="1">
      <alignment horizontal="center" shrinkToFit="0" vertical="center" wrapText="1"/>
    </xf>
    <xf borderId="0" fillId="0" fontId="7" numFmtId="0" xfId="0" applyAlignment="1" applyFont="1">
      <alignment horizontal="center" readingOrder="0"/>
    </xf>
    <xf borderId="0" fillId="0" fontId="23" numFmtId="0" xfId="0" applyAlignment="1" applyFont="1">
      <alignment horizontal="center" vertical="bottom"/>
    </xf>
    <xf borderId="0" fillId="0" fontId="24" numFmtId="0" xfId="0" applyAlignment="1" applyFont="1">
      <alignment horizontal="center" readingOrder="0" shrinkToFit="0" vertical="top" wrapText="1"/>
    </xf>
    <xf borderId="0" fillId="0" fontId="7" numFmtId="0" xfId="0" applyAlignment="1" applyFont="1">
      <alignment horizontal="center"/>
    </xf>
    <xf borderId="0" fillId="0" fontId="7" numFmtId="0" xfId="0" applyAlignment="1" applyFont="1">
      <alignment horizontal="center" shrinkToFit="0" wrapText="1"/>
    </xf>
    <xf borderId="0" fillId="0" fontId="24" numFmtId="0" xfId="0" applyAlignment="1" applyFont="1">
      <alignment horizontal="center" readingOrder="0"/>
    </xf>
    <xf borderId="0" fillId="0" fontId="24" numFmtId="0" xfId="0" applyAlignment="1" applyFont="1">
      <alignment horizontal="center" shrinkToFit="0" vertical="top" wrapText="1"/>
    </xf>
    <xf borderId="0" fillId="0" fontId="23" numFmtId="0" xfId="0" applyAlignment="1" applyFont="1">
      <alignment horizontal="center" shrinkToFit="0" vertical="bottom" wrapText="1"/>
    </xf>
    <xf borderId="0" fillId="0" fontId="23" numFmtId="0" xfId="0" applyAlignment="1" applyFont="1">
      <alignment horizontal="center" readingOrder="0" vertical="bottom"/>
    </xf>
    <xf borderId="0" fillId="0" fontId="23" numFmtId="0" xfId="0" applyAlignment="1" applyFont="1">
      <alignment horizontal="center" readingOrder="0" vertical="bottom"/>
    </xf>
    <xf borderId="0" fillId="0" fontId="24" numFmtId="0" xfId="0" applyAlignment="1" applyFont="1">
      <alignment horizontal="center" shrinkToFit="0" vertical="top" wrapText="0"/>
    </xf>
    <xf borderId="0" fillId="0" fontId="7" numFmtId="0" xfId="0" applyAlignment="1" applyFont="1">
      <alignment horizontal="center" readingOrder="0"/>
    </xf>
    <xf borderId="0" fillId="0" fontId="7" numFmtId="0" xfId="0" applyAlignment="1" applyFont="1">
      <alignment horizontal="left" readingOrder="0"/>
    </xf>
    <xf borderId="0" fillId="0" fontId="7" numFmtId="0" xfId="0" applyAlignment="1" applyFont="1">
      <alignment horizontal="center" readingOrder="0" shrinkToFit="0" wrapText="1"/>
    </xf>
    <xf borderId="0" fillId="0" fontId="25" numFmtId="0" xfId="0" applyAlignment="1" applyFont="1">
      <alignment horizontal="center" readingOrder="0" shrinkToFit="0" vertical="top" wrapText="0"/>
    </xf>
    <xf borderId="0" fillId="0" fontId="25" numFmtId="0" xfId="0" applyAlignment="1" applyFont="1">
      <alignment horizontal="center" readingOrder="0" shrinkToFit="0" wrapText="1"/>
    </xf>
    <xf borderId="0" fillId="0" fontId="25" numFmtId="0" xfId="0" applyAlignment="1" applyFont="1">
      <alignment horizontal="center" readingOrder="0"/>
    </xf>
    <xf borderId="0" fillId="0" fontId="25" numFmtId="0" xfId="0" applyAlignment="1" applyFont="1">
      <alignment horizontal="center" readingOrder="0" shrinkToFit="0" vertical="top" wrapText="1"/>
    </xf>
    <xf borderId="0" fillId="0" fontId="1" numFmtId="3" xfId="0" applyAlignment="1" applyFont="1" applyNumberFormat="1">
      <alignment readingOrder="0"/>
    </xf>
    <xf borderId="0" fillId="0" fontId="1" numFmtId="173" xfId="0" applyAlignment="1" applyFont="1" applyNumberFormat="1">
      <alignment readingOrder="0"/>
    </xf>
    <xf borderId="0" fillId="0" fontId="26" numFmtId="1" xfId="0" applyAlignment="1" applyFont="1" applyNumberFormat="1">
      <alignment readingOrder="0" shrinkToFit="0" vertical="bottom" wrapText="0"/>
    </xf>
    <xf borderId="0" fillId="0" fontId="26" numFmtId="0" xfId="0" applyAlignment="1" applyFont="1">
      <alignment readingOrder="0" shrinkToFit="0" vertical="bottom" wrapText="0"/>
    </xf>
    <xf borderId="0" fillId="0" fontId="26" numFmtId="1" xfId="0" applyAlignment="1" applyFont="1" applyNumberFormat="1">
      <alignment horizontal="right" readingOrder="0" shrinkToFit="0" vertical="bottom" wrapText="0"/>
    </xf>
    <xf borderId="0" fillId="0" fontId="26" numFmtId="173" xfId="0" applyAlignment="1" applyFont="1" applyNumberFormat="1">
      <alignment readingOrder="0" shrinkToFit="0" vertical="bottom" wrapText="0"/>
    </xf>
    <xf borderId="2" fillId="0" fontId="27" numFmtId="0" xfId="0" applyAlignment="1" applyBorder="1" applyFont="1">
      <alignment horizontal="center" readingOrder="0" shrinkToFit="0" vertical="bottom" wrapText="1"/>
    </xf>
    <xf borderId="2" fillId="0" fontId="27" numFmtId="0" xfId="0" applyAlignment="1" applyBorder="1" applyFont="1">
      <alignment horizontal="left" readingOrder="0" shrinkToFit="0" vertical="bottom" wrapText="1"/>
    </xf>
    <xf borderId="2" fillId="0" fontId="28" numFmtId="0" xfId="0" applyAlignment="1" applyBorder="1" applyFont="1">
      <alignment horizontal="left" shrinkToFit="0" vertical="bottom" wrapText="1"/>
    </xf>
    <xf borderId="0" fillId="0" fontId="20" numFmtId="0" xfId="0" applyAlignment="1" applyFont="1">
      <alignment horizontal="left" shrinkToFit="0" vertical="bottom" wrapText="1"/>
    </xf>
    <xf borderId="0" fillId="0" fontId="15" numFmtId="0" xfId="0" applyAlignment="1" applyFont="1">
      <alignment horizontal="left" shrinkToFit="0" wrapText="1"/>
    </xf>
    <xf borderId="2" fillId="0" fontId="29" numFmtId="0" xfId="0" applyAlignment="1" applyBorder="1" applyFont="1">
      <alignment horizontal="center" readingOrder="0" vertical="top"/>
    </xf>
    <xf borderId="2" fillId="3" fontId="29" numFmtId="0" xfId="0" applyAlignment="1" applyBorder="1" applyFont="1">
      <alignment readingOrder="0" shrinkToFit="0" vertical="top" wrapText="1"/>
    </xf>
    <xf borderId="2" fillId="6" fontId="30" numFmtId="0" xfId="0" applyAlignment="1" applyBorder="1" applyFill="1" applyFont="1">
      <alignment vertical="top"/>
    </xf>
    <xf borderId="2" fillId="6" fontId="29" numFmtId="0" xfId="0" applyAlignment="1" applyBorder="1" applyFont="1">
      <alignment readingOrder="0" vertical="top"/>
    </xf>
    <xf borderId="2" fillId="6" fontId="31" numFmtId="0" xfId="0" applyAlignment="1" applyBorder="1" applyFont="1">
      <alignment vertical="top"/>
    </xf>
    <xf borderId="2" fillId="6" fontId="22" numFmtId="0" xfId="0" applyAlignment="1" applyBorder="1" applyFont="1">
      <alignment vertical="top"/>
    </xf>
    <xf borderId="3" fillId="6" fontId="22" numFmtId="0" xfId="0" applyAlignment="1" applyBorder="1" applyFont="1">
      <alignment vertical="top"/>
    </xf>
    <xf borderId="0" fillId="6" fontId="22" numFmtId="0" xfId="0" applyAlignment="1" applyFont="1">
      <alignment vertical="bottom"/>
    </xf>
    <xf borderId="0" fillId="6" fontId="1" numFmtId="0" xfId="0" applyFont="1"/>
    <xf borderId="2" fillId="6" fontId="30" numFmtId="0" xfId="0" applyAlignment="1" applyBorder="1" applyFont="1">
      <alignment shrinkToFit="0" vertical="top" wrapText="1"/>
    </xf>
    <xf borderId="2" fillId="3" fontId="22" numFmtId="0" xfId="0" applyAlignment="1" applyBorder="1" applyFont="1">
      <alignment readingOrder="0" shrinkToFit="0" vertical="bottom" wrapText="1"/>
    </xf>
    <xf borderId="2" fillId="6" fontId="22" numFmtId="0" xfId="0" applyAlignment="1" applyBorder="1" applyFont="1">
      <alignment readingOrder="0" vertical="bottom"/>
    </xf>
    <xf borderId="2" fillId="6" fontId="22" numFmtId="0" xfId="0" applyAlignment="1" applyBorder="1" applyFont="1">
      <alignment vertical="bottom"/>
    </xf>
    <xf borderId="3" fillId="6" fontId="22" numFmtId="0" xfId="0" applyAlignment="1" applyBorder="1" applyFont="1">
      <alignment vertical="bottom"/>
    </xf>
    <xf borderId="2" fillId="3" fontId="29" numFmtId="0" xfId="0" applyAlignment="1" applyBorder="1" applyFont="1">
      <alignment readingOrder="0" vertical="top"/>
    </xf>
    <xf borderId="2" fillId="3" fontId="30" numFmtId="0" xfId="0" applyAlignment="1" applyBorder="1" applyFont="1">
      <alignment vertical="top"/>
    </xf>
    <xf borderId="2" fillId="3" fontId="32" numFmtId="0" xfId="0" applyAlignment="1" applyBorder="1" applyFont="1">
      <alignment vertical="top"/>
    </xf>
    <xf borderId="2" fillId="3" fontId="33" numFmtId="0" xfId="0" applyAlignment="1" applyBorder="1" applyFont="1">
      <alignment vertical="top"/>
    </xf>
    <xf borderId="3" fillId="3" fontId="22" numFmtId="0" xfId="0" applyAlignment="1" applyBorder="1" applyFont="1">
      <alignment vertical="top"/>
    </xf>
    <xf borderId="0" fillId="3" fontId="22" numFmtId="0" xfId="0" applyAlignment="1" applyFont="1">
      <alignment vertical="bottom"/>
    </xf>
    <xf borderId="0" fillId="3" fontId="1" numFmtId="0" xfId="0" applyFont="1"/>
    <xf borderId="2" fillId="3" fontId="34" numFmtId="0" xfId="0" applyAlignment="1" applyBorder="1" applyFont="1">
      <alignment vertical="top"/>
    </xf>
    <xf borderId="2" fillId="3" fontId="30" numFmtId="0" xfId="0" applyAlignment="1" applyBorder="1" applyFont="1">
      <alignment readingOrder="0" shrinkToFit="0" vertical="top" wrapText="1"/>
    </xf>
    <xf borderId="2" fillId="3" fontId="22" numFmtId="0" xfId="0" applyAlignment="1" applyBorder="1" applyFont="1">
      <alignment vertical="top"/>
    </xf>
    <xf borderId="2" fillId="3" fontId="22" numFmtId="0" xfId="0" applyAlignment="1" applyBorder="1" applyFont="1">
      <alignment readingOrder="0" vertical="bottom"/>
    </xf>
    <xf borderId="2" fillId="3" fontId="22" numFmtId="0" xfId="0" applyAlignment="1" applyBorder="1" applyFont="1">
      <alignment vertical="bottom"/>
    </xf>
    <xf borderId="3" fillId="3" fontId="22" numFmtId="0" xfId="0" applyAlignment="1" applyBorder="1" applyFont="1">
      <alignment vertical="bottom"/>
    </xf>
    <xf borderId="2" fillId="3" fontId="30" numFmtId="0" xfId="0" applyAlignment="1" applyBorder="1" applyFont="1">
      <alignment readingOrder="0" vertical="top"/>
    </xf>
    <xf borderId="2" fillId="7" fontId="30" numFmtId="0" xfId="0" applyAlignment="1" applyBorder="1" applyFill="1" applyFont="1">
      <alignment shrinkToFit="0" vertical="top" wrapText="1"/>
    </xf>
    <xf borderId="2" fillId="7" fontId="30" numFmtId="0" xfId="0" applyAlignment="1" applyBorder="1" applyFont="1">
      <alignment vertical="top"/>
    </xf>
    <xf borderId="2" fillId="7" fontId="29" numFmtId="0" xfId="0" applyAlignment="1" applyBorder="1" applyFont="1">
      <alignment readingOrder="0" vertical="top"/>
    </xf>
    <xf borderId="2" fillId="7" fontId="35" numFmtId="0" xfId="0" applyAlignment="1" applyBorder="1" applyFont="1">
      <alignment vertical="top"/>
    </xf>
    <xf borderId="2" fillId="7" fontId="22" numFmtId="0" xfId="0" applyAlignment="1" applyBorder="1" applyFont="1">
      <alignment vertical="top"/>
    </xf>
    <xf borderId="3" fillId="7" fontId="22" numFmtId="0" xfId="0" applyAlignment="1" applyBorder="1" applyFont="1">
      <alignment vertical="top"/>
    </xf>
    <xf borderId="0" fillId="7" fontId="22" numFmtId="0" xfId="0" applyAlignment="1" applyFont="1">
      <alignment vertical="bottom"/>
    </xf>
    <xf borderId="0" fillId="7" fontId="1" numFmtId="0" xfId="0" applyFont="1"/>
    <xf borderId="2" fillId="8" fontId="30" numFmtId="0" xfId="0" applyAlignment="1" applyBorder="1" applyFill="1" applyFont="1">
      <alignment readingOrder="0" shrinkToFit="0" vertical="top" wrapText="1"/>
    </xf>
    <xf borderId="2" fillId="8" fontId="30" numFmtId="0" xfId="0" applyAlignment="1" applyBorder="1" applyFont="1">
      <alignment vertical="top"/>
    </xf>
    <xf borderId="2" fillId="8" fontId="36" numFmtId="0" xfId="0" applyAlignment="1" applyBorder="1" applyFont="1">
      <alignment vertical="top"/>
    </xf>
    <xf borderId="3" fillId="8" fontId="22" numFmtId="0" xfId="0" applyAlignment="1" applyBorder="1" applyFont="1">
      <alignment vertical="top"/>
    </xf>
    <xf borderId="0" fillId="8" fontId="22" numFmtId="0" xfId="0" applyAlignment="1" applyFont="1">
      <alignment vertical="bottom"/>
    </xf>
    <xf borderId="0" fillId="8" fontId="1" numFmtId="0" xfId="0" applyFont="1"/>
    <xf borderId="2" fillId="8" fontId="29" numFmtId="0" xfId="0" applyAlignment="1" applyBorder="1" applyFont="1">
      <alignment readingOrder="0" vertical="top"/>
    </xf>
    <xf borderId="2" fillId="8" fontId="22" numFmtId="0" xfId="0" applyAlignment="1" applyBorder="1" applyFont="1">
      <alignment vertical="top"/>
    </xf>
    <xf borderId="2" fillId="7" fontId="29" numFmtId="0" xfId="0" applyAlignment="1" applyBorder="1" applyFont="1">
      <alignment readingOrder="0" shrinkToFit="0" vertical="top" wrapText="1"/>
    </xf>
    <xf borderId="2" fillId="9" fontId="29" numFmtId="0" xfId="0" applyAlignment="1" applyBorder="1" applyFill="1" applyFont="1">
      <alignment readingOrder="0" shrinkToFit="0" vertical="top" wrapText="1"/>
    </xf>
    <xf borderId="2" fillId="9" fontId="30" numFmtId="0" xfId="0" applyAlignment="1" applyBorder="1" applyFont="1">
      <alignment vertical="top"/>
    </xf>
    <xf borderId="2" fillId="9" fontId="29" numFmtId="0" xfId="0" applyAlignment="1" applyBorder="1" applyFont="1">
      <alignment readingOrder="0" vertical="top"/>
    </xf>
    <xf borderId="2" fillId="9" fontId="37" numFmtId="0" xfId="0" applyAlignment="1" applyBorder="1" applyFont="1">
      <alignment vertical="top"/>
    </xf>
    <xf borderId="2" fillId="9" fontId="38" numFmtId="0" xfId="0" applyAlignment="1" applyBorder="1" applyFont="1">
      <alignment vertical="top"/>
    </xf>
    <xf borderId="3" fillId="9" fontId="22" numFmtId="0" xfId="0" applyAlignment="1" applyBorder="1" applyFont="1">
      <alignment vertical="top"/>
    </xf>
    <xf borderId="0" fillId="9" fontId="22" numFmtId="0" xfId="0" applyAlignment="1" applyFont="1">
      <alignment vertical="bottom"/>
    </xf>
    <xf borderId="0" fillId="9" fontId="1" numFmtId="0" xfId="0" applyFont="1"/>
    <xf borderId="2" fillId="6" fontId="29" numFmtId="0" xfId="0" applyAlignment="1" applyBorder="1" applyFont="1">
      <alignment readingOrder="0" shrinkToFit="0" vertical="top" wrapText="1"/>
    </xf>
    <xf borderId="2" fillId="0" fontId="30" numFmtId="0" xfId="0" applyAlignment="1" applyBorder="1" applyFont="1">
      <alignment vertical="top"/>
    </xf>
    <xf borderId="2" fillId="0" fontId="39" numFmtId="0" xfId="0" applyAlignment="1" applyBorder="1" applyFont="1">
      <alignment vertical="top"/>
    </xf>
    <xf borderId="2" fillId="0" fontId="22" numFmtId="0" xfId="0" applyAlignment="1" applyBorder="1" applyFont="1">
      <alignment vertical="top"/>
    </xf>
    <xf borderId="4" fillId="0" fontId="22" numFmtId="0" xfId="0" applyAlignment="1" applyBorder="1" applyFont="1">
      <alignment vertical="top"/>
    </xf>
    <xf borderId="0" fillId="0" fontId="22" numFmtId="0" xfId="0" applyAlignment="1" applyFont="1">
      <alignment vertical="bottom"/>
    </xf>
    <xf borderId="2" fillId="0" fontId="22" numFmtId="0" xfId="0" applyAlignment="1" applyBorder="1" applyFont="1">
      <alignment vertical="bottom"/>
    </xf>
    <xf borderId="2" fillId="0" fontId="1" numFmtId="0" xfId="0" applyBorder="1" applyFont="1"/>
    <xf borderId="3" fillId="0" fontId="22" numFmtId="0" xfId="0" applyAlignment="1" applyBorder="1" applyFont="1">
      <alignment vertical="top"/>
    </xf>
    <xf borderId="2" fillId="0" fontId="40" numFmtId="0" xfId="0" applyAlignment="1" applyBorder="1" applyFont="1">
      <alignment vertical="top"/>
    </xf>
    <xf borderId="2" fillId="0" fontId="30" numFmtId="0" xfId="0" applyAlignment="1" applyBorder="1" applyFont="1">
      <alignment horizontal="center" vertical="top"/>
    </xf>
    <xf borderId="2" fillId="10" fontId="30" numFmtId="0" xfId="0" applyAlignment="1" applyBorder="1" applyFill="1" applyFont="1">
      <alignment shrinkToFit="0" vertical="top" wrapText="1"/>
    </xf>
    <xf borderId="2" fillId="10" fontId="30" numFmtId="0" xfId="0" applyAlignment="1" applyBorder="1" applyFont="1">
      <alignment vertical="top"/>
    </xf>
    <xf borderId="2" fillId="10" fontId="41" numFmtId="0" xfId="0" applyAlignment="1" applyBorder="1" applyFont="1">
      <alignment vertical="top"/>
    </xf>
    <xf borderId="3" fillId="10" fontId="22" numFmtId="0" xfId="0" applyAlignment="1" applyBorder="1" applyFont="1">
      <alignment vertical="top"/>
    </xf>
    <xf borderId="0" fillId="10" fontId="22" numFmtId="0" xfId="0" applyAlignment="1" applyFont="1">
      <alignment vertical="bottom"/>
    </xf>
    <xf borderId="0" fillId="10" fontId="1" numFmtId="0" xfId="0" applyFont="1"/>
    <xf borderId="2" fillId="9" fontId="30" numFmtId="0" xfId="0" applyAlignment="1" applyBorder="1" applyFont="1">
      <alignment shrinkToFit="0" vertical="top" wrapText="1"/>
    </xf>
    <xf borderId="2" fillId="9" fontId="22" numFmtId="0" xfId="0" applyAlignment="1" applyBorder="1" applyFont="1">
      <alignment vertical="top"/>
    </xf>
    <xf borderId="2" fillId="10" fontId="29" numFmtId="0" xfId="0" applyAlignment="1" applyBorder="1" applyFont="1">
      <alignment readingOrder="0" vertical="top"/>
    </xf>
    <xf borderId="2" fillId="10" fontId="29" numFmtId="0" xfId="0" applyAlignment="1" applyBorder="1" applyFont="1">
      <alignment vertical="top"/>
    </xf>
    <xf borderId="2" fillId="10" fontId="22" numFmtId="0" xfId="0" applyAlignment="1" applyBorder="1" applyFont="1">
      <alignment vertical="top"/>
    </xf>
    <xf borderId="2" fillId="10" fontId="42" numFmtId="0" xfId="0" applyAlignment="1" applyBorder="1" applyFont="1">
      <alignment vertical="top"/>
    </xf>
    <xf borderId="0" fillId="0" fontId="22" numFmtId="0" xfId="0" applyAlignment="1" applyFont="1">
      <alignment horizontal="center" vertical="bottom"/>
    </xf>
    <xf borderId="0" fillId="0" fontId="22" numFmtId="0" xfId="0" applyAlignment="1" applyFont="1">
      <alignment shrinkToFit="0" vertical="bottom" wrapText="1"/>
    </xf>
    <xf borderId="0" fillId="0" fontId="22" numFmtId="11" xfId="0" applyAlignment="1" applyFont="1" applyNumberForma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heers4Careers Info Update Fo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1276350</xdr:colOff>
      <xdr:row>0</xdr:row>
      <xdr:rowOff>171450</xdr:rowOff>
    </xdr:from>
    <xdr:ext cx="1581150" cy="457200"/>
    <xdr:sp>
      <xdr:nvSpPr>
        <xdr:cNvPr id="3" name="Shape 3"/>
        <xdr:cNvSpPr/>
      </xdr:nvSpPr>
      <xdr:spPr>
        <a:xfrm>
          <a:off x="2198550" y="1819075"/>
          <a:ext cx="2686800" cy="7662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Refresh Hyperlinks</a:t>
          </a:r>
          <a:endParaRPr b="1"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C1:AE1864" sheet="Interns"/>
  </cacheSource>
  <cacheFields>
    <cacheField name="Programs Participated In" numFmtId="0">
      <sharedItems containsBlank="1">
        <s v="DL"/>
        <s v="FY"/>
        <s v="EL"/>
        <s v="FY, EY"/>
        <s v="AL"/>
        <s v="IL"/>
        <s v="Seminars"/>
        <s v="Duplicate/TEST"/>
        <m/>
        <s v="Partner Program Participant"/>
        <s v="Prospective FY "/>
      </sharedItems>
    </cacheField>
    <cacheField name="Ambassador" numFmtId="0">
      <sharedItems containsBlank="1">
        <s v="Yes"/>
        <m/>
      </sharedItems>
    </cacheField>
    <cacheField name="Year" numFmtId="0">
      <sharedItems containsBlank="1">
        <s v="22 - 23"/>
        <s v="20 - 21"/>
        <s v="21 - 22"/>
        <s v="23 - 24"/>
        <s v="17-18, 19 - 20"/>
        <s v="24 - 25"/>
        <s v="17-18"/>
        <s v="19 - 20"/>
        <s v="19 - 20, 20 - 21"/>
        <s v="25 - 26"/>
        <s v="21 - 22, 20 - 21"/>
        <s v="22 - 23, 23 - 24"/>
        <s v="21 - 22, 22 - 23"/>
        <s v="21 - 22, 22 - 23, 20 - 21"/>
        <s v="20 - 21, 21 - 22"/>
        <m/>
        <s v="22 - 23, 20 - 21"/>
        <s v="21 - 22, 23 - 2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ta and Count" cacheId="0" dataCaption="" compact="0" compactData="0">
  <location ref="A2:S11" firstHeaderRow="0" firstDataRow="1" firstDataCol="1"/>
  <pivotFields>
    <pivotField name="Programs Participated In" axis="axisRow" dataField="1" compact="0" outline="0" multipleItemSelectionAllowed="1" showAll="0" sortType="ascending">
      <items>
        <item h="1" x="8"/>
        <item x="4"/>
        <item x="0"/>
        <item h="1" x="7"/>
        <item x="2"/>
        <item x="1"/>
        <item x="3"/>
        <item x="5"/>
        <item h="1" x="9"/>
        <item h="1" x="10"/>
        <item x="6"/>
        <item t="default"/>
      </items>
    </pivotField>
    <pivotField name="Ambassador" compact="0" outline="0" multipleItemSelectionAllowed="1" showAll="0">
      <items>
        <item x="0"/>
        <item x="1"/>
        <item t="default"/>
      </items>
    </pivotField>
    <pivotField name="Year" axis="axisCol" compact="0" outline="0" multipleItemSelectionAllowed="1" showAll="0" sortType="ascending">
      <items>
        <item x="15"/>
        <item x="6"/>
        <item x="4"/>
        <item x="7"/>
        <item x="8"/>
        <item x="1"/>
        <item x="14"/>
        <item x="2"/>
        <item x="10"/>
        <item x="12"/>
        <item x="13"/>
        <item x="17"/>
        <item x="0"/>
        <item x="16"/>
        <item x="11"/>
        <item x="3"/>
        <item x="5"/>
        <item x="9"/>
        <item t="default"/>
      </items>
    </pivotField>
  </pivotFields>
  <rowFields>
    <field x="0"/>
  </rowFields>
  <colFields>
    <field x="2"/>
  </colFields>
  <dataFields>
    <dataField name="COUNTA of Programs Participated In" fld="0" subtotal="count" baseField="0"/>
  </dataFields>
</pivotTableDefinition>
</file>

<file path=xl/tables/table1.xml><?xml version="1.0" encoding="utf-8"?>
<table xmlns="http://schemas.openxmlformats.org/spreadsheetml/2006/main" ref="A1:L25" displayName="Form_Responses" name="Form_Responses" id="1">
  <tableColumns count="12">
    <tableColumn name="Timestamp" id="1"/>
    <tableColumn name="Email Address" id="2"/>
    <tableColumn name="Full Name" id="3"/>
    <tableColumn name="Full Address with Zip Code (this will help us identify opportunities for you)" id="4"/>
    <tableColumn name="Phone Number" id="5"/>
    <tableColumn name="What is your current career interest?" id="6"/>
    <tableColumn name="What school do you attend? (If you're not in school, put N/A)" id="7"/>
    <tableColumn name="Do you have a job? If so, what company are you with and what do you do? (If you are not currently employed, put N/A)" id="8"/>
    <tableColumn name="Are you looking for an internship or job? Tell us more. " id="9"/>
    <tableColumn name="What #Cheers4Careers event are you attending? (Provide the date and location)" id="10"/>
    <tableColumn name="Would you like to participate in the following (please select all that you're interested in)" id="11"/>
    <tableColumn name="Please let us know if you have any food allergies or food restrictions " id="12"/>
  </tableColumns>
  <tableStyleInfo name="#Cheers4Careers Info Update F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90" Type="http://schemas.openxmlformats.org/officeDocument/2006/relationships/hyperlink" Target="mailto:elinan@peacecorps.gov" TargetMode="External"/><Relationship Id="rId194" Type="http://schemas.openxmlformats.org/officeDocument/2006/relationships/hyperlink" Target="https://docs.google.com/spreadsheets/d/1zYZsEsUMaTmT-tAV-zzQz_jWiglpLHe7SvCMbCBfnWU/edit" TargetMode="External"/><Relationship Id="rId193" Type="http://schemas.openxmlformats.org/officeDocument/2006/relationships/hyperlink" Target="mailto:ellerie.vaughn@outlook.com" TargetMode="External"/><Relationship Id="rId192" Type="http://schemas.openxmlformats.org/officeDocument/2006/relationships/hyperlink" Target="mailto:elizabethj.pierson@yahoo.com" TargetMode="External"/><Relationship Id="rId191" Type="http://schemas.openxmlformats.org/officeDocument/2006/relationships/hyperlink" Target="https://docs.google.com/spreadsheets/d/1zYZsEsUMaTmT-tAV-zzQz_jWiglpLHe7SvCMbCBfnWU/edit" TargetMode="External"/><Relationship Id="rId187" Type="http://schemas.openxmlformats.org/officeDocument/2006/relationships/hyperlink" Target="mailto:eeb6@williams.edu" TargetMode="External"/><Relationship Id="rId186" Type="http://schemas.openxmlformats.org/officeDocument/2006/relationships/hyperlink" Target="https://docs.google.com/spreadsheets/d/1zYZsEsUMaTmT-tAV-zzQz_jWiglpLHe7SvCMbCBfnWU/edit" TargetMode="External"/><Relationship Id="rId185" Type="http://schemas.openxmlformats.org/officeDocument/2006/relationships/hyperlink" Target="mailto:dwayne.taylor@nashville.gov" TargetMode="External"/><Relationship Id="rId184" Type="http://schemas.openxmlformats.org/officeDocument/2006/relationships/hyperlink" Target="https://docs.google.com/spreadsheets/d/1zYZsEsUMaTmT-tAV-zzQz_jWiglpLHe7SvCMbCBfnWU/edit" TargetMode="External"/><Relationship Id="rId189" Type="http://schemas.openxmlformats.org/officeDocument/2006/relationships/hyperlink" Target="https://docs.google.com/spreadsheets/d/1zYZsEsUMaTmT-tAV-zzQz_jWiglpLHe7SvCMbCBfnWU/edit" TargetMode="External"/><Relationship Id="rId188" Type="http://schemas.openxmlformats.org/officeDocument/2006/relationships/hyperlink" Target="mailto:egeorge@umassglobal.edu" TargetMode="External"/><Relationship Id="rId183" Type="http://schemas.openxmlformats.org/officeDocument/2006/relationships/hyperlink" Target="mailto:drlongoriaa@gmail.com" TargetMode="External"/><Relationship Id="rId182" Type="http://schemas.openxmlformats.org/officeDocument/2006/relationships/hyperlink" Target="https://docs.google.com/spreadsheets/d/1zYZsEsUMaTmT-tAV-zzQz_jWiglpLHe7SvCMbCBfnWU/edit" TargetMode="External"/><Relationship Id="rId181" Type="http://schemas.openxmlformats.org/officeDocument/2006/relationships/hyperlink" Target="mailto:DrJMCadenhead@gmail.com" TargetMode="External"/><Relationship Id="rId180" Type="http://schemas.openxmlformats.org/officeDocument/2006/relationships/hyperlink" Target="mailto:dorotheaweston@yahoo.com" TargetMode="External"/><Relationship Id="rId176" Type="http://schemas.openxmlformats.org/officeDocument/2006/relationships/hyperlink" Target="mailto:divyasharma.cmu@gmail.com" TargetMode="External"/><Relationship Id="rId175" Type="http://schemas.openxmlformats.org/officeDocument/2006/relationships/hyperlink" Target="mailto:Divyakarkisw@gmail.com" TargetMode="External"/><Relationship Id="rId174" Type="http://schemas.openxmlformats.org/officeDocument/2006/relationships/hyperlink" Target="https://docs.google.com/spreadsheets/d/1zYZsEsUMaTmT-tAV-zzQz_jWiglpLHe7SvCMbCBfnWU/edit" TargetMode="External"/><Relationship Id="rId173" Type="http://schemas.openxmlformats.org/officeDocument/2006/relationships/hyperlink" Target="mailto:divpad92@gmail.com" TargetMode="External"/><Relationship Id="rId179" Type="http://schemas.openxmlformats.org/officeDocument/2006/relationships/hyperlink" Target="mailto:dorcasadekunle@gmail.com" TargetMode="External"/><Relationship Id="rId178" Type="http://schemas.openxmlformats.org/officeDocument/2006/relationships/hyperlink" Target="https://docs.google.com/spreadsheets/d/1zYZsEsUMaTmT-tAV-zzQz_jWiglpLHe7SvCMbCBfnWU/edit" TargetMode="External"/><Relationship Id="rId177" Type="http://schemas.openxmlformats.org/officeDocument/2006/relationships/hyperlink" Target="mailto:donald.johnson31@gmail.com" TargetMode="External"/><Relationship Id="rId198" Type="http://schemas.openxmlformats.org/officeDocument/2006/relationships/hyperlink" Target="mailto:epadilla@aguadilla.inter.edu" TargetMode="External"/><Relationship Id="rId197" Type="http://schemas.openxmlformats.org/officeDocument/2006/relationships/hyperlink" Target="https://docs.google.com/spreadsheets/d/1zYZsEsUMaTmT-tAV-zzQz_jWiglpLHe7SvCMbCBfnWU/edit" TargetMode="External"/><Relationship Id="rId196" Type="http://schemas.openxmlformats.org/officeDocument/2006/relationships/hyperlink" Target="mailto:emily.davis3.ucsf@gmail.com" TargetMode="External"/><Relationship Id="rId195" Type="http://schemas.openxmlformats.org/officeDocument/2006/relationships/hyperlink" Target="mailto:elonevan.stein@bison.howard.edu" TargetMode="External"/><Relationship Id="rId199" Type="http://schemas.openxmlformats.org/officeDocument/2006/relationships/hyperlink" Target="https://docs.google.com/spreadsheets/d/1zYZsEsUMaTmT-tAV-zzQz_jWiglpLHe7SvCMbCBfnWU/edit" TargetMode="External"/><Relationship Id="rId150" Type="http://schemas.openxmlformats.org/officeDocument/2006/relationships/hyperlink" Target="mailto:danielarusso06@gmail.com" TargetMode="External"/><Relationship Id="rId392" Type="http://schemas.openxmlformats.org/officeDocument/2006/relationships/hyperlink" Target="mailto:madrigal@adobe.com" TargetMode="External"/><Relationship Id="rId391" Type="http://schemas.openxmlformats.org/officeDocument/2006/relationships/hyperlink" Target="https://docs.google.com/spreadsheets/d/1zYZsEsUMaTmT-tAV-zzQz_jWiglpLHe7SvCMbCBfnWU/edit" TargetMode="External"/><Relationship Id="rId390" Type="http://schemas.openxmlformats.org/officeDocument/2006/relationships/hyperlink" Target="http://orum.io" TargetMode="External"/><Relationship Id="rId1" Type="http://schemas.openxmlformats.org/officeDocument/2006/relationships/hyperlink" Target="https://nysboe.maps.arcgis.com/apps/instant/lookup/index.html?appid=0a08fa8c5ea2400d86ab65daa5aa4f0e" TargetMode="External"/><Relationship Id="rId2" Type="http://schemas.openxmlformats.org/officeDocument/2006/relationships/hyperlink" Target="https://nysboe.maps.arcgis.com/apps/instant/lookup/index.html?appid=0a08fa8c5ea2400d86ab65daa5aa4f0e" TargetMode="External"/><Relationship Id="rId3" Type="http://schemas.openxmlformats.org/officeDocument/2006/relationships/hyperlink" Target="https://nysboe.maps.arcgis.com/apps/instant/lookup/index.html?appid=0a08fa8c5ea2400d86ab65daa5aa4f0e" TargetMode="External"/><Relationship Id="rId149" Type="http://schemas.openxmlformats.org/officeDocument/2006/relationships/hyperlink" Target="https://docs.google.com/spreadsheets/d/1zYZsEsUMaTmT-tAV-zzQz_jWiglpLHe7SvCMbCBfnWU/edit" TargetMode="External"/><Relationship Id="rId4" Type="http://schemas.openxmlformats.org/officeDocument/2006/relationships/hyperlink" Target="https://docs.google.com/spreadsheets/d/1nMZRa8xOcSEVItqjLY5Y6nHplt8RzukGsWpt5nEHoWo/edit?gid=0" TargetMode="External"/><Relationship Id="rId148" Type="http://schemas.openxmlformats.org/officeDocument/2006/relationships/hyperlink" Target="mailto:dandylena97@gmail.com" TargetMode="External"/><Relationship Id="rId9" Type="http://schemas.openxmlformats.org/officeDocument/2006/relationships/hyperlink" Target="https://docs.google.com/spreadsheets/d/1zYZsEsUMaTmT-tAV-zzQz_jWiglpLHe7SvCMbCBfnWU/edit" TargetMode="External"/><Relationship Id="rId143" Type="http://schemas.openxmlformats.org/officeDocument/2006/relationships/hyperlink" Target="https://docs.google.com/spreadsheets/d/1zYZsEsUMaTmT-tAV-zzQz_jWiglpLHe7SvCMbCBfnWU/edit" TargetMode="External"/><Relationship Id="rId385" Type="http://schemas.openxmlformats.org/officeDocument/2006/relationships/hyperlink" Target="https://docs.google.com/spreadsheets/d/1zYZsEsUMaTmT-tAV-zzQz_jWiglpLHe7SvCMbCBfnWU/edit" TargetMode="External"/><Relationship Id="rId142" Type="http://schemas.openxmlformats.org/officeDocument/2006/relationships/hyperlink" Target="mailto:czbowling@gmail.com" TargetMode="External"/><Relationship Id="rId384" Type="http://schemas.openxmlformats.org/officeDocument/2006/relationships/hyperlink" Target="mailto:maarciola@gmail.com" TargetMode="External"/><Relationship Id="rId141" Type="http://schemas.openxmlformats.org/officeDocument/2006/relationships/hyperlink" Target="mailto:crosborne9@gmail.com" TargetMode="External"/><Relationship Id="rId383" Type="http://schemas.openxmlformats.org/officeDocument/2006/relationships/hyperlink" Target="https://docs.google.com/spreadsheets/d/1zYZsEsUMaTmT-tAV-zzQz_jWiglpLHe7SvCMbCBfnWU/edit" TargetMode="External"/><Relationship Id="rId140" Type="http://schemas.openxmlformats.org/officeDocument/2006/relationships/hyperlink" Target="https://docs.google.com/spreadsheets/d/1zYZsEsUMaTmT-tAV-zzQz_jWiglpLHe7SvCMbCBfnWU/edit" TargetMode="External"/><Relationship Id="rId382" Type="http://schemas.openxmlformats.org/officeDocument/2006/relationships/hyperlink" Target="mailto:m.alkhalawi@gmail.com" TargetMode="External"/><Relationship Id="rId5" Type="http://schemas.openxmlformats.org/officeDocument/2006/relationships/hyperlink" Target="https://docs.google.com/spreadsheets/d/1yTh1ELC33JHYOeEdgIiEclxPRyh0zOKtlawDltfUay8/edit?gid=1312404287" TargetMode="External"/><Relationship Id="rId147" Type="http://schemas.openxmlformats.org/officeDocument/2006/relationships/hyperlink" Target="mailto:dalidajaafar@gmail.com" TargetMode="External"/><Relationship Id="rId389" Type="http://schemas.openxmlformats.org/officeDocument/2006/relationships/hyperlink" Target="mailto:madhuris.sarma@gmail.com" TargetMode="External"/><Relationship Id="rId6" Type="http://schemas.openxmlformats.org/officeDocument/2006/relationships/hyperlink" Target="https://docs.google.com/spreadsheets/d/1IIvv7Z0NKiM1ZWRkCZtrmMJo_DYJQbl4Tm63Kbt6GU8/edit?usp=sharing" TargetMode="External"/><Relationship Id="rId146" Type="http://schemas.openxmlformats.org/officeDocument/2006/relationships/hyperlink" Target="https://docs.google.com/spreadsheets/d/1zYZsEsUMaTmT-tAV-zzQz_jWiglpLHe7SvCMbCBfnWU/edit" TargetMode="External"/><Relationship Id="rId388" Type="http://schemas.openxmlformats.org/officeDocument/2006/relationships/hyperlink" Target="https://docs.google.com/spreadsheets/d/1zYZsEsUMaTmT-tAV-zzQz_jWiglpLHe7SvCMbCBfnWU/edit" TargetMode="External"/><Relationship Id="rId7" Type="http://schemas.openxmlformats.org/officeDocument/2006/relationships/hyperlink" Target="https://docs.google.com/spreadsheets/d/1zYZsEsUMaTmT-tAV-zzQz_jWiglpLHe7SvCMbCBfnWU/edit" TargetMode="External"/><Relationship Id="rId145" Type="http://schemas.openxmlformats.org/officeDocument/2006/relationships/hyperlink" Target="mailto:dakagele@gmail.com" TargetMode="External"/><Relationship Id="rId387" Type="http://schemas.openxmlformats.org/officeDocument/2006/relationships/hyperlink" Target="mailto:madhurikoushik@gmail.com" TargetMode="External"/><Relationship Id="rId8" Type="http://schemas.openxmlformats.org/officeDocument/2006/relationships/hyperlink" Target="mailto:1nicojohnson@gmail.com" TargetMode="External"/><Relationship Id="rId144" Type="http://schemas.openxmlformats.org/officeDocument/2006/relationships/hyperlink" Target="https://docs.google.com/spreadsheets/d/1zYZsEsUMaTmT-tAV-zzQz_jWiglpLHe7SvCMbCBfnWU/edit" TargetMode="External"/><Relationship Id="rId386" Type="http://schemas.openxmlformats.org/officeDocument/2006/relationships/hyperlink" Target="mailto:macmanhatten@gmail.com" TargetMode="External"/><Relationship Id="rId381" Type="http://schemas.openxmlformats.org/officeDocument/2006/relationships/hyperlink" Target="mailto:lz442@icloud.com" TargetMode="External"/><Relationship Id="rId380" Type="http://schemas.openxmlformats.org/officeDocument/2006/relationships/hyperlink" Target="https://docs.google.com/spreadsheets/d/1zYZsEsUMaTmT-tAV-zzQz_jWiglpLHe7SvCMbCBfnWU/edit" TargetMode="External"/><Relationship Id="rId139" Type="http://schemas.openxmlformats.org/officeDocument/2006/relationships/hyperlink" Target="mailto:cpasi55@gmail.com" TargetMode="External"/><Relationship Id="rId138" Type="http://schemas.openxmlformats.org/officeDocument/2006/relationships/hyperlink" Target="mailto:cmendez771@gmail.com" TargetMode="External"/><Relationship Id="rId137" Type="http://schemas.openxmlformats.org/officeDocument/2006/relationships/hyperlink" Target="mailto:christine.katt@gmail.com" TargetMode="External"/><Relationship Id="rId379" Type="http://schemas.openxmlformats.org/officeDocument/2006/relationships/hyperlink" Target="mailto:lyonsa29@gmail.com" TargetMode="External"/><Relationship Id="rId132" Type="http://schemas.openxmlformats.org/officeDocument/2006/relationships/hyperlink" Target="mailto:chowdhuryj315@gmail.com" TargetMode="External"/><Relationship Id="rId374" Type="http://schemas.openxmlformats.org/officeDocument/2006/relationships/hyperlink" Target="https://docs.google.com/spreadsheets/d/1zYZsEsUMaTmT-tAV-zzQz_jWiglpLHe7SvCMbCBfnWU/edit" TargetMode="External"/><Relationship Id="rId131" Type="http://schemas.openxmlformats.org/officeDocument/2006/relationships/hyperlink" Target="https://docs.google.com/spreadsheets/d/1zYZsEsUMaTmT-tAV-zzQz_jWiglpLHe7SvCMbCBfnWU/edit" TargetMode="External"/><Relationship Id="rId373" Type="http://schemas.openxmlformats.org/officeDocument/2006/relationships/hyperlink" Target="mailto:loren.hdz@gmail.com" TargetMode="External"/><Relationship Id="rId130" Type="http://schemas.openxmlformats.org/officeDocument/2006/relationships/hyperlink" Target="mailto:chn211@lehigh.edu" TargetMode="External"/><Relationship Id="rId372" Type="http://schemas.openxmlformats.org/officeDocument/2006/relationships/hyperlink" Target="https://docs.google.com/spreadsheets/d/1zYZsEsUMaTmT-tAV-zzQz_jWiglpLHe7SvCMbCBfnWU/edit" TargetMode="External"/><Relationship Id="rId371" Type="http://schemas.openxmlformats.org/officeDocument/2006/relationships/hyperlink" Target="mailto:loicnguoghia@yahoo.com" TargetMode="External"/><Relationship Id="rId136" Type="http://schemas.openxmlformats.org/officeDocument/2006/relationships/hyperlink" Target="https://docs.google.com/spreadsheets/d/1zYZsEsUMaTmT-tAV-zzQz_jWiglpLHe7SvCMbCBfnWU/edit" TargetMode="External"/><Relationship Id="rId378" Type="http://schemas.openxmlformats.org/officeDocument/2006/relationships/hyperlink" Target="https://docs.google.com/spreadsheets/d/1zYZsEsUMaTmT-tAV-zzQz_jWiglpLHe7SvCMbCBfnWU/edit" TargetMode="External"/><Relationship Id="rId135" Type="http://schemas.openxmlformats.org/officeDocument/2006/relationships/hyperlink" Target="mailto:christina_broomes@yahoo.com" TargetMode="External"/><Relationship Id="rId377" Type="http://schemas.openxmlformats.org/officeDocument/2006/relationships/hyperlink" Target="mailto:lynda.nwabuobi@gmail.com" TargetMode="External"/><Relationship Id="rId134" Type="http://schemas.openxmlformats.org/officeDocument/2006/relationships/hyperlink" Target="https://docs.google.com/spreadsheets/d/1zYZsEsUMaTmT-tAV-zzQz_jWiglpLHe7SvCMbCBfnWU/edit" TargetMode="External"/><Relationship Id="rId376" Type="http://schemas.openxmlformats.org/officeDocument/2006/relationships/hyperlink" Target="https://docs.google.com/spreadsheets/d/1zYZsEsUMaTmT-tAV-zzQz_jWiglpLHe7SvCMbCBfnWU/edit" TargetMode="External"/><Relationship Id="rId133" Type="http://schemas.openxmlformats.org/officeDocument/2006/relationships/hyperlink" Target="https://docs.google.com/spreadsheets/d/1zYZsEsUMaTmT-tAV-zzQz_jWiglpLHe7SvCMbCBfnWU/edit" TargetMode="External"/><Relationship Id="rId375" Type="http://schemas.openxmlformats.org/officeDocument/2006/relationships/hyperlink" Target="mailto:luzdsantana@outlook.com" TargetMode="External"/><Relationship Id="rId172" Type="http://schemas.openxmlformats.org/officeDocument/2006/relationships/hyperlink" Target="mailto:disha13@hotmail.com" TargetMode="External"/><Relationship Id="rId171" Type="http://schemas.openxmlformats.org/officeDocument/2006/relationships/hyperlink" Target="https://docs.google.com/spreadsheets/d/1zYZsEsUMaTmT-tAV-zzQz_jWiglpLHe7SvCMbCBfnWU/edit" TargetMode="External"/><Relationship Id="rId170" Type="http://schemas.openxmlformats.org/officeDocument/2006/relationships/hyperlink" Target="mailto:dianefrenchart@gmail.com" TargetMode="External"/><Relationship Id="rId165" Type="http://schemas.openxmlformats.org/officeDocument/2006/relationships/hyperlink" Target="mailto:Denisevargas478@gmail.com" TargetMode="External"/><Relationship Id="rId164" Type="http://schemas.openxmlformats.org/officeDocument/2006/relationships/hyperlink" Target="https://docs.google.com/spreadsheets/d/1zYZsEsUMaTmT-tAV-zzQz_jWiglpLHe7SvCMbCBfnWU/edit" TargetMode="External"/><Relationship Id="rId163" Type="http://schemas.openxmlformats.org/officeDocument/2006/relationships/hyperlink" Target="mailto:demi.ajayi@gmail.com" TargetMode="External"/><Relationship Id="rId162" Type="http://schemas.openxmlformats.org/officeDocument/2006/relationships/hyperlink" Target="https://docs.google.com/spreadsheets/d/1zYZsEsUMaTmT-tAV-zzQz_jWiglpLHe7SvCMbCBfnWU/edit" TargetMode="External"/><Relationship Id="rId169" Type="http://schemas.openxmlformats.org/officeDocument/2006/relationships/hyperlink" Target="mailto:dhivyajh@gmail.com" TargetMode="External"/><Relationship Id="rId168" Type="http://schemas.openxmlformats.org/officeDocument/2006/relationships/hyperlink" Target="https://docs.google.com/spreadsheets/d/1zYZsEsUMaTmT-tAV-zzQz_jWiglpLHe7SvCMbCBfnWU/edit" TargetMode="External"/><Relationship Id="rId167" Type="http://schemas.openxmlformats.org/officeDocument/2006/relationships/hyperlink" Target="mailto:denton.sandra@gmail.com" TargetMode="External"/><Relationship Id="rId166" Type="http://schemas.openxmlformats.org/officeDocument/2006/relationships/hyperlink" Target="https://docs.google.com/spreadsheets/d/1zYZsEsUMaTmT-tAV-zzQz_jWiglpLHe7SvCMbCBfnWU/edit" TargetMode="External"/><Relationship Id="rId161" Type="http://schemas.openxmlformats.org/officeDocument/2006/relationships/hyperlink" Target="mailto:debaleena.majumdar@asu.edu" TargetMode="External"/><Relationship Id="rId160" Type="http://schemas.openxmlformats.org/officeDocument/2006/relationships/hyperlink" Target="https://docs.google.com/spreadsheets/d/1zYZsEsUMaTmT-tAV-zzQz_jWiglpLHe7SvCMbCBfnWU/edit" TargetMode="External"/><Relationship Id="rId159" Type="http://schemas.openxmlformats.org/officeDocument/2006/relationships/hyperlink" Target="mailto:davisl13@mail.wlu.edu" TargetMode="External"/><Relationship Id="rId154" Type="http://schemas.openxmlformats.org/officeDocument/2006/relationships/hyperlink" Target="https://docs.google.com/spreadsheets/d/1zYZsEsUMaTmT-tAV-zzQz_jWiglpLHe7SvCMbCBfnWU/edit" TargetMode="External"/><Relationship Id="rId396" Type="http://schemas.openxmlformats.org/officeDocument/2006/relationships/hyperlink" Target="mailto:manderson53@mgh.Harvard.edu" TargetMode="External"/><Relationship Id="rId153" Type="http://schemas.openxmlformats.org/officeDocument/2006/relationships/hyperlink" Target="mailto:danyfdz.92@gmail.com" TargetMode="External"/><Relationship Id="rId395" Type="http://schemas.openxmlformats.org/officeDocument/2006/relationships/hyperlink" Target="mailto:malramnarine@gmail.com" TargetMode="External"/><Relationship Id="rId152" Type="http://schemas.openxmlformats.org/officeDocument/2006/relationships/hyperlink" Target="mailto:danielle.farage@gmail.com" TargetMode="External"/><Relationship Id="rId394" Type="http://schemas.openxmlformats.org/officeDocument/2006/relationships/hyperlink" Target="mailto:MalloryBogard@gmail.com" TargetMode="External"/><Relationship Id="rId151" Type="http://schemas.openxmlformats.org/officeDocument/2006/relationships/hyperlink" Target="https://docs.google.com/spreadsheets/d/1zYZsEsUMaTmT-tAV-zzQz_jWiglpLHe7SvCMbCBfnWU/edit" TargetMode="External"/><Relationship Id="rId393" Type="http://schemas.openxmlformats.org/officeDocument/2006/relationships/hyperlink" Target="https://docs.google.com/spreadsheets/d/1zYZsEsUMaTmT-tAV-zzQz_jWiglpLHe7SvCMbCBfnWU/edit" TargetMode="External"/><Relationship Id="rId158" Type="http://schemas.openxmlformats.org/officeDocument/2006/relationships/hyperlink" Target="https://docs.google.com/spreadsheets/d/1zYZsEsUMaTmT-tAV-zzQz_jWiglpLHe7SvCMbCBfnWU/edit" TargetMode="External"/><Relationship Id="rId157" Type="http://schemas.openxmlformats.org/officeDocument/2006/relationships/hyperlink" Target="mailto:david.temple@foxroach.com" TargetMode="External"/><Relationship Id="rId399" Type="http://schemas.openxmlformats.org/officeDocument/2006/relationships/hyperlink" Target="mailto:manglanm@gmail.com" TargetMode="External"/><Relationship Id="rId156" Type="http://schemas.openxmlformats.org/officeDocument/2006/relationships/hyperlink" Target="https://docs.google.com/spreadsheets/d/1zYZsEsUMaTmT-tAV-zzQz_jWiglpLHe7SvCMbCBfnWU/edit" TargetMode="External"/><Relationship Id="rId398" Type="http://schemas.openxmlformats.org/officeDocument/2006/relationships/hyperlink" Target="mailto:mandydr@gmail.com" TargetMode="External"/><Relationship Id="rId155" Type="http://schemas.openxmlformats.org/officeDocument/2006/relationships/hyperlink" Target="mailto:dave.landa@lava.ai" TargetMode="External"/><Relationship Id="rId397" Type="http://schemas.openxmlformats.org/officeDocument/2006/relationships/hyperlink" Target="https://docs.google.com/spreadsheets/d/1zYZsEsUMaTmT-tAV-zzQz_jWiglpLHe7SvCMbCBfnWU/edit" TargetMode="External"/><Relationship Id="rId40" Type="http://schemas.openxmlformats.org/officeDocument/2006/relationships/hyperlink" Target="mailto:ami2136@columbia.edu" TargetMode="External"/><Relationship Id="rId42" Type="http://schemas.openxmlformats.org/officeDocument/2006/relationships/hyperlink" Target="mailto:amm09b@acu.edu" TargetMode="External"/><Relationship Id="rId41" Type="http://schemas.openxmlformats.org/officeDocument/2006/relationships/hyperlink" Target="https://docs.google.com/spreadsheets/d/1zYZsEsUMaTmT-tAV-zzQz_jWiglpLHe7SvCMbCBfnWU/edit" TargetMode="External"/><Relationship Id="rId44" Type="http://schemas.openxmlformats.org/officeDocument/2006/relationships/hyperlink" Target="mailto:amritap4@gmail.com" TargetMode="External"/><Relationship Id="rId43" Type="http://schemas.openxmlformats.org/officeDocument/2006/relationships/hyperlink" Target="https://docs.google.com/spreadsheets/d/1zYZsEsUMaTmT-tAV-zzQz_jWiglpLHe7SvCMbCBfnWU/edit" TargetMode="External"/><Relationship Id="rId46" Type="http://schemas.openxmlformats.org/officeDocument/2006/relationships/hyperlink" Target="mailto:amy_sit@alumni.brown.edu" TargetMode="External"/><Relationship Id="rId45" Type="http://schemas.openxmlformats.org/officeDocument/2006/relationships/hyperlink" Target="https://docs.google.com/spreadsheets/d/1zYZsEsUMaTmT-tAV-zzQz_jWiglpLHe7SvCMbCBfnWU/edit" TargetMode="External"/><Relationship Id="rId509" Type="http://schemas.openxmlformats.org/officeDocument/2006/relationships/hyperlink" Target="mailto:priyankadixit04@gmail.com" TargetMode="External"/><Relationship Id="rId508" Type="http://schemas.openxmlformats.org/officeDocument/2006/relationships/hyperlink" Target="https://docs.google.com/spreadsheets/d/1zYZsEsUMaTmT-tAV-zzQz_jWiglpLHe7SvCMbCBfnWU/edit" TargetMode="External"/><Relationship Id="rId503" Type="http://schemas.openxmlformats.org/officeDocument/2006/relationships/hyperlink" Target="mailto:prithvimattur@gmail.com" TargetMode="External"/><Relationship Id="rId745" Type="http://schemas.openxmlformats.org/officeDocument/2006/relationships/hyperlink" Target="mailto:czbowling@gmail.com" TargetMode="External"/><Relationship Id="rId502" Type="http://schemas.openxmlformats.org/officeDocument/2006/relationships/hyperlink" Target="mailto:preetithyparampil@gmail.com" TargetMode="External"/><Relationship Id="rId744" Type="http://schemas.openxmlformats.org/officeDocument/2006/relationships/hyperlink" Target="mailto:vickiteman2@gmail.com" TargetMode="External"/><Relationship Id="rId501" Type="http://schemas.openxmlformats.org/officeDocument/2006/relationships/hyperlink" Target="mailto:poonam507@gmail.com" TargetMode="External"/><Relationship Id="rId743" Type="http://schemas.openxmlformats.org/officeDocument/2006/relationships/hyperlink" Target="https://docs.google.com/spreadsheets/d/1zYZsEsUMaTmT-tAV-zzQz_jWiglpLHe7SvCMbCBfnWU/edit" TargetMode="External"/><Relationship Id="rId500" Type="http://schemas.openxmlformats.org/officeDocument/2006/relationships/hyperlink" Target="mailto:pjburris11@gmail.com" TargetMode="External"/><Relationship Id="rId742" Type="http://schemas.openxmlformats.org/officeDocument/2006/relationships/hyperlink" Target="mailto:saima.malik@thebuildingpeople.com" TargetMode="External"/><Relationship Id="rId507" Type="http://schemas.openxmlformats.org/officeDocument/2006/relationships/hyperlink" Target="mailto:priyanka.mara@gmail.com" TargetMode="External"/><Relationship Id="rId749" Type="http://schemas.openxmlformats.org/officeDocument/2006/relationships/hyperlink" Target="mailto:egeorge@umassglobal.edu" TargetMode="External"/><Relationship Id="rId506" Type="http://schemas.openxmlformats.org/officeDocument/2006/relationships/hyperlink" Target="https://docs.google.com/spreadsheets/d/1zYZsEsUMaTmT-tAV-zzQz_jWiglpLHe7SvCMbCBfnWU/edit" TargetMode="External"/><Relationship Id="rId748" Type="http://schemas.openxmlformats.org/officeDocument/2006/relationships/hyperlink" Target="mailto:jungtaelee0128@gmail.com" TargetMode="External"/><Relationship Id="rId505" Type="http://schemas.openxmlformats.org/officeDocument/2006/relationships/hyperlink" Target="mailto:pritikac@gmail.com" TargetMode="External"/><Relationship Id="rId747" Type="http://schemas.openxmlformats.org/officeDocument/2006/relationships/hyperlink" Target="mailto:vprasanna.1310@gmail.com" TargetMode="External"/><Relationship Id="rId504" Type="http://schemas.openxmlformats.org/officeDocument/2006/relationships/hyperlink" Target="https://docs.google.com/spreadsheets/d/1zYZsEsUMaTmT-tAV-zzQz_jWiglpLHe7SvCMbCBfnWU/edit" TargetMode="External"/><Relationship Id="rId746" Type="http://schemas.openxmlformats.org/officeDocument/2006/relationships/hyperlink" Target="mailto:sharonshi21@gmail.com" TargetMode="External"/><Relationship Id="rId48" Type="http://schemas.openxmlformats.org/officeDocument/2006/relationships/hyperlink" Target="mailto:amyp55@gmail.com" TargetMode="External"/><Relationship Id="rId47" Type="http://schemas.openxmlformats.org/officeDocument/2006/relationships/hyperlink" Target="https://docs.google.com/spreadsheets/d/1zYZsEsUMaTmT-tAV-zzQz_jWiglpLHe7SvCMbCBfnWU/edit" TargetMode="External"/><Relationship Id="rId49" Type="http://schemas.openxmlformats.org/officeDocument/2006/relationships/hyperlink" Target="mailto:anakrokhina@hotmail.com" TargetMode="External"/><Relationship Id="rId741" Type="http://schemas.openxmlformats.org/officeDocument/2006/relationships/hyperlink" Target="https://docs.google.com/spreadsheets/d/1zYZsEsUMaTmT-tAV-zzQz_jWiglpLHe7SvCMbCBfnWU/edit" TargetMode="External"/><Relationship Id="rId740" Type="http://schemas.openxmlformats.org/officeDocument/2006/relationships/hyperlink" Target="https://docs.google.com/spreadsheets/d/1zYZsEsUMaTmT-tAV-zzQz_jWiglpLHe7SvCMbCBfnWU/edit" TargetMode="External"/><Relationship Id="rId31" Type="http://schemas.openxmlformats.org/officeDocument/2006/relationships/hyperlink" Target="mailto:alpavash@gmail.com" TargetMode="External"/><Relationship Id="rId30" Type="http://schemas.openxmlformats.org/officeDocument/2006/relationships/hyperlink" Target="https://docs.google.com/spreadsheets/d/1zYZsEsUMaTmT-tAV-zzQz_jWiglpLHe7SvCMbCBfnWU/edit" TargetMode="External"/><Relationship Id="rId33" Type="http://schemas.openxmlformats.org/officeDocument/2006/relationships/hyperlink" Target="https://docs.google.com/spreadsheets/d/1zYZsEsUMaTmT-tAV-zzQz_jWiglpLHe7SvCMbCBfnWU/edit" TargetMode="External"/><Relationship Id="rId32" Type="http://schemas.openxmlformats.org/officeDocument/2006/relationships/hyperlink" Target="mailto:alrocco5@gmail.com" TargetMode="External"/><Relationship Id="rId35" Type="http://schemas.openxmlformats.org/officeDocument/2006/relationships/hyperlink" Target="https://docs.google.com/spreadsheets/d/1zYZsEsUMaTmT-tAV-zzQz_jWiglpLHe7SvCMbCBfnWU/edit" TargetMode="External"/><Relationship Id="rId34" Type="http://schemas.openxmlformats.org/officeDocument/2006/relationships/hyperlink" Target="mailto:amackler40@gmail.com" TargetMode="External"/><Relationship Id="rId739" Type="http://schemas.openxmlformats.org/officeDocument/2006/relationships/hyperlink" Target="https://docs.google.com/spreadsheets/d/1zYZsEsUMaTmT-tAV-zzQz_jWiglpLHe7SvCMbCBfnWU/edit" TargetMode="External"/><Relationship Id="rId734" Type="http://schemas.openxmlformats.org/officeDocument/2006/relationships/hyperlink" Target="https://docs.google.com/spreadsheets/d/1zYZsEsUMaTmT-tAV-zzQz_jWiglpLHe7SvCMbCBfnWU/edit" TargetMode="External"/><Relationship Id="rId733" Type="http://schemas.openxmlformats.org/officeDocument/2006/relationships/hyperlink" Target="https://docs.google.com/spreadsheets/d/1zYZsEsUMaTmT-tAV-zzQz_jWiglpLHe7SvCMbCBfnWU/edit" TargetMode="External"/><Relationship Id="rId732" Type="http://schemas.openxmlformats.org/officeDocument/2006/relationships/hyperlink" Target="https://docs.google.com/spreadsheets/d/1zYZsEsUMaTmT-tAV-zzQz_jWiglpLHe7SvCMbCBfnWU/edit" TargetMode="External"/><Relationship Id="rId731" Type="http://schemas.openxmlformats.org/officeDocument/2006/relationships/hyperlink" Target="http://mos.com" TargetMode="External"/><Relationship Id="rId738" Type="http://schemas.openxmlformats.org/officeDocument/2006/relationships/hyperlink" Target="https://docs.google.com/spreadsheets/d/1zYZsEsUMaTmT-tAV-zzQz_jWiglpLHe7SvCMbCBfnWU/edit" TargetMode="External"/><Relationship Id="rId737" Type="http://schemas.openxmlformats.org/officeDocument/2006/relationships/hyperlink" Target="https://docs.google.com/spreadsheets/d/1zYZsEsUMaTmT-tAV-zzQz_jWiglpLHe7SvCMbCBfnWU/edit" TargetMode="External"/><Relationship Id="rId736" Type="http://schemas.openxmlformats.org/officeDocument/2006/relationships/hyperlink" Target="https://docs.google.com/spreadsheets/d/1zYZsEsUMaTmT-tAV-zzQz_jWiglpLHe7SvCMbCBfnWU/edit" TargetMode="External"/><Relationship Id="rId735" Type="http://schemas.openxmlformats.org/officeDocument/2006/relationships/hyperlink" Target="https://docs.google.com/spreadsheets/d/1zYZsEsUMaTmT-tAV-zzQz_jWiglpLHe7SvCMbCBfnWU/edit" TargetMode="External"/><Relationship Id="rId37" Type="http://schemas.openxmlformats.org/officeDocument/2006/relationships/hyperlink" Target="mailto:ameddlesaint@gmail.com" TargetMode="External"/><Relationship Id="rId36" Type="http://schemas.openxmlformats.org/officeDocument/2006/relationships/hyperlink" Target="mailto:amandel@pinterest.com" TargetMode="External"/><Relationship Id="rId39" Type="http://schemas.openxmlformats.org/officeDocument/2006/relationships/hyperlink" Target="https://docs.google.com/spreadsheets/d/1zYZsEsUMaTmT-tAV-zzQz_jWiglpLHe7SvCMbCBfnWU/edit" TargetMode="External"/><Relationship Id="rId38" Type="http://schemas.openxmlformats.org/officeDocument/2006/relationships/hyperlink" Target="mailto:ameliachamberlain@yahoo.com" TargetMode="External"/><Relationship Id="rId730" Type="http://schemas.openxmlformats.org/officeDocument/2006/relationships/hyperlink" Target="mailto:anna.mullins@hyatt.com" TargetMode="External"/><Relationship Id="rId20" Type="http://schemas.openxmlformats.org/officeDocument/2006/relationships/hyperlink" Target="mailto:ahowladar98@gmail.com" TargetMode="External"/><Relationship Id="rId22" Type="http://schemas.openxmlformats.org/officeDocument/2006/relationships/hyperlink" Target="mailto:ajmdaum@gmail.com" TargetMode="External"/><Relationship Id="rId21" Type="http://schemas.openxmlformats.org/officeDocument/2006/relationships/hyperlink" Target="mailto:aj@recollectbetter.com" TargetMode="External"/><Relationship Id="rId24" Type="http://schemas.openxmlformats.org/officeDocument/2006/relationships/hyperlink" Target="https://docs.google.com/spreadsheets/d/1zYZsEsUMaTmT-tAV-zzQz_jWiglpLHe7SvCMbCBfnWU/edit" TargetMode="External"/><Relationship Id="rId23" Type="http://schemas.openxmlformats.org/officeDocument/2006/relationships/hyperlink" Target="mailto:akanksharaina@gmail.com" TargetMode="External"/><Relationship Id="rId525" Type="http://schemas.openxmlformats.org/officeDocument/2006/relationships/hyperlink" Target="mailto:ritikanaik@gmail.com" TargetMode="External"/><Relationship Id="rId767" Type="http://schemas.openxmlformats.org/officeDocument/2006/relationships/hyperlink" Target="mailto:augustosalcedo76@gmail.com" TargetMode="External"/><Relationship Id="rId524" Type="http://schemas.openxmlformats.org/officeDocument/2006/relationships/hyperlink" Target="https://docs.google.com/spreadsheets/d/1zYZsEsUMaTmT-tAV-zzQz_jWiglpLHe7SvCMbCBfnWU/edit" TargetMode="External"/><Relationship Id="rId766" Type="http://schemas.openxmlformats.org/officeDocument/2006/relationships/hyperlink" Target="https://docs.google.com/spreadsheets/d/1zYZsEsUMaTmT-tAV-zzQz_jWiglpLHe7SvCMbCBfnWU/edit" TargetMode="External"/><Relationship Id="rId523" Type="http://schemas.openxmlformats.org/officeDocument/2006/relationships/hyperlink" Target="mailto:rg.vanessa@gmail.com" TargetMode="External"/><Relationship Id="rId765" Type="http://schemas.openxmlformats.org/officeDocument/2006/relationships/hyperlink" Target="mailto:janpanchalingam@gmail.com" TargetMode="External"/><Relationship Id="rId522" Type="http://schemas.openxmlformats.org/officeDocument/2006/relationships/hyperlink" Target="https://docs.google.com/spreadsheets/d/1zYZsEsUMaTmT-tAV-zzQz_jWiglpLHe7SvCMbCBfnWU/edit" TargetMode="External"/><Relationship Id="rId764" Type="http://schemas.openxmlformats.org/officeDocument/2006/relationships/hyperlink" Target="mailto:1nicojohnson@gmail.com" TargetMode="External"/><Relationship Id="rId529" Type="http://schemas.openxmlformats.org/officeDocument/2006/relationships/hyperlink" Target="mailto:rominatome@gmail.com" TargetMode="External"/><Relationship Id="rId528" Type="http://schemas.openxmlformats.org/officeDocument/2006/relationships/hyperlink" Target="https://docs.google.com/spreadsheets/d/1zYZsEsUMaTmT-tAV-zzQz_jWiglpLHe7SvCMbCBfnWU/edit" TargetMode="External"/><Relationship Id="rId527" Type="http://schemas.openxmlformats.org/officeDocument/2006/relationships/hyperlink" Target="mailto:Rockpointeservices@gmail.com" TargetMode="External"/><Relationship Id="rId769" Type="http://schemas.openxmlformats.org/officeDocument/2006/relationships/hyperlink" Target="mailto:renata.giral@gmail.com" TargetMode="External"/><Relationship Id="rId526" Type="http://schemas.openxmlformats.org/officeDocument/2006/relationships/hyperlink" Target="https://docs.google.com/spreadsheets/d/1zYZsEsUMaTmT-tAV-zzQz_jWiglpLHe7SvCMbCBfnWU/edit" TargetMode="External"/><Relationship Id="rId768" Type="http://schemas.openxmlformats.org/officeDocument/2006/relationships/hyperlink" Target="mailto:sandra.llonttop@gmail.com" TargetMode="External"/><Relationship Id="rId26" Type="http://schemas.openxmlformats.org/officeDocument/2006/relationships/hyperlink" Target="https://docs.google.com/spreadsheets/d/1zYZsEsUMaTmT-tAV-zzQz_jWiglpLHe7SvCMbCBfnWU/edit" TargetMode="External"/><Relationship Id="rId25" Type="http://schemas.openxmlformats.org/officeDocument/2006/relationships/hyperlink" Target="mailto:akintemowo@yahoo.com" TargetMode="External"/><Relationship Id="rId28" Type="http://schemas.openxmlformats.org/officeDocument/2006/relationships/hyperlink" Target="https://docs.google.com/spreadsheets/d/1zYZsEsUMaTmT-tAV-zzQz_jWiglpLHe7SvCMbCBfnWU/edit" TargetMode="External"/><Relationship Id="rId27" Type="http://schemas.openxmlformats.org/officeDocument/2006/relationships/hyperlink" Target="mailto:alina.ispas.09@gmail.com" TargetMode="External"/><Relationship Id="rId521" Type="http://schemas.openxmlformats.org/officeDocument/2006/relationships/hyperlink" Target="mailto:renata.giral@gmail.com" TargetMode="External"/><Relationship Id="rId763" Type="http://schemas.openxmlformats.org/officeDocument/2006/relationships/hyperlink" Target="https://docs.google.com/spreadsheets/d/1zYZsEsUMaTmT-tAV-zzQz_jWiglpLHe7SvCMbCBfnWU/edit" TargetMode="External"/><Relationship Id="rId29" Type="http://schemas.openxmlformats.org/officeDocument/2006/relationships/hyperlink" Target="mailto:alpa.rajai@gmail.com" TargetMode="External"/><Relationship Id="rId520" Type="http://schemas.openxmlformats.org/officeDocument/2006/relationships/hyperlink" Target="mailto:rarps@yahoo.com" TargetMode="External"/><Relationship Id="rId762" Type="http://schemas.openxmlformats.org/officeDocument/2006/relationships/hyperlink" Target="mailto:caroparra@gmail.com" TargetMode="External"/><Relationship Id="rId761" Type="http://schemas.openxmlformats.org/officeDocument/2006/relationships/hyperlink" Target="mailto:estrellamb@gmail.com" TargetMode="External"/><Relationship Id="rId760" Type="http://schemas.openxmlformats.org/officeDocument/2006/relationships/hyperlink" Target="mailto:pwang95@gmail.com" TargetMode="External"/><Relationship Id="rId11" Type="http://schemas.openxmlformats.org/officeDocument/2006/relationships/hyperlink" Target="mailto:Aar2213@tc.Columbia.edu" TargetMode="External"/><Relationship Id="rId10" Type="http://schemas.openxmlformats.org/officeDocument/2006/relationships/hyperlink" Target="mailto:a_bannora@yahoo.co.uk" TargetMode="External"/><Relationship Id="rId13" Type="http://schemas.openxmlformats.org/officeDocument/2006/relationships/hyperlink" Target="https://docs.google.com/spreadsheets/d/1zYZsEsUMaTmT-tAV-zzQz_jWiglpLHe7SvCMbCBfnWU/edit" TargetMode="External"/><Relationship Id="rId12" Type="http://schemas.openxmlformats.org/officeDocument/2006/relationships/hyperlink" Target="mailto:abhisshekmehta@gmail.com" TargetMode="External"/><Relationship Id="rId519" Type="http://schemas.openxmlformats.org/officeDocument/2006/relationships/hyperlink" Target="https://docs.google.com/spreadsheets/d/1zYZsEsUMaTmT-tAV-zzQz_jWiglpLHe7SvCMbCBfnWU/edit" TargetMode="External"/><Relationship Id="rId514" Type="http://schemas.openxmlformats.org/officeDocument/2006/relationships/hyperlink" Target="https://docs.google.com/spreadsheets/d/1zYZsEsUMaTmT-tAV-zzQz_jWiglpLHe7SvCMbCBfnWU/edit" TargetMode="External"/><Relationship Id="rId756" Type="http://schemas.openxmlformats.org/officeDocument/2006/relationships/hyperlink" Target="https://docs.google.com/spreadsheets/d/1zYZsEsUMaTmT-tAV-zzQz_jWiglpLHe7SvCMbCBfnWU/edit" TargetMode="External"/><Relationship Id="rId513" Type="http://schemas.openxmlformats.org/officeDocument/2006/relationships/hyperlink" Target="mailto:pyscott22@gmail.com" TargetMode="External"/><Relationship Id="rId755" Type="http://schemas.openxmlformats.org/officeDocument/2006/relationships/hyperlink" Target="mailto:esenciahumana.proano@gmail.com" TargetMode="External"/><Relationship Id="rId512" Type="http://schemas.openxmlformats.org/officeDocument/2006/relationships/hyperlink" Target="https://docs.google.com/spreadsheets/d/1zYZsEsUMaTmT-tAV-zzQz_jWiglpLHe7SvCMbCBfnWU/edit" TargetMode="External"/><Relationship Id="rId754" Type="http://schemas.openxmlformats.org/officeDocument/2006/relationships/hyperlink" Target="mailto:jannetfgmx@gmail.com" TargetMode="External"/><Relationship Id="rId511" Type="http://schemas.openxmlformats.org/officeDocument/2006/relationships/hyperlink" Target="mailto:pwang95@gmail.com" TargetMode="External"/><Relationship Id="rId753" Type="http://schemas.openxmlformats.org/officeDocument/2006/relationships/hyperlink" Target="mailto:n.komatani@gmail.com" TargetMode="External"/><Relationship Id="rId518" Type="http://schemas.openxmlformats.org/officeDocument/2006/relationships/hyperlink" Target="mailto:rajnarind@gmail.com" TargetMode="External"/><Relationship Id="rId517" Type="http://schemas.openxmlformats.org/officeDocument/2006/relationships/hyperlink" Target="mailto:rachel.d317@gmail.com" TargetMode="External"/><Relationship Id="rId759" Type="http://schemas.openxmlformats.org/officeDocument/2006/relationships/hyperlink" Target="mailto:chemang@gmail.com" TargetMode="External"/><Relationship Id="rId516" Type="http://schemas.openxmlformats.org/officeDocument/2006/relationships/hyperlink" Target="https://docs.google.com/spreadsheets/d/1zYZsEsUMaTmT-tAV-zzQz_jWiglpLHe7SvCMbCBfnWU/edit" TargetMode="External"/><Relationship Id="rId758" Type="http://schemas.openxmlformats.org/officeDocument/2006/relationships/hyperlink" Target="mailto:gris@google.com" TargetMode="External"/><Relationship Id="rId515" Type="http://schemas.openxmlformats.org/officeDocument/2006/relationships/hyperlink" Target="mailto:Quynh.tran.onel@gmail.com" TargetMode="External"/><Relationship Id="rId757" Type="http://schemas.openxmlformats.org/officeDocument/2006/relationships/hyperlink" Target="mailto:loren.hdz@gmail.com" TargetMode="External"/><Relationship Id="rId15" Type="http://schemas.openxmlformats.org/officeDocument/2006/relationships/hyperlink" Target="https://docs.google.com/spreadsheets/d/1zYZsEsUMaTmT-tAV-zzQz_jWiglpLHe7SvCMbCBfnWU/edit" TargetMode="External"/><Relationship Id="rId14" Type="http://schemas.openxmlformats.org/officeDocument/2006/relationships/hyperlink" Target="mailto:adelacimic@gmail.com" TargetMode="External"/><Relationship Id="rId17" Type="http://schemas.openxmlformats.org/officeDocument/2006/relationships/hyperlink" Target="mailto:aehhines@gmail.com" TargetMode="External"/><Relationship Id="rId16" Type="http://schemas.openxmlformats.org/officeDocument/2006/relationships/hyperlink" Target="mailto:adrianna.haga@gmail.com" TargetMode="External"/><Relationship Id="rId19" Type="http://schemas.openxmlformats.org/officeDocument/2006/relationships/hyperlink" Target="https://docs.google.com/spreadsheets/d/1zYZsEsUMaTmT-tAV-zzQz_jWiglpLHe7SvCMbCBfnWU/edit" TargetMode="External"/><Relationship Id="rId510" Type="http://schemas.openxmlformats.org/officeDocument/2006/relationships/hyperlink" Target="https://docs.google.com/spreadsheets/d/1zYZsEsUMaTmT-tAV-zzQz_jWiglpLHe7SvCMbCBfnWU/edit" TargetMode="External"/><Relationship Id="rId752" Type="http://schemas.openxmlformats.org/officeDocument/2006/relationships/hyperlink" Target="https://docs.google.com/spreadsheets/d/1zYZsEsUMaTmT-tAV-zzQz_jWiglpLHe7SvCMbCBfnWU/edit" TargetMode="External"/><Relationship Id="rId18" Type="http://schemas.openxmlformats.org/officeDocument/2006/relationships/hyperlink" Target="mailto:agwtam@gmail.com" TargetMode="External"/><Relationship Id="rId751" Type="http://schemas.openxmlformats.org/officeDocument/2006/relationships/hyperlink" Target="mailto:bindu.krishna@gmail.com" TargetMode="External"/><Relationship Id="rId750" Type="http://schemas.openxmlformats.org/officeDocument/2006/relationships/hyperlink" Target="mailto:debaleena.majumdar@umassglobal.edu" TargetMode="External"/><Relationship Id="rId84" Type="http://schemas.openxmlformats.org/officeDocument/2006/relationships/hyperlink" Target="mailto:azikiwe.rich@gmail.com" TargetMode="External"/><Relationship Id="rId83" Type="http://schemas.openxmlformats.org/officeDocument/2006/relationships/hyperlink" Target="https://docs.google.com/spreadsheets/d/1zYZsEsUMaTmT-tAV-zzQz_jWiglpLHe7SvCMbCBfnWU/edit" TargetMode="External"/><Relationship Id="rId86" Type="http://schemas.openxmlformats.org/officeDocument/2006/relationships/hyperlink" Target="mailto:benavent.sara@gmail.com" TargetMode="External"/><Relationship Id="rId85" Type="http://schemas.openxmlformats.org/officeDocument/2006/relationships/hyperlink" Target="https://docs.google.com/spreadsheets/d/1zYZsEsUMaTmT-tAV-zzQz_jWiglpLHe7SvCMbCBfnWU/edit" TargetMode="External"/><Relationship Id="rId88" Type="http://schemas.openxmlformats.org/officeDocument/2006/relationships/hyperlink" Target="mailto:benjaminwcurtis@yahoo.com" TargetMode="External"/><Relationship Id="rId87" Type="http://schemas.openxmlformats.org/officeDocument/2006/relationships/hyperlink" Target="https://docs.google.com/spreadsheets/d/1zYZsEsUMaTmT-tAV-zzQz_jWiglpLHe7SvCMbCBfnWU/edit" TargetMode="External"/><Relationship Id="rId89" Type="http://schemas.openxmlformats.org/officeDocument/2006/relationships/hyperlink" Target="https://docs.google.com/spreadsheets/d/1zYZsEsUMaTmT-tAV-zzQz_jWiglpLHe7SvCMbCBfnWU/edit" TargetMode="External"/><Relationship Id="rId709" Type="http://schemas.openxmlformats.org/officeDocument/2006/relationships/hyperlink" Target="mailto:isamafm@gmail.com" TargetMode="External"/><Relationship Id="rId708" Type="http://schemas.openxmlformats.org/officeDocument/2006/relationships/hyperlink" Target="https://docs.google.com/spreadsheets/d/1zYZsEsUMaTmT-tAV-zzQz_jWiglpLHe7SvCMbCBfnWU/edit" TargetMode="External"/><Relationship Id="rId707" Type="http://schemas.openxmlformats.org/officeDocument/2006/relationships/hyperlink" Target="mailto:dr_pariamachi_rx@hotmail.com" TargetMode="External"/><Relationship Id="rId706" Type="http://schemas.openxmlformats.org/officeDocument/2006/relationships/hyperlink" Target="https://docs.google.com/spreadsheets/d/1zYZsEsUMaTmT-tAV-zzQz_jWiglpLHe7SvCMbCBfnWU/edit" TargetMode="External"/><Relationship Id="rId80" Type="http://schemas.openxmlformats.org/officeDocument/2006/relationships/hyperlink" Target="mailto:awaisyad99@gmail.com" TargetMode="External"/><Relationship Id="rId82" Type="http://schemas.openxmlformats.org/officeDocument/2006/relationships/hyperlink" Target="mailto:ayd.dima@yahoo.com" TargetMode="External"/><Relationship Id="rId81" Type="http://schemas.openxmlformats.org/officeDocument/2006/relationships/hyperlink" Target="mailto:ayamohamed22@lpcuwc.edu.hk" TargetMode="External"/><Relationship Id="rId701" Type="http://schemas.openxmlformats.org/officeDocument/2006/relationships/hyperlink" Target="mailto:yuanjing@yahoo.com" TargetMode="External"/><Relationship Id="rId700" Type="http://schemas.openxmlformats.org/officeDocument/2006/relationships/hyperlink" Target="https://docs.google.com/spreadsheets/d/1zYZsEsUMaTmT-tAV-zzQz_jWiglpLHe7SvCMbCBfnWU/edit" TargetMode="External"/><Relationship Id="rId705" Type="http://schemas.openxmlformats.org/officeDocument/2006/relationships/hyperlink" Target="mailto:j.mcfarland@wesleyjamesgrp.com" TargetMode="External"/><Relationship Id="rId704" Type="http://schemas.openxmlformats.org/officeDocument/2006/relationships/hyperlink" Target="https://docs.google.com/spreadsheets/d/1zYZsEsUMaTmT-tAV-zzQz_jWiglpLHe7SvCMbCBfnWU/edit" TargetMode="External"/><Relationship Id="rId703" Type="http://schemas.openxmlformats.org/officeDocument/2006/relationships/hyperlink" Target="mailto:cah213@lehigh.edu" TargetMode="External"/><Relationship Id="rId702" Type="http://schemas.openxmlformats.org/officeDocument/2006/relationships/hyperlink" Target="mailto:msilva@flushingbank.com" TargetMode="External"/><Relationship Id="rId73" Type="http://schemas.openxmlformats.org/officeDocument/2006/relationships/hyperlink" Target="mailto:arturo.paniagua@premiernutrition.com" TargetMode="External"/><Relationship Id="rId72" Type="http://schemas.openxmlformats.org/officeDocument/2006/relationships/hyperlink" Target="https://docs.google.com/spreadsheets/d/1zYZsEsUMaTmT-tAV-zzQz_jWiglpLHe7SvCMbCBfnWU/edit" TargetMode="External"/><Relationship Id="rId75" Type="http://schemas.openxmlformats.org/officeDocument/2006/relationships/hyperlink" Target="mailto:ashagnair@gmail.com" TargetMode="External"/><Relationship Id="rId74" Type="http://schemas.openxmlformats.org/officeDocument/2006/relationships/hyperlink" Target="https://docs.google.com/spreadsheets/d/1zYZsEsUMaTmT-tAV-zzQz_jWiglpLHe7SvCMbCBfnWU/edit" TargetMode="External"/><Relationship Id="rId77" Type="http://schemas.openxmlformats.org/officeDocument/2006/relationships/hyperlink" Target="mailto:ast@isdglobal.org" TargetMode="External"/><Relationship Id="rId76" Type="http://schemas.openxmlformats.org/officeDocument/2006/relationships/hyperlink" Target="https://docs.google.com/spreadsheets/d/1zYZsEsUMaTmT-tAV-zzQz_jWiglpLHe7SvCMbCBfnWU/edit" TargetMode="External"/><Relationship Id="rId79" Type="http://schemas.openxmlformats.org/officeDocument/2006/relationships/hyperlink" Target="https://docs.google.com/spreadsheets/d/1zYZsEsUMaTmT-tAV-zzQz_jWiglpLHe7SvCMbCBfnWU/edit" TargetMode="External"/><Relationship Id="rId78" Type="http://schemas.openxmlformats.org/officeDocument/2006/relationships/hyperlink" Target="mailto:augustosalcedo76@gmail.com" TargetMode="External"/><Relationship Id="rId71" Type="http://schemas.openxmlformats.org/officeDocument/2006/relationships/hyperlink" Target="mailto:ar3541@columbia.edu" TargetMode="External"/><Relationship Id="rId70" Type="http://schemas.openxmlformats.org/officeDocument/2006/relationships/hyperlink" Target="mailto:april.l.carter@gmail.com" TargetMode="External"/><Relationship Id="rId62" Type="http://schemas.openxmlformats.org/officeDocument/2006/relationships/hyperlink" Target="mailto:ankurjaluria@gmail.com" TargetMode="External"/><Relationship Id="rId61" Type="http://schemas.openxmlformats.org/officeDocument/2006/relationships/hyperlink" Target="mailto:anjulibahuguna@gmail.com" TargetMode="External"/><Relationship Id="rId64" Type="http://schemas.openxmlformats.org/officeDocument/2006/relationships/hyperlink" Target="mailto:annaradulovich@gmail.com" TargetMode="External"/><Relationship Id="rId63" Type="http://schemas.openxmlformats.org/officeDocument/2006/relationships/hyperlink" Target="https://docs.google.com/spreadsheets/d/1zYZsEsUMaTmT-tAV-zzQz_jWiglpLHe7SvCMbCBfnWU/edit" TargetMode="External"/><Relationship Id="rId66" Type="http://schemas.openxmlformats.org/officeDocument/2006/relationships/hyperlink" Target="mailto:annibutuzova@gmail.com" TargetMode="External"/><Relationship Id="rId65" Type="http://schemas.openxmlformats.org/officeDocument/2006/relationships/hyperlink" Target="https://docs.google.com/spreadsheets/d/1zYZsEsUMaTmT-tAV-zzQz_jWiglpLHe7SvCMbCBfnWU/edit" TargetMode="External"/><Relationship Id="rId68" Type="http://schemas.openxmlformats.org/officeDocument/2006/relationships/hyperlink" Target="mailto:anniecameykuo@gmail.com" TargetMode="External"/><Relationship Id="rId67" Type="http://schemas.openxmlformats.org/officeDocument/2006/relationships/hyperlink" Target="https://docs.google.com/spreadsheets/d/1zYZsEsUMaTmT-tAV-zzQz_jWiglpLHe7SvCMbCBfnWU/edit" TargetMode="External"/><Relationship Id="rId729" Type="http://schemas.openxmlformats.org/officeDocument/2006/relationships/hyperlink" Target="https://docs.google.com/spreadsheets/d/1zYZsEsUMaTmT-tAV-zzQz_jWiglpLHe7SvCMbCBfnWU/edit" TargetMode="External"/><Relationship Id="rId728" Type="http://schemas.openxmlformats.org/officeDocument/2006/relationships/hyperlink" Target="https://docs.google.com/spreadsheets/d/1zYZsEsUMaTmT-tAV-zzQz_jWiglpLHe7SvCMbCBfnWU/edit" TargetMode="External"/><Relationship Id="rId60" Type="http://schemas.openxmlformats.org/officeDocument/2006/relationships/hyperlink" Target="mailto:anisa.shukla@gmail.com" TargetMode="External"/><Relationship Id="rId723" Type="http://schemas.openxmlformats.org/officeDocument/2006/relationships/hyperlink" Target="https://docs.google.com/spreadsheets/d/1zYZsEsUMaTmT-tAV-zzQz_jWiglpLHe7SvCMbCBfnWU/edit" TargetMode="External"/><Relationship Id="rId722" Type="http://schemas.openxmlformats.org/officeDocument/2006/relationships/hyperlink" Target="https://docs.google.com/spreadsheets/d/1zYZsEsUMaTmT-tAV-zzQz_jWiglpLHe7SvCMbCBfnWU/edit" TargetMode="External"/><Relationship Id="rId721" Type="http://schemas.openxmlformats.org/officeDocument/2006/relationships/hyperlink" Target="https://docs.google.com/spreadsheets/d/1zYZsEsUMaTmT-tAV-zzQz_jWiglpLHe7SvCMbCBfnWU/edit" TargetMode="External"/><Relationship Id="rId720" Type="http://schemas.openxmlformats.org/officeDocument/2006/relationships/hyperlink" Target="https://docs.google.com/spreadsheets/d/1zYZsEsUMaTmT-tAV-zzQz_jWiglpLHe7SvCMbCBfnWU/edit" TargetMode="External"/><Relationship Id="rId727" Type="http://schemas.openxmlformats.org/officeDocument/2006/relationships/hyperlink" Target="https://docs.google.com/spreadsheets/d/1zYZsEsUMaTmT-tAV-zzQz_jWiglpLHe7SvCMbCBfnWU/edit" TargetMode="External"/><Relationship Id="rId726" Type="http://schemas.openxmlformats.org/officeDocument/2006/relationships/hyperlink" Target="https://docs.google.com/spreadsheets/d/1zYZsEsUMaTmT-tAV-zzQz_jWiglpLHe7SvCMbCBfnWU/edit" TargetMode="External"/><Relationship Id="rId725" Type="http://schemas.openxmlformats.org/officeDocument/2006/relationships/hyperlink" Target="https://docs.google.com/spreadsheets/d/1zYZsEsUMaTmT-tAV-zzQz_jWiglpLHe7SvCMbCBfnWU/edit" TargetMode="External"/><Relationship Id="rId724" Type="http://schemas.openxmlformats.org/officeDocument/2006/relationships/hyperlink" Target="https://docs.google.com/spreadsheets/d/1zYZsEsUMaTmT-tAV-zzQz_jWiglpLHe7SvCMbCBfnWU/edit" TargetMode="External"/><Relationship Id="rId69" Type="http://schemas.openxmlformats.org/officeDocument/2006/relationships/hyperlink" Target="https://docs.google.com/spreadsheets/d/1zYZsEsUMaTmT-tAV-zzQz_jWiglpLHe7SvCMbCBfnWU/edit" TargetMode="External"/><Relationship Id="rId51" Type="http://schemas.openxmlformats.org/officeDocument/2006/relationships/hyperlink" Target="mailto:anakrokhina@hotmail.com" TargetMode="External"/><Relationship Id="rId50" Type="http://schemas.openxmlformats.org/officeDocument/2006/relationships/hyperlink" Target="https://docs.google.com/spreadsheets/d/1zYZsEsUMaTmT-tAV-zzQz_jWiglpLHe7SvCMbCBfnWU/edit" TargetMode="External"/><Relationship Id="rId53" Type="http://schemas.openxmlformats.org/officeDocument/2006/relationships/hyperlink" Target="mailto:anastasia.msavelyeva@gmail.com" TargetMode="External"/><Relationship Id="rId52" Type="http://schemas.openxmlformats.org/officeDocument/2006/relationships/hyperlink" Target="https://docs.google.com/spreadsheets/d/1zYZsEsUMaTmT-tAV-zzQz_jWiglpLHe7SvCMbCBfnWU/edit" TargetMode="External"/><Relationship Id="rId55" Type="http://schemas.openxmlformats.org/officeDocument/2006/relationships/hyperlink" Target="mailto:Andrewbaum570@gmail.com" TargetMode="External"/><Relationship Id="rId54" Type="http://schemas.openxmlformats.org/officeDocument/2006/relationships/hyperlink" Target="https://docs.google.com/spreadsheets/d/1zYZsEsUMaTmT-tAV-zzQz_jWiglpLHe7SvCMbCBfnWU/edit" TargetMode="External"/><Relationship Id="rId57" Type="http://schemas.openxmlformats.org/officeDocument/2006/relationships/hyperlink" Target="https://docs.google.com/spreadsheets/d/1zYZsEsUMaTmT-tAV-zzQz_jWiglpLHe7SvCMbCBfnWU/edit" TargetMode="External"/><Relationship Id="rId56" Type="http://schemas.openxmlformats.org/officeDocument/2006/relationships/hyperlink" Target="mailto:angana1985@gmail.com" TargetMode="External"/><Relationship Id="rId719" Type="http://schemas.openxmlformats.org/officeDocument/2006/relationships/hyperlink" Target="https://docs.google.com/spreadsheets/d/1zYZsEsUMaTmT-tAV-zzQz_jWiglpLHe7SvCMbCBfnWU/edit" TargetMode="External"/><Relationship Id="rId718" Type="http://schemas.openxmlformats.org/officeDocument/2006/relationships/hyperlink" Target="https://docs.google.com/spreadsheets/d/1zYZsEsUMaTmT-tAV-zzQz_jWiglpLHe7SvCMbCBfnWU/edit" TargetMode="External"/><Relationship Id="rId717" Type="http://schemas.openxmlformats.org/officeDocument/2006/relationships/hyperlink" Target="mailto:ranjinishankar07@gmail.com" TargetMode="External"/><Relationship Id="rId712" Type="http://schemas.openxmlformats.org/officeDocument/2006/relationships/hyperlink" Target="mailto:lasletrasdefer@gmail.com" TargetMode="External"/><Relationship Id="rId711" Type="http://schemas.openxmlformats.org/officeDocument/2006/relationships/hyperlink" Target="https://docs.google.com/spreadsheets/d/1zYZsEsUMaTmT-tAV-zzQz_jWiglpLHe7SvCMbCBfnWU/edit" TargetMode="External"/><Relationship Id="rId710" Type="http://schemas.openxmlformats.org/officeDocument/2006/relationships/hyperlink" Target="mailto:jimenamontane@speakhire.org" TargetMode="External"/><Relationship Id="rId716" Type="http://schemas.openxmlformats.org/officeDocument/2006/relationships/hyperlink" Target="mailto:debasmitaray18@gmail.com" TargetMode="External"/><Relationship Id="rId715" Type="http://schemas.openxmlformats.org/officeDocument/2006/relationships/hyperlink" Target="mailto:chicago_partners@yahoo.com" TargetMode="External"/><Relationship Id="rId714" Type="http://schemas.openxmlformats.org/officeDocument/2006/relationships/hyperlink" Target="mailto:soniajackeline@gmail.com" TargetMode="External"/><Relationship Id="rId713" Type="http://schemas.openxmlformats.org/officeDocument/2006/relationships/hyperlink" Target="https://docs.google.com/spreadsheets/d/1zYZsEsUMaTmT-tAV-zzQz_jWiglpLHe7SvCMbCBfnWU/edit" TargetMode="External"/><Relationship Id="rId59" Type="http://schemas.openxmlformats.org/officeDocument/2006/relationships/hyperlink" Target="https://docs.google.com/spreadsheets/d/1zYZsEsUMaTmT-tAV-zzQz_jWiglpLHe7SvCMbCBfnWU/edit" TargetMode="External"/><Relationship Id="rId58" Type="http://schemas.openxmlformats.org/officeDocument/2006/relationships/hyperlink" Target="mailto:angelo@nycasagroup.com" TargetMode="External"/><Relationship Id="rId590" Type="http://schemas.openxmlformats.org/officeDocument/2006/relationships/hyperlink" Target="mailto:sowndararajan.madhumitha@gmail.com" TargetMode="External"/><Relationship Id="rId107" Type="http://schemas.openxmlformats.org/officeDocument/2006/relationships/hyperlink" Target="mailto:carochamorro09@gmail.com" TargetMode="External"/><Relationship Id="rId349" Type="http://schemas.openxmlformats.org/officeDocument/2006/relationships/hyperlink" Target="mailto:lauracejas83@gmail.com" TargetMode="External"/><Relationship Id="rId106" Type="http://schemas.openxmlformats.org/officeDocument/2006/relationships/hyperlink" Target="https://docs.google.com/spreadsheets/d/1zYZsEsUMaTmT-tAV-zzQz_jWiglpLHe7SvCMbCBfnWU/edit" TargetMode="External"/><Relationship Id="rId348" Type="http://schemas.openxmlformats.org/officeDocument/2006/relationships/hyperlink" Target="mailto:larry.williams@nashville.gov" TargetMode="External"/><Relationship Id="rId105" Type="http://schemas.openxmlformats.org/officeDocument/2006/relationships/hyperlink" Target="mailto:carmelo.DeLeon2021@gmail.com" TargetMode="External"/><Relationship Id="rId347" Type="http://schemas.openxmlformats.org/officeDocument/2006/relationships/hyperlink" Target="https://docs.google.com/spreadsheets/d/1zYZsEsUMaTmT-tAV-zzQz_jWiglpLHe7SvCMbCBfnWU/edit" TargetMode="External"/><Relationship Id="rId589" Type="http://schemas.openxmlformats.org/officeDocument/2006/relationships/hyperlink" Target="https://docs.google.com/spreadsheets/d/1zYZsEsUMaTmT-tAV-zzQz_jWiglpLHe7SvCMbCBfnWU/edit" TargetMode="External"/><Relationship Id="rId104" Type="http://schemas.openxmlformats.org/officeDocument/2006/relationships/hyperlink" Target="https://docs.google.com/spreadsheets/d/1zYZsEsUMaTmT-tAV-zzQz_jWiglpLHe7SvCMbCBfnWU/edit" TargetMode="External"/><Relationship Id="rId346" Type="http://schemas.openxmlformats.org/officeDocument/2006/relationships/hyperlink" Target="mailto:lamonchapman@gmail.com" TargetMode="External"/><Relationship Id="rId588" Type="http://schemas.openxmlformats.org/officeDocument/2006/relationships/hyperlink" Target="mailto:sotubo.ebun@gmail.com" TargetMode="External"/><Relationship Id="rId109" Type="http://schemas.openxmlformats.org/officeDocument/2006/relationships/hyperlink" Target="mailto:caroparra@gmail.com" TargetMode="External"/><Relationship Id="rId108" Type="http://schemas.openxmlformats.org/officeDocument/2006/relationships/hyperlink" Target="https://docs.google.com/spreadsheets/d/1zYZsEsUMaTmT-tAV-zzQz_jWiglpLHe7SvCMbCBfnWU/edit" TargetMode="External"/><Relationship Id="rId341" Type="http://schemas.openxmlformats.org/officeDocument/2006/relationships/hyperlink" Target="https://docs.google.com/spreadsheets/d/1zYZsEsUMaTmT-tAV-zzQz_jWiglpLHe7SvCMbCBfnWU/edit" TargetMode="External"/><Relationship Id="rId583" Type="http://schemas.openxmlformats.org/officeDocument/2006/relationships/hyperlink" Target="mailto:smrpre@gmail.com" TargetMode="External"/><Relationship Id="rId340" Type="http://schemas.openxmlformats.org/officeDocument/2006/relationships/hyperlink" Target="mailto:Kristen.farver@skiphop.com" TargetMode="External"/><Relationship Id="rId582" Type="http://schemas.openxmlformats.org/officeDocument/2006/relationships/hyperlink" Target="https://docs.google.com/spreadsheets/d/1zYZsEsUMaTmT-tAV-zzQz_jWiglpLHe7SvCMbCBfnWU/edit" TargetMode="External"/><Relationship Id="rId581" Type="http://schemas.openxmlformats.org/officeDocument/2006/relationships/hyperlink" Target="mailto:slupberger@proton.me" TargetMode="External"/><Relationship Id="rId580" Type="http://schemas.openxmlformats.org/officeDocument/2006/relationships/hyperlink" Target="mailto:slokaiyengar2014@gmail.com" TargetMode="External"/><Relationship Id="rId103" Type="http://schemas.openxmlformats.org/officeDocument/2006/relationships/hyperlink" Target="mailto:carlyelaine@gmail.com" TargetMode="External"/><Relationship Id="rId345" Type="http://schemas.openxmlformats.org/officeDocument/2006/relationships/hyperlink" Target="https://docs.google.com/spreadsheets/d/1zYZsEsUMaTmT-tAV-zzQz_jWiglpLHe7SvCMbCBfnWU/edit" TargetMode="External"/><Relationship Id="rId587" Type="http://schemas.openxmlformats.org/officeDocument/2006/relationships/hyperlink" Target="mailto:sonyarobinsonn@gmail.com" TargetMode="External"/><Relationship Id="rId102" Type="http://schemas.openxmlformats.org/officeDocument/2006/relationships/hyperlink" Target="mailto:cara.every@fmr.com" TargetMode="External"/><Relationship Id="rId344" Type="http://schemas.openxmlformats.org/officeDocument/2006/relationships/hyperlink" Target="mailto:kunalsjani.1@gmail.com" TargetMode="External"/><Relationship Id="rId586" Type="http://schemas.openxmlformats.org/officeDocument/2006/relationships/hyperlink" Target="https://docs.google.com/spreadsheets/d/1zYZsEsUMaTmT-tAV-zzQz_jWiglpLHe7SvCMbCBfnWU/edit" TargetMode="External"/><Relationship Id="rId101" Type="http://schemas.openxmlformats.org/officeDocument/2006/relationships/hyperlink" Target="https://docs.google.com/spreadsheets/d/1zYZsEsUMaTmT-tAV-zzQz_jWiglpLHe7SvCMbCBfnWU/edit" TargetMode="External"/><Relationship Id="rId343" Type="http://schemas.openxmlformats.org/officeDocument/2006/relationships/hyperlink" Target="https://docs.google.com/spreadsheets/d/1zYZsEsUMaTmT-tAV-zzQz_jWiglpLHe7SvCMbCBfnWU/edit" TargetMode="External"/><Relationship Id="rId585" Type="http://schemas.openxmlformats.org/officeDocument/2006/relationships/hyperlink" Target="mailto:snbenn@hotmail.com" TargetMode="External"/><Relationship Id="rId100" Type="http://schemas.openxmlformats.org/officeDocument/2006/relationships/hyperlink" Target="mailto:bychance@gmail.com" TargetMode="External"/><Relationship Id="rId342" Type="http://schemas.openxmlformats.org/officeDocument/2006/relationships/hyperlink" Target="mailto:krupasjani@gmail.com" TargetMode="External"/><Relationship Id="rId584" Type="http://schemas.openxmlformats.org/officeDocument/2006/relationships/hyperlink" Target="https://docs.google.com/spreadsheets/d/1zYZsEsUMaTmT-tAV-zzQz_jWiglpLHe7SvCMbCBfnWU/edit" TargetMode="External"/><Relationship Id="rId338" Type="http://schemas.openxmlformats.org/officeDocument/2006/relationships/hyperlink" Target="mailto:krajmohamed@gmail.com" TargetMode="External"/><Relationship Id="rId337" Type="http://schemas.openxmlformats.org/officeDocument/2006/relationships/hyperlink" Target="mailto:kmartinez612@gmail.com" TargetMode="External"/><Relationship Id="rId579" Type="http://schemas.openxmlformats.org/officeDocument/2006/relationships/hyperlink" Target="https://docs.google.com/spreadsheets/d/1zYZsEsUMaTmT-tAV-zzQz_jWiglpLHe7SvCMbCBfnWU/edit" TargetMode="External"/><Relationship Id="rId336" Type="http://schemas.openxmlformats.org/officeDocument/2006/relationships/hyperlink" Target="https://docs.google.com/spreadsheets/d/1zYZsEsUMaTmT-tAV-zzQz_jWiglpLHe7SvCMbCBfnWU/edit" TargetMode="External"/><Relationship Id="rId578" Type="http://schemas.openxmlformats.org/officeDocument/2006/relationships/hyperlink" Target="mailto:skpark1@gmail.com" TargetMode="External"/><Relationship Id="rId335" Type="http://schemas.openxmlformats.org/officeDocument/2006/relationships/hyperlink" Target="mailto:kiranjotgill1@gmail.com" TargetMode="External"/><Relationship Id="rId577" Type="http://schemas.openxmlformats.org/officeDocument/2006/relationships/hyperlink" Target="https://docs.google.com/spreadsheets/d/1zYZsEsUMaTmT-tAV-zzQz_jWiglpLHe7SvCMbCBfnWU/edit" TargetMode="External"/><Relationship Id="rId339" Type="http://schemas.openxmlformats.org/officeDocument/2006/relationships/hyperlink" Target="https://docs.google.com/spreadsheets/d/1zYZsEsUMaTmT-tAV-zzQz_jWiglpLHe7SvCMbCBfnWU/edit" TargetMode="External"/><Relationship Id="rId330" Type="http://schemas.openxmlformats.org/officeDocument/2006/relationships/hyperlink" Target="https://docs.google.com/spreadsheets/d/1zYZsEsUMaTmT-tAV-zzQz_jWiglpLHe7SvCMbCBfnWU/edit" TargetMode="External"/><Relationship Id="rId572" Type="http://schemas.openxmlformats.org/officeDocument/2006/relationships/hyperlink" Target="https://docs.google.com/spreadsheets/d/1zYZsEsUMaTmT-tAV-zzQz_jWiglpLHe7SvCMbCBfnWU/edit" TargetMode="External"/><Relationship Id="rId571" Type="http://schemas.openxmlformats.org/officeDocument/2006/relationships/hyperlink" Target="mailto:shoshana823@hotmail.com" TargetMode="External"/><Relationship Id="rId570" Type="http://schemas.openxmlformats.org/officeDocument/2006/relationships/hyperlink" Target="mailto:Sher_pasquini@wvi.org" TargetMode="External"/><Relationship Id="rId334" Type="http://schemas.openxmlformats.org/officeDocument/2006/relationships/hyperlink" Target="mailto:kimbok2@hotmail.com" TargetMode="External"/><Relationship Id="rId576" Type="http://schemas.openxmlformats.org/officeDocument/2006/relationships/hyperlink" Target="mailto:skoundinya@linkedin.com" TargetMode="External"/><Relationship Id="rId333" Type="http://schemas.openxmlformats.org/officeDocument/2006/relationships/hyperlink" Target="mailto:kimberlynguyenv@gmail.com" TargetMode="External"/><Relationship Id="rId575" Type="http://schemas.openxmlformats.org/officeDocument/2006/relationships/hyperlink" Target="https://docs.google.com/spreadsheets/d/1zYZsEsUMaTmT-tAV-zzQz_jWiglpLHe7SvCMbCBfnWU/edit" TargetMode="External"/><Relationship Id="rId332" Type="http://schemas.openxmlformats.org/officeDocument/2006/relationships/hyperlink" Target="https://docs.google.com/spreadsheets/d/1zYZsEsUMaTmT-tAV-zzQz_jWiglpLHe7SvCMbCBfnWU/edit" TargetMode="External"/><Relationship Id="rId574" Type="http://schemas.openxmlformats.org/officeDocument/2006/relationships/hyperlink" Target="mailto:simonjbwinograd@gmail.com" TargetMode="External"/><Relationship Id="rId331" Type="http://schemas.openxmlformats.org/officeDocument/2006/relationships/hyperlink" Target="mailto:Keylinsrivera@gmail.com" TargetMode="External"/><Relationship Id="rId573" Type="http://schemas.openxmlformats.org/officeDocument/2006/relationships/hyperlink" Target="mailto:shwetha.gopi.scar@gmail.com" TargetMode="External"/><Relationship Id="rId370" Type="http://schemas.openxmlformats.org/officeDocument/2006/relationships/hyperlink" Target="https://docs.google.com/spreadsheets/d/1zYZsEsUMaTmT-tAV-zzQz_jWiglpLHe7SvCMbCBfnWU/edit" TargetMode="External"/><Relationship Id="rId129" Type="http://schemas.openxmlformats.org/officeDocument/2006/relationships/hyperlink" Target="https://docs.google.com/spreadsheets/d/1zYZsEsUMaTmT-tAV-zzQz_jWiglpLHe7SvCMbCBfnWU/edit" TargetMode="External"/><Relationship Id="rId128" Type="http://schemas.openxmlformats.org/officeDocument/2006/relationships/hyperlink" Target="mailto:chiemelao@gmail.com" TargetMode="External"/><Relationship Id="rId127" Type="http://schemas.openxmlformats.org/officeDocument/2006/relationships/hyperlink" Target="https://docs.google.com/spreadsheets/d/1zYZsEsUMaTmT-tAV-zzQz_jWiglpLHe7SvCMbCBfnWU/edit" TargetMode="External"/><Relationship Id="rId369" Type="http://schemas.openxmlformats.org/officeDocument/2006/relationships/hyperlink" Target="mailto:lkcnatalia@gmail.com" TargetMode="External"/><Relationship Id="rId126" Type="http://schemas.openxmlformats.org/officeDocument/2006/relationships/hyperlink" Target="mailto:chetnab@gmail.com" TargetMode="External"/><Relationship Id="rId368" Type="http://schemas.openxmlformats.org/officeDocument/2006/relationships/hyperlink" Target="https://docs.google.com/spreadsheets/d/1zYZsEsUMaTmT-tAV-zzQz_jWiglpLHe7SvCMbCBfnWU/edit" TargetMode="External"/><Relationship Id="rId121" Type="http://schemas.openxmlformats.org/officeDocument/2006/relationships/hyperlink" Target="https://docs.google.com/spreadsheets/d/1zYZsEsUMaTmT-tAV-zzQz_jWiglpLHe7SvCMbCBfnWU/edit" TargetMode="External"/><Relationship Id="rId363" Type="http://schemas.openxmlformats.org/officeDocument/2006/relationships/hyperlink" Target="mailto:linda.ramirez19@gmail.com" TargetMode="External"/><Relationship Id="rId120" Type="http://schemas.openxmlformats.org/officeDocument/2006/relationships/hyperlink" Target="mailto:chante.adams@csaa.com" TargetMode="External"/><Relationship Id="rId362" Type="http://schemas.openxmlformats.org/officeDocument/2006/relationships/hyperlink" Target="https://docs.google.com/spreadsheets/d/1zYZsEsUMaTmT-tAV-zzQz_jWiglpLHe7SvCMbCBfnWU/edit" TargetMode="External"/><Relationship Id="rId361" Type="http://schemas.openxmlformats.org/officeDocument/2006/relationships/hyperlink" Target="mailto:lien.nguyen21@gmail.com" TargetMode="External"/><Relationship Id="rId360" Type="http://schemas.openxmlformats.org/officeDocument/2006/relationships/hyperlink" Target="https://docs.google.com/spreadsheets/d/1zYZsEsUMaTmT-tAV-zzQz_jWiglpLHe7SvCMbCBfnWU/edit" TargetMode="External"/><Relationship Id="rId125" Type="http://schemas.openxmlformats.org/officeDocument/2006/relationships/hyperlink" Target="https://docs.google.com/spreadsheets/d/1zYZsEsUMaTmT-tAV-zzQz_jWiglpLHe7SvCMbCBfnWU/edit" TargetMode="External"/><Relationship Id="rId367" Type="http://schemas.openxmlformats.org/officeDocument/2006/relationships/hyperlink" Target="mailto:Lindsay.lobello@icloud.com" TargetMode="External"/><Relationship Id="rId124" Type="http://schemas.openxmlformats.org/officeDocument/2006/relationships/hyperlink" Target="mailto:chetanamkaushik@gmail.com" TargetMode="External"/><Relationship Id="rId366" Type="http://schemas.openxmlformats.org/officeDocument/2006/relationships/hyperlink" Target="https://docs.google.com/spreadsheets/d/1zYZsEsUMaTmT-tAV-zzQz_jWiglpLHe7SvCMbCBfnWU/edit" TargetMode="External"/><Relationship Id="rId123" Type="http://schemas.openxmlformats.org/officeDocument/2006/relationships/hyperlink" Target="https://docs.google.com/spreadsheets/d/1zYZsEsUMaTmT-tAV-zzQz_jWiglpLHe7SvCMbCBfnWU/edit" TargetMode="External"/><Relationship Id="rId365" Type="http://schemas.openxmlformats.org/officeDocument/2006/relationships/hyperlink" Target="mailto:lindaguerrero@vistausd.org" TargetMode="External"/><Relationship Id="rId122" Type="http://schemas.openxmlformats.org/officeDocument/2006/relationships/hyperlink" Target="mailto:chemang@gmail.com" TargetMode="External"/><Relationship Id="rId364" Type="http://schemas.openxmlformats.org/officeDocument/2006/relationships/hyperlink" Target="https://docs.google.com/spreadsheets/d/1zYZsEsUMaTmT-tAV-zzQz_jWiglpLHe7SvCMbCBfnWU/edit" TargetMode="External"/><Relationship Id="rId95" Type="http://schemas.openxmlformats.org/officeDocument/2006/relationships/hyperlink" Target="mailto:brandyfonkam@gmail.com" TargetMode="External"/><Relationship Id="rId94" Type="http://schemas.openxmlformats.org/officeDocument/2006/relationships/hyperlink" Target="https://docs.google.com/spreadsheets/d/1zYZsEsUMaTmT-tAV-zzQz_jWiglpLHe7SvCMbCBfnWU/edit" TargetMode="External"/><Relationship Id="rId97" Type="http://schemas.openxmlformats.org/officeDocument/2006/relationships/hyperlink" Target="mailto:brenda.morales@okstate.edu" TargetMode="External"/><Relationship Id="rId96" Type="http://schemas.openxmlformats.org/officeDocument/2006/relationships/hyperlink" Target="https://docs.google.com/spreadsheets/d/1zYZsEsUMaTmT-tAV-zzQz_jWiglpLHe7SvCMbCBfnWU/edit" TargetMode="External"/><Relationship Id="rId99" Type="http://schemas.openxmlformats.org/officeDocument/2006/relationships/hyperlink" Target="https://docs.google.com/spreadsheets/d/1zYZsEsUMaTmT-tAV-zzQz_jWiglpLHe7SvCMbCBfnWU/edit" TargetMode="External"/><Relationship Id="rId98" Type="http://schemas.openxmlformats.org/officeDocument/2006/relationships/hyperlink" Target="mailto:bryan.roberts14@gmail.com" TargetMode="External"/><Relationship Id="rId91" Type="http://schemas.openxmlformats.org/officeDocument/2006/relationships/hyperlink" Target="https://docs.google.com/spreadsheets/d/1zYZsEsUMaTmT-tAV-zzQz_jWiglpLHe7SvCMbCBfnWU/edit" TargetMode="External"/><Relationship Id="rId90" Type="http://schemas.openxmlformats.org/officeDocument/2006/relationships/hyperlink" Target="mailto:bhaktipitre1084@gmail.com" TargetMode="External"/><Relationship Id="rId93" Type="http://schemas.openxmlformats.org/officeDocument/2006/relationships/hyperlink" Target="mailto:bindu.krishna@gmail.com" TargetMode="External"/><Relationship Id="rId92" Type="http://schemas.openxmlformats.org/officeDocument/2006/relationships/hyperlink" Target="https://docs.google.com/spreadsheets/d/1zYZsEsUMaTmT-tAV-zzQz_jWiglpLHe7SvCMbCBfnWU/edit" TargetMode="External"/><Relationship Id="rId118" Type="http://schemas.openxmlformats.org/officeDocument/2006/relationships/hyperlink" Target="mailto:chaney.matos@gmail.com" TargetMode="External"/><Relationship Id="rId117" Type="http://schemas.openxmlformats.org/officeDocument/2006/relationships/hyperlink" Target="mailto:cguzman@umassglobal.edu" TargetMode="External"/><Relationship Id="rId359" Type="http://schemas.openxmlformats.org/officeDocument/2006/relationships/hyperlink" Target="mailto:leifcastren@gmail.com" TargetMode="External"/><Relationship Id="rId116" Type="http://schemas.openxmlformats.org/officeDocument/2006/relationships/hyperlink" Target="mailto:cdlewin@gmail.com" TargetMode="External"/><Relationship Id="rId358" Type="http://schemas.openxmlformats.org/officeDocument/2006/relationships/hyperlink" Target="https://docs.google.com/spreadsheets/d/1zYZsEsUMaTmT-tAV-zzQz_jWiglpLHe7SvCMbCBfnWU/edit" TargetMode="External"/><Relationship Id="rId115" Type="http://schemas.openxmlformats.org/officeDocument/2006/relationships/hyperlink" Target="https://docs.google.com/spreadsheets/d/1zYZsEsUMaTmT-tAV-zzQz_jWiglpLHe7SvCMbCBfnWU/edit" TargetMode="External"/><Relationship Id="rId357" Type="http://schemas.openxmlformats.org/officeDocument/2006/relationships/hyperlink" Target="mailto:LD8305@outlook.com" TargetMode="External"/><Relationship Id="rId599" Type="http://schemas.openxmlformats.org/officeDocument/2006/relationships/hyperlink" Target="https://docs.google.com/spreadsheets/d/1zYZsEsUMaTmT-tAV-zzQz_jWiglpLHe7SvCMbCBfnWU/edit" TargetMode="External"/><Relationship Id="rId119" Type="http://schemas.openxmlformats.org/officeDocument/2006/relationships/hyperlink" Target="mailto:changlena@aol.com" TargetMode="External"/><Relationship Id="rId110" Type="http://schemas.openxmlformats.org/officeDocument/2006/relationships/hyperlink" Target="mailto:CarrMG@state.gov" TargetMode="External"/><Relationship Id="rId352" Type="http://schemas.openxmlformats.org/officeDocument/2006/relationships/hyperlink" Target="https://docs.google.com/spreadsheets/d/1zYZsEsUMaTmT-tAV-zzQz_jWiglpLHe7SvCMbCBfnWU/edit" TargetMode="External"/><Relationship Id="rId594" Type="http://schemas.openxmlformats.org/officeDocument/2006/relationships/hyperlink" Target="https://docs.google.com/spreadsheets/d/1zYZsEsUMaTmT-tAV-zzQz_jWiglpLHe7SvCMbCBfnWU/edit" TargetMode="External"/><Relationship Id="rId351" Type="http://schemas.openxmlformats.org/officeDocument/2006/relationships/hyperlink" Target="mailto:laurenvarg@gmail.com" TargetMode="External"/><Relationship Id="rId593" Type="http://schemas.openxmlformats.org/officeDocument/2006/relationships/hyperlink" Target="mailto:ssenosier@gmail.com" TargetMode="External"/><Relationship Id="rId350" Type="http://schemas.openxmlformats.org/officeDocument/2006/relationships/hyperlink" Target="https://docs.google.com/spreadsheets/d/1zYZsEsUMaTmT-tAV-zzQz_jWiglpLHe7SvCMbCBfnWU/edit" TargetMode="External"/><Relationship Id="rId592" Type="http://schemas.openxmlformats.org/officeDocument/2006/relationships/hyperlink" Target="mailto:ssarrouf29@gmail.com" TargetMode="External"/><Relationship Id="rId591" Type="http://schemas.openxmlformats.org/officeDocument/2006/relationships/hyperlink" Target="https://docs.google.com/spreadsheets/d/1zYZsEsUMaTmT-tAV-zzQz_jWiglpLHe7SvCMbCBfnWU/edit" TargetMode="External"/><Relationship Id="rId114" Type="http://schemas.openxmlformats.org/officeDocument/2006/relationships/hyperlink" Target="mailto:catherine.whealon@loreal.com" TargetMode="External"/><Relationship Id="rId356" Type="http://schemas.openxmlformats.org/officeDocument/2006/relationships/hyperlink" Target="https://docs.google.com/spreadsheets/d/1zYZsEsUMaTmT-tAV-zzQz_jWiglpLHe7SvCMbCBfnWU/edit" TargetMode="External"/><Relationship Id="rId598" Type="http://schemas.openxmlformats.org/officeDocument/2006/relationships/hyperlink" Target="mailto:Sunaimeh@gmail.com" TargetMode="External"/><Relationship Id="rId113" Type="http://schemas.openxmlformats.org/officeDocument/2006/relationships/hyperlink" Target="https://docs.google.com/spreadsheets/d/1zYZsEsUMaTmT-tAV-zzQz_jWiglpLHe7SvCMbCBfnWU/edit" TargetMode="External"/><Relationship Id="rId355" Type="http://schemas.openxmlformats.org/officeDocument/2006/relationships/hyperlink" Target="mailto:lcastro@agr.wa.gov" TargetMode="External"/><Relationship Id="rId597" Type="http://schemas.openxmlformats.org/officeDocument/2006/relationships/hyperlink" Target="https://docs.google.com/spreadsheets/d/1zYZsEsUMaTmT-tAV-zzQz_jWiglpLHe7SvCMbCBfnWU/edit" TargetMode="External"/><Relationship Id="rId112" Type="http://schemas.openxmlformats.org/officeDocument/2006/relationships/hyperlink" Target="mailto:caseyburry@gmail.com" TargetMode="External"/><Relationship Id="rId354" Type="http://schemas.openxmlformats.org/officeDocument/2006/relationships/hyperlink" Target="https://docs.google.com/spreadsheets/d/1zYZsEsUMaTmT-tAV-zzQz_jWiglpLHe7SvCMbCBfnWU/edit" TargetMode="External"/><Relationship Id="rId596" Type="http://schemas.openxmlformats.org/officeDocument/2006/relationships/hyperlink" Target="mailto:sumeyya.ashraf@aya.yale.edu" TargetMode="External"/><Relationship Id="rId111" Type="http://schemas.openxmlformats.org/officeDocument/2006/relationships/hyperlink" Target="https://docs.google.com/spreadsheets/d/1zYZsEsUMaTmT-tAV-zzQz_jWiglpLHe7SvCMbCBfnWU/edit" TargetMode="External"/><Relationship Id="rId353" Type="http://schemas.openxmlformats.org/officeDocument/2006/relationships/hyperlink" Target="mailto:lawilson@umassglobal.edu" TargetMode="External"/><Relationship Id="rId595" Type="http://schemas.openxmlformats.org/officeDocument/2006/relationships/hyperlink" Target="mailto:suemikhin@gmail.com" TargetMode="External"/><Relationship Id="rId305" Type="http://schemas.openxmlformats.org/officeDocument/2006/relationships/hyperlink" Target="mailto:jrpatel130@gmail.com" TargetMode="External"/><Relationship Id="rId547" Type="http://schemas.openxmlformats.org/officeDocument/2006/relationships/hyperlink" Target="mailto:sandra.llonttop@gmail.com" TargetMode="External"/><Relationship Id="rId789" Type="http://schemas.openxmlformats.org/officeDocument/2006/relationships/hyperlink" Target="mailto:nkhorana@gmail.com" TargetMode="External"/><Relationship Id="rId304" Type="http://schemas.openxmlformats.org/officeDocument/2006/relationships/hyperlink" Target="https://docs.google.com/spreadsheets/d/1zYZsEsUMaTmT-tAV-zzQz_jWiglpLHe7SvCMbCBfnWU/edit" TargetMode="External"/><Relationship Id="rId546" Type="http://schemas.openxmlformats.org/officeDocument/2006/relationships/hyperlink" Target="https://docs.google.com/spreadsheets/d/1zYZsEsUMaTmT-tAV-zzQz_jWiglpLHe7SvCMbCBfnWU/edit" TargetMode="External"/><Relationship Id="rId788" Type="http://schemas.openxmlformats.org/officeDocument/2006/relationships/hyperlink" Target="https://docs.google.com/spreadsheets/d/1zYZsEsUMaTmT-tAV-zzQz_jWiglpLHe7SvCMbCBfnWU/edit" TargetMode="External"/><Relationship Id="rId303" Type="http://schemas.openxmlformats.org/officeDocument/2006/relationships/hyperlink" Target="mailto:Jrosen13@northwell.edu" TargetMode="External"/><Relationship Id="rId545" Type="http://schemas.openxmlformats.org/officeDocument/2006/relationships/hyperlink" Target="mailto:sanaahmad112@gmail.com" TargetMode="External"/><Relationship Id="rId787" Type="http://schemas.openxmlformats.org/officeDocument/2006/relationships/hyperlink" Target="mailto:anitha717@gmail.com" TargetMode="External"/><Relationship Id="rId302" Type="http://schemas.openxmlformats.org/officeDocument/2006/relationships/hyperlink" Target="mailto:jpamoako7@gmail.com" TargetMode="External"/><Relationship Id="rId544" Type="http://schemas.openxmlformats.org/officeDocument/2006/relationships/hyperlink" Target="https://docs.google.com/spreadsheets/d/1zYZsEsUMaTmT-tAV-zzQz_jWiglpLHe7SvCMbCBfnWU/edit" TargetMode="External"/><Relationship Id="rId786" Type="http://schemas.openxmlformats.org/officeDocument/2006/relationships/hyperlink" Target="https://docs.google.com/spreadsheets/d/1zYZsEsUMaTmT-tAV-zzQz_jWiglpLHe7SvCMbCBfnWU/edit" TargetMode="External"/><Relationship Id="rId309" Type="http://schemas.openxmlformats.org/officeDocument/2006/relationships/hyperlink" Target="https://docs.google.com/spreadsheets/d/1zYZsEsUMaTmT-tAV-zzQz_jWiglpLHe7SvCMbCBfnWU/edit" TargetMode="External"/><Relationship Id="rId308" Type="http://schemas.openxmlformats.org/officeDocument/2006/relationships/hyperlink" Target="mailto:jsd246@cornell.edu" TargetMode="External"/><Relationship Id="rId307" Type="http://schemas.openxmlformats.org/officeDocument/2006/relationships/hyperlink" Target="mailto:js2anna@gmail.com" TargetMode="External"/><Relationship Id="rId549" Type="http://schemas.openxmlformats.org/officeDocument/2006/relationships/hyperlink" Target="mailto:sanzfatima@hotmail.com" TargetMode="External"/><Relationship Id="rId306" Type="http://schemas.openxmlformats.org/officeDocument/2006/relationships/hyperlink" Target="https://docs.google.com/spreadsheets/d/1zYZsEsUMaTmT-tAV-zzQz_jWiglpLHe7SvCMbCBfnWU/edit" TargetMode="External"/><Relationship Id="rId548" Type="http://schemas.openxmlformats.org/officeDocument/2006/relationships/hyperlink" Target="https://docs.google.com/spreadsheets/d/1zYZsEsUMaTmT-tAV-zzQz_jWiglpLHe7SvCMbCBfnWU/edit" TargetMode="External"/><Relationship Id="rId781" Type="http://schemas.openxmlformats.org/officeDocument/2006/relationships/hyperlink" Target="https://docs.google.com/spreadsheets/d/1zYZsEsUMaTmT-tAV-zzQz_jWiglpLHe7SvCMbCBfnWU/edit" TargetMode="External"/><Relationship Id="rId780" Type="http://schemas.openxmlformats.org/officeDocument/2006/relationships/hyperlink" Target="mailto:liz.alvarezrivera@gmail.com" TargetMode="External"/><Relationship Id="rId301" Type="http://schemas.openxmlformats.org/officeDocument/2006/relationships/hyperlink" Target="mailto:joy04flow@hotmail.com" TargetMode="External"/><Relationship Id="rId543" Type="http://schemas.openxmlformats.org/officeDocument/2006/relationships/hyperlink" Target="mailto:saima.malik@thebuildingpeople.com" TargetMode="External"/><Relationship Id="rId785" Type="http://schemas.openxmlformats.org/officeDocument/2006/relationships/hyperlink" Target="https://docs.google.com/spreadsheets/d/1zYZsEsUMaTmT-tAV-zzQz_jWiglpLHe7SvCMbCBfnWU/edit" TargetMode="External"/><Relationship Id="rId300" Type="http://schemas.openxmlformats.org/officeDocument/2006/relationships/hyperlink" Target="https://docs.google.com/spreadsheets/d/1zYZsEsUMaTmT-tAV-zzQz_jWiglpLHe7SvCMbCBfnWU/edit" TargetMode="External"/><Relationship Id="rId542" Type="http://schemas.openxmlformats.org/officeDocument/2006/relationships/hyperlink" Target="https://docs.google.com/spreadsheets/d/1zYZsEsUMaTmT-tAV-zzQz_jWiglpLHe7SvCMbCBfnWU/edit" TargetMode="External"/><Relationship Id="rId784" Type="http://schemas.openxmlformats.org/officeDocument/2006/relationships/hyperlink" Target="https://docs.google.com/spreadsheets/d/1zYZsEsUMaTmT-tAV-zzQz_jWiglpLHe7SvCMbCBfnWU/edit" TargetMode="External"/><Relationship Id="rId541" Type="http://schemas.openxmlformats.org/officeDocument/2006/relationships/hyperlink" Target="mailto:sabz.shsu@gmail.com" TargetMode="External"/><Relationship Id="rId783" Type="http://schemas.openxmlformats.org/officeDocument/2006/relationships/hyperlink" Target="mailto:jimenamontane@speakhire.org" TargetMode="External"/><Relationship Id="rId540" Type="http://schemas.openxmlformats.org/officeDocument/2006/relationships/hyperlink" Target="https://docs.google.com/spreadsheets/d/1zYZsEsUMaTmT-tAV-zzQz_jWiglpLHe7SvCMbCBfnWU/edit" TargetMode="External"/><Relationship Id="rId782" Type="http://schemas.openxmlformats.org/officeDocument/2006/relationships/hyperlink" Target="mailto:veronicaheredia55@hotmail.com" TargetMode="External"/><Relationship Id="rId536" Type="http://schemas.openxmlformats.org/officeDocument/2006/relationships/hyperlink" Target="https://docs.google.com/spreadsheets/d/1zYZsEsUMaTmT-tAV-zzQz_jWiglpLHe7SvCMbCBfnWU/edit" TargetMode="External"/><Relationship Id="rId778" Type="http://schemas.openxmlformats.org/officeDocument/2006/relationships/hyperlink" Target="mailto:maria.montero@orbis.org" TargetMode="External"/><Relationship Id="rId535" Type="http://schemas.openxmlformats.org/officeDocument/2006/relationships/hyperlink" Target="mailto:ryane.montanez@gmail.com" TargetMode="External"/><Relationship Id="rId777" Type="http://schemas.openxmlformats.org/officeDocument/2006/relationships/hyperlink" Target="https://docs.google.com/spreadsheets/d/1zYZsEsUMaTmT-tAV-zzQz_jWiglpLHe7SvCMbCBfnWU/edit" TargetMode="External"/><Relationship Id="rId534" Type="http://schemas.openxmlformats.org/officeDocument/2006/relationships/hyperlink" Target="https://docs.google.com/spreadsheets/d/1zYZsEsUMaTmT-tAV-zzQz_jWiglpLHe7SvCMbCBfnWU/edit" TargetMode="External"/><Relationship Id="rId776" Type="http://schemas.openxmlformats.org/officeDocument/2006/relationships/hyperlink" Target="mailto:dandylena97@gmail.com" TargetMode="External"/><Relationship Id="rId533" Type="http://schemas.openxmlformats.org/officeDocument/2006/relationships/hyperlink" Target="mailto:rosie3chu@gmail.com" TargetMode="External"/><Relationship Id="rId775" Type="http://schemas.openxmlformats.org/officeDocument/2006/relationships/hyperlink" Target="mailto:sboxman@philasd.org" TargetMode="External"/><Relationship Id="rId539" Type="http://schemas.openxmlformats.org/officeDocument/2006/relationships/hyperlink" Target="mailto:sa462@cornell.edu" TargetMode="External"/><Relationship Id="rId538" Type="http://schemas.openxmlformats.org/officeDocument/2006/relationships/hyperlink" Target="https://docs.google.com/spreadsheets/d/1zYZsEsUMaTmT-tAV-zzQz_jWiglpLHe7SvCMbCBfnWU/edit" TargetMode="External"/><Relationship Id="rId537" Type="http://schemas.openxmlformats.org/officeDocument/2006/relationships/hyperlink" Target="mailto:ryansisi@yahoo.com" TargetMode="External"/><Relationship Id="rId779" Type="http://schemas.openxmlformats.org/officeDocument/2006/relationships/hyperlink" Target="https://docs.google.com/spreadsheets/d/1zYZsEsUMaTmT-tAV-zzQz_jWiglpLHe7SvCMbCBfnWU/edit" TargetMode="External"/><Relationship Id="rId770" Type="http://schemas.openxmlformats.org/officeDocument/2006/relationships/hyperlink" Target="mailto:gris@google.com" TargetMode="External"/><Relationship Id="rId532" Type="http://schemas.openxmlformats.org/officeDocument/2006/relationships/hyperlink" Target="https://docs.google.com/spreadsheets/d/1zYZsEsUMaTmT-tAV-zzQz_jWiglpLHe7SvCMbCBfnWU/edit" TargetMode="External"/><Relationship Id="rId774" Type="http://schemas.openxmlformats.org/officeDocument/2006/relationships/hyperlink" Target="mailto:kiranjotgill1@gmail.com" TargetMode="External"/><Relationship Id="rId531" Type="http://schemas.openxmlformats.org/officeDocument/2006/relationships/hyperlink" Target="mailto:roopakohli88@gmail.com" TargetMode="External"/><Relationship Id="rId773" Type="http://schemas.openxmlformats.org/officeDocument/2006/relationships/hyperlink" Target="mailto:akintemowo@yahoo.com" TargetMode="External"/><Relationship Id="rId530" Type="http://schemas.openxmlformats.org/officeDocument/2006/relationships/hyperlink" Target="https://docs.google.com/spreadsheets/d/1zYZsEsUMaTmT-tAV-zzQz_jWiglpLHe7SvCMbCBfnWU/edit" TargetMode="External"/><Relationship Id="rId772" Type="http://schemas.openxmlformats.org/officeDocument/2006/relationships/hyperlink" Target="mailto:dianareateguivasquez@gmail.com" TargetMode="External"/><Relationship Id="rId771" Type="http://schemas.openxmlformats.org/officeDocument/2006/relationships/hyperlink" Target="mailto:amm09b@acu.edu" TargetMode="External"/><Relationship Id="rId327" Type="http://schemas.openxmlformats.org/officeDocument/2006/relationships/hyperlink" Target="mailto:kenna.ranson@gmail.com" TargetMode="External"/><Relationship Id="rId569" Type="http://schemas.openxmlformats.org/officeDocument/2006/relationships/hyperlink" Target="mailto:shawn.c.adams@rtx.com" TargetMode="External"/><Relationship Id="rId326" Type="http://schemas.openxmlformats.org/officeDocument/2006/relationships/hyperlink" Target="https://docs.google.com/spreadsheets/d/1zYZsEsUMaTmT-tAV-zzQz_jWiglpLHe7SvCMbCBfnWU/edit" TargetMode="External"/><Relationship Id="rId568" Type="http://schemas.openxmlformats.org/officeDocument/2006/relationships/hyperlink" Target="https://docs.google.com/spreadsheets/d/1zYZsEsUMaTmT-tAV-zzQz_jWiglpLHe7SvCMbCBfnWU/edit" TargetMode="External"/><Relationship Id="rId325" Type="http://schemas.openxmlformats.org/officeDocument/2006/relationships/hyperlink" Target="mailto:kenia@kearsolutions.com" TargetMode="External"/><Relationship Id="rId567" Type="http://schemas.openxmlformats.org/officeDocument/2006/relationships/hyperlink" Target="mailto:sharonshi21@gmail.com" TargetMode="External"/><Relationship Id="rId324" Type="http://schemas.openxmlformats.org/officeDocument/2006/relationships/hyperlink" Target="mailto:kavipooja@gmail.com" TargetMode="External"/><Relationship Id="rId566" Type="http://schemas.openxmlformats.org/officeDocument/2006/relationships/hyperlink" Target="mailto:shamji.nerissa@gmail.com" TargetMode="External"/><Relationship Id="rId329" Type="http://schemas.openxmlformats.org/officeDocument/2006/relationships/hyperlink" Target="mailto:kerryannhenry3@gmail.com" TargetMode="External"/><Relationship Id="rId328" Type="http://schemas.openxmlformats.org/officeDocument/2006/relationships/hyperlink" Target="https://docs.google.com/spreadsheets/d/1zYZsEsUMaTmT-tAV-zzQz_jWiglpLHe7SvCMbCBfnWU/edit" TargetMode="External"/><Relationship Id="rId561" Type="http://schemas.openxmlformats.org/officeDocument/2006/relationships/hyperlink" Target="mailto:seemadixit@gmail.com" TargetMode="External"/><Relationship Id="rId560" Type="http://schemas.openxmlformats.org/officeDocument/2006/relationships/hyperlink" Target="http://sentry.io" TargetMode="External"/><Relationship Id="rId323" Type="http://schemas.openxmlformats.org/officeDocument/2006/relationships/hyperlink" Target="mailto:kaushiks03@gmail.com" TargetMode="External"/><Relationship Id="rId565" Type="http://schemas.openxmlformats.org/officeDocument/2006/relationships/hyperlink" Target="https://docs.google.com/spreadsheets/d/1zYZsEsUMaTmT-tAV-zzQz_jWiglpLHe7SvCMbCBfnWU/edit" TargetMode="External"/><Relationship Id="rId322" Type="http://schemas.openxmlformats.org/officeDocument/2006/relationships/hyperlink" Target="mailto:katherineq0708@gmail.com" TargetMode="External"/><Relationship Id="rId564" Type="http://schemas.openxmlformats.org/officeDocument/2006/relationships/hyperlink" Target="mailto:sgrandjacques@yahoo.com" TargetMode="External"/><Relationship Id="rId321" Type="http://schemas.openxmlformats.org/officeDocument/2006/relationships/hyperlink" Target="https://docs.google.com/spreadsheets/d/1zYZsEsUMaTmT-tAV-zzQz_jWiglpLHe7SvCMbCBfnWU/edit" TargetMode="External"/><Relationship Id="rId563" Type="http://schemas.openxmlformats.org/officeDocument/2006/relationships/hyperlink" Target="mailto:sflores2292@gmail.com" TargetMode="External"/><Relationship Id="rId320" Type="http://schemas.openxmlformats.org/officeDocument/2006/relationships/hyperlink" Target="mailto:katemcory@gmail.com" TargetMode="External"/><Relationship Id="rId562" Type="http://schemas.openxmlformats.org/officeDocument/2006/relationships/hyperlink" Target="https://docs.google.com/spreadsheets/d/1zYZsEsUMaTmT-tAV-zzQz_jWiglpLHe7SvCMbCBfnWU/edit" TargetMode="External"/><Relationship Id="rId316" Type="http://schemas.openxmlformats.org/officeDocument/2006/relationships/hyperlink" Target="mailto:Kapila.Monga@gmail.com" TargetMode="External"/><Relationship Id="rId558" Type="http://schemas.openxmlformats.org/officeDocument/2006/relationships/hyperlink" Target="https://docs.google.com/spreadsheets/d/1zYZsEsUMaTmT-tAV-zzQz_jWiglpLHe7SvCMbCBfnWU/edit" TargetMode="External"/><Relationship Id="rId315" Type="http://schemas.openxmlformats.org/officeDocument/2006/relationships/hyperlink" Target="https://docs.google.com/spreadsheets/d/1zYZsEsUMaTmT-tAV-zzQz_jWiglpLHe7SvCMbCBfnWU/edit" TargetMode="External"/><Relationship Id="rId557" Type="http://schemas.openxmlformats.org/officeDocument/2006/relationships/hyperlink" Target="mailto:scotney.young@gmail.com" TargetMode="External"/><Relationship Id="rId314" Type="http://schemas.openxmlformats.org/officeDocument/2006/relationships/hyperlink" Target="mailto:kady2003@gmail.com" TargetMode="External"/><Relationship Id="rId556" Type="http://schemas.openxmlformats.org/officeDocument/2006/relationships/hyperlink" Target="https://docs.google.com/spreadsheets/d/1zYZsEsUMaTmT-tAV-zzQz_jWiglpLHe7SvCMbCBfnWU/edit" TargetMode="External"/><Relationship Id="rId798" Type="http://schemas.openxmlformats.org/officeDocument/2006/relationships/drawing" Target="../drawings/drawing3.xml"/><Relationship Id="rId313" Type="http://schemas.openxmlformats.org/officeDocument/2006/relationships/hyperlink" Target="https://docs.google.com/spreadsheets/d/1zYZsEsUMaTmT-tAV-zzQz_jWiglpLHe7SvCMbCBfnWU/edit" TargetMode="External"/><Relationship Id="rId555" Type="http://schemas.openxmlformats.org/officeDocument/2006/relationships/hyperlink" Target="mailto:scadorniga@gmail.com" TargetMode="External"/><Relationship Id="rId797" Type="http://schemas.openxmlformats.org/officeDocument/2006/relationships/hyperlink" Target="https://docs.google.com/spreadsheets/d/1zYZsEsUMaTmT-tAV-zzQz_jWiglpLHe7SvCMbCBfnWU/edit" TargetMode="External"/><Relationship Id="rId319" Type="http://schemas.openxmlformats.org/officeDocument/2006/relationships/hyperlink" Target="mailto:karouna22@yahoo.com" TargetMode="External"/><Relationship Id="rId318" Type="http://schemas.openxmlformats.org/officeDocument/2006/relationships/hyperlink" Target="https://docs.google.com/spreadsheets/d/1zYZsEsUMaTmT-tAV-zzQz_jWiglpLHe7SvCMbCBfnWU/edit" TargetMode="External"/><Relationship Id="rId317" Type="http://schemas.openxmlformats.org/officeDocument/2006/relationships/hyperlink" Target="mailto:karmen927@gmail.com" TargetMode="External"/><Relationship Id="rId559" Type="http://schemas.openxmlformats.org/officeDocument/2006/relationships/hyperlink" Target="mailto:sdudziak@gmail.com" TargetMode="External"/><Relationship Id="rId550" Type="http://schemas.openxmlformats.org/officeDocument/2006/relationships/hyperlink" Target="https://docs.google.com/spreadsheets/d/1zYZsEsUMaTmT-tAV-zzQz_jWiglpLHe7SvCMbCBfnWU/edit" TargetMode="External"/><Relationship Id="rId792" Type="http://schemas.openxmlformats.org/officeDocument/2006/relationships/hyperlink" Target="https://docs.google.com/spreadsheets/d/1zYZsEsUMaTmT-tAV-zzQz_jWiglpLHe7SvCMbCBfnWU/edit" TargetMode="External"/><Relationship Id="rId791" Type="http://schemas.openxmlformats.org/officeDocument/2006/relationships/hyperlink" Target="mailto:nwamaka.ejebe@gmail.com" TargetMode="External"/><Relationship Id="rId790" Type="http://schemas.openxmlformats.org/officeDocument/2006/relationships/hyperlink" Target="https://docs.google.com/spreadsheets/d/1zYZsEsUMaTmT-tAV-zzQz_jWiglpLHe7SvCMbCBfnWU/edit" TargetMode="External"/><Relationship Id="rId312" Type="http://schemas.openxmlformats.org/officeDocument/2006/relationships/hyperlink" Target="mailto:jzheng9045@gmail.com" TargetMode="External"/><Relationship Id="rId554" Type="http://schemas.openxmlformats.org/officeDocument/2006/relationships/hyperlink" Target="https://docs.google.com/spreadsheets/d/1zYZsEsUMaTmT-tAV-zzQz_jWiglpLHe7SvCMbCBfnWU/edit" TargetMode="External"/><Relationship Id="rId796" Type="http://schemas.openxmlformats.org/officeDocument/2006/relationships/hyperlink" Target="https://docs.google.com/spreadsheets/d/1zYZsEsUMaTmT-tAV-zzQz_jWiglpLHe7SvCMbCBfnWU/edit" TargetMode="External"/><Relationship Id="rId311" Type="http://schemas.openxmlformats.org/officeDocument/2006/relationships/hyperlink" Target="https://docs.google.com/spreadsheets/d/1zYZsEsUMaTmT-tAV-zzQz_jWiglpLHe7SvCMbCBfnWU/edit" TargetMode="External"/><Relationship Id="rId553" Type="http://schemas.openxmlformats.org/officeDocument/2006/relationships/hyperlink" Target="mailto:susanboxman@gmail.com" TargetMode="External"/><Relationship Id="rId795" Type="http://schemas.openxmlformats.org/officeDocument/2006/relationships/hyperlink" Target="mailto:chevon51@gmail.com" TargetMode="External"/><Relationship Id="rId310" Type="http://schemas.openxmlformats.org/officeDocument/2006/relationships/hyperlink" Target="mailto:julia.golkin@gmail.com" TargetMode="External"/><Relationship Id="rId552" Type="http://schemas.openxmlformats.org/officeDocument/2006/relationships/hyperlink" Target="https://docs.google.com/spreadsheets/d/1zYZsEsUMaTmT-tAV-zzQz_jWiglpLHe7SvCMbCBfnWU/edit" TargetMode="External"/><Relationship Id="rId794" Type="http://schemas.openxmlformats.org/officeDocument/2006/relationships/hyperlink" Target="https://docs.google.com/spreadsheets/d/1zYZsEsUMaTmT-tAV-zzQz_jWiglpLHe7SvCMbCBfnWU/edit" TargetMode="External"/><Relationship Id="rId551" Type="http://schemas.openxmlformats.org/officeDocument/2006/relationships/hyperlink" Target="mailto:sayyag3@uic.edu" TargetMode="External"/><Relationship Id="rId793" Type="http://schemas.openxmlformats.org/officeDocument/2006/relationships/hyperlink" Target="mailto:melisabedoyam@gmail.com" TargetMode="External"/><Relationship Id="rId297" Type="http://schemas.openxmlformats.org/officeDocument/2006/relationships/hyperlink" Target="mailto:joshua.foster@csaa.com" TargetMode="External"/><Relationship Id="rId296" Type="http://schemas.openxmlformats.org/officeDocument/2006/relationships/hyperlink" Target="https://docs.google.com/spreadsheets/d/1zYZsEsUMaTmT-tAV-zzQz_jWiglpLHe7SvCMbCBfnWU/edit" TargetMode="External"/><Relationship Id="rId295" Type="http://schemas.openxmlformats.org/officeDocument/2006/relationships/hyperlink" Target="mailto:johnlmix@gmail.com" TargetMode="External"/><Relationship Id="rId294" Type="http://schemas.openxmlformats.org/officeDocument/2006/relationships/hyperlink" Target="https://docs.google.com/spreadsheets/d/1zYZsEsUMaTmT-tAV-zzQz_jWiglpLHe7SvCMbCBfnWU/edit" TargetMode="External"/><Relationship Id="rId299" Type="http://schemas.openxmlformats.org/officeDocument/2006/relationships/hyperlink" Target="mailto:joshua.harris24@gmail.com" TargetMode="External"/><Relationship Id="rId298" Type="http://schemas.openxmlformats.org/officeDocument/2006/relationships/hyperlink" Target="https://docs.google.com/spreadsheets/d/1zYZsEsUMaTmT-tAV-zzQz_jWiglpLHe7SvCMbCBfnWU/edit" TargetMode="External"/><Relationship Id="rId271" Type="http://schemas.openxmlformats.org/officeDocument/2006/relationships/hyperlink" Target="mailto:Jaskiran1@gmail.com" TargetMode="External"/><Relationship Id="rId270" Type="http://schemas.openxmlformats.org/officeDocument/2006/relationships/hyperlink" Target="mailto:janpanchalingam@gmail.com" TargetMode="External"/><Relationship Id="rId269" Type="http://schemas.openxmlformats.org/officeDocument/2006/relationships/hyperlink" Target="https://docs.google.com/spreadsheets/d/1zYZsEsUMaTmT-tAV-zzQz_jWiglpLHe7SvCMbCBfnWU/edit" TargetMode="External"/><Relationship Id="rId264" Type="http://schemas.openxmlformats.org/officeDocument/2006/relationships/hyperlink" Target="mailto:jamie.k.huang@gmail.com" TargetMode="External"/><Relationship Id="rId263" Type="http://schemas.openxmlformats.org/officeDocument/2006/relationships/hyperlink" Target="mailto:jameshilton1114@yahoo.com" TargetMode="External"/><Relationship Id="rId262" Type="http://schemas.openxmlformats.org/officeDocument/2006/relationships/hyperlink" Target="https://docs.google.com/spreadsheets/d/1zYZsEsUMaTmT-tAV-zzQz_jWiglpLHe7SvCMbCBfnWU/edit" TargetMode="External"/><Relationship Id="rId261" Type="http://schemas.openxmlformats.org/officeDocument/2006/relationships/hyperlink" Target="mailto:jalalzay21@gmail.com" TargetMode="External"/><Relationship Id="rId268" Type="http://schemas.openxmlformats.org/officeDocument/2006/relationships/hyperlink" Target="mailto:jannetfgmx@gmail.com" TargetMode="External"/><Relationship Id="rId267" Type="http://schemas.openxmlformats.org/officeDocument/2006/relationships/hyperlink" Target="https://docs.google.com/spreadsheets/d/1zYZsEsUMaTmT-tAV-zzQz_jWiglpLHe7SvCMbCBfnWU/edit" TargetMode="External"/><Relationship Id="rId266" Type="http://schemas.openxmlformats.org/officeDocument/2006/relationships/hyperlink" Target="mailto:jani.divya91@gmail.com" TargetMode="External"/><Relationship Id="rId265" Type="http://schemas.openxmlformats.org/officeDocument/2006/relationships/hyperlink" Target="https://docs.google.com/spreadsheets/d/1zYZsEsUMaTmT-tAV-zzQz_jWiglpLHe7SvCMbCBfnWU/edit" TargetMode="External"/><Relationship Id="rId260" Type="http://schemas.openxmlformats.org/officeDocument/2006/relationships/hyperlink" Target="https://docs.google.com/spreadsheets/d/1zYZsEsUMaTmT-tAV-zzQz_jWiglpLHe7SvCMbCBfnWU/edit" TargetMode="External"/><Relationship Id="rId259" Type="http://schemas.openxmlformats.org/officeDocument/2006/relationships/hyperlink" Target="mailto:jaisrichety@gmail.com" TargetMode="External"/><Relationship Id="rId258" Type="http://schemas.openxmlformats.org/officeDocument/2006/relationships/hyperlink" Target="mailto:jahuang@mail.harvard.edu" TargetMode="External"/><Relationship Id="rId253" Type="http://schemas.openxmlformats.org/officeDocument/2006/relationships/hyperlink" Target="mailto:irinahlf@gmail.com" TargetMode="External"/><Relationship Id="rId495" Type="http://schemas.openxmlformats.org/officeDocument/2006/relationships/hyperlink" Target="https://docs.google.com/spreadsheets/d/1zYZsEsUMaTmT-tAV-zzQz_jWiglpLHe7SvCMbCBfnWU/edit" TargetMode="External"/><Relationship Id="rId252" Type="http://schemas.openxmlformats.org/officeDocument/2006/relationships/hyperlink" Target="https://docs.google.com/spreadsheets/d/1zYZsEsUMaTmT-tAV-zzQz_jWiglpLHe7SvCMbCBfnWU/edit" TargetMode="External"/><Relationship Id="rId494" Type="http://schemas.openxmlformats.org/officeDocument/2006/relationships/hyperlink" Target="mailto:paola.lopez.zelaya@gmail.com" TargetMode="External"/><Relationship Id="rId251" Type="http://schemas.openxmlformats.org/officeDocument/2006/relationships/hyperlink" Target="mailto:iparatore@gmail.com" TargetMode="External"/><Relationship Id="rId493" Type="http://schemas.openxmlformats.org/officeDocument/2006/relationships/hyperlink" Target="mailto:p.calvo.e1@gmail.com" TargetMode="External"/><Relationship Id="rId250" Type="http://schemas.openxmlformats.org/officeDocument/2006/relationships/hyperlink" Target="https://docs.google.com/spreadsheets/d/1zYZsEsUMaTmT-tAV-zzQz_jWiglpLHe7SvCMbCBfnWU/edit" TargetMode="External"/><Relationship Id="rId492" Type="http://schemas.openxmlformats.org/officeDocument/2006/relationships/hyperlink" Target="https://docs.google.com/spreadsheets/d/1zYZsEsUMaTmT-tAV-zzQz_jWiglpLHe7SvCMbCBfnWU/edit" TargetMode="External"/><Relationship Id="rId257" Type="http://schemas.openxmlformats.org/officeDocument/2006/relationships/hyperlink" Target="https://docs.google.com/spreadsheets/d/1zYZsEsUMaTmT-tAV-zzQz_jWiglpLHe7SvCMbCBfnWU/edit" TargetMode="External"/><Relationship Id="rId499" Type="http://schemas.openxmlformats.org/officeDocument/2006/relationships/hyperlink" Target="https://docs.google.com/spreadsheets/d/1zYZsEsUMaTmT-tAV-zzQz_jWiglpLHe7SvCMbCBfnWU/edit" TargetMode="External"/><Relationship Id="rId256" Type="http://schemas.openxmlformats.org/officeDocument/2006/relationships/hyperlink" Target="mailto:jakemakola@gmail.com" TargetMode="External"/><Relationship Id="rId498" Type="http://schemas.openxmlformats.org/officeDocument/2006/relationships/hyperlink" Target="http://makerspad.ai" TargetMode="External"/><Relationship Id="rId255" Type="http://schemas.openxmlformats.org/officeDocument/2006/relationships/hyperlink" Target="mailto:j.maryam.bacchus@gmail.com" TargetMode="External"/><Relationship Id="rId497" Type="http://schemas.openxmlformats.org/officeDocument/2006/relationships/hyperlink" Target="mailto:pavan.gourisetty@gmail.com" TargetMode="External"/><Relationship Id="rId254" Type="http://schemas.openxmlformats.org/officeDocument/2006/relationships/hyperlink" Target="mailto:izilbergleyt@gmail.com" TargetMode="External"/><Relationship Id="rId496" Type="http://schemas.openxmlformats.org/officeDocument/2006/relationships/hyperlink" Target="mailto:parikhshaili4@gmail.com" TargetMode="External"/><Relationship Id="rId293" Type="http://schemas.openxmlformats.org/officeDocument/2006/relationships/hyperlink" Target="mailto:jodyjaykramer@gmail.com" TargetMode="External"/><Relationship Id="rId292" Type="http://schemas.openxmlformats.org/officeDocument/2006/relationships/hyperlink" Target="mailto:jocarcam7068@gmail.com" TargetMode="External"/><Relationship Id="rId291" Type="http://schemas.openxmlformats.org/officeDocument/2006/relationships/hyperlink" Target="mailto:joanne.antoine1027@gmail.com" TargetMode="External"/><Relationship Id="rId290" Type="http://schemas.openxmlformats.org/officeDocument/2006/relationships/hyperlink" Target="mailto:jimy.shah@gmail.com" TargetMode="External"/><Relationship Id="rId286" Type="http://schemas.openxmlformats.org/officeDocument/2006/relationships/hyperlink" Target="https://docs.google.com/spreadsheets/d/1zYZsEsUMaTmT-tAV-zzQz_jWiglpLHe7SvCMbCBfnWU/edit" TargetMode="External"/><Relationship Id="rId285" Type="http://schemas.openxmlformats.org/officeDocument/2006/relationships/hyperlink" Target="mailto:jenny.portugal@gmail.com" TargetMode="External"/><Relationship Id="rId284" Type="http://schemas.openxmlformats.org/officeDocument/2006/relationships/hyperlink" Target="https://docs.google.com/spreadsheets/d/1zYZsEsUMaTmT-tAV-zzQz_jWiglpLHe7SvCMbCBfnWU/edit" TargetMode="External"/><Relationship Id="rId283" Type="http://schemas.openxmlformats.org/officeDocument/2006/relationships/hyperlink" Target="mailto:jenniferjkachler@gmail.com" TargetMode="External"/><Relationship Id="rId289" Type="http://schemas.openxmlformats.org/officeDocument/2006/relationships/hyperlink" Target="https://docs.google.com/spreadsheets/d/1zYZsEsUMaTmT-tAV-zzQz_jWiglpLHe7SvCMbCBfnWU/edit" TargetMode="External"/><Relationship Id="rId288" Type="http://schemas.openxmlformats.org/officeDocument/2006/relationships/hyperlink" Target="mailto:jenxsalinas@gmail.com" TargetMode="External"/><Relationship Id="rId287" Type="http://schemas.openxmlformats.org/officeDocument/2006/relationships/hyperlink" Target="mailto:jennyjchen@stanford.edu" TargetMode="External"/><Relationship Id="rId282" Type="http://schemas.openxmlformats.org/officeDocument/2006/relationships/hyperlink" Target="mailto:jennifer.demartini@gmail.com" TargetMode="External"/><Relationship Id="rId281" Type="http://schemas.openxmlformats.org/officeDocument/2006/relationships/hyperlink" Target="https://docs.google.com/spreadsheets/d/1zYZsEsUMaTmT-tAV-zzQz_jWiglpLHe7SvCMbCBfnWU/edit" TargetMode="External"/><Relationship Id="rId280" Type="http://schemas.openxmlformats.org/officeDocument/2006/relationships/hyperlink" Target="mailto:jenn.nguyen213@gmail.com" TargetMode="External"/><Relationship Id="rId275" Type="http://schemas.openxmlformats.org/officeDocument/2006/relationships/hyperlink" Target="mailto:jaynedgonzalez@gmail.com" TargetMode="External"/><Relationship Id="rId274" Type="http://schemas.openxmlformats.org/officeDocument/2006/relationships/hyperlink" Target="https://docs.google.com/spreadsheets/d/1zYZsEsUMaTmT-tAV-zzQz_jWiglpLHe7SvCMbCBfnWU/edit" TargetMode="External"/><Relationship Id="rId273" Type="http://schemas.openxmlformats.org/officeDocument/2006/relationships/hyperlink" Target="mailto:jason@indimatters.com" TargetMode="External"/><Relationship Id="rId272" Type="http://schemas.openxmlformats.org/officeDocument/2006/relationships/hyperlink" Target="https://docs.google.com/spreadsheets/d/1zYZsEsUMaTmT-tAV-zzQz_jWiglpLHe7SvCMbCBfnWU/edit" TargetMode="External"/><Relationship Id="rId279" Type="http://schemas.openxmlformats.org/officeDocument/2006/relationships/hyperlink" Target="mailto:jchristman@myvetadvisor.com" TargetMode="External"/><Relationship Id="rId278" Type="http://schemas.openxmlformats.org/officeDocument/2006/relationships/hyperlink" Target="https://docs.google.com/spreadsheets/d/1zYZsEsUMaTmT-tAV-zzQz_jWiglpLHe7SvCMbCBfnWU/edit" TargetMode="External"/><Relationship Id="rId277" Type="http://schemas.openxmlformats.org/officeDocument/2006/relationships/hyperlink" Target="mailto:jcgo107@gmail.com" TargetMode="External"/><Relationship Id="rId276" Type="http://schemas.openxmlformats.org/officeDocument/2006/relationships/hyperlink" Target="https://docs.google.com/spreadsheets/d/1zYZsEsUMaTmT-tAV-zzQz_jWiglpLHe7SvCMbCBfnWU/edit" TargetMode="External"/><Relationship Id="rId629" Type="http://schemas.openxmlformats.org/officeDocument/2006/relationships/hyperlink" Target="mailto:tulsi1020@yahoo.com" TargetMode="External"/><Relationship Id="rId624" Type="http://schemas.openxmlformats.org/officeDocument/2006/relationships/hyperlink" Target="mailto:Tim.edingfield@gmail.com" TargetMode="External"/><Relationship Id="rId623" Type="http://schemas.openxmlformats.org/officeDocument/2006/relationships/hyperlink" Target="https://docs.google.com/spreadsheets/d/1zYZsEsUMaTmT-tAV-zzQz_jWiglpLHe7SvCMbCBfnWU/edit" TargetMode="External"/><Relationship Id="rId622" Type="http://schemas.openxmlformats.org/officeDocument/2006/relationships/hyperlink" Target="mailto:tiffanys@spotify.com" TargetMode="External"/><Relationship Id="rId621" Type="http://schemas.openxmlformats.org/officeDocument/2006/relationships/hyperlink" Target="https://docs.google.com/spreadsheets/d/1zYZsEsUMaTmT-tAV-zzQz_jWiglpLHe7SvCMbCBfnWU/edit" TargetMode="External"/><Relationship Id="rId628" Type="http://schemas.openxmlformats.org/officeDocument/2006/relationships/hyperlink" Target="mailto:tripathi.rashi@gmail.com" TargetMode="External"/><Relationship Id="rId627" Type="http://schemas.openxmlformats.org/officeDocument/2006/relationships/hyperlink" Target="https://docs.google.com/spreadsheets/d/1zYZsEsUMaTmT-tAV-zzQz_jWiglpLHe7SvCMbCBfnWU/edit" TargetMode="External"/><Relationship Id="rId626" Type="http://schemas.openxmlformats.org/officeDocument/2006/relationships/hyperlink" Target="mailto:tpullman@gmail.com" TargetMode="External"/><Relationship Id="rId625" Type="http://schemas.openxmlformats.org/officeDocument/2006/relationships/hyperlink" Target="mailto:tlkotadia@gmail.com" TargetMode="External"/><Relationship Id="rId620" Type="http://schemas.openxmlformats.org/officeDocument/2006/relationships/hyperlink" Target="mailto:tfnypark@gmail.com" TargetMode="External"/><Relationship Id="rId619" Type="http://schemas.openxmlformats.org/officeDocument/2006/relationships/hyperlink" Target="https://docs.google.com/spreadsheets/d/1zYZsEsUMaTmT-tAV-zzQz_jWiglpLHe7SvCMbCBfnWU/edit" TargetMode="External"/><Relationship Id="rId618" Type="http://schemas.openxmlformats.org/officeDocument/2006/relationships/hyperlink" Target="mailto:tatiana.g.nechaeva@gmail.com" TargetMode="External"/><Relationship Id="rId613" Type="http://schemas.openxmlformats.org/officeDocument/2006/relationships/hyperlink" Target="https://docs.google.com/spreadsheets/d/1zYZsEsUMaTmT-tAV-zzQz_jWiglpLHe7SvCMbCBfnWU/edit" TargetMode="External"/><Relationship Id="rId612" Type="http://schemas.openxmlformats.org/officeDocument/2006/relationships/hyperlink" Target="mailto:tanusreemunshi@yahoo.com" TargetMode="External"/><Relationship Id="rId611" Type="http://schemas.openxmlformats.org/officeDocument/2006/relationships/hyperlink" Target="https://docs.google.com/spreadsheets/d/1zYZsEsUMaTmT-tAV-zzQz_jWiglpLHe7SvCMbCBfnWU/edit" TargetMode="External"/><Relationship Id="rId610" Type="http://schemas.openxmlformats.org/officeDocument/2006/relationships/hyperlink" Target="mailto:tanialopez0128@gmail.com" TargetMode="External"/><Relationship Id="rId617" Type="http://schemas.openxmlformats.org/officeDocument/2006/relationships/hyperlink" Target="https://docs.google.com/spreadsheets/d/1zYZsEsUMaTmT-tAV-zzQz_jWiglpLHe7SvCMbCBfnWU/edit" TargetMode="External"/><Relationship Id="rId616" Type="http://schemas.openxmlformats.org/officeDocument/2006/relationships/hyperlink" Target="mailto:tarasajan@yahoo.com" TargetMode="External"/><Relationship Id="rId615" Type="http://schemas.openxmlformats.org/officeDocument/2006/relationships/hyperlink" Target="https://docs.google.com/spreadsheets/d/1zYZsEsUMaTmT-tAV-zzQz_jWiglpLHe7SvCMbCBfnWU/edit" TargetMode="External"/><Relationship Id="rId614" Type="http://schemas.openxmlformats.org/officeDocument/2006/relationships/hyperlink" Target="mailto:tanyatoko1@gmail.com" TargetMode="External"/><Relationship Id="rId409" Type="http://schemas.openxmlformats.org/officeDocument/2006/relationships/hyperlink" Target="mailto:marmelflor64@gmail.com" TargetMode="External"/><Relationship Id="rId404" Type="http://schemas.openxmlformats.org/officeDocument/2006/relationships/hyperlink" Target="https://docs.google.com/spreadsheets/d/1zYZsEsUMaTmT-tAV-zzQz_jWiglpLHe7SvCMbCBfnWU/edit" TargetMode="External"/><Relationship Id="rId646" Type="http://schemas.openxmlformats.org/officeDocument/2006/relationships/hyperlink" Target="mailto:vjsarathy@gmail.com" TargetMode="External"/><Relationship Id="rId403" Type="http://schemas.openxmlformats.org/officeDocument/2006/relationships/hyperlink" Target="mailto:mariana.tolv@gmail.com" TargetMode="External"/><Relationship Id="rId645" Type="http://schemas.openxmlformats.org/officeDocument/2006/relationships/hyperlink" Target="mailto:viyulies@gmail.com" TargetMode="External"/><Relationship Id="rId402" Type="http://schemas.openxmlformats.org/officeDocument/2006/relationships/hyperlink" Target="https://docs.google.com/spreadsheets/d/1zYZsEsUMaTmT-tAV-zzQz_jWiglpLHe7SvCMbCBfnWU/edit" TargetMode="External"/><Relationship Id="rId644" Type="http://schemas.openxmlformats.org/officeDocument/2006/relationships/hyperlink" Target="https://docs.google.com/spreadsheets/d/1zYZsEsUMaTmT-tAV-zzQz_jWiglpLHe7SvCMbCBfnWU/edit" TargetMode="External"/><Relationship Id="rId401" Type="http://schemas.openxmlformats.org/officeDocument/2006/relationships/hyperlink" Target="mailto:mariagburn@gmail.com" TargetMode="External"/><Relationship Id="rId643" Type="http://schemas.openxmlformats.org/officeDocument/2006/relationships/hyperlink" Target="mailto:vilsaintsuze@gmail.com" TargetMode="External"/><Relationship Id="rId408" Type="http://schemas.openxmlformats.org/officeDocument/2006/relationships/hyperlink" Target="https://docs.google.com/spreadsheets/d/1zYZsEsUMaTmT-tAV-zzQz_jWiglpLHe7SvCMbCBfnWU/edit" TargetMode="External"/><Relationship Id="rId407" Type="http://schemas.openxmlformats.org/officeDocument/2006/relationships/hyperlink" Target="mailto:marineelees@gmail.com" TargetMode="External"/><Relationship Id="rId649" Type="http://schemas.openxmlformats.org/officeDocument/2006/relationships/hyperlink" Target="https://docs.google.com/spreadsheets/d/1zYZsEsUMaTmT-tAV-zzQz_jWiglpLHe7SvCMbCBfnWU/edit" TargetMode="External"/><Relationship Id="rId406" Type="http://schemas.openxmlformats.org/officeDocument/2006/relationships/hyperlink" Target="https://docs.google.com/spreadsheets/d/1zYZsEsUMaTmT-tAV-zzQz_jWiglpLHe7SvCMbCBfnWU/edit" TargetMode="External"/><Relationship Id="rId648" Type="http://schemas.openxmlformats.org/officeDocument/2006/relationships/hyperlink" Target="mailto:vprasanna.1310@gmail.com" TargetMode="External"/><Relationship Id="rId405" Type="http://schemas.openxmlformats.org/officeDocument/2006/relationships/hyperlink" Target="mailto:marianasaranha@gmail.com" TargetMode="External"/><Relationship Id="rId647" Type="http://schemas.openxmlformats.org/officeDocument/2006/relationships/hyperlink" Target="https://docs.google.com/spreadsheets/d/1zYZsEsUMaTmT-tAV-zzQz_jWiglpLHe7SvCMbCBfnWU/edit" TargetMode="External"/><Relationship Id="rId400" Type="http://schemas.openxmlformats.org/officeDocument/2006/relationships/hyperlink" Target="mailto:manisha_sareen@yahoo.com" TargetMode="External"/><Relationship Id="rId642" Type="http://schemas.openxmlformats.org/officeDocument/2006/relationships/hyperlink" Target="https://docs.google.com/spreadsheets/d/1zYZsEsUMaTmT-tAV-zzQz_jWiglpLHe7SvCMbCBfnWU/edit" TargetMode="External"/><Relationship Id="rId641" Type="http://schemas.openxmlformats.org/officeDocument/2006/relationships/hyperlink" Target="mailto:vigneshsun87@gmail.com" TargetMode="External"/><Relationship Id="rId640" Type="http://schemas.openxmlformats.org/officeDocument/2006/relationships/hyperlink" Target="https://docs.google.com/spreadsheets/d/1zYZsEsUMaTmT-tAV-zzQz_jWiglpLHe7SvCMbCBfnWU/edit" TargetMode="External"/><Relationship Id="rId635" Type="http://schemas.openxmlformats.org/officeDocument/2006/relationships/hyperlink" Target="mailto:vfm224@stern.nyu.edu" TargetMode="External"/><Relationship Id="rId634" Type="http://schemas.openxmlformats.org/officeDocument/2006/relationships/hyperlink" Target="https://docs.google.com/spreadsheets/d/1zYZsEsUMaTmT-tAV-zzQz_jWiglpLHe7SvCMbCBfnWU/edit" TargetMode="External"/><Relationship Id="rId633" Type="http://schemas.openxmlformats.org/officeDocument/2006/relationships/hyperlink" Target="mailto:vballenas@gmail.com" TargetMode="External"/><Relationship Id="rId632" Type="http://schemas.openxmlformats.org/officeDocument/2006/relationships/hyperlink" Target="mailto:vashah@ucdavis.edu" TargetMode="External"/><Relationship Id="rId639" Type="http://schemas.openxmlformats.org/officeDocument/2006/relationships/hyperlink" Target="mailto:vickiteman2@gmail.com" TargetMode="External"/><Relationship Id="rId638" Type="http://schemas.openxmlformats.org/officeDocument/2006/relationships/hyperlink" Target="mailto:vickipollack1983@gmail.com" TargetMode="External"/><Relationship Id="rId637" Type="http://schemas.openxmlformats.org/officeDocument/2006/relationships/hyperlink" Target="mailto:vi.truc.bui@gmail.com" TargetMode="External"/><Relationship Id="rId636" Type="http://schemas.openxmlformats.org/officeDocument/2006/relationships/hyperlink" Target="mailto:vgajjar504@gmail.com" TargetMode="External"/><Relationship Id="rId631" Type="http://schemas.openxmlformats.org/officeDocument/2006/relationships/hyperlink" Target="mailto:vanessatorresf@hotmail.com" TargetMode="External"/><Relationship Id="rId630" Type="http://schemas.openxmlformats.org/officeDocument/2006/relationships/hyperlink" Target="mailto:valensa_98@hotmail.com" TargetMode="External"/><Relationship Id="rId609" Type="http://schemas.openxmlformats.org/officeDocument/2006/relationships/hyperlink" Target="https://docs.google.com/spreadsheets/d/1zYZsEsUMaTmT-tAV-zzQz_jWiglpLHe7SvCMbCBfnWU/edit" TargetMode="External"/><Relationship Id="rId608" Type="http://schemas.openxmlformats.org/officeDocument/2006/relationships/hyperlink" Target="mailto:tadesokan@gmail.com" TargetMode="External"/><Relationship Id="rId607" Type="http://schemas.openxmlformats.org/officeDocument/2006/relationships/hyperlink" Target="https://docs.google.com/spreadsheets/d/1zYZsEsUMaTmT-tAV-zzQz_jWiglpLHe7SvCMbCBfnWU/edit" TargetMode="External"/><Relationship Id="rId602" Type="http://schemas.openxmlformats.org/officeDocument/2006/relationships/hyperlink" Target="mailto:susanvp@gmail.com" TargetMode="External"/><Relationship Id="rId601" Type="http://schemas.openxmlformats.org/officeDocument/2006/relationships/hyperlink" Target="mailto:susans@slac.stanford.edu" TargetMode="External"/><Relationship Id="rId600" Type="http://schemas.openxmlformats.org/officeDocument/2006/relationships/hyperlink" Target="mailto:susannasabahi@gmail.com" TargetMode="External"/><Relationship Id="rId606" Type="http://schemas.openxmlformats.org/officeDocument/2006/relationships/hyperlink" Target="mailto:szhou3492@gmail.com" TargetMode="External"/><Relationship Id="rId605" Type="http://schemas.openxmlformats.org/officeDocument/2006/relationships/hyperlink" Target="https://docs.google.com/spreadsheets/d/1zYZsEsUMaTmT-tAV-zzQz_jWiglpLHe7SvCMbCBfnWU/edit" TargetMode="External"/><Relationship Id="rId604" Type="http://schemas.openxmlformats.org/officeDocument/2006/relationships/hyperlink" Target="mailto:syed@civilian.com" TargetMode="External"/><Relationship Id="rId603" Type="http://schemas.openxmlformats.org/officeDocument/2006/relationships/hyperlink" Target="https://docs.google.com/spreadsheets/d/1zYZsEsUMaTmT-tAV-zzQz_jWiglpLHe7SvCMbCBfnWU/edit" TargetMode="External"/><Relationship Id="rId228" Type="http://schemas.openxmlformats.org/officeDocument/2006/relationships/hyperlink" Target="mailto:girwin@sas.upenn.edu" TargetMode="External"/><Relationship Id="rId227" Type="http://schemas.openxmlformats.org/officeDocument/2006/relationships/hyperlink" Target="mailto:giridhar14@gmail.com" TargetMode="External"/><Relationship Id="rId469" Type="http://schemas.openxmlformats.org/officeDocument/2006/relationships/hyperlink" Target="mailto:nileshmurthy@gmail.com" TargetMode="External"/><Relationship Id="rId226" Type="http://schemas.openxmlformats.org/officeDocument/2006/relationships/hyperlink" Target="https://docs.google.com/spreadsheets/d/1zYZsEsUMaTmT-tAV-zzQz_jWiglpLHe7SvCMbCBfnWU/edit" TargetMode="External"/><Relationship Id="rId468" Type="http://schemas.openxmlformats.org/officeDocument/2006/relationships/hyperlink" Target="mailto:nikhita.kamath@gmail.com" TargetMode="External"/><Relationship Id="rId225" Type="http://schemas.openxmlformats.org/officeDocument/2006/relationships/hyperlink" Target="mailto:gagahi@umassglobal.edu" TargetMode="External"/><Relationship Id="rId467" Type="http://schemas.openxmlformats.org/officeDocument/2006/relationships/hyperlink" Target="https://docs.google.com/spreadsheets/d/1zYZsEsUMaTmT-tAV-zzQz_jWiglpLHe7SvCMbCBfnWU/edit" TargetMode="External"/><Relationship Id="rId229" Type="http://schemas.openxmlformats.org/officeDocument/2006/relationships/hyperlink" Target="https://docs.google.com/spreadsheets/d/1zYZsEsUMaTmT-tAV-zzQz_jWiglpLHe7SvCMbCBfnWU/edit" TargetMode="External"/><Relationship Id="rId220" Type="http://schemas.openxmlformats.org/officeDocument/2006/relationships/hyperlink" Target="mailto:gabriela.riccardi@gmail.com" TargetMode="External"/><Relationship Id="rId462" Type="http://schemas.openxmlformats.org/officeDocument/2006/relationships/hyperlink" Target="mailto:neenayak@amazon.com" TargetMode="External"/><Relationship Id="rId461" Type="http://schemas.openxmlformats.org/officeDocument/2006/relationships/hyperlink" Target="mailto:neeha.curtis@gmail.com" TargetMode="External"/><Relationship Id="rId460" Type="http://schemas.openxmlformats.org/officeDocument/2006/relationships/hyperlink" Target="mailto:natashalpatterson@gmail.com" TargetMode="External"/><Relationship Id="rId224" Type="http://schemas.openxmlformats.org/officeDocument/2006/relationships/hyperlink" Target="https://docs.google.com/spreadsheets/d/1zYZsEsUMaTmT-tAV-zzQz_jWiglpLHe7SvCMbCBfnWU/edit" TargetMode="External"/><Relationship Id="rId466" Type="http://schemas.openxmlformats.org/officeDocument/2006/relationships/hyperlink" Target="mailto:nehasingla3@gmail.com" TargetMode="External"/><Relationship Id="rId223" Type="http://schemas.openxmlformats.org/officeDocument/2006/relationships/hyperlink" Target="mailto:gagaglumac@gmail.com" TargetMode="External"/><Relationship Id="rId465" Type="http://schemas.openxmlformats.org/officeDocument/2006/relationships/hyperlink" Target="https://docs.google.com/spreadsheets/d/1zYZsEsUMaTmT-tAV-zzQz_jWiglpLHe7SvCMbCBfnWU/edit" TargetMode="External"/><Relationship Id="rId222" Type="http://schemas.openxmlformats.org/officeDocument/2006/relationships/hyperlink" Target="https://docs.google.com/spreadsheets/d/1zYZsEsUMaTmT-tAV-zzQz_jWiglpLHe7SvCMbCBfnWU/edit" TargetMode="External"/><Relationship Id="rId464" Type="http://schemas.openxmlformats.org/officeDocument/2006/relationships/hyperlink" Target="mailto:nehaaganjoo@gmail.com" TargetMode="External"/><Relationship Id="rId221" Type="http://schemas.openxmlformats.org/officeDocument/2006/relationships/hyperlink" Target="mailto:gabrielaavega@yahoo.com" TargetMode="External"/><Relationship Id="rId463" Type="http://schemas.openxmlformats.org/officeDocument/2006/relationships/hyperlink" Target="https://docs.google.com/spreadsheets/d/1zYZsEsUMaTmT-tAV-zzQz_jWiglpLHe7SvCMbCBfnWU/edit" TargetMode="External"/><Relationship Id="rId217" Type="http://schemas.openxmlformats.org/officeDocument/2006/relationships/hyperlink" Target="https://docs.google.com/spreadsheets/d/1zYZsEsUMaTmT-tAV-zzQz_jWiglpLHe7SvCMbCBfnWU/edit" TargetMode="External"/><Relationship Id="rId459" Type="http://schemas.openxmlformats.org/officeDocument/2006/relationships/hyperlink" Target="https://docs.google.com/spreadsheets/d/1zYZsEsUMaTmT-tAV-zzQz_jWiglpLHe7SvCMbCBfnWU/edit" TargetMode="External"/><Relationship Id="rId216" Type="http://schemas.openxmlformats.org/officeDocument/2006/relationships/hyperlink" Target="mailto:frasprec@gmail.com" TargetMode="External"/><Relationship Id="rId458" Type="http://schemas.openxmlformats.org/officeDocument/2006/relationships/hyperlink" Target="mailto:nataliemillervmd@gmail.com" TargetMode="External"/><Relationship Id="rId215" Type="http://schemas.openxmlformats.org/officeDocument/2006/relationships/hyperlink" Target="mailto:francesca.g.401@gmail.com" TargetMode="External"/><Relationship Id="rId457" Type="http://schemas.openxmlformats.org/officeDocument/2006/relationships/hyperlink" Target="https://docs.google.com/spreadsheets/d/1zYZsEsUMaTmT-tAV-zzQz_jWiglpLHe7SvCMbCBfnWU/edit" TargetMode="External"/><Relationship Id="rId699" Type="http://schemas.openxmlformats.org/officeDocument/2006/relationships/hyperlink" Target="mailto:ladyfreire@gmail.com" TargetMode="External"/><Relationship Id="rId214" Type="http://schemas.openxmlformats.org/officeDocument/2006/relationships/hyperlink" Target="https://docs.google.com/spreadsheets/d/1zYZsEsUMaTmT-tAV-zzQz_jWiglpLHe7SvCMbCBfnWU/edit" TargetMode="External"/><Relationship Id="rId456" Type="http://schemas.openxmlformats.org/officeDocument/2006/relationships/hyperlink" Target="mailto:nataliedevincenzi@gmail.com" TargetMode="External"/><Relationship Id="rId698" Type="http://schemas.openxmlformats.org/officeDocument/2006/relationships/hyperlink" Target="mailto:krista.divincenzo@gmail.com" TargetMode="External"/><Relationship Id="rId219" Type="http://schemas.openxmlformats.org/officeDocument/2006/relationships/hyperlink" Target="mailto:gabert.cm@gmail.com" TargetMode="External"/><Relationship Id="rId218" Type="http://schemas.openxmlformats.org/officeDocument/2006/relationships/hyperlink" Target="mailto:g.rubinder14@gmail.com" TargetMode="External"/><Relationship Id="rId451" Type="http://schemas.openxmlformats.org/officeDocument/2006/relationships/hyperlink" Target="mailto:nainamehta243@gmail.com" TargetMode="External"/><Relationship Id="rId693" Type="http://schemas.openxmlformats.org/officeDocument/2006/relationships/hyperlink" Target="mailto:reinateeger@gmail.com" TargetMode="External"/><Relationship Id="rId450" Type="http://schemas.openxmlformats.org/officeDocument/2006/relationships/hyperlink" Target="mailto:nadineshahbaz@gmail.com" TargetMode="External"/><Relationship Id="rId692" Type="http://schemas.openxmlformats.org/officeDocument/2006/relationships/hyperlink" Target="mailto:talentacquisition1@gmail.com" TargetMode="External"/><Relationship Id="rId691" Type="http://schemas.openxmlformats.org/officeDocument/2006/relationships/hyperlink" Target="https://docs.google.com/spreadsheets/d/1zYZsEsUMaTmT-tAV-zzQz_jWiglpLHe7SvCMbCBfnWU/edit" TargetMode="External"/><Relationship Id="rId690" Type="http://schemas.openxmlformats.org/officeDocument/2006/relationships/hyperlink" Target="mailto:JonathanPinque@speakhire.org" TargetMode="External"/><Relationship Id="rId213" Type="http://schemas.openxmlformats.org/officeDocument/2006/relationships/hyperlink" Target="mailto:ftseng@bu.edu" TargetMode="External"/><Relationship Id="rId455" Type="http://schemas.openxmlformats.org/officeDocument/2006/relationships/hyperlink" Target="https://docs.google.com/spreadsheets/d/1zYZsEsUMaTmT-tAV-zzQz_jWiglpLHe7SvCMbCBfnWU/edit" TargetMode="External"/><Relationship Id="rId697" Type="http://schemas.openxmlformats.org/officeDocument/2006/relationships/hyperlink" Target="mailto:arunsaxena4u@yahoo.com" TargetMode="External"/><Relationship Id="rId212" Type="http://schemas.openxmlformats.org/officeDocument/2006/relationships/hyperlink" Target="https://docs.google.com/spreadsheets/d/1zYZsEsUMaTmT-tAV-zzQz_jWiglpLHe7SvCMbCBfnWU/edit" TargetMode="External"/><Relationship Id="rId454" Type="http://schemas.openxmlformats.org/officeDocument/2006/relationships/hyperlink" Target="https://docs.google.com/spreadsheets/d/1zYZsEsUMaTmT-tAV-zzQz_jWiglpLHe7SvCMbCBfnWU/edit" TargetMode="External"/><Relationship Id="rId696" Type="http://schemas.openxmlformats.org/officeDocument/2006/relationships/hyperlink" Target="mailto:dr.unnattijain@genzandu.com" TargetMode="External"/><Relationship Id="rId211" Type="http://schemas.openxmlformats.org/officeDocument/2006/relationships/hyperlink" Target="mailto:flaviavaduvadvm@gmail.com" TargetMode="External"/><Relationship Id="rId453" Type="http://schemas.openxmlformats.org/officeDocument/2006/relationships/hyperlink" Target="mailto:nankou@usaid.gov" TargetMode="External"/><Relationship Id="rId695" Type="http://schemas.openxmlformats.org/officeDocument/2006/relationships/hyperlink" Target="mailto:tribadeneyra@nassaucountyny.gov" TargetMode="External"/><Relationship Id="rId210" Type="http://schemas.openxmlformats.org/officeDocument/2006/relationships/hyperlink" Target="https://docs.google.com/spreadsheets/d/1zYZsEsUMaTmT-tAV-zzQz_jWiglpLHe7SvCMbCBfnWU/edit" TargetMode="External"/><Relationship Id="rId452" Type="http://schemas.openxmlformats.org/officeDocument/2006/relationships/hyperlink" Target="https://docs.google.com/spreadsheets/d/1zYZsEsUMaTmT-tAV-zzQz_jWiglpLHe7SvCMbCBfnWU/edit" TargetMode="External"/><Relationship Id="rId694" Type="http://schemas.openxmlformats.org/officeDocument/2006/relationships/hyperlink" Target="https://docs.google.com/spreadsheets/d/1zYZsEsUMaTmT-tAV-zzQz_jWiglpLHe7SvCMbCBfnWU/edit" TargetMode="External"/><Relationship Id="rId491" Type="http://schemas.openxmlformats.org/officeDocument/2006/relationships/hyperlink" Target="mailto:otty31@yahoo.com" TargetMode="External"/><Relationship Id="rId490" Type="http://schemas.openxmlformats.org/officeDocument/2006/relationships/hyperlink" Target="https://docs.google.com/spreadsheets/d/1zYZsEsUMaTmT-tAV-zzQz_jWiglpLHe7SvCMbCBfnWU/edit" TargetMode="External"/><Relationship Id="rId249" Type="http://schemas.openxmlformats.org/officeDocument/2006/relationships/hyperlink" Target="mailto:ibtesamx3@gmail.com" TargetMode="External"/><Relationship Id="rId248" Type="http://schemas.openxmlformats.org/officeDocument/2006/relationships/hyperlink" Target="https://docs.google.com/spreadsheets/d/1zYZsEsUMaTmT-tAV-zzQz_jWiglpLHe7SvCMbCBfnWU/edit" TargetMode="External"/><Relationship Id="rId247" Type="http://schemas.openxmlformats.org/officeDocument/2006/relationships/hyperlink" Target="mailto:hesamsarvghad@gmail.com" TargetMode="External"/><Relationship Id="rId489" Type="http://schemas.openxmlformats.org/officeDocument/2006/relationships/hyperlink" Target="mailto:olgavpatel@gmail.com" TargetMode="External"/><Relationship Id="rId242" Type="http://schemas.openxmlformats.org/officeDocument/2006/relationships/hyperlink" Target="mailto:harrison.thai@gmail.com" TargetMode="External"/><Relationship Id="rId484" Type="http://schemas.openxmlformats.org/officeDocument/2006/relationships/hyperlink" Target="https://docs.google.com/spreadsheets/d/1zYZsEsUMaTmT-tAV-zzQz_jWiglpLHe7SvCMbCBfnWU/edit" TargetMode="External"/><Relationship Id="rId241" Type="http://schemas.openxmlformats.org/officeDocument/2006/relationships/hyperlink" Target="https://docs.google.com/spreadsheets/d/1zYZsEsUMaTmT-tAV-zzQz_jWiglpLHe7SvCMbCBfnWU/edit" TargetMode="External"/><Relationship Id="rId483" Type="http://schemas.openxmlformats.org/officeDocument/2006/relationships/hyperlink" Target="mailto:nviswas1@jhu.edu" TargetMode="External"/><Relationship Id="rId240" Type="http://schemas.openxmlformats.org/officeDocument/2006/relationships/hyperlink" Target="mailto:guiuliana.miranda@gmail.com" TargetMode="External"/><Relationship Id="rId482" Type="http://schemas.openxmlformats.org/officeDocument/2006/relationships/hyperlink" Target="https://docs.google.com/spreadsheets/d/1zYZsEsUMaTmT-tAV-zzQz_jWiglpLHe7SvCMbCBfnWU/edit" TargetMode="External"/><Relationship Id="rId481" Type="http://schemas.openxmlformats.org/officeDocument/2006/relationships/hyperlink" Target="mailto:nuoyali.nl@gmail.com" TargetMode="External"/><Relationship Id="rId246" Type="http://schemas.openxmlformats.org/officeDocument/2006/relationships/hyperlink" Target="mailto:hghani01@nyit.edu" TargetMode="External"/><Relationship Id="rId488" Type="http://schemas.openxmlformats.org/officeDocument/2006/relationships/hyperlink" Target="https://docs.google.com/spreadsheets/d/1zYZsEsUMaTmT-tAV-zzQz_jWiglpLHe7SvCMbCBfnWU/edit" TargetMode="External"/><Relationship Id="rId245" Type="http://schemas.openxmlformats.org/officeDocument/2006/relationships/hyperlink" Target="https://docs.google.com/spreadsheets/d/1zYZsEsUMaTmT-tAV-zzQz_jWiglpLHe7SvCMbCBfnWU/edit" TargetMode="External"/><Relationship Id="rId487" Type="http://schemas.openxmlformats.org/officeDocument/2006/relationships/hyperlink" Target="mailto:oishee.d@gmail.com" TargetMode="External"/><Relationship Id="rId244" Type="http://schemas.openxmlformats.org/officeDocument/2006/relationships/hyperlink" Target="mailto:harshitha.giridhar@gmail.com" TargetMode="External"/><Relationship Id="rId486" Type="http://schemas.openxmlformats.org/officeDocument/2006/relationships/hyperlink" Target="mailto:ohen.afriyie@gmail.com" TargetMode="External"/><Relationship Id="rId243" Type="http://schemas.openxmlformats.org/officeDocument/2006/relationships/hyperlink" Target="https://docs.google.com/spreadsheets/d/1zYZsEsUMaTmT-tAV-zzQz_jWiglpLHe7SvCMbCBfnWU/edit" TargetMode="External"/><Relationship Id="rId485" Type="http://schemas.openxmlformats.org/officeDocument/2006/relationships/hyperlink" Target="mailto:oekwunife1@gmail.com" TargetMode="External"/><Relationship Id="rId480" Type="http://schemas.openxmlformats.org/officeDocument/2006/relationships/hyperlink" Target="https://docs.google.com/spreadsheets/d/1zYZsEsUMaTmT-tAV-zzQz_jWiglpLHe7SvCMbCBfnWU/edit" TargetMode="External"/><Relationship Id="rId239" Type="http://schemas.openxmlformats.org/officeDocument/2006/relationships/hyperlink" Target="https://docs.google.com/spreadsheets/d/1zYZsEsUMaTmT-tAV-zzQz_jWiglpLHe7SvCMbCBfnWU/edit" TargetMode="External"/><Relationship Id="rId238" Type="http://schemas.openxmlformats.org/officeDocument/2006/relationships/hyperlink" Target="mailto:guiafrank@gmail.com" TargetMode="External"/><Relationship Id="rId237" Type="http://schemas.openxmlformats.org/officeDocument/2006/relationships/hyperlink" Target="https://docs.google.com/spreadsheets/d/1zYZsEsUMaTmT-tAV-zzQz_jWiglpLHe7SvCMbCBfnWU/edit" TargetMode="External"/><Relationship Id="rId479" Type="http://schemas.openxmlformats.org/officeDocument/2006/relationships/hyperlink" Target="mailto:nramani26@gmail.com" TargetMode="External"/><Relationship Id="rId236" Type="http://schemas.openxmlformats.org/officeDocument/2006/relationships/hyperlink" Target="mailto:gris@google.com" TargetMode="External"/><Relationship Id="rId478" Type="http://schemas.openxmlformats.org/officeDocument/2006/relationships/hyperlink" Target="mailto:nnamani.anne@gmail.com" TargetMode="External"/><Relationship Id="rId231" Type="http://schemas.openxmlformats.org/officeDocument/2006/relationships/hyperlink" Target="http://kore.ai" TargetMode="External"/><Relationship Id="rId473" Type="http://schemas.openxmlformats.org/officeDocument/2006/relationships/hyperlink" Target="https://docs.google.com/spreadsheets/d/1zYZsEsUMaTmT-tAV-zzQz_jWiglpLHe7SvCMbCBfnWU/edit" TargetMode="External"/><Relationship Id="rId230" Type="http://schemas.openxmlformats.org/officeDocument/2006/relationships/hyperlink" Target="mailto:Giselacastaneda8@gmail.com" TargetMode="External"/><Relationship Id="rId472" Type="http://schemas.openxmlformats.org/officeDocument/2006/relationships/hyperlink" Target="mailto:nipt49@gmail.com" TargetMode="External"/><Relationship Id="rId471" Type="http://schemas.openxmlformats.org/officeDocument/2006/relationships/hyperlink" Target="mailto:nimirao@rocketmail.com" TargetMode="External"/><Relationship Id="rId470" Type="http://schemas.openxmlformats.org/officeDocument/2006/relationships/hyperlink" Target="https://docs.google.com/spreadsheets/d/1zYZsEsUMaTmT-tAV-zzQz_jWiglpLHe7SvCMbCBfnWU/edit" TargetMode="External"/><Relationship Id="rId235" Type="http://schemas.openxmlformats.org/officeDocument/2006/relationships/hyperlink" Target="mailto:gordondyamond@gmail.com" TargetMode="External"/><Relationship Id="rId477" Type="http://schemas.openxmlformats.org/officeDocument/2006/relationships/hyperlink" Target="https://docs.google.com/spreadsheets/d/1zYZsEsUMaTmT-tAV-zzQz_jWiglpLHe7SvCMbCBfnWU/edit" TargetMode="External"/><Relationship Id="rId234" Type="http://schemas.openxmlformats.org/officeDocument/2006/relationships/hyperlink" Target="https://docs.google.com/spreadsheets/d/1zYZsEsUMaTmT-tAV-zzQz_jWiglpLHe7SvCMbCBfnWU/edit" TargetMode="External"/><Relationship Id="rId476" Type="http://schemas.openxmlformats.org/officeDocument/2006/relationships/hyperlink" Target="mailto:nishika.vidanage@gmail.com" TargetMode="External"/><Relationship Id="rId233" Type="http://schemas.openxmlformats.org/officeDocument/2006/relationships/hyperlink" Target="mailto:goosebery1@gmail.com" TargetMode="External"/><Relationship Id="rId475" Type="http://schemas.openxmlformats.org/officeDocument/2006/relationships/hyperlink" Target="https://docs.google.com/spreadsheets/d/1zYZsEsUMaTmT-tAV-zzQz_jWiglpLHe7SvCMbCBfnWU/edit" TargetMode="External"/><Relationship Id="rId232" Type="http://schemas.openxmlformats.org/officeDocument/2006/relationships/hyperlink" Target="https://docs.google.com/spreadsheets/d/1zYZsEsUMaTmT-tAV-zzQz_jWiglpLHe7SvCMbCBfnWU/edit" TargetMode="External"/><Relationship Id="rId474" Type="http://schemas.openxmlformats.org/officeDocument/2006/relationships/hyperlink" Target="mailto:nishamathew00@gmail.com" TargetMode="External"/><Relationship Id="rId426" Type="http://schemas.openxmlformats.org/officeDocument/2006/relationships/hyperlink" Target="mailto:Mfdougherty@fbi.gov" TargetMode="External"/><Relationship Id="rId668" Type="http://schemas.openxmlformats.org/officeDocument/2006/relationships/hyperlink" Target="https://docs.google.com/spreadsheets/d/1zYZsEsUMaTmT-tAV-zzQz_jWiglpLHe7SvCMbCBfnWU/edit" TargetMode="External"/><Relationship Id="rId425" Type="http://schemas.openxmlformats.org/officeDocument/2006/relationships/hyperlink" Target="https://docs.google.com/spreadsheets/d/1zYZsEsUMaTmT-tAV-zzQz_jWiglpLHe7SvCMbCBfnWU/edit" TargetMode="External"/><Relationship Id="rId667" Type="http://schemas.openxmlformats.org/officeDocument/2006/relationships/hyperlink" Target="mailto:yada.treesukosol@csulb.edu" TargetMode="External"/><Relationship Id="rId424" Type="http://schemas.openxmlformats.org/officeDocument/2006/relationships/hyperlink" Target="mailto:mfang6895@gmail.com" TargetMode="External"/><Relationship Id="rId666" Type="http://schemas.openxmlformats.org/officeDocument/2006/relationships/hyperlink" Target="mailto:y.rousseau@barnes-international.com" TargetMode="External"/><Relationship Id="rId423" Type="http://schemas.openxmlformats.org/officeDocument/2006/relationships/hyperlink" Target="mailto:Meliza.fernandez@gmail.com" TargetMode="External"/><Relationship Id="rId665" Type="http://schemas.openxmlformats.org/officeDocument/2006/relationships/hyperlink" Target="mailto:wrosado2@me.com" TargetMode="External"/><Relationship Id="rId429" Type="http://schemas.openxmlformats.org/officeDocument/2006/relationships/hyperlink" Target="mailto:mike.bedney@gmail.com" TargetMode="External"/><Relationship Id="rId428" Type="http://schemas.openxmlformats.org/officeDocument/2006/relationships/hyperlink" Target="mailto:mgunther2015@gmail.com" TargetMode="External"/><Relationship Id="rId427" Type="http://schemas.openxmlformats.org/officeDocument/2006/relationships/hyperlink" Target="https://docs.google.com/spreadsheets/d/1zYZsEsUMaTmT-tAV-zzQz_jWiglpLHe7SvCMbCBfnWU/edit" TargetMode="External"/><Relationship Id="rId669" Type="http://schemas.openxmlformats.org/officeDocument/2006/relationships/hyperlink" Target="mailto:yadhirarroyo@gmail.com" TargetMode="External"/><Relationship Id="rId660" Type="http://schemas.openxmlformats.org/officeDocument/2006/relationships/hyperlink" Target="mailto:westonuribe99@gmail.com" TargetMode="External"/><Relationship Id="rId422" Type="http://schemas.openxmlformats.org/officeDocument/2006/relationships/hyperlink" Target="mailto:melissa.dallmeyer@gmail.com" TargetMode="External"/><Relationship Id="rId664" Type="http://schemas.openxmlformats.org/officeDocument/2006/relationships/hyperlink" Target="mailto:wperruna@gmail.com" TargetMode="External"/><Relationship Id="rId421" Type="http://schemas.openxmlformats.org/officeDocument/2006/relationships/hyperlink" Target="https://docs.google.com/spreadsheets/d/1zYZsEsUMaTmT-tAV-zzQz_jWiglpLHe7SvCMbCBfnWU/edit" TargetMode="External"/><Relationship Id="rId663" Type="http://schemas.openxmlformats.org/officeDocument/2006/relationships/hyperlink" Target="https://docs.google.com/spreadsheets/d/1zYZsEsUMaTmT-tAV-zzQz_jWiglpLHe7SvCMbCBfnWU/edit" TargetMode="External"/><Relationship Id="rId420" Type="http://schemas.openxmlformats.org/officeDocument/2006/relationships/hyperlink" Target="mailto:melificent214@gmail.com" TargetMode="External"/><Relationship Id="rId662" Type="http://schemas.openxmlformats.org/officeDocument/2006/relationships/hyperlink" Target="mailto:wilsona@antoinelawfirm.com" TargetMode="External"/><Relationship Id="rId661" Type="http://schemas.openxmlformats.org/officeDocument/2006/relationships/hyperlink" Target="https://docs.google.com/spreadsheets/d/1zYZsEsUMaTmT-tAV-zzQz_jWiglpLHe7SvCMbCBfnWU/edit" TargetMode="External"/><Relationship Id="rId415" Type="http://schemas.openxmlformats.org/officeDocument/2006/relationships/hyperlink" Target="mailto:matthew.roberson@seattle.gov" TargetMode="External"/><Relationship Id="rId657" Type="http://schemas.openxmlformats.org/officeDocument/2006/relationships/hyperlink" Target="https://docs.google.com/spreadsheets/d/1zYZsEsUMaTmT-tAV-zzQz_jWiglpLHe7SvCMbCBfnWU/edit" TargetMode="External"/><Relationship Id="rId414" Type="http://schemas.openxmlformats.org/officeDocument/2006/relationships/hyperlink" Target="https://docs.google.com/spreadsheets/d/1zYZsEsUMaTmT-tAV-zzQz_jWiglpLHe7SvCMbCBfnWU/edit" TargetMode="External"/><Relationship Id="rId656" Type="http://schemas.openxmlformats.org/officeDocument/2006/relationships/hyperlink" Target="mailto:weeeina@gmail.com" TargetMode="External"/><Relationship Id="rId413" Type="http://schemas.openxmlformats.org/officeDocument/2006/relationships/hyperlink" Target="mailto:maryanne.maples@cscglobal.com" TargetMode="External"/><Relationship Id="rId655" Type="http://schemas.openxmlformats.org/officeDocument/2006/relationships/hyperlink" Target="https://docs.google.com/spreadsheets/d/1zYZsEsUMaTmT-tAV-zzQz_jWiglpLHe7SvCMbCBfnWU/edit" TargetMode="External"/><Relationship Id="rId412" Type="http://schemas.openxmlformats.org/officeDocument/2006/relationships/hyperlink" Target="https://docs.google.com/spreadsheets/d/1zYZsEsUMaTmT-tAV-zzQz_jWiglpLHe7SvCMbCBfnWU/edit" TargetMode="External"/><Relationship Id="rId654" Type="http://schemas.openxmlformats.org/officeDocument/2006/relationships/hyperlink" Target="mailto:weber@UMassglobal.edu" TargetMode="External"/><Relationship Id="rId419" Type="http://schemas.openxmlformats.org/officeDocument/2006/relationships/hyperlink" Target="mailto:mdisch@acc.org" TargetMode="External"/><Relationship Id="rId418" Type="http://schemas.openxmlformats.org/officeDocument/2006/relationships/hyperlink" Target="https://docs.google.com/spreadsheets/d/1zYZsEsUMaTmT-tAV-zzQz_jWiglpLHe7SvCMbCBfnWU/edit" TargetMode="External"/><Relationship Id="rId417" Type="http://schemas.openxmlformats.org/officeDocument/2006/relationships/hyperlink" Target="mailto:mbadillor@gmail.com" TargetMode="External"/><Relationship Id="rId659" Type="http://schemas.openxmlformats.org/officeDocument/2006/relationships/hyperlink" Target="https://docs.google.com/spreadsheets/d/1zYZsEsUMaTmT-tAV-zzQz_jWiglpLHe7SvCMbCBfnWU/edit" TargetMode="External"/><Relationship Id="rId416" Type="http://schemas.openxmlformats.org/officeDocument/2006/relationships/hyperlink" Target="mailto:maxine.mitchell@gmail.com" TargetMode="External"/><Relationship Id="rId658" Type="http://schemas.openxmlformats.org/officeDocument/2006/relationships/hyperlink" Target="mailto:wendy.velasquezebanks@gmail.com" TargetMode="External"/><Relationship Id="rId411" Type="http://schemas.openxmlformats.org/officeDocument/2006/relationships/hyperlink" Target="mailto:maryanaivlev@gmail.com" TargetMode="External"/><Relationship Id="rId653" Type="http://schemas.openxmlformats.org/officeDocument/2006/relationships/hyperlink" Target="https://docs.google.com/spreadsheets/d/1zYZsEsUMaTmT-tAV-zzQz_jWiglpLHe7SvCMbCBfnWU/edit" TargetMode="External"/><Relationship Id="rId410" Type="http://schemas.openxmlformats.org/officeDocument/2006/relationships/hyperlink" Target="https://docs.google.com/spreadsheets/d/1zYZsEsUMaTmT-tAV-zzQz_jWiglpLHe7SvCMbCBfnWU/edit" TargetMode="External"/><Relationship Id="rId652" Type="http://schemas.openxmlformats.org/officeDocument/2006/relationships/hyperlink" Target="mailto:wadamrb@gmail.com" TargetMode="External"/><Relationship Id="rId651" Type="http://schemas.openxmlformats.org/officeDocument/2006/relationships/hyperlink" Target="https://docs.google.com/spreadsheets/d/1zYZsEsUMaTmT-tAV-zzQz_jWiglpLHe7SvCMbCBfnWU/edit" TargetMode="External"/><Relationship Id="rId650" Type="http://schemas.openxmlformats.org/officeDocument/2006/relationships/hyperlink" Target="mailto:waad.masoud@hotmail.com" TargetMode="External"/><Relationship Id="rId206" Type="http://schemas.openxmlformats.org/officeDocument/2006/relationships/hyperlink" Target="https://docs.google.com/spreadsheets/d/1zYZsEsUMaTmT-tAV-zzQz_jWiglpLHe7SvCMbCBfnWU/edit" TargetMode="External"/><Relationship Id="rId448" Type="http://schemas.openxmlformats.org/officeDocument/2006/relationships/hyperlink" Target="mailto:n.komatani@gmail.com" TargetMode="External"/><Relationship Id="rId205" Type="http://schemas.openxmlformats.org/officeDocument/2006/relationships/hyperlink" Target="mailto:evansv@seattleu.edu" TargetMode="External"/><Relationship Id="rId447" Type="http://schemas.openxmlformats.org/officeDocument/2006/relationships/hyperlink" Target="mailto:my2angels108@msn.com" TargetMode="External"/><Relationship Id="rId689" Type="http://schemas.openxmlformats.org/officeDocument/2006/relationships/hyperlink" Target="mailto:dessie.hristov@gmail.com" TargetMode="External"/><Relationship Id="rId204" Type="http://schemas.openxmlformats.org/officeDocument/2006/relationships/hyperlink" Target="https://docs.google.com/spreadsheets/d/1zYZsEsUMaTmT-tAV-zzQz_jWiglpLHe7SvCMbCBfnWU/edit" TargetMode="External"/><Relationship Id="rId446" Type="http://schemas.openxmlformats.org/officeDocument/2006/relationships/hyperlink" Target="mailto:muzzammil_ibrahim96@yahoo.com" TargetMode="External"/><Relationship Id="rId688" Type="http://schemas.openxmlformats.org/officeDocument/2006/relationships/hyperlink" Target="mailto:chung.ju12@gmail.com" TargetMode="External"/><Relationship Id="rId203" Type="http://schemas.openxmlformats.org/officeDocument/2006/relationships/hyperlink" Target="mailto:estrellamb@gmail.com" TargetMode="External"/><Relationship Id="rId445" Type="http://schemas.openxmlformats.org/officeDocument/2006/relationships/hyperlink" Target="https://docs.google.com/spreadsheets/d/1zYZsEsUMaTmT-tAV-zzQz_jWiglpLHe7SvCMbCBfnWU/edit" TargetMode="External"/><Relationship Id="rId687" Type="http://schemas.openxmlformats.org/officeDocument/2006/relationships/hyperlink" Target="mailto:steveswalker@google.com" TargetMode="External"/><Relationship Id="rId209" Type="http://schemas.openxmlformats.org/officeDocument/2006/relationships/hyperlink" Target="mailto:Fatehbenazir@gmail.com" TargetMode="External"/><Relationship Id="rId208" Type="http://schemas.openxmlformats.org/officeDocument/2006/relationships/hyperlink" Target="mailto:exitwithsandra@gmail.com" TargetMode="External"/><Relationship Id="rId207" Type="http://schemas.openxmlformats.org/officeDocument/2006/relationships/hyperlink" Target="mailto:ewstudiochannel@gmail.com" TargetMode="External"/><Relationship Id="rId449" Type="http://schemas.openxmlformats.org/officeDocument/2006/relationships/hyperlink" Target="https://docs.google.com/spreadsheets/d/1zYZsEsUMaTmT-tAV-zzQz_jWiglpLHe7SvCMbCBfnWU/edit" TargetMode="External"/><Relationship Id="rId440" Type="http://schemas.openxmlformats.org/officeDocument/2006/relationships/hyperlink" Target="mailto:mrkswft@gmail.com" TargetMode="External"/><Relationship Id="rId682" Type="http://schemas.openxmlformats.org/officeDocument/2006/relationships/hyperlink" Target="mailto:GodfreyKevinA@gmail.com" TargetMode="External"/><Relationship Id="rId681" Type="http://schemas.openxmlformats.org/officeDocument/2006/relationships/hyperlink" Target="mailto:megankleasher@gmail.com" TargetMode="External"/><Relationship Id="rId680" Type="http://schemas.openxmlformats.org/officeDocument/2006/relationships/hyperlink" Target="https://docs.google.com/spreadsheets/d/1zYZsEsUMaTmT-tAV-zzQz_jWiglpLHe7SvCMbCBfnWU/edit" TargetMode="External"/><Relationship Id="rId202" Type="http://schemas.openxmlformats.org/officeDocument/2006/relationships/hyperlink" Target="mailto:eseohik222@gmail.com" TargetMode="External"/><Relationship Id="rId444" Type="http://schemas.openxmlformats.org/officeDocument/2006/relationships/hyperlink" Target="mailto:murti@umassglobal.edu" TargetMode="External"/><Relationship Id="rId686" Type="http://schemas.openxmlformats.org/officeDocument/2006/relationships/hyperlink" Target="https://docs.google.com/spreadsheets/d/1zYZsEsUMaTmT-tAV-zzQz_jWiglpLHe7SvCMbCBfnWU/edit" TargetMode="External"/><Relationship Id="rId201" Type="http://schemas.openxmlformats.org/officeDocument/2006/relationships/hyperlink" Target="https://docs.google.com/spreadsheets/d/1zYZsEsUMaTmT-tAV-zzQz_jWiglpLHe7SvCMbCBfnWU/edit" TargetMode="External"/><Relationship Id="rId443" Type="http://schemas.openxmlformats.org/officeDocument/2006/relationships/hyperlink" Target="mailto:muna.m.hassen@gmail.com" TargetMode="External"/><Relationship Id="rId685" Type="http://schemas.openxmlformats.org/officeDocument/2006/relationships/hyperlink" Target="mailto:priyanka.prasad04@yahoo.com" TargetMode="External"/><Relationship Id="rId200" Type="http://schemas.openxmlformats.org/officeDocument/2006/relationships/hyperlink" Target="mailto:ERYCKA.MONTOYA@GMAIL.COM" TargetMode="External"/><Relationship Id="rId442" Type="http://schemas.openxmlformats.org/officeDocument/2006/relationships/hyperlink" Target="mailto:mukherjee.sahana@gmail.com" TargetMode="External"/><Relationship Id="rId684" Type="http://schemas.openxmlformats.org/officeDocument/2006/relationships/hyperlink" Target="https://docs.google.com/spreadsheets/d/1zYZsEsUMaTmT-tAV-zzQz_jWiglpLHe7SvCMbCBfnWU/edit" TargetMode="External"/><Relationship Id="rId441" Type="http://schemas.openxmlformats.org/officeDocument/2006/relationships/hyperlink" Target="https://docs.google.com/spreadsheets/d/1zYZsEsUMaTmT-tAV-zzQz_jWiglpLHe7SvCMbCBfnWU/edit" TargetMode="External"/><Relationship Id="rId683" Type="http://schemas.openxmlformats.org/officeDocument/2006/relationships/hyperlink" Target="mailto:carlos27124@gmail.com" TargetMode="External"/><Relationship Id="rId437" Type="http://schemas.openxmlformats.org/officeDocument/2006/relationships/hyperlink" Target="mailto:mls325@lehigh.edu" TargetMode="External"/><Relationship Id="rId679" Type="http://schemas.openxmlformats.org/officeDocument/2006/relationships/hyperlink" Target="mailto:cthomas8462@gmail.com" TargetMode="External"/><Relationship Id="rId436" Type="http://schemas.openxmlformats.org/officeDocument/2006/relationships/hyperlink" Target="mailto:mkarra@usaid.gov" TargetMode="External"/><Relationship Id="rId678" Type="http://schemas.openxmlformats.org/officeDocument/2006/relationships/hyperlink" Target="mailto:archanas1919@gmail.com" TargetMode="External"/><Relationship Id="rId435" Type="http://schemas.openxmlformats.org/officeDocument/2006/relationships/hyperlink" Target="https://docs.google.com/spreadsheets/d/1zYZsEsUMaTmT-tAV-zzQz_jWiglpLHe7SvCMbCBfnWU/edit" TargetMode="External"/><Relationship Id="rId677" Type="http://schemas.openxmlformats.org/officeDocument/2006/relationships/hyperlink" Target="https://docs.google.com/spreadsheets/d/1zYZsEsUMaTmT-tAV-zzQz_jWiglpLHe7SvCMbCBfnWU/edit" TargetMode="External"/><Relationship Id="rId434" Type="http://schemas.openxmlformats.org/officeDocument/2006/relationships/hyperlink" Target="mailto:missiemiranda@gmail.com" TargetMode="External"/><Relationship Id="rId676" Type="http://schemas.openxmlformats.org/officeDocument/2006/relationships/hyperlink" Target="mailto:yodithaile1@gmail.com" TargetMode="External"/><Relationship Id="rId439" Type="http://schemas.openxmlformats.org/officeDocument/2006/relationships/hyperlink" Target="https://docs.google.com/spreadsheets/d/1zYZsEsUMaTmT-tAV-zzQz_jWiglpLHe7SvCMbCBfnWU/edit" TargetMode="External"/><Relationship Id="rId438" Type="http://schemas.openxmlformats.org/officeDocument/2006/relationships/hyperlink" Target="mailto:mohammed@wisdomworthspreading.com" TargetMode="External"/><Relationship Id="rId671" Type="http://schemas.openxmlformats.org/officeDocument/2006/relationships/hyperlink" Target="mailto:yagnes87@gmail.com" TargetMode="External"/><Relationship Id="rId670" Type="http://schemas.openxmlformats.org/officeDocument/2006/relationships/hyperlink" Target="https://docs.google.com/spreadsheets/d/1zYZsEsUMaTmT-tAV-zzQz_jWiglpLHe7SvCMbCBfnWU/edit" TargetMode="External"/><Relationship Id="rId433" Type="http://schemas.openxmlformats.org/officeDocument/2006/relationships/hyperlink" Target="mailto:mirelaalexe1@gmail.com" TargetMode="External"/><Relationship Id="rId675" Type="http://schemas.openxmlformats.org/officeDocument/2006/relationships/hyperlink" Target="https://docs.google.com/spreadsheets/d/1zYZsEsUMaTmT-tAV-zzQz_jWiglpLHe7SvCMbCBfnWU/edit" TargetMode="External"/><Relationship Id="rId432" Type="http://schemas.openxmlformats.org/officeDocument/2006/relationships/hyperlink" Target="https://docs.google.com/spreadsheets/d/1zYZsEsUMaTmT-tAV-zzQz_jWiglpLHe7SvCMbCBfnWU/edit" TargetMode="External"/><Relationship Id="rId674" Type="http://schemas.openxmlformats.org/officeDocument/2006/relationships/hyperlink" Target="mailto:yeggslee@gmail.com" TargetMode="External"/><Relationship Id="rId431" Type="http://schemas.openxmlformats.org/officeDocument/2006/relationships/hyperlink" Target="mailto:minjung.park@umassglobal.edu" TargetMode="External"/><Relationship Id="rId673" Type="http://schemas.openxmlformats.org/officeDocument/2006/relationships/hyperlink" Target="https://docs.google.com/spreadsheets/d/1zYZsEsUMaTmT-tAV-zzQz_jWiglpLHe7SvCMbCBfnWU/edit" TargetMode="External"/><Relationship Id="rId430" Type="http://schemas.openxmlformats.org/officeDocument/2006/relationships/hyperlink" Target="https://docs.google.com/spreadsheets/d/1zYZsEsUMaTmT-tAV-zzQz_jWiglpLHe7SvCMbCBfnWU/edit" TargetMode="External"/><Relationship Id="rId672" Type="http://schemas.openxmlformats.org/officeDocument/2006/relationships/hyperlink" Target="mailto:yanguan@gmail.com"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mailto:ac252763586@crotonaihs.org" TargetMode="External"/><Relationship Id="rId391" Type="http://schemas.openxmlformats.org/officeDocument/2006/relationships/hyperlink" Target="mailto:elver2019@flushinginternational.org" TargetMode="External"/><Relationship Id="rId390" Type="http://schemas.openxmlformats.org/officeDocument/2006/relationships/hyperlink" Target="mailto:nonchalant.ali@gmail.com" TargetMode="External"/><Relationship Id="rId1" Type="http://schemas.openxmlformats.org/officeDocument/2006/relationships/hyperlink" Target="https://nysboe.maps.arcgis.com/apps/instant/lookup/index.html?appid=0a08fa8c5ea2400d86ab65daa5aa4f0e" TargetMode="External"/><Relationship Id="rId2" Type="http://schemas.openxmlformats.org/officeDocument/2006/relationships/hyperlink" Target="https://nysboe.maps.arcgis.com/apps/instant/lookup/index.html?appid=0a08fa8c5ea2400d86ab65daa5aa4f0e" TargetMode="External"/><Relationship Id="rId3" Type="http://schemas.openxmlformats.org/officeDocument/2006/relationships/hyperlink" Target="https://nysboe.maps.arcgis.com/apps/instant/lookup/index.html?appid=0a08fa8c5ea2400d86ab65daa5aa4f0e" TargetMode="External"/><Relationship Id="rId4" Type="http://schemas.openxmlformats.org/officeDocument/2006/relationships/hyperlink" Target="https://docs.google.com/spreadsheets/d/1nMZRa8xOcSEVItqjLY5Y6nHplt8RzukGsWpt5nEHoWo/edit?gid=0" TargetMode="External"/><Relationship Id="rId9" Type="http://schemas.openxmlformats.org/officeDocument/2006/relationships/hyperlink" Target="https://docs.google.com/spreadsheets/d/1dxvq0mLP4qREOBDndXLwje7-8QWbcBY5/edit?gid=1045783169" TargetMode="External"/><Relationship Id="rId385" Type="http://schemas.openxmlformats.org/officeDocument/2006/relationships/hyperlink" Target="mailto:elaisa.vinicio@ellisprep.com" TargetMode="External"/><Relationship Id="rId384" Type="http://schemas.openxmlformats.org/officeDocument/2006/relationships/hyperlink" Target="mailto:adalbelys1530@gmail.com" TargetMode="External"/><Relationship Id="rId383" Type="http://schemas.openxmlformats.org/officeDocument/2006/relationships/hyperlink" Target="mailto:wpichardo@crotonaihs.org" TargetMode="External"/><Relationship Id="rId382" Type="http://schemas.openxmlformats.org/officeDocument/2006/relationships/hyperlink" Target="mailto:manifer.triunfel@ichsbronx.org" TargetMode="External"/><Relationship Id="rId5" Type="http://schemas.openxmlformats.org/officeDocument/2006/relationships/hyperlink" Target="https://docs.google.com/spreadsheets/d/1nMZRa8xOcSEVItqjLY5Y6nHplt8RzukGsWpt5nEHoWo/edit?gid=0" TargetMode="External"/><Relationship Id="rId389" Type="http://schemas.openxmlformats.org/officeDocument/2006/relationships/hyperlink" Target="mailto:curenabiz@gmail.com" TargetMode="External"/><Relationship Id="rId6" Type="http://schemas.openxmlformats.org/officeDocument/2006/relationships/hyperlink" Target="https://docs.google.com/spreadsheets/d/1yTh1ELC33JHYOeEdgIiEclxPRyh0zOKtlawDltfUay8/edit?gid=1312404287" TargetMode="External"/><Relationship Id="rId388" Type="http://schemas.openxmlformats.org/officeDocument/2006/relationships/hyperlink" Target="mailto:et259603546@crotonaihs.org" TargetMode="External"/><Relationship Id="rId7" Type="http://schemas.openxmlformats.org/officeDocument/2006/relationships/hyperlink" Target="https://docs.google.com/spreadsheets/d/1nBvtRLM9-4J1YaJ0tES7dZPXkY8zveUlPUM-ybAOJSU/edit?gid=941952944" TargetMode="External"/><Relationship Id="rId387" Type="http://schemas.openxmlformats.org/officeDocument/2006/relationships/hyperlink" Target="mailto:2023_noelycandelario@ihs-us.org" TargetMode="External"/><Relationship Id="rId8" Type="http://schemas.openxmlformats.org/officeDocument/2006/relationships/hyperlink" Target="https://docs.google.com/spreadsheets/d/1RdEdgHYrZ33LJ7RUHj_h-qkAFL92bcVjtIdVa-UlsCw/edit?usp=sharing" TargetMode="External"/><Relationship Id="rId386" Type="http://schemas.openxmlformats.org/officeDocument/2006/relationships/hyperlink" Target="mailto:scorpionjorge353@gmail.com" TargetMode="External"/><Relationship Id="rId381" Type="http://schemas.openxmlformats.org/officeDocument/2006/relationships/hyperlink" Target="mailto:areynoso@crotonaihs.org" TargetMode="External"/><Relationship Id="rId380" Type="http://schemas.openxmlformats.org/officeDocument/2006/relationships/hyperlink" Target="mailto:melvinchandel@icloud.com" TargetMode="External"/><Relationship Id="rId379" Type="http://schemas.openxmlformats.org/officeDocument/2006/relationships/hyperlink" Target="mailto:gabriela.pena@ichsbronx.org" TargetMode="External"/><Relationship Id="rId374" Type="http://schemas.openxmlformats.org/officeDocument/2006/relationships/hyperlink" Target="mailto:tgarcia@crotonaihs.org" TargetMode="External"/><Relationship Id="rId373" Type="http://schemas.openxmlformats.org/officeDocument/2006/relationships/hyperlink" Target="mailto:maycor.terrero.24@wheels-student.org" TargetMode="External"/><Relationship Id="rId372" Type="http://schemas.openxmlformats.org/officeDocument/2006/relationships/hyperlink" Target="mailto:oumou.diallo@ellisprep.com" TargetMode="External"/><Relationship Id="rId371" Type="http://schemas.openxmlformats.org/officeDocument/2006/relationships/hyperlink" Target="mailto:cindyherrera206@gmail.com" TargetMode="External"/><Relationship Id="rId378" Type="http://schemas.openxmlformats.org/officeDocument/2006/relationships/hyperlink" Target="mailto:f.rodriguez@gmail.com" TargetMode="External"/><Relationship Id="rId377" Type="http://schemas.openxmlformats.org/officeDocument/2006/relationships/hyperlink" Target="mailto:anag4049@nycstudents.net" TargetMode="External"/><Relationship Id="rId376" Type="http://schemas.openxmlformats.org/officeDocument/2006/relationships/hyperlink" Target="mailto:jazlinggarcia@crotonaihs.org" TargetMode="External"/><Relationship Id="rId375" Type="http://schemas.openxmlformats.org/officeDocument/2006/relationships/hyperlink" Target="mailto:bianka.pena@ellisprep.com" TargetMode="External"/><Relationship Id="rId396" Type="http://schemas.openxmlformats.org/officeDocument/2006/relationships/hyperlink" Target="mailto:ashlyq5@nycstudents.net" TargetMode="External"/><Relationship Id="rId395" Type="http://schemas.openxmlformats.org/officeDocument/2006/relationships/hyperlink" Target="mailto:angel.tavarez.24@wheels-student.org" TargetMode="External"/><Relationship Id="rId394" Type="http://schemas.openxmlformats.org/officeDocument/2006/relationships/hyperlink" Target="mailto:angelguzman@crotonaihs.org" TargetMode="External"/><Relationship Id="rId393" Type="http://schemas.openxmlformats.org/officeDocument/2006/relationships/hyperlink" Target="mailto:nroa@crotonaihs.org" TargetMode="External"/><Relationship Id="rId399" Type="http://schemas.openxmlformats.org/officeDocument/2006/relationships/hyperlink" Target="mailto:misabritas@gmail.com" TargetMode="External"/><Relationship Id="rId398" Type="http://schemas.openxmlformats.org/officeDocument/2006/relationships/hyperlink" Target="mailto:akiramartinez02@gmail.com" TargetMode="External"/><Relationship Id="rId397" Type="http://schemas.openxmlformats.org/officeDocument/2006/relationships/hyperlink" Target="mailto:antonellap5@nycstudents.net" TargetMode="External"/><Relationship Id="rId1730" Type="http://schemas.openxmlformats.org/officeDocument/2006/relationships/hyperlink" Target="mailto:izabellam25@nycstudents.net" TargetMode="External"/><Relationship Id="rId1731" Type="http://schemas.openxmlformats.org/officeDocument/2006/relationships/hyperlink" Target="mailto:jasonjosey610@gmail.com" TargetMode="External"/><Relationship Id="rId1732" Type="http://schemas.openxmlformats.org/officeDocument/2006/relationships/hyperlink" Target="mailto:karmat19@nycstudents.net" TargetMode="External"/><Relationship Id="rId1733" Type="http://schemas.openxmlformats.org/officeDocument/2006/relationships/hyperlink" Target="mailto:jadenc107@nycstudents.net" TargetMode="External"/><Relationship Id="rId1734" Type="http://schemas.openxmlformats.org/officeDocument/2006/relationships/hyperlink" Target="mailto:deathkingland7676@gmail.com" TargetMode="External"/><Relationship Id="rId1735" Type="http://schemas.openxmlformats.org/officeDocument/2006/relationships/hyperlink" Target="mailto:toure.drame@ellisprep.com" TargetMode="External"/><Relationship Id="rId1736" Type="http://schemas.openxmlformats.org/officeDocument/2006/relationships/hyperlink" Target="mailto:hanaehsphone@gmail.com" TargetMode="External"/><Relationship Id="rId1737" Type="http://schemas.openxmlformats.org/officeDocument/2006/relationships/hyperlink" Target="mailto:hanaehsphone@gmail.com" TargetMode="External"/><Relationship Id="rId1738" Type="http://schemas.openxmlformats.org/officeDocument/2006/relationships/hyperlink" Target="mailto:raymound.sanchez@casa311.com" TargetMode="External"/><Relationship Id="rId1739" Type="http://schemas.openxmlformats.org/officeDocument/2006/relationships/hyperlink" Target="mailto:denisefelipe024@gmail.com" TargetMode="External"/><Relationship Id="rId1720" Type="http://schemas.openxmlformats.org/officeDocument/2006/relationships/hyperlink" Target="mailto:meganechaverry88@gmail.com" TargetMode="External"/><Relationship Id="rId1721" Type="http://schemas.openxmlformats.org/officeDocument/2006/relationships/hyperlink" Target="mailto:quincyg3577@nycstudents.net" TargetMode="External"/><Relationship Id="rId1722" Type="http://schemas.openxmlformats.org/officeDocument/2006/relationships/hyperlink" Target="mailto:a.diambou@ihsph.org" TargetMode="External"/><Relationship Id="rId1723" Type="http://schemas.openxmlformats.org/officeDocument/2006/relationships/hyperlink" Target="mailto:axelp21@nycstudents.net" TargetMode="External"/><Relationship Id="rId1724" Type="http://schemas.openxmlformats.org/officeDocument/2006/relationships/hyperlink" Target="mailto:hillaryb25@nycstudnets.net" TargetMode="External"/><Relationship Id="rId1725" Type="http://schemas.openxmlformats.org/officeDocument/2006/relationships/hyperlink" Target="mailto:leannal18@nycstudents.net" TargetMode="External"/><Relationship Id="rId1726" Type="http://schemas.openxmlformats.org/officeDocument/2006/relationships/hyperlink" Target="mailto:eshauns@nycstudents.net" TargetMode="External"/><Relationship Id="rId1727" Type="http://schemas.openxmlformats.org/officeDocument/2006/relationships/hyperlink" Target="mailto:brailyn.ramirez.24@wheels-student.org" TargetMode="External"/><Relationship Id="rId1728" Type="http://schemas.openxmlformats.org/officeDocument/2006/relationships/hyperlink" Target="mailto:mia.altamirano@casa311.com" TargetMode="External"/><Relationship Id="rId1729" Type="http://schemas.openxmlformats.org/officeDocument/2006/relationships/hyperlink" Target="mailto:blevans032@gmail.com" TargetMode="External"/><Relationship Id="rId1752" Type="http://schemas.openxmlformats.org/officeDocument/2006/relationships/hyperlink" Target="mailto:zionlogan0500@gmail.com" TargetMode="External"/><Relationship Id="rId1753" Type="http://schemas.openxmlformats.org/officeDocument/2006/relationships/hyperlink" Target="mailto:abdoulayek2789@nycstudents.net" TargetMode="External"/><Relationship Id="rId1754" Type="http://schemas.openxmlformats.org/officeDocument/2006/relationships/hyperlink" Target="mailto:ariannafrancisco893@gmail.com" TargetMode="External"/><Relationship Id="rId1755" Type="http://schemas.openxmlformats.org/officeDocument/2006/relationships/hyperlink" Target="mailto:108071714@ideastudent.org" TargetMode="External"/><Relationship Id="rId1756" Type="http://schemas.openxmlformats.org/officeDocument/2006/relationships/hyperlink" Target="mailto:108112008@ideastudent.org" TargetMode="External"/><Relationship Id="rId1757" Type="http://schemas.openxmlformats.org/officeDocument/2006/relationships/hyperlink" Target="mailto:ciliciacummings12@gmail.com" TargetMode="External"/><Relationship Id="rId1758" Type="http://schemas.openxmlformats.org/officeDocument/2006/relationships/hyperlink" Target="mailto:destinyperry123456@gmail.com" TargetMode="External"/><Relationship Id="rId1759" Type="http://schemas.openxmlformats.org/officeDocument/2006/relationships/hyperlink" Target="mailto:leneegoggins@gmail.com" TargetMode="External"/><Relationship Id="rId808" Type="http://schemas.openxmlformats.org/officeDocument/2006/relationships/hyperlink" Target="mailto:valerior3@nycstudents.net" TargetMode="External"/><Relationship Id="rId807" Type="http://schemas.openxmlformats.org/officeDocument/2006/relationships/hyperlink" Target="mailto:deneirat@nycstudents.net" TargetMode="External"/><Relationship Id="rId806" Type="http://schemas.openxmlformats.org/officeDocument/2006/relationships/hyperlink" Target="mailto:mirzat5@nycstudents.net" TargetMode="External"/><Relationship Id="rId805" Type="http://schemas.openxmlformats.org/officeDocument/2006/relationships/hyperlink" Target="mailto:vilma2019@flushinginternational.org" TargetMode="External"/><Relationship Id="rId809" Type="http://schemas.openxmlformats.org/officeDocument/2006/relationships/hyperlink" Target="mailto:victorq23@nycstudents.net" TargetMode="External"/><Relationship Id="rId800" Type="http://schemas.openxmlformats.org/officeDocument/2006/relationships/hyperlink" Target="mailto:desirjaymarcus8@gmail.com" TargetMode="External"/><Relationship Id="rId804" Type="http://schemas.openxmlformats.org/officeDocument/2006/relationships/hyperlink" Target="mailto:elsa2019@flushinginternational.org" TargetMode="External"/><Relationship Id="rId803" Type="http://schemas.openxmlformats.org/officeDocument/2006/relationships/hyperlink" Target="mailto:p.jefferson2020@flushinginternational.org" TargetMode="External"/><Relationship Id="rId802" Type="http://schemas.openxmlformats.org/officeDocument/2006/relationships/hyperlink" Target="mailto:anthonymazariegos430@gmail.com" TargetMode="External"/><Relationship Id="rId801" Type="http://schemas.openxmlformats.org/officeDocument/2006/relationships/hyperlink" Target="mailto:darwinc92@nycstudents.net" TargetMode="External"/><Relationship Id="rId1750" Type="http://schemas.openxmlformats.org/officeDocument/2006/relationships/hyperlink" Target="mailto:aboubacardjoumande@claremontihs.org" TargetMode="External"/><Relationship Id="rId1751" Type="http://schemas.openxmlformats.org/officeDocument/2006/relationships/hyperlink" Target="mailto:kejahnie690@gmail.com" TargetMode="External"/><Relationship Id="rId1741" Type="http://schemas.openxmlformats.org/officeDocument/2006/relationships/hyperlink" Target="mailto:alex2019@flushinginternational.org" TargetMode="External"/><Relationship Id="rId1742" Type="http://schemas.openxmlformats.org/officeDocument/2006/relationships/hyperlink" Target="mailto:ajahnirichards500@gmail.com" TargetMode="External"/><Relationship Id="rId1743" Type="http://schemas.openxmlformats.org/officeDocument/2006/relationships/hyperlink" Target="mailto:jdjdis@outlook.com" TargetMode="External"/><Relationship Id="rId1744" Type="http://schemas.openxmlformats.org/officeDocument/2006/relationships/hyperlink" Target="mailto:jasonjiang250@gmail.com" TargetMode="External"/><Relationship Id="rId1745" Type="http://schemas.openxmlformats.org/officeDocument/2006/relationships/hyperlink" Target="mailto:guzmansito121211@gmail.com" TargetMode="External"/><Relationship Id="rId1746" Type="http://schemas.openxmlformats.org/officeDocument/2006/relationships/hyperlink" Target="mailto:joshua.vargas.24@wheels-student.org" TargetMode="External"/><Relationship Id="rId1747" Type="http://schemas.openxmlformats.org/officeDocument/2006/relationships/hyperlink" Target="mailto:stewart.zarrian@ideawalzem.org" TargetMode="External"/><Relationship Id="rId1748" Type="http://schemas.openxmlformats.org/officeDocument/2006/relationships/hyperlink" Target="mailto:sergior118@nycstudents.net" TargetMode="External"/><Relationship Id="rId1749" Type="http://schemas.openxmlformats.org/officeDocument/2006/relationships/hyperlink" Target="mailto:calixwilliam999@gmail.com" TargetMode="External"/><Relationship Id="rId1740" Type="http://schemas.openxmlformats.org/officeDocument/2006/relationships/hyperlink" Target="mailto:devinogrady9@gmail.com" TargetMode="External"/><Relationship Id="rId1710" Type="http://schemas.openxmlformats.org/officeDocument/2006/relationships/hyperlink" Target="mailto:jonathano202@nycstudents.net" TargetMode="External"/><Relationship Id="rId1711" Type="http://schemas.openxmlformats.org/officeDocument/2006/relationships/hyperlink" Target="mailto:jonnel115@yahoo.com" TargetMode="External"/><Relationship Id="rId1712" Type="http://schemas.openxmlformats.org/officeDocument/2006/relationships/hyperlink" Target="mailto:gissellefunez.student@hseigators.org" TargetMode="External"/><Relationship Id="rId1713" Type="http://schemas.openxmlformats.org/officeDocument/2006/relationships/hyperlink" Target="mailto:cassidiej@nycstudents.net" TargetMode="External"/><Relationship Id="rId1714" Type="http://schemas.openxmlformats.org/officeDocument/2006/relationships/hyperlink" Target="mailto:trincole11@charter.newvisions.org" TargetMode="External"/><Relationship Id="rId1715" Type="http://schemas.openxmlformats.org/officeDocument/2006/relationships/hyperlink" Target="mailto:christopheru20@nycstudents.net" TargetMode="External"/><Relationship Id="rId1716" Type="http://schemas.openxmlformats.org/officeDocument/2006/relationships/hyperlink" Target="mailto:bryancarranza705@gmail.com" TargetMode="External"/><Relationship Id="rId1717" Type="http://schemas.openxmlformats.org/officeDocument/2006/relationships/hyperlink" Target="mailto:guadalupe.orealuna@casa311.com" TargetMode="External"/><Relationship Id="rId1718" Type="http://schemas.openxmlformats.org/officeDocument/2006/relationships/hyperlink" Target="mailto:jaylenn.ortega.24@wheels-student.org" TargetMode="External"/><Relationship Id="rId1719" Type="http://schemas.openxmlformats.org/officeDocument/2006/relationships/hyperlink" Target="mailto:tjahan2228@clintonhs.net" TargetMode="External"/><Relationship Id="rId1700" Type="http://schemas.openxmlformats.org/officeDocument/2006/relationships/hyperlink" Target="mailto:brandons630@nycstudents.net" TargetMode="External"/><Relationship Id="rId1701" Type="http://schemas.openxmlformats.org/officeDocument/2006/relationships/hyperlink" Target="mailto:2022_phuongthuytrinh@ihs-us.org" TargetMode="External"/><Relationship Id="rId1702" Type="http://schemas.openxmlformats.org/officeDocument/2006/relationships/hyperlink" Target="mailto:kaylaa126@nycstudents.net" TargetMode="External"/><Relationship Id="rId1703" Type="http://schemas.openxmlformats.org/officeDocument/2006/relationships/hyperlink" Target="mailto:azuls@nycstudents.net" TargetMode="External"/><Relationship Id="rId1704" Type="http://schemas.openxmlformats.org/officeDocument/2006/relationships/hyperlink" Target="mailto:johnf230@nycstudents.net" TargetMode="External"/><Relationship Id="rId1705" Type="http://schemas.openxmlformats.org/officeDocument/2006/relationships/hyperlink" Target="mailto:johnf230@nycstudents.net" TargetMode="External"/><Relationship Id="rId1706" Type="http://schemas.openxmlformats.org/officeDocument/2006/relationships/hyperlink" Target="mailto:amirsaunders7@gmail.com" TargetMode="External"/><Relationship Id="rId1707" Type="http://schemas.openxmlformats.org/officeDocument/2006/relationships/hyperlink" Target="mailto:leyli.hernandezdeleon@casa311.com" TargetMode="External"/><Relationship Id="rId1708" Type="http://schemas.openxmlformats.org/officeDocument/2006/relationships/hyperlink" Target="mailto:nycjustinp@gmail.com" TargetMode="External"/><Relationship Id="rId1709" Type="http://schemas.openxmlformats.org/officeDocument/2006/relationships/hyperlink" Target="mailto:rhondeezy43067@gmail.com" TargetMode="External"/><Relationship Id="rId40" Type="http://schemas.openxmlformats.org/officeDocument/2006/relationships/hyperlink" Target="mailto:nasifbishal56@gmail.com" TargetMode="External"/><Relationship Id="rId1334" Type="http://schemas.openxmlformats.org/officeDocument/2006/relationships/hyperlink" Target="mailto:c.su2020@flushinginternational.org" TargetMode="External"/><Relationship Id="rId1335" Type="http://schemas.openxmlformats.org/officeDocument/2006/relationships/hyperlink" Target="mailto:germayolyggg@gmail.com" TargetMode="External"/><Relationship Id="rId42" Type="http://schemas.openxmlformats.org/officeDocument/2006/relationships/hyperlink" Target="mailto:afrida.ahmed@ellisprep.com" TargetMode="External"/><Relationship Id="rId1336" Type="http://schemas.openxmlformats.org/officeDocument/2006/relationships/hyperlink" Target="mailto:powerisdifferent@gmail.com" TargetMode="External"/><Relationship Id="rId41" Type="http://schemas.openxmlformats.org/officeDocument/2006/relationships/hyperlink" Target="mailto:nusratjahan@claremontihs.org" TargetMode="External"/><Relationship Id="rId1337" Type="http://schemas.openxmlformats.org/officeDocument/2006/relationships/hyperlink" Target="mailto:hanan.awad.24@wheels-student.org" TargetMode="External"/><Relationship Id="rId44" Type="http://schemas.openxmlformats.org/officeDocument/2006/relationships/hyperlink" Target="mailto:ahnaf2019@flushinginternational.org" TargetMode="External"/><Relationship Id="rId1338" Type="http://schemas.openxmlformats.org/officeDocument/2006/relationships/hyperlink" Target="mailto:mariamasey@claremontihs.org" TargetMode="External"/><Relationship Id="rId43" Type="http://schemas.openxmlformats.org/officeDocument/2006/relationships/hyperlink" Target="mailto:wasinshihab@gmail.com" TargetMode="External"/><Relationship Id="rId1339" Type="http://schemas.openxmlformats.org/officeDocument/2006/relationships/hyperlink" Target="mailto:toure.drame@ellisprep.com" TargetMode="External"/><Relationship Id="rId46" Type="http://schemas.openxmlformats.org/officeDocument/2006/relationships/hyperlink" Target="mailto:sanzida.chowdhury@ellisprep.com" TargetMode="External"/><Relationship Id="rId45" Type="http://schemas.openxmlformats.org/officeDocument/2006/relationships/hyperlink" Target="mailto:avargas2@inths.org" TargetMode="External"/><Relationship Id="rId745" Type="http://schemas.openxmlformats.org/officeDocument/2006/relationships/hyperlink" Target="mailto:c.fredis2020@flushinginternational.org" TargetMode="External"/><Relationship Id="rId744" Type="http://schemas.openxmlformats.org/officeDocument/2006/relationships/hyperlink" Target="mailto:2023_wildainymartinez@ihs-us.org" TargetMode="External"/><Relationship Id="rId743" Type="http://schemas.openxmlformats.org/officeDocument/2006/relationships/hyperlink" Target="mailto:carlosh2019@flushinginternational.org" TargetMode="External"/><Relationship Id="rId742" Type="http://schemas.openxmlformats.org/officeDocument/2006/relationships/hyperlink" Target="mailto:2023_vyvo@ihs-us.org" TargetMode="External"/><Relationship Id="rId749" Type="http://schemas.openxmlformats.org/officeDocument/2006/relationships/hyperlink" Target="mailto:djgonzalez@crotonaihs.org" TargetMode="External"/><Relationship Id="rId748" Type="http://schemas.openxmlformats.org/officeDocument/2006/relationships/hyperlink" Target="mailto:parkkoni95@gmail.com" TargetMode="External"/><Relationship Id="rId747" Type="http://schemas.openxmlformats.org/officeDocument/2006/relationships/hyperlink" Target="mailto:nanci2019@flushinginternational.org" TargetMode="External"/><Relationship Id="rId746" Type="http://schemas.openxmlformats.org/officeDocument/2006/relationships/hyperlink" Target="mailto:2023_xuyuanzhao@ihs-us.org" TargetMode="External"/><Relationship Id="rId48" Type="http://schemas.openxmlformats.org/officeDocument/2006/relationships/hyperlink" Target="mailto:sanjidafnu@gmail.com" TargetMode="External"/><Relationship Id="rId47" Type="http://schemas.openxmlformats.org/officeDocument/2006/relationships/hyperlink" Target="mailto:afrint4@nycstudents.net" TargetMode="External"/><Relationship Id="rId49" Type="http://schemas.openxmlformats.org/officeDocument/2006/relationships/hyperlink" Target="mailto:2023_tasrifasultana@ihs-us.org" TargetMode="External"/><Relationship Id="rId741" Type="http://schemas.openxmlformats.org/officeDocument/2006/relationships/hyperlink" Target="mailto:nancigiron20@gmail.com" TargetMode="External"/><Relationship Id="rId1330" Type="http://schemas.openxmlformats.org/officeDocument/2006/relationships/hyperlink" Target="mailto:7317024@philasd.org" TargetMode="External"/><Relationship Id="rId740" Type="http://schemas.openxmlformats.org/officeDocument/2006/relationships/hyperlink" Target="mailto:bairon2019@flushinginternational.org" TargetMode="External"/><Relationship Id="rId1331" Type="http://schemas.openxmlformats.org/officeDocument/2006/relationships/hyperlink" Target="mailto:dilcia.guzman.24@wheels-student.org" TargetMode="External"/><Relationship Id="rId1332" Type="http://schemas.openxmlformats.org/officeDocument/2006/relationships/hyperlink" Target="mailto:nowells@nycstudents.net" TargetMode="External"/><Relationship Id="rId1333" Type="http://schemas.openxmlformats.org/officeDocument/2006/relationships/hyperlink" Target="mailto:helenabedward4@gmail.com" TargetMode="External"/><Relationship Id="rId1323" Type="http://schemas.openxmlformats.org/officeDocument/2006/relationships/hyperlink" Target="mailto:britney.peralta.24@wheels-student.org" TargetMode="External"/><Relationship Id="rId1324" Type="http://schemas.openxmlformats.org/officeDocument/2006/relationships/hyperlink" Target="mailto:adamfrancis413@gmail.com" TargetMode="External"/><Relationship Id="rId31" Type="http://schemas.openxmlformats.org/officeDocument/2006/relationships/hyperlink" Target="mailto:lovely17auntie@gmail.com" TargetMode="External"/><Relationship Id="rId1325" Type="http://schemas.openxmlformats.org/officeDocument/2006/relationships/hyperlink" Target="mailto:carlos.vasquez.24@wheels-student.org" TargetMode="External"/><Relationship Id="rId30" Type="http://schemas.openxmlformats.org/officeDocument/2006/relationships/hyperlink" Target="mailto:s.liawilliams20@gmail.com" TargetMode="External"/><Relationship Id="rId1326" Type="http://schemas.openxmlformats.org/officeDocument/2006/relationships/hyperlink" Target="mailto:cheikhouna.keinde@ichsbronx.org" TargetMode="External"/><Relationship Id="rId33" Type="http://schemas.openxmlformats.org/officeDocument/2006/relationships/hyperlink" Target="mailto:kritikag3@nycstudents.net" TargetMode="External"/><Relationship Id="rId1327" Type="http://schemas.openxmlformats.org/officeDocument/2006/relationships/hyperlink" Target="mailto:mama.kouyate@ellisprep.com" TargetMode="External"/><Relationship Id="rId32" Type="http://schemas.openxmlformats.org/officeDocument/2006/relationships/hyperlink" Target="mailto:jefferson.colon.24@wheels-student.org" TargetMode="External"/><Relationship Id="rId1328" Type="http://schemas.openxmlformats.org/officeDocument/2006/relationships/hyperlink" Target="mailto:jhmierejackson@gmail.com" TargetMode="External"/><Relationship Id="rId35" Type="http://schemas.openxmlformats.org/officeDocument/2006/relationships/hyperlink" Target="mailto:amartin.02.04.04@gmail.com" TargetMode="External"/><Relationship Id="rId1329" Type="http://schemas.openxmlformats.org/officeDocument/2006/relationships/hyperlink" Target="mailto:2025_wilmaryramirez@ihs-us.org" TargetMode="External"/><Relationship Id="rId34" Type="http://schemas.openxmlformats.org/officeDocument/2006/relationships/hyperlink" Target="mailto:marcosp77@nycstudents.net" TargetMode="External"/><Relationship Id="rId739" Type="http://schemas.openxmlformats.org/officeDocument/2006/relationships/hyperlink" Target="mailto:g.johana2020@flushinginternational.org" TargetMode="External"/><Relationship Id="rId734" Type="http://schemas.openxmlformats.org/officeDocument/2006/relationships/hyperlink" Target="mailto:paola2019@flushinginternational.org" TargetMode="External"/><Relationship Id="rId733" Type="http://schemas.openxmlformats.org/officeDocument/2006/relationships/hyperlink" Target="mailto:2023_rongzeyu@ihs-us.org" TargetMode="External"/><Relationship Id="rId732" Type="http://schemas.openxmlformats.org/officeDocument/2006/relationships/hyperlink" Target="mailto:ytaliashejoseph05@gmail.com" TargetMode="External"/><Relationship Id="rId731" Type="http://schemas.openxmlformats.org/officeDocument/2006/relationships/hyperlink" Target="mailto:2023_paulaastudillo@ihs-us.org" TargetMode="External"/><Relationship Id="rId738" Type="http://schemas.openxmlformats.org/officeDocument/2006/relationships/hyperlink" Target="mailto:yumeiry.mauricio@ellisprep.com" TargetMode="External"/><Relationship Id="rId737" Type="http://schemas.openxmlformats.org/officeDocument/2006/relationships/hyperlink" Target="mailto:2023_takezoostman@ihs-us.org" TargetMode="External"/><Relationship Id="rId736" Type="http://schemas.openxmlformats.org/officeDocument/2006/relationships/hyperlink" Target="mailto:jaritza2019@flushinginternational.org" TargetMode="External"/><Relationship Id="rId735" Type="http://schemas.openxmlformats.org/officeDocument/2006/relationships/hyperlink" Target="mailto:alessandrosxdp@gmail.com" TargetMode="External"/><Relationship Id="rId37" Type="http://schemas.openxmlformats.org/officeDocument/2006/relationships/hyperlink" Target="mailto:aaliyev@inths.org" TargetMode="External"/><Relationship Id="rId36" Type="http://schemas.openxmlformats.org/officeDocument/2006/relationships/hyperlink" Target="mailto:rtovmasyan@inths.org" TargetMode="External"/><Relationship Id="rId39" Type="http://schemas.openxmlformats.org/officeDocument/2006/relationships/hyperlink" Target="mailto:jlynn103700@gmail.com" TargetMode="External"/><Relationship Id="rId38" Type="http://schemas.openxmlformats.org/officeDocument/2006/relationships/hyperlink" Target="mailto:mayrag17@nycstudents.net" TargetMode="External"/><Relationship Id="rId730" Type="http://schemas.openxmlformats.org/officeDocument/2006/relationships/hyperlink" Target="mailto:2023_paulaastudillo@ihs-us.org" TargetMode="External"/><Relationship Id="rId1320" Type="http://schemas.openxmlformats.org/officeDocument/2006/relationships/hyperlink" Target="mailto:amourvalentino11@gmail.com" TargetMode="External"/><Relationship Id="rId1321" Type="http://schemas.openxmlformats.org/officeDocument/2006/relationships/hyperlink" Target="mailto:brailyn.ramirez.24@wheels-student.org" TargetMode="External"/><Relationship Id="rId1322" Type="http://schemas.openxmlformats.org/officeDocument/2006/relationships/hyperlink" Target="mailto:ysantos@crotonaihs.org" TargetMode="External"/><Relationship Id="rId1356" Type="http://schemas.openxmlformats.org/officeDocument/2006/relationships/hyperlink" Target="mailto:jlynn.ortiz.24@wheels-student.org" TargetMode="External"/><Relationship Id="rId1357" Type="http://schemas.openxmlformats.org/officeDocument/2006/relationships/hyperlink" Target="mailto:helenabedward4@gmail.com" TargetMode="External"/><Relationship Id="rId20" Type="http://schemas.openxmlformats.org/officeDocument/2006/relationships/hyperlink" Target="mailto:mouhamed.samb@ichsbronx.org" TargetMode="External"/><Relationship Id="rId1358" Type="http://schemas.openxmlformats.org/officeDocument/2006/relationships/hyperlink" Target="mailto:jocelynm3723@nycstudents.net" TargetMode="External"/><Relationship Id="rId1359" Type="http://schemas.openxmlformats.org/officeDocument/2006/relationships/hyperlink" Target="mailto:juana.verdecia.24@wheels-student.org" TargetMode="External"/><Relationship Id="rId22" Type="http://schemas.openxmlformats.org/officeDocument/2006/relationships/hyperlink" Target="mailto:lylia.belbegra@gmail.com" TargetMode="External"/><Relationship Id="rId21" Type="http://schemas.openxmlformats.org/officeDocument/2006/relationships/hyperlink" Target="mailto:2025_inahoxhaj@ihs-us.org" TargetMode="External"/><Relationship Id="rId24" Type="http://schemas.openxmlformats.org/officeDocument/2006/relationships/hyperlink" Target="mailto:adaml126@nycstudents.net" TargetMode="External"/><Relationship Id="rId23" Type="http://schemas.openxmlformats.org/officeDocument/2006/relationships/hyperlink" Target="mailto:yasirsharifi05@gmail.com" TargetMode="External"/><Relationship Id="rId767" Type="http://schemas.openxmlformats.org/officeDocument/2006/relationships/hyperlink" Target="mailto:m.ventura2018@flushinginternational.org" TargetMode="External"/><Relationship Id="rId766" Type="http://schemas.openxmlformats.org/officeDocument/2006/relationships/hyperlink" Target="mailto:anderson2019@flushinginternational.org" TargetMode="External"/><Relationship Id="rId765" Type="http://schemas.openxmlformats.org/officeDocument/2006/relationships/hyperlink" Target="mailto:cmhernandez@inths.org" TargetMode="External"/><Relationship Id="rId764" Type="http://schemas.openxmlformats.org/officeDocument/2006/relationships/hyperlink" Target="mailto:jonathanmartinez7537@gmail.com" TargetMode="External"/><Relationship Id="rId769" Type="http://schemas.openxmlformats.org/officeDocument/2006/relationships/hyperlink" Target="mailto:ramosgonzalesjosue2@gmail.com" TargetMode="External"/><Relationship Id="rId768" Type="http://schemas.openxmlformats.org/officeDocument/2006/relationships/hyperlink" Target="mailto:polynicebenjunior90@gmail.com" TargetMode="External"/><Relationship Id="rId26" Type="http://schemas.openxmlformats.org/officeDocument/2006/relationships/hyperlink" Target="mailto:aisha_dawran@flushinghighschool.org" TargetMode="External"/><Relationship Id="rId25" Type="http://schemas.openxmlformats.org/officeDocument/2006/relationships/hyperlink" Target="mailto:pgeorge109@gmail.com" TargetMode="External"/><Relationship Id="rId28" Type="http://schemas.openxmlformats.org/officeDocument/2006/relationships/hyperlink" Target="mailto:azzureholland11@gmail.com" TargetMode="External"/><Relationship Id="rId1350" Type="http://schemas.openxmlformats.org/officeDocument/2006/relationships/hyperlink" Target="mailto:jesline.placencia.24@wheels-student.org" TargetMode="External"/><Relationship Id="rId27" Type="http://schemas.openxmlformats.org/officeDocument/2006/relationships/hyperlink" Target="mailto:mariamajarmegeh@claremontihs.org" TargetMode="External"/><Relationship Id="rId1351" Type="http://schemas.openxmlformats.org/officeDocument/2006/relationships/hyperlink" Target="mailto:maradiatou.kassim@ellisprep.com" TargetMode="External"/><Relationship Id="rId763" Type="http://schemas.openxmlformats.org/officeDocument/2006/relationships/hyperlink" Target="mailto:stephanie.leonzo.24@wheels-student.org" TargetMode="External"/><Relationship Id="rId1352" Type="http://schemas.openxmlformats.org/officeDocument/2006/relationships/hyperlink" Target="mailto:jessieljaquez1020@gmail.com" TargetMode="External"/><Relationship Id="rId29" Type="http://schemas.openxmlformats.org/officeDocument/2006/relationships/hyperlink" Target="mailto:cnavarro@amtnyc.org" TargetMode="External"/><Relationship Id="rId762" Type="http://schemas.openxmlformats.org/officeDocument/2006/relationships/hyperlink" Target="mailto:yeslye2789@nycstudents.net" TargetMode="External"/><Relationship Id="rId1353" Type="http://schemas.openxmlformats.org/officeDocument/2006/relationships/hyperlink" Target="mailto:trinitymartinez0509@gmail.com" TargetMode="External"/><Relationship Id="rId761" Type="http://schemas.openxmlformats.org/officeDocument/2006/relationships/hyperlink" Target="mailto:andersson2019@flushinginternational.org" TargetMode="External"/><Relationship Id="rId1354" Type="http://schemas.openxmlformats.org/officeDocument/2006/relationships/hyperlink" Target="mailto:aideestudillo84@gmail.com" TargetMode="External"/><Relationship Id="rId760" Type="http://schemas.openxmlformats.org/officeDocument/2006/relationships/hyperlink" Target="mailto:claribel2019@flushinginternational.org" TargetMode="External"/><Relationship Id="rId1355" Type="http://schemas.openxmlformats.org/officeDocument/2006/relationships/hyperlink" Target="mailto:2023_paulaastudillo@ihs-us.org" TargetMode="External"/><Relationship Id="rId1345" Type="http://schemas.openxmlformats.org/officeDocument/2006/relationships/hyperlink" Target="mailto:jayson.liz.24@wheels-student.org" TargetMode="External"/><Relationship Id="rId1346" Type="http://schemas.openxmlformats.org/officeDocument/2006/relationships/hyperlink" Target="mailto:mbarak.tchedre@ichsbronx.org" TargetMode="External"/><Relationship Id="rId1347" Type="http://schemas.openxmlformats.org/officeDocument/2006/relationships/hyperlink" Target="mailto:jhennelbailey@gmail.com" TargetMode="External"/><Relationship Id="rId1348" Type="http://schemas.openxmlformats.org/officeDocument/2006/relationships/hyperlink" Target="mailto:tsbrown0101@gmail.com" TargetMode="External"/><Relationship Id="rId11" Type="http://schemas.openxmlformats.org/officeDocument/2006/relationships/hyperlink" Target="mailto:vernip@nycstudents.net" TargetMode="External"/><Relationship Id="rId1349" Type="http://schemas.openxmlformats.org/officeDocument/2006/relationships/hyperlink" Target="mailto:anariroberts2@gmail.com" TargetMode="External"/><Relationship Id="rId10" Type="http://schemas.openxmlformats.org/officeDocument/2006/relationships/hyperlink" Target="mailto:ngawangt14@nycstudents.net" TargetMode="External"/><Relationship Id="rId13" Type="http://schemas.openxmlformats.org/officeDocument/2006/relationships/hyperlink" Target="mailto:bibibaseria2019@flushinginternational.org" TargetMode="External"/><Relationship Id="rId12" Type="http://schemas.openxmlformats.org/officeDocument/2006/relationships/hyperlink" Target="mailto:mbakhtyar@flushinginternational.org" TargetMode="External"/><Relationship Id="rId756" Type="http://schemas.openxmlformats.org/officeDocument/2006/relationships/hyperlink" Target="mailto:rocio2019@flushinginternational.org" TargetMode="External"/><Relationship Id="rId755" Type="http://schemas.openxmlformats.org/officeDocument/2006/relationships/hyperlink" Target="mailto:vacacelaedison149@gmail.com" TargetMode="External"/><Relationship Id="rId754" Type="http://schemas.openxmlformats.org/officeDocument/2006/relationships/hyperlink" Target="mailto:lchicas@crotonaihs.org" TargetMode="External"/><Relationship Id="rId753" Type="http://schemas.openxmlformats.org/officeDocument/2006/relationships/hyperlink" Target="mailto:samiracuero85@gmail.com" TargetMode="External"/><Relationship Id="rId759" Type="http://schemas.openxmlformats.org/officeDocument/2006/relationships/hyperlink" Target="mailto:sebastienpaillant13@gmail.com" TargetMode="External"/><Relationship Id="rId758" Type="http://schemas.openxmlformats.org/officeDocument/2006/relationships/hyperlink" Target="mailto:yannerdgz47@gmail.com" TargetMode="External"/><Relationship Id="rId757" Type="http://schemas.openxmlformats.org/officeDocument/2006/relationships/hyperlink" Target="mailto:wasinshihab@gmail.com" TargetMode="External"/><Relationship Id="rId15" Type="http://schemas.openxmlformats.org/officeDocument/2006/relationships/hyperlink" Target="mailto:bibiasia2019@flushinginternational.org" TargetMode="External"/><Relationship Id="rId14" Type="http://schemas.openxmlformats.org/officeDocument/2006/relationships/hyperlink" Target="mailto:cristofe.hernandez@ichsbronx.org" TargetMode="External"/><Relationship Id="rId17" Type="http://schemas.openxmlformats.org/officeDocument/2006/relationships/hyperlink" Target="mailto:msulimanzoy2020@gmail.com" TargetMode="External"/><Relationship Id="rId16" Type="http://schemas.openxmlformats.org/officeDocument/2006/relationships/hyperlink" Target="mailto:esulimanzoy2020@gmail.com" TargetMode="External"/><Relationship Id="rId1340" Type="http://schemas.openxmlformats.org/officeDocument/2006/relationships/hyperlink" Target="mailto:alanthoneywalters@gmail.com" TargetMode="External"/><Relationship Id="rId19" Type="http://schemas.openxmlformats.org/officeDocument/2006/relationships/hyperlink" Target="mailto:madina.rawofi@gmail.com" TargetMode="External"/><Relationship Id="rId752" Type="http://schemas.openxmlformats.org/officeDocument/2006/relationships/hyperlink" Target="mailto:oasis17d@gmail.com" TargetMode="External"/><Relationship Id="rId1341" Type="http://schemas.openxmlformats.org/officeDocument/2006/relationships/hyperlink" Target="mailto:bejotnahmya367@gmail.com" TargetMode="External"/><Relationship Id="rId18" Type="http://schemas.openxmlformats.org/officeDocument/2006/relationships/hyperlink" Target="mailto:sher2019@flushinginternational.org" TargetMode="External"/><Relationship Id="rId751" Type="http://schemas.openxmlformats.org/officeDocument/2006/relationships/hyperlink" Target="mailto:mlara@crotonaihs.org" TargetMode="External"/><Relationship Id="rId1342" Type="http://schemas.openxmlformats.org/officeDocument/2006/relationships/hyperlink" Target="mailto:aminatakebe@claremontihs.org" TargetMode="External"/><Relationship Id="rId750" Type="http://schemas.openxmlformats.org/officeDocument/2006/relationships/hyperlink" Target="mailto:mamefatimsarr04@gmail.com" TargetMode="External"/><Relationship Id="rId1343" Type="http://schemas.openxmlformats.org/officeDocument/2006/relationships/hyperlink" Target="mailto:jayminortega11@icloud.com" TargetMode="External"/><Relationship Id="rId1344" Type="http://schemas.openxmlformats.org/officeDocument/2006/relationships/hyperlink" Target="mailto:mouhamedbarry@claremontihs.org" TargetMode="External"/><Relationship Id="rId84" Type="http://schemas.openxmlformats.org/officeDocument/2006/relationships/hyperlink" Target="mailto:j.baron2018@flushinginternational.org" TargetMode="External"/><Relationship Id="rId1774" Type="http://schemas.openxmlformats.org/officeDocument/2006/relationships/hyperlink" Target="mailto:nofahd@nycstudents.net" TargetMode="External"/><Relationship Id="rId83" Type="http://schemas.openxmlformats.org/officeDocument/2006/relationships/hyperlink" Target="mailto:yiengchukdorji123@gmail.com" TargetMode="External"/><Relationship Id="rId1775" Type="http://schemas.openxmlformats.org/officeDocument/2006/relationships/hyperlink" Target="mailto:fatima.jawneh2@gmail.com" TargetMode="External"/><Relationship Id="rId86" Type="http://schemas.openxmlformats.org/officeDocument/2006/relationships/hyperlink" Target="mailto:fabiana2019@flushinginternational.org" TargetMode="External"/><Relationship Id="rId1776" Type="http://schemas.openxmlformats.org/officeDocument/2006/relationships/hyperlink" Target="mailto:vgarcia21202@gmail.com" TargetMode="External"/><Relationship Id="rId85" Type="http://schemas.openxmlformats.org/officeDocument/2006/relationships/hyperlink" Target="mailto:lisa26465@gmail.com" TargetMode="External"/><Relationship Id="rId1777" Type="http://schemas.openxmlformats.org/officeDocument/2006/relationships/hyperlink" Target="mailto:bmakenova@gmai.com" TargetMode="External"/><Relationship Id="rId88" Type="http://schemas.openxmlformats.org/officeDocument/2006/relationships/hyperlink" Target="mailto:2025_mayrapoma@ihs-us.org" TargetMode="External"/><Relationship Id="rId1778" Type="http://schemas.openxmlformats.org/officeDocument/2006/relationships/hyperlink" Target="mailto:nastiagomes@gmail.com" TargetMode="External"/><Relationship Id="rId87" Type="http://schemas.openxmlformats.org/officeDocument/2006/relationships/hyperlink" Target="mailto:yannellekunakey@gmail.com" TargetMode="External"/><Relationship Id="rId1779" Type="http://schemas.openxmlformats.org/officeDocument/2006/relationships/hyperlink" Target="mailto:benjaminm224@nycstudents.net" TargetMode="External"/><Relationship Id="rId89" Type="http://schemas.openxmlformats.org/officeDocument/2006/relationships/hyperlink" Target="mailto:2025_alejandraminan@ihs-us.org" TargetMode="External"/><Relationship Id="rId709" Type="http://schemas.openxmlformats.org/officeDocument/2006/relationships/hyperlink" Target="mailto:2024_josuepacheco@ihs-us.org" TargetMode="External"/><Relationship Id="rId708" Type="http://schemas.openxmlformats.org/officeDocument/2006/relationships/hyperlink" Target="mailto:2023_juliapontes@ihs-us.org" TargetMode="External"/><Relationship Id="rId707" Type="http://schemas.openxmlformats.org/officeDocument/2006/relationships/hyperlink" Target="mailto:galot@nycstudents.net" TargetMode="External"/><Relationship Id="rId706" Type="http://schemas.openxmlformats.org/officeDocument/2006/relationships/hyperlink" Target="mailto:2023_josimarlucerojindiachi@ihs-us.org" TargetMode="External"/><Relationship Id="rId80" Type="http://schemas.openxmlformats.org/officeDocument/2006/relationships/hyperlink" Target="mailto:k.rahman2018@flushinginternational.org" TargetMode="External"/><Relationship Id="rId82" Type="http://schemas.openxmlformats.org/officeDocument/2006/relationships/hyperlink" Target="mailto:2024_rinchenwangmo@ihs-us.org" TargetMode="External"/><Relationship Id="rId81" Type="http://schemas.openxmlformats.org/officeDocument/2006/relationships/hyperlink" Target="mailto:2025_kesangpenjor@ihs-us.org" TargetMode="External"/><Relationship Id="rId701" Type="http://schemas.openxmlformats.org/officeDocument/2006/relationships/hyperlink" Target="mailto:jason.martinez.24@wheels-student.org" TargetMode="External"/><Relationship Id="rId700" Type="http://schemas.openxmlformats.org/officeDocument/2006/relationships/hyperlink" Target="mailto:2023_gabrielmorris@ihs-us.org" TargetMode="External"/><Relationship Id="rId705" Type="http://schemas.openxmlformats.org/officeDocument/2006/relationships/hyperlink" Target="mailto:ashley.loja@yahoo.com" TargetMode="External"/><Relationship Id="rId704" Type="http://schemas.openxmlformats.org/officeDocument/2006/relationships/hyperlink" Target="mailto:ousmane.nabe@ellisprep.com" TargetMode="External"/><Relationship Id="rId703" Type="http://schemas.openxmlformats.org/officeDocument/2006/relationships/hyperlink" Target="mailto:juana4753@nycstudents.net" TargetMode="External"/><Relationship Id="rId702" Type="http://schemas.openxmlformats.org/officeDocument/2006/relationships/hyperlink" Target="mailto:2023_genesislochart@ihs-us.org" TargetMode="External"/><Relationship Id="rId1770" Type="http://schemas.openxmlformats.org/officeDocument/2006/relationships/hyperlink" Target="mailto:lil.zomber520@gmail.com" TargetMode="External"/><Relationship Id="rId1771" Type="http://schemas.openxmlformats.org/officeDocument/2006/relationships/hyperlink" Target="mailto:cuca1114222@gmail.com" TargetMode="External"/><Relationship Id="rId1772" Type="http://schemas.openxmlformats.org/officeDocument/2006/relationships/hyperlink" Target="mailto:abrahan.german@ellisprep.com" TargetMode="External"/><Relationship Id="rId1773" Type="http://schemas.openxmlformats.org/officeDocument/2006/relationships/hyperlink" Target="mailto:nrobinson6526@bxslf.org" TargetMode="External"/><Relationship Id="rId73" Type="http://schemas.openxmlformats.org/officeDocument/2006/relationships/hyperlink" Target="mailto:saima.akter@ellisprep.com" TargetMode="External"/><Relationship Id="rId1763" Type="http://schemas.openxmlformats.org/officeDocument/2006/relationships/hyperlink" Target="mailto:biubiu365734@gmail.com" TargetMode="External"/><Relationship Id="rId72" Type="http://schemas.openxmlformats.org/officeDocument/2006/relationships/hyperlink" Target="mailto:mahfuja.khatun@ellisprep.com" TargetMode="External"/><Relationship Id="rId1764" Type="http://schemas.openxmlformats.org/officeDocument/2006/relationships/hyperlink" Target="mailto:joselinnicole13@gmail.com" TargetMode="External"/><Relationship Id="rId75" Type="http://schemas.openxmlformats.org/officeDocument/2006/relationships/hyperlink" Target="mailto:mahiac4@nycstudents.net" TargetMode="External"/><Relationship Id="rId1765" Type="http://schemas.openxmlformats.org/officeDocument/2006/relationships/hyperlink" Target="mailto:kiarahernandezsosa@gmail.com" TargetMode="External"/><Relationship Id="rId74" Type="http://schemas.openxmlformats.org/officeDocument/2006/relationships/hyperlink" Target="mailto:tasnim.jahan@ellisprep.com" TargetMode="External"/><Relationship Id="rId1766" Type="http://schemas.openxmlformats.org/officeDocument/2006/relationships/hyperlink" Target="mailto:kylian_colocolo_5@hotmail.com" TargetMode="External"/><Relationship Id="rId77" Type="http://schemas.openxmlformats.org/officeDocument/2006/relationships/hyperlink" Target="mailto:isaandishcallender@gmail.com" TargetMode="External"/><Relationship Id="rId1767" Type="http://schemas.openxmlformats.org/officeDocument/2006/relationships/hyperlink" Target="mailto:oneydamelgar14142@gmail.com" TargetMode="External"/><Relationship Id="rId76" Type="http://schemas.openxmlformats.org/officeDocument/2006/relationships/hyperlink" Target="mailto:2023_mohammedhossain@ihs-us.org" TargetMode="External"/><Relationship Id="rId1768" Type="http://schemas.openxmlformats.org/officeDocument/2006/relationships/hyperlink" Target="mailto:108047057@ideastudent.org" TargetMode="External"/><Relationship Id="rId79" Type="http://schemas.openxmlformats.org/officeDocument/2006/relationships/hyperlink" Target="mailto:isadi143@gmail.com" TargetMode="External"/><Relationship Id="rId1769" Type="http://schemas.openxmlformats.org/officeDocument/2006/relationships/hyperlink" Target="mailto:108046660@ideastudent.org" TargetMode="External"/><Relationship Id="rId78" Type="http://schemas.openxmlformats.org/officeDocument/2006/relationships/hyperlink" Target="mailto:2025_arynamaletskaya@ihs-us.org" TargetMode="External"/><Relationship Id="rId71" Type="http://schemas.openxmlformats.org/officeDocument/2006/relationships/hyperlink" Target="mailto:saram4208@nycstudents.net" TargetMode="External"/><Relationship Id="rId70" Type="http://schemas.openxmlformats.org/officeDocument/2006/relationships/hyperlink" Target="mailto:seamp@nycstudents.net" TargetMode="External"/><Relationship Id="rId1760" Type="http://schemas.openxmlformats.org/officeDocument/2006/relationships/hyperlink" Target="mailto:windley.kasarah@gmail.com" TargetMode="External"/><Relationship Id="rId1761" Type="http://schemas.openxmlformats.org/officeDocument/2006/relationships/hyperlink" Target="mailto:mamdiara.ndiaye@ellisprep.com" TargetMode="External"/><Relationship Id="rId1762" Type="http://schemas.openxmlformats.org/officeDocument/2006/relationships/hyperlink" Target="mailto:ayysabrin1179@gmail.com" TargetMode="External"/><Relationship Id="rId62" Type="http://schemas.openxmlformats.org/officeDocument/2006/relationships/hyperlink" Target="mailto:i.tahsin2020@flushinginternational.org" TargetMode="External"/><Relationship Id="rId1312" Type="http://schemas.openxmlformats.org/officeDocument/2006/relationships/hyperlink" Target="mailto:zoes137@nycstudents.net" TargetMode="External"/><Relationship Id="rId1796" Type="http://schemas.openxmlformats.org/officeDocument/2006/relationships/hyperlink" Target="mailto:juliachennn147@gmail.com" TargetMode="External"/><Relationship Id="rId61" Type="http://schemas.openxmlformats.org/officeDocument/2006/relationships/hyperlink" Target="mailto:symphonyu@nycstudents.net" TargetMode="External"/><Relationship Id="rId1313" Type="http://schemas.openxmlformats.org/officeDocument/2006/relationships/hyperlink" Target="mailto:angelocifuentes07@gmail.com" TargetMode="External"/><Relationship Id="rId1797" Type="http://schemas.openxmlformats.org/officeDocument/2006/relationships/hyperlink" Target="mailto:kelvisz2024@desoto130.org" TargetMode="External"/><Relationship Id="rId64" Type="http://schemas.openxmlformats.org/officeDocument/2006/relationships/hyperlink" Target="mailto:samiat19@nycstudents.net" TargetMode="External"/><Relationship Id="rId1314" Type="http://schemas.openxmlformats.org/officeDocument/2006/relationships/hyperlink" Target="mailto:germayolyggg@gmail.com" TargetMode="External"/><Relationship Id="rId1798" Type="http://schemas.openxmlformats.org/officeDocument/2006/relationships/hyperlink" Target="mailto:alstonz2024@desoto130.org" TargetMode="External"/><Relationship Id="rId63" Type="http://schemas.openxmlformats.org/officeDocument/2006/relationships/hyperlink" Target="mailto:jackeline.moran@casa311.com" TargetMode="External"/><Relationship Id="rId1315" Type="http://schemas.openxmlformats.org/officeDocument/2006/relationships/hyperlink" Target="mailto:musaeyvasabina2003@gmail.com" TargetMode="External"/><Relationship Id="rId1799" Type="http://schemas.openxmlformats.org/officeDocument/2006/relationships/hyperlink" Target="mailto:christopherp2024@desoto130.org" TargetMode="External"/><Relationship Id="rId66" Type="http://schemas.openxmlformats.org/officeDocument/2006/relationships/hyperlink" Target="mailto:ashikeirfan2013@gmail.com" TargetMode="External"/><Relationship Id="rId1316" Type="http://schemas.openxmlformats.org/officeDocument/2006/relationships/hyperlink" Target="mailto:josesalas@claremontihs.org" TargetMode="External"/><Relationship Id="rId65" Type="http://schemas.openxmlformats.org/officeDocument/2006/relationships/hyperlink" Target="mailto:saifasabrinj@nycstudents.net" TargetMode="External"/><Relationship Id="rId1317" Type="http://schemas.openxmlformats.org/officeDocument/2006/relationships/hyperlink" Target="mailto:aprilhiciano174@gmail.com" TargetMode="External"/><Relationship Id="rId68" Type="http://schemas.openxmlformats.org/officeDocument/2006/relationships/hyperlink" Target="mailto:mehedihasan200516@gmail.com" TargetMode="External"/><Relationship Id="rId1318" Type="http://schemas.openxmlformats.org/officeDocument/2006/relationships/hyperlink" Target="mailto:bali@ms356covo.org" TargetMode="External"/><Relationship Id="rId67" Type="http://schemas.openxmlformats.org/officeDocument/2006/relationships/hyperlink" Target="mailto:mary.a.anene@gmail.com" TargetMode="External"/><Relationship Id="rId1319" Type="http://schemas.openxmlformats.org/officeDocument/2006/relationships/hyperlink" Target="mailto:justin.smith4748@gmail.com" TargetMode="External"/><Relationship Id="rId729" Type="http://schemas.openxmlformats.org/officeDocument/2006/relationships/hyperlink" Target="mailto:bindaa28@gmail.com" TargetMode="External"/><Relationship Id="rId728" Type="http://schemas.openxmlformats.org/officeDocument/2006/relationships/hyperlink" Target="mailto:fatima2019@flushinginternational.org" TargetMode="External"/><Relationship Id="rId60" Type="http://schemas.openxmlformats.org/officeDocument/2006/relationships/hyperlink" Target="mailto:h.barsha@ihsph.org" TargetMode="External"/><Relationship Id="rId723" Type="http://schemas.openxmlformats.org/officeDocument/2006/relationships/hyperlink" Target="mailto:cheikh.ka@ichsbronx.org" TargetMode="External"/><Relationship Id="rId722" Type="http://schemas.openxmlformats.org/officeDocument/2006/relationships/hyperlink" Target="mailto:2023_alisalem@ihs-us.org" TargetMode="External"/><Relationship Id="rId721" Type="http://schemas.openxmlformats.org/officeDocument/2006/relationships/hyperlink" Target="mailto:amiramomen5050@gmail.com" TargetMode="External"/><Relationship Id="rId720" Type="http://schemas.openxmlformats.org/officeDocument/2006/relationships/hyperlink" Target="mailto:2023_luischimbo@ihs-us.org" TargetMode="External"/><Relationship Id="rId727" Type="http://schemas.openxmlformats.org/officeDocument/2006/relationships/hyperlink" Target="mailto:daehyunrobles@gmail.com" TargetMode="External"/><Relationship Id="rId726" Type="http://schemas.openxmlformats.org/officeDocument/2006/relationships/hyperlink" Target="mailto:2023_navierrojas@ihs-us.org" TargetMode="External"/><Relationship Id="rId725" Type="http://schemas.openxmlformats.org/officeDocument/2006/relationships/hyperlink" Target="mailto:yorrickjabez@gmail.com" TargetMode="External"/><Relationship Id="rId724" Type="http://schemas.openxmlformats.org/officeDocument/2006/relationships/hyperlink" Target="mailto:anafabian@claremontihs.org" TargetMode="External"/><Relationship Id="rId69" Type="http://schemas.openxmlformats.org/officeDocument/2006/relationships/hyperlink" Target="mailto:malihar12@nycstudents.net" TargetMode="External"/><Relationship Id="rId1790" Type="http://schemas.openxmlformats.org/officeDocument/2006/relationships/hyperlink" Target="mailto:mayaimil2024@desoto130.org" TargetMode="External"/><Relationship Id="rId1791" Type="http://schemas.openxmlformats.org/officeDocument/2006/relationships/hyperlink" Target="mailto:jaxp2024@desoto130.org" TargetMode="External"/><Relationship Id="rId1792" Type="http://schemas.openxmlformats.org/officeDocument/2006/relationships/hyperlink" Target="mailto:karinh2024@desoto130.org" TargetMode="External"/><Relationship Id="rId1793" Type="http://schemas.openxmlformats.org/officeDocument/2006/relationships/hyperlink" Target="mailto:oliviaz2024@desoto130.org" TargetMode="External"/><Relationship Id="rId1310" Type="http://schemas.openxmlformats.org/officeDocument/2006/relationships/hyperlink" Target="mailto:asjr.423@gmail.com" TargetMode="External"/><Relationship Id="rId1794" Type="http://schemas.openxmlformats.org/officeDocument/2006/relationships/hyperlink" Target="mailto:ndeyefaye1945@outlook.com" TargetMode="External"/><Relationship Id="rId1311" Type="http://schemas.openxmlformats.org/officeDocument/2006/relationships/hyperlink" Target="mailto:chris2121lewis@yahoo.com" TargetMode="External"/><Relationship Id="rId1795" Type="http://schemas.openxmlformats.org/officeDocument/2006/relationships/hyperlink" Target="mailto:isabella@speakhire.org" TargetMode="External"/><Relationship Id="rId51" Type="http://schemas.openxmlformats.org/officeDocument/2006/relationships/hyperlink" Target="mailto:aymanr12@nycstudents.net" TargetMode="External"/><Relationship Id="rId1301" Type="http://schemas.openxmlformats.org/officeDocument/2006/relationships/hyperlink" Target="mailto:shirlisey2789@nycstudents.net" TargetMode="External"/><Relationship Id="rId1785" Type="http://schemas.openxmlformats.org/officeDocument/2006/relationships/hyperlink" Target="mailto:kimorac30@nycstudents.net" TargetMode="External"/><Relationship Id="rId50" Type="http://schemas.openxmlformats.org/officeDocument/2006/relationships/hyperlink" Target="mailto:ay4at.h@gmail.com" TargetMode="External"/><Relationship Id="rId1302" Type="http://schemas.openxmlformats.org/officeDocument/2006/relationships/hyperlink" Target="mailto:carolynburrow521@gmail.com" TargetMode="External"/><Relationship Id="rId1786" Type="http://schemas.openxmlformats.org/officeDocument/2006/relationships/hyperlink" Target="mailto:marcianon@nycstudents.net" TargetMode="External"/><Relationship Id="rId53" Type="http://schemas.openxmlformats.org/officeDocument/2006/relationships/hyperlink" Target="mailto:nabiham7836@nycstudents.net" TargetMode="External"/><Relationship Id="rId1303" Type="http://schemas.openxmlformats.org/officeDocument/2006/relationships/hyperlink" Target="mailto:alisson.galay@ellisprep.com" TargetMode="External"/><Relationship Id="rId1787" Type="http://schemas.openxmlformats.org/officeDocument/2006/relationships/hyperlink" Target="mailto:timcusl2024@desoto130.org" TargetMode="External"/><Relationship Id="rId52" Type="http://schemas.openxmlformats.org/officeDocument/2006/relationships/hyperlink" Target="mailto:thanwer.mahmud@gmail.com" TargetMode="External"/><Relationship Id="rId1304" Type="http://schemas.openxmlformats.org/officeDocument/2006/relationships/hyperlink" Target="mailto:madjoyous2004@gmail.com" TargetMode="External"/><Relationship Id="rId1788" Type="http://schemas.openxmlformats.org/officeDocument/2006/relationships/hyperlink" Target="mailto:zabdy.orellana@ichsbronx.org" TargetMode="External"/><Relationship Id="rId55" Type="http://schemas.openxmlformats.org/officeDocument/2006/relationships/hyperlink" Target="mailto:shafayata3@nycstudents.net" TargetMode="External"/><Relationship Id="rId1305" Type="http://schemas.openxmlformats.org/officeDocument/2006/relationships/hyperlink" Target="https://docs.google.com/spreadsheets/d/1dxvq0mLP4qREOBDndXLwje7-8QWbcBY5/edit?gid=1045783169" TargetMode="External"/><Relationship Id="rId1789" Type="http://schemas.openxmlformats.org/officeDocument/2006/relationships/hyperlink" Target="mailto:skylert2024@desoto130.org" TargetMode="External"/><Relationship Id="rId54" Type="http://schemas.openxmlformats.org/officeDocument/2006/relationships/hyperlink" Target="mailto:niloyahmed2005@gmail.com" TargetMode="External"/><Relationship Id="rId1306" Type="http://schemas.openxmlformats.org/officeDocument/2006/relationships/hyperlink" Target="mailto:jaiahnagadsden@gmail.com" TargetMode="External"/><Relationship Id="rId57" Type="http://schemas.openxmlformats.org/officeDocument/2006/relationships/hyperlink" Target="mailto:muhammady19@nycstudents.net" TargetMode="External"/><Relationship Id="rId1307" Type="http://schemas.openxmlformats.org/officeDocument/2006/relationships/hyperlink" Target="mailto:jessicam464@nycstudents.net" TargetMode="External"/><Relationship Id="rId56" Type="http://schemas.openxmlformats.org/officeDocument/2006/relationships/hyperlink" Target="mailto:rubayanasrin.student@hseigators.org" TargetMode="External"/><Relationship Id="rId1308" Type="http://schemas.openxmlformats.org/officeDocument/2006/relationships/hyperlink" Target="mailto:ruthterrero@claremontihs.org" TargetMode="External"/><Relationship Id="rId1309" Type="http://schemas.openxmlformats.org/officeDocument/2006/relationships/hyperlink" Target="mailto:ariellem25@nycstudents.net" TargetMode="External"/><Relationship Id="rId719" Type="http://schemas.openxmlformats.org/officeDocument/2006/relationships/hyperlink" Target="mailto:abdelrahmana2792@nycstudents.net" TargetMode="External"/><Relationship Id="rId718" Type="http://schemas.openxmlformats.org/officeDocument/2006/relationships/hyperlink" Target="mailto:aicha.doukoure@ellisprep.com" TargetMode="External"/><Relationship Id="rId717" Type="http://schemas.openxmlformats.org/officeDocument/2006/relationships/hyperlink" Target="mailto:2023_leomonnier@ihs-us.org" TargetMode="External"/><Relationship Id="rId712" Type="http://schemas.openxmlformats.org/officeDocument/2006/relationships/hyperlink" Target="mailto:2025_alejandraminan@ihs-us.org" TargetMode="External"/><Relationship Id="rId711" Type="http://schemas.openxmlformats.org/officeDocument/2006/relationships/hyperlink" Target="mailto:2023_kerenmejia@ihs-us.org" TargetMode="External"/><Relationship Id="rId710" Type="http://schemas.openxmlformats.org/officeDocument/2006/relationships/hyperlink" Target="mailto:camilal5722@nycstudents.net" TargetMode="External"/><Relationship Id="rId716" Type="http://schemas.openxmlformats.org/officeDocument/2006/relationships/hyperlink" Target="mailto:amohamed@inths.org" TargetMode="External"/><Relationship Id="rId715" Type="http://schemas.openxmlformats.org/officeDocument/2006/relationships/hyperlink" Target="mailto:2023_ladyvilla@ihs-us.org" TargetMode="External"/><Relationship Id="rId714" Type="http://schemas.openxmlformats.org/officeDocument/2006/relationships/hyperlink" Target="mailto:zeyad2019@flushinginternational.org" TargetMode="External"/><Relationship Id="rId713" Type="http://schemas.openxmlformats.org/officeDocument/2006/relationships/hyperlink" Target="mailto:2025_alejandraminan@ihs-us.org" TargetMode="External"/><Relationship Id="rId59" Type="http://schemas.openxmlformats.org/officeDocument/2006/relationships/hyperlink" Target="mailto:kingabaan3@gmail.com" TargetMode="External"/><Relationship Id="rId58" Type="http://schemas.openxmlformats.org/officeDocument/2006/relationships/hyperlink" Target="mailto:aiza.azad23@gmail.com" TargetMode="External"/><Relationship Id="rId1780" Type="http://schemas.openxmlformats.org/officeDocument/2006/relationships/hyperlink" Target="mailto:sarker.noashin@ellisprep.com" TargetMode="External"/><Relationship Id="rId1781" Type="http://schemas.openxmlformats.org/officeDocument/2006/relationships/hyperlink" Target="mailto:mimi.kante@ellisprep.com" TargetMode="External"/><Relationship Id="rId1782" Type="http://schemas.openxmlformats.org/officeDocument/2006/relationships/hyperlink" Target="mailto:safiatou.jalloh@ellisprep.com" TargetMode="External"/><Relationship Id="rId1783" Type="http://schemas.openxmlformats.org/officeDocument/2006/relationships/hyperlink" Target="mailto:dayanyf@nycstudents.net" TargetMode="External"/><Relationship Id="rId1300" Type="http://schemas.openxmlformats.org/officeDocument/2006/relationships/hyperlink" Target="mailto:leylih2@nycstudents.net" TargetMode="External"/><Relationship Id="rId1784" Type="http://schemas.openxmlformats.org/officeDocument/2006/relationships/hyperlink" Target="mailto:donovang38@nyhcstudents.net" TargetMode="External"/><Relationship Id="rId349" Type="http://schemas.openxmlformats.org/officeDocument/2006/relationships/hyperlink" Target="mailto:alexa.veloz@ellisprep.com" TargetMode="External"/><Relationship Id="rId348" Type="http://schemas.openxmlformats.org/officeDocument/2006/relationships/hyperlink" Target="mailto:emelypayano@claremontihs.org" TargetMode="External"/><Relationship Id="rId347" Type="http://schemas.openxmlformats.org/officeDocument/2006/relationships/hyperlink" Target="mailto:fm256732553@crotonaihs.org" TargetMode="External"/><Relationship Id="rId346" Type="http://schemas.openxmlformats.org/officeDocument/2006/relationships/hyperlink" Target="mailto:al258484930@crotonaihs.org" TargetMode="External"/><Relationship Id="rId341" Type="http://schemas.openxmlformats.org/officeDocument/2006/relationships/hyperlink" Target="mailto:cd250486230@crotonaihs.org" TargetMode="External"/><Relationship Id="rId340" Type="http://schemas.openxmlformats.org/officeDocument/2006/relationships/hyperlink" Target="mailto:2023_genesislochart@ihs-us.org" TargetMode="External"/><Relationship Id="rId345" Type="http://schemas.openxmlformats.org/officeDocument/2006/relationships/hyperlink" Target="mailto:lsanchezolivo@crotonaihs.org" TargetMode="External"/><Relationship Id="rId344" Type="http://schemas.openxmlformats.org/officeDocument/2006/relationships/hyperlink" Target="mailto:michaelsuarez.student@hseigators.org" TargetMode="External"/><Relationship Id="rId343" Type="http://schemas.openxmlformats.org/officeDocument/2006/relationships/hyperlink" Target="mailto:fraylinc3155@gmail.com" TargetMode="External"/><Relationship Id="rId342" Type="http://schemas.openxmlformats.org/officeDocument/2006/relationships/hyperlink" Target="mailto:shanick.deleon.24@wheels-student.org" TargetMode="External"/><Relationship Id="rId338" Type="http://schemas.openxmlformats.org/officeDocument/2006/relationships/hyperlink" Target="mailto:jbueno@crotonaihs.org" TargetMode="External"/><Relationship Id="rId337" Type="http://schemas.openxmlformats.org/officeDocument/2006/relationships/hyperlink" Target="mailto:dfran6031@gmail.com" TargetMode="External"/><Relationship Id="rId336" Type="http://schemas.openxmlformats.org/officeDocument/2006/relationships/hyperlink" Target="mailto:giosmar.deluna@ellosprep.com" TargetMode="External"/><Relationship Id="rId335" Type="http://schemas.openxmlformats.org/officeDocument/2006/relationships/hyperlink" Target="mailto:giosmar.deluna@ellosprep.com" TargetMode="External"/><Relationship Id="rId339" Type="http://schemas.openxmlformats.org/officeDocument/2006/relationships/hyperlink" Target="mailto:scruz@crotonaihs.org" TargetMode="External"/><Relationship Id="rId330" Type="http://schemas.openxmlformats.org/officeDocument/2006/relationships/hyperlink" Target="mailto:gabriela.turbi@ichsbronx.org" TargetMode="External"/><Relationship Id="rId334" Type="http://schemas.openxmlformats.org/officeDocument/2006/relationships/hyperlink" Target="mailto:ameliarodriguezc64@gmail.com" TargetMode="External"/><Relationship Id="rId333" Type="http://schemas.openxmlformats.org/officeDocument/2006/relationships/hyperlink" Target="mailto:alfonsinar49@gmail.com" TargetMode="External"/><Relationship Id="rId332" Type="http://schemas.openxmlformats.org/officeDocument/2006/relationships/hyperlink" Target="mailto:anselcastro13@gmail.com" TargetMode="External"/><Relationship Id="rId331" Type="http://schemas.openxmlformats.org/officeDocument/2006/relationships/hyperlink" Target="mailto:josue.lantigua.24@wheels-student.org" TargetMode="External"/><Relationship Id="rId370" Type="http://schemas.openxmlformats.org/officeDocument/2006/relationships/hyperlink" Target="mailto:sebastian.cruz.24@wheels-student.org" TargetMode="External"/><Relationship Id="rId369" Type="http://schemas.openxmlformats.org/officeDocument/2006/relationships/hyperlink" Target="mailto:rnunezcastillo@crotonaihs.org" TargetMode="External"/><Relationship Id="rId368" Type="http://schemas.openxmlformats.org/officeDocument/2006/relationships/hyperlink" Target="mailto:ll258255322@crotonaihs.org" TargetMode="External"/><Relationship Id="rId363" Type="http://schemas.openxmlformats.org/officeDocument/2006/relationships/hyperlink" Target="mailto:lizcharlin61@gmail.com" TargetMode="External"/><Relationship Id="rId362" Type="http://schemas.openxmlformats.org/officeDocument/2006/relationships/hyperlink" Target="mailto:sfrancisco@crotonaihs.org" TargetMode="External"/><Relationship Id="rId361" Type="http://schemas.openxmlformats.org/officeDocument/2006/relationships/hyperlink" Target="mailto:2023_treicycolon@ihs-us.org" TargetMode="External"/><Relationship Id="rId360" Type="http://schemas.openxmlformats.org/officeDocument/2006/relationships/hyperlink" Target="mailto:da258633056@crotonaihs.org" TargetMode="External"/><Relationship Id="rId367" Type="http://schemas.openxmlformats.org/officeDocument/2006/relationships/hyperlink" Target="mailto:khernandez7923@marblehillschool.org" TargetMode="External"/><Relationship Id="rId366" Type="http://schemas.openxmlformats.org/officeDocument/2006/relationships/hyperlink" Target="mailto:nashlydelvalle1402@gmail.com" TargetMode="External"/><Relationship Id="rId365" Type="http://schemas.openxmlformats.org/officeDocument/2006/relationships/hyperlink" Target="mailto:mc260540703@crotonaihs.org" TargetMode="External"/><Relationship Id="rId364" Type="http://schemas.openxmlformats.org/officeDocument/2006/relationships/hyperlink" Target="mailto:vclemely@gmail.com" TargetMode="External"/><Relationship Id="rId95" Type="http://schemas.openxmlformats.org/officeDocument/2006/relationships/hyperlink" Target="mailto:divinenak20@gmail.com" TargetMode="External"/><Relationship Id="rId94" Type="http://schemas.openxmlformats.org/officeDocument/2006/relationships/hyperlink" Target="mailto:2026_arthurdarocha@ihs-us.org" TargetMode="External"/><Relationship Id="rId97" Type="http://schemas.openxmlformats.org/officeDocument/2006/relationships/hyperlink" Target="mailto:zakaria.billa@ichsbronx.org" TargetMode="External"/><Relationship Id="rId96" Type="http://schemas.openxmlformats.org/officeDocument/2006/relationships/hyperlink" Target="mailto:2025_estellekabore@ihs-us.org" TargetMode="External"/><Relationship Id="rId99" Type="http://schemas.openxmlformats.org/officeDocument/2006/relationships/hyperlink" Target="mailto:oceanne.compaore@ellisprep.com" TargetMode="External"/><Relationship Id="rId98" Type="http://schemas.openxmlformats.org/officeDocument/2006/relationships/hyperlink" Target="mailto:p.just2018@flushinginternational.org" TargetMode="External"/><Relationship Id="rId91" Type="http://schemas.openxmlformats.org/officeDocument/2006/relationships/hyperlink" Target="mailto:yyang2019@flushinginternational.org" TargetMode="External"/><Relationship Id="rId90" Type="http://schemas.openxmlformats.org/officeDocument/2006/relationships/hyperlink" Target="mailto:amernyc2008@gmail.com" TargetMode="External"/><Relationship Id="rId93" Type="http://schemas.openxmlformats.org/officeDocument/2006/relationships/hyperlink" Target="mailto:matheust2@nycstudents.net" TargetMode="External"/><Relationship Id="rId92" Type="http://schemas.openxmlformats.org/officeDocument/2006/relationships/hyperlink" Target="mailto:2023_juliapontes@ihs-us.org" TargetMode="External"/><Relationship Id="rId359" Type="http://schemas.openxmlformats.org/officeDocument/2006/relationships/hyperlink" Target="mailto:kd260604533@crotonaihs.org" TargetMode="External"/><Relationship Id="rId358" Type="http://schemas.openxmlformats.org/officeDocument/2006/relationships/hyperlink" Target="mailto:anyeli.riveras@ichsbronx.org" TargetMode="External"/><Relationship Id="rId357" Type="http://schemas.openxmlformats.org/officeDocument/2006/relationships/hyperlink" Target="mailto:jp259378883@crotonaihs.org" TargetMode="External"/><Relationship Id="rId352" Type="http://schemas.openxmlformats.org/officeDocument/2006/relationships/hyperlink" Target="mailto:stheysis.genao@ellisprep.com" TargetMode="External"/><Relationship Id="rId351" Type="http://schemas.openxmlformats.org/officeDocument/2006/relationships/hyperlink" Target="mailto:marwin.silverio@ellisprep.com" TargetMode="External"/><Relationship Id="rId350" Type="http://schemas.openxmlformats.org/officeDocument/2006/relationships/hyperlink" Target="mailto:albertmercedes@crotonaihs.org" TargetMode="External"/><Relationship Id="rId356" Type="http://schemas.openxmlformats.org/officeDocument/2006/relationships/hyperlink" Target="mailto:facevedo@crotonaihs.org" TargetMode="External"/><Relationship Id="rId355" Type="http://schemas.openxmlformats.org/officeDocument/2006/relationships/hyperlink" Target="mailto:vimadelestrella.student@hseigators.org" TargetMode="External"/><Relationship Id="rId354" Type="http://schemas.openxmlformats.org/officeDocument/2006/relationships/hyperlink" Target="mailto:yancenrd121@gmail.com" TargetMode="External"/><Relationship Id="rId353" Type="http://schemas.openxmlformats.org/officeDocument/2006/relationships/hyperlink" Target="mailto:abigailrodriguez@crotonaihs.org" TargetMode="External"/><Relationship Id="rId1378" Type="http://schemas.openxmlformats.org/officeDocument/2006/relationships/hyperlink" Target="mailto:katiec62@nycstudents.net" TargetMode="External"/><Relationship Id="rId1379" Type="http://schemas.openxmlformats.org/officeDocument/2006/relationships/hyperlink" Target="mailto:mimimattsam97@gmail.com" TargetMode="External"/><Relationship Id="rId305" Type="http://schemas.openxmlformats.org/officeDocument/2006/relationships/hyperlink" Target="mailto:j.pichardorodriguez@ihsph.org" TargetMode="External"/><Relationship Id="rId789" Type="http://schemas.openxmlformats.org/officeDocument/2006/relationships/hyperlink" Target="mailto:fedjinavoltaire@gmail.com" TargetMode="External"/><Relationship Id="rId304" Type="http://schemas.openxmlformats.org/officeDocument/2006/relationships/hyperlink" Target="mailto:clariluzguzman@claremontihs.org" TargetMode="External"/><Relationship Id="rId788" Type="http://schemas.openxmlformats.org/officeDocument/2006/relationships/hyperlink" Target="mailto:hairysleivaa@icloud.com" TargetMode="External"/><Relationship Id="rId303" Type="http://schemas.openxmlformats.org/officeDocument/2006/relationships/hyperlink" Target="mailto:kahori.toribio@ichsbronx.org" TargetMode="External"/><Relationship Id="rId787" Type="http://schemas.openxmlformats.org/officeDocument/2006/relationships/hyperlink" Target="mailto:calixtefredline@gmail.com" TargetMode="External"/><Relationship Id="rId302" Type="http://schemas.openxmlformats.org/officeDocument/2006/relationships/hyperlink" Target="mailto:cguzman@crotonaihs.org" TargetMode="External"/><Relationship Id="rId786" Type="http://schemas.openxmlformats.org/officeDocument/2006/relationships/hyperlink" Target="mailto:ilsyilsy804@gmail.com" TargetMode="External"/><Relationship Id="rId309" Type="http://schemas.openxmlformats.org/officeDocument/2006/relationships/hyperlink" Target="mailto:mariadelacruz@claremontihs.org" TargetMode="External"/><Relationship Id="rId308" Type="http://schemas.openxmlformats.org/officeDocument/2006/relationships/hyperlink" Target="mailto:2025_enyercabrera@ihs-us.org" TargetMode="External"/><Relationship Id="rId307" Type="http://schemas.openxmlformats.org/officeDocument/2006/relationships/hyperlink" Target="mailto:ashleysosa@claremontihs.org" TargetMode="External"/><Relationship Id="rId306" Type="http://schemas.openxmlformats.org/officeDocument/2006/relationships/hyperlink" Target="mailto:tiasha.grullon.23@wheels-student.org" TargetMode="External"/><Relationship Id="rId781" Type="http://schemas.openxmlformats.org/officeDocument/2006/relationships/hyperlink" Target="mailto:kruiz@crotonaihs.org" TargetMode="External"/><Relationship Id="rId1370" Type="http://schemas.openxmlformats.org/officeDocument/2006/relationships/hyperlink" Target="mailto:leahbowers2014@gmail.com" TargetMode="External"/><Relationship Id="rId780" Type="http://schemas.openxmlformats.org/officeDocument/2006/relationships/hyperlink" Target="mailto:katerin.vasquez@ichsbronx.org" TargetMode="External"/><Relationship Id="rId1371" Type="http://schemas.openxmlformats.org/officeDocument/2006/relationships/hyperlink" Target="mailto:maycor.terrero.24@wheels-student.org" TargetMode="External"/><Relationship Id="rId1372" Type="http://schemas.openxmlformats.org/officeDocument/2006/relationships/hyperlink" Target="mailto:dlupe480@gmail.com" TargetMode="External"/><Relationship Id="rId1373" Type="http://schemas.openxmlformats.org/officeDocument/2006/relationships/hyperlink" Target="mailto:yeodan175@gmail.com" TargetMode="External"/><Relationship Id="rId301" Type="http://schemas.openxmlformats.org/officeDocument/2006/relationships/hyperlink" Target="mailto:steven.lirianocabrera.24@wheels-student.org" TargetMode="External"/><Relationship Id="rId785" Type="http://schemas.openxmlformats.org/officeDocument/2006/relationships/hyperlink" Target="mailto:inunezmateo@crotonaihs.org" TargetMode="External"/><Relationship Id="rId1374" Type="http://schemas.openxmlformats.org/officeDocument/2006/relationships/hyperlink" Target="mailto:paulina.jachero.24@wheels-student.org" TargetMode="External"/><Relationship Id="rId300" Type="http://schemas.openxmlformats.org/officeDocument/2006/relationships/hyperlink" Target="mailto:2023_brianrodriguez@ihs-us.org" TargetMode="External"/><Relationship Id="rId784" Type="http://schemas.openxmlformats.org/officeDocument/2006/relationships/hyperlink" Target="mailto:wendy2019@flushinginternational.org" TargetMode="External"/><Relationship Id="rId1375" Type="http://schemas.openxmlformats.org/officeDocument/2006/relationships/hyperlink" Target="mailto:danzinezaniyah@gmail.com" TargetMode="External"/><Relationship Id="rId783" Type="http://schemas.openxmlformats.org/officeDocument/2006/relationships/hyperlink" Target="mailto:cvelasquezlopez@crotonaihs.org" TargetMode="External"/><Relationship Id="rId1376" Type="http://schemas.openxmlformats.org/officeDocument/2006/relationships/hyperlink" Target="mailto:im7778424@gmail.com" TargetMode="External"/><Relationship Id="rId782" Type="http://schemas.openxmlformats.org/officeDocument/2006/relationships/hyperlink" Target="mailto:amiranda@crotonaihs.org" TargetMode="External"/><Relationship Id="rId1377" Type="http://schemas.openxmlformats.org/officeDocument/2006/relationships/hyperlink" Target="mailto:giancast25@charter.newvisions.org" TargetMode="External"/><Relationship Id="rId1367" Type="http://schemas.openxmlformats.org/officeDocument/2006/relationships/hyperlink" Target="mailto:williamafton807@yahoo.com" TargetMode="External"/><Relationship Id="rId1368" Type="http://schemas.openxmlformats.org/officeDocument/2006/relationships/hyperlink" Target="mailto:shylaw3@nycstudents.net" TargetMode="External"/><Relationship Id="rId1369" Type="http://schemas.openxmlformats.org/officeDocument/2006/relationships/hyperlink" Target="mailto:saramma20081@gmail.com" TargetMode="External"/><Relationship Id="rId778" Type="http://schemas.openxmlformats.org/officeDocument/2006/relationships/hyperlink" Target="mailto:2023_juliapontes@ihs-us.org" TargetMode="External"/><Relationship Id="rId777" Type="http://schemas.openxmlformats.org/officeDocument/2006/relationships/hyperlink" Target="mailto:kantidze@inths.org" TargetMode="External"/><Relationship Id="rId776" Type="http://schemas.openxmlformats.org/officeDocument/2006/relationships/hyperlink" Target="mailto:mahamed.danso@ellisprep.com" TargetMode="External"/><Relationship Id="rId775" Type="http://schemas.openxmlformats.org/officeDocument/2006/relationships/hyperlink" Target="mailto:cristianb6365@nycstudents.net" TargetMode="External"/><Relationship Id="rId779" Type="http://schemas.openxmlformats.org/officeDocument/2006/relationships/hyperlink" Target="mailto:olgaki_d@outlook.com" TargetMode="External"/><Relationship Id="rId770" Type="http://schemas.openxmlformats.org/officeDocument/2006/relationships/hyperlink" Target="mailto:lucasrocano77@gmail.com" TargetMode="External"/><Relationship Id="rId1360" Type="http://schemas.openxmlformats.org/officeDocument/2006/relationships/hyperlink" Target="mailto:cjmoneybagz@gmail.com" TargetMode="External"/><Relationship Id="rId1361" Type="http://schemas.openxmlformats.org/officeDocument/2006/relationships/hyperlink" Target="mailto:christianb441@nycstudents.net" TargetMode="External"/><Relationship Id="rId1362" Type="http://schemas.openxmlformats.org/officeDocument/2006/relationships/hyperlink" Target="mailto:kamyl.batista.24@wheels-student.org" TargetMode="External"/><Relationship Id="rId774" Type="http://schemas.openxmlformats.org/officeDocument/2006/relationships/hyperlink" Target="mailto:yasmin.abdulla@ellisprep.com" TargetMode="External"/><Relationship Id="rId1363" Type="http://schemas.openxmlformats.org/officeDocument/2006/relationships/hyperlink" Target="mailto:jabarip6@nycstudents.net" TargetMode="External"/><Relationship Id="rId773" Type="http://schemas.openxmlformats.org/officeDocument/2006/relationships/hyperlink" Target="mailto:alishaajeanne@gmail.com" TargetMode="External"/><Relationship Id="rId1364" Type="http://schemas.openxmlformats.org/officeDocument/2006/relationships/hyperlink" Target="mailto:duhcharmaine@gmail.com" TargetMode="External"/><Relationship Id="rId772" Type="http://schemas.openxmlformats.org/officeDocument/2006/relationships/hyperlink" Target="mailto:aslyinfante@24gmail.com" TargetMode="External"/><Relationship Id="rId1365" Type="http://schemas.openxmlformats.org/officeDocument/2006/relationships/hyperlink" Target="mailto:osupliguicha101@icloud.com" TargetMode="External"/><Relationship Id="rId771" Type="http://schemas.openxmlformats.org/officeDocument/2006/relationships/hyperlink" Target="mailto:jaygalaxy205@gmail.com" TargetMode="External"/><Relationship Id="rId1366" Type="http://schemas.openxmlformats.org/officeDocument/2006/relationships/hyperlink" Target="mailto:lapicito3505@gmail.com" TargetMode="External"/><Relationship Id="rId327" Type="http://schemas.openxmlformats.org/officeDocument/2006/relationships/hyperlink" Target="mailto:biancamora359@gmail.com" TargetMode="External"/><Relationship Id="rId326" Type="http://schemas.openxmlformats.org/officeDocument/2006/relationships/hyperlink" Target="mailto:ar258424555@crotonaihs.org" TargetMode="External"/><Relationship Id="rId325" Type="http://schemas.openxmlformats.org/officeDocument/2006/relationships/hyperlink" Target="mailto:wendymichelle152903@gmail.com" TargetMode="External"/><Relationship Id="rId324" Type="http://schemas.openxmlformats.org/officeDocument/2006/relationships/hyperlink" Target="mailto:dnunez070517@gmail.com" TargetMode="External"/><Relationship Id="rId329" Type="http://schemas.openxmlformats.org/officeDocument/2006/relationships/hyperlink" Target="mailto:dahiannaguzman@crotonaihs.org" TargetMode="External"/><Relationship Id="rId1390" Type="http://schemas.openxmlformats.org/officeDocument/2006/relationships/hyperlink" Target="mailto:angelab70@nycstudenrs.net" TargetMode="External"/><Relationship Id="rId328" Type="http://schemas.openxmlformats.org/officeDocument/2006/relationships/hyperlink" Target="mailto:xlaurapolancox@gmail.com" TargetMode="External"/><Relationship Id="rId1391" Type="http://schemas.openxmlformats.org/officeDocument/2006/relationships/hyperlink" Target="mailto:steven.lirianocabrera.24@wheels-student.org" TargetMode="External"/><Relationship Id="rId1392" Type="http://schemas.openxmlformats.org/officeDocument/2006/relationships/hyperlink" Target="mailto:yrodriguez@crotonaihs.org" TargetMode="External"/><Relationship Id="rId1393" Type="http://schemas.openxmlformats.org/officeDocument/2006/relationships/hyperlink" Target="mailto:ninja37745@gmail.com" TargetMode="External"/><Relationship Id="rId1394" Type="http://schemas.openxmlformats.org/officeDocument/2006/relationships/hyperlink" Target="mailto:camiahsmall11@gmail.com" TargetMode="External"/><Relationship Id="rId1395" Type="http://schemas.openxmlformats.org/officeDocument/2006/relationships/hyperlink" Target="mailto:samanthasmalls@yahoo.com" TargetMode="External"/><Relationship Id="rId323" Type="http://schemas.openxmlformats.org/officeDocument/2006/relationships/hyperlink" Target="mailto:diogo.rondon.23@wheels-student.org" TargetMode="External"/><Relationship Id="rId1396" Type="http://schemas.openxmlformats.org/officeDocument/2006/relationships/hyperlink" Target="mailto:jayminortega11@icloud.com" TargetMode="External"/><Relationship Id="rId322" Type="http://schemas.openxmlformats.org/officeDocument/2006/relationships/hyperlink" Target="mailto:yasnaidin@nycstudents.net" TargetMode="External"/><Relationship Id="rId1397" Type="http://schemas.openxmlformats.org/officeDocument/2006/relationships/hyperlink" Target="mailto:8089365@philasd.org" TargetMode="External"/><Relationship Id="rId321" Type="http://schemas.openxmlformats.org/officeDocument/2006/relationships/hyperlink" Target="mailto:sfrias@crotonaihs.org" TargetMode="External"/><Relationship Id="rId1398" Type="http://schemas.openxmlformats.org/officeDocument/2006/relationships/hyperlink" Target="mailto:jasmoak706@gmail.com" TargetMode="External"/><Relationship Id="rId320" Type="http://schemas.openxmlformats.org/officeDocument/2006/relationships/hyperlink" Target="mailto:crisbelly.lopez.24@wheels-student.org" TargetMode="External"/><Relationship Id="rId1399" Type="http://schemas.openxmlformats.org/officeDocument/2006/relationships/hyperlink" Target="mailto:yoanni.baez.24@wheels-student.org" TargetMode="External"/><Relationship Id="rId1389" Type="http://schemas.openxmlformats.org/officeDocument/2006/relationships/hyperlink" Target="mailto:danielmerceron13@gmail.com" TargetMode="External"/><Relationship Id="rId316" Type="http://schemas.openxmlformats.org/officeDocument/2006/relationships/hyperlink" Target="mailto:greisiveras22@gmail.com" TargetMode="External"/><Relationship Id="rId315" Type="http://schemas.openxmlformats.org/officeDocument/2006/relationships/hyperlink" Target="mailto:yairelopez@claremontihs.org" TargetMode="External"/><Relationship Id="rId799" Type="http://schemas.openxmlformats.org/officeDocument/2006/relationships/hyperlink" Target="mailto:gonzalezsam022@gmail.com" TargetMode="External"/><Relationship Id="rId314" Type="http://schemas.openxmlformats.org/officeDocument/2006/relationships/hyperlink" Target="mailto:eacevedo@crotonaihs.org" TargetMode="External"/><Relationship Id="rId798" Type="http://schemas.openxmlformats.org/officeDocument/2006/relationships/hyperlink" Target="mailto:fbotzoc@crotonaihs.org" TargetMode="External"/><Relationship Id="rId313" Type="http://schemas.openxmlformats.org/officeDocument/2006/relationships/hyperlink" Target="mailto:lunanoemi0121@gmail.com" TargetMode="External"/><Relationship Id="rId797" Type="http://schemas.openxmlformats.org/officeDocument/2006/relationships/hyperlink" Target="mailto:claudiam6944@nycstudents.net" TargetMode="External"/><Relationship Id="rId319" Type="http://schemas.openxmlformats.org/officeDocument/2006/relationships/hyperlink" Target="mailto:el258072461@crotonaihs.org" TargetMode="External"/><Relationship Id="rId318" Type="http://schemas.openxmlformats.org/officeDocument/2006/relationships/hyperlink" Target="mailto:angelina.gil.23@wheels-student.org" TargetMode="External"/><Relationship Id="rId317" Type="http://schemas.openxmlformats.org/officeDocument/2006/relationships/hyperlink" Target="mailto:michaell.morban.24@wheels-student.org" TargetMode="External"/><Relationship Id="rId1380" Type="http://schemas.openxmlformats.org/officeDocument/2006/relationships/hyperlink" Target="mailto:jahiemmcneil@gmail.com" TargetMode="External"/><Relationship Id="rId792" Type="http://schemas.openxmlformats.org/officeDocument/2006/relationships/hyperlink" Target="mailto:jefrypar123@gmail.com" TargetMode="External"/><Relationship Id="rId1381" Type="http://schemas.openxmlformats.org/officeDocument/2006/relationships/hyperlink" Target="mailto:rowena.otero.24@wheels-student.org" TargetMode="External"/><Relationship Id="rId791" Type="http://schemas.openxmlformats.org/officeDocument/2006/relationships/hyperlink" Target="mailto:waynedesvarieux2004@gmail.com" TargetMode="External"/><Relationship Id="rId1382" Type="http://schemas.openxmlformats.org/officeDocument/2006/relationships/hyperlink" Target="mailto:jaidend44@nycstudents.net" TargetMode="External"/><Relationship Id="rId790" Type="http://schemas.openxmlformats.org/officeDocument/2006/relationships/hyperlink" Target="mailto:ggarciavasquez@inths.org" TargetMode="External"/><Relationship Id="rId1383" Type="http://schemas.openxmlformats.org/officeDocument/2006/relationships/hyperlink" Target="mailto:runelvisespejo15@gmail.com" TargetMode="External"/><Relationship Id="rId1384" Type="http://schemas.openxmlformats.org/officeDocument/2006/relationships/hyperlink" Target="mailto:ameershahid1412@gmail.com" TargetMode="External"/><Relationship Id="rId312" Type="http://schemas.openxmlformats.org/officeDocument/2006/relationships/hyperlink" Target="mailto:kamyllecamacho@claremontihs.org" TargetMode="External"/><Relationship Id="rId796" Type="http://schemas.openxmlformats.org/officeDocument/2006/relationships/hyperlink" Target="mailto:chillo2kk@gmail.com" TargetMode="External"/><Relationship Id="rId1385" Type="http://schemas.openxmlformats.org/officeDocument/2006/relationships/hyperlink" Target="mailto:briannaritaramos2007@gmail.com" TargetMode="External"/><Relationship Id="rId311" Type="http://schemas.openxmlformats.org/officeDocument/2006/relationships/hyperlink" Target="mailto:yasmeilytorressantana19@ihsph.org" TargetMode="External"/><Relationship Id="rId795" Type="http://schemas.openxmlformats.org/officeDocument/2006/relationships/hyperlink" Target="mailto:mlarias@crotonaihs.org" TargetMode="External"/><Relationship Id="rId1386" Type="http://schemas.openxmlformats.org/officeDocument/2006/relationships/hyperlink" Target="mailto:jaxsonm15@nycstudents.net" TargetMode="External"/><Relationship Id="rId310" Type="http://schemas.openxmlformats.org/officeDocument/2006/relationships/hyperlink" Target="mailto:adinelis153@gmail.com" TargetMode="External"/><Relationship Id="rId794" Type="http://schemas.openxmlformats.org/officeDocument/2006/relationships/hyperlink" Target="mailto:korozco@crotonaihs.org" TargetMode="External"/><Relationship Id="rId1387" Type="http://schemas.openxmlformats.org/officeDocument/2006/relationships/hyperlink" Target="mailto:shadowbarbie41@gmail.com" TargetMode="External"/><Relationship Id="rId793" Type="http://schemas.openxmlformats.org/officeDocument/2006/relationships/hyperlink" Target="mailto:borozco@crotonaihs.org" TargetMode="External"/><Relationship Id="rId1388" Type="http://schemas.openxmlformats.org/officeDocument/2006/relationships/hyperlink" Target="mailto:nylam27@nycstudents.net" TargetMode="External"/><Relationship Id="rId297" Type="http://schemas.openxmlformats.org/officeDocument/2006/relationships/hyperlink" Target="mailto:cd260030879@crotonaihs.org" TargetMode="External"/><Relationship Id="rId296" Type="http://schemas.openxmlformats.org/officeDocument/2006/relationships/hyperlink" Target="mailto:jhony2019@flushinginternational.org" TargetMode="External"/><Relationship Id="rId295" Type="http://schemas.openxmlformats.org/officeDocument/2006/relationships/hyperlink" Target="mailto:jennyfer.montilla.24@wheels-student.org" TargetMode="External"/><Relationship Id="rId294" Type="http://schemas.openxmlformats.org/officeDocument/2006/relationships/hyperlink" Target="mailto:lisbeth.pena@ichsbronx.org" TargetMode="External"/><Relationship Id="rId299" Type="http://schemas.openxmlformats.org/officeDocument/2006/relationships/hyperlink" Target="mailto:aboubacardjoumande@claremontihs.org" TargetMode="External"/><Relationship Id="rId298" Type="http://schemas.openxmlformats.org/officeDocument/2006/relationships/hyperlink" Target="mailto:cristobalc14@nycstudents.net" TargetMode="External"/><Relationship Id="rId271" Type="http://schemas.openxmlformats.org/officeDocument/2006/relationships/hyperlink" Target="mailto:mairolrivass2017@gmail.com" TargetMode="External"/><Relationship Id="rId270" Type="http://schemas.openxmlformats.org/officeDocument/2006/relationships/hyperlink" Target="mailto:wilfred.chavez@ichsbronx.org" TargetMode="External"/><Relationship Id="rId269" Type="http://schemas.openxmlformats.org/officeDocument/2006/relationships/hyperlink" Target="mailto:johnfreecarrasco@claremontihs.org" TargetMode="External"/><Relationship Id="rId264" Type="http://schemas.openxmlformats.org/officeDocument/2006/relationships/hyperlink" Target="mailto:eliana2019@flushinginternational.org" TargetMode="External"/><Relationship Id="rId263" Type="http://schemas.openxmlformats.org/officeDocument/2006/relationships/hyperlink" Target="mailto:rmorel@crotonaihs.org" TargetMode="External"/><Relationship Id="rId262" Type="http://schemas.openxmlformats.org/officeDocument/2006/relationships/hyperlink" Target="mailto:gmerc3560@icloud.com" TargetMode="External"/><Relationship Id="rId261" Type="http://schemas.openxmlformats.org/officeDocument/2006/relationships/hyperlink" Target="mailto:ntavarez@crotonaihs.org" TargetMode="External"/><Relationship Id="rId268" Type="http://schemas.openxmlformats.org/officeDocument/2006/relationships/hyperlink" Target="mailto:noeliapimentel@claremontihs.org" TargetMode="External"/><Relationship Id="rId267" Type="http://schemas.openxmlformats.org/officeDocument/2006/relationships/hyperlink" Target="mailto:dcustodiocastillo@crotonaihs.org" TargetMode="External"/><Relationship Id="rId266" Type="http://schemas.openxmlformats.org/officeDocument/2006/relationships/hyperlink" Target="mailto:amy.perez@ichsbronx.org" TargetMode="External"/><Relationship Id="rId265" Type="http://schemas.openxmlformats.org/officeDocument/2006/relationships/hyperlink" Target="mailto:lidia.pujol@ichsbronx.org" TargetMode="External"/><Relationship Id="rId260" Type="http://schemas.openxmlformats.org/officeDocument/2006/relationships/hyperlink" Target="mailto:aaliyahaybar@claremontihs.org" TargetMode="External"/><Relationship Id="rId259" Type="http://schemas.openxmlformats.org/officeDocument/2006/relationships/hyperlink" Target="mailto:chrisnellygarcia@gmail.com" TargetMode="External"/><Relationship Id="rId258" Type="http://schemas.openxmlformats.org/officeDocument/2006/relationships/hyperlink" Target="mailto:lizyannypena@claremontihs.org" TargetMode="External"/><Relationship Id="rId253" Type="http://schemas.openxmlformats.org/officeDocument/2006/relationships/hyperlink" Target="mailto:luisu47@nycstudents.net" TargetMode="External"/><Relationship Id="rId252" Type="http://schemas.openxmlformats.org/officeDocument/2006/relationships/hyperlink" Target="mailto:luisacevado.student@hseigators.org" TargetMode="External"/><Relationship Id="rId251" Type="http://schemas.openxmlformats.org/officeDocument/2006/relationships/hyperlink" Target="mailto:stevenc4699@nycstudents.net" TargetMode="External"/><Relationship Id="rId250" Type="http://schemas.openxmlformats.org/officeDocument/2006/relationships/hyperlink" Target="mailto:alisson.galay@ellisprep.com" TargetMode="External"/><Relationship Id="rId257" Type="http://schemas.openxmlformats.org/officeDocument/2006/relationships/hyperlink" Target="mailto:dt260596606@crotonaihs.org" TargetMode="External"/><Relationship Id="rId256" Type="http://schemas.openxmlformats.org/officeDocument/2006/relationships/hyperlink" Target="mailto:2023_kilmerzabala@ihs-us.org" TargetMode="External"/><Relationship Id="rId255" Type="http://schemas.openxmlformats.org/officeDocument/2006/relationships/hyperlink" Target="mailto:joelp3776@nycstudents.net" TargetMode="External"/><Relationship Id="rId254" Type="http://schemas.openxmlformats.org/officeDocument/2006/relationships/hyperlink" Target="mailto:carolynguzman@claremontihs.org" TargetMode="External"/><Relationship Id="rId293" Type="http://schemas.openxmlformats.org/officeDocument/2006/relationships/hyperlink" Target="mailto:karina.tejada.24@wheels-student.org" TargetMode="External"/><Relationship Id="rId292" Type="http://schemas.openxmlformats.org/officeDocument/2006/relationships/hyperlink" Target="mailto:eimycarpio@crotonaihs.org" TargetMode="External"/><Relationship Id="rId291" Type="http://schemas.openxmlformats.org/officeDocument/2006/relationships/hyperlink" Target="mailto:2024_hendrybello@ihs-us.org" TargetMode="External"/><Relationship Id="rId290" Type="http://schemas.openxmlformats.org/officeDocument/2006/relationships/hyperlink" Target="mailto:nahiaraavila@claremontihs.org" TargetMode="External"/><Relationship Id="rId286" Type="http://schemas.openxmlformats.org/officeDocument/2006/relationships/hyperlink" Target="mailto:jeremyzj2003@gmail.com" TargetMode="External"/><Relationship Id="rId285" Type="http://schemas.openxmlformats.org/officeDocument/2006/relationships/hyperlink" Target="mailto:emelynolasco@claremontihs.org" TargetMode="External"/><Relationship Id="rId284" Type="http://schemas.openxmlformats.org/officeDocument/2006/relationships/hyperlink" Target="mailto:anafabian@claremontihs.org" TargetMode="External"/><Relationship Id="rId283" Type="http://schemas.openxmlformats.org/officeDocument/2006/relationships/hyperlink" Target="mailto:luisa.rosario@flushinginternational.org" TargetMode="External"/><Relationship Id="rId289" Type="http://schemas.openxmlformats.org/officeDocument/2006/relationships/hyperlink" Target="mailto:chamelylantigua@claremontihs.org" TargetMode="External"/><Relationship Id="rId288" Type="http://schemas.openxmlformats.org/officeDocument/2006/relationships/hyperlink" Target="mailto:2023_ronnielruiz@ihs-us.org" TargetMode="External"/><Relationship Id="rId287" Type="http://schemas.openxmlformats.org/officeDocument/2006/relationships/hyperlink" Target="mailto:caraballofrancheska01@gmail.com" TargetMode="External"/><Relationship Id="rId282" Type="http://schemas.openxmlformats.org/officeDocument/2006/relationships/hyperlink" Target="mailto:elvirabatistaflorian.student@hseigators.org" TargetMode="External"/><Relationship Id="rId281" Type="http://schemas.openxmlformats.org/officeDocument/2006/relationships/hyperlink" Target="mailto:edgarsilverio@claremontihs.org" TargetMode="External"/><Relationship Id="rId280" Type="http://schemas.openxmlformats.org/officeDocument/2006/relationships/hyperlink" Target="mailto:josuec118@nycstudents.net" TargetMode="External"/><Relationship Id="rId275" Type="http://schemas.openxmlformats.org/officeDocument/2006/relationships/hyperlink" Target="mailto:rafialy.reyes@ellisprep.com" TargetMode="External"/><Relationship Id="rId274" Type="http://schemas.openxmlformats.org/officeDocument/2006/relationships/hyperlink" Target="mailto:david2019@flushinginternational.org" TargetMode="External"/><Relationship Id="rId273" Type="http://schemas.openxmlformats.org/officeDocument/2006/relationships/hyperlink" Target="mailto:stacyacosta242@gmail.com" TargetMode="External"/><Relationship Id="rId272" Type="http://schemas.openxmlformats.org/officeDocument/2006/relationships/hyperlink" Target="mailto:aminatakebe@claremontihs.org" TargetMode="External"/><Relationship Id="rId279" Type="http://schemas.openxmlformats.org/officeDocument/2006/relationships/hyperlink" Target="mailto:jaylinrosa.gonzalez.23@wheels-student.org" TargetMode="External"/><Relationship Id="rId278" Type="http://schemas.openxmlformats.org/officeDocument/2006/relationships/hyperlink" Target="mailto:enmanuelgervacio@claremontihs.org" TargetMode="External"/><Relationship Id="rId277" Type="http://schemas.openxmlformats.org/officeDocument/2006/relationships/hyperlink" Target="mailto:raimelisgarcia@crotonaihs.org" TargetMode="External"/><Relationship Id="rId276" Type="http://schemas.openxmlformats.org/officeDocument/2006/relationships/hyperlink" Target="mailto:akemiliz03@gmail.com" TargetMode="External"/><Relationship Id="rId1810" Type="http://schemas.openxmlformats.org/officeDocument/2006/relationships/hyperlink" Target="mailto:ksi@gmail.com" TargetMode="External"/><Relationship Id="rId1811" Type="http://schemas.openxmlformats.org/officeDocument/2006/relationships/hyperlink" Target="mailto:kungao3@nycstudents.net" TargetMode="External"/><Relationship Id="rId1812" Type="http://schemas.openxmlformats.org/officeDocument/2006/relationships/hyperlink" Target="mailto:leannal18@nycstudents.net" TargetMode="External"/><Relationship Id="rId1813" Type="http://schemas.openxmlformats.org/officeDocument/2006/relationships/hyperlink" Target="mailto:melanier268@nycstudents.net" TargetMode="External"/><Relationship Id="rId1814" Type="http://schemas.openxmlformats.org/officeDocument/2006/relationships/hyperlink" Target="mailto:connect@speakhire.org" TargetMode="External"/><Relationship Id="rId1815" Type="http://schemas.openxmlformats.org/officeDocument/2006/relationships/hyperlink" Target="mailto:info@speakmentorship.org" TargetMode="External"/><Relationship Id="rId1816" Type="http://schemas.openxmlformats.org/officeDocument/2006/relationships/hyperlink" Target="mailto:talentresources@speakhire.org" TargetMode="External"/><Relationship Id="rId1817" Type="http://schemas.openxmlformats.org/officeDocument/2006/relationships/hyperlink" Target="mailto:tgarcia@crotonaihs.org" TargetMode="External"/><Relationship Id="rId1818" Type="http://schemas.openxmlformats.org/officeDocument/2006/relationships/hyperlink" Target="mailto:vernip@nycstudents.net" TargetMode="External"/><Relationship Id="rId1819" Type="http://schemas.openxmlformats.org/officeDocument/2006/relationships/hyperlink" Target="mailto:natalief2024@desoto130.org" TargetMode="External"/><Relationship Id="rId1800" Type="http://schemas.openxmlformats.org/officeDocument/2006/relationships/hyperlink" Target="mailto:2025_kesangpenjor@ihs-us.org" TargetMode="External"/><Relationship Id="rId1801" Type="http://schemas.openxmlformats.org/officeDocument/2006/relationships/hyperlink" Target="mailto:angelc4323@nysctudents.net" TargetMode="External"/><Relationship Id="rId1802" Type="http://schemas.openxmlformats.org/officeDocument/2006/relationships/hyperlink" Target="mailto:babaskm279@gmail.com" TargetMode="External"/><Relationship Id="rId1803" Type="http://schemas.openxmlformats.org/officeDocument/2006/relationships/hyperlink" Target="mailto:cristianb6365@nycstudents.net" TargetMode="External"/><Relationship Id="rId1804" Type="http://schemas.openxmlformats.org/officeDocument/2006/relationships/hyperlink" Target="mailto:darwinc92@nycstudents.net" TargetMode="External"/><Relationship Id="rId1805" Type="http://schemas.openxmlformats.org/officeDocument/2006/relationships/hyperlink" Target="mailto:foundationalyear@speakhire.org" TargetMode="External"/><Relationship Id="rId1806" Type="http://schemas.openxmlformats.org/officeDocument/2006/relationships/hyperlink" Target="mailto:foundationalyear@speakhire.org" TargetMode="External"/><Relationship Id="rId1807" Type="http://schemas.openxmlformats.org/officeDocument/2006/relationships/hyperlink" Target="mailto:hihihihi@gmail.com" TargetMode="External"/><Relationship Id="rId1808" Type="http://schemas.openxmlformats.org/officeDocument/2006/relationships/hyperlink" Target="mailto:jani.hetal@gmail.com" TargetMode="External"/><Relationship Id="rId1809" Type="http://schemas.openxmlformats.org/officeDocument/2006/relationships/hyperlink" Target="mailto:jheymio@nycstudents.net" TargetMode="External"/><Relationship Id="rId1820" Type="http://schemas.openxmlformats.org/officeDocument/2006/relationships/hyperlink" Target="mailto:lucasw2024@desoto130.org" TargetMode="External"/><Relationship Id="rId1821" Type="http://schemas.openxmlformats.org/officeDocument/2006/relationships/hyperlink" Target="mailto:ozodbekm@nycstudents.net" TargetMode="External"/><Relationship Id="rId1822" Type="http://schemas.openxmlformats.org/officeDocument/2006/relationships/hyperlink" Target="mailto:shakirar33@nycstudents.net" TargetMode="External"/><Relationship Id="rId1823" Type="http://schemas.openxmlformats.org/officeDocument/2006/relationships/hyperlink" Target="mailto:richie334455@gmail.com" TargetMode="External"/><Relationship Id="rId1824" Type="http://schemas.openxmlformats.org/officeDocument/2006/relationships/hyperlink" Target="mailto:yamiletc27@nycstudents.net" TargetMode="External"/><Relationship Id="rId1825" Type="http://schemas.openxmlformats.org/officeDocument/2006/relationships/hyperlink" Target="mailto:jaydac44@nycstudents.net" TargetMode="External"/><Relationship Id="rId1826" Type="http://schemas.openxmlformats.org/officeDocument/2006/relationships/hyperlink" Target="mailto:jasonnyc28@gmail.com" TargetMode="External"/><Relationship Id="rId1827" Type="http://schemas.openxmlformats.org/officeDocument/2006/relationships/drawing" Target="../drawings/drawing4.xml"/><Relationship Id="rId1455" Type="http://schemas.openxmlformats.org/officeDocument/2006/relationships/hyperlink" Target="mailto:ximenao2@nycstudents.net" TargetMode="External"/><Relationship Id="rId1456" Type="http://schemas.openxmlformats.org/officeDocument/2006/relationships/hyperlink" Target="mailto:elbino2789@nycstudents.net" TargetMode="External"/><Relationship Id="rId1457" Type="http://schemas.openxmlformats.org/officeDocument/2006/relationships/hyperlink" Target="mailto:hsucuzh21@is125q.org" TargetMode="External"/><Relationship Id="rId1458" Type="http://schemas.openxmlformats.org/officeDocument/2006/relationships/hyperlink" Target="mailto:andrewl411@nycstudents.net" TargetMode="External"/><Relationship Id="rId1459" Type="http://schemas.openxmlformats.org/officeDocument/2006/relationships/hyperlink" Target="mailto:marisela.callesrmiento@casa311.com" TargetMode="External"/><Relationship Id="rId629" Type="http://schemas.openxmlformats.org/officeDocument/2006/relationships/hyperlink" Target="mailto:cristianb6365@nycstudents.net" TargetMode="External"/><Relationship Id="rId624" Type="http://schemas.openxmlformats.org/officeDocument/2006/relationships/hyperlink" Target="mailto:susanacocha88@gemail.com" TargetMode="External"/><Relationship Id="rId623" Type="http://schemas.openxmlformats.org/officeDocument/2006/relationships/hyperlink" Target="mailto:saelm@nycstudents.net" TargetMode="External"/><Relationship Id="rId622" Type="http://schemas.openxmlformats.org/officeDocument/2006/relationships/hyperlink" Target="mailto:valentinat32@nycstudents.net" TargetMode="External"/><Relationship Id="rId621" Type="http://schemas.openxmlformats.org/officeDocument/2006/relationships/hyperlink" Target="mailto:stevenporfiriog@gmail.com" TargetMode="External"/><Relationship Id="rId628" Type="http://schemas.openxmlformats.org/officeDocument/2006/relationships/hyperlink" Target="mailto:meybelin2019@flushinginternational.org" TargetMode="External"/><Relationship Id="rId627" Type="http://schemas.openxmlformats.org/officeDocument/2006/relationships/hyperlink" Target="mailto:oscarleonelc@nycstudents.net" TargetMode="External"/><Relationship Id="rId626" Type="http://schemas.openxmlformats.org/officeDocument/2006/relationships/hyperlink" Target="mailto:susanacocha88@gmail.com" TargetMode="External"/><Relationship Id="rId625" Type="http://schemas.openxmlformats.org/officeDocument/2006/relationships/hyperlink" Target="mailto:darwinc92@nycstudents.net" TargetMode="External"/><Relationship Id="rId1450" Type="http://schemas.openxmlformats.org/officeDocument/2006/relationships/hyperlink" Target="mailto:christopherh425@nycstudents.net" TargetMode="External"/><Relationship Id="rId620" Type="http://schemas.openxmlformats.org/officeDocument/2006/relationships/hyperlink" Target="mailto:2023_josimarlucerojindiachi@ihs-us.org" TargetMode="External"/><Relationship Id="rId1451" Type="http://schemas.openxmlformats.org/officeDocument/2006/relationships/hyperlink" Target="mailto:acartag21@is125q.org" TargetMode="External"/><Relationship Id="rId1452" Type="http://schemas.openxmlformats.org/officeDocument/2006/relationships/hyperlink" Target="mailto:moliullahs@nycstudents.net" TargetMode="External"/><Relationship Id="rId1453" Type="http://schemas.openxmlformats.org/officeDocument/2006/relationships/hyperlink" Target="mailto:rafaelv2791@nycstudents.net" TargetMode="External"/><Relationship Id="rId1454" Type="http://schemas.openxmlformats.org/officeDocument/2006/relationships/hyperlink" Target="mailto:moussa.doukoure@ichsbronx.org" TargetMode="External"/><Relationship Id="rId1444" Type="http://schemas.openxmlformats.org/officeDocument/2006/relationships/hyperlink" Target="mailto:shadowbarbie41@gmail.com" TargetMode="External"/><Relationship Id="rId1445" Type="http://schemas.openxmlformats.org/officeDocument/2006/relationships/hyperlink" Target="mailto:luisr729@nycstudents.net" TargetMode="External"/><Relationship Id="rId1446" Type="http://schemas.openxmlformats.org/officeDocument/2006/relationships/hyperlink" Target="mailto:christopherb6128@nycstudents.net" TargetMode="External"/><Relationship Id="rId1447" Type="http://schemas.openxmlformats.org/officeDocument/2006/relationships/hyperlink" Target="mailto:brandona474@nycstudents.net" TargetMode="External"/><Relationship Id="rId1448" Type="http://schemas.openxmlformats.org/officeDocument/2006/relationships/hyperlink" Target="mailto:isabellar71708@gmail.com" TargetMode="External"/><Relationship Id="rId1449" Type="http://schemas.openxmlformats.org/officeDocument/2006/relationships/hyperlink" Target="mailto:mayrad5@nycstudents.net" TargetMode="External"/><Relationship Id="rId619" Type="http://schemas.openxmlformats.org/officeDocument/2006/relationships/hyperlink" Target="mailto:2025_joselynreyes@ihs-us.org" TargetMode="External"/><Relationship Id="rId618" Type="http://schemas.openxmlformats.org/officeDocument/2006/relationships/hyperlink" Target="mailto:2024_ginnasaquisill@ihs-us.org" TargetMode="External"/><Relationship Id="rId613" Type="http://schemas.openxmlformats.org/officeDocument/2006/relationships/hyperlink" Target="mailto:camilal5722@nycstudents.net" TargetMode="External"/><Relationship Id="rId612" Type="http://schemas.openxmlformats.org/officeDocument/2006/relationships/hyperlink" Target="mailto:lijiaespinosa123@gmail.com" TargetMode="External"/><Relationship Id="rId611" Type="http://schemas.openxmlformats.org/officeDocument/2006/relationships/hyperlink" Target="mailto:2024_fredytoaquiza@ihs-us.org" TargetMode="External"/><Relationship Id="rId610" Type="http://schemas.openxmlformats.org/officeDocument/2006/relationships/hyperlink" Target="mailto:dhilanyy2789@nycstudents.net" TargetMode="External"/><Relationship Id="rId617" Type="http://schemas.openxmlformats.org/officeDocument/2006/relationships/hyperlink" Target="mailto:briannam494@nycstudents.net" TargetMode="External"/><Relationship Id="rId616" Type="http://schemas.openxmlformats.org/officeDocument/2006/relationships/hyperlink" Target="mailto:rony2019@flushinginternational.org" TargetMode="External"/><Relationship Id="rId615" Type="http://schemas.openxmlformats.org/officeDocument/2006/relationships/hyperlink" Target="mailto:2023_genesislochart@ihs-us.org" TargetMode="External"/><Relationship Id="rId614" Type="http://schemas.openxmlformats.org/officeDocument/2006/relationships/hyperlink" Target="mailto:carolinaguadalupef@nycstudents.net" TargetMode="External"/><Relationship Id="rId1440" Type="http://schemas.openxmlformats.org/officeDocument/2006/relationships/hyperlink" Target="mailto:gaettym@nycstudents.net" TargetMode="External"/><Relationship Id="rId1441" Type="http://schemas.openxmlformats.org/officeDocument/2006/relationships/hyperlink" Target="mailto:david804@nycstudents.net" TargetMode="External"/><Relationship Id="rId1442" Type="http://schemas.openxmlformats.org/officeDocument/2006/relationships/hyperlink" Target="mailto:jackfg04162008@gmail.com" TargetMode="External"/><Relationship Id="rId1443" Type="http://schemas.openxmlformats.org/officeDocument/2006/relationships/hyperlink" Target="mailto:vanessam231@nycstudents.net" TargetMode="External"/><Relationship Id="rId1477" Type="http://schemas.openxmlformats.org/officeDocument/2006/relationships/hyperlink" Target="mailto:raiyata@nycstudents.net" TargetMode="External"/><Relationship Id="rId1478" Type="http://schemas.openxmlformats.org/officeDocument/2006/relationships/hyperlink" Target="mailto:esaul2@nycstudents.net" TargetMode="External"/><Relationship Id="rId1479" Type="http://schemas.openxmlformats.org/officeDocument/2006/relationships/hyperlink" Target="mailto:assane.thiam@ellisprep.com" TargetMode="External"/><Relationship Id="rId646" Type="http://schemas.openxmlformats.org/officeDocument/2006/relationships/hyperlink" Target="mailto:paulinag25@nycstudents.net" TargetMode="External"/><Relationship Id="rId645" Type="http://schemas.openxmlformats.org/officeDocument/2006/relationships/hyperlink" Target="mailto:q.william2020@flushinginternational.org" TargetMode="External"/><Relationship Id="rId644" Type="http://schemas.openxmlformats.org/officeDocument/2006/relationships/hyperlink" Target="mailto:ancly2019@flushinginternational.org" TargetMode="External"/><Relationship Id="rId643" Type="http://schemas.openxmlformats.org/officeDocument/2006/relationships/hyperlink" Target="mailto:kelvina107@nycstudents.net" TargetMode="External"/><Relationship Id="rId649" Type="http://schemas.openxmlformats.org/officeDocument/2006/relationships/hyperlink" Target="mailto:2022_jamesametefe@ihs-us.org" TargetMode="External"/><Relationship Id="rId648" Type="http://schemas.openxmlformats.org/officeDocument/2006/relationships/hyperlink" Target="mailto:js258822279@crotonaihs.org" TargetMode="External"/><Relationship Id="rId647" Type="http://schemas.openxmlformats.org/officeDocument/2006/relationships/hyperlink" Target="mailto:rafaelaa9@nycstudents.net" TargetMode="External"/><Relationship Id="rId1470" Type="http://schemas.openxmlformats.org/officeDocument/2006/relationships/hyperlink" Target="mailto:melaniemora303@gmail.com" TargetMode="External"/><Relationship Id="rId1471" Type="http://schemas.openxmlformats.org/officeDocument/2006/relationships/hyperlink" Target="mailto:oumou.diallo@ellisprep.com" TargetMode="External"/><Relationship Id="rId1472" Type="http://schemas.openxmlformats.org/officeDocument/2006/relationships/hyperlink" Target="mailto:thelifeofian65@gmail.com" TargetMode="External"/><Relationship Id="rId642" Type="http://schemas.openxmlformats.org/officeDocument/2006/relationships/hyperlink" Target="mailto:galoy@nycstudents.net" TargetMode="External"/><Relationship Id="rId1473" Type="http://schemas.openxmlformats.org/officeDocument/2006/relationships/hyperlink" Target="mailto:santoc12@nycstudents.net" TargetMode="External"/><Relationship Id="rId641" Type="http://schemas.openxmlformats.org/officeDocument/2006/relationships/hyperlink" Target="mailto:omarcamara@claremontihs.org" TargetMode="External"/><Relationship Id="rId1474" Type="http://schemas.openxmlformats.org/officeDocument/2006/relationships/hyperlink" Target="mailto:destinycortez910@gmail.com" TargetMode="External"/><Relationship Id="rId640" Type="http://schemas.openxmlformats.org/officeDocument/2006/relationships/hyperlink" Target="mailto:justinc1064@nycstudents.net" TargetMode="External"/><Relationship Id="rId1475" Type="http://schemas.openxmlformats.org/officeDocument/2006/relationships/hyperlink" Target="mailto:ayslinef@nycstudents.net" TargetMode="External"/><Relationship Id="rId1476" Type="http://schemas.openxmlformats.org/officeDocument/2006/relationships/hyperlink" Target="mailto:kcontre21@is125q.org" TargetMode="External"/><Relationship Id="rId1466" Type="http://schemas.openxmlformats.org/officeDocument/2006/relationships/hyperlink" Target="mailto:marvint2789@nycstudents.net" TargetMode="External"/><Relationship Id="rId1467" Type="http://schemas.openxmlformats.org/officeDocument/2006/relationships/hyperlink" Target="mailto:keving5315@nycstudents.net" TargetMode="External"/><Relationship Id="rId1468" Type="http://schemas.openxmlformats.org/officeDocument/2006/relationships/hyperlink" Target="mailto:domenicar12@nycstudents.net" TargetMode="External"/><Relationship Id="rId1469" Type="http://schemas.openxmlformats.org/officeDocument/2006/relationships/hyperlink" Target="mailto:kguzman21@is125q.org" TargetMode="External"/><Relationship Id="rId635" Type="http://schemas.openxmlformats.org/officeDocument/2006/relationships/hyperlink" Target="mailto:2026_mariavera@ihs-us.org" TargetMode="External"/><Relationship Id="rId634" Type="http://schemas.openxmlformats.org/officeDocument/2006/relationships/hyperlink" Target="mailto:julissav38@nycstudents.net" TargetMode="External"/><Relationship Id="rId633" Type="http://schemas.openxmlformats.org/officeDocument/2006/relationships/hyperlink" Target="mailto:andreamagana@gmail.com" TargetMode="External"/><Relationship Id="rId632" Type="http://schemas.openxmlformats.org/officeDocument/2006/relationships/hyperlink" Target="mailto:aylinm55@nycstudents.net" TargetMode="External"/><Relationship Id="rId639" Type="http://schemas.openxmlformats.org/officeDocument/2006/relationships/hyperlink" Target="mailto:harleyt2@nycstudents.net" TargetMode="External"/><Relationship Id="rId638" Type="http://schemas.openxmlformats.org/officeDocument/2006/relationships/hyperlink" Target="mailto:ladym5@nycstudents.net" TargetMode="External"/><Relationship Id="rId637" Type="http://schemas.openxmlformats.org/officeDocument/2006/relationships/hyperlink" Target="mailto:2026_katherineflores@ihs-us.org" TargetMode="External"/><Relationship Id="rId636" Type="http://schemas.openxmlformats.org/officeDocument/2006/relationships/hyperlink" Target="mailto:2025_richardandagana@ihs-us.org" TargetMode="External"/><Relationship Id="rId1460" Type="http://schemas.openxmlformats.org/officeDocument/2006/relationships/hyperlink" Target="mailto:mj256825456@crotonaihs.org" TargetMode="External"/><Relationship Id="rId1461" Type="http://schemas.openxmlformats.org/officeDocument/2006/relationships/hyperlink" Target="mailto:pamelaa61@nycstudents.net" TargetMode="External"/><Relationship Id="rId631" Type="http://schemas.openxmlformats.org/officeDocument/2006/relationships/hyperlink" Target="mailto:mtorres@inths.org" TargetMode="External"/><Relationship Id="rId1462" Type="http://schemas.openxmlformats.org/officeDocument/2006/relationships/hyperlink" Target="mailto:marvinmerino2005@gmail.com" TargetMode="External"/><Relationship Id="rId630" Type="http://schemas.openxmlformats.org/officeDocument/2006/relationships/hyperlink" Target="mailto:2024_gloriaguayan@ihs-us.org" TargetMode="External"/><Relationship Id="rId1463" Type="http://schemas.openxmlformats.org/officeDocument/2006/relationships/hyperlink" Target="mailto:nievesvanessa91@gmail.com" TargetMode="External"/><Relationship Id="rId1464" Type="http://schemas.openxmlformats.org/officeDocument/2006/relationships/hyperlink" Target="mailto:samiracuero85@gmail.com" TargetMode="External"/><Relationship Id="rId1465" Type="http://schemas.openxmlformats.org/officeDocument/2006/relationships/hyperlink" Target="mailto:f.maria2020@flushinginternational.org" TargetMode="External"/><Relationship Id="rId1411" Type="http://schemas.openxmlformats.org/officeDocument/2006/relationships/hyperlink" Target="mailto:hasly.cortes@ichsbronx.org" TargetMode="External"/><Relationship Id="rId1412" Type="http://schemas.openxmlformats.org/officeDocument/2006/relationships/hyperlink" Target="mailto:csolis2025@gmail.com" TargetMode="External"/><Relationship Id="rId1413" Type="http://schemas.openxmlformats.org/officeDocument/2006/relationships/hyperlink" Target="mailto:8716043@philasd.org" TargetMode="External"/><Relationship Id="rId1414" Type="http://schemas.openxmlformats.org/officeDocument/2006/relationships/hyperlink" Target="mailto:zahirawardlaw@gmail.com" TargetMode="External"/><Relationship Id="rId1415" Type="http://schemas.openxmlformats.org/officeDocument/2006/relationships/hyperlink" Target="mailto:devinrhodie@gmail.com" TargetMode="External"/><Relationship Id="rId1416" Type="http://schemas.openxmlformats.org/officeDocument/2006/relationships/hyperlink" Target="mailto:9015997@philasd.org" TargetMode="External"/><Relationship Id="rId1417" Type="http://schemas.openxmlformats.org/officeDocument/2006/relationships/hyperlink" Target="mailto:yunusov.abdurakhim@emmalazarus.org" TargetMode="External"/><Relationship Id="rId1418" Type="http://schemas.openxmlformats.org/officeDocument/2006/relationships/hyperlink" Target="mailto:8230776@philasd.org" TargetMode="External"/><Relationship Id="rId1419" Type="http://schemas.openxmlformats.org/officeDocument/2006/relationships/hyperlink" Target="mailto:haileyscollegepicks@gmail.com" TargetMode="External"/><Relationship Id="rId1410" Type="http://schemas.openxmlformats.org/officeDocument/2006/relationships/hyperlink" Target="mailto:2024_boubacardiallo@ihs-us.org" TargetMode="External"/><Relationship Id="rId1400" Type="http://schemas.openxmlformats.org/officeDocument/2006/relationships/hyperlink" Target="mailto:jodyannd2@nycstudents.net" TargetMode="External"/><Relationship Id="rId1401" Type="http://schemas.openxmlformats.org/officeDocument/2006/relationships/hyperlink" Target="mailto:salmaixchel16@gmail.com" TargetMode="External"/><Relationship Id="rId1402" Type="http://schemas.openxmlformats.org/officeDocument/2006/relationships/hyperlink" Target="mailto:danialdol@nycstudents.net" TargetMode="External"/><Relationship Id="rId1403" Type="http://schemas.openxmlformats.org/officeDocument/2006/relationships/hyperlink" Target="mailto:erodriguez@ms356covo.org" TargetMode="External"/><Relationship Id="rId1404" Type="http://schemas.openxmlformats.org/officeDocument/2006/relationships/hyperlink" Target="mailto:nalahv@nycstudents.net" TargetMode="External"/><Relationship Id="rId1405" Type="http://schemas.openxmlformats.org/officeDocument/2006/relationships/hyperlink" Target="mailto:zaydenp@nycstudents.net" TargetMode="External"/><Relationship Id="rId1406" Type="http://schemas.openxmlformats.org/officeDocument/2006/relationships/hyperlink" Target="mailto:nathaniels157@nycstudents.net" TargetMode="External"/><Relationship Id="rId1407" Type="http://schemas.openxmlformats.org/officeDocument/2006/relationships/hyperlink" Target="mailto:demelee596@gmail.com" TargetMode="External"/><Relationship Id="rId1408" Type="http://schemas.openxmlformats.org/officeDocument/2006/relationships/hyperlink" Target="mailto:aidenlouisy@gmail.com" TargetMode="External"/><Relationship Id="rId1409" Type="http://schemas.openxmlformats.org/officeDocument/2006/relationships/hyperlink" Target="mailto:laurens123@nycstudents.net" TargetMode="External"/><Relationship Id="rId1433" Type="http://schemas.openxmlformats.org/officeDocument/2006/relationships/hyperlink" Target="mailto:f.bello@ihpsh.org" TargetMode="External"/><Relationship Id="rId1434" Type="http://schemas.openxmlformats.org/officeDocument/2006/relationships/hyperlink" Target="mailto:dm258354901@crotonaihs.org" TargetMode="External"/><Relationship Id="rId1435" Type="http://schemas.openxmlformats.org/officeDocument/2006/relationships/hyperlink" Target="mailto:adrielt@crotonaihs.org" TargetMode="External"/><Relationship Id="rId1436" Type="http://schemas.openxmlformats.org/officeDocument/2006/relationships/hyperlink" Target="mailto:ch258780287@crotonaihs.org" TargetMode="External"/><Relationship Id="rId1437" Type="http://schemas.openxmlformats.org/officeDocument/2006/relationships/hyperlink" Target="mailto:shabiha.rahman@ellisprep.com" TargetMode="External"/><Relationship Id="rId1438" Type="http://schemas.openxmlformats.org/officeDocument/2006/relationships/hyperlink" Target="mailto:adrianaf30@nycstudents.net" TargetMode="External"/><Relationship Id="rId1439" Type="http://schemas.openxmlformats.org/officeDocument/2006/relationships/hyperlink" Target="mailto:elisa.och@casa311.com" TargetMode="External"/><Relationship Id="rId609" Type="http://schemas.openxmlformats.org/officeDocument/2006/relationships/hyperlink" Target="mailto:2023_ladyvilla@ihs-us.org" TargetMode="External"/><Relationship Id="rId608" Type="http://schemas.openxmlformats.org/officeDocument/2006/relationships/hyperlink" Target="mailto:xilenatoris28@gmail.com" TargetMode="External"/><Relationship Id="rId607" Type="http://schemas.openxmlformats.org/officeDocument/2006/relationships/hyperlink" Target="mailto:dylanc72221@nycstudents.net" TargetMode="External"/><Relationship Id="rId602" Type="http://schemas.openxmlformats.org/officeDocument/2006/relationships/hyperlink" Target="mailto:jeremyg353@nycstudents.net" TargetMode="External"/><Relationship Id="rId601" Type="http://schemas.openxmlformats.org/officeDocument/2006/relationships/hyperlink" Target="mailto:kellyc245@nycstudents.net" TargetMode="External"/><Relationship Id="rId600" Type="http://schemas.openxmlformats.org/officeDocument/2006/relationships/hyperlink" Target="mailto:g.nelson2021@flushinginternational.org" TargetMode="External"/><Relationship Id="rId606" Type="http://schemas.openxmlformats.org/officeDocument/2006/relationships/hyperlink" Target="mailto:2024_fannytixi@ihs-us.org" TargetMode="External"/><Relationship Id="rId605" Type="http://schemas.openxmlformats.org/officeDocument/2006/relationships/hyperlink" Target="mailto:cedenoariel00@gmail.com" TargetMode="External"/><Relationship Id="rId604" Type="http://schemas.openxmlformats.org/officeDocument/2006/relationships/hyperlink" Target="mailto:jhonq2@nycstudents.net" TargetMode="External"/><Relationship Id="rId603" Type="http://schemas.openxmlformats.org/officeDocument/2006/relationships/hyperlink" Target="mailto:jorgel4217@nycstudents.net" TargetMode="External"/><Relationship Id="rId1430" Type="http://schemas.openxmlformats.org/officeDocument/2006/relationships/hyperlink" Target="mailto:xaviertyler11@gmail.com" TargetMode="External"/><Relationship Id="rId1431" Type="http://schemas.openxmlformats.org/officeDocument/2006/relationships/hyperlink" Target="mailto:rukshona27@gmail.com" TargetMode="External"/><Relationship Id="rId1432" Type="http://schemas.openxmlformats.org/officeDocument/2006/relationships/hyperlink" Target="mailto:karolesis916@gmail.com" TargetMode="External"/><Relationship Id="rId1422" Type="http://schemas.openxmlformats.org/officeDocument/2006/relationships/hyperlink" Target="mailto:esantiago5215@betahighschool.org" TargetMode="External"/><Relationship Id="rId1423" Type="http://schemas.openxmlformats.org/officeDocument/2006/relationships/hyperlink" Target="mailto:darlened18@nycstudents.net" TargetMode="External"/><Relationship Id="rId1424" Type="http://schemas.openxmlformats.org/officeDocument/2006/relationships/hyperlink" Target="mailto:jakeericlay@gmail.com" TargetMode="External"/><Relationship Id="rId1425" Type="http://schemas.openxmlformats.org/officeDocument/2006/relationships/hyperlink" Target="mailto:jaydeng316@nycstudent.net" TargetMode="External"/><Relationship Id="rId1426" Type="http://schemas.openxmlformats.org/officeDocument/2006/relationships/hyperlink" Target="mailto:maryamk46@nycstudents.net" TargetMode="External"/><Relationship Id="rId1427" Type="http://schemas.openxmlformats.org/officeDocument/2006/relationships/hyperlink" Target="mailto:natanaelg4@nycstudents.net" TargetMode="External"/><Relationship Id="rId1428" Type="http://schemas.openxmlformats.org/officeDocument/2006/relationships/hyperlink" Target="mailto:valeriej20@nycstudents.net" TargetMode="External"/><Relationship Id="rId1429" Type="http://schemas.openxmlformats.org/officeDocument/2006/relationships/hyperlink" Target="mailto:davronova.shahzodabonu@emmalazarus.org" TargetMode="External"/><Relationship Id="rId1420" Type="http://schemas.openxmlformats.org/officeDocument/2006/relationships/hyperlink" Target="mailto:vg2299627@gmail.com" TargetMode="External"/><Relationship Id="rId1421" Type="http://schemas.openxmlformats.org/officeDocument/2006/relationships/hyperlink" Target="mailto:aniyamaldonado0@gmail.com" TargetMode="External"/><Relationship Id="rId1059" Type="http://schemas.openxmlformats.org/officeDocument/2006/relationships/hyperlink" Target="mailto:shobha.gurung155@gmail.com" TargetMode="External"/><Relationship Id="rId228" Type="http://schemas.openxmlformats.org/officeDocument/2006/relationships/hyperlink" Target="mailto:tv259227338@crotonaihs.org" TargetMode="External"/><Relationship Id="rId227" Type="http://schemas.openxmlformats.org/officeDocument/2006/relationships/hyperlink" Target="mailto:db258651728@crotonaihs.org" TargetMode="External"/><Relationship Id="rId226" Type="http://schemas.openxmlformats.org/officeDocument/2006/relationships/hyperlink" Target="mailto:sebastians7580@nycstudents.net" TargetMode="External"/><Relationship Id="rId225" Type="http://schemas.openxmlformats.org/officeDocument/2006/relationships/hyperlink" Target="mailto:juandavidt2@nycstudents.net" TargetMode="External"/><Relationship Id="rId229" Type="http://schemas.openxmlformats.org/officeDocument/2006/relationships/hyperlink" Target="mailto:laurennicolep30@gmail.com" TargetMode="External"/><Relationship Id="rId1050" Type="http://schemas.openxmlformats.org/officeDocument/2006/relationships/hyperlink" Target="mailto:assetou.sacko@ichsbronx.org" TargetMode="External"/><Relationship Id="rId220" Type="http://schemas.openxmlformats.org/officeDocument/2006/relationships/hyperlink" Target="mailto:korynp@nycstudents.net" TargetMode="External"/><Relationship Id="rId1051" Type="http://schemas.openxmlformats.org/officeDocument/2006/relationships/hyperlink" Target="mailto:halimatou.sacko@ellisprep.com" TargetMode="External"/><Relationship Id="rId1052" Type="http://schemas.openxmlformats.org/officeDocument/2006/relationships/hyperlink" Target="mailto:2023_takezoostman@ihs-us.org" TargetMode="External"/><Relationship Id="rId1053" Type="http://schemas.openxmlformats.org/officeDocument/2006/relationships/hyperlink" Target="mailto:akarsang@nycstudents.net" TargetMode="External"/><Relationship Id="rId1054" Type="http://schemas.openxmlformats.org/officeDocument/2006/relationships/hyperlink" Target="mailto:katerin.vasquez@ichsbronx.org" TargetMode="External"/><Relationship Id="rId224" Type="http://schemas.openxmlformats.org/officeDocument/2006/relationships/hyperlink" Target="mailto:simonb29@nycstudents.net" TargetMode="External"/><Relationship Id="rId1055" Type="http://schemas.openxmlformats.org/officeDocument/2006/relationships/hyperlink" Target="mailto:koshishacharya25@gmail.com" TargetMode="External"/><Relationship Id="rId223" Type="http://schemas.openxmlformats.org/officeDocument/2006/relationships/hyperlink" Target="mailto:l.suerodelacruz@ihsph.org" TargetMode="External"/><Relationship Id="rId1056" Type="http://schemas.openxmlformats.org/officeDocument/2006/relationships/hyperlink" Target="mailto:magarsushil369@gmail.com" TargetMode="External"/><Relationship Id="rId222" Type="http://schemas.openxmlformats.org/officeDocument/2006/relationships/hyperlink" Target="mailto:runzajuan@gmail.com" TargetMode="External"/><Relationship Id="rId1057" Type="http://schemas.openxmlformats.org/officeDocument/2006/relationships/hyperlink" Target="mailto:ichyasubedi14145@gmail.com" TargetMode="External"/><Relationship Id="rId221" Type="http://schemas.openxmlformats.org/officeDocument/2006/relationships/hyperlink" Target="mailto:sadbiel95@gmail.com" TargetMode="External"/><Relationship Id="rId1058" Type="http://schemas.openxmlformats.org/officeDocument/2006/relationships/hyperlink" Target="mailto:subhamsaud66@gmail.com" TargetMode="External"/><Relationship Id="rId1048" Type="http://schemas.openxmlformats.org/officeDocument/2006/relationships/hyperlink" Target="mailto:sovana2003@gmail.com" TargetMode="External"/><Relationship Id="rId1049" Type="http://schemas.openxmlformats.org/officeDocument/2006/relationships/hyperlink" Target="mailto:europeo@nycstudents.net" TargetMode="External"/><Relationship Id="rId217" Type="http://schemas.openxmlformats.org/officeDocument/2006/relationships/hyperlink" Target="mailto:2024_alisontorres@ihs-us.org" TargetMode="External"/><Relationship Id="rId216" Type="http://schemas.openxmlformats.org/officeDocument/2006/relationships/hyperlink" Target="mailto:andream4103@nycstudents.net" TargetMode="External"/><Relationship Id="rId215" Type="http://schemas.openxmlformats.org/officeDocument/2006/relationships/hyperlink" Target="mailto:dianamarcelatriana050@gmail.com" TargetMode="External"/><Relationship Id="rId699" Type="http://schemas.openxmlformats.org/officeDocument/2006/relationships/hyperlink" Target="mailto:domenicar12@nycstudents.net" TargetMode="External"/><Relationship Id="rId214" Type="http://schemas.openxmlformats.org/officeDocument/2006/relationships/hyperlink" Target="mailto:jhanmottap@gmail.com" TargetMode="External"/><Relationship Id="rId698" Type="http://schemas.openxmlformats.org/officeDocument/2006/relationships/hyperlink" Target="mailto:2023_emmanuelrezil@ihs-us.org" TargetMode="External"/><Relationship Id="rId219" Type="http://schemas.openxmlformats.org/officeDocument/2006/relationships/hyperlink" Target="mailto:magnolia1831@gmail.com" TargetMode="External"/><Relationship Id="rId218" Type="http://schemas.openxmlformats.org/officeDocument/2006/relationships/hyperlink" Target="mailto:naomy.martinez@ichsbronx.org" TargetMode="External"/><Relationship Id="rId693" Type="http://schemas.openxmlformats.org/officeDocument/2006/relationships/hyperlink" Target="mailto:carlosm5802@nycstudents.net" TargetMode="External"/><Relationship Id="rId1040" Type="http://schemas.openxmlformats.org/officeDocument/2006/relationships/hyperlink" Target="mailto:s.chauhan2018@flushinginternational.org" TargetMode="External"/><Relationship Id="rId692" Type="http://schemas.openxmlformats.org/officeDocument/2006/relationships/hyperlink" Target="mailto:2023_avrilmejiareyes@ihs-us.org" TargetMode="External"/><Relationship Id="rId1041" Type="http://schemas.openxmlformats.org/officeDocument/2006/relationships/hyperlink" Target="mailto:ganesh_lyorna@yahoo.co.in" TargetMode="External"/><Relationship Id="rId691" Type="http://schemas.openxmlformats.org/officeDocument/2006/relationships/hyperlink" Target="mailto:israelc9342@nycstudents.net" TargetMode="External"/><Relationship Id="rId1042" Type="http://schemas.openxmlformats.org/officeDocument/2006/relationships/hyperlink" Target="mailto:sarita84pandey@gmail.com" TargetMode="External"/><Relationship Id="rId690" Type="http://schemas.openxmlformats.org/officeDocument/2006/relationships/hyperlink" Target="mailto:israelyuquilema3@gmail.com" TargetMode="External"/><Relationship Id="rId1043" Type="http://schemas.openxmlformats.org/officeDocument/2006/relationships/hyperlink" Target="mailto:dipsuit4@gmail.com" TargetMode="External"/><Relationship Id="rId213" Type="http://schemas.openxmlformats.org/officeDocument/2006/relationships/hyperlink" Target="mailto:2024_alisontorres@ihs-us.org" TargetMode="External"/><Relationship Id="rId697" Type="http://schemas.openxmlformats.org/officeDocument/2006/relationships/hyperlink" Target="mailto:jheymio@nycstudents.net" TargetMode="External"/><Relationship Id="rId1044" Type="http://schemas.openxmlformats.org/officeDocument/2006/relationships/hyperlink" Target="mailto:aarjito@nycstudents.net" TargetMode="External"/><Relationship Id="rId212" Type="http://schemas.openxmlformats.org/officeDocument/2006/relationships/hyperlink" Target="mailto:sebastianperesobregon@gmail.com" TargetMode="External"/><Relationship Id="rId696" Type="http://schemas.openxmlformats.org/officeDocument/2006/relationships/hyperlink" Target="mailto:jodstynl@yncstudenst.net" TargetMode="External"/><Relationship Id="rId1045" Type="http://schemas.openxmlformats.org/officeDocument/2006/relationships/hyperlink" Target="mailto:yogeshk3@nycstudents.net" TargetMode="External"/><Relationship Id="rId211" Type="http://schemas.openxmlformats.org/officeDocument/2006/relationships/hyperlink" Target="mailto:justin.lora.24@wheels-student.org" TargetMode="External"/><Relationship Id="rId695" Type="http://schemas.openxmlformats.org/officeDocument/2006/relationships/hyperlink" Target="mailto:lionelh11@nycstudents.net" TargetMode="External"/><Relationship Id="rId1046" Type="http://schemas.openxmlformats.org/officeDocument/2006/relationships/hyperlink" Target="mailto:tzhenhua2021@flushinginternational.org" TargetMode="External"/><Relationship Id="rId210" Type="http://schemas.openxmlformats.org/officeDocument/2006/relationships/hyperlink" Target="mailto:md253500219@crotonaihs.org" TargetMode="External"/><Relationship Id="rId694" Type="http://schemas.openxmlformats.org/officeDocument/2006/relationships/hyperlink" Target="mailto:tuapantaedgar7@gmail.com" TargetMode="External"/><Relationship Id="rId1047" Type="http://schemas.openxmlformats.org/officeDocument/2006/relationships/hyperlink" Target="mailto:ypakhri23@is25q.org" TargetMode="External"/><Relationship Id="rId249" Type="http://schemas.openxmlformats.org/officeDocument/2006/relationships/hyperlink" Target="mailto:sebastiansierra321@gmail.com" TargetMode="External"/><Relationship Id="rId248" Type="http://schemas.openxmlformats.org/officeDocument/2006/relationships/hyperlink" Target="mailto:anisahtofa7@gmail.com" TargetMode="External"/><Relationship Id="rId247" Type="http://schemas.openxmlformats.org/officeDocument/2006/relationships/hyperlink" Target="mailto:bozid@nycstudents.net" TargetMode="External"/><Relationship Id="rId1070" Type="http://schemas.openxmlformats.org/officeDocument/2006/relationships/hyperlink" Target="mailto:tennymara123@gmail.com" TargetMode="External"/><Relationship Id="rId1071" Type="http://schemas.openxmlformats.org/officeDocument/2006/relationships/hyperlink" Target="mailto:cynthiaakanaga@gmail.com" TargetMode="External"/><Relationship Id="rId1072" Type="http://schemas.openxmlformats.org/officeDocument/2006/relationships/hyperlink" Target="mailto:2024_anaalmeida@ihs-us.org" TargetMode="External"/><Relationship Id="rId242" Type="http://schemas.openxmlformats.org/officeDocument/2006/relationships/hyperlink" Target="mailto:raul.alonso@ichsbronx.org" TargetMode="External"/><Relationship Id="rId1073" Type="http://schemas.openxmlformats.org/officeDocument/2006/relationships/hyperlink" Target="mailto:midu0423@lehmanhs.com" TargetMode="External"/><Relationship Id="rId241" Type="http://schemas.openxmlformats.org/officeDocument/2006/relationships/hyperlink" Target="mailto:jeymi2019@flushinginternational.org" TargetMode="External"/><Relationship Id="rId1074" Type="http://schemas.openxmlformats.org/officeDocument/2006/relationships/hyperlink" Target="mailto:newbeautifulangel@gmail.com" TargetMode="External"/><Relationship Id="rId240" Type="http://schemas.openxmlformats.org/officeDocument/2006/relationships/hyperlink" Target="mailto:jhondavidv@nycstudents.net" TargetMode="External"/><Relationship Id="rId1075" Type="http://schemas.openxmlformats.org/officeDocument/2006/relationships/hyperlink" Target="mailto:smahnafs@nycstudents.net" TargetMode="External"/><Relationship Id="rId1076" Type="http://schemas.openxmlformats.org/officeDocument/2006/relationships/hyperlink" Target="mailto:2024_christophermaxi@ihs-us.org" TargetMode="External"/><Relationship Id="rId246" Type="http://schemas.openxmlformats.org/officeDocument/2006/relationships/hyperlink" Target="mailto:2025_soulemanelah@ihs-us.org" TargetMode="External"/><Relationship Id="rId1077" Type="http://schemas.openxmlformats.org/officeDocument/2006/relationships/hyperlink" Target="mailto:schaudhry2018@flushinginternational.org" TargetMode="External"/><Relationship Id="rId245" Type="http://schemas.openxmlformats.org/officeDocument/2006/relationships/hyperlink" Target="mailto:sara.paez@ichsbronx.org" TargetMode="External"/><Relationship Id="rId1078" Type="http://schemas.openxmlformats.org/officeDocument/2006/relationships/hyperlink" Target="mailto:m.chaudhry2018@flushinginternational.org" TargetMode="External"/><Relationship Id="rId244" Type="http://schemas.openxmlformats.org/officeDocument/2006/relationships/hyperlink" Target="mailto:derekp2791@nycstudents.net" TargetMode="External"/><Relationship Id="rId1079" Type="http://schemas.openxmlformats.org/officeDocument/2006/relationships/hyperlink" Target="mailto:syedaz23@nycstudents.net" TargetMode="External"/><Relationship Id="rId243" Type="http://schemas.openxmlformats.org/officeDocument/2006/relationships/hyperlink" Target="mailto:marilyn2019@flushinginternational.org" TargetMode="External"/><Relationship Id="rId239" Type="http://schemas.openxmlformats.org/officeDocument/2006/relationships/hyperlink" Target="mailto:marcop85@nycstudents.net" TargetMode="External"/><Relationship Id="rId238" Type="http://schemas.openxmlformats.org/officeDocument/2006/relationships/hyperlink" Target="mailto:sebastianramirezpuerto9@gmail.com" TargetMode="External"/><Relationship Id="rId237" Type="http://schemas.openxmlformats.org/officeDocument/2006/relationships/hyperlink" Target="mailto:sebastianf4238@nycstudents.net" TargetMode="External"/><Relationship Id="rId236" Type="http://schemas.openxmlformats.org/officeDocument/2006/relationships/hyperlink" Target="mailto:johana3786@nycstudents.net" TargetMode="External"/><Relationship Id="rId1060" Type="http://schemas.openxmlformats.org/officeDocument/2006/relationships/hyperlink" Target="mailto:jahzionplummer@gmail.com" TargetMode="External"/><Relationship Id="rId1061" Type="http://schemas.openxmlformats.org/officeDocument/2006/relationships/hyperlink" Target="mailto:kritikag3@nycstudents.net" TargetMode="External"/><Relationship Id="rId231" Type="http://schemas.openxmlformats.org/officeDocument/2006/relationships/hyperlink" Target="mailto:2024_americasanchez@ihs-us.org" TargetMode="External"/><Relationship Id="rId1062" Type="http://schemas.openxmlformats.org/officeDocument/2006/relationships/hyperlink" Target="mailto:andersonm2019@flushinginternational.org" TargetMode="External"/><Relationship Id="rId230" Type="http://schemas.openxmlformats.org/officeDocument/2006/relationships/hyperlink" Target="mailto:angelicarubiera@crotonaihs.org" TargetMode="External"/><Relationship Id="rId1063" Type="http://schemas.openxmlformats.org/officeDocument/2006/relationships/hyperlink" Target="mailto:emmanuelc7790@nycstudents.net" TargetMode="External"/><Relationship Id="rId1064" Type="http://schemas.openxmlformats.org/officeDocument/2006/relationships/hyperlink" Target="mailto:2025_dayraayala@ihs-us.org" TargetMode="External"/><Relationship Id="rId1065" Type="http://schemas.openxmlformats.org/officeDocument/2006/relationships/hyperlink" Target="mailto:davidn351@nycstudents.net" TargetMode="External"/><Relationship Id="rId235" Type="http://schemas.openxmlformats.org/officeDocument/2006/relationships/hyperlink" Target="mailto:2024_jaimelara@ihs-us.org" TargetMode="External"/><Relationship Id="rId1066" Type="http://schemas.openxmlformats.org/officeDocument/2006/relationships/hyperlink" Target="mailto:mary.a.anene@gmail.com" TargetMode="External"/><Relationship Id="rId234" Type="http://schemas.openxmlformats.org/officeDocument/2006/relationships/hyperlink" Target="mailto:juanr4807@nycstudents.net" TargetMode="External"/><Relationship Id="rId1067" Type="http://schemas.openxmlformats.org/officeDocument/2006/relationships/hyperlink" Target="mailto:2024_alexandertorres@ihs-us.org" TargetMode="External"/><Relationship Id="rId233" Type="http://schemas.openxmlformats.org/officeDocument/2006/relationships/hyperlink" Target="mailto:eliexeraka2k@gmail.com" TargetMode="External"/><Relationship Id="rId1068" Type="http://schemas.openxmlformats.org/officeDocument/2006/relationships/hyperlink" Target="mailto:ephraimanuorisakiya@gmail.com" TargetMode="External"/><Relationship Id="rId232" Type="http://schemas.openxmlformats.org/officeDocument/2006/relationships/hyperlink" Target="mailto:johanl54@nycstudents.net" TargetMode="External"/><Relationship Id="rId1069" Type="http://schemas.openxmlformats.org/officeDocument/2006/relationships/hyperlink" Target="mailto:aliyahm90@nycstudents.net" TargetMode="External"/><Relationship Id="rId1015" Type="http://schemas.openxmlformats.org/officeDocument/2006/relationships/hyperlink" Target="mailto:marifer22@gmail.com" TargetMode="External"/><Relationship Id="rId1499" Type="http://schemas.openxmlformats.org/officeDocument/2006/relationships/hyperlink" Target="mailto:joseo2019@flushinginternational.org" TargetMode="External"/><Relationship Id="rId1016" Type="http://schemas.openxmlformats.org/officeDocument/2006/relationships/hyperlink" Target="mailto:yoana.reyes.24@wheels-student.org" TargetMode="External"/><Relationship Id="rId1017" Type="http://schemas.openxmlformats.org/officeDocument/2006/relationships/hyperlink" Target="mailto:victoriano.sosa.24@wheels-student.org" TargetMode="External"/><Relationship Id="rId1018" Type="http://schemas.openxmlformats.org/officeDocument/2006/relationships/hyperlink" Target="mailto:jishelr@nycstudents.net" TargetMode="External"/><Relationship Id="rId1019" Type="http://schemas.openxmlformats.org/officeDocument/2006/relationships/hyperlink" Target="mailto:leydyp5@nycstudents.net" TargetMode="External"/><Relationship Id="rId668" Type="http://schemas.openxmlformats.org/officeDocument/2006/relationships/hyperlink" Target="mailto:jadeg109@nycstudents.net" TargetMode="External"/><Relationship Id="rId667" Type="http://schemas.openxmlformats.org/officeDocument/2006/relationships/hyperlink" Target="mailto:emilyd422@nycstudents.net" TargetMode="External"/><Relationship Id="rId666" Type="http://schemas.openxmlformats.org/officeDocument/2006/relationships/hyperlink" Target="mailto:josthync3@nycstudents.net" TargetMode="External"/><Relationship Id="rId665" Type="http://schemas.openxmlformats.org/officeDocument/2006/relationships/hyperlink" Target="mailto:leon.ajtzalam502@gmail.com" TargetMode="External"/><Relationship Id="rId669" Type="http://schemas.openxmlformats.org/officeDocument/2006/relationships/hyperlink" Target="mailto:dramirez@crotonaihs.org" TargetMode="External"/><Relationship Id="rId1490" Type="http://schemas.openxmlformats.org/officeDocument/2006/relationships/hyperlink" Target="mailto:kyras40@nyctsudents.net" TargetMode="External"/><Relationship Id="rId660" Type="http://schemas.openxmlformats.org/officeDocument/2006/relationships/hyperlink" Target="mailto:2024_christophermaxi@ihs-us.org" TargetMode="External"/><Relationship Id="rId1491" Type="http://schemas.openxmlformats.org/officeDocument/2006/relationships/hyperlink" Target="mailto:salcant21@is125q.org" TargetMode="External"/><Relationship Id="rId1492" Type="http://schemas.openxmlformats.org/officeDocument/2006/relationships/hyperlink" Target="mailto:108116374@ideastudent.org" TargetMode="External"/><Relationship Id="rId1493" Type="http://schemas.openxmlformats.org/officeDocument/2006/relationships/hyperlink" Target="mailto:alann19@nycstudents.net" TargetMode="External"/><Relationship Id="rId1010" Type="http://schemas.openxmlformats.org/officeDocument/2006/relationships/hyperlink" Target="mailto:alexg245@nycstudents.net" TargetMode="External"/><Relationship Id="rId1494" Type="http://schemas.openxmlformats.org/officeDocument/2006/relationships/hyperlink" Target="mailto:hamzahsaleh2006@gmail.com" TargetMode="External"/><Relationship Id="rId664" Type="http://schemas.openxmlformats.org/officeDocument/2006/relationships/hyperlink" Target="mailto:melarovilli@gmail.com" TargetMode="External"/><Relationship Id="rId1011" Type="http://schemas.openxmlformats.org/officeDocument/2006/relationships/hyperlink" Target="mailto:julianr202@nycstudents.net" TargetMode="External"/><Relationship Id="rId1495" Type="http://schemas.openxmlformats.org/officeDocument/2006/relationships/hyperlink" Target="mailto:yoletg2789@nycstudents.net" TargetMode="External"/><Relationship Id="rId663" Type="http://schemas.openxmlformats.org/officeDocument/2006/relationships/hyperlink" Target="mailto:katherine.ruano@ichsbronx.org" TargetMode="External"/><Relationship Id="rId1012" Type="http://schemas.openxmlformats.org/officeDocument/2006/relationships/hyperlink" Target="mailto:cristalr61@nycstudents.net" TargetMode="External"/><Relationship Id="rId1496" Type="http://schemas.openxmlformats.org/officeDocument/2006/relationships/hyperlink" Target="mailto:sofiaa123@nycstudents.net" TargetMode="External"/><Relationship Id="rId662" Type="http://schemas.openxmlformats.org/officeDocument/2006/relationships/hyperlink" Target="mailto:jhordysmayancela@gmail.com" TargetMode="External"/><Relationship Id="rId1013" Type="http://schemas.openxmlformats.org/officeDocument/2006/relationships/hyperlink" Target="mailto:2024_alexandertorres@ihs-us.org" TargetMode="External"/><Relationship Id="rId1497" Type="http://schemas.openxmlformats.org/officeDocument/2006/relationships/hyperlink" Target="mailto:shabibm@nycstudents.net" TargetMode="External"/><Relationship Id="rId661" Type="http://schemas.openxmlformats.org/officeDocument/2006/relationships/hyperlink" Target="mailto:zoee2789@nycstudents.net" TargetMode="External"/><Relationship Id="rId1014" Type="http://schemas.openxmlformats.org/officeDocument/2006/relationships/hyperlink" Target="mailto:savila@crotonaihs.org" TargetMode="External"/><Relationship Id="rId1498" Type="http://schemas.openxmlformats.org/officeDocument/2006/relationships/hyperlink" Target="mailto:jromero21@is125q.org" TargetMode="External"/><Relationship Id="rId1004" Type="http://schemas.openxmlformats.org/officeDocument/2006/relationships/hyperlink" Target="mailto:maxj25@nycstudents.net" TargetMode="External"/><Relationship Id="rId1488" Type="http://schemas.openxmlformats.org/officeDocument/2006/relationships/hyperlink" Target="mailto:albryw@nycstudents.net" TargetMode="External"/><Relationship Id="rId1005" Type="http://schemas.openxmlformats.org/officeDocument/2006/relationships/hyperlink" Target="mailto:geovanip2@nycstudents.net" TargetMode="External"/><Relationship Id="rId1489" Type="http://schemas.openxmlformats.org/officeDocument/2006/relationships/hyperlink" Target="mailto:kxjgonesome@gmail.com" TargetMode="External"/><Relationship Id="rId1006" Type="http://schemas.openxmlformats.org/officeDocument/2006/relationships/hyperlink" Target="mailto:marciav8@nycstudents.net" TargetMode="External"/><Relationship Id="rId1007" Type="http://schemas.openxmlformats.org/officeDocument/2006/relationships/hyperlink" Target="mailto:jasminem326@nycstudents.net" TargetMode="External"/><Relationship Id="rId1008" Type="http://schemas.openxmlformats.org/officeDocument/2006/relationships/hyperlink" Target="mailto:reinao4@nycstudents.net" TargetMode="External"/><Relationship Id="rId1009" Type="http://schemas.openxmlformats.org/officeDocument/2006/relationships/hyperlink" Target="mailto:dijonaymogg11@gmail.com" TargetMode="External"/><Relationship Id="rId657" Type="http://schemas.openxmlformats.org/officeDocument/2006/relationships/hyperlink" Target="mailto:lesslyf2@nycstudents.net" TargetMode="External"/><Relationship Id="rId656" Type="http://schemas.openxmlformats.org/officeDocument/2006/relationships/hyperlink" Target="mailto:nimjas15@gmail.com" TargetMode="External"/><Relationship Id="rId655" Type="http://schemas.openxmlformats.org/officeDocument/2006/relationships/hyperlink" Target="mailto:2025_gustavocargua@ihs-us.org" TargetMode="External"/><Relationship Id="rId654" Type="http://schemas.openxmlformats.org/officeDocument/2006/relationships/hyperlink" Target="mailto:carlos2019@flushinginternational.org" TargetMode="External"/><Relationship Id="rId659" Type="http://schemas.openxmlformats.org/officeDocument/2006/relationships/hyperlink" Target="mailto:2025_intisisa@ihs-us.org" TargetMode="External"/><Relationship Id="rId658" Type="http://schemas.openxmlformats.org/officeDocument/2006/relationships/hyperlink" Target="mailto:davidm1484@nycstudentsd.net" TargetMode="External"/><Relationship Id="rId1480" Type="http://schemas.openxmlformats.org/officeDocument/2006/relationships/hyperlink" Target="mailto:jacobc251@nycstudents.net" TargetMode="External"/><Relationship Id="rId1481" Type="http://schemas.openxmlformats.org/officeDocument/2006/relationships/hyperlink" Target="mailto:michaelc1135@nycstudents.net" TargetMode="External"/><Relationship Id="rId1482" Type="http://schemas.openxmlformats.org/officeDocument/2006/relationships/hyperlink" Target="mailto:aali2@inths.org" TargetMode="External"/><Relationship Id="rId1483" Type="http://schemas.openxmlformats.org/officeDocument/2006/relationships/hyperlink" Target="mailto:2025_luisfreites@ihs-us.org" TargetMode="External"/><Relationship Id="rId653" Type="http://schemas.openxmlformats.org/officeDocument/2006/relationships/hyperlink" Target="mailto:bryanmontesdeoca686@gmail.com" TargetMode="External"/><Relationship Id="rId1000" Type="http://schemas.openxmlformats.org/officeDocument/2006/relationships/hyperlink" Target="mailto:amirsoman356@gmail.com" TargetMode="External"/><Relationship Id="rId1484" Type="http://schemas.openxmlformats.org/officeDocument/2006/relationships/hyperlink" Target="mailto:nabelqaid13@gmail.com" TargetMode="External"/><Relationship Id="rId652" Type="http://schemas.openxmlformats.org/officeDocument/2006/relationships/hyperlink" Target="mailto:12joserivera34@gmail.com" TargetMode="External"/><Relationship Id="rId1001" Type="http://schemas.openxmlformats.org/officeDocument/2006/relationships/hyperlink" Target="mailto:alexandera288@nycstudents.net" TargetMode="External"/><Relationship Id="rId1485" Type="http://schemas.openxmlformats.org/officeDocument/2006/relationships/hyperlink" Target="mailto:heidyzapata@claremontihs.org" TargetMode="External"/><Relationship Id="rId651" Type="http://schemas.openxmlformats.org/officeDocument/2006/relationships/hyperlink" Target="mailto:elarias@crotonaihs.org" TargetMode="External"/><Relationship Id="rId1002" Type="http://schemas.openxmlformats.org/officeDocument/2006/relationships/hyperlink" Target="mailto:ethanm8069@nycstudents.net" TargetMode="External"/><Relationship Id="rId1486" Type="http://schemas.openxmlformats.org/officeDocument/2006/relationships/hyperlink" Target="mailto:jessieljaquez1020@gmail.com" TargetMode="External"/><Relationship Id="rId650" Type="http://schemas.openxmlformats.org/officeDocument/2006/relationships/hyperlink" Target="mailto:mateob6647@nycstudents.net" TargetMode="External"/><Relationship Id="rId1003" Type="http://schemas.openxmlformats.org/officeDocument/2006/relationships/hyperlink" Target="mailto:joseh226@nycstudents.net" TargetMode="External"/><Relationship Id="rId1487" Type="http://schemas.openxmlformats.org/officeDocument/2006/relationships/hyperlink" Target="mailto:kamielles2789@nycstudents.net" TargetMode="External"/><Relationship Id="rId1037" Type="http://schemas.openxmlformats.org/officeDocument/2006/relationships/hyperlink" Target="mailto:sezim.bolotbekova0200@gmail.com" TargetMode="External"/><Relationship Id="rId1038" Type="http://schemas.openxmlformats.org/officeDocument/2006/relationships/hyperlink" Target="mailto:9598258@philasd.org" TargetMode="External"/><Relationship Id="rId1039" Type="http://schemas.openxmlformats.org/officeDocument/2006/relationships/hyperlink" Target="mailto:phue23naing@gmail.com" TargetMode="External"/><Relationship Id="rId206" Type="http://schemas.openxmlformats.org/officeDocument/2006/relationships/hyperlink" Target="mailto:luisdanielcardenass@gmail.com" TargetMode="External"/><Relationship Id="rId205" Type="http://schemas.openxmlformats.org/officeDocument/2006/relationships/hyperlink" Target="mailto:o.pardo2018@flushinginternational.org" TargetMode="External"/><Relationship Id="rId689" Type="http://schemas.openxmlformats.org/officeDocument/2006/relationships/hyperlink" Target="mailto:ms25865221@crotonaihs.org" TargetMode="External"/><Relationship Id="rId204" Type="http://schemas.openxmlformats.org/officeDocument/2006/relationships/hyperlink" Target="mailto:tomasm4925@nycstudents.net" TargetMode="External"/><Relationship Id="rId688" Type="http://schemas.openxmlformats.org/officeDocument/2006/relationships/hyperlink" Target="mailto:2023_andreaguevara@ihs-us.org" TargetMode="External"/><Relationship Id="rId203" Type="http://schemas.openxmlformats.org/officeDocument/2006/relationships/hyperlink" Target="mailto:jh258970060@crotonaihs.org" TargetMode="External"/><Relationship Id="rId687" Type="http://schemas.openxmlformats.org/officeDocument/2006/relationships/hyperlink" Target="mailto:2024_jorgelopez@ihs-us.org" TargetMode="External"/><Relationship Id="rId209" Type="http://schemas.openxmlformats.org/officeDocument/2006/relationships/hyperlink" Target="mailto:david.cometta@gchs.nyc" TargetMode="External"/><Relationship Id="rId208" Type="http://schemas.openxmlformats.org/officeDocument/2006/relationships/hyperlink" Target="mailto:possesantiago30@gmail.com" TargetMode="External"/><Relationship Id="rId207" Type="http://schemas.openxmlformats.org/officeDocument/2006/relationships/hyperlink" Target="mailto:ar6152262@gmail.com" TargetMode="External"/><Relationship Id="rId682" Type="http://schemas.openxmlformats.org/officeDocument/2006/relationships/hyperlink" Target="mailto:jayleenv28@nycstudents.net" TargetMode="External"/><Relationship Id="rId681" Type="http://schemas.openxmlformats.org/officeDocument/2006/relationships/hyperlink" Target="mailto:roycep4@nycstudents.net" TargetMode="External"/><Relationship Id="rId1030" Type="http://schemas.openxmlformats.org/officeDocument/2006/relationships/hyperlink" Target="mailto:yelhimdi@inths.org" TargetMode="External"/><Relationship Id="rId680" Type="http://schemas.openxmlformats.org/officeDocument/2006/relationships/hyperlink" Target="mailto:fabricios4@nycstudents.net" TargetMode="External"/><Relationship Id="rId1031" Type="http://schemas.openxmlformats.org/officeDocument/2006/relationships/hyperlink" Target="mailto:diego.a.dinardi@gmail.com" TargetMode="External"/><Relationship Id="rId1032" Type="http://schemas.openxmlformats.org/officeDocument/2006/relationships/hyperlink" Target="mailto:chanely.astacio@ellisprep.com" TargetMode="External"/><Relationship Id="rId202" Type="http://schemas.openxmlformats.org/officeDocument/2006/relationships/hyperlink" Target="mailto:valentinajaquesanchez24@gmail.com" TargetMode="External"/><Relationship Id="rId686" Type="http://schemas.openxmlformats.org/officeDocument/2006/relationships/hyperlink" Target="mailto:2023_alisalem@ihs-us.org" TargetMode="External"/><Relationship Id="rId1033" Type="http://schemas.openxmlformats.org/officeDocument/2006/relationships/hyperlink" Target="mailto:2023_leomonnier@ihs-us.org" TargetMode="External"/><Relationship Id="rId201" Type="http://schemas.openxmlformats.org/officeDocument/2006/relationships/hyperlink" Target="mailto:o.rosariodisla@ihsph.org" TargetMode="External"/><Relationship Id="rId685" Type="http://schemas.openxmlformats.org/officeDocument/2006/relationships/hyperlink" Target="mailto:chucinolesly@gmail.com" TargetMode="External"/><Relationship Id="rId1034" Type="http://schemas.openxmlformats.org/officeDocument/2006/relationships/hyperlink" Target="mailto:awa.ndiaye@ellisprep.com" TargetMode="External"/><Relationship Id="rId200" Type="http://schemas.openxmlformats.org/officeDocument/2006/relationships/hyperlink" Target="mailto:susana2019@flushinginternational.org" TargetMode="External"/><Relationship Id="rId684" Type="http://schemas.openxmlformats.org/officeDocument/2006/relationships/hyperlink" Target="mailto:2025_danielguillen@ihs-us.org" TargetMode="External"/><Relationship Id="rId1035" Type="http://schemas.openxmlformats.org/officeDocument/2006/relationships/hyperlink" Target="mailto:luis0831r@gmail.com" TargetMode="External"/><Relationship Id="rId683" Type="http://schemas.openxmlformats.org/officeDocument/2006/relationships/hyperlink" Target="mailto:tatiana.zumba@casa311.com" TargetMode="External"/><Relationship Id="rId1036" Type="http://schemas.openxmlformats.org/officeDocument/2006/relationships/hyperlink" Target="mailto:anjalie.ramkissoon.23@wheels-student.org" TargetMode="External"/><Relationship Id="rId1026" Type="http://schemas.openxmlformats.org/officeDocument/2006/relationships/hyperlink" Target="mailto:jhoanac5@nycstudents.net" TargetMode="External"/><Relationship Id="rId1027" Type="http://schemas.openxmlformats.org/officeDocument/2006/relationships/hyperlink" Target="mailto:catalinanunez@claremontihs.org" TargetMode="External"/><Relationship Id="rId1028" Type="http://schemas.openxmlformats.org/officeDocument/2006/relationships/hyperlink" Target="mailto:ayakhoukhou14@gmail.com" TargetMode="External"/><Relationship Id="rId1029" Type="http://schemas.openxmlformats.org/officeDocument/2006/relationships/hyperlink" Target="mailto:daniaalshami4@icloud.com" TargetMode="External"/><Relationship Id="rId679" Type="http://schemas.openxmlformats.org/officeDocument/2006/relationships/hyperlink" Target="mailto:2024_jorgelopez@ihs-us.org" TargetMode="External"/><Relationship Id="rId678" Type="http://schemas.openxmlformats.org/officeDocument/2006/relationships/hyperlink" Target="mailto:sebastiang194@nycstudents.net" TargetMode="External"/><Relationship Id="rId677" Type="http://schemas.openxmlformats.org/officeDocument/2006/relationships/hyperlink" Target="mailto:frankieb14@nycstudents.net" TargetMode="External"/><Relationship Id="rId676" Type="http://schemas.openxmlformats.org/officeDocument/2006/relationships/hyperlink" Target="mailto:andersonv25@nycstudents.net" TargetMode="External"/><Relationship Id="rId671" Type="http://schemas.openxmlformats.org/officeDocument/2006/relationships/hyperlink" Target="mailto:analien006@gmail.com" TargetMode="External"/><Relationship Id="rId670" Type="http://schemas.openxmlformats.org/officeDocument/2006/relationships/hyperlink" Target="mailto:richard.murillo.24@wheels-student.org" TargetMode="External"/><Relationship Id="rId1020" Type="http://schemas.openxmlformats.org/officeDocument/2006/relationships/hyperlink" Target="mailto:2024_melanyalcalalopez@ihs-us.org" TargetMode="External"/><Relationship Id="rId1021" Type="http://schemas.openxmlformats.org/officeDocument/2006/relationships/hyperlink" Target="mailto:2024_mariajosecusco@ihs-us.org" TargetMode="External"/><Relationship Id="rId675" Type="http://schemas.openxmlformats.org/officeDocument/2006/relationships/hyperlink" Target="mailto:leonorc4@nycstudents.net" TargetMode="External"/><Relationship Id="rId1022" Type="http://schemas.openxmlformats.org/officeDocument/2006/relationships/hyperlink" Target="mailto:rafat.galeana@ichsbronx.org" TargetMode="External"/><Relationship Id="rId674" Type="http://schemas.openxmlformats.org/officeDocument/2006/relationships/hyperlink" Target="mailto:jazminec49@nycstudents.net" TargetMode="External"/><Relationship Id="rId1023" Type="http://schemas.openxmlformats.org/officeDocument/2006/relationships/hyperlink" Target="mailto:albertoagustind@nycstudents.net" TargetMode="External"/><Relationship Id="rId673" Type="http://schemas.openxmlformats.org/officeDocument/2006/relationships/hyperlink" Target="mailto:2025_nellypilahuisin@ihs-us.org" TargetMode="External"/><Relationship Id="rId1024" Type="http://schemas.openxmlformats.org/officeDocument/2006/relationships/hyperlink" Target="mailto:reynaa2630@gmail.com" TargetMode="External"/><Relationship Id="rId672" Type="http://schemas.openxmlformats.org/officeDocument/2006/relationships/hyperlink" Target="mailto:marisolcayambe68@ihs-us.org" TargetMode="External"/><Relationship Id="rId1025" Type="http://schemas.openxmlformats.org/officeDocument/2006/relationships/hyperlink" Target="mailto:dtbzaddy@gmail.com" TargetMode="External"/><Relationship Id="rId190" Type="http://schemas.openxmlformats.org/officeDocument/2006/relationships/hyperlink" Target="mailto:alejandrapinzon0808@gmail.com" TargetMode="External"/><Relationship Id="rId194" Type="http://schemas.openxmlformats.org/officeDocument/2006/relationships/hyperlink" Target="mailto:2023_samiracuerovivas@ihs-us.org" TargetMode="External"/><Relationship Id="rId193" Type="http://schemas.openxmlformats.org/officeDocument/2006/relationships/hyperlink" Target="mailto:valentina2019@flushinginternational.org" TargetMode="External"/><Relationship Id="rId192" Type="http://schemas.openxmlformats.org/officeDocument/2006/relationships/hyperlink" Target="mailto:tomasdavidmantillasalazar@gmail.com" TargetMode="External"/><Relationship Id="rId191" Type="http://schemas.openxmlformats.org/officeDocument/2006/relationships/hyperlink" Target="mailto:benavidezblancom@nycstudents.net" TargetMode="External"/><Relationship Id="rId187" Type="http://schemas.openxmlformats.org/officeDocument/2006/relationships/hyperlink" Target="mailto:heiscelys.campusano.24@wheels-student.org" TargetMode="External"/><Relationship Id="rId186" Type="http://schemas.openxmlformats.org/officeDocument/2006/relationships/hyperlink" Target="mailto:manuela.salazar@flushinginternational.org" TargetMode="External"/><Relationship Id="rId185" Type="http://schemas.openxmlformats.org/officeDocument/2006/relationships/hyperlink" Target="mailto:tatiana2019@flushinginternational.org" TargetMode="External"/><Relationship Id="rId184" Type="http://schemas.openxmlformats.org/officeDocument/2006/relationships/hyperlink" Target="mailto:gomezrassiel02@gmail.com" TargetMode="External"/><Relationship Id="rId189" Type="http://schemas.openxmlformats.org/officeDocument/2006/relationships/hyperlink" Target="mailto:gabrielar8415@nycstudents.net" TargetMode="External"/><Relationship Id="rId188" Type="http://schemas.openxmlformats.org/officeDocument/2006/relationships/hyperlink" Target="mailto:ramirezospinam9@gmail.com" TargetMode="External"/><Relationship Id="rId183" Type="http://schemas.openxmlformats.org/officeDocument/2006/relationships/hyperlink" Target="mailto:genesismunoz0118@gmail.com" TargetMode="External"/><Relationship Id="rId182" Type="http://schemas.openxmlformats.org/officeDocument/2006/relationships/hyperlink" Target="mailto:kiarapaulino@claremontihs.org" TargetMode="External"/><Relationship Id="rId181" Type="http://schemas.openxmlformats.org/officeDocument/2006/relationships/hyperlink" Target="mailto:alejamayo2506@gmail.com" TargetMode="External"/><Relationship Id="rId180" Type="http://schemas.openxmlformats.org/officeDocument/2006/relationships/hyperlink" Target="mailto:dayanara180898@gmail.com" TargetMode="External"/><Relationship Id="rId176" Type="http://schemas.openxmlformats.org/officeDocument/2006/relationships/hyperlink" Target="mailto:luofeng2019@flushinginternational.org" TargetMode="External"/><Relationship Id="rId175" Type="http://schemas.openxmlformats.org/officeDocument/2006/relationships/hyperlink" Target="mailto:alanl0566@hstat.org" TargetMode="External"/><Relationship Id="rId174" Type="http://schemas.openxmlformats.org/officeDocument/2006/relationships/hyperlink" Target="mailto:2023_meiyuchen@ihs-us.org" TargetMode="External"/><Relationship Id="rId173" Type="http://schemas.openxmlformats.org/officeDocument/2006/relationships/hyperlink" Target="mailto:sabrinac171@nycstudents.net" TargetMode="External"/><Relationship Id="rId179" Type="http://schemas.openxmlformats.org/officeDocument/2006/relationships/hyperlink" Target="mailto:nicolg13@nycstudents.net" TargetMode="External"/><Relationship Id="rId178" Type="http://schemas.openxmlformats.org/officeDocument/2006/relationships/hyperlink" Target="mailto:gabriellabella17@gmail.com" TargetMode="External"/><Relationship Id="rId177" Type="http://schemas.openxmlformats.org/officeDocument/2006/relationships/hyperlink" Target="mailto:paulaarias523@gmail.com" TargetMode="External"/><Relationship Id="rId198" Type="http://schemas.openxmlformats.org/officeDocument/2006/relationships/hyperlink" Target="mailto:jd258632975@crotonaihs.org" TargetMode="External"/><Relationship Id="rId197" Type="http://schemas.openxmlformats.org/officeDocument/2006/relationships/hyperlink" Target="mailto:erick2019@flushinginternational.org" TargetMode="External"/><Relationship Id="rId196" Type="http://schemas.openxmlformats.org/officeDocument/2006/relationships/hyperlink" Target="mailto:cepedaoskarina539@gmail.com" TargetMode="External"/><Relationship Id="rId195" Type="http://schemas.openxmlformats.org/officeDocument/2006/relationships/hyperlink" Target="mailto:brendalara2000@gmail.com" TargetMode="External"/><Relationship Id="rId199" Type="http://schemas.openxmlformats.org/officeDocument/2006/relationships/hyperlink" Target="mailto:jesusl99@nycstudents.net" TargetMode="External"/><Relationship Id="rId150" Type="http://schemas.openxmlformats.org/officeDocument/2006/relationships/hyperlink" Target="mailto:xinyao2019@flushinginternational.org" TargetMode="External"/><Relationship Id="rId149" Type="http://schemas.openxmlformats.org/officeDocument/2006/relationships/hyperlink" Target="mailto:sharitog2010@icloud.com" TargetMode="External"/><Relationship Id="rId148" Type="http://schemas.openxmlformats.org/officeDocument/2006/relationships/hyperlink" Target="mailto:cheny4747@gmail.com" TargetMode="External"/><Relationship Id="rId1090" Type="http://schemas.openxmlformats.org/officeDocument/2006/relationships/hyperlink" Target="mailto:2024_hendrybello@ihs-us.org" TargetMode="External"/><Relationship Id="rId1091" Type="http://schemas.openxmlformats.org/officeDocument/2006/relationships/hyperlink" Target="mailto:rosamarinalizbethdiazcar@gmail.com" TargetMode="External"/><Relationship Id="rId1092" Type="http://schemas.openxmlformats.org/officeDocument/2006/relationships/hyperlink" Target="mailto:2024_jaimelara@ihs-us.org" TargetMode="External"/><Relationship Id="rId1093" Type="http://schemas.openxmlformats.org/officeDocument/2006/relationships/hyperlink" Target="mailto:walter.tello@ellisprep.com" TargetMode="External"/><Relationship Id="rId1094" Type="http://schemas.openxmlformats.org/officeDocument/2006/relationships/hyperlink" Target="mailto:2024_jorgelopez@ihs-us.org" TargetMode="External"/><Relationship Id="rId143" Type="http://schemas.openxmlformats.org/officeDocument/2006/relationships/hyperlink" Target="mailto:j.zhishan2021@flushinginternational.org" TargetMode="External"/><Relationship Id="rId1095" Type="http://schemas.openxmlformats.org/officeDocument/2006/relationships/hyperlink" Target="mailto:castromercedes2510@gmail.com" TargetMode="External"/><Relationship Id="rId142" Type="http://schemas.openxmlformats.org/officeDocument/2006/relationships/hyperlink" Target="mailto:wei.shiqing@emmalazarus.org" TargetMode="External"/><Relationship Id="rId1096" Type="http://schemas.openxmlformats.org/officeDocument/2006/relationships/hyperlink" Target="mailto:miyeliq@nycstudents.net" TargetMode="External"/><Relationship Id="rId141" Type="http://schemas.openxmlformats.org/officeDocument/2006/relationships/hyperlink" Target="mailto:ziyi2019@flushinginternational.org" TargetMode="External"/><Relationship Id="rId1097" Type="http://schemas.openxmlformats.org/officeDocument/2006/relationships/hyperlink" Target="mailto:damyrao@gmail.com" TargetMode="External"/><Relationship Id="rId140" Type="http://schemas.openxmlformats.org/officeDocument/2006/relationships/hyperlink" Target="mailto:evelynl95@nycstudents.net" TargetMode="External"/><Relationship Id="rId1098" Type="http://schemas.openxmlformats.org/officeDocument/2006/relationships/hyperlink" Target="mailto:yanillp3@nycstudents.net" TargetMode="External"/><Relationship Id="rId147" Type="http://schemas.openxmlformats.org/officeDocument/2006/relationships/hyperlink" Target="mailto:yechi2019@flushinginternational.org" TargetMode="External"/><Relationship Id="rId1099" Type="http://schemas.openxmlformats.org/officeDocument/2006/relationships/hyperlink" Target="mailto:2024_juliaaliessa@ihs-us.org" TargetMode="External"/><Relationship Id="rId146" Type="http://schemas.openxmlformats.org/officeDocument/2006/relationships/hyperlink" Target="mailto:ctian@flushinginternational.org" TargetMode="External"/><Relationship Id="rId145" Type="http://schemas.openxmlformats.org/officeDocument/2006/relationships/hyperlink" Target="mailto:siyu2019@flushinginternational.org" TargetMode="External"/><Relationship Id="rId144" Type="http://schemas.openxmlformats.org/officeDocument/2006/relationships/hyperlink" Target="mailto:stevecxx0731@gmail.com" TargetMode="External"/><Relationship Id="rId139" Type="http://schemas.openxmlformats.org/officeDocument/2006/relationships/hyperlink" Target="mailto:janiceh15@nycstudents.net" TargetMode="External"/><Relationship Id="rId138" Type="http://schemas.openxmlformats.org/officeDocument/2006/relationships/hyperlink" Target="mailto:x.jiahe2020@flushinginternational.org" TargetMode="External"/><Relationship Id="rId137" Type="http://schemas.openxmlformats.org/officeDocument/2006/relationships/hyperlink" Target="mailto:x.piao2018@flushinginternational.org" TargetMode="External"/><Relationship Id="rId1080" Type="http://schemas.openxmlformats.org/officeDocument/2006/relationships/hyperlink" Target="mailto:2024_diarrafall@ihs-us.org" TargetMode="External"/><Relationship Id="rId1081" Type="http://schemas.openxmlformats.org/officeDocument/2006/relationships/hyperlink" Target="mailto:sakhia629@gmail.com" TargetMode="External"/><Relationship Id="rId1082" Type="http://schemas.openxmlformats.org/officeDocument/2006/relationships/hyperlink" Target="mailto:afatima@inths.org" TargetMode="External"/><Relationship Id="rId1083" Type="http://schemas.openxmlformats.org/officeDocument/2006/relationships/hyperlink" Target="mailto:2024_elhadjindong@ihs-us.org" TargetMode="External"/><Relationship Id="rId132" Type="http://schemas.openxmlformats.org/officeDocument/2006/relationships/hyperlink" Target="mailto:kaite2019@flushinginternational.org" TargetMode="External"/><Relationship Id="rId1084" Type="http://schemas.openxmlformats.org/officeDocument/2006/relationships/hyperlink" Target="mailto:muhammadibads@nycstudents.net" TargetMode="External"/><Relationship Id="rId131" Type="http://schemas.openxmlformats.org/officeDocument/2006/relationships/hyperlink" Target="mailto:2023_xuyuanzhao@ihs-us.org" TargetMode="External"/><Relationship Id="rId1085" Type="http://schemas.openxmlformats.org/officeDocument/2006/relationships/hyperlink" Target="mailto:hanan.awad.24@wheels-student.org" TargetMode="External"/><Relationship Id="rId130" Type="http://schemas.openxmlformats.org/officeDocument/2006/relationships/hyperlink" Target="mailto:chenghao2019@flushinginternational.org" TargetMode="External"/><Relationship Id="rId1086" Type="http://schemas.openxmlformats.org/officeDocument/2006/relationships/hyperlink" Target="mailto:joshuarsamaniego2007@gmail.com" TargetMode="External"/><Relationship Id="rId1087" Type="http://schemas.openxmlformats.org/officeDocument/2006/relationships/hyperlink" Target="mailto:barbaraa24@nycstudents.net" TargetMode="External"/><Relationship Id="rId136" Type="http://schemas.openxmlformats.org/officeDocument/2006/relationships/hyperlink" Target="mailto:jaydenjin205@gmail.com" TargetMode="External"/><Relationship Id="rId1088" Type="http://schemas.openxmlformats.org/officeDocument/2006/relationships/hyperlink" Target="mailto:luzlariagutierrez@gmail.com" TargetMode="External"/><Relationship Id="rId135" Type="http://schemas.openxmlformats.org/officeDocument/2006/relationships/hyperlink" Target="mailto:longyu2019@flushinginternational.org" TargetMode="External"/><Relationship Id="rId1089" Type="http://schemas.openxmlformats.org/officeDocument/2006/relationships/hyperlink" Target="mailto:reyvenmanrique11@gmail.com" TargetMode="External"/><Relationship Id="rId134" Type="http://schemas.openxmlformats.org/officeDocument/2006/relationships/hyperlink" Target="mailto:hanbin.wan@flushinginternational.org" TargetMode="External"/><Relationship Id="rId133" Type="http://schemas.openxmlformats.org/officeDocument/2006/relationships/hyperlink" Target="mailto:yeling2019@flushinginternational.org" TargetMode="External"/><Relationship Id="rId172" Type="http://schemas.openxmlformats.org/officeDocument/2006/relationships/hyperlink" Target="mailto:juana.verdecia.24@wheels-student.org" TargetMode="External"/><Relationship Id="rId171" Type="http://schemas.openxmlformats.org/officeDocument/2006/relationships/hyperlink" Target="mailto:dingyanni01@gmail.com" TargetMode="External"/><Relationship Id="rId170" Type="http://schemas.openxmlformats.org/officeDocument/2006/relationships/hyperlink" Target="mailto:alejandrasena.23@gmail.com" TargetMode="External"/><Relationship Id="rId165" Type="http://schemas.openxmlformats.org/officeDocument/2006/relationships/hyperlink" Target="mailto:santiago2019@flushinginternational.org" TargetMode="External"/><Relationship Id="rId164" Type="http://schemas.openxmlformats.org/officeDocument/2006/relationships/hyperlink" Target="mailto:zexuanl3@nycstudents.net" TargetMode="External"/><Relationship Id="rId163" Type="http://schemas.openxmlformats.org/officeDocument/2006/relationships/hyperlink" Target="mailto:jessier20@nycstudents.net" TargetMode="External"/><Relationship Id="rId162" Type="http://schemas.openxmlformats.org/officeDocument/2006/relationships/hyperlink" Target="mailto:kevinc1121@nycstudents.net" TargetMode="External"/><Relationship Id="rId169" Type="http://schemas.openxmlformats.org/officeDocument/2006/relationships/hyperlink" Target="mailto:dainnaz@nycstudents.com" TargetMode="External"/><Relationship Id="rId168" Type="http://schemas.openxmlformats.org/officeDocument/2006/relationships/hyperlink" Target="mailto:pekenarva@gmail.com" TargetMode="External"/><Relationship Id="rId167" Type="http://schemas.openxmlformats.org/officeDocument/2006/relationships/hyperlink" Target="mailto:miguelangelgonzalezvillarraga@gmail.com" TargetMode="External"/><Relationship Id="rId166" Type="http://schemas.openxmlformats.org/officeDocument/2006/relationships/hyperlink" Target="mailto:katrinaz16@nycstudents.net" TargetMode="External"/><Relationship Id="rId161" Type="http://schemas.openxmlformats.org/officeDocument/2006/relationships/hyperlink" Target="mailto:stefaniamr1202@gmail.com" TargetMode="External"/><Relationship Id="rId160" Type="http://schemas.openxmlformats.org/officeDocument/2006/relationships/hyperlink" Target="mailto:adap5@nycstudents.net" TargetMode="External"/><Relationship Id="rId159" Type="http://schemas.openxmlformats.org/officeDocument/2006/relationships/hyperlink" Target="mailto:ethanl342@nycstudents.net" TargetMode="External"/><Relationship Id="rId154" Type="http://schemas.openxmlformats.org/officeDocument/2006/relationships/hyperlink" Target="mailto:brianc511@nycstudents.net" TargetMode="External"/><Relationship Id="rId153" Type="http://schemas.openxmlformats.org/officeDocument/2006/relationships/hyperlink" Target="mailto:shichuan2019@flushinginternational.org" TargetMode="External"/><Relationship Id="rId152" Type="http://schemas.openxmlformats.org/officeDocument/2006/relationships/hyperlink" Target="mailto:sijia2019@flushinginternational.org" TargetMode="External"/><Relationship Id="rId151" Type="http://schemas.openxmlformats.org/officeDocument/2006/relationships/hyperlink" Target="mailto:yongjian2019@flushinginternational.org" TargetMode="External"/><Relationship Id="rId158" Type="http://schemas.openxmlformats.org/officeDocument/2006/relationships/hyperlink" Target="mailto:catalinarojas8787@gmail.com" TargetMode="External"/><Relationship Id="rId157" Type="http://schemas.openxmlformats.org/officeDocument/2006/relationships/hyperlink" Target="mailto:veronical62@nycstudents.net" TargetMode="External"/><Relationship Id="rId156" Type="http://schemas.openxmlformats.org/officeDocument/2006/relationships/hyperlink" Target="mailto:lx1371741380@gmail.com" TargetMode="External"/><Relationship Id="rId155" Type="http://schemas.openxmlformats.org/officeDocument/2006/relationships/hyperlink" Target="mailto:sophiez24@nycstudents.net" TargetMode="External"/><Relationship Id="rId1510" Type="http://schemas.openxmlformats.org/officeDocument/2006/relationships/hyperlink" Target="mailto:xlugo21@is125q.org" TargetMode="External"/><Relationship Id="rId1511" Type="http://schemas.openxmlformats.org/officeDocument/2006/relationships/hyperlink" Target="mailto:y.alzandani@ihsph.org" TargetMode="External"/><Relationship Id="rId1512" Type="http://schemas.openxmlformats.org/officeDocument/2006/relationships/hyperlink" Target="mailto:nouhaylathecutest@gmail.com" TargetMode="External"/><Relationship Id="rId1513" Type="http://schemas.openxmlformats.org/officeDocument/2006/relationships/hyperlink" Target="mailto:babyny2007@me.com" TargetMode="External"/><Relationship Id="rId1514" Type="http://schemas.openxmlformats.org/officeDocument/2006/relationships/hyperlink" Target="mailto:nyloganr@gmail.com" TargetMode="External"/><Relationship Id="rId1515" Type="http://schemas.openxmlformats.org/officeDocument/2006/relationships/hyperlink" Target="mailto:andersonb28@nycstudents.net" TargetMode="External"/><Relationship Id="rId1516" Type="http://schemas.openxmlformats.org/officeDocument/2006/relationships/hyperlink" Target="mailto:valeriav31@nycstudents.net" TargetMode="External"/><Relationship Id="rId1517" Type="http://schemas.openxmlformats.org/officeDocument/2006/relationships/hyperlink" Target="mailto:logana30@nycstudents.net" TargetMode="External"/><Relationship Id="rId1518" Type="http://schemas.openxmlformats.org/officeDocument/2006/relationships/hyperlink" Target="mailto:alysona7@nycstudents.net" TargetMode="External"/><Relationship Id="rId1519" Type="http://schemas.openxmlformats.org/officeDocument/2006/relationships/hyperlink" Target="mailto:waasifm@nycstudents.net" TargetMode="External"/><Relationship Id="rId1500" Type="http://schemas.openxmlformats.org/officeDocument/2006/relationships/hyperlink" Target="mailto:hserran21@is125q.org" TargetMode="External"/><Relationship Id="rId1501" Type="http://schemas.openxmlformats.org/officeDocument/2006/relationships/hyperlink" Target="mailto:mazaher.mohamed@ellisprep.com" TargetMode="External"/><Relationship Id="rId1502" Type="http://schemas.openxmlformats.org/officeDocument/2006/relationships/hyperlink" Target="mailto:tenzinl75@nycstudents.net" TargetMode="External"/><Relationship Id="rId1503" Type="http://schemas.openxmlformats.org/officeDocument/2006/relationships/hyperlink" Target="mailto:viverosdayana16@gmail.com" TargetMode="External"/><Relationship Id="rId1504" Type="http://schemas.openxmlformats.org/officeDocument/2006/relationships/hyperlink" Target="mailto:katelynna5101@nycstudents.net" TargetMode="External"/><Relationship Id="rId1505" Type="http://schemas.openxmlformats.org/officeDocument/2006/relationships/hyperlink" Target="mailto:johnl227@nycstudents.net" TargetMode="External"/><Relationship Id="rId1506" Type="http://schemas.openxmlformats.org/officeDocument/2006/relationships/hyperlink" Target="mailto:rcampos21@is125q.org" TargetMode="External"/><Relationship Id="rId1507" Type="http://schemas.openxmlformats.org/officeDocument/2006/relationships/hyperlink" Target="mailto:eileens210@yahoo.com" TargetMode="External"/><Relationship Id="rId1508" Type="http://schemas.openxmlformats.org/officeDocument/2006/relationships/hyperlink" Target="mailto:a.aljabyali@ihsph.org" TargetMode="External"/><Relationship Id="rId1509" Type="http://schemas.openxmlformats.org/officeDocument/2006/relationships/hyperlink" Target="mailto:arcangelgrodriguez@gmail.com" TargetMode="External"/><Relationship Id="rId1576" Type="http://schemas.openxmlformats.org/officeDocument/2006/relationships/hyperlink" Target="mailto:jayson.liz.24@wheels-student.org" TargetMode="External"/><Relationship Id="rId1577" Type="http://schemas.openxmlformats.org/officeDocument/2006/relationships/hyperlink" Target="mailto:ourbelovedphase@nycstudents.net" TargetMode="External"/><Relationship Id="rId1578" Type="http://schemas.openxmlformats.org/officeDocument/2006/relationships/hyperlink" Target="mailto:2024_sanjysaintolive@ihs-us.org" TargetMode="External"/><Relationship Id="rId1579" Type="http://schemas.openxmlformats.org/officeDocument/2006/relationships/hyperlink" Target="mailto:andyh97@nycstudents.net" TargetMode="External"/><Relationship Id="rId509" Type="http://schemas.openxmlformats.org/officeDocument/2006/relationships/hyperlink" Target="mailto:josselync14@nycstudents.net" TargetMode="External"/><Relationship Id="rId508" Type="http://schemas.openxmlformats.org/officeDocument/2006/relationships/hyperlink" Target="mailto:jordin6@nycstudents.net" TargetMode="External"/><Relationship Id="rId503" Type="http://schemas.openxmlformats.org/officeDocument/2006/relationships/hyperlink" Target="mailto:jeremy.rodriguez.24@wheels-student.org" TargetMode="External"/><Relationship Id="rId987" Type="http://schemas.openxmlformats.org/officeDocument/2006/relationships/hyperlink" Target="mailto:bidhata020@ebtbrooklyn.com" TargetMode="External"/><Relationship Id="rId502" Type="http://schemas.openxmlformats.org/officeDocument/2006/relationships/hyperlink" Target="mailto:schayna.ceballos.24@wheels-student.org" TargetMode="External"/><Relationship Id="rId986" Type="http://schemas.openxmlformats.org/officeDocument/2006/relationships/hyperlink" Target="mailto:christopher2019@flushinginternational.org" TargetMode="External"/><Relationship Id="rId501" Type="http://schemas.openxmlformats.org/officeDocument/2006/relationships/hyperlink" Target="mailto:luis6007@nycstudents.net" TargetMode="External"/><Relationship Id="rId985" Type="http://schemas.openxmlformats.org/officeDocument/2006/relationships/hyperlink" Target="mailto:kbar1011red07@gmail.com" TargetMode="External"/><Relationship Id="rId500" Type="http://schemas.openxmlformats.org/officeDocument/2006/relationships/hyperlink" Target="mailto:daylan.peralta.24@wheels-student.org" TargetMode="External"/><Relationship Id="rId984" Type="http://schemas.openxmlformats.org/officeDocument/2006/relationships/hyperlink" Target="mailto:2025_emilianocordero@ihs-us.org" TargetMode="External"/><Relationship Id="rId507" Type="http://schemas.openxmlformats.org/officeDocument/2006/relationships/hyperlink" Target="mailto:gabriellao52@nycstudents.net" TargetMode="External"/><Relationship Id="rId506" Type="http://schemas.openxmlformats.org/officeDocument/2006/relationships/hyperlink" Target="mailto:runelvisespejo15@gmail.com" TargetMode="External"/><Relationship Id="rId505" Type="http://schemas.openxmlformats.org/officeDocument/2006/relationships/hyperlink" Target="mailto:jhonf15@nycstudents.net" TargetMode="External"/><Relationship Id="rId989" Type="http://schemas.openxmlformats.org/officeDocument/2006/relationships/hyperlink" Target="mailto:carolmishelle2019@flushinginternational.org" TargetMode="External"/><Relationship Id="rId504" Type="http://schemas.openxmlformats.org/officeDocument/2006/relationships/hyperlink" Target="mailto:sofiao4505@nycstudents.net" TargetMode="External"/><Relationship Id="rId988" Type="http://schemas.openxmlformats.org/officeDocument/2006/relationships/hyperlink" Target="mailto:mendozatephanie868@gmail.com" TargetMode="External"/><Relationship Id="rId1570" Type="http://schemas.openxmlformats.org/officeDocument/2006/relationships/hyperlink" Target="mailto:jesline.placencia.24@wheels-student.org" TargetMode="External"/><Relationship Id="rId1571" Type="http://schemas.openxmlformats.org/officeDocument/2006/relationships/hyperlink" Target="mailto:c.palacios@ihsph.org" TargetMode="External"/><Relationship Id="rId983" Type="http://schemas.openxmlformats.org/officeDocument/2006/relationships/hyperlink" Target="mailto:2023_luischimbo@ihs-us.org" TargetMode="External"/><Relationship Id="rId1572" Type="http://schemas.openxmlformats.org/officeDocument/2006/relationships/hyperlink" Target="mailto:kaitlynnc9329@bronxcommunityhighschool.org" TargetMode="External"/><Relationship Id="rId982" Type="http://schemas.openxmlformats.org/officeDocument/2006/relationships/hyperlink" Target="mailto:edwino96@nycstudents.net" TargetMode="External"/><Relationship Id="rId1573" Type="http://schemas.openxmlformats.org/officeDocument/2006/relationships/hyperlink" Target="mailto:samuelortiz.student@hseigators.org" TargetMode="External"/><Relationship Id="rId981" Type="http://schemas.openxmlformats.org/officeDocument/2006/relationships/hyperlink" Target="mailto:ashley.diaz.24@wheels-student.org" TargetMode="External"/><Relationship Id="rId1574" Type="http://schemas.openxmlformats.org/officeDocument/2006/relationships/hyperlink" Target="mailto:aprilhiciano174@gmail.com" TargetMode="External"/><Relationship Id="rId980" Type="http://schemas.openxmlformats.org/officeDocument/2006/relationships/hyperlink" Target="mailto:oasis17d@gmail.com" TargetMode="External"/><Relationship Id="rId1575" Type="http://schemas.openxmlformats.org/officeDocument/2006/relationships/hyperlink" Target="mailto:oceanne.compaore@ellisprep.com" TargetMode="External"/><Relationship Id="rId1565" Type="http://schemas.openxmlformats.org/officeDocument/2006/relationships/hyperlink" Target="mailto:arabellag@nycstudents.net" TargetMode="External"/><Relationship Id="rId1566" Type="http://schemas.openxmlformats.org/officeDocument/2006/relationships/hyperlink" Target="mailto:claribelisa.gonzalez@ichsbronx.org" TargetMode="External"/><Relationship Id="rId1567" Type="http://schemas.openxmlformats.org/officeDocument/2006/relationships/hyperlink" Target="mailto:kamyl.batista.24@wheels-student.org" TargetMode="External"/><Relationship Id="rId1568" Type="http://schemas.openxmlformats.org/officeDocument/2006/relationships/hyperlink" Target="mailto:sophiat126@nycstudents.net" TargetMode="External"/><Relationship Id="rId1569" Type="http://schemas.openxmlformats.org/officeDocument/2006/relationships/hyperlink" Target="mailto:jlynn.ortiz.24@wheels-student.org" TargetMode="External"/><Relationship Id="rId976" Type="http://schemas.openxmlformats.org/officeDocument/2006/relationships/hyperlink" Target="mailto:darwinguerrero@claremontihs.org" TargetMode="External"/><Relationship Id="rId975" Type="http://schemas.openxmlformats.org/officeDocument/2006/relationships/hyperlink" Target="mailto:veronicav63@nycstudents.net" TargetMode="External"/><Relationship Id="rId974" Type="http://schemas.openxmlformats.org/officeDocument/2006/relationships/hyperlink" Target="mailto:angelc4323@nycstudents.net" TargetMode="External"/><Relationship Id="rId973" Type="http://schemas.openxmlformats.org/officeDocument/2006/relationships/hyperlink" Target="mailto:mariap461@nycstudents.net" TargetMode="External"/><Relationship Id="rId979" Type="http://schemas.openxmlformats.org/officeDocument/2006/relationships/hyperlink" Target="mailto:dc260683123@crotonaihs.org" TargetMode="External"/><Relationship Id="rId978" Type="http://schemas.openxmlformats.org/officeDocument/2006/relationships/hyperlink" Target="mailto:2025_angelgalindo@ihs-us.org" TargetMode="External"/><Relationship Id="rId977" Type="http://schemas.openxmlformats.org/officeDocument/2006/relationships/hyperlink" Target="mailto:nc259538213@crotonaihs.org" TargetMode="External"/><Relationship Id="rId1560" Type="http://schemas.openxmlformats.org/officeDocument/2006/relationships/hyperlink" Target="mailto:paulina.jachero.24@wheels-student.org" TargetMode="External"/><Relationship Id="rId972" Type="http://schemas.openxmlformats.org/officeDocument/2006/relationships/hyperlink" Target="mailto:trishalandolt@claremontihs.org" TargetMode="External"/><Relationship Id="rId1561" Type="http://schemas.openxmlformats.org/officeDocument/2006/relationships/hyperlink" Target="mailto:austinliu0313@gmail.com" TargetMode="External"/><Relationship Id="rId971" Type="http://schemas.openxmlformats.org/officeDocument/2006/relationships/hyperlink" Target="mailto:aristid.reynoso.24@wheels-student.org" TargetMode="External"/><Relationship Id="rId1562" Type="http://schemas.openxmlformats.org/officeDocument/2006/relationships/hyperlink" Target="mailto:justinzen08@gmail.com" TargetMode="External"/><Relationship Id="rId970" Type="http://schemas.openxmlformats.org/officeDocument/2006/relationships/hyperlink" Target="mailto:2025_doussoubadiakite@ihs-us.org" TargetMode="External"/><Relationship Id="rId1563" Type="http://schemas.openxmlformats.org/officeDocument/2006/relationships/hyperlink" Target="mailto:beatrizespinlsa@claremontihs.org" TargetMode="External"/><Relationship Id="rId1564" Type="http://schemas.openxmlformats.org/officeDocument/2006/relationships/hyperlink" Target="mailto:estevesjavier90@gmail.com" TargetMode="External"/><Relationship Id="rId1114" Type="http://schemas.openxmlformats.org/officeDocument/2006/relationships/hyperlink" Target="mailto:nathanb108@nycstudents.net" TargetMode="External"/><Relationship Id="rId1598" Type="http://schemas.openxmlformats.org/officeDocument/2006/relationships/hyperlink" Target="mailto:bombinyomom@gmail.com" TargetMode="External"/><Relationship Id="rId1115" Type="http://schemas.openxmlformats.org/officeDocument/2006/relationships/hyperlink" Target="mailto:fabster848@gmail.com" TargetMode="External"/><Relationship Id="rId1599" Type="http://schemas.openxmlformats.org/officeDocument/2006/relationships/hyperlink" Target="mailto:shianneb10@nycstudents.net" TargetMode="External"/><Relationship Id="rId1116" Type="http://schemas.openxmlformats.org/officeDocument/2006/relationships/hyperlink" Target="mailto:2025_doussoubadiakite@ihs-us.org" TargetMode="External"/><Relationship Id="rId1117" Type="http://schemas.openxmlformats.org/officeDocument/2006/relationships/hyperlink" Target="mailto:edejesus@crotonaihs.org" TargetMode="External"/><Relationship Id="rId1118" Type="http://schemas.openxmlformats.org/officeDocument/2006/relationships/hyperlink" Target="mailto:merilynortiz14@gmail.com" TargetMode="External"/><Relationship Id="rId1119" Type="http://schemas.openxmlformats.org/officeDocument/2006/relationships/hyperlink" Target="mailto:ivelissev108@gmail.com" TargetMode="External"/><Relationship Id="rId525" Type="http://schemas.openxmlformats.org/officeDocument/2006/relationships/hyperlink" Target="mailto:joselyn.tisalema@ichsbronx.org" TargetMode="External"/><Relationship Id="rId524" Type="http://schemas.openxmlformats.org/officeDocument/2006/relationships/hyperlink" Target="mailto:carroz846@gmail.com" TargetMode="External"/><Relationship Id="rId523" Type="http://schemas.openxmlformats.org/officeDocument/2006/relationships/hyperlink" Target="mailto:2023_luischimbo@ihs-us.org" TargetMode="External"/><Relationship Id="rId522" Type="http://schemas.openxmlformats.org/officeDocument/2006/relationships/hyperlink" Target="mailto:mathews2019@flushinginternational.org" TargetMode="External"/><Relationship Id="rId529" Type="http://schemas.openxmlformats.org/officeDocument/2006/relationships/hyperlink" Target="mailto:2025_segundopoalacin@ihs-us.org" TargetMode="External"/><Relationship Id="rId528" Type="http://schemas.openxmlformats.org/officeDocument/2006/relationships/hyperlink" Target="mailto:2024_anaalmeida@ihs-us.org" TargetMode="External"/><Relationship Id="rId527" Type="http://schemas.openxmlformats.org/officeDocument/2006/relationships/hyperlink" Target="mailto:carlosdanielyucailla@gmail.com" TargetMode="External"/><Relationship Id="rId526" Type="http://schemas.openxmlformats.org/officeDocument/2006/relationships/hyperlink" Target="mailto:2024_jorgelopez@ihs-us.org" TargetMode="External"/><Relationship Id="rId1590" Type="http://schemas.openxmlformats.org/officeDocument/2006/relationships/hyperlink" Target="mailto:nsheikh21@is125q.org" TargetMode="External"/><Relationship Id="rId1591" Type="http://schemas.openxmlformats.org/officeDocument/2006/relationships/hyperlink" Target="mailto:l.bryan2020@flushinginternational.org" TargetMode="External"/><Relationship Id="rId1592" Type="http://schemas.openxmlformats.org/officeDocument/2006/relationships/hyperlink" Target="mailto:hazelp8824@nycstudents.net" TargetMode="External"/><Relationship Id="rId1593" Type="http://schemas.openxmlformats.org/officeDocument/2006/relationships/hyperlink" Target="mailto:2024_silvanatapia@ihs-us.org" TargetMode="External"/><Relationship Id="rId521" Type="http://schemas.openxmlformats.org/officeDocument/2006/relationships/hyperlink" Target="mailto:cesar2019@flushinginternational.org" TargetMode="External"/><Relationship Id="rId1110" Type="http://schemas.openxmlformats.org/officeDocument/2006/relationships/hyperlink" Target="mailto:cleintson64@gmail.com" TargetMode="External"/><Relationship Id="rId1594" Type="http://schemas.openxmlformats.org/officeDocument/2006/relationships/hyperlink" Target="mailto:j.veletanga2018@flushinginternational.org" TargetMode="External"/><Relationship Id="rId520" Type="http://schemas.openxmlformats.org/officeDocument/2006/relationships/hyperlink" Target="mailto:danielay12@nycstudents.net" TargetMode="External"/><Relationship Id="rId1111" Type="http://schemas.openxmlformats.org/officeDocument/2006/relationships/hyperlink" Target="mailto:julianapatricem@nycstudents.net" TargetMode="External"/><Relationship Id="rId1595" Type="http://schemas.openxmlformats.org/officeDocument/2006/relationships/hyperlink" Target="mailto:rogerc69@nycstudents.net" TargetMode="External"/><Relationship Id="rId1112" Type="http://schemas.openxmlformats.org/officeDocument/2006/relationships/hyperlink" Target="mailto:2024_yannicdiaby@ihs-us.org" TargetMode="External"/><Relationship Id="rId1596" Type="http://schemas.openxmlformats.org/officeDocument/2006/relationships/hyperlink" Target="mailto:vladimirs46@nycstudents.net" TargetMode="External"/><Relationship Id="rId1113" Type="http://schemas.openxmlformats.org/officeDocument/2006/relationships/hyperlink" Target="mailto:ceolalia@icloud.com" TargetMode="External"/><Relationship Id="rId1597" Type="http://schemas.openxmlformats.org/officeDocument/2006/relationships/hyperlink" Target="mailto:marianq@nycstudents.net" TargetMode="External"/><Relationship Id="rId1103" Type="http://schemas.openxmlformats.org/officeDocument/2006/relationships/hyperlink" Target="mailto:2024_melanyalcalalopez@ihs-us.org" TargetMode="External"/><Relationship Id="rId1587" Type="http://schemas.openxmlformats.org/officeDocument/2006/relationships/hyperlink" Target="mailto:rachelr186@nycstudents.net" TargetMode="External"/><Relationship Id="rId1104" Type="http://schemas.openxmlformats.org/officeDocument/2006/relationships/hyperlink" Target="mailto:maryleshab@nycstudents.net" TargetMode="External"/><Relationship Id="rId1588" Type="http://schemas.openxmlformats.org/officeDocument/2006/relationships/hyperlink" Target="mailto:aimeej2@nycstudents.net" TargetMode="External"/><Relationship Id="rId1105" Type="http://schemas.openxmlformats.org/officeDocument/2006/relationships/hyperlink" Target="mailto:amatashwini032@gmail.com" TargetMode="External"/><Relationship Id="rId1589" Type="http://schemas.openxmlformats.org/officeDocument/2006/relationships/hyperlink" Target="mailto:108059508@ideastudent.org" TargetMode="External"/><Relationship Id="rId1106" Type="http://schemas.openxmlformats.org/officeDocument/2006/relationships/hyperlink" Target="mailto:elmhlayheartp@nycstudents.net" TargetMode="External"/><Relationship Id="rId1107" Type="http://schemas.openxmlformats.org/officeDocument/2006/relationships/hyperlink" Target="mailto:2024_rinchenwangmo@ihs-us.org" TargetMode="External"/><Relationship Id="rId1108" Type="http://schemas.openxmlformats.org/officeDocument/2006/relationships/hyperlink" Target="mailto:faitha66@nycstudents.net" TargetMode="External"/><Relationship Id="rId1109" Type="http://schemas.openxmlformats.org/officeDocument/2006/relationships/hyperlink" Target="mailto:lindsaylaochuab@gmail.com" TargetMode="External"/><Relationship Id="rId519" Type="http://schemas.openxmlformats.org/officeDocument/2006/relationships/hyperlink" Target="mailto:larcoxiomara@gmail.com" TargetMode="External"/><Relationship Id="rId514" Type="http://schemas.openxmlformats.org/officeDocument/2006/relationships/hyperlink" Target="mailto:alessguzman0@gmail.com" TargetMode="External"/><Relationship Id="rId998" Type="http://schemas.openxmlformats.org/officeDocument/2006/relationships/hyperlink" Target="mailto:urielg37@nycstudents.net" TargetMode="External"/><Relationship Id="rId513" Type="http://schemas.openxmlformats.org/officeDocument/2006/relationships/hyperlink" Target="mailto:2024_brauliogutierrez@ihs-us.org" TargetMode="External"/><Relationship Id="rId997" Type="http://schemas.openxmlformats.org/officeDocument/2006/relationships/hyperlink" Target="mailto:danielmartinezcelo@gmail.com" TargetMode="External"/><Relationship Id="rId512" Type="http://schemas.openxmlformats.org/officeDocument/2006/relationships/hyperlink" Target="mailto:2025_erickcuzco@ihs-us.org" TargetMode="External"/><Relationship Id="rId996" Type="http://schemas.openxmlformats.org/officeDocument/2006/relationships/hyperlink" Target="mailto:epyj653@gmail.com" TargetMode="External"/><Relationship Id="rId511" Type="http://schemas.openxmlformats.org/officeDocument/2006/relationships/hyperlink" Target="mailto:brittany.guaman@casa311.com" TargetMode="External"/><Relationship Id="rId995" Type="http://schemas.openxmlformats.org/officeDocument/2006/relationships/hyperlink" Target="mailto:helenabedward4@gmail.com" TargetMode="External"/><Relationship Id="rId518" Type="http://schemas.openxmlformats.org/officeDocument/2006/relationships/hyperlink" Target="mailto:johanat12@nycstudents.net" TargetMode="External"/><Relationship Id="rId517" Type="http://schemas.openxmlformats.org/officeDocument/2006/relationships/hyperlink" Target="mailto:a.danna2021@flushinginternational.org" TargetMode="External"/><Relationship Id="rId516" Type="http://schemas.openxmlformats.org/officeDocument/2006/relationships/hyperlink" Target="mailto:freddyc8369@nycstudents.net" TargetMode="External"/><Relationship Id="rId515" Type="http://schemas.openxmlformats.org/officeDocument/2006/relationships/hyperlink" Target="mailto:michaeldutan78@gmail.com" TargetMode="External"/><Relationship Id="rId999" Type="http://schemas.openxmlformats.org/officeDocument/2006/relationships/hyperlink" Target="mailto:carlosm5802@nycstudents.net" TargetMode="External"/><Relationship Id="rId990" Type="http://schemas.openxmlformats.org/officeDocument/2006/relationships/hyperlink" Target="mailto:jahzionplummer@gmail.com" TargetMode="External"/><Relationship Id="rId1580" Type="http://schemas.openxmlformats.org/officeDocument/2006/relationships/hyperlink" Target="mailto:c.jeffrey2021@flushinginternational.org" TargetMode="External"/><Relationship Id="rId1581" Type="http://schemas.openxmlformats.org/officeDocument/2006/relationships/hyperlink" Target="mailto:ameiacampbell01@icloud.com" TargetMode="External"/><Relationship Id="rId1582" Type="http://schemas.openxmlformats.org/officeDocument/2006/relationships/hyperlink" Target="mailto:oumaru.batchilly@ichsbronx.org" TargetMode="External"/><Relationship Id="rId510" Type="http://schemas.openxmlformats.org/officeDocument/2006/relationships/hyperlink" Target="mailto:a.juan2020@flushinginternational.org" TargetMode="External"/><Relationship Id="rId994" Type="http://schemas.openxmlformats.org/officeDocument/2006/relationships/hyperlink" Target="mailto:lizbeth.luna@ichsbronx.org" TargetMode="External"/><Relationship Id="rId1583" Type="http://schemas.openxmlformats.org/officeDocument/2006/relationships/hyperlink" Target="mailto:cobbkhyia13@gmail.com" TargetMode="External"/><Relationship Id="rId993" Type="http://schemas.openxmlformats.org/officeDocument/2006/relationships/hyperlink" Target="mailto:josec760@nycstudents.net" TargetMode="External"/><Relationship Id="rId1100" Type="http://schemas.openxmlformats.org/officeDocument/2006/relationships/hyperlink" Target="mailto:angeliquea37@nycstudents.net" TargetMode="External"/><Relationship Id="rId1584" Type="http://schemas.openxmlformats.org/officeDocument/2006/relationships/hyperlink" Target="mailto:nana.topangaaa@gmail.com" TargetMode="External"/><Relationship Id="rId992" Type="http://schemas.openxmlformats.org/officeDocument/2006/relationships/hyperlink" Target="mailto:dmarjiar@gmail.com" TargetMode="External"/><Relationship Id="rId1101" Type="http://schemas.openxmlformats.org/officeDocument/2006/relationships/hyperlink" Target="mailto:2025_mathiasflores@ihs-us.org" TargetMode="External"/><Relationship Id="rId1585" Type="http://schemas.openxmlformats.org/officeDocument/2006/relationships/hyperlink" Target="mailto:amoin@nycstudents.net" TargetMode="External"/><Relationship Id="rId991" Type="http://schemas.openxmlformats.org/officeDocument/2006/relationships/hyperlink" Target="mailto:2025_edwinmelendez@ihs-us.org" TargetMode="External"/><Relationship Id="rId1102" Type="http://schemas.openxmlformats.org/officeDocument/2006/relationships/hyperlink" Target="mailto:cleidy2019@flushinginternational.org" TargetMode="External"/><Relationship Id="rId1586" Type="http://schemas.openxmlformats.org/officeDocument/2006/relationships/hyperlink" Target="mailto:ryanc7597@nycstudents.net" TargetMode="External"/><Relationship Id="rId1532" Type="http://schemas.openxmlformats.org/officeDocument/2006/relationships/hyperlink" Target="mailto:joyp16@nycstudents.net" TargetMode="External"/><Relationship Id="rId1533" Type="http://schemas.openxmlformats.org/officeDocument/2006/relationships/hyperlink" Target="mailto:jackelinem14@nycstudents.net" TargetMode="External"/><Relationship Id="rId1534" Type="http://schemas.openxmlformats.org/officeDocument/2006/relationships/hyperlink" Target="mailto:pierceterrence@gmail.com" TargetMode="External"/><Relationship Id="rId1535" Type="http://schemas.openxmlformats.org/officeDocument/2006/relationships/hyperlink" Target="mailto:darielkys@nycstudents.net" TargetMode="External"/><Relationship Id="rId1536" Type="http://schemas.openxmlformats.org/officeDocument/2006/relationships/hyperlink" Target="mailto:maryc69@nycstudents.net" TargetMode="External"/><Relationship Id="rId1537" Type="http://schemas.openxmlformats.org/officeDocument/2006/relationships/hyperlink" Target="mailto:briannac381@nycstudents.net" TargetMode="External"/><Relationship Id="rId1538" Type="http://schemas.openxmlformats.org/officeDocument/2006/relationships/hyperlink" Target="mailto:geovanyd652@gmail.com" TargetMode="External"/><Relationship Id="rId1539" Type="http://schemas.openxmlformats.org/officeDocument/2006/relationships/hyperlink" Target="mailto:brendap47@nycstudents.net" TargetMode="External"/><Relationship Id="rId949" Type="http://schemas.openxmlformats.org/officeDocument/2006/relationships/hyperlink" Target="mailto:briannamcleod22@gmail.com" TargetMode="External"/><Relationship Id="rId948" Type="http://schemas.openxmlformats.org/officeDocument/2006/relationships/hyperlink" Target="mailto:chillo2kk@gmail.com" TargetMode="External"/><Relationship Id="rId943" Type="http://schemas.openxmlformats.org/officeDocument/2006/relationships/hyperlink" Target="mailto:a.lizheng2018@flushinginternational.org" TargetMode="External"/><Relationship Id="rId942" Type="http://schemas.openxmlformats.org/officeDocument/2006/relationships/hyperlink" Target="mailto:pumpkinlovesmom@gmail.com" TargetMode="External"/><Relationship Id="rId941" Type="http://schemas.openxmlformats.org/officeDocument/2006/relationships/hyperlink" Target="mailto:bonillamariel2@gmail.com" TargetMode="External"/><Relationship Id="rId940" Type="http://schemas.openxmlformats.org/officeDocument/2006/relationships/hyperlink" Target="mailto:wright.matthew007@gmail.com" TargetMode="External"/><Relationship Id="rId947" Type="http://schemas.openxmlformats.org/officeDocument/2006/relationships/hyperlink" Target="mailto:sarahdw32@yahoo.com" TargetMode="External"/><Relationship Id="rId946" Type="http://schemas.openxmlformats.org/officeDocument/2006/relationships/hyperlink" Target="mailto:ciaracampbell11@gmail.com" TargetMode="External"/><Relationship Id="rId945" Type="http://schemas.openxmlformats.org/officeDocument/2006/relationships/hyperlink" Target="mailto:rajahbrown2@gmail.com" TargetMode="External"/><Relationship Id="rId944" Type="http://schemas.openxmlformats.org/officeDocument/2006/relationships/hyperlink" Target="mailto:kthen123krisi@gmail.com" TargetMode="External"/><Relationship Id="rId1530" Type="http://schemas.openxmlformats.org/officeDocument/2006/relationships/hyperlink" Target="mailto:harrisona14@nycstudents.net" TargetMode="External"/><Relationship Id="rId1531" Type="http://schemas.openxmlformats.org/officeDocument/2006/relationships/hyperlink" Target="mailto:keily.aquinojavier@casa311.com" TargetMode="External"/><Relationship Id="rId1521" Type="http://schemas.openxmlformats.org/officeDocument/2006/relationships/hyperlink" Target="mailto:joseg527@mail.nycstudents.net" TargetMode="External"/><Relationship Id="rId1522" Type="http://schemas.openxmlformats.org/officeDocument/2006/relationships/hyperlink" Target="mailto:jessica763@gmail.com" TargetMode="External"/><Relationship Id="rId1523" Type="http://schemas.openxmlformats.org/officeDocument/2006/relationships/hyperlink" Target="mailto:nataly3455@gmail.com" TargetMode="External"/><Relationship Id="rId1524" Type="http://schemas.openxmlformats.org/officeDocument/2006/relationships/hyperlink" Target="mailto:elian.duarte@ichsbronx.org" TargetMode="External"/><Relationship Id="rId1525" Type="http://schemas.openxmlformats.org/officeDocument/2006/relationships/hyperlink" Target="mailto:dafnes7@nycstudents.net" TargetMode="External"/><Relationship Id="rId1526" Type="http://schemas.openxmlformats.org/officeDocument/2006/relationships/hyperlink" Target="mailto:k.guartasaca@ihsph.org" TargetMode="External"/><Relationship Id="rId1527" Type="http://schemas.openxmlformats.org/officeDocument/2006/relationships/hyperlink" Target="mailto:angelizc3@nycstudents.nets" TargetMode="External"/><Relationship Id="rId1528" Type="http://schemas.openxmlformats.org/officeDocument/2006/relationships/hyperlink" Target="mailto:christopherh409@nycstudents.net" TargetMode="External"/><Relationship Id="rId1529" Type="http://schemas.openxmlformats.org/officeDocument/2006/relationships/hyperlink" Target="mailto:cindyp81@nycstudents.net" TargetMode="External"/><Relationship Id="rId939" Type="http://schemas.openxmlformats.org/officeDocument/2006/relationships/hyperlink" Target="mailto:rushawn2008@gmail.com" TargetMode="External"/><Relationship Id="rId938" Type="http://schemas.openxmlformats.org/officeDocument/2006/relationships/hyperlink" Target="mailto:daejahnae2002@gmail.com" TargetMode="External"/><Relationship Id="rId937" Type="http://schemas.openxmlformats.org/officeDocument/2006/relationships/hyperlink" Target="mailto:amarasinclair7@gmail.com" TargetMode="External"/><Relationship Id="rId932" Type="http://schemas.openxmlformats.org/officeDocument/2006/relationships/hyperlink" Target="mailto:amoniquewynter1@gmail.com" TargetMode="External"/><Relationship Id="rId931" Type="http://schemas.openxmlformats.org/officeDocument/2006/relationships/hyperlink" Target="mailto:karidjatou.kone@ellisprep.com" TargetMode="External"/><Relationship Id="rId930" Type="http://schemas.openxmlformats.org/officeDocument/2006/relationships/hyperlink" Target="mailto:djaka.kante@ellisprep.com" TargetMode="External"/><Relationship Id="rId936" Type="http://schemas.openxmlformats.org/officeDocument/2006/relationships/hyperlink" Target="mailto:kijhanialtond@gmail.com" TargetMode="External"/><Relationship Id="rId935" Type="http://schemas.openxmlformats.org/officeDocument/2006/relationships/hyperlink" Target="mailto:joshuaandrews997@gmail.com" TargetMode="External"/><Relationship Id="rId934" Type="http://schemas.openxmlformats.org/officeDocument/2006/relationships/hyperlink" Target="mailto:2023_kerenmejia@ihs-us.org" TargetMode="External"/><Relationship Id="rId933" Type="http://schemas.openxmlformats.org/officeDocument/2006/relationships/hyperlink" Target="mailto:tishemapayne@gmail.com" TargetMode="External"/><Relationship Id="rId1520" Type="http://schemas.openxmlformats.org/officeDocument/2006/relationships/hyperlink" Target="mailto:a.valladares28@icloud.com" TargetMode="External"/><Relationship Id="rId1554" Type="http://schemas.openxmlformats.org/officeDocument/2006/relationships/hyperlink" Target="mailto:kaitlync5044@nycstudents.net" TargetMode="External"/><Relationship Id="rId1555" Type="http://schemas.openxmlformats.org/officeDocument/2006/relationships/hyperlink" Target="mailto:sophias301@nycstudents.net" TargetMode="External"/><Relationship Id="rId1556" Type="http://schemas.openxmlformats.org/officeDocument/2006/relationships/hyperlink" Target="mailto:ndeye.diediou@ellisprep.com" TargetMode="External"/><Relationship Id="rId1557" Type="http://schemas.openxmlformats.org/officeDocument/2006/relationships/hyperlink" Target="mailto:cnava21@is125q.org" TargetMode="External"/><Relationship Id="rId1558" Type="http://schemas.openxmlformats.org/officeDocument/2006/relationships/hyperlink" Target="mailto:ibrahima106@nycstudents.net" TargetMode="External"/><Relationship Id="rId1559" Type="http://schemas.openxmlformats.org/officeDocument/2006/relationships/hyperlink" Target="mailto:smcam0106@gmail.com" TargetMode="External"/><Relationship Id="rId965" Type="http://schemas.openxmlformats.org/officeDocument/2006/relationships/hyperlink" Target="mailto:niyati1296rd@gmail.com" TargetMode="External"/><Relationship Id="rId964" Type="http://schemas.openxmlformats.org/officeDocument/2006/relationships/hyperlink" Target="mailto:amarad14@nycstudents.net" TargetMode="External"/><Relationship Id="rId963" Type="http://schemas.openxmlformats.org/officeDocument/2006/relationships/hyperlink" Target="mailto:fbinta@crotonaihs.org" TargetMode="External"/><Relationship Id="rId962" Type="http://schemas.openxmlformats.org/officeDocument/2006/relationships/hyperlink" Target="mailto:anahit16@nycstudents.net" TargetMode="External"/><Relationship Id="rId969" Type="http://schemas.openxmlformats.org/officeDocument/2006/relationships/hyperlink" Target="mailto:2023_luischimbo@ihs-us.org" TargetMode="External"/><Relationship Id="rId968" Type="http://schemas.openxmlformats.org/officeDocument/2006/relationships/hyperlink" Target="mailto:10076883@philasd.org" TargetMode="External"/><Relationship Id="rId967" Type="http://schemas.openxmlformats.org/officeDocument/2006/relationships/hyperlink" Target="mailto:hatoumadoucoure2002@gmail.com" TargetMode="External"/><Relationship Id="rId966" Type="http://schemas.openxmlformats.org/officeDocument/2006/relationships/hyperlink" Target="mailto:atraore@crotonaihs.org" TargetMode="External"/><Relationship Id="rId961" Type="http://schemas.openxmlformats.org/officeDocument/2006/relationships/hyperlink" Target="mailto:aissatasamassa@claremontihs.org" TargetMode="External"/><Relationship Id="rId1550" Type="http://schemas.openxmlformats.org/officeDocument/2006/relationships/hyperlink" Target="mailto:adalayr2789@nycstudents.net" TargetMode="External"/><Relationship Id="rId960" Type="http://schemas.openxmlformats.org/officeDocument/2006/relationships/hyperlink" Target="mailto:bessiroudoukoure@claremontihs.org" TargetMode="External"/><Relationship Id="rId1551" Type="http://schemas.openxmlformats.org/officeDocument/2006/relationships/hyperlink" Target="mailto:arielo4757@nycstudents.net" TargetMode="External"/><Relationship Id="rId1552" Type="http://schemas.openxmlformats.org/officeDocument/2006/relationships/hyperlink" Target="mailto:heyderm@nycstudents.net" TargetMode="External"/><Relationship Id="rId1553" Type="http://schemas.openxmlformats.org/officeDocument/2006/relationships/hyperlink" Target="mailto:juliaa101@nycstudents.net" TargetMode="External"/><Relationship Id="rId1543" Type="http://schemas.openxmlformats.org/officeDocument/2006/relationships/hyperlink" Target="mailto:allenc83@nycstudents.net" TargetMode="External"/><Relationship Id="rId1544" Type="http://schemas.openxmlformats.org/officeDocument/2006/relationships/hyperlink" Target="mailto:karenc211@nycstudents.net" TargetMode="External"/><Relationship Id="rId1545" Type="http://schemas.openxmlformats.org/officeDocument/2006/relationships/hyperlink" Target="mailto:liamf52@nycstudents.net" TargetMode="External"/><Relationship Id="rId1546" Type="http://schemas.openxmlformats.org/officeDocument/2006/relationships/hyperlink" Target="mailto:dannyy15@nycstudents.net" TargetMode="External"/><Relationship Id="rId1547" Type="http://schemas.openxmlformats.org/officeDocument/2006/relationships/hyperlink" Target="mailto:princeagbotui513@gmail.com" TargetMode="External"/><Relationship Id="rId1548" Type="http://schemas.openxmlformats.org/officeDocument/2006/relationships/hyperlink" Target="mailto:melvinp43@nycstudents.net" TargetMode="External"/><Relationship Id="rId1549" Type="http://schemas.openxmlformats.org/officeDocument/2006/relationships/hyperlink" Target="mailto:sherlynn@nycstudents.net" TargetMode="External"/><Relationship Id="rId959" Type="http://schemas.openxmlformats.org/officeDocument/2006/relationships/hyperlink" Target="mailto:jiameng2019@flushinginternational.org" TargetMode="External"/><Relationship Id="rId954" Type="http://schemas.openxmlformats.org/officeDocument/2006/relationships/hyperlink" Target="mailto:zuura1001@gmail.com" TargetMode="External"/><Relationship Id="rId953" Type="http://schemas.openxmlformats.org/officeDocument/2006/relationships/hyperlink" Target="mailto:dejahn2008@gmail.com" TargetMode="External"/><Relationship Id="rId952" Type="http://schemas.openxmlformats.org/officeDocument/2006/relationships/hyperlink" Target="mailto:lapicito3505@gmail.com" TargetMode="External"/><Relationship Id="rId951" Type="http://schemas.openxmlformats.org/officeDocument/2006/relationships/hyperlink" Target="mailto:tm381188@gmail.com" TargetMode="External"/><Relationship Id="rId958" Type="http://schemas.openxmlformats.org/officeDocument/2006/relationships/hyperlink" Target="mailto:madusujabateh18@gmail.com" TargetMode="External"/><Relationship Id="rId957" Type="http://schemas.openxmlformats.org/officeDocument/2006/relationships/hyperlink" Target="mailto:2025_aneedavongnorkeo@ihs-us.org" TargetMode="External"/><Relationship Id="rId956" Type="http://schemas.openxmlformats.org/officeDocument/2006/relationships/hyperlink" Target="mailto:batmaramazanova@gmail.com" TargetMode="External"/><Relationship Id="rId955" Type="http://schemas.openxmlformats.org/officeDocument/2006/relationships/hyperlink" Target="mailto:bolotbekova.nazima0200@gmail.com" TargetMode="External"/><Relationship Id="rId950" Type="http://schemas.openxmlformats.org/officeDocument/2006/relationships/hyperlink" Target="mailto:malikblake419@gmail.com" TargetMode="External"/><Relationship Id="rId1540" Type="http://schemas.openxmlformats.org/officeDocument/2006/relationships/hyperlink" Target="mailto:opalite45@icloud.com" TargetMode="External"/><Relationship Id="rId1541" Type="http://schemas.openxmlformats.org/officeDocument/2006/relationships/hyperlink" Target="mailto:chelseat56@nycstudents.net" TargetMode="External"/><Relationship Id="rId1542" Type="http://schemas.openxmlformats.org/officeDocument/2006/relationships/hyperlink" Target="mailto:jolinanarbona1060@yahoo.com" TargetMode="External"/><Relationship Id="rId590" Type="http://schemas.openxmlformats.org/officeDocument/2006/relationships/hyperlink" Target="mailto:emily25aguayza@gmail.com" TargetMode="External"/><Relationship Id="rId107" Type="http://schemas.openxmlformats.org/officeDocument/2006/relationships/hyperlink" Target="mailto:hongning.wei@live.lagcc.cuny.edu" TargetMode="External"/><Relationship Id="rId106" Type="http://schemas.openxmlformats.org/officeDocument/2006/relationships/hyperlink" Target="mailto:ap260483581@crotonaihs.org" TargetMode="External"/><Relationship Id="rId105" Type="http://schemas.openxmlformats.org/officeDocument/2006/relationships/hyperlink" Target="mailto:dfenout21@is125q.org" TargetMode="External"/><Relationship Id="rId589" Type="http://schemas.openxmlformats.org/officeDocument/2006/relationships/hyperlink" Target="mailto:natalyb3017@gmail.com" TargetMode="External"/><Relationship Id="rId104" Type="http://schemas.openxmlformats.org/officeDocument/2006/relationships/hyperlink" Target="mailto:grahamw4@nycstudents.net" TargetMode="External"/><Relationship Id="rId588" Type="http://schemas.openxmlformats.org/officeDocument/2006/relationships/hyperlink" Target="mailto:nagelylliguin@gmail.com" TargetMode="External"/><Relationship Id="rId109" Type="http://schemas.openxmlformats.org/officeDocument/2006/relationships/hyperlink" Target="mailto:2991018329@qq.com" TargetMode="External"/><Relationship Id="rId1170" Type="http://schemas.openxmlformats.org/officeDocument/2006/relationships/hyperlink" Target="mailto:2025_josephfisher@ihs-us.org" TargetMode="External"/><Relationship Id="rId108" Type="http://schemas.openxmlformats.org/officeDocument/2006/relationships/hyperlink" Target="mailto:yuzhi2019@flushinginternational.org" TargetMode="External"/><Relationship Id="rId1171" Type="http://schemas.openxmlformats.org/officeDocument/2006/relationships/hyperlink" Target="mailto:budthimat@nycstudents.net" TargetMode="External"/><Relationship Id="rId583" Type="http://schemas.openxmlformats.org/officeDocument/2006/relationships/hyperlink" Target="mailto:david.paredes@ichsbronx.org" TargetMode="External"/><Relationship Id="rId1172" Type="http://schemas.openxmlformats.org/officeDocument/2006/relationships/hyperlink" Target="mailto:primw@nycstudents.net" TargetMode="External"/><Relationship Id="rId582" Type="http://schemas.openxmlformats.org/officeDocument/2006/relationships/hyperlink" Target="mailto:ladycalle119@gmail.com" TargetMode="External"/><Relationship Id="rId1173" Type="http://schemas.openxmlformats.org/officeDocument/2006/relationships/hyperlink" Target="mailto:racquel.guerrero.24@wheels-student.org" TargetMode="External"/><Relationship Id="rId581" Type="http://schemas.openxmlformats.org/officeDocument/2006/relationships/hyperlink" Target="mailto:valeriav81@nycstudents.net" TargetMode="External"/><Relationship Id="rId1174" Type="http://schemas.openxmlformats.org/officeDocument/2006/relationships/hyperlink" Target="mailto:marvinmerino2005@gmail.com" TargetMode="External"/><Relationship Id="rId580" Type="http://schemas.openxmlformats.org/officeDocument/2006/relationships/hyperlink" Target="mailto:willans@nycstudents.net" TargetMode="External"/><Relationship Id="rId1175" Type="http://schemas.openxmlformats.org/officeDocument/2006/relationships/hyperlink" Target="mailto:brandon.nunez.24@wheels-student.org" TargetMode="External"/><Relationship Id="rId103" Type="http://schemas.openxmlformats.org/officeDocument/2006/relationships/hyperlink" Target="mailto:yann.gleinn@gmail.com" TargetMode="External"/><Relationship Id="rId587" Type="http://schemas.openxmlformats.org/officeDocument/2006/relationships/hyperlink" Target="mailto:a2.steven2020@flushinginternational.org" TargetMode="External"/><Relationship Id="rId1176" Type="http://schemas.openxmlformats.org/officeDocument/2006/relationships/hyperlink" Target="mailto:kaddijatousey@claremontihs.org" TargetMode="External"/><Relationship Id="rId102" Type="http://schemas.openxmlformats.org/officeDocument/2006/relationships/hyperlink" Target="mailto:wouedraogo@crotonaihs.org" TargetMode="External"/><Relationship Id="rId586" Type="http://schemas.openxmlformats.org/officeDocument/2006/relationships/hyperlink" Target="mailto:evelyn2019@flushinginternational.org" TargetMode="External"/><Relationship Id="rId1177" Type="http://schemas.openxmlformats.org/officeDocument/2006/relationships/hyperlink" Target="mailto:emat5@nycstudents.net" TargetMode="External"/><Relationship Id="rId101" Type="http://schemas.openxmlformats.org/officeDocument/2006/relationships/hyperlink" Target="mailto:sm258646413@crotonaihs.org" TargetMode="External"/><Relationship Id="rId585" Type="http://schemas.openxmlformats.org/officeDocument/2006/relationships/hyperlink" Target="mailto:cullquishirley01@gmail.com" TargetMode="External"/><Relationship Id="rId1178" Type="http://schemas.openxmlformats.org/officeDocument/2006/relationships/hyperlink" Target="mailto:pratimabohara555@gmail.com" TargetMode="External"/><Relationship Id="rId100" Type="http://schemas.openxmlformats.org/officeDocument/2006/relationships/hyperlink" Target="mailto:kadidiatoutraore@claremontihs.org" TargetMode="External"/><Relationship Id="rId584" Type="http://schemas.openxmlformats.org/officeDocument/2006/relationships/hyperlink" Target="mailto:steven.paredes@ichsbronx.org" TargetMode="External"/><Relationship Id="rId1179" Type="http://schemas.openxmlformats.org/officeDocument/2006/relationships/hyperlink" Target="mailto:yamin.titikpina@ellisprep.com" TargetMode="External"/><Relationship Id="rId1169" Type="http://schemas.openxmlformats.org/officeDocument/2006/relationships/hyperlink" Target="mailto:nuru.sherps@gmail.com" TargetMode="External"/><Relationship Id="rId579" Type="http://schemas.openxmlformats.org/officeDocument/2006/relationships/hyperlink" Target="mailto:2025_jonathanchachipanta@ihs-us.org" TargetMode="External"/><Relationship Id="rId578" Type="http://schemas.openxmlformats.org/officeDocument/2006/relationships/hyperlink" Target="mailto:josselynrcanas@gmail.com" TargetMode="External"/><Relationship Id="rId577" Type="http://schemas.openxmlformats.org/officeDocument/2006/relationships/hyperlink" Target="mailto:stevencondo86@gmail.com" TargetMode="External"/><Relationship Id="rId1160" Type="http://schemas.openxmlformats.org/officeDocument/2006/relationships/hyperlink" Target="mailto:valentinod23@yahoo.com" TargetMode="External"/><Relationship Id="rId572" Type="http://schemas.openxmlformats.org/officeDocument/2006/relationships/hyperlink" Target="mailto:valesblair@gmail.com" TargetMode="External"/><Relationship Id="rId1161" Type="http://schemas.openxmlformats.org/officeDocument/2006/relationships/hyperlink" Target="mailto:7644194@philasd.org" TargetMode="External"/><Relationship Id="rId571" Type="http://schemas.openxmlformats.org/officeDocument/2006/relationships/hyperlink" Target="mailto:jordanbeyker200731@gmail.com" TargetMode="External"/><Relationship Id="rId1162" Type="http://schemas.openxmlformats.org/officeDocument/2006/relationships/hyperlink" Target="mailto:emmanuellaroberts62@gmail.com" TargetMode="External"/><Relationship Id="rId570" Type="http://schemas.openxmlformats.org/officeDocument/2006/relationships/hyperlink" Target="mailto:iposada@crotonaihs.org" TargetMode="External"/><Relationship Id="rId1163" Type="http://schemas.openxmlformats.org/officeDocument/2006/relationships/hyperlink" Target="mailto:necryps@gmail.com" TargetMode="External"/><Relationship Id="rId1164" Type="http://schemas.openxmlformats.org/officeDocument/2006/relationships/hyperlink" Target="mailto:islamaldodoo5@gmail.com" TargetMode="External"/><Relationship Id="rId576" Type="http://schemas.openxmlformats.org/officeDocument/2006/relationships/hyperlink" Target="mailto:emilianocordero122007@gmail.com" TargetMode="External"/><Relationship Id="rId1165" Type="http://schemas.openxmlformats.org/officeDocument/2006/relationships/hyperlink" Target="mailto:2024_juliaaliessa@ihs-us.org" TargetMode="External"/><Relationship Id="rId575" Type="http://schemas.openxmlformats.org/officeDocument/2006/relationships/hyperlink" Target="mailto:ilonjose57@gmail.com" TargetMode="External"/><Relationship Id="rId1166" Type="http://schemas.openxmlformats.org/officeDocument/2006/relationships/hyperlink" Target="mailto:akhmadzon.vokhidov@gmail.com" TargetMode="External"/><Relationship Id="rId574" Type="http://schemas.openxmlformats.org/officeDocument/2006/relationships/hyperlink" Target="mailto:2024_edwingutierrez@ihs-us.org" TargetMode="External"/><Relationship Id="rId1167" Type="http://schemas.openxmlformats.org/officeDocument/2006/relationships/hyperlink" Target="mailto:farkhadm@nycstudents.net" TargetMode="External"/><Relationship Id="rId573" Type="http://schemas.openxmlformats.org/officeDocument/2006/relationships/hyperlink" Target="mailto:mariam2019@flushinginternational.org" TargetMode="External"/><Relationship Id="rId1168" Type="http://schemas.openxmlformats.org/officeDocument/2006/relationships/hyperlink" Target="mailto:ssambula@crotonaihs.org" TargetMode="External"/><Relationship Id="rId129" Type="http://schemas.openxmlformats.org/officeDocument/2006/relationships/hyperlink" Target="mailto:chuanxun2019@flushinginternational.org" TargetMode="External"/><Relationship Id="rId128" Type="http://schemas.openxmlformats.org/officeDocument/2006/relationships/hyperlink" Target="mailto:fernandamartevasquez@claremontihs.org" TargetMode="External"/><Relationship Id="rId127" Type="http://schemas.openxmlformats.org/officeDocument/2006/relationships/hyperlink" Target="mailto:y.tan2018@flushinginternational.org" TargetMode="External"/><Relationship Id="rId126" Type="http://schemas.openxmlformats.org/officeDocument/2006/relationships/hyperlink" Target="mailto:2023_rongzeyu@ihs-us.org" TargetMode="External"/><Relationship Id="rId1190" Type="http://schemas.openxmlformats.org/officeDocument/2006/relationships/hyperlink" Target="mailto:ayokokessouagni@gmail.com" TargetMode="External"/><Relationship Id="rId1191" Type="http://schemas.openxmlformats.org/officeDocument/2006/relationships/hyperlink" Target="mailto:rebeccas187@nycstudents.net" TargetMode="External"/><Relationship Id="rId1192" Type="http://schemas.openxmlformats.org/officeDocument/2006/relationships/hyperlink" Target="mailto:tumama@gmail.com" TargetMode="External"/><Relationship Id="rId1193" Type="http://schemas.openxmlformats.org/officeDocument/2006/relationships/hyperlink" Target="mailto:2023_oussemasaddi@ihs-us.org" TargetMode="External"/><Relationship Id="rId121" Type="http://schemas.openxmlformats.org/officeDocument/2006/relationships/hyperlink" Target="mailto:jiajing2019@flushinginternational.org" TargetMode="External"/><Relationship Id="rId1194" Type="http://schemas.openxmlformats.org/officeDocument/2006/relationships/hyperlink" Target="mailto:nastagomes@gmail.com" TargetMode="External"/><Relationship Id="rId120" Type="http://schemas.openxmlformats.org/officeDocument/2006/relationships/hyperlink" Target="mailto:lamedison27@gmail.com" TargetMode="External"/><Relationship Id="rId1195" Type="http://schemas.openxmlformats.org/officeDocument/2006/relationships/hyperlink" Target="mailto:2025_polinamalinovska@ihs-us.org" TargetMode="External"/><Relationship Id="rId1196" Type="http://schemas.openxmlformats.org/officeDocument/2006/relationships/hyperlink" Target="mailto:kevinr736@nycstudents.net" TargetMode="External"/><Relationship Id="rId1197" Type="http://schemas.openxmlformats.org/officeDocument/2006/relationships/hyperlink" Target="mailto:rowena.otero.24@wheels-student.org" TargetMode="External"/><Relationship Id="rId125" Type="http://schemas.openxmlformats.org/officeDocument/2006/relationships/hyperlink" Target="mailto:g.yuxin2020@flushinginternational.org" TargetMode="External"/><Relationship Id="rId1198" Type="http://schemas.openxmlformats.org/officeDocument/2006/relationships/hyperlink" Target="mailto:rowena.otero.24@wheels-student.org" TargetMode="External"/><Relationship Id="rId124" Type="http://schemas.openxmlformats.org/officeDocument/2006/relationships/hyperlink" Target="mailto:j.zhu2018@flushinginternational.org" TargetMode="External"/><Relationship Id="rId1199" Type="http://schemas.openxmlformats.org/officeDocument/2006/relationships/hyperlink" Target="mailto:nuktamboeva@inths.org" TargetMode="External"/><Relationship Id="rId123" Type="http://schemas.openxmlformats.org/officeDocument/2006/relationships/hyperlink" Target="mailto:qiuliuyi197@gmail.com" TargetMode="External"/><Relationship Id="rId122" Type="http://schemas.openxmlformats.org/officeDocument/2006/relationships/hyperlink" Target="mailto:wantingh85@gmail.com" TargetMode="External"/><Relationship Id="rId118" Type="http://schemas.openxmlformats.org/officeDocument/2006/relationships/hyperlink" Target="mailto:zhihao2019@flushinginternational.org" TargetMode="External"/><Relationship Id="rId117" Type="http://schemas.openxmlformats.org/officeDocument/2006/relationships/hyperlink" Target="mailto:siyan2019@flushinginternational.org" TargetMode="External"/><Relationship Id="rId116" Type="http://schemas.openxmlformats.org/officeDocument/2006/relationships/hyperlink" Target="mailto:zhihui2019@flushinginternational.org" TargetMode="External"/><Relationship Id="rId115" Type="http://schemas.openxmlformats.org/officeDocument/2006/relationships/hyperlink" Target="mailto:bohan2019@flushinginternational.org" TargetMode="External"/><Relationship Id="rId599" Type="http://schemas.openxmlformats.org/officeDocument/2006/relationships/hyperlink" Target="mailto:kerlyy@nycstudents.net" TargetMode="External"/><Relationship Id="rId1180" Type="http://schemas.openxmlformats.org/officeDocument/2006/relationships/hyperlink" Target="mailto:josesalas@claremontihs.org" TargetMode="External"/><Relationship Id="rId1181" Type="http://schemas.openxmlformats.org/officeDocument/2006/relationships/hyperlink" Target="mailto:laurenp140@nycstudents.net" TargetMode="External"/><Relationship Id="rId119" Type="http://schemas.openxmlformats.org/officeDocument/2006/relationships/hyperlink" Target="mailto:jingru2019@flushinginternational.org" TargetMode="External"/><Relationship Id="rId1182" Type="http://schemas.openxmlformats.org/officeDocument/2006/relationships/hyperlink" Target="mailto:zenouldjeponogni@claremontihs.org" TargetMode="External"/><Relationship Id="rId110" Type="http://schemas.openxmlformats.org/officeDocument/2006/relationships/hyperlink" Target="mailto:ichean2019@flushinginternational.org" TargetMode="External"/><Relationship Id="rId594" Type="http://schemas.openxmlformats.org/officeDocument/2006/relationships/hyperlink" Target="mailto:a.karen2020@flushinginternational.org" TargetMode="External"/><Relationship Id="rId1183" Type="http://schemas.openxmlformats.org/officeDocument/2006/relationships/hyperlink" Target="mailto:mayitagpm@gmail.com" TargetMode="External"/><Relationship Id="rId593" Type="http://schemas.openxmlformats.org/officeDocument/2006/relationships/hyperlink" Target="mailto:b.payana2018@flushinginternational.org" TargetMode="External"/><Relationship Id="rId1184" Type="http://schemas.openxmlformats.org/officeDocument/2006/relationships/hyperlink" Target="mailto:naimatou.sefou@ellisprep.com" TargetMode="External"/><Relationship Id="rId592" Type="http://schemas.openxmlformats.org/officeDocument/2006/relationships/hyperlink" Target="mailto:sofia2019@flushinginternational.org" TargetMode="External"/><Relationship Id="rId1185" Type="http://schemas.openxmlformats.org/officeDocument/2006/relationships/hyperlink" Target="mailto:naim.bakere@ellisprep.com" TargetMode="External"/><Relationship Id="rId591" Type="http://schemas.openxmlformats.org/officeDocument/2006/relationships/hyperlink" Target="mailto:2024_erickocana@ihs-us.org" TargetMode="External"/><Relationship Id="rId1186" Type="http://schemas.openxmlformats.org/officeDocument/2006/relationships/hyperlink" Target="mailto:mimiagbobli123@gmail.com" TargetMode="External"/><Relationship Id="rId114" Type="http://schemas.openxmlformats.org/officeDocument/2006/relationships/hyperlink" Target="mailto:yafh0609@gmail.com" TargetMode="External"/><Relationship Id="rId598" Type="http://schemas.openxmlformats.org/officeDocument/2006/relationships/hyperlink" Target="mailto:gmorenosantamar@inths.org" TargetMode="External"/><Relationship Id="rId1187" Type="http://schemas.openxmlformats.org/officeDocument/2006/relationships/hyperlink" Target="mailto:hezou.awitala@ichsbronx.org" TargetMode="External"/><Relationship Id="rId113" Type="http://schemas.openxmlformats.org/officeDocument/2006/relationships/hyperlink" Target="mailto:m.huo2018@flushinginternational.org" TargetMode="External"/><Relationship Id="rId597" Type="http://schemas.openxmlformats.org/officeDocument/2006/relationships/hyperlink" Target="mailto:jberenise24@gmail.com" TargetMode="External"/><Relationship Id="rId1188" Type="http://schemas.openxmlformats.org/officeDocument/2006/relationships/hyperlink" Target="mailto:salinamagarati@gmail.com" TargetMode="External"/><Relationship Id="rId112" Type="http://schemas.openxmlformats.org/officeDocument/2006/relationships/hyperlink" Target="mailto:angelc4323@nycstudents.net" TargetMode="External"/><Relationship Id="rId596" Type="http://schemas.openxmlformats.org/officeDocument/2006/relationships/hyperlink" Target="mailto:y.fila2018@flushinginternational.org" TargetMode="External"/><Relationship Id="rId1189" Type="http://schemas.openxmlformats.org/officeDocument/2006/relationships/hyperlink" Target="mailto:leila.titikpina@ellisprep.com" TargetMode="External"/><Relationship Id="rId111" Type="http://schemas.openxmlformats.org/officeDocument/2006/relationships/hyperlink" Target="mailto:zihan2019@flushinginternational.org" TargetMode="External"/><Relationship Id="rId595" Type="http://schemas.openxmlformats.org/officeDocument/2006/relationships/hyperlink" Target="mailto:2025_erickcuzco@ihs-us.org" TargetMode="External"/><Relationship Id="rId1136" Type="http://schemas.openxmlformats.org/officeDocument/2006/relationships/hyperlink" Target="mailto:2025_valeriiachernobaeva@ihs-us.org" TargetMode="External"/><Relationship Id="rId1137" Type="http://schemas.openxmlformats.org/officeDocument/2006/relationships/hyperlink" Target="mailto:p.hannah2020@flushinginternational.org" TargetMode="External"/><Relationship Id="rId1138" Type="http://schemas.openxmlformats.org/officeDocument/2006/relationships/hyperlink" Target="mailto:2023_antoniolima@ihs-us.org" TargetMode="External"/><Relationship Id="rId1139" Type="http://schemas.openxmlformats.org/officeDocument/2006/relationships/hyperlink" Target="mailto:basxamzhaeva@gmail.com" TargetMode="External"/><Relationship Id="rId547" Type="http://schemas.openxmlformats.org/officeDocument/2006/relationships/hyperlink" Target="mailto:michaelza2006@gmail.com" TargetMode="External"/><Relationship Id="rId546" Type="http://schemas.openxmlformats.org/officeDocument/2006/relationships/hyperlink" Target="mailto:homero2019@flushinginternational.org" TargetMode="External"/><Relationship Id="rId545" Type="http://schemas.openxmlformats.org/officeDocument/2006/relationships/hyperlink" Target="mailto:schucino@crotonaihs.org" TargetMode="External"/><Relationship Id="rId544" Type="http://schemas.openxmlformats.org/officeDocument/2006/relationships/hyperlink" Target="mailto:2025_franklinmaisa@ihs-us.org" TargetMode="External"/><Relationship Id="rId549" Type="http://schemas.openxmlformats.org/officeDocument/2006/relationships/hyperlink" Target="mailto:wendyurias551@gmail.com" TargetMode="External"/><Relationship Id="rId548" Type="http://schemas.openxmlformats.org/officeDocument/2006/relationships/hyperlink" Target="mailto:kahori.toribio@ichsbronx.org" TargetMode="External"/><Relationship Id="rId1130" Type="http://schemas.openxmlformats.org/officeDocument/2006/relationships/hyperlink" Target="mailto:jhanmottap@gmail.com" TargetMode="External"/><Relationship Id="rId1131" Type="http://schemas.openxmlformats.org/officeDocument/2006/relationships/hyperlink" Target="mailto:yarlinperalta19@example.com" TargetMode="External"/><Relationship Id="rId543" Type="http://schemas.openxmlformats.org/officeDocument/2006/relationships/hyperlink" Target="mailto:m.scarlet2020@flushinginternational.org" TargetMode="External"/><Relationship Id="rId1132" Type="http://schemas.openxmlformats.org/officeDocument/2006/relationships/hyperlink" Target="mailto:kerlyrs0711@gmail.com" TargetMode="External"/><Relationship Id="rId542" Type="http://schemas.openxmlformats.org/officeDocument/2006/relationships/hyperlink" Target="mailto:elian.duarte@ichsbronx.org" TargetMode="External"/><Relationship Id="rId1133" Type="http://schemas.openxmlformats.org/officeDocument/2006/relationships/hyperlink" Target="mailto:raissam3@nycstudents.net" TargetMode="External"/><Relationship Id="rId541" Type="http://schemas.openxmlformats.org/officeDocument/2006/relationships/hyperlink" Target="mailto:fdiarraaa@gmail.com" TargetMode="External"/><Relationship Id="rId1134" Type="http://schemas.openxmlformats.org/officeDocument/2006/relationships/hyperlink" Target="mailto:ahoussen@crotonaihs.org" TargetMode="External"/><Relationship Id="rId540" Type="http://schemas.openxmlformats.org/officeDocument/2006/relationships/hyperlink" Target="mailto:t.romina2020@flushinginternational.org" TargetMode="External"/><Relationship Id="rId1135" Type="http://schemas.openxmlformats.org/officeDocument/2006/relationships/hyperlink" Target="mailto:danzancimidov08@gmail.com" TargetMode="External"/><Relationship Id="rId1125" Type="http://schemas.openxmlformats.org/officeDocument/2006/relationships/hyperlink" Target="mailto:gary.hernandez.24@wheels-student.org" TargetMode="External"/><Relationship Id="rId1126" Type="http://schemas.openxmlformats.org/officeDocument/2006/relationships/hyperlink" Target="mailto:castromercedes2510@gmail.com" TargetMode="External"/><Relationship Id="rId1127" Type="http://schemas.openxmlformats.org/officeDocument/2006/relationships/hyperlink" Target="mailto:mmacchiarola@schools.nyc.gov" TargetMode="External"/><Relationship Id="rId1128" Type="http://schemas.openxmlformats.org/officeDocument/2006/relationships/hyperlink" Target="mailto:2023_navierrojas@ihs-us.org" TargetMode="External"/><Relationship Id="rId1129" Type="http://schemas.openxmlformats.org/officeDocument/2006/relationships/hyperlink" Target="mailto:sandymarte925@gmail.com" TargetMode="External"/><Relationship Id="rId536" Type="http://schemas.openxmlformats.org/officeDocument/2006/relationships/hyperlink" Target="mailto:2023_eliseopalacios@ihs-us.org" TargetMode="External"/><Relationship Id="rId535" Type="http://schemas.openxmlformats.org/officeDocument/2006/relationships/hyperlink" Target="mailto:2024_christopherbernal@ihs-us.org" TargetMode="External"/><Relationship Id="rId534" Type="http://schemas.openxmlformats.org/officeDocument/2006/relationships/hyperlink" Target="mailto:audrey.made@ellisprep.com" TargetMode="External"/><Relationship Id="rId533" Type="http://schemas.openxmlformats.org/officeDocument/2006/relationships/hyperlink" Target="mailto:ccela1213@gmail.com" TargetMode="External"/><Relationship Id="rId539" Type="http://schemas.openxmlformats.org/officeDocument/2006/relationships/hyperlink" Target="mailto:2024_cynthiapilatasig@ihs-us.org" TargetMode="External"/><Relationship Id="rId538" Type="http://schemas.openxmlformats.org/officeDocument/2006/relationships/hyperlink" Target="mailto:2024_cynthiapilatasig@ihs-us.org" TargetMode="External"/><Relationship Id="rId537" Type="http://schemas.openxmlformats.org/officeDocument/2006/relationships/hyperlink" Target="mailto:2022_connietai@ihs-us.org" TargetMode="External"/><Relationship Id="rId1120" Type="http://schemas.openxmlformats.org/officeDocument/2006/relationships/hyperlink" Target="mailto:amatashwini032@gmail.com" TargetMode="External"/><Relationship Id="rId532" Type="http://schemas.openxmlformats.org/officeDocument/2006/relationships/hyperlink" Target="mailto:mathi4asmorocho2100@gmail.com" TargetMode="External"/><Relationship Id="rId1121" Type="http://schemas.openxmlformats.org/officeDocument/2006/relationships/hyperlink" Target="mailto:alexaquino@claremontihs.org" TargetMode="External"/><Relationship Id="rId531" Type="http://schemas.openxmlformats.org/officeDocument/2006/relationships/hyperlink" Target="mailto:allanfabricio2019@flushinginternational.org" TargetMode="External"/><Relationship Id="rId1122" Type="http://schemas.openxmlformats.org/officeDocument/2006/relationships/hyperlink" Target="mailto:bintouchacha2004@gmail.com" TargetMode="External"/><Relationship Id="rId530" Type="http://schemas.openxmlformats.org/officeDocument/2006/relationships/hyperlink" Target="mailto:nathalyloja2@gmail.com" TargetMode="External"/><Relationship Id="rId1123" Type="http://schemas.openxmlformats.org/officeDocument/2006/relationships/hyperlink" Target="mailto:ocruz@crotonaihs.org" TargetMode="External"/><Relationship Id="rId1124" Type="http://schemas.openxmlformats.org/officeDocument/2006/relationships/hyperlink" Target="mailto:yomarmatias@crotonaihs.org" TargetMode="External"/><Relationship Id="rId1158" Type="http://schemas.openxmlformats.org/officeDocument/2006/relationships/hyperlink" Target="mailto:dylan2019@flushinginternational.org" TargetMode="External"/><Relationship Id="rId1159" Type="http://schemas.openxmlformats.org/officeDocument/2006/relationships/hyperlink" Target="mailto:2024_diarrafall@ihs-us.org" TargetMode="External"/><Relationship Id="rId569" Type="http://schemas.openxmlformats.org/officeDocument/2006/relationships/hyperlink" Target="mailto:2023_paulaastudillo@ihs-us.org" TargetMode="External"/><Relationship Id="rId568" Type="http://schemas.openxmlformats.org/officeDocument/2006/relationships/hyperlink" Target="mailto:2025_erikapasochoa@ihs-us.org" TargetMode="External"/><Relationship Id="rId567" Type="http://schemas.openxmlformats.org/officeDocument/2006/relationships/hyperlink" Target="mailto:machasillaedison2003@gmail.com" TargetMode="External"/><Relationship Id="rId566" Type="http://schemas.openxmlformats.org/officeDocument/2006/relationships/hyperlink" Target="mailto:suiglygomez13@gmail.com" TargetMode="External"/><Relationship Id="rId561" Type="http://schemas.openxmlformats.org/officeDocument/2006/relationships/hyperlink" Target="mailto:karenpulla@claremontihs.org" TargetMode="External"/><Relationship Id="rId1150" Type="http://schemas.openxmlformats.org/officeDocument/2006/relationships/hyperlink" Target="mailto:cheikh.ka@ichsbronx.org" TargetMode="External"/><Relationship Id="rId560" Type="http://schemas.openxmlformats.org/officeDocument/2006/relationships/hyperlink" Target="mailto:2025_diegolojano@ihs-us.org" TargetMode="External"/><Relationship Id="rId1151" Type="http://schemas.openxmlformats.org/officeDocument/2006/relationships/hyperlink" Target="mailto:marvinmerino2005@gmail.com" TargetMode="External"/><Relationship Id="rId1152" Type="http://schemas.openxmlformats.org/officeDocument/2006/relationships/hyperlink" Target="mailto:ndeye.diedhiou@ellisprep.com" TargetMode="External"/><Relationship Id="rId1153" Type="http://schemas.openxmlformats.org/officeDocument/2006/relationships/hyperlink" Target="mailto:joelp3776@nycstudents.net" TargetMode="External"/><Relationship Id="rId565" Type="http://schemas.openxmlformats.org/officeDocument/2006/relationships/hyperlink" Target="mailto:ruths80@nycstudents.net" TargetMode="External"/><Relationship Id="rId1154" Type="http://schemas.openxmlformats.org/officeDocument/2006/relationships/hyperlink" Target="mailto:2023_mariamatoure@ihs-us.org" TargetMode="External"/><Relationship Id="rId564" Type="http://schemas.openxmlformats.org/officeDocument/2006/relationships/hyperlink" Target="mailto:genesisvaleska82005@gmail.com" TargetMode="External"/><Relationship Id="rId1155" Type="http://schemas.openxmlformats.org/officeDocument/2006/relationships/hyperlink" Target="mailto:khadim.ka@ellisprep.com" TargetMode="External"/><Relationship Id="rId563" Type="http://schemas.openxmlformats.org/officeDocument/2006/relationships/hyperlink" Target="mailto:khadim.ka@ellisprep.com" TargetMode="External"/><Relationship Id="rId1156" Type="http://schemas.openxmlformats.org/officeDocument/2006/relationships/hyperlink" Target="mailto:maria.tecuanhuey@ellisprep.com" TargetMode="External"/><Relationship Id="rId562" Type="http://schemas.openxmlformats.org/officeDocument/2006/relationships/hyperlink" Target="mailto:raul.alonso@ichsbronx.org" TargetMode="External"/><Relationship Id="rId1157" Type="http://schemas.openxmlformats.org/officeDocument/2006/relationships/hyperlink" Target="mailto:khadimn901@gmail.com" TargetMode="External"/><Relationship Id="rId1147" Type="http://schemas.openxmlformats.org/officeDocument/2006/relationships/hyperlink" Target="mailto:amy.samb@ichsbronx.org" TargetMode="External"/><Relationship Id="rId1148" Type="http://schemas.openxmlformats.org/officeDocument/2006/relationships/hyperlink" Target="mailto:adamgueye522@gmail.com" TargetMode="External"/><Relationship Id="rId1149" Type="http://schemas.openxmlformats.org/officeDocument/2006/relationships/hyperlink" Target="mailto:mamefatimsarr04@gmail.com" TargetMode="External"/><Relationship Id="rId558" Type="http://schemas.openxmlformats.org/officeDocument/2006/relationships/hyperlink" Target="mailto:moussa.doukoure@ichsbronx.org" TargetMode="External"/><Relationship Id="rId557" Type="http://schemas.openxmlformats.org/officeDocument/2006/relationships/hyperlink" Target="mailto:2024_nathalycosquillo@ihs-us.org" TargetMode="External"/><Relationship Id="rId556" Type="http://schemas.openxmlformats.org/officeDocument/2006/relationships/hyperlink" Target="mailto:mcumbal@crotonaihs.org" TargetMode="External"/><Relationship Id="rId555" Type="http://schemas.openxmlformats.org/officeDocument/2006/relationships/hyperlink" Target="mailto:luiscosquillo83@gmail.com" TargetMode="External"/><Relationship Id="rId559" Type="http://schemas.openxmlformats.org/officeDocument/2006/relationships/hyperlink" Target="mailto:anthonychauca86@gmail.com" TargetMode="External"/><Relationship Id="rId550" Type="http://schemas.openxmlformats.org/officeDocument/2006/relationships/hyperlink" Target="mailto:karen.grullon@ichsbronx.org" TargetMode="External"/><Relationship Id="rId1140" Type="http://schemas.openxmlformats.org/officeDocument/2006/relationships/hyperlink" Target="mailto:maria.ines@ichsbronx.org" TargetMode="External"/><Relationship Id="rId1141" Type="http://schemas.openxmlformats.org/officeDocument/2006/relationships/hyperlink" Target="mailto:jhojanlymendez@claremontihs.org" TargetMode="External"/><Relationship Id="rId1142" Type="http://schemas.openxmlformats.org/officeDocument/2006/relationships/hyperlink" Target="mailto:j.lopezbarragan@ihsph.org" TargetMode="External"/><Relationship Id="rId554" Type="http://schemas.openxmlformats.org/officeDocument/2006/relationships/hyperlink" Target="mailto:ymarzouk2019@flushinginternational.org" TargetMode="External"/><Relationship Id="rId1143" Type="http://schemas.openxmlformats.org/officeDocument/2006/relationships/hyperlink" Target="mailto:bintouchacha2004@gmail.com" TargetMode="External"/><Relationship Id="rId553" Type="http://schemas.openxmlformats.org/officeDocument/2006/relationships/hyperlink" Target="mailto:achaluisa@crotonaihs.org" TargetMode="External"/><Relationship Id="rId1144" Type="http://schemas.openxmlformats.org/officeDocument/2006/relationships/hyperlink" Target="mailto:2024_elhadjindong@ihs-us.org" TargetMode="External"/><Relationship Id="rId552" Type="http://schemas.openxmlformats.org/officeDocument/2006/relationships/hyperlink" Target="mailto:2025_joselynchisag@ihs-us.org" TargetMode="External"/><Relationship Id="rId1145" Type="http://schemas.openxmlformats.org/officeDocument/2006/relationships/hyperlink" Target="mailto:mously.thiam@elliprep.com" TargetMode="External"/><Relationship Id="rId551" Type="http://schemas.openxmlformats.org/officeDocument/2006/relationships/hyperlink" Target="mailto:vacacelaedison149@gmail.com" TargetMode="External"/><Relationship Id="rId1146" Type="http://schemas.openxmlformats.org/officeDocument/2006/relationships/hyperlink" Target="mailto:anais.martinez.24@wheels-student.org" TargetMode="External"/><Relationship Id="rId495" Type="http://schemas.openxmlformats.org/officeDocument/2006/relationships/hyperlink" Target="mailto:matthew.vargas.23@wheels-student.org" TargetMode="External"/><Relationship Id="rId494" Type="http://schemas.openxmlformats.org/officeDocument/2006/relationships/hyperlink" Target="mailto:rohan.basavaraj.24@wheels-student.org" TargetMode="External"/><Relationship Id="rId493" Type="http://schemas.openxmlformats.org/officeDocument/2006/relationships/hyperlink" Target="mailto:hayesmendez06@gmail.com" TargetMode="External"/><Relationship Id="rId492" Type="http://schemas.openxmlformats.org/officeDocument/2006/relationships/hyperlink" Target="mailto:martinezashmel@gmail.com" TargetMode="External"/><Relationship Id="rId499" Type="http://schemas.openxmlformats.org/officeDocument/2006/relationships/hyperlink" Target="mailto:shiralynmarine@claremontihs.org" TargetMode="External"/><Relationship Id="rId498" Type="http://schemas.openxmlformats.org/officeDocument/2006/relationships/hyperlink" Target="mailto:kendrilopezubereats@gmail.com" TargetMode="External"/><Relationship Id="rId497" Type="http://schemas.openxmlformats.org/officeDocument/2006/relationships/hyperlink" Target="mailto:naomi.nolasco@ichsbronx.org" TargetMode="External"/><Relationship Id="rId496" Type="http://schemas.openxmlformats.org/officeDocument/2006/relationships/hyperlink" Target="mailto:ariel2019@flushinginternational.org" TargetMode="External"/><Relationship Id="rId1610" Type="http://schemas.openxmlformats.org/officeDocument/2006/relationships/hyperlink" Target="mailto:raymound.sanchez@casa311.com" TargetMode="External"/><Relationship Id="rId1611" Type="http://schemas.openxmlformats.org/officeDocument/2006/relationships/hyperlink" Target="mailto:aniperez@claremontihs.org" TargetMode="External"/><Relationship Id="rId1612" Type="http://schemas.openxmlformats.org/officeDocument/2006/relationships/hyperlink" Target="mailto:jasminew46706@gmail.com" TargetMode="External"/><Relationship Id="rId1613" Type="http://schemas.openxmlformats.org/officeDocument/2006/relationships/hyperlink" Target="mailto:rosayeiry@gmail.com" TargetMode="External"/><Relationship Id="rId1614" Type="http://schemas.openxmlformats.org/officeDocument/2006/relationships/hyperlink" Target="mailto:adamc134@nycstudents.com" TargetMode="External"/><Relationship Id="rId1615" Type="http://schemas.openxmlformats.org/officeDocument/2006/relationships/hyperlink" Target="mailto:pr4life@aol.com" TargetMode="External"/><Relationship Id="rId1616" Type="http://schemas.openxmlformats.org/officeDocument/2006/relationships/hyperlink" Target="mailto:aidanl76@nycstudents.net" TargetMode="External"/><Relationship Id="rId907" Type="http://schemas.openxmlformats.org/officeDocument/2006/relationships/hyperlink" Target="mailto:julianac2019@flushinginternational.org" TargetMode="External"/><Relationship Id="rId1617" Type="http://schemas.openxmlformats.org/officeDocument/2006/relationships/hyperlink" Target="mailto:108071674@ideastudent.org" TargetMode="External"/><Relationship Id="rId906" Type="http://schemas.openxmlformats.org/officeDocument/2006/relationships/hyperlink" Target="mailto:yobanp@nycstudents.net" TargetMode="External"/><Relationship Id="rId1618" Type="http://schemas.openxmlformats.org/officeDocument/2006/relationships/hyperlink" Target="mailto:yousefabdela0@gmail.com" TargetMode="External"/><Relationship Id="rId905" Type="http://schemas.openxmlformats.org/officeDocument/2006/relationships/hyperlink" Target="mailto:nelsonperdomososa504@gmail.com" TargetMode="External"/><Relationship Id="rId1619" Type="http://schemas.openxmlformats.org/officeDocument/2006/relationships/hyperlink" Target="mailto:isantia21@is125q.org" TargetMode="External"/><Relationship Id="rId904" Type="http://schemas.openxmlformats.org/officeDocument/2006/relationships/hyperlink" Target="mailto:magby.orellana@ichsbronx.org" TargetMode="External"/><Relationship Id="rId909" Type="http://schemas.openxmlformats.org/officeDocument/2006/relationships/hyperlink" Target="mailto:samuela297@nycstudents.net" TargetMode="External"/><Relationship Id="rId908" Type="http://schemas.openxmlformats.org/officeDocument/2006/relationships/hyperlink" Target="mailto:yemiligoodridge04@gmail.com" TargetMode="External"/><Relationship Id="rId903" Type="http://schemas.openxmlformats.org/officeDocument/2006/relationships/hyperlink" Target="mailto:denzelvelazquez@claremontihs.org" TargetMode="External"/><Relationship Id="rId902" Type="http://schemas.openxmlformats.org/officeDocument/2006/relationships/hyperlink" Target="mailto:ldubon@crotonaihs.org" TargetMode="External"/><Relationship Id="rId901" Type="http://schemas.openxmlformats.org/officeDocument/2006/relationships/hyperlink" Target="mailto:angie2019@flushinginternational.org" TargetMode="External"/><Relationship Id="rId900" Type="http://schemas.openxmlformats.org/officeDocument/2006/relationships/hyperlink" Target="mailto:earzu@crotonaihs.org" TargetMode="External"/><Relationship Id="rId1600" Type="http://schemas.openxmlformats.org/officeDocument/2006/relationships/hyperlink" Target="mailto:mariannyg2793@nycstudents.net" TargetMode="External"/><Relationship Id="rId1601" Type="http://schemas.openxmlformats.org/officeDocument/2006/relationships/hyperlink" Target="mailto:rafaelv2791@nycstudents.net" TargetMode="External"/><Relationship Id="rId1602" Type="http://schemas.openxmlformats.org/officeDocument/2006/relationships/hyperlink" Target="mailto:keylinc12@nycstudents.net" TargetMode="External"/><Relationship Id="rId1603" Type="http://schemas.openxmlformats.org/officeDocument/2006/relationships/hyperlink" Target="mailto:chloesumlang0216@nycstudents.net" TargetMode="External"/><Relationship Id="rId1604" Type="http://schemas.openxmlformats.org/officeDocument/2006/relationships/hyperlink" Target="mailto:axeln29@nycstudents.net" TargetMode="External"/><Relationship Id="rId1605" Type="http://schemas.openxmlformats.org/officeDocument/2006/relationships/hyperlink" Target="mailto:nunezleila6@gmail.com" TargetMode="External"/><Relationship Id="rId1606" Type="http://schemas.openxmlformats.org/officeDocument/2006/relationships/hyperlink" Target="mailto:alejandrod41@nycstudents.net" TargetMode="External"/><Relationship Id="rId1607" Type="http://schemas.openxmlformats.org/officeDocument/2006/relationships/hyperlink" Target="mailto:aryna@nycstudent.net" TargetMode="External"/><Relationship Id="rId1608" Type="http://schemas.openxmlformats.org/officeDocument/2006/relationships/hyperlink" Target="mailto:scarlettsophie03@gmail.com" TargetMode="External"/><Relationship Id="rId1609" Type="http://schemas.openxmlformats.org/officeDocument/2006/relationships/hyperlink" Target="mailto:abigaildeosaran@gmail.com" TargetMode="External"/><Relationship Id="rId1631" Type="http://schemas.openxmlformats.org/officeDocument/2006/relationships/hyperlink" Target="mailto:kevint5382@nycstudents.net" TargetMode="External"/><Relationship Id="rId1632" Type="http://schemas.openxmlformats.org/officeDocument/2006/relationships/hyperlink" Target="mailto:terrenceh35@nycstudents.net" TargetMode="External"/><Relationship Id="rId1633" Type="http://schemas.openxmlformats.org/officeDocument/2006/relationships/hyperlink" Target="mailto:amayrelio@nycstudents.net" TargetMode="External"/><Relationship Id="rId1634" Type="http://schemas.openxmlformats.org/officeDocument/2006/relationships/hyperlink" Target="mailto:william.robinson@ichsbronx.org" TargetMode="External"/><Relationship Id="rId1635" Type="http://schemas.openxmlformats.org/officeDocument/2006/relationships/hyperlink" Target="mailto:sorayar9@nycstudents.net" TargetMode="External"/><Relationship Id="rId1636" Type="http://schemas.openxmlformats.org/officeDocument/2006/relationships/hyperlink" Target="mailto:alexandras188@nycstudents.net" TargetMode="External"/><Relationship Id="rId1637" Type="http://schemas.openxmlformats.org/officeDocument/2006/relationships/hyperlink" Target="mailto:bradleye13@nycstudents.net" TargetMode="External"/><Relationship Id="rId1638" Type="http://schemas.openxmlformats.org/officeDocument/2006/relationships/hyperlink" Target="mailto:yoanni.baez.24@wheels-student.org" TargetMode="External"/><Relationship Id="rId929" Type="http://schemas.openxmlformats.org/officeDocument/2006/relationships/hyperlink" Target="mailto:s.miryam2020@flushinginternational.org" TargetMode="External"/><Relationship Id="rId1639" Type="http://schemas.openxmlformats.org/officeDocument/2006/relationships/hyperlink" Target="mailto:obedm695@gmail.com" TargetMode="External"/><Relationship Id="rId928" Type="http://schemas.openxmlformats.org/officeDocument/2006/relationships/hyperlink" Target="mailto:aminata.kante@ellisprep.com" TargetMode="External"/><Relationship Id="rId927" Type="http://schemas.openxmlformats.org/officeDocument/2006/relationships/hyperlink" Target="mailto:khadidia.traore@ellisprep.com" TargetMode="External"/><Relationship Id="rId926" Type="http://schemas.openxmlformats.org/officeDocument/2006/relationships/hyperlink" Target="mailto:fatumaballoh6@gmail.com" TargetMode="External"/><Relationship Id="rId921" Type="http://schemas.openxmlformats.org/officeDocument/2006/relationships/hyperlink" Target="mailto:memekrater@gmail.com" TargetMode="External"/><Relationship Id="rId920" Type="http://schemas.openxmlformats.org/officeDocument/2006/relationships/hyperlink" Target="mailto:jiajie2019@flushinginternational.org" TargetMode="External"/><Relationship Id="rId925" Type="http://schemas.openxmlformats.org/officeDocument/2006/relationships/hyperlink" Target="mailto:djaka.kante@ellisprep.com" TargetMode="External"/><Relationship Id="rId924" Type="http://schemas.openxmlformats.org/officeDocument/2006/relationships/hyperlink" Target="mailto:2024_yannicdiaby@ihs-us.org" TargetMode="External"/><Relationship Id="rId923" Type="http://schemas.openxmlformats.org/officeDocument/2006/relationships/hyperlink" Target="mailto:hannahlizjohn@gmail.com" TargetMode="External"/><Relationship Id="rId922" Type="http://schemas.openxmlformats.org/officeDocument/2006/relationships/hyperlink" Target="mailto:kungao3@nycstudents.net" TargetMode="External"/><Relationship Id="rId1630" Type="http://schemas.openxmlformats.org/officeDocument/2006/relationships/hyperlink" Target="mailto:loveable.chy23@gmail.com" TargetMode="External"/><Relationship Id="rId1620" Type="http://schemas.openxmlformats.org/officeDocument/2006/relationships/hyperlink" Target="mailto:alejandracamp0917@gmail.com" TargetMode="External"/><Relationship Id="rId1621" Type="http://schemas.openxmlformats.org/officeDocument/2006/relationships/hyperlink" Target="mailto:robert.morillo.24@wheels-student.org" TargetMode="External"/><Relationship Id="rId1622" Type="http://schemas.openxmlformats.org/officeDocument/2006/relationships/hyperlink" Target="mailto:britney.peralta.24@wheels-student.org" TargetMode="External"/><Relationship Id="rId1623" Type="http://schemas.openxmlformats.org/officeDocument/2006/relationships/hyperlink" Target="mailto:2024_silvanatapia@ihs-us.org" TargetMode="External"/><Relationship Id="rId1624" Type="http://schemas.openxmlformats.org/officeDocument/2006/relationships/hyperlink" Target="mailto:ronaldpujols@crotonaihs.org" TargetMode="External"/><Relationship Id="rId1625" Type="http://schemas.openxmlformats.org/officeDocument/2006/relationships/hyperlink" Target="mailto:iyanarankin05@gmail.com" TargetMode="External"/><Relationship Id="rId1626" Type="http://schemas.openxmlformats.org/officeDocument/2006/relationships/hyperlink" Target="mailto:ronenc@nycstudents.net" TargetMode="External"/><Relationship Id="rId1627" Type="http://schemas.openxmlformats.org/officeDocument/2006/relationships/hyperlink" Target="mailto:jayd8208@gmail.com" TargetMode="External"/><Relationship Id="rId918" Type="http://schemas.openxmlformats.org/officeDocument/2006/relationships/hyperlink" Target="mailto:tenzind4851@nycstudents.net" TargetMode="External"/><Relationship Id="rId1628" Type="http://schemas.openxmlformats.org/officeDocument/2006/relationships/hyperlink" Target="mailto:gracea77@nycstudents.net" TargetMode="External"/><Relationship Id="rId917" Type="http://schemas.openxmlformats.org/officeDocument/2006/relationships/hyperlink" Target="mailto:tnamsal21@is125q.org" TargetMode="External"/><Relationship Id="rId1629" Type="http://schemas.openxmlformats.org/officeDocument/2006/relationships/hyperlink" Target="mailto:genevib122@gmail.com" TargetMode="External"/><Relationship Id="rId916" Type="http://schemas.openxmlformats.org/officeDocument/2006/relationships/hyperlink" Target="mailto:7407633@philasd.org" TargetMode="External"/><Relationship Id="rId915" Type="http://schemas.openxmlformats.org/officeDocument/2006/relationships/hyperlink" Target="mailto:ilsecotiy@claremontihs.org" TargetMode="External"/><Relationship Id="rId919" Type="http://schemas.openxmlformats.org/officeDocument/2006/relationships/hyperlink" Target="mailto:dhruvp13@nycstudents.net" TargetMode="External"/><Relationship Id="rId910" Type="http://schemas.openxmlformats.org/officeDocument/2006/relationships/hyperlink" Target="mailto:kadidiatoutraore@claremontihs.org" TargetMode="External"/><Relationship Id="rId914" Type="http://schemas.openxmlformats.org/officeDocument/2006/relationships/hyperlink" Target="mailto:gema2019@flushinginternational.org" TargetMode="External"/><Relationship Id="rId913" Type="http://schemas.openxmlformats.org/officeDocument/2006/relationships/hyperlink" Target="mailto:2024_karinacando@ihs-us.org" TargetMode="External"/><Relationship Id="rId912" Type="http://schemas.openxmlformats.org/officeDocument/2006/relationships/hyperlink" Target="mailto:jhoana.guevara.24@wheels-student.org" TargetMode="External"/><Relationship Id="rId911" Type="http://schemas.openxmlformats.org/officeDocument/2006/relationships/hyperlink" Target="mailto:ousmane.diallo3@mail.citytech.cuny.edu" TargetMode="External"/><Relationship Id="rId1213" Type="http://schemas.openxmlformats.org/officeDocument/2006/relationships/hyperlink" Target="mailto:p.parra2018@flushinginternational.org" TargetMode="External"/><Relationship Id="rId1697" Type="http://schemas.openxmlformats.org/officeDocument/2006/relationships/hyperlink" Target="mailto:angelr4411@nycstudents.net" TargetMode="External"/><Relationship Id="rId1214" Type="http://schemas.openxmlformats.org/officeDocument/2006/relationships/hyperlink" Target="mailto:nixonvergara888@gmail.com" TargetMode="External"/><Relationship Id="rId1698" Type="http://schemas.openxmlformats.org/officeDocument/2006/relationships/hyperlink" Target="mailto:sebastiana175@nycstudents.net" TargetMode="External"/><Relationship Id="rId1215" Type="http://schemas.openxmlformats.org/officeDocument/2006/relationships/hyperlink" Target="mailto:linares232344@gmail.com" TargetMode="External"/><Relationship Id="rId1699" Type="http://schemas.openxmlformats.org/officeDocument/2006/relationships/hyperlink" Target="mailto:arturob14@nycstudents.net" TargetMode="External"/><Relationship Id="rId1216" Type="http://schemas.openxmlformats.org/officeDocument/2006/relationships/hyperlink" Target="mailto:rafaelv2791@nycstudents.net" TargetMode="External"/><Relationship Id="rId1217" Type="http://schemas.openxmlformats.org/officeDocument/2006/relationships/hyperlink" Target="mailto:inveri@nycstudents.net" TargetMode="External"/><Relationship Id="rId1218" Type="http://schemas.openxmlformats.org/officeDocument/2006/relationships/hyperlink" Target="mailto:victor.cronus5@gmail.com" TargetMode="External"/><Relationship Id="rId1219" Type="http://schemas.openxmlformats.org/officeDocument/2006/relationships/hyperlink" Target="mailto:victoriar5194@nycstudents.net" TargetMode="External"/><Relationship Id="rId866" Type="http://schemas.openxmlformats.org/officeDocument/2006/relationships/hyperlink" Target="mailto:2023_loydamartinez@ihs-us.org" TargetMode="External"/><Relationship Id="rId865" Type="http://schemas.openxmlformats.org/officeDocument/2006/relationships/hyperlink" Target="mailto:genesis2019@flushinginternational.org" TargetMode="External"/><Relationship Id="rId864" Type="http://schemas.openxmlformats.org/officeDocument/2006/relationships/hyperlink" Target="mailto:pinkheartsanddiamonds@gmail.com" TargetMode="External"/><Relationship Id="rId863" Type="http://schemas.openxmlformats.org/officeDocument/2006/relationships/hyperlink" Target="mailto:karynjean32@gmail.com" TargetMode="External"/><Relationship Id="rId869" Type="http://schemas.openxmlformats.org/officeDocument/2006/relationships/hyperlink" Target="mailto:ofelia.lopez@ellisprep.com" TargetMode="External"/><Relationship Id="rId868" Type="http://schemas.openxmlformats.org/officeDocument/2006/relationships/hyperlink" Target="mailto:dhpkevin@gmail.com" TargetMode="External"/><Relationship Id="rId867" Type="http://schemas.openxmlformats.org/officeDocument/2006/relationships/hyperlink" Target="mailto:jmadrid@crotonaihs.org" TargetMode="External"/><Relationship Id="rId1690" Type="http://schemas.openxmlformats.org/officeDocument/2006/relationships/hyperlink" Target="mailto:tomaijnelson@gmail.com" TargetMode="External"/><Relationship Id="rId1691" Type="http://schemas.openxmlformats.org/officeDocument/2006/relationships/hyperlink" Target="mailto:alexa.barrueco.24@wheels-student.org" TargetMode="External"/><Relationship Id="rId1692" Type="http://schemas.openxmlformats.org/officeDocument/2006/relationships/hyperlink" Target="mailto:stvnchoco101805@gmail.com" TargetMode="External"/><Relationship Id="rId862" Type="http://schemas.openxmlformats.org/officeDocument/2006/relationships/hyperlink" Target="mailto:sindyjeancharles525@gmail.com" TargetMode="External"/><Relationship Id="rId1693" Type="http://schemas.openxmlformats.org/officeDocument/2006/relationships/hyperlink" Target="mailto:bavelar21@is125q.org" TargetMode="External"/><Relationship Id="rId861" Type="http://schemas.openxmlformats.org/officeDocument/2006/relationships/hyperlink" Target="mailto:mikhaile2789@nycstudents.net" TargetMode="External"/><Relationship Id="rId1210" Type="http://schemas.openxmlformats.org/officeDocument/2006/relationships/hyperlink" Target="mailto:2025_laurachirinos@ihs-us.org" TargetMode="External"/><Relationship Id="rId1694" Type="http://schemas.openxmlformats.org/officeDocument/2006/relationships/hyperlink" Target="mailto:amarp10@nycstudents.net" TargetMode="External"/><Relationship Id="rId860" Type="http://schemas.openxmlformats.org/officeDocument/2006/relationships/hyperlink" Target="mailto:mjeanbaptiste@inths.org" TargetMode="External"/><Relationship Id="rId1211" Type="http://schemas.openxmlformats.org/officeDocument/2006/relationships/hyperlink" Target="mailto:ls259585289@crotonaihs.org" TargetMode="External"/><Relationship Id="rId1695" Type="http://schemas.openxmlformats.org/officeDocument/2006/relationships/hyperlink" Target="mailto:victorc243@nycstudents.net" TargetMode="External"/><Relationship Id="rId1212" Type="http://schemas.openxmlformats.org/officeDocument/2006/relationships/hyperlink" Target="mailto:razina.issoufou@ellisprep.com" TargetMode="External"/><Relationship Id="rId1696" Type="http://schemas.openxmlformats.org/officeDocument/2006/relationships/hyperlink" Target="mailto:noahr84@nycstudents.net" TargetMode="External"/><Relationship Id="rId1202" Type="http://schemas.openxmlformats.org/officeDocument/2006/relationships/hyperlink" Target="mailto:sayyora2105@gmail.com" TargetMode="External"/><Relationship Id="rId1686" Type="http://schemas.openxmlformats.org/officeDocument/2006/relationships/hyperlink" Target="mailto:eduardog88@nycstudent.net" TargetMode="External"/><Relationship Id="rId1203" Type="http://schemas.openxmlformats.org/officeDocument/2006/relationships/hyperlink" Target="mailto:roseraimkulova14@gmail.com" TargetMode="External"/><Relationship Id="rId1687" Type="http://schemas.openxmlformats.org/officeDocument/2006/relationships/hyperlink" Target="mailto:thomasr7511@nycstudents.net" TargetMode="External"/><Relationship Id="rId1204" Type="http://schemas.openxmlformats.org/officeDocument/2006/relationships/hyperlink" Target="mailto:saidrustamov640@gmail.com" TargetMode="External"/><Relationship Id="rId1688" Type="http://schemas.openxmlformats.org/officeDocument/2006/relationships/hyperlink" Target="mailto:melissao53@nycstudents.net" TargetMode="External"/><Relationship Id="rId1205" Type="http://schemas.openxmlformats.org/officeDocument/2006/relationships/hyperlink" Target="mailto:ldjuraev@inths.org" TargetMode="External"/><Relationship Id="rId1689" Type="http://schemas.openxmlformats.org/officeDocument/2006/relationships/hyperlink" Target="mailto:suris18@nycstudents.net" TargetMode="External"/><Relationship Id="rId1206" Type="http://schemas.openxmlformats.org/officeDocument/2006/relationships/hyperlink" Target="mailto:nilufar.sadullaeva15@gmail.com" TargetMode="External"/><Relationship Id="rId1207" Type="http://schemas.openxmlformats.org/officeDocument/2006/relationships/hyperlink" Target="mailto:2024_melanyalcalalopez@ihs-us.org" TargetMode="External"/><Relationship Id="rId1208" Type="http://schemas.openxmlformats.org/officeDocument/2006/relationships/hyperlink" Target="mailto:mbahronbekova@inths.org" TargetMode="External"/><Relationship Id="rId1209" Type="http://schemas.openxmlformats.org/officeDocument/2006/relationships/hyperlink" Target="mailto:bricenoy@nycstudents.net" TargetMode="External"/><Relationship Id="rId855" Type="http://schemas.openxmlformats.org/officeDocument/2006/relationships/hyperlink" Target="mailto:pauljosepholivia@gmail.com" TargetMode="External"/><Relationship Id="rId854" Type="http://schemas.openxmlformats.org/officeDocument/2006/relationships/hyperlink" Target="mailto:valesblair@gmail.com" TargetMode="External"/><Relationship Id="rId853" Type="http://schemas.openxmlformats.org/officeDocument/2006/relationships/hyperlink" Target="mailto:babaskm279@gmail.com" TargetMode="External"/><Relationship Id="rId852" Type="http://schemas.openxmlformats.org/officeDocument/2006/relationships/hyperlink" Target="mailto:charles.daina@emmalazarus.org" TargetMode="External"/><Relationship Id="rId859" Type="http://schemas.openxmlformats.org/officeDocument/2006/relationships/hyperlink" Target="mailto:stvilmyrny@gmail.com" TargetMode="External"/><Relationship Id="rId858" Type="http://schemas.openxmlformats.org/officeDocument/2006/relationships/hyperlink" Target="mailto:denuarbatiz@gmail.com" TargetMode="External"/><Relationship Id="rId857" Type="http://schemas.openxmlformats.org/officeDocument/2006/relationships/hyperlink" Target="mailto:2023_emmanuelrezil@ihs-us.org" TargetMode="External"/><Relationship Id="rId856" Type="http://schemas.openxmlformats.org/officeDocument/2006/relationships/hyperlink" Target="mailto:ricaldynesaturne0@gmail.com" TargetMode="External"/><Relationship Id="rId1680" Type="http://schemas.openxmlformats.org/officeDocument/2006/relationships/hyperlink" Target="mailto:graysonchen1004@gmail.com" TargetMode="External"/><Relationship Id="rId1681" Type="http://schemas.openxmlformats.org/officeDocument/2006/relationships/hyperlink" Target="mailto:hazelp0307@icloud.com" TargetMode="External"/><Relationship Id="rId851" Type="http://schemas.openxmlformats.org/officeDocument/2006/relationships/hyperlink" Target="mailto:ronelsonphilippeau@gmail.com" TargetMode="External"/><Relationship Id="rId1682" Type="http://schemas.openxmlformats.org/officeDocument/2006/relationships/hyperlink" Target="mailto:j.leon@ihsph.org" TargetMode="External"/><Relationship Id="rId850" Type="http://schemas.openxmlformats.org/officeDocument/2006/relationships/hyperlink" Target="mailto:dmarjiar@gmail.com" TargetMode="External"/><Relationship Id="rId1683" Type="http://schemas.openxmlformats.org/officeDocument/2006/relationships/hyperlink" Target="mailto:melanyochoa2851@gmail.com" TargetMode="External"/><Relationship Id="rId1200" Type="http://schemas.openxmlformats.org/officeDocument/2006/relationships/hyperlink" Target="mailto:10023597@philasd.org" TargetMode="External"/><Relationship Id="rId1684" Type="http://schemas.openxmlformats.org/officeDocument/2006/relationships/hyperlink" Target="mailto:davdown92@gmail.com" TargetMode="External"/><Relationship Id="rId1201" Type="http://schemas.openxmlformats.org/officeDocument/2006/relationships/hyperlink" Target="mailto:sabrinaashurova.02@gmail.com" TargetMode="External"/><Relationship Id="rId1685" Type="http://schemas.openxmlformats.org/officeDocument/2006/relationships/hyperlink" Target="mailto:zhara0307@gmail.com" TargetMode="External"/><Relationship Id="rId1235" Type="http://schemas.openxmlformats.org/officeDocument/2006/relationships/hyperlink" Target="mailto:ka259030286@crotonaihs.org" TargetMode="External"/><Relationship Id="rId1236" Type="http://schemas.openxmlformats.org/officeDocument/2006/relationships/hyperlink" Target="mailto:2023_andreaguevara@ihs-us.org" TargetMode="External"/><Relationship Id="rId1237" Type="http://schemas.openxmlformats.org/officeDocument/2006/relationships/hyperlink" Target="mailto:2023_johnkarlroyales@ihs-us.org" TargetMode="External"/><Relationship Id="rId1238" Type="http://schemas.openxmlformats.org/officeDocument/2006/relationships/hyperlink" Target="mailto:valentinac257@nycstudents.net" TargetMode="External"/><Relationship Id="rId1239" Type="http://schemas.openxmlformats.org/officeDocument/2006/relationships/hyperlink" Target="mailto:mathiasa7@nycstudents.net" TargetMode="External"/><Relationship Id="rId409" Type="http://schemas.openxmlformats.org/officeDocument/2006/relationships/hyperlink" Target="mailto:yosandy.liz.23@wheels-student.org" TargetMode="External"/><Relationship Id="rId404" Type="http://schemas.openxmlformats.org/officeDocument/2006/relationships/hyperlink" Target="mailto:jazircabrera@crotonaihs.org" TargetMode="External"/><Relationship Id="rId888" Type="http://schemas.openxmlformats.org/officeDocument/2006/relationships/hyperlink" Target="mailto:2023_avrilmejiareyes@ihs-us.org" TargetMode="External"/><Relationship Id="rId403" Type="http://schemas.openxmlformats.org/officeDocument/2006/relationships/hyperlink" Target="mailto:eliana.cabral@ellisprep.com" TargetMode="External"/><Relationship Id="rId887" Type="http://schemas.openxmlformats.org/officeDocument/2006/relationships/hyperlink" Target="mailto:messm245@gmail.com" TargetMode="External"/><Relationship Id="rId402" Type="http://schemas.openxmlformats.org/officeDocument/2006/relationships/hyperlink" Target="mailto:2023_javierfortuna@ihs-us.org" TargetMode="External"/><Relationship Id="rId886" Type="http://schemas.openxmlformats.org/officeDocument/2006/relationships/hyperlink" Target="mailto:r.wendy2020@flushinginternational.org" TargetMode="External"/><Relationship Id="rId401" Type="http://schemas.openxmlformats.org/officeDocument/2006/relationships/hyperlink" Target="mailto:deleonalbert468@gmail.com" TargetMode="External"/><Relationship Id="rId885" Type="http://schemas.openxmlformats.org/officeDocument/2006/relationships/hyperlink" Target="mailto:leilany.ortiz@ichsbronx.org" TargetMode="External"/><Relationship Id="rId408" Type="http://schemas.openxmlformats.org/officeDocument/2006/relationships/hyperlink" Target="mailto:dilcia.guzman.24@wheels-student.org" TargetMode="External"/><Relationship Id="rId407" Type="http://schemas.openxmlformats.org/officeDocument/2006/relationships/hyperlink" Target="mailto:angely.abreugarcia@casa311.com" TargetMode="External"/><Relationship Id="rId406" Type="http://schemas.openxmlformats.org/officeDocument/2006/relationships/hyperlink" Target="mailto:angelya5@nycstudents.net" TargetMode="External"/><Relationship Id="rId405" Type="http://schemas.openxmlformats.org/officeDocument/2006/relationships/hyperlink" Target="mailto:ronaldpujols@crotonaihs.org" TargetMode="External"/><Relationship Id="rId889" Type="http://schemas.openxmlformats.org/officeDocument/2006/relationships/hyperlink" Target="mailto:fsorto@crotonaihs.org" TargetMode="External"/><Relationship Id="rId880" Type="http://schemas.openxmlformats.org/officeDocument/2006/relationships/hyperlink" Target="mailto:romel@crotonaihs.org" TargetMode="External"/><Relationship Id="rId1230" Type="http://schemas.openxmlformats.org/officeDocument/2006/relationships/hyperlink" Target="mailto:keiversono@nycstudents.net" TargetMode="External"/><Relationship Id="rId400" Type="http://schemas.openxmlformats.org/officeDocument/2006/relationships/hyperlink" Target="mailto:valentina.abreu@ellisprep.com" TargetMode="External"/><Relationship Id="rId884" Type="http://schemas.openxmlformats.org/officeDocument/2006/relationships/hyperlink" Target="mailto:2022_jonathanarauz@ihs-us.org" TargetMode="External"/><Relationship Id="rId1231" Type="http://schemas.openxmlformats.org/officeDocument/2006/relationships/hyperlink" Target="mailto:ricardostivenp@nycstudents.net" TargetMode="External"/><Relationship Id="rId883" Type="http://schemas.openxmlformats.org/officeDocument/2006/relationships/hyperlink" Target="mailto:sespinoza@crotonaihs.org" TargetMode="External"/><Relationship Id="rId1232" Type="http://schemas.openxmlformats.org/officeDocument/2006/relationships/hyperlink" Target="mailto:keliannyb@nycstudents.net" TargetMode="External"/><Relationship Id="rId882" Type="http://schemas.openxmlformats.org/officeDocument/2006/relationships/hyperlink" Target="mailto:dfigueroa@crotonaihs.org" TargetMode="External"/><Relationship Id="rId1233" Type="http://schemas.openxmlformats.org/officeDocument/2006/relationships/hyperlink" Target="mailto:kevinm5402@nycstudents.net" TargetMode="External"/><Relationship Id="rId881" Type="http://schemas.openxmlformats.org/officeDocument/2006/relationships/hyperlink" Target="mailto:licsymena@crotonaihs.org" TargetMode="External"/><Relationship Id="rId1234" Type="http://schemas.openxmlformats.org/officeDocument/2006/relationships/hyperlink" Target="mailto:ronnyz4@nycstudents.net" TargetMode="External"/><Relationship Id="rId1224" Type="http://schemas.openxmlformats.org/officeDocument/2006/relationships/hyperlink" Target="mailto:williamv5328@nycstudents.net" TargetMode="External"/><Relationship Id="rId1225" Type="http://schemas.openxmlformats.org/officeDocument/2006/relationships/hyperlink" Target="mailto:annelisseg3@nycstudents.net" TargetMode="External"/><Relationship Id="rId1226" Type="http://schemas.openxmlformats.org/officeDocument/2006/relationships/hyperlink" Target="mailto:rafaelc3620@nycstudents.net" TargetMode="External"/><Relationship Id="rId1227" Type="http://schemas.openxmlformats.org/officeDocument/2006/relationships/hyperlink" Target="mailto:ehileems@nycstudents.net" TargetMode="External"/><Relationship Id="rId1228" Type="http://schemas.openxmlformats.org/officeDocument/2006/relationships/hyperlink" Target="mailto:r.rodriguez@ihsph.org" TargetMode="External"/><Relationship Id="rId1229" Type="http://schemas.openxmlformats.org/officeDocument/2006/relationships/hyperlink" Target="mailto:fannyb5@nycstudents.net" TargetMode="External"/><Relationship Id="rId877" Type="http://schemas.openxmlformats.org/officeDocument/2006/relationships/hyperlink" Target="mailto:jatziry.guity@ichsbronx.org" TargetMode="External"/><Relationship Id="rId876" Type="http://schemas.openxmlformats.org/officeDocument/2006/relationships/hyperlink" Target="mailto:karilynherrera@icloud.com" TargetMode="External"/><Relationship Id="rId875" Type="http://schemas.openxmlformats.org/officeDocument/2006/relationships/hyperlink" Target="mailto:esantiago5215@betahighschool.org" TargetMode="External"/><Relationship Id="rId874" Type="http://schemas.openxmlformats.org/officeDocument/2006/relationships/hyperlink" Target="mailto:sisely2019@flushinginternational.org" TargetMode="External"/><Relationship Id="rId879" Type="http://schemas.openxmlformats.org/officeDocument/2006/relationships/hyperlink" Target="mailto:gg253639165@crotonaihs.org" TargetMode="External"/><Relationship Id="rId878" Type="http://schemas.openxmlformats.org/officeDocument/2006/relationships/hyperlink" Target="mailto:eordonez@crotonaihs.org" TargetMode="External"/><Relationship Id="rId873" Type="http://schemas.openxmlformats.org/officeDocument/2006/relationships/hyperlink" Target="mailto:hmejia@crotonaihs.org" TargetMode="External"/><Relationship Id="rId1220" Type="http://schemas.openxmlformats.org/officeDocument/2006/relationships/hyperlink" Target="mailto:2024_nicollsuarez@ihs-us.org" TargetMode="External"/><Relationship Id="rId872" Type="http://schemas.openxmlformats.org/officeDocument/2006/relationships/hyperlink" Target="mailto:elisa.och@casa311.com" TargetMode="External"/><Relationship Id="rId1221" Type="http://schemas.openxmlformats.org/officeDocument/2006/relationships/hyperlink" Target="mailto:pablovelez303@gmail.com" TargetMode="External"/><Relationship Id="rId871" Type="http://schemas.openxmlformats.org/officeDocument/2006/relationships/hyperlink" Target="mailto:yovangely.mejia@ichsbronx.org" TargetMode="External"/><Relationship Id="rId1222" Type="http://schemas.openxmlformats.org/officeDocument/2006/relationships/hyperlink" Target="mailto:mamercedescz@gmail.com" TargetMode="External"/><Relationship Id="rId870" Type="http://schemas.openxmlformats.org/officeDocument/2006/relationships/hyperlink" Target="mailto:maria.mejia@ellisprep.com" TargetMode="External"/><Relationship Id="rId1223" Type="http://schemas.openxmlformats.org/officeDocument/2006/relationships/hyperlink" Target="mailto:ad5420282@gmail.com" TargetMode="External"/><Relationship Id="rId1653" Type="http://schemas.openxmlformats.org/officeDocument/2006/relationships/hyperlink" Target="mailto:lesliel77@nycstudenrs.net" TargetMode="External"/><Relationship Id="rId1654" Type="http://schemas.openxmlformats.org/officeDocument/2006/relationships/hyperlink" Target="mailto:liamg86@nycstudents.net" TargetMode="External"/><Relationship Id="rId1655" Type="http://schemas.openxmlformats.org/officeDocument/2006/relationships/hyperlink" Target="mailto:lesliet77@nycstudents.net" TargetMode="External"/><Relationship Id="rId1656" Type="http://schemas.openxmlformats.org/officeDocument/2006/relationships/hyperlink" Target="mailto:jacobg422@nyc.studnets.net" TargetMode="External"/><Relationship Id="rId1657" Type="http://schemas.openxmlformats.org/officeDocument/2006/relationships/hyperlink" Target="mailto:karenmoronta657@gmail.com" TargetMode="External"/><Relationship Id="rId1658" Type="http://schemas.openxmlformats.org/officeDocument/2006/relationships/hyperlink" Target="mailto:lowerlorg@gmail.com" TargetMode="External"/><Relationship Id="rId1659" Type="http://schemas.openxmlformats.org/officeDocument/2006/relationships/hyperlink" Target="mailto:brandonc735@nycstudents.net" TargetMode="External"/><Relationship Id="rId829" Type="http://schemas.openxmlformats.org/officeDocument/2006/relationships/hyperlink" Target="mailto:mariambarry139@gmail.com" TargetMode="External"/><Relationship Id="rId828" Type="http://schemas.openxmlformats.org/officeDocument/2006/relationships/hyperlink" Target="mailto:sarata.cisse@ichsbronx.org" TargetMode="External"/><Relationship Id="rId827" Type="http://schemas.openxmlformats.org/officeDocument/2006/relationships/hyperlink" Target="mailto:sbah04@syr.edu" TargetMode="External"/><Relationship Id="rId822" Type="http://schemas.openxmlformats.org/officeDocument/2006/relationships/hyperlink" Target="mailto:douglas.carrasco@ellisprep.com" TargetMode="External"/><Relationship Id="rId821" Type="http://schemas.openxmlformats.org/officeDocument/2006/relationships/hyperlink" Target="mailto:habikane59@gmail.com" TargetMode="External"/><Relationship Id="rId820" Type="http://schemas.openxmlformats.org/officeDocument/2006/relationships/hyperlink" Target="mailto:denzelvelazquez@claremontihs.org" TargetMode="External"/><Relationship Id="rId826" Type="http://schemas.openxmlformats.org/officeDocument/2006/relationships/hyperlink" Target="mailto:alpha.sylla@ellisprep.com" TargetMode="External"/><Relationship Id="rId825" Type="http://schemas.openxmlformats.org/officeDocument/2006/relationships/hyperlink" Target="mailto:fatima.traore@ellisprep.com" TargetMode="External"/><Relationship Id="rId824" Type="http://schemas.openxmlformats.org/officeDocument/2006/relationships/hyperlink" Target="mailto:ujalloh556@gmail.com" TargetMode="External"/><Relationship Id="rId823" Type="http://schemas.openxmlformats.org/officeDocument/2006/relationships/hyperlink" Target="mailto:aboubacarb741@gmail.com" TargetMode="External"/><Relationship Id="rId1650" Type="http://schemas.openxmlformats.org/officeDocument/2006/relationships/hyperlink" Target="mailto:micaelaa9@nycstudents.net" TargetMode="External"/><Relationship Id="rId1651" Type="http://schemas.openxmlformats.org/officeDocument/2006/relationships/hyperlink" Target="mailto:subirbarua2303@gmail.com" TargetMode="External"/><Relationship Id="rId1652" Type="http://schemas.openxmlformats.org/officeDocument/2006/relationships/hyperlink" Target="mailto:jaliyhae0499@bronxcommunityhighschool.org" TargetMode="External"/><Relationship Id="rId1642" Type="http://schemas.openxmlformats.org/officeDocument/2006/relationships/hyperlink" Target="mailto:skarlethacosta668@gmail.com" TargetMode="External"/><Relationship Id="rId1643" Type="http://schemas.openxmlformats.org/officeDocument/2006/relationships/hyperlink" Target="mailto:jason2501diaz@yahoo.com" TargetMode="External"/><Relationship Id="rId1644" Type="http://schemas.openxmlformats.org/officeDocument/2006/relationships/hyperlink" Target="mailto:antoniov63@nycstudents.net" TargetMode="External"/><Relationship Id="rId1645" Type="http://schemas.openxmlformats.org/officeDocument/2006/relationships/hyperlink" Target="mailto:jason2501diaz@yahoo.com" TargetMode="External"/><Relationship Id="rId1646" Type="http://schemas.openxmlformats.org/officeDocument/2006/relationships/hyperlink" Target="mailto:albertk33@nycstudents.net" TargetMode="External"/><Relationship Id="rId1647" Type="http://schemas.openxmlformats.org/officeDocument/2006/relationships/hyperlink" Target="mailto:yobanig2789@nycstudents.net" TargetMode="External"/><Relationship Id="rId1648" Type="http://schemas.openxmlformats.org/officeDocument/2006/relationships/hyperlink" Target="mailto:leslyg32@nycstudents.net" TargetMode="External"/><Relationship Id="rId1649" Type="http://schemas.openxmlformats.org/officeDocument/2006/relationships/hyperlink" Target="mailto:tylynnreddick@gmail.com" TargetMode="External"/><Relationship Id="rId819" Type="http://schemas.openxmlformats.org/officeDocument/2006/relationships/hyperlink" Target="mailto:o.barry@ihsph.org" TargetMode="External"/><Relationship Id="rId818" Type="http://schemas.openxmlformats.org/officeDocument/2006/relationships/hyperlink" Target="mailto:el253472526@crotonaihs.org" TargetMode="External"/><Relationship Id="rId817" Type="http://schemas.openxmlformats.org/officeDocument/2006/relationships/hyperlink" Target="mailto:thierno.diallo@ichsbronx.org" TargetMode="External"/><Relationship Id="rId816" Type="http://schemas.openxmlformats.org/officeDocument/2006/relationships/hyperlink" Target="mailto:mamadudrame@claremontihs.org" TargetMode="External"/><Relationship Id="rId811" Type="http://schemas.openxmlformats.org/officeDocument/2006/relationships/hyperlink" Target="mailto:ashleyalvarez051@gmail.com" TargetMode="External"/><Relationship Id="rId810" Type="http://schemas.openxmlformats.org/officeDocument/2006/relationships/hyperlink" Target="mailto:suiglygomez13@gmail.com" TargetMode="External"/><Relationship Id="rId815" Type="http://schemas.openxmlformats.org/officeDocument/2006/relationships/hyperlink" Target="mailto:wvmadri@crotonaihs.org" TargetMode="External"/><Relationship Id="rId814" Type="http://schemas.openxmlformats.org/officeDocument/2006/relationships/hyperlink" Target="mailto:justinmartinez@crotonaihs.org" TargetMode="External"/><Relationship Id="rId813" Type="http://schemas.openxmlformats.org/officeDocument/2006/relationships/hyperlink" Target="mailto:keniacholom56@gmail.com" TargetMode="External"/><Relationship Id="rId812" Type="http://schemas.openxmlformats.org/officeDocument/2006/relationships/hyperlink" Target="mailto:estuardolopez@crotonaihs.org" TargetMode="External"/><Relationship Id="rId1640" Type="http://schemas.openxmlformats.org/officeDocument/2006/relationships/hyperlink" Target="mailto:wendy.carchipullaviz@casa311.com" TargetMode="External"/><Relationship Id="rId1641" Type="http://schemas.openxmlformats.org/officeDocument/2006/relationships/hyperlink" Target="mailto:aazad21@is125q.org" TargetMode="External"/><Relationship Id="rId1675" Type="http://schemas.openxmlformats.org/officeDocument/2006/relationships/hyperlink" Target="mailto:jsosa8618@chcprep.net" TargetMode="External"/><Relationship Id="rId1676" Type="http://schemas.openxmlformats.org/officeDocument/2006/relationships/hyperlink" Target="mailto:mishkam3@nycstudents.net" TargetMode="External"/><Relationship Id="rId1677" Type="http://schemas.openxmlformats.org/officeDocument/2006/relationships/hyperlink" Target="mailto:omara236@nycstudents.net" TargetMode="External"/><Relationship Id="rId1678" Type="http://schemas.openxmlformats.org/officeDocument/2006/relationships/hyperlink" Target="mailto:aceitunoaileen5@gmail.com" TargetMode="External"/><Relationship Id="rId1679" Type="http://schemas.openxmlformats.org/officeDocument/2006/relationships/hyperlink" Target="mailto:zainab.tunkara@gchs.nyc" TargetMode="External"/><Relationship Id="rId849" Type="http://schemas.openxmlformats.org/officeDocument/2006/relationships/hyperlink" Target="mailto:monique@speakmentorship.org" TargetMode="External"/><Relationship Id="rId844" Type="http://schemas.openxmlformats.org/officeDocument/2006/relationships/hyperlink" Target="mailto:fazilmohamed2008@gmail.com" TargetMode="External"/><Relationship Id="rId843" Type="http://schemas.openxmlformats.org/officeDocument/2006/relationships/hyperlink" Target="mailto:nramsarran72@gmail.com" TargetMode="External"/><Relationship Id="rId842" Type="http://schemas.openxmlformats.org/officeDocument/2006/relationships/hyperlink" Target="mailto:anny.garcia@ichsbronx.org" TargetMode="External"/><Relationship Id="rId841" Type="http://schemas.openxmlformats.org/officeDocument/2006/relationships/hyperlink" Target="mailto:sulaimonova.romina@emmalazarus.org" TargetMode="External"/><Relationship Id="rId848" Type="http://schemas.openxmlformats.org/officeDocument/2006/relationships/hyperlink" Target="mailto:isaacse2789@nycstudents.net" TargetMode="External"/><Relationship Id="rId847" Type="http://schemas.openxmlformats.org/officeDocument/2006/relationships/hyperlink" Target="mailto:cristal@speakmentorship.org" TargetMode="External"/><Relationship Id="rId846" Type="http://schemas.openxmlformats.org/officeDocument/2006/relationships/hyperlink" Target="mailto:bindaa28@gmail.com" TargetMode="External"/><Relationship Id="rId845" Type="http://schemas.openxmlformats.org/officeDocument/2006/relationships/hyperlink" Target="mailto:2023_victoravila@ihs-us.org" TargetMode="External"/><Relationship Id="rId1670" Type="http://schemas.openxmlformats.org/officeDocument/2006/relationships/hyperlink" Target="mailto:kaylinnewmann@gmail.com" TargetMode="External"/><Relationship Id="rId840" Type="http://schemas.openxmlformats.org/officeDocument/2006/relationships/hyperlink" Target="mailto:tameerahianah@gmail.com" TargetMode="External"/><Relationship Id="rId1671" Type="http://schemas.openxmlformats.org/officeDocument/2006/relationships/hyperlink" Target="mailto:2023_mohameddoukoure@ihs-us.org" TargetMode="External"/><Relationship Id="rId1672" Type="http://schemas.openxmlformats.org/officeDocument/2006/relationships/hyperlink" Target="mailto:fengchai168@gmail.com" TargetMode="External"/><Relationship Id="rId1673" Type="http://schemas.openxmlformats.org/officeDocument/2006/relationships/hyperlink" Target="mailto:luisr721@nycstudents.net" TargetMode="External"/><Relationship Id="rId1674" Type="http://schemas.openxmlformats.org/officeDocument/2006/relationships/hyperlink" Target="mailto:alejandrot43@nycstudents.net" TargetMode="External"/><Relationship Id="rId1664" Type="http://schemas.openxmlformats.org/officeDocument/2006/relationships/hyperlink" Target="mailto:p.jandiel2020@flushinginternational.org" TargetMode="External"/><Relationship Id="rId1665" Type="http://schemas.openxmlformats.org/officeDocument/2006/relationships/hyperlink" Target="mailto:108046307@ideastudent.org" TargetMode="External"/><Relationship Id="rId1666" Type="http://schemas.openxmlformats.org/officeDocument/2006/relationships/hyperlink" Target="mailto:angelg415@nycstudents.net" TargetMode="External"/><Relationship Id="rId1667" Type="http://schemas.openxmlformats.org/officeDocument/2006/relationships/hyperlink" Target="mailto:antoninol3@nycstudents.net" TargetMode="External"/><Relationship Id="rId1668" Type="http://schemas.openxmlformats.org/officeDocument/2006/relationships/hyperlink" Target="mailto:davidk260@nycstudents.net" TargetMode="External"/><Relationship Id="rId1669" Type="http://schemas.openxmlformats.org/officeDocument/2006/relationships/hyperlink" Target="mailto:nathalieflores062710@gmail.com" TargetMode="External"/><Relationship Id="rId839" Type="http://schemas.openxmlformats.org/officeDocument/2006/relationships/hyperlink" Target="mailto:chitra.srikishun@gmail.com" TargetMode="External"/><Relationship Id="rId838" Type="http://schemas.openxmlformats.org/officeDocument/2006/relationships/hyperlink" Target="mailto:fatoumatab.barry@ichsbronx.org" TargetMode="External"/><Relationship Id="rId833" Type="http://schemas.openxmlformats.org/officeDocument/2006/relationships/hyperlink" Target="mailto:l.bonilla@ihsph.org" TargetMode="External"/><Relationship Id="rId832" Type="http://schemas.openxmlformats.org/officeDocument/2006/relationships/hyperlink" Target="mailto:adama.bah@ichsbronx.org" TargetMode="External"/><Relationship Id="rId831" Type="http://schemas.openxmlformats.org/officeDocument/2006/relationships/hyperlink" Target="mailto:ismatu.barry@ichsbronx.org" TargetMode="External"/><Relationship Id="rId830" Type="http://schemas.openxmlformats.org/officeDocument/2006/relationships/hyperlink" Target="mailto:2022_jonathanarauz@ihs-us.org" TargetMode="External"/><Relationship Id="rId837" Type="http://schemas.openxmlformats.org/officeDocument/2006/relationships/hyperlink" Target="mailto:katherin2019@flushinginternational.org" TargetMode="External"/><Relationship Id="rId836" Type="http://schemas.openxmlformats.org/officeDocument/2006/relationships/hyperlink" Target="mailto:ayele.dounou@ichsbronx.org" TargetMode="External"/><Relationship Id="rId835" Type="http://schemas.openxmlformats.org/officeDocument/2006/relationships/hyperlink" Target="mailto:diallo.mariamacire@emmalazarus.org" TargetMode="External"/><Relationship Id="rId834" Type="http://schemas.openxmlformats.org/officeDocument/2006/relationships/hyperlink" Target="mailto:nassira.cisse@ellisprep.com" TargetMode="External"/><Relationship Id="rId1660" Type="http://schemas.openxmlformats.org/officeDocument/2006/relationships/hyperlink" Target="mailto:kevina455@nycstudents.net" TargetMode="External"/><Relationship Id="rId1661" Type="http://schemas.openxmlformats.org/officeDocument/2006/relationships/hyperlink" Target="mailto:jenniferm485@nycstudens.net" TargetMode="External"/><Relationship Id="rId1662" Type="http://schemas.openxmlformats.org/officeDocument/2006/relationships/hyperlink" Target="mailto:hartejpartapb@nycstudents.net" TargetMode="External"/><Relationship Id="rId1663" Type="http://schemas.openxmlformats.org/officeDocument/2006/relationships/hyperlink" Target="mailto:fatimag23@nycstudents.net" TargetMode="External"/><Relationship Id="rId469" Type="http://schemas.openxmlformats.org/officeDocument/2006/relationships/hyperlink" Target="mailto:jhojanlymendez@claremontihs.org" TargetMode="External"/><Relationship Id="rId468" Type="http://schemas.openxmlformats.org/officeDocument/2006/relationships/hyperlink" Target="mailto:2023_emilycosquillo@ihs-us.org" TargetMode="External"/><Relationship Id="rId467" Type="http://schemas.openxmlformats.org/officeDocument/2006/relationships/hyperlink" Target="mailto:dinalagua6@gmail.com" TargetMode="External"/><Relationship Id="rId1290" Type="http://schemas.openxmlformats.org/officeDocument/2006/relationships/hyperlink" Target="mailto:abellaha@nycstudents.net" TargetMode="External"/><Relationship Id="rId1291" Type="http://schemas.openxmlformats.org/officeDocument/2006/relationships/hyperlink" Target="mailto:jezeniah0924@gmail.com" TargetMode="External"/><Relationship Id="rId1292" Type="http://schemas.openxmlformats.org/officeDocument/2006/relationships/hyperlink" Target="mailto:kelly.gutierrez@casa311.com" TargetMode="External"/><Relationship Id="rId462" Type="http://schemas.openxmlformats.org/officeDocument/2006/relationships/hyperlink" Target="mailto:nadilkahernandez29@gmail.com" TargetMode="External"/><Relationship Id="rId1293" Type="http://schemas.openxmlformats.org/officeDocument/2006/relationships/hyperlink" Target="mailto:kellyg78@nycstudents.net" TargetMode="External"/><Relationship Id="rId461" Type="http://schemas.openxmlformats.org/officeDocument/2006/relationships/hyperlink" Target="mailto:diana_sc06@icloud.com" TargetMode="External"/><Relationship Id="rId1294" Type="http://schemas.openxmlformats.org/officeDocument/2006/relationships/hyperlink" Target="mailto:notiammalachi@gmail.com" TargetMode="External"/><Relationship Id="rId460" Type="http://schemas.openxmlformats.org/officeDocument/2006/relationships/hyperlink" Target="mailto:leudis.rosario.24@wheels-student.org" TargetMode="External"/><Relationship Id="rId1295" Type="http://schemas.openxmlformats.org/officeDocument/2006/relationships/hyperlink" Target="mailto:katerin.vasquez@ichsbronx.org" TargetMode="External"/><Relationship Id="rId1296" Type="http://schemas.openxmlformats.org/officeDocument/2006/relationships/hyperlink" Target="mailto:norellbiggs@icloud.com" TargetMode="External"/><Relationship Id="rId466" Type="http://schemas.openxmlformats.org/officeDocument/2006/relationships/hyperlink" Target="mailto:valerystephanieo@nycstudents.net" TargetMode="External"/><Relationship Id="rId1297" Type="http://schemas.openxmlformats.org/officeDocument/2006/relationships/hyperlink" Target="mailto:lesliep91@nycstudents.net" TargetMode="External"/><Relationship Id="rId465" Type="http://schemas.openxmlformats.org/officeDocument/2006/relationships/hyperlink" Target="mailto:jazlynf21@nycstudents.net" TargetMode="External"/><Relationship Id="rId1298" Type="http://schemas.openxmlformats.org/officeDocument/2006/relationships/hyperlink" Target="mailto:greenisaiah10@gmail.com" TargetMode="External"/><Relationship Id="rId464" Type="http://schemas.openxmlformats.org/officeDocument/2006/relationships/hyperlink" Target="mailto:jasonjjw2006@gmail.com" TargetMode="External"/><Relationship Id="rId1299" Type="http://schemas.openxmlformats.org/officeDocument/2006/relationships/hyperlink" Target="mailto:leylih2@nycstudents.net" TargetMode="External"/><Relationship Id="rId463" Type="http://schemas.openxmlformats.org/officeDocument/2006/relationships/hyperlink" Target="mailto:c.karen2021@flushinginternational.org" TargetMode="External"/><Relationship Id="rId459" Type="http://schemas.openxmlformats.org/officeDocument/2006/relationships/hyperlink" Target="mailto:ana.almanzar@ichsbronx.org" TargetMode="External"/><Relationship Id="rId458" Type="http://schemas.openxmlformats.org/officeDocument/2006/relationships/hyperlink" Target="mailto:wilenied5001@gmail.com" TargetMode="External"/><Relationship Id="rId457" Type="http://schemas.openxmlformats.org/officeDocument/2006/relationships/hyperlink" Target="mailto:theclashdiego14@gmail.com" TargetMode="External"/><Relationship Id="rId456" Type="http://schemas.openxmlformats.org/officeDocument/2006/relationships/hyperlink" Target="mailto:yeuri.iven@ichsbronx.org" TargetMode="External"/><Relationship Id="rId1280" Type="http://schemas.openxmlformats.org/officeDocument/2006/relationships/hyperlink" Target="mailto:ernestinasigue2009@gmail.com" TargetMode="External"/><Relationship Id="rId1281" Type="http://schemas.openxmlformats.org/officeDocument/2006/relationships/hyperlink" Target="mailto:marion35@nycstudents.net" TargetMode="External"/><Relationship Id="rId451" Type="http://schemas.openxmlformats.org/officeDocument/2006/relationships/hyperlink" Target="mailto:lisvanyguzman@claremontihs.org" TargetMode="External"/><Relationship Id="rId1282" Type="http://schemas.openxmlformats.org/officeDocument/2006/relationships/hyperlink" Target="mailto:ashleylisettee@gmail.com" TargetMode="External"/><Relationship Id="rId450" Type="http://schemas.openxmlformats.org/officeDocument/2006/relationships/hyperlink" Target="mailto:chrystallrubi@gmail.com" TargetMode="External"/><Relationship Id="rId1283" Type="http://schemas.openxmlformats.org/officeDocument/2006/relationships/hyperlink" Target="mailto:luthersonl@nycstudents.net" TargetMode="External"/><Relationship Id="rId1284" Type="http://schemas.openxmlformats.org/officeDocument/2006/relationships/hyperlink" Target="mailto:acortes21@is125q.org" TargetMode="External"/><Relationship Id="rId1285" Type="http://schemas.openxmlformats.org/officeDocument/2006/relationships/hyperlink" Target="mailto:nlantigua@crotonaihs.org" TargetMode="External"/><Relationship Id="rId455" Type="http://schemas.openxmlformats.org/officeDocument/2006/relationships/hyperlink" Target="mailto:abnerking22@icloud.com" TargetMode="External"/><Relationship Id="rId1286" Type="http://schemas.openxmlformats.org/officeDocument/2006/relationships/hyperlink" Target="mailto:arlenramos@crotonaihs.org" TargetMode="External"/><Relationship Id="rId454" Type="http://schemas.openxmlformats.org/officeDocument/2006/relationships/hyperlink" Target="mailto:lhianna.capell.24@wheels-student.org" TargetMode="External"/><Relationship Id="rId1287" Type="http://schemas.openxmlformats.org/officeDocument/2006/relationships/hyperlink" Target="mailto:jhouseal14@gmail.com" TargetMode="External"/><Relationship Id="rId453" Type="http://schemas.openxmlformats.org/officeDocument/2006/relationships/hyperlink" Target="mailto:2023_wildainymartinez@ihs-us.org" TargetMode="External"/><Relationship Id="rId1288" Type="http://schemas.openxmlformats.org/officeDocument/2006/relationships/hyperlink" Target="mailto:matiaserika841@gmail.com" TargetMode="External"/><Relationship Id="rId452" Type="http://schemas.openxmlformats.org/officeDocument/2006/relationships/hyperlink" Target="mailto:2023_brayanmendez@ihs-us.org" TargetMode="External"/><Relationship Id="rId1289" Type="http://schemas.openxmlformats.org/officeDocument/2006/relationships/hyperlink" Target="mailto:josec961@nycstudents.com" TargetMode="External"/><Relationship Id="rId491" Type="http://schemas.openxmlformats.org/officeDocument/2006/relationships/hyperlink" Target="mailto:wladimir.veloz@ellisprep.com" TargetMode="External"/><Relationship Id="rId490" Type="http://schemas.openxmlformats.org/officeDocument/2006/relationships/hyperlink" Target="mailto:irenea2204@gmail.com" TargetMode="External"/><Relationship Id="rId489" Type="http://schemas.openxmlformats.org/officeDocument/2006/relationships/hyperlink" Target="mailto:jcastillo553769@gmail.com" TargetMode="External"/><Relationship Id="rId484" Type="http://schemas.openxmlformats.org/officeDocument/2006/relationships/hyperlink" Target="mailto:wilson.infante.24@wheels-student.org" TargetMode="External"/><Relationship Id="rId483" Type="http://schemas.openxmlformats.org/officeDocument/2006/relationships/hyperlink" Target="mailto:2023_robertinabebehonem@ihs-us.org" TargetMode="External"/><Relationship Id="rId482" Type="http://schemas.openxmlformats.org/officeDocument/2006/relationships/hyperlink" Target="mailto:wilmanreyes@crotonaihs.org" TargetMode="External"/><Relationship Id="rId481" Type="http://schemas.openxmlformats.org/officeDocument/2006/relationships/hyperlink" Target="mailto:carlos.vasquez.24@wheels-student.org" TargetMode="External"/><Relationship Id="rId488" Type="http://schemas.openxmlformats.org/officeDocument/2006/relationships/hyperlink" Target="mailto:bdstephanie3@gmail.com" TargetMode="External"/><Relationship Id="rId487" Type="http://schemas.openxmlformats.org/officeDocument/2006/relationships/hyperlink" Target="mailto:m.mateo2020@flushinginternational.org" TargetMode="External"/><Relationship Id="rId486" Type="http://schemas.openxmlformats.org/officeDocument/2006/relationships/hyperlink" Target="mailto:shiralynmarine@claremontihs.org" TargetMode="External"/><Relationship Id="rId485" Type="http://schemas.openxmlformats.org/officeDocument/2006/relationships/hyperlink" Target="mailto:dalissacabrera@claremontihs.org" TargetMode="External"/><Relationship Id="rId480" Type="http://schemas.openxmlformats.org/officeDocument/2006/relationships/hyperlink" Target="mailto:karen.grullon@ichsbronx.org" TargetMode="External"/><Relationship Id="rId479" Type="http://schemas.openxmlformats.org/officeDocument/2006/relationships/hyperlink" Target="mailto:daniel.ramirez.24@wheels-student.org" TargetMode="External"/><Relationship Id="rId478" Type="http://schemas.openxmlformats.org/officeDocument/2006/relationships/hyperlink" Target="mailto:dollygrullon8@gmail.com" TargetMode="External"/><Relationship Id="rId473" Type="http://schemas.openxmlformats.org/officeDocument/2006/relationships/hyperlink" Target="mailto:fernandamartevasquez@claremontihs.org" TargetMode="External"/><Relationship Id="rId472" Type="http://schemas.openxmlformats.org/officeDocument/2006/relationships/hyperlink" Target="mailto:skirlie.delacruz@ichsbronx.org" TargetMode="External"/><Relationship Id="rId471" Type="http://schemas.openxmlformats.org/officeDocument/2006/relationships/hyperlink" Target="mailto:francis2019@flushinginternational.org" TargetMode="External"/><Relationship Id="rId470" Type="http://schemas.openxmlformats.org/officeDocument/2006/relationships/hyperlink" Target="mailto:2023_auracaraballo@ihs-us.org" TargetMode="External"/><Relationship Id="rId477" Type="http://schemas.openxmlformats.org/officeDocument/2006/relationships/hyperlink" Target="mailto:jayrenkramos@crotonaihs.org" TargetMode="External"/><Relationship Id="rId476" Type="http://schemas.openxmlformats.org/officeDocument/2006/relationships/hyperlink" Target="mailto:g.julio2020@flushinginternational.org" TargetMode="External"/><Relationship Id="rId475" Type="http://schemas.openxmlformats.org/officeDocument/2006/relationships/hyperlink" Target="mailto:darwinj13@nycstudents.net" TargetMode="External"/><Relationship Id="rId474" Type="http://schemas.openxmlformats.org/officeDocument/2006/relationships/hyperlink" Target="mailto:jpablogc09@gmail.com" TargetMode="External"/><Relationship Id="rId1257" Type="http://schemas.openxmlformats.org/officeDocument/2006/relationships/hyperlink" Target="mailto:arwa.alhaj@ellisprep.com" TargetMode="External"/><Relationship Id="rId1258" Type="http://schemas.openxmlformats.org/officeDocument/2006/relationships/hyperlink" Target="mailto:akrammehdi@claremontihs.org" TargetMode="External"/><Relationship Id="rId1259" Type="http://schemas.openxmlformats.org/officeDocument/2006/relationships/hyperlink" Target="mailto:ibraheema16@nycstudents.net" TargetMode="External"/><Relationship Id="rId426" Type="http://schemas.openxmlformats.org/officeDocument/2006/relationships/hyperlink" Target="mailto:yorlan.espinal.24@wheels-student.org" TargetMode="External"/><Relationship Id="rId425" Type="http://schemas.openxmlformats.org/officeDocument/2006/relationships/hyperlink" Target="mailto:lisy.sanchez.24@wheels-student.org" TargetMode="External"/><Relationship Id="rId424" Type="http://schemas.openxmlformats.org/officeDocument/2006/relationships/hyperlink" Target="mailto:jariel.fernandez.24@wheels-student.org" TargetMode="External"/><Relationship Id="rId423" Type="http://schemas.openxmlformats.org/officeDocument/2006/relationships/hyperlink" Target="mailto:joshua.jimenez.23@wheels-student.org" TargetMode="External"/><Relationship Id="rId429" Type="http://schemas.openxmlformats.org/officeDocument/2006/relationships/hyperlink" Target="mailto:emanueljair4@gmail.com" TargetMode="External"/><Relationship Id="rId428" Type="http://schemas.openxmlformats.org/officeDocument/2006/relationships/hyperlink" Target="mailto:ricary.santana@ellisprep.com" TargetMode="External"/><Relationship Id="rId427" Type="http://schemas.openxmlformats.org/officeDocument/2006/relationships/hyperlink" Target="mailto:sabrina.galay@ellisprep.com" TargetMode="External"/><Relationship Id="rId1250" Type="http://schemas.openxmlformats.org/officeDocument/2006/relationships/hyperlink" Target="mailto:jvazquez@crotonaihs.org" TargetMode="External"/><Relationship Id="rId1251" Type="http://schemas.openxmlformats.org/officeDocument/2006/relationships/hyperlink" Target="mailto:santiagoe2019@flushinginternational.org" TargetMode="External"/><Relationship Id="rId1252" Type="http://schemas.openxmlformats.org/officeDocument/2006/relationships/hyperlink" Target="mailto:ma9243143@gmail.com" TargetMode="External"/><Relationship Id="rId422" Type="http://schemas.openxmlformats.org/officeDocument/2006/relationships/hyperlink" Target="mailto:dannaz2@nycstudents.net" TargetMode="External"/><Relationship Id="rId1253" Type="http://schemas.openxmlformats.org/officeDocument/2006/relationships/hyperlink" Target="mailto:rakdhalzukary515@gmail.com" TargetMode="External"/><Relationship Id="rId421" Type="http://schemas.openxmlformats.org/officeDocument/2006/relationships/hyperlink" Target="mailto:hbonifacio@crotonaihs.org" TargetMode="External"/><Relationship Id="rId1254" Type="http://schemas.openxmlformats.org/officeDocument/2006/relationships/hyperlink" Target="mailto:asmaamalkhadashi2021@gmail.com" TargetMode="External"/><Relationship Id="rId420" Type="http://schemas.openxmlformats.org/officeDocument/2006/relationships/hyperlink" Target="mailto:alanam65@nycstudents.net" TargetMode="External"/><Relationship Id="rId1255" Type="http://schemas.openxmlformats.org/officeDocument/2006/relationships/hyperlink" Target="mailto:bali@crotonaihs.org" TargetMode="External"/><Relationship Id="rId1256" Type="http://schemas.openxmlformats.org/officeDocument/2006/relationships/hyperlink" Target="mailto:rasheed.abdulla@ellisprep.com" TargetMode="External"/><Relationship Id="rId1246" Type="http://schemas.openxmlformats.org/officeDocument/2006/relationships/hyperlink" Target="mailto:nana.keita@ellisprep.com" TargetMode="External"/><Relationship Id="rId1247" Type="http://schemas.openxmlformats.org/officeDocument/2006/relationships/hyperlink" Target="mailto:audrey.made@ellisprep.com" TargetMode="External"/><Relationship Id="rId1248" Type="http://schemas.openxmlformats.org/officeDocument/2006/relationships/hyperlink" Target="mailto:jandelg6@nycstudents.net" TargetMode="External"/><Relationship Id="rId1249" Type="http://schemas.openxmlformats.org/officeDocument/2006/relationships/hyperlink" Target="mailto:raselali833@gmail.com" TargetMode="External"/><Relationship Id="rId415" Type="http://schemas.openxmlformats.org/officeDocument/2006/relationships/hyperlink" Target="mailto:drojas@crotonaihs.org" TargetMode="External"/><Relationship Id="rId899" Type="http://schemas.openxmlformats.org/officeDocument/2006/relationships/hyperlink" Target="mailto:yankelhernandez596@gmail.com" TargetMode="External"/><Relationship Id="rId414" Type="http://schemas.openxmlformats.org/officeDocument/2006/relationships/hyperlink" Target="mailto:yairela@nycstudents.net" TargetMode="External"/><Relationship Id="rId898" Type="http://schemas.openxmlformats.org/officeDocument/2006/relationships/hyperlink" Target="mailto:2023_kerenmejia@ihs-us.org" TargetMode="External"/><Relationship Id="rId413" Type="http://schemas.openxmlformats.org/officeDocument/2006/relationships/hyperlink" Target="mailto:alinad22@nycstudents.net" TargetMode="External"/><Relationship Id="rId897" Type="http://schemas.openxmlformats.org/officeDocument/2006/relationships/hyperlink" Target="mailto:2023_juliapontes@ihs-us.org" TargetMode="External"/><Relationship Id="rId412" Type="http://schemas.openxmlformats.org/officeDocument/2006/relationships/hyperlink" Target="mailto:andrewsisaiast@nycstudents.net" TargetMode="External"/><Relationship Id="rId896" Type="http://schemas.openxmlformats.org/officeDocument/2006/relationships/hyperlink" Target="mailto:zabdy.orellana@ichsbronx.org" TargetMode="External"/><Relationship Id="rId419" Type="http://schemas.openxmlformats.org/officeDocument/2006/relationships/hyperlink" Target="mailto:kerlyrs0711@gmail.com" TargetMode="External"/><Relationship Id="rId418" Type="http://schemas.openxmlformats.org/officeDocument/2006/relationships/hyperlink" Target="mailto:omar.piron.23@wheels-student.org" TargetMode="External"/><Relationship Id="rId417" Type="http://schemas.openxmlformats.org/officeDocument/2006/relationships/hyperlink" Target="mailto:johalyn.perez.23@wheels-student.org" TargetMode="External"/><Relationship Id="rId416" Type="http://schemas.openxmlformats.org/officeDocument/2006/relationships/hyperlink" Target="mailto:jm259658557@crotonaihs.org" TargetMode="External"/><Relationship Id="rId891" Type="http://schemas.openxmlformats.org/officeDocument/2006/relationships/hyperlink" Target="mailto:aimee20@nycstudents.net" TargetMode="External"/><Relationship Id="rId890" Type="http://schemas.openxmlformats.org/officeDocument/2006/relationships/hyperlink" Target="mailto:2023_gabrielmorris@ihs-us.org" TargetMode="External"/><Relationship Id="rId1240" Type="http://schemas.openxmlformats.org/officeDocument/2006/relationships/hyperlink" Target="mailto:cg260010632@crotonaihs.org" TargetMode="External"/><Relationship Id="rId1241" Type="http://schemas.openxmlformats.org/officeDocument/2006/relationships/hyperlink" Target="mailto:2023_vyvo@ihs-us.org" TargetMode="External"/><Relationship Id="rId411" Type="http://schemas.openxmlformats.org/officeDocument/2006/relationships/hyperlink" Target="mailto:greisicolon@claremontihs.org" TargetMode="External"/><Relationship Id="rId895" Type="http://schemas.openxmlformats.org/officeDocument/2006/relationships/hyperlink" Target="mailto:angell775@nycstudents.net" TargetMode="External"/><Relationship Id="rId1242" Type="http://schemas.openxmlformats.org/officeDocument/2006/relationships/hyperlink" Target="mailto:cjhon2021@flushinginternational.org" TargetMode="External"/><Relationship Id="rId410" Type="http://schemas.openxmlformats.org/officeDocument/2006/relationships/hyperlink" Target="mailto:bmedrano@crotonaihs.org" TargetMode="External"/><Relationship Id="rId894" Type="http://schemas.openxmlformats.org/officeDocument/2006/relationships/hyperlink" Target="mailto:arriolakarla133115@gmail.com" TargetMode="External"/><Relationship Id="rId1243" Type="http://schemas.openxmlformats.org/officeDocument/2006/relationships/hyperlink" Target="mailto:an.nguyen@ellisprep.com" TargetMode="External"/><Relationship Id="rId893" Type="http://schemas.openxmlformats.org/officeDocument/2006/relationships/hyperlink" Target="mailto:karla.arriola@ichsbronx.org" TargetMode="External"/><Relationship Id="rId1244" Type="http://schemas.openxmlformats.org/officeDocument/2006/relationships/hyperlink" Target="mailto:2025_pablovelez@ihs-us.org" TargetMode="External"/><Relationship Id="rId892" Type="http://schemas.openxmlformats.org/officeDocument/2006/relationships/hyperlink" Target="mailto:fzelayaruiz@inths.org" TargetMode="External"/><Relationship Id="rId1245" Type="http://schemas.openxmlformats.org/officeDocument/2006/relationships/hyperlink" Target="mailto:julianaclairec@nycstudents.net" TargetMode="External"/><Relationship Id="rId1279" Type="http://schemas.openxmlformats.org/officeDocument/2006/relationships/hyperlink" Target="mailto:faustov15@hotmail.com" TargetMode="External"/><Relationship Id="rId448" Type="http://schemas.openxmlformats.org/officeDocument/2006/relationships/hyperlink" Target="mailto:luis.grullon.24@wheels-student.org" TargetMode="External"/><Relationship Id="rId447" Type="http://schemas.openxmlformats.org/officeDocument/2006/relationships/hyperlink" Target="mailto:srodriguez122906@gmail.com" TargetMode="External"/><Relationship Id="rId446" Type="http://schemas.openxmlformats.org/officeDocument/2006/relationships/hyperlink" Target="mailto:yisneiri.rojas.24@wheels-student.org" TargetMode="External"/><Relationship Id="rId445" Type="http://schemas.openxmlformats.org/officeDocument/2006/relationships/hyperlink" Target="mailto:aaliyah.escalante.24@wheels-student.org" TargetMode="External"/><Relationship Id="rId449" Type="http://schemas.openxmlformats.org/officeDocument/2006/relationships/hyperlink" Target="mailto:elaine.olivares@ichsbronx.org" TargetMode="External"/><Relationship Id="rId1270" Type="http://schemas.openxmlformats.org/officeDocument/2006/relationships/hyperlink" Target="mailto:natalief93@nycstudents.net" TargetMode="External"/><Relationship Id="rId440" Type="http://schemas.openxmlformats.org/officeDocument/2006/relationships/hyperlink" Target="mailto:israel.martinez.24@wheels-student.org" TargetMode="External"/><Relationship Id="rId1271" Type="http://schemas.openxmlformats.org/officeDocument/2006/relationships/hyperlink" Target="mailto:ashleys640@nycstudents.net" TargetMode="External"/><Relationship Id="rId1272" Type="http://schemas.openxmlformats.org/officeDocument/2006/relationships/hyperlink" Target="mailto:mayra.garcia@casa311.com" TargetMode="External"/><Relationship Id="rId1273" Type="http://schemas.openxmlformats.org/officeDocument/2006/relationships/hyperlink" Target="mailto:christianh309@nycstudents.net" TargetMode="External"/><Relationship Id="rId1274" Type="http://schemas.openxmlformats.org/officeDocument/2006/relationships/hyperlink" Target="mailto:gabriellen8497@nycstudents.net" TargetMode="External"/><Relationship Id="rId444" Type="http://schemas.openxmlformats.org/officeDocument/2006/relationships/hyperlink" Target="mailto:rashel.cabreja.24@wheels-student.org" TargetMode="External"/><Relationship Id="rId1275" Type="http://schemas.openxmlformats.org/officeDocument/2006/relationships/hyperlink" Target="mailto:10098877@philasd.org" TargetMode="External"/><Relationship Id="rId443" Type="http://schemas.openxmlformats.org/officeDocument/2006/relationships/hyperlink" Target="mailto:samueltavarez74@gmail.com" TargetMode="External"/><Relationship Id="rId1276" Type="http://schemas.openxmlformats.org/officeDocument/2006/relationships/hyperlink" Target="mailto:emilyg284@nycstudents.net" TargetMode="External"/><Relationship Id="rId442" Type="http://schemas.openxmlformats.org/officeDocument/2006/relationships/hyperlink" Target="mailto:kimberly.paulino.24@wheels-student.org" TargetMode="External"/><Relationship Id="rId1277" Type="http://schemas.openxmlformats.org/officeDocument/2006/relationships/hyperlink" Target="mailto:pamelam3438@nycstudents.net" TargetMode="External"/><Relationship Id="rId441" Type="http://schemas.openxmlformats.org/officeDocument/2006/relationships/hyperlink" Target="mailto:nicolemolano@claremontihs.org" TargetMode="External"/><Relationship Id="rId1278" Type="http://schemas.openxmlformats.org/officeDocument/2006/relationships/hyperlink" Target="mailto:nemesism4@nycstudents.net" TargetMode="External"/><Relationship Id="rId1268" Type="http://schemas.openxmlformats.org/officeDocument/2006/relationships/hyperlink" Target="mailto:tyliekw3@nycstudents.net" TargetMode="External"/><Relationship Id="rId1269" Type="http://schemas.openxmlformats.org/officeDocument/2006/relationships/hyperlink" Target="mailto:mikeh14@nycstudents.net" TargetMode="External"/><Relationship Id="rId437" Type="http://schemas.openxmlformats.org/officeDocument/2006/relationships/hyperlink" Target="mailto:lg250001202@crotonaihs.org" TargetMode="External"/><Relationship Id="rId436" Type="http://schemas.openxmlformats.org/officeDocument/2006/relationships/hyperlink" Target="mailto:axeljuniellalmonte20@gmail.com" TargetMode="External"/><Relationship Id="rId435" Type="http://schemas.openxmlformats.org/officeDocument/2006/relationships/hyperlink" Target="mailto:ys250001205@crotonaihs.org" TargetMode="External"/><Relationship Id="rId434" Type="http://schemas.openxmlformats.org/officeDocument/2006/relationships/hyperlink" Target="mailto:jeyrent.cidmartinez.24@wheels-student.org" TargetMode="External"/><Relationship Id="rId439" Type="http://schemas.openxmlformats.org/officeDocument/2006/relationships/hyperlink" Target="mailto:2023_avrilmejiareyes@ihs-us.org" TargetMode="External"/><Relationship Id="rId438" Type="http://schemas.openxmlformats.org/officeDocument/2006/relationships/hyperlink" Target="mailto:tryana.hernandez.24@wheels-student.org" TargetMode="External"/><Relationship Id="rId1260" Type="http://schemas.openxmlformats.org/officeDocument/2006/relationships/hyperlink" Target="mailto:akrammehdi@claremontihs.org" TargetMode="External"/><Relationship Id="rId1261" Type="http://schemas.openxmlformats.org/officeDocument/2006/relationships/hyperlink" Target="mailto:raghd.salah@ichsbronx.org" TargetMode="External"/><Relationship Id="rId1262" Type="http://schemas.openxmlformats.org/officeDocument/2006/relationships/hyperlink" Target="mailto:10079751@philasd.org" TargetMode="External"/><Relationship Id="rId1263" Type="http://schemas.openxmlformats.org/officeDocument/2006/relationships/hyperlink" Target="mailto:rana.musleh.24@wheels-student.org" TargetMode="External"/><Relationship Id="rId433" Type="http://schemas.openxmlformats.org/officeDocument/2006/relationships/hyperlink" Target="mailto:ciara.cruz.23@wheels-student.org" TargetMode="External"/><Relationship Id="rId1264" Type="http://schemas.openxmlformats.org/officeDocument/2006/relationships/hyperlink" Target="mailto:demaalhuraibi@gmail.com" TargetMode="External"/><Relationship Id="rId432" Type="http://schemas.openxmlformats.org/officeDocument/2006/relationships/hyperlink" Target="mailto:cristian.rodriguez.24@wheels-student.org" TargetMode="External"/><Relationship Id="rId1265" Type="http://schemas.openxmlformats.org/officeDocument/2006/relationships/hyperlink" Target="mailto:acefiregun839@gmail.com" TargetMode="External"/><Relationship Id="rId431" Type="http://schemas.openxmlformats.org/officeDocument/2006/relationships/hyperlink" Target="mailto:alfredorodriguez@claremontihs.org" TargetMode="External"/><Relationship Id="rId1266" Type="http://schemas.openxmlformats.org/officeDocument/2006/relationships/hyperlink" Target="mailto:jesusg163@nycstudents.net" TargetMode="External"/><Relationship Id="rId430" Type="http://schemas.openxmlformats.org/officeDocument/2006/relationships/hyperlink" Target="mailto:jayson.munoz.24@wheels-student.org" TargetMode="External"/><Relationship Id="rId1267" Type="http://schemas.openxmlformats.org/officeDocument/2006/relationships/hyperlink" Target="mailto:zumbanelly9@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nainamehta243@gmail.com" TargetMode="External"/><Relationship Id="rId2" Type="http://schemas.openxmlformats.org/officeDocument/2006/relationships/hyperlink" Target="mailto:johnlmix@gmail.com" TargetMode="External"/><Relationship Id="rId3" Type="http://schemas.openxmlformats.org/officeDocument/2006/relationships/hyperlink" Target="mailto:ERYCKA.MONTOYA@GMAIL.COM" TargetMode="External"/><Relationship Id="rId4" Type="http://schemas.openxmlformats.org/officeDocument/2006/relationships/hyperlink" Target="mailto:jrpatel130@gmail.com" TargetMode="External"/><Relationship Id="rId9" Type="http://schemas.openxmlformats.org/officeDocument/2006/relationships/hyperlink" Target="mailto:DrJMCadenhead@gmail.com" TargetMode="External"/><Relationship Id="rId5" Type="http://schemas.openxmlformats.org/officeDocument/2006/relationships/hyperlink" Target="mailto:y.rousseau@barnes-international.com" TargetMode="External"/><Relationship Id="rId6" Type="http://schemas.openxmlformats.org/officeDocument/2006/relationships/hyperlink" Target="mailto:Jrosen13@northwell.edu" TargetMode="External"/><Relationship Id="rId7" Type="http://schemas.openxmlformats.org/officeDocument/2006/relationships/hyperlink" Target="mailto:davisl13@mail.wlu.edu" TargetMode="External"/><Relationship Id="rId8" Type="http://schemas.openxmlformats.org/officeDocument/2006/relationships/hyperlink" Target="mailto:Kristen.farver@skiphop.com" TargetMode="External"/><Relationship Id="rId40" Type="http://schemas.openxmlformats.org/officeDocument/2006/relationships/hyperlink" Target="mailto:angelo@nycasagroup.com" TargetMode="External"/><Relationship Id="rId42" Type="http://schemas.openxmlformats.org/officeDocument/2006/relationships/hyperlink" Target="mailto:bryan.roberts14@gmail.com" TargetMode="External"/><Relationship Id="rId41" Type="http://schemas.openxmlformats.org/officeDocument/2006/relationships/hyperlink" Target="mailto:MalloryBogard@gmail.com" TargetMode="External"/><Relationship Id="rId44" Type="http://schemas.openxmlformats.org/officeDocument/2006/relationships/hyperlink" Target="mailto:amackler40@gmail.com" TargetMode="External"/><Relationship Id="rId43" Type="http://schemas.openxmlformats.org/officeDocument/2006/relationships/hyperlink" Target="mailto:carochamorro09@gmail.com" TargetMode="External"/><Relationship Id="rId46" Type="http://schemas.openxmlformats.org/officeDocument/2006/relationships/hyperlink" Target="mailto:nadineshahbaz@gmail.com" TargetMode="External"/><Relationship Id="rId45" Type="http://schemas.openxmlformats.org/officeDocument/2006/relationships/hyperlink" Target="mailto:lkcnatalia@gmail.com" TargetMode="External"/><Relationship Id="rId48" Type="http://schemas.openxmlformats.org/officeDocument/2006/relationships/hyperlink" Target="mailto:wperruna@gmail.com" TargetMode="External"/><Relationship Id="rId47" Type="http://schemas.openxmlformats.org/officeDocument/2006/relationships/hyperlink" Target="mailto:marmelflor64@gmail.com" TargetMode="External"/><Relationship Id="rId49" Type="http://schemas.openxmlformats.org/officeDocument/2006/relationships/hyperlink" Target="mailto:poonam507@gmail.com" TargetMode="External"/><Relationship Id="rId31" Type="http://schemas.openxmlformats.org/officeDocument/2006/relationships/hyperlink" Target="mailto:jenniferjkachler@gmail.com" TargetMode="External"/><Relationship Id="rId30" Type="http://schemas.openxmlformats.org/officeDocument/2006/relationships/hyperlink" Target="mailto:carmelo.DeLeon2021@gmail.com" TargetMode="External"/><Relationship Id="rId33" Type="http://schemas.openxmlformats.org/officeDocument/2006/relationships/hyperlink" Target="mailto:lauracejas83@gmail.com" TargetMode="External"/><Relationship Id="rId32" Type="http://schemas.openxmlformats.org/officeDocument/2006/relationships/hyperlink" Target="mailto:divpad92@gmail.com" TargetMode="External"/><Relationship Id="rId35" Type="http://schemas.openxmlformats.org/officeDocument/2006/relationships/hyperlink" Target="mailto:janpanchalingam@gmail.com" TargetMode="External"/><Relationship Id="rId34" Type="http://schemas.openxmlformats.org/officeDocument/2006/relationships/hyperlink" Target="https://www.agoda.com/" TargetMode="External"/><Relationship Id="rId37" Type="http://schemas.openxmlformats.org/officeDocument/2006/relationships/hyperlink" Target="mailto:kerryannhenry3@gmail.com" TargetMode="External"/><Relationship Id="rId36" Type="http://schemas.openxmlformats.org/officeDocument/2006/relationships/hyperlink" Target="mailto:nishamathew00@gmail.com" TargetMode="External"/><Relationship Id="rId39" Type="http://schemas.openxmlformats.org/officeDocument/2006/relationships/hyperlink" Target="mailto:paola.lopez.zelaya@gmail.com" TargetMode="External"/><Relationship Id="rId38" Type="http://schemas.openxmlformats.org/officeDocument/2006/relationships/hyperlink" Target="mailto:Mfdougherty@fbi.gov" TargetMode="External"/><Relationship Id="rId20" Type="http://schemas.openxmlformats.org/officeDocument/2006/relationships/hyperlink" Target="mailto:Jaskiran1@gmail.com" TargetMode="External"/><Relationship Id="rId22" Type="http://schemas.openxmlformats.org/officeDocument/2006/relationships/hyperlink" Target="mailto:jenn.nguyen213@gmail.com" TargetMode="External"/><Relationship Id="rId21" Type="http://schemas.openxmlformats.org/officeDocument/2006/relationships/hyperlink" Target="mailto:Lindsay.lobello@icloud.com" TargetMode="External"/><Relationship Id="rId24" Type="http://schemas.openxmlformats.org/officeDocument/2006/relationships/hyperlink" Target="mailto:vickiteman2@gmail.com" TargetMode="External"/><Relationship Id="rId23" Type="http://schemas.openxmlformats.org/officeDocument/2006/relationships/hyperlink" Target="mailto:sa462@cornell.edu" TargetMode="External"/><Relationship Id="rId26" Type="http://schemas.openxmlformats.org/officeDocument/2006/relationships/hyperlink" Target="about:blank" TargetMode="External"/><Relationship Id="rId25" Type="http://schemas.openxmlformats.org/officeDocument/2006/relationships/hyperlink" Target="mailto:skpark1@gmail.com" TargetMode="External"/><Relationship Id="rId28" Type="http://schemas.openxmlformats.org/officeDocument/2006/relationships/hyperlink" Target="mailto:reinateeger@gmail.com" TargetMode="External"/><Relationship Id="rId27" Type="http://schemas.openxmlformats.org/officeDocument/2006/relationships/hyperlink" Target="mailto:chemang@gmail.com" TargetMode="External"/><Relationship Id="rId29" Type="http://schemas.openxmlformats.org/officeDocument/2006/relationships/hyperlink" Target="mailto:msilva@flushingbank.com" TargetMode="External"/><Relationship Id="rId11" Type="http://schemas.openxmlformats.org/officeDocument/2006/relationships/hyperlink" Target="mailto:laurenvarg@gmail.com" TargetMode="External"/><Relationship Id="rId10" Type="http://schemas.openxmlformats.org/officeDocument/2006/relationships/hyperlink" Target="mailto:adelacimic@gmail.com" TargetMode="External"/><Relationship Id="rId13" Type="http://schemas.openxmlformats.org/officeDocument/2006/relationships/hyperlink" Target="mailto:ryane.montanez@gmail.com" TargetMode="External"/><Relationship Id="rId12" Type="http://schemas.openxmlformats.org/officeDocument/2006/relationships/hyperlink" Target="mailto:estrellamb@gmail.com" TargetMode="External"/><Relationship Id="rId15" Type="http://schemas.openxmlformats.org/officeDocument/2006/relationships/hyperlink" Target="mailto:amy_sit@alumni.brown.edu" TargetMode="External"/><Relationship Id="rId14" Type="http://schemas.openxmlformats.org/officeDocument/2006/relationships/hyperlink" Target="mailto:ankurjaluria@gmail.com" TargetMode="External"/><Relationship Id="rId17" Type="http://schemas.openxmlformats.org/officeDocument/2006/relationships/hyperlink" Target="mailto:akanksharaina@gmail.com" TargetMode="External"/><Relationship Id="rId16" Type="http://schemas.openxmlformats.org/officeDocument/2006/relationships/hyperlink" Target="mailto:tadesokan@gmail.com" TargetMode="External"/><Relationship Id="rId19" Type="http://schemas.openxmlformats.org/officeDocument/2006/relationships/hyperlink" Target="mailto:agwtam@gmail.com" TargetMode="External"/><Relationship Id="rId18" Type="http://schemas.openxmlformats.org/officeDocument/2006/relationships/hyperlink" Target="mailto:kiranjotgill1@gmail.com" TargetMode="External"/><Relationship Id="rId84" Type="http://schemas.openxmlformats.org/officeDocument/2006/relationships/hyperlink" Target="mailto:cdlewin@gmail.com" TargetMode="External"/><Relationship Id="rId83" Type="http://schemas.openxmlformats.org/officeDocument/2006/relationships/hyperlink" Target="mailto:Meliza.fernandez@gmail.com" TargetMode="External"/><Relationship Id="rId86" Type="http://schemas.openxmlformats.org/officeDocument/2006/relationships/hyperlink" Target="mailto:nuoyali.nl@gmail.com" TargetMode="External"/><Relationship Id="rId85" Type="http://schemas.openxmlformats.org/officeDocument/2006/relationships/hyperlink" Target="mailto:sanzfatima@hotmail.com" TargetMode="External"/><Relationship Id="rId88" Type="http://schemas.openxmlformats.org/officeDocument/2006/relationships/hyperlink" Target="mailto:ami2136@columbia.edu" TargetMode="External"/><Relationship Id="rId87" Type="http://schemas.openxmlformats.org/officeDocument/2006/relationships/hyperlink" Target="mailto:cpasi55@gmail.com" TargetMode="External"/><Relationship Id="rId89" Type="http://schemas.openxmlformats.org/officeDocument/2006/relationships/hyperlink" Target="mailto:rachel.d317@gmail.com" TargetMode="External"/><Relationship Id="rId80" Type="http://schemas.openxmlformats.org/officeDocument/2006/relationships/hyperlink" Target="mailto:luzdsantana@outlook.com" TargetMode="External"/><Relationship Id="rId82" Type="http://schemas.openxmlformats.org/officeDocument/2006/relationships/hyperlink" Target="mailto:Aar2213@tc.Columbia.edu" TargetMode="External"/><Relationship Id="rId81" Type="http://schemas.openxmlformats.org/officeDocument/2006/relationships/hyperlink" Target="mailto:vballenas@gmail.com" TargetMode="External"/><Relationship Id="rId73" Type="http://schemas.openxmlformats.org/officeDocument/2006/relationships/hyperlink" Target="mailto:GodfreyKevinA@gmail.com" TargetMode="External"/><Relationship Id="rId72" Type="http://schemas.openxmlformats.org/officeDocument/2006/relationships/hyperlink" Target="mailto:chung.ju12@gmail.com" TargetMode="External"/><Relationship Id="rId75" Type="http://schemas.openxmlformats.org/officeDocument/2006/relationships/hyperlink" Target="mailto:changlena@aol.com" TargetMode="External"/><Relationship Id="rId74" Type="http://schemas.openxmlformats.org/officeDocument/2006/relationships/hyperlink" Target="mailto:archanas1919@gmail.com" TargetMode="External"/><Relationship Id="rId77" Type="http://schemas.openxmlformats.org/officeDocument/2006/relationships/hyperlink" Target="mailto:lamonchapman@gmail.com" TargetMode="External"/><Relationship Id="rId76" Type="http://schemas.openxmlformats.org/officeDocument/2006/relationships/hyperlink" Target="mailto:cara.every@fmr.com" TargetMode="External"/><Relationship Id="rId79" Type="http://schemas.openxmlformats.org/officeDocument/2006/relationships/hyperlink" Target="mailto:Giselacastaneda8@gmail.com" TargetMode="External"/><Relationship Id="rId78" Type="http://schemas.openxmlformats.org/officeDocument/2006/relationships/hyperlink" Target="mailto:katherineq0708@gmail.com" TargetMode="External"/><Relationship Id="rId71" Type="http://schemas.openxmlformats.org/officeDocument/2006/relationships/hyperlink" Target="mailto:tribadeneyra@nassaucountyny.gov" TargetMode="External"/><Relationship Id="rId70" Type="http://schemas.openxmlformats.org/officeDocument/2006/relationships/hyperlink" Target="mailto:liz.alvarezrivera@gmail.com" TargetMode="External"/><Relationship Id="rId62" Type="http://schemas.openxmlformats.org/officeDocument/2006/relationships/hyperlink" Target="mailto:maarciola@gmail.com" TargetMode="External"/><Relationship Id="rId61" Type="http://schemas.openxmlformats.org/officeDocument/2006/relationships/hyperlink" Target="mailto:caseyburry@gmail.com" TargetMode="External"/><Relationship Id="rId64" Type="http://schemas.openxmlformats.org/officeDocument/2006/relationships/hyperlink" Target="mailto:caroparra@gmail.com" TargetMode="External"/><Relationship Id="rId63" Type="http://schemas.openxmlformats.org/officeDocument/2006/relationships/hyperlink" Target="mailto:slokaiyengar2014@gmail.com" TargetMode="External"/><Relationship Id="rId66" Type="http://schemas.openxmlformats.org/officeDocument/2006/relationships/hyperlink" Target="mailto:caroparra@gmail.com" TargetMode="External"/><Relationship Id="rId65" Type="http://schemas.openxmlformats.org/officeDocument/2006/relationships/hyperlink" Target="mailto:parrashoots@gmail.com" TargetMode="External"/><Relationship Id="rId68" Type="http://schemas.openxmlformats.org/officeDocument/2006/relationships/hyperlink" Target="mailto:estrellamb@gmail.com" TargetMode="External"/><Relationship Id="rId67" Type="http://schemas.openxmlformats.org/officeDocument/2006/relationships/hyperlink" Target="mailto:parrashoots@gmail.com" TargetMode="External"/><Relationship Id="rId60" Type="http://schemas.openxmlformats.org/officeDocument/2006/relationships/hyperlink" Target="mailto:ast@isdglobal.org" TargetMode="External"/><Relationship Id="rId69" Type="http://schemas.openxmlformats.org/officeDocument/2006/relationships/hyperlink" Target="mailto:izilbergleyt@gmail.com" TargetMode="External"/><Relationship Id="rId51" Type="http://schemas.openxmlformats.org/officeDocument/2006/relationships/hyperlink" Target="mailto:parikhshaili4@gmail.com" TargetMode="External"/><Relationship Id="rId50" Type="http://schemas.openxmlformats.org/officeDocument/2006/relationships/hyperlink" Target="mailto:danielle.farage@gmail.com" TargetMode="External"/><Relationship Id="rId53" Type="http://schemas.openxmlformats.org/officeDocument/2006/relationships/hyperlink" Target="mailto:danielarusso06@gmail.com" TargetMode="External"/><Relationship Id="rId52" Type="http://schemas.openxmlformats.org/officeDocument/2006/relationships/hyperlink" Target="mailto:nikhita.kamath@gmail.com" TargetMode="External"/><Relationship Id="rId55" Type="http://schemas.openxmlformats.org/officeDocument/2006/relationships/hyperlink" Target="mailto:vickipollack1983@gmail.com" TargetMode="External"/><Relationship Id="rId54" Type="http://schemas.openxmlformats.org/officeDocument/2006/relationships/hyperlink" Target="mailto:maxine.mitchell@gmail.com" TargetMode="External"/><Relationship Id="rId57" Type="http://schemas.openxmlformats.org/officeDocument/2006/relationships/hyperlink" Target="mailto:elizabethj.pierson@yahoo.com" TargetMode="External"/><Relationship Id="rId56" Type="http://schemas.openxmlformats.org/officeDocument/2006/relationships/hyperlink" Target="mailto:jsd246@cornell.edu" TargetMode="External"/><Relationship Id="rId59" Type="http://schemas.openxmlformats.org/officeDocument/2006/relationships/hyperlink" Target="mailto:veronicaheredia55@hotmail.com" TargetMode="External"/><Relationship Id="rId58" Type="http://schemas.openxmlformats.org/officeDocument/2006/relationships/hyperlink" Target="mailto:vfm224@stern.nyu.edu" TargetMode="External"/><Relationship Id="rId95" Type="http://schemas.openxmlformats.org/officeDocument/2006/relationships/hyperlink" Target="mailto:vilsaintsuze@gmail.com" TargetMode="External"/><Relationship Id="rId94" Type="http://schemas.openxmlformats.org/officeDocument/2006/relationships/hyperlink" Target="mailto:jakemakola@gmail.com" TargetMode="External"/><Relationship Id="rId97" Type="http://schemas.openxmlformats.org/officeDocument/2006/relationships/hyperlink" Target="https://www.unipronow.org/" TargetMode="External"/><Relationship Id="rId96" Type="http://schemas.openxmlformats.org/officeDocument/2006/relationships/hyperlink" Target="mailto:scadorniga@gmail.com" TargetMode="External"/><Relationship Id="rId99" Type="http://schemas.openxmlformats.org/officeDocument/2006/relationships/drawing" Target="../drawings/drawing9.xml"/><Relationship Id="rId98" Type="http://schemas.openxmlformats.org/officeDocument/2006/relationships/hyperlink" Target="mailto:Bhavna.agnihotri@aig.com" TargetMode="External"/><Relationship Id="rId91" Type="http://schemas.openxmlformats.org/officeDocument/2006/relationships/hyperlink" Target="mailto:kady2003@gmail.com" TargetMode="External"/><Relationship Id="rId90" Type="http://schemas.openxmlformats.org/officeDocument/2006/relationships/hyperlink" Target="mailto:Divyakarkisw@gmail.com" TargetMode="External"/><Relationship Id="rId93" Type="http://schemas.openxmlformats.org/officeDocument/2006/relationships/hyperlink" Target="https://speakhire.kintone.com/k/44/show" TargetMode="External"/><Relationship Id="rId92" Type="http://schemas.openxmlformats.org/officeDocument/2006/relationships/hyperlink" Target="mailto:tarasajan@yaho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T2" s="3"/>
      <c r="U2" s="3"/>
      <c r="V2" s="3"/>
      <c r="W2" s="3"/>
      <c r="X2" s="3"/>
      <c r="Y2" s="3"/>
      <c r="Z2" s="3"/>
    </row>
    <row r="3">
      <c r="T3" s="3"/>
      <c r="U3" s="3"/>
      <c r="V3" s="3"/>
      <c r="W3" s="3"/>
      <c r="X3" s="3"/>
      <c r="Y3" s="3"/>
      <c r="Z3" s="3"/>
    </row>
    <row r="4">
      <c r="T4" s="3"/>
      <c r="U4" s="3"/>
      <c r="V4" s="3"/>
      <c r="W4" s="3"/>
      <c r="X4" s="3"/>
      <c r="Y4" s="3"/>
      <c r="Z4" s="3"/>
    </row>
    <row r="5">
      <c r="T5" s="3"/>
      <c r="U5" s="3"/>
      <c r="V5" s="3"/>
      <c r="W5" s="3"/>
      <c r="X5" s="3"/>
      <c r="Y5" s="3"/>
      <c r="Z5" s="3"/>
    </row>
    <row r="6">
      <c r="T6" s="3"/>
      <c r="U6" s="3"/>
      <c r="V6" s="3"/>
      <c r="W6" s="3"/>
      <c r="X6" s="3"/>
      <c r="Y6" s="3"/>
      <c r="Z6" s="3"/>
    </row>
    <row r="7">
      <c r="T7" s="3"/>
      <c r="U7" s="3"/>
      <c r="V7" s="3"/>
      <c r="W7" s="3"/>
      <c r="X7" s="3"/>
      <c r="Y7" s="3"/>
      <c r="Z7" s="3"/>
    </row>
    <row r="8">
      <c r="T8" s="3"/>
      <c r="U8" s="3"/>
      <c r="V8" s="3"/>
      <c r="W8" s="3"/>
      <c r="X8" s="3"/>
      <c r="Y8" s="3"/>
      <c r="Z8" s="3"/>
    </row>
    <row r="9">
      <c r="T9" s="3"/>
      <c r="U9" s="3"/>
      <c r="V9" s="3"/>
      <c r="W9" s="3"/>
      <c r="X9" s="3"/>
      <c r="Y9" s="3"/>
      <c r="Z9" s="3"/>
    </row>
    <row r="10">
      <c r="T10" s="3"/>
      <c r="U10" s="3"/>
      <c r="V10" s="3"/>
      <c r="W10" s="3"/>
      <c r="X10" s="3"/>
      <c r="Y10" s="3"/>
      <c r="Z10" s="3"/>
    </row>
    <row r="11">
      <c r="T11" s="3"/>
      <c r="U11" s="3"/>
      <c r="V11" s="3"/>
      <c r="W11" s="3"/>
      <c r="X11" s="3"/>
      <c r="Y11" s="3"/>
      <c r="Z11" s="3"/>
    </row>
    <row r="13">
      <c r="A13" s="1" t="s">
        <v>29</v>
      </c>
    </row>
    <row r="14">
      <c r="A14" s="4" t="s">
        <v>29</v>
      </c>
      <c r="B14" s="5" t="s">
        <v>2</v>
      </c>
      <c r="C14" s="5"/>
      <c r="D14" s="5"/>
      <c r="E14" s="5"/>
      <c r="F14" s="5"/>
      <c r="G14" s="5"/>
      <c r="H14" s="5"/>
      <c r="I14" s="5"/>
      <c r="J14" s="5"/>
      <c r="K14" s="5"/>
      <c r="L14" s="5"/>
      <c r="M14" s="5"/>
      <c r="N14" s="5"/>
      <c r="O14" s="5"/>
      <c r="P14" s="5"/>
      <c r="Q14" s="5"/>
      <c r="R14" s="5"/>
      <c r="S14" s="5"/>
      <c r="T14" s="5"/>
      <c r="U14" s="5"/>
      <c r="V14" s="5"/>
      <c r="W14" s="5"/>
      <c r="X14" s="5"/>
      <c r="Y14" s="5"/>
      <c r="Z14" s="5"/>
    </row>
    <row r="15">
      <c r="A15" s="5" t="s">
        <v>30</v>
      </c>
      <c r="B15" s="5"/>
      <c r="C15" s="5" t="s">
        <v>8</v>
      </c>
      <c r="D15" s="5" t="s">
        <v>10</v>
      </c>
      <c r="E15" s="5" t="s">
        <v>11</v>
      </c>
      <c r="F15" s="5" t="s">
        <v>15</v>
      </c>
      <c r="G15" s="5" t="s">
        <v>18</v>
      </c>
      <c r="H15" s="5" t="s">
        <v>21</v>
      </c>
      <c r="I15" s="5"/>
      <c r="J15" s="5"/>
      <c r="K15" s="5"/>
      <c r="L15" s="5"/>
      <c r="M15" s="5"/>
      <c r="N15" s="5"/>
      <c r="O15" s="5"/>
      <c r="P15" s="5"/>
      <c r="Q15" s="5"/>
      <c r="R15" s="5"/>
      <c r="S15" s="5"/>
      <c r="T15" s="5"/>
      <c r="U15" s="5"/>
      <c r="V15" s="5"/>
      <c r="W15" s="5"/>
      <c r="X15" s="5"/>
      <c r="Y15" s="5"/>
      <c r="Z15" s="5"/>
    </row>
    <row r="16">
      <c r="A16" s="5" t="s">
        <v>31</v>
      </c>
      <c r="B16" s="5">
        <v>19.0</v>
      </c>
      <c r="C16" s="5">
        <v>11.0</v>
      </c>
      <c r="D16" s="5">
        <v>40.0</v>
      </c>
      <c r="E16" s="5">
        <v>1.0</v>
      </c>
      <c r="F16" s="5">
        <v>72.0</v>
      </c>
      <c r="G16" s="5">
        <v>8.0</v>
      </c>
      <c r="H16" s="5">
        <v>151.0</v>
      </c>
      <c r="I16" s="5"/>
      <c r="J16" s="5"/>
      <c r="K16" s="5"/>
      <c r="L16" s="5"/>
      <c r="M16" s="5"/>
      <c r="N16" s="5"/>
      <c r="O16" s="5"/>
      <c r="P16" s="5"/>
      <c r="Q16" s="5"/>
      <c r="R16" s="5"/>
      <c r="S16" s="5"/>
      <c r="T16" s="5"/>
      <c r="U16" s="5"/>
      <c r="V16" s="5"/>
      <c r="W16" s="5"/>
      <c r="X16" s="5"/>
      <c r="Y16" s="5"/>
      <c r="Z16" s="5"/>
    </row>
    <row r="17">
      <c r="A17" s="5" t="s">
        <v>21</v>
      </c>
      <c r="B17" s="5">
        <v>19.0</v>
      </c>
      <c r="C17" s="5">
        <v>11.0</v>
      </c>
      <c r="D17" s="5">
        <v>40.0</v>
      </c>
      <c r="E17" s="5">
        <v>1.0</v>
      </c>
      <c r="F17" s="5">
        <v>72.0</v>
      </c>
      <c r="G17" s="5">
        <v>8.0</v>
      </c>
      <c r="H17" s="5">
        <v>151.0</v>
      </c>
      <c r="I17" s="5"/>
      <c r="J17" s="5"/>
      <c r="K17" s="5"/>
      <c r="L17" s="5"/>
      <c r="M17" s="5"/>
      <c r="N17" s="5"/>
      <c r="O17" s="5"/>
      <c r="P17" s="5"/>
      <c r="Q17" s="5"/>
      <c r="R17" s="5"/>
      <c r="S17" s="5"/>
      <c r="T17" s="5"/>
      <c r="U17" s="5"/>
      <c r="V17" s="5"/>
      <c r="W17" s="5"/>
      <c r="X17" s="5"/>
      <c r="Y17" s="5"/>
      <c r="Z17" s="5"/>
    </row>
    <row r="19">
      <c r="A19" s="1" t="s">
        <v>32</v>
      </c>
    </row>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18.88"/>
    <col customWidth="1" min="6" max="6" width="31.38"/>
    <col customWidth="1" min="7" max="9" width="37.63"/>
    <col customWidth="1" min="10" max="18" width="18.88"/>
  </cols>
  <sheetData>
    <row r="1" ht="22.5" customHeight="1">
      <c r="A1" s="6" t="s">
        <v>33</v>
      </c>
      <c r="B1" s="6" t="s">
        <v>34</v>
      </c>
      <c r="C1" s="6" t="s">
        <v>35</v>
      </c>
      <c r="D1" s="6" t="s">
        <v>36</v>
      </c>
      <c r="E1" s="6" t="s">
        <v>37</v>
      </c>
      <c r="F1" s="6" t="s">
        <v>38</v>
      </c>
      <c r="G1" s="6" t="s">
        <v>39</v>
      </c>
      <c r="H1" s="6" t="s">
        <v>40</v>
      </c>
      <c r="I1" s="6" t="s">
        <v>41</v>
      </c>
      <c r="J1" s="7" t="s">
        <v>42</v>
      </c>
      <c r="K1" s="7" t="s">
        <v>43</v>
      </c>
      <c r="L1" s="7" t="s">
        <v>44</v>
      </c>
    </row>
    <row r="2" ht="22.5" customHeight="1">
      <c r="A2" s="8">
        <v>46105.76907699074</v>
      </c>
      <c r="B2" s="9" t="s">
        <v>45</v>
      </c>
      <c r="C2" s="9" t="s">
        <v>46</v>
      </c>
      <c r="D2" s="9" t="s">
        <v>47</v>
      </c>
      <c r="E2" s="9">
        <v>6.467038461E9</v>
      </c>
      <c r="F2" s="9" t="s">
        <v>48</v>
      </c>
      <c r="G2" s="9" t="s">
        <v>49</v>
      </c>
      <c r="H2" s="9" t="s">
        <v>50</v>
      </c>
      <c r="I2" s="9" t="s">
        <v>51</v>
      </c>
      <c r="J2" s="9" t="s">
        <v>52</v>
      </c>
      <c r="K2" s="9" t="s">
        <v>53</v>
      </c>
      <c r="L2" s="10"/>
    </row>
    <row r="3" ht="22.5" customHeight="1">
      <c r="A3" s="11">
        <v>46105.89645288195</v>
      </c>
      <c r="B3" s="12" t="s">
        <v>54</v>
      </c>
      <c r="C3" s="12" t="s">
        <v>55</v>
      </c>
      <c r="D3" s="12" t="s">
        <v>56</v>
      </c>
      <c r="E3" s="12">
        <v>6.467256084E9</v>
      </c>
      <c r="F3" s="12" t="s">
        <v>57</v>
      </c>
      <c r="G3" s="12" t="s">
        <v>58</v>
      </c>
      <c r="H3" s="12" t="s">
        <v>59</v>
      </c>
      <c r="I3" s="12" t="s">
        <v>60</v>
      </c>
      <c r="J3" s="12" t="s">
        <v>61</v>
      </c>
      <c r="K3" s="12" t="s">
        <v>62</v>
      </c>
      <c r="L3" s="13"/>
    </row>
    <row r="4" ht="22.5" customHeight="1">
      <c r="A4" s="11">
        <v>46106.36874315972</v>
      </c>
      <c r="B4" s="12" t="s">
        <v>63</v>
      </c>
      <c r="C4" s="12" t="s">
        <v>64</v>
      </c>
      <c r="D4" s="12" t="s">
        <v>65</v>
      </c>
      <c r="E4" s="12">
        <v>9.294221124E9</v>
      </c>
      <c r="F4" s="12" t="s">
        <v>66</v>
      </c>
      <c r="G4" s="12" t="s">
        <v>67</v>
      </c>
      <c r="H4" s="12" t="s">
        <v>68</v>
      </c>
      <c r="I4" s="12" t="s">
        <v>69</v>
      </c>
      <c r="J4" s="12" t="s">
        <v>52</v>
      </c>
      <c r="K4" s="12" t="s">
        <v>53</v>
      </c>
      <c r="L4" s="13"/>
    </row>
    <row r="5" ht="22.5" customHeight="1">
      <c r="A5" s="11">
        <v>46106.89662828704</v>
      </c>
      <c r="B5" s="12" t="s">
        <v>70</v>
      </c>
      <c r="C5" s="12" t="s">
        <v>71</v>
      </c>
      <c r="D5" s="12" t="s">
        <v>72</v>
      </c>
      <c r="E5" s="12" t="s">
        <v>73</v>
      </c>
      <c r="F5" s="12" t="s">
        <v>74</v>
      </c>
      <c r="G5" s="12" t="s">
        <v>75</v>
      </c>
      <c r="H5" s="12" t="s">
        <v>50</v>
      </c>
      <c r="I5" s="12" t="s">
        <v>76</v>
      </c>
      <c r="J5" s="12" t="s">
        <v>77</v>
      </c>
      <c r="K5" s="12" t="s">
        <v>62</v>
      </c>
      <c r="L5" s="13"/>
    </row>
    <row r="6" ht="22.5" customHeight="1">
      <c r="A6" s="11">
        <v>46108.49637581018</v>
      </c>
      <c r="B6" s="12" t="s">
        <v>45</v>
      </c>
      <c r="C6" s="12" t="s">
        <v>46</v>
      </c>
      <c r="D6" s="12" t="s">
        <v>47</v>
      </c>
      <c r="E6" s="12">
        <v>6.467038461E9</v>
      </c>
      <c r="F6" s="12" t="s">
        <v>78</v>
      </c>
      <c r="G6" s="12" t="s">
        <v>79</v>
      </c>
      <c r="H6" s="12" t="s">
        <v>50</v>
      </c>
      <c r="I6" s="12" t="s">
        <v>80</v>
      </c>
      <c r="J6" s="12" t="s">
        <v>81</v>
      </c>
      <c r="K6" s="12" t="s">
        <v>82</v>
      </c>
      <c r="L6" s="13"/>
    </row>
    <row r="7" ht="22.5" customHeight="1">
      <c r="A7" s="11">
        <v>46108.944943298615</v>
      </c>
      <c r="B7" s="12" t="s">
        <v>83</v>
      </c>
      <c r="C7" s="12" t="s">
        <v>84</v>
      </c>
      <c r="D7" s="12" t="s">
        <v>85</v>
      </c>
      <c r="E7" s="12">
        <v>9.179436216E9</v>
      </c>
      <c r="F7" s="12" t="s">
        <v>86</v>
      </c>
      <c r="G7" s="12" t="s">
        <v>87</v>
      </c>
      <c r="H7" s="12" t="s">
        <v>50</v>
      </c>
      <c r="I7" s="12" t="s">
        <v>88</v>
      </c>
      <c r="J7" s="12" t="s">
        <v>89</v>
      </c>
      <c r="K7" s="12" t="s">
        <v>90</v>
      </c>
      <c r="L7" s="13"/>
    </row>
    <row r="8" ht="22.5" customHeight="1">
      <c r="A8" s="11">
        <v>46109.387548715276</v>
      </c>
      <c r="B8" s="12" t="s">
        <v>91</v>
      </c>
      <c r="C8" s="12" t="s">
        <v>92</v>
      </c>
      <c r="D8" s="12" t="s">
        <v>93</v>
      </c>
      <c r="E8" s="12">
        <v>9.496878921E9</v>
      </c>
      <c r="F8" s="12" t="s">
        <v>94</v>
      </c>
      <c r="G8" s="12" t="s">
        <v>95</v>
      </c>
      <c r="H8" s="12" t="s">
        <v>96</v>
      </c>
      <c r="I8" s="12" t="s">
        <v>97</v>
      </c>
      <c r="J8" s="12" t="s">
        <v>98</v>
      </c>
      <c r="K8" s="12" t="s">
        <v>62</v>
      </c>
      <c r="L8" s="13"/>
    </row>
    <row r="9" ht="22.5" customHeight="1">
      <c r="A9" s="11">
        <v>46109.410565439815</v>
      </c>
      <c r="B9" s="12" t="s">
        <v>99</v>
      </c>
      <c r="C9" s="12" t="s">
        <v>100</v>
      </c>
      <c r="D9" s="12">
        <v>10453.0</v>
      </c>
      <c r="E9" s="12">
        <v>9.2296705851E10</v>
      </c>
      <c r="F9" s="12" t="s">
        <v>101</v>
      </c>
      <c r="G9" s="12" t="s">
        <v>102</v>
      </c>
      <c r="H9" s="12" t="s">
        <v>103</v>
      </c>
      <c r="I9" s="12" t="s">
        <v>101</v>
      </c>
      <c r="J9" s="12" t="s">
        <v>101</v>
      </c>
      <c r="K9" s="12" t="s">
        <v>90</v>
      </c>
      <c r="L9" s="13"/>
    </row>
    <row r="10" ht="22.5" customHeight="1">
      <c r="A10" s="11">
        <v>46109.44087446759</v>
      </c>
      <c r="B10" s="12" t="s">
        <v>104</v>
      </c>
      <c r="C10" s="12" t="s">
        <v>105</v>
      </c>
      <c r="D10" s="12" t="s">
        <v>106</v>
      </c>
      <c r="E10" s="12">
        <v>9.293314859E9</v>
      </c>
      <c r="F10" s="12" t="s">
        <v>107</v>
      </c>
      <c r="G10" s="12" t="s">
        <v>108</v>
      </c>
      <c r="H10" s="12" t="s">
        <v>50</v>
      </c>
      <c r="I10" s="12" t="s">
        <v>109</v>
      </c>
      <c r="J10" s="12" t="s">
        <v>110</v>
      </c>
      <c r="K10" s="12" t="s">
        <v>90</v>
      </c>
      <c r="L10" s="13"/>
    </row>
    <row r="11" ht="22.5" customHeight="1">
      <c r="A11" s="11">
        <v>46109.447107361106</v>
      </c>
      <c r="B11" s="12" t="s">
        <v>111</v>
      </c>
      <c r="C11" s="12" t="s">
        <v>112</v>
      </c>
      <c r="D11" s="12" t="s">
        <v>113</v>
      </c>
      <c r="E11" s="12" t="s">
        <v>114</v>
      </c>
      <c r="F11" s="12" t="s">
        <v>115</v>
      </c>
      <c r="G11" s="12" t="s">
        <v>116</v>
      </c>
      <c r="H11" s="12" t="s">
        <v>50</v>
      </c>
      <c r="I11" s="12" t="s">
        <v>117</v>
      </c>
      <c r="J11" s="12" t="s">
        <v>118</v>
      </c>
      <c r="K11" s="12" t="s">
        <v>82</v>
      </c>
      <c r="L11" s="13"/>
    </row>
    <row r="12" ht="22.5" customHeight="1">
      <c r="A12" s="11">
        <v>46111.537935625005</v>
      </c>
      <c r="B12" s="12" t="s">
        <v>119</v>
      </c>
      <c r="C12" s="12" t="s">
        <v>120</v>
      </c>
      <c r="D12" s="12" t="s">
        <v>121</v>
      </c>
      <c r="E12" s="12">
        <v>6.463387513E9</v>
      </c>
      <c r="F12" s="12" t="s">
        <v>122</v>
      </c>
      <c r="G12" s="12" t="s">
        <v>123</v>
      </c>
      <c r="H12" s="12" t="s">
        <v>50</v>
      </c>
      <c r="I12" s="12" t="s">
        <v>124</v>
      </c>
      <c r="J12" s="12" t="s">
        <v>125</v>
      </c>
      <c r="K12" s="12" t="s">
        <v>53</v>
      </c>
      <c r="L12" s="13"/>
    </row>
    <row r="13" ht="22.5" customHeight="1">
      <c r="A13" s="11">
        <v>46116.07158686343</v>
      </c>
      <c r="B13" s="12" t="s">
        <v>126</v>
      </c>
      <c r="C13" s="12" t="s">
        <v>127</v>
      </c>
      <c r="D13" s="12" t="s">
        <v>128</v>
      </c>
      <c r="E13" s="12" t="s">
        <v>129</v>
      </c>
      <c r="F13" s="12" t="s">
        <v>130</v>
      </c>
      <c r="G13" s="12" t="s">
        <v>131</v>
      </c>
      <c r="H13" s="12" t="s">
        <v>130</v>
      </c>
      <c r="I13" s="12" t="s">
        <v>130</v>
      </c>
      <c r="J13" s="12" t="s">
        <v>132</v>
      </c>
      <c r="K13" s="12" t="s">
        <v>133</v>
      </c>
      <c r="L13" s="12" t="s">
        <v>50</v>
      </c>
    </row>
    <row r="14" ht="22.5" customHeight="1">
      <c r="A14" s="11">
        <v>46116.07386116898</v>
      </c>
      <c r="B14" s="12" t="s">
        <v>126</v>
      </c>
      <c r="C14" s="12" t="s">
        <v>134</v>
      </c>
      <c r="D14" s="12" t="s">
        <v>128</v>
      </c>
      <c r="E14" s="12" t="s">
        <v>129</v>
      </c>
      <c r="F14" s="12" t="s">
        <v>135</v>
      </c>
      <c r="G14" s="12" t="s">
        <v>135</v>
      </c>
      <c r="H14" s="12" t="s">
        <v>136</v>
      </c>
      <c r="I14" s="12" t="s">
        <v>137</v>
      </c>
      <c r="J14" s="12" t="s">
        <v>138</v>
      </c>
      <c r="K14" s="12" t="s">
        <v>133</v>
      </c>
      <c r="L14" s="12" t="s">
        <v>50</v>
      </c>
    </row>
    <row r="15" ht="22.5" customHeight="1">
      <c r="A15" s="11">
        <v>46122.65420063658</v>
      </c>
      <c r="B15" s="12" t="s">
        <v>91</v>
      </c>
      <c r="C15" s="12" t="s">
        <v>92</v>
      </c>
      <c r="D15" s="12" t="s">
        <v>139</v>
      </c>
      <c r="E15" s="12">
        <v>9.496878921E9</v>
      </c>
      <c r="F15" s="12" t="s">
        <v>140</v>
      </c>
      <c r="G15" s="12" t="s">
        <v>141</v>
      </c>
      <c r="H15" s="12" t="s">
        <v>142</v>
      </c>
      <c r="I15" s="12" t="s">
        <v>143</v>
      </c>
      <c r="J15" s="12" t="s">
        <v>144</v>
      </c>
      <c r="K15" s="12" t="s">
        <v>90</v>
      </c>
      <c r="L15" s="12" t="s">
        <v>145</v>
      </c>
    </row>
    <row r="16" ht="22.5" customHeight="1">
      <c r="A16" s="11">
        <v>46122.762705243054</v>
      </c>
      <c r="B16" s="12" t="s">
        <v>146</v>
      </c>
      <c r="C16" s="12" t="s">
        <v>147</v>
      </c>
      <c r="D16" s="12" t="s">
        <v>148</v>
      </c>
      <c r="E16" s="12">
        <v>6.466175246E9</v>
      </c>
      <c r="F16" s="12" t="s">
        <v>149</v>
      </c>
      <c r="G16" s="12" t="s">
        <v>150</v>
      </c>
      <c r="H16" s="12" t="s">
        <v>151</v>
      </c>
      <c r="I16" s="12" t="s">
        <v>152</v>
      </c>
      <c r="J16" s="12" t="s">
        <v>153</v>
      </c>
      <c r="K16" s="12" t="s">
        <v>53</v>
      </c>
      <c r="L16" s="12" t="s">
        <v>50</v>
      </c>
    </row>
    <row r="17" ht="22.5" customHeight="1">
      <c r="A17" s="11">
        <v>46123.87173478009</v>
      </c>
      <c r="B17" s="12" t="s">
        <v>154</v>
      </c>
      <c r="C17" s="12" t="s">
        <v>155</v>
      </c>
      <c r="D17" s="12">
        <v>10472.0</v>
      </c>
      <c r="E17" s="12">
        <v>9.293305644E9</v>
      </c>
      <c r="F17" s="12" t="s">
        <v>156</v>
      </c>
      <c r="G17" s="12" t="s">
        <v>157</v>
      </c>
      <c r="H17" s="12" t="s">
        <v>158</v>
      </c>
      <c r="I17" s="12" t="s">
        <v>159</v>
      </c>
      <c r="J17" s="12" t="s">
        <v>160</v>
      </c>
      <c r="K17" s="12" t="s">
        <v>161</v>
      </c>
      <c r="L17" s="12" t="s">
        <v>50</v>
      </c>
    </row>
    <row r="18" ht="22.5" customHeight="1">
      <c r="A18" s="11">
        <v>46124.46314127315</v>
      </c>
      <c r="B18" s="12" t="s">
        <v>45</v>
      </c>
      <c r="C18" s="12" t="s">
        <v>46</v>
      </c>
      <c r="D18" s="12">
        <v>11234.0</v>
      </c>
      <c r="E18" s="12">
        <v>6.467038461E9</v>
      </c>
      <c r="F18" s="12" t="s">
        <v>162</v>
      </c>
      <c r="G18" s="12" t="s">
        <v>79</v>
      </c>
      <c r="H18" s="12" t="s">
        <v>50</v>
      </c>
      <c r="I18" s="12" t="s">
        <v>101</v>
      </c>
      <c r="J18" s="14" t="s">
        <v>163</v>
      </c>
      <c r="K18" s="12" t="s">
        <v>53</v>
      </c>
      <c r="L18" s="12" t="s">
        <v>164</v>
      </c>
    </row>
    <row r="19" ht="22.5" customHeight="1">
      <c r="A19" s="11">
        <v>46125.969399560185</v>
      </c>
      <c r="B19" s="12" t="s">
        <v>111</v>
      </c>
      <c r="C19" s="12" t="s">
        <v>112</v>
      </c>
      <c r="D19" s="12" t="s">
        <v>113</v>
      </c>
      <c r="E19" s="12" t="s">
        <v>114</v>
      </c>
      <c r="F19" s="12" t="s">
        <v>165</v>
      </c>
      <c r="G19" s="12" t="s">
        <v>116</v>
      </c>
      <c r="H19" s="12" t="s">
        <v>50</v>
      </c>
      <c r="I19" s="12" t="s">
        <v>166</v>
      </c>
      <c r="J19" s="12" t="s">
        <v>167</v>
      </c>
      <c r="K19" s="12" t="s">
        <v>82</v>
      </c>
      <c r="L19" s="12" t="s">
        <v>168</v>
      </c>
    </row>
    <row r="20" ht="22.5" customHeight="1">
      <c r="A20" s="11">
        <v>46128.70874541666</v>
      </c>
      <c r="B20" s="12" t="s">
        <v>169</v>
      </c>
      <c r="C20" s="12" t="s">
        <v>170</v>
      </c>
      <c r="D20" s="12">
        <v>11373.0</v>
      </c>
      <c r="E20" s="12">
        <v>6.462095546E9</v>
      </c>
      <c r="F20" s="12" t="s">
        <v>171</v>
      </c>
      <c r="G20" s="12" t="s">
        <v>172</v>
      </c>
      <c r="H20" s="12" t="s">
        <v>173</v>
      </c>
      <c r="I20" s="12" t="s">
        <v>174</v>
      </c>
      <c r="J20" s="14" t="s">
        <v>163</v>
      </c>
      <c r="K20" s="12" t="s">
        <v>62</v>
      </c>
      <c r="L20" s="12" t="s">
        <v>175</v>
      </c>
    </row>
    <row r="21" ht="22.5" customHeight="1">
      <c r="A21" s="11">
        <v>46130.43570291667</v>
      </c>
      <c r="B21" s="12" t="s">
        <v>176</v>
      </c>
      <c r="C21" s="12" t="s">
        <v>177</v>
      </c>
      <c r="D21" s="12" t="s">
        <v>178</v>
      </c>
      <c r="E21" s="12">
        <v>7.188442579E9</v>
      </c>
      <c r="F21" s="12" t="s">
        <v>179</v>
      </c>
      <c r="G21" s="12" t="s">
        <v>180</v>
      </c>
      <c r="H21" s="12" t="s">
        <v>181</v>
      </c>
      <c r="I21" s="12" t="s">
        <v>182</v>
      </c>
      <c r="J21" s="12" t="s">
        <v>183</v>
      </c>
      <c r="K21" s="12" t="s">
        <v>53</v>
      </c>
      <c r="L21" s="12" t="s">
        <v>184</v>
      </c>
    </row>
    <row r="22" ht="22.5" customHeight="1">
      <c r="A22" s="11">
        <v>46140.76900467592</v>
      </c>
      <c r="B22" s="12" t="s">
        <v>45</v>
      </c>
      <c r="C22" s="12" t="s">
        <v>46</v>
      </c>
      <c r="D22" s="12">
        <v>11234.0</v>
      </c>
      <c r="E22" s="12">
        <v>6.467038461E9</v>
      </c>
      <c r="F22" s="12" t="s">
        <v>185</v>
      </c>
      <c r="G22" s="12" t="s">
        <v>49</v>
      </c>
      <c r="H22" s="12" t="s">
        <v>50</v>
      </c>
      <c r="I22" s="12" t="s">
        <v>101</v>
      </c>
      <c r="J22" s="14" t="s">
        <v>186</v>
      </c>
      <c r="K22" s="12" t="s">
        <v>90</v>
      </c>
      <c r="L22" s="12" t="s">
        <v>187</v>
      </c>
    </row>
    <row r="23" ht="22.5" customHeight="1">
      <c r="A23" s="11">
        <v>46154.544659837964</v>
      </c>
      <c r="B23" s="12" t="s">
        <v>45</v>
      </c>
      <c r="C23" s="12" t="s">
        <v>46</v>
      </c>
      <c r="D23" s="12">
        <v>11234.0</v>
      </c>
      <c r="E23" s="12">
        <v>6.467038461E9</v>
      </c>
      <c r="F23" s="12" t="s">
        <v>188</v>
      </c>
      <c r="G23" s="12" t="s">
        <v>49</v>
      </c>
      <c r="H23" s="12" t="s">
        <v>189</v>
      </c>
      <c r="I23" s="12" t="s">
        <v>101</v>
      </c>
      <c r="J23" s="12" t="s">
        <v>190</v>
      </c>
      <c r="K23" s="12" t="s">
        <v>90</v>
      </c>
      <c r="L23" s="12" t="s">
        <v>187</v>
      </c>
    </row>
    <row r="24" ht="22.5" customHeight="1">
      <c r="A24" s="11">
        <v>46159.685825821754</v>
      </c>
      <c r="B24" s="12" t="s">
        <v>191</v>
      </c>
      <c r="C24" s="12" t="s">
        <v>192</v>
      </c>
      <c r="D24" s="12" t="s">
        <v>193</v>
      </c>
      <c r="E24" s="12">
        <v>9.294044915E9</v>
      </c>
      <c r="F24" s="12" t="s">
        <v>194</v>
      </c>
      <c r="G24" s="12" t="s">
        <v>50</v>
      </c>
      <c r="H24" s="12" t="s">
        <v>50</v>
      </c>
      <c r="I24" s="12" t="s">
        <v>195</v>
      </c>
      <c r="J24" s="12" t="s">
        <v>196</v>
      </c>
      <c r="K24" s="12" t="s">
        <v>53</v>
      </c>
      <c r="L24" s="12" t="s">
        <v>189</v>
      </c>
    </row>
    <row r="25" ht="22.5" customHeight="1">
      <c r="A25" s="11">
        <v>46161.47618054398</v>
      </c>
      <c r="B25" s="12" t="s">
        <v>197</v>
      </c>
      <c r="C25" s="12" t="s">
        <v>198</v>
      </c>
      <c r="D25" s="12" t="s">
        <v>199</v>
      </c>
      <c r="E25" s="12">
        <v>9.0</v>
      </c>
      <c r="F25" s="12" t="s">
        <v>200</v>
      </c>
      <c r="G25" s="12" t="s">
        <v>201</v>
      </c>
      <c r="H25" s="12" t="s">
        <v>202</v>
      </c>
      <c r="I25" s="12" t="s">
        <v>203</v>
      </c>
      <c r="J25" s="12" t="s">
        <v>204</v>
      </c>
      <c r="K25" s="12" t="s">
        <v>205</v>
      </c>
      <c r="L25" s="12" t="s">
        <v>50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7.5"/>
    <col customWidth="1" min="2" max="2" width="9.5"/>
    <col customWidth="1" min="3" max="3" width="15.88"/>
    <col customWidth="1" min="4" max="4" width="9.5"/>
    <col customWidth="1" min="5" max="5" width="14.38"/>
    <col customWidth="1" min="6" max="6" width="17.13"/>
    <col customWidth="1" min="7" max="7" width="10.0"/>
    <col customWidth="1" min="8" max="8" width="11.63"/>
    <col customWidth="1" min="9" max="10" width="14.63"/>
    <col customWidth="1" min="11" max="11" width="46.38"/>
    <col customWidth="1" min="17" max="17" width="57.88"/>
    <col customWidth="1" min="18" max="18" width="20.88"/>
    <col customWidth="1" min="19" max="19" width="19.13"/>
    <col customWidth="1" min="20" max="20" width="10.5"/>
    <col customWidth="1" min="21" max="21" width="37.0"/>
    <col customWidth="1" min="22" max="22" width="22.63"/>
    <col customWidth="1" min="23" max="23" width="42.63"/>
    <col customWidth="1" min="24" max="24" width="41.13"/>
    <col customWidth="1" min="25" max="25" width="36.75"/>
    <col customWidth="1" min="26" max="26" width="12.13"/>
    <col customWidth="1" min="27" max="27" width="13.88"/>
    <col customWidth="1" min="28" max="28" width="19.88"/>
    <col customWidth="1" min="29" max="29" width="14.75"/>
    <col customWidth="1" min="31" max="31" width="14.5"/>
    <col customWidth="1" min="32" max="32" width="16.25"/>
  </cols>
  <sheetData>
    <row r="1" ht="58.5" customHeight="1">
      <c r="A1" s="15" t="s">
        <v>206</v>
      </c>
      <c r="B1" s="15" t="s">
        <v>207</v>
      </c>
      <c r="C1" s="15" t="s">
        <v>35</v>
      </c>
      <c r="D1" s="15" t="s">
        <v>37</v>
      </c>
      <c r="E1" s="15" t="s">
        <v>34</v>
      </c>
      <c r="F1" s="15" t="s">
        <v>208</v>
      </c>
      <c r="G1" s="15" t="s">
        <v>209</v>
      </c>
      <c r="H1" s="15" t="s">
        <v>210</v>
      </c>
      <c r="I1" s="15" t="s">
        <v>211</v>
      </c>
      <c r="J1" s="15" t="s">
        <v>212</v>
      </c>
      <c r="K1" s="15" t="s">
        <v>213</v>
      </c>
      <c r="L1" s="16" t="s">
        <v>214</v>
      </c>
      <c r="M1" s="17" t="s">
        <v>215</v>
      </c>
      <c r="N1" s="17" t="s">
        <v>216</v>
      </c>
      <c r="O1" s="17" t="s">
        <v>217</v>
      </c>
      <c r="P1" s="17" t="s">
        <v>218</v>
      </c>
      <c r="Q1" s="15" t="s">
        <v>219</v>
      </c>
      <c r="R1" s="15" t="s">
        <v>220</v>
      </c>
      <c r="S1" s="18" t="s">
        <v>221</v>
      </c>
      <c r="T1" s="18" t="s">
        <v>222</v>
      </c>
      <c r="U1" s="15" t="s">
        <v>223</v>
      </c>
      <c r="V1" s="15" t="s">
        <v>224</v>
      </c>
      <c r="W1" s="19" t="s">
        <v>225</v>
      </c>
      <c r="X1" s="15" t="s">
        <v>226</v>
      </c>
      <c r="Y1" s="15" t="s">
        <v>227</v>
      </c>
      <c r="Z1" s="15" t="s">
        <v>228</v>
      </c>
      <c r="AA1" s="15" t="s">
        <v>229</v>
      </c>
      <c r="AB1" s="20" t="s">
        <v>230</v>
      </c>
      <c r="AC1" s="17" t="s">
        <v>231</v>
      </c>
      <c r="AD1" s="15" t="s">
        <v>232</v>
      </c>
      <c r="AE1" s="15" t="s">
        <v>233</v>
      </c>
      <c r="AF1" s="15" t="s">
        <v>234</v>
      </c>
      <c r="AG1" s="15" t="s">
        <v>235</v>
      </c>
      <c r="AH1" s="21"/>
      <c r="AI1" s="21"/>
      <c r="AJ1" s="21"/>
      <c r="AK1" s="21"/>
      <c r="AL1" s="21"/>
    </row>
    <row r="2" hidden="1">
      <c r="A2" s="22" t="s">
        <v>236</v>
      </c>
      <c r="B2" s="22" t="s">
        <v>237</v>
      </c>
      <c r="C2" s="23" t="str">
        <f t="shared" ref="C2:C656" si="1">CONCATENATE(A2," ",B2)</f>
        <v>Tahsina Ahmed</v>
      </c>
      <c r="D2" s="24"/>
      <c r="E2" s="24"/>
      <c r="F2" s="22" t="s">
        <v>238</v>
      </c>
      <c r="G2" s="22">
        <v>671.0</v>
      </c>
      <c r="H2" s="22">
        <f t="array" ref="H2">IFERROR(INDEX('Hub CPC 226'!A:A, MATCH(C2, 'Hub CPC 226'!B:B, 0)), "")</f>
        <v>5</v>
      </c>
      <c r="I2" s="22">
        <f t="array" ref="I2">IFERROR(INDEX('Hub Users 226'!A:A, MATCH(C2, 'Hub Users 226'!B:B, 0)), "")</f>
        <v>25</v>
      </c>
      <c r="J2" s="22" t="s">
        <v>239</v>
      </c>
      <c r="K2" s="23" t="s">
        <v>240</v>
      </c>
      <c r="L2" s="25">
        <v>44851.76527777778</v>
      </c>
      <c r="M2" s="23"/>
      <c r="N2" s="23"/>
      <c r="O2" s="23"/>
      <c r="P2" s="23"/>
      <c r="Q2" s="24"/>
      <c r="R2" s="24"/>
      <c r="S2" s="24"/>
      <c r="T2" s="22" t="s">
        <v>241</v>
      </c>
      <c r="U2" s="24"/>
      <c r="V2" s="26" t="s">
        <v>242</v>
      </c>
      <c r="W2" s="27" t="s">
        <v>243</v>
      </c>
      <c r="X2" s="26" t="s">
        <v>244</v>
      </c>
      <c r="Y2" s="23"/>
      <c r="Z2" s="28"/>
      <c r="AA2" s="23"/>
      <c r="AB2" s="23" t="str">
        <f>IFERROR(__xludf.DUMMYFUNCTION("IF(
ISNUMBER(MATCH(
C2,
IMPORTRANGE(""https://docs.google.com/spreadsheets/d/1yTh1ELC33JHYOeEdgIiEclxPRyh0zOKtlawDltfUay8"",""'Champions'!A:A""),
0
)),
""Outreach Conducted"",
"""")"),"")</f>
        <v/>
      </c>
      <c r="AC2" s="23"/>
      <c r="AD2" s="23"/>
      <c r="AE2" s="23"/>
      <c r="AF2" s="23"/>
      <c r="AG2" s="23"/>
      <c r="AH2" s="23"/>
      <c r="AI2" s="23"/>
      <c r="AJ2" s="23"/>
      <c r="AK2" s="23"/>
      <c r="AL2" s="23"/>
    </row>
    <row r="3" hidden="1">
      <c r="A3" s="22" t="s">
        <v>245</v>
      </c>
      <c r="B3" s="22" t="s">
        <v>246</v>
      </c>
      <c r="C3" s="23" t="str">
        <f t="shared" si="1"/>
        <v>John ?Nico? Johnson</v>
      </c>
      <c r="D3" s="22">
        <v>8.582600744E9</v>
      </c>
      <c r="E3" s="29" t="s">
        <v>247</v>
      </c>
      <c r="F3" s="22" t="s">
        <v>248</v>
      </c>
      <c r="G3" s="22">
        <v>399.0</v>
      </c>
      <c r="H3" s="22">
        <f t="array" ref="H3">IFERROR(INDEX('Hub CPC 226'!A:A, MATCH(C3, 'Hub CPC 226'!B:B, 0)), "")</f>
        <v>6</v>
      </c>
      <c r="I3" s="22">
        <f t="array" ref="I3">IFERROR(INDEX('Hub Users 226'!A:A, MATCH(C3, 'Hub Users 226'!B:B, 0)), "")</f>
        <v>26</v>
      </c>
      <c r="J3" s="22" t="s">
        <v>240</v>
      </c>
      <c r="K3" s="23" t="s">
        <v>249</v>
      </c>
      <c r="L3" s="25">
        <v>44200.69861111111</v>
      </c>
      <c r="M3" s="23"/>
      <c r="N3" s="23"/>
      <c r="O3" s="23"/>
      <c r="P3" s="23"/>
      <c r="Q3" s="22" t="s">
        <v>250</v>
      </c>
      <c r="R3" s="22" t="s">
        <v>251</v>
      </c>
      <c r="S3" s="22" t="s">
        <v>251</v>
      </c>
      <c r="T3" s="22" t="s">
        <v>252</v>
      </c>
      <c r="U3" s="22" t="s">
        <v>253</v>
      </c>
      <c r="V3" s="26" t="s">
        <v>254</v>
      </c>
      <c r="W3" s="27" t="s">
        <v>255</v>
      </c>
      <c r="X3" s="26" t="s">
        <v>256</v>
      </c>
      <c r="Y3" s="23"/>
      <c r="Z3" s="28"/>
      <c r="AA3" s="23"/>
      <c r="AB3" s="23" t="str">
        <f>IFERROR(__xludf.DUMMYFUNCTION("IF(
ISNUMBER(MATCH(
C3,
IMPORTRANGE(""https://docs.google.com/spreadsheets/d/1yTh1ELC33JHYOeEdgIiEclxPRyh0zOKtlawDltfUay8"",""'Champions'!A:A""),
0
)),
""Outreach Conducted"",
"""")"),"")</f>
        <v/>
      </c>
      <c r="AC3" s="23"/>
      <c r="AD3" s="23"/>
      <c r="AE3" s="23"/>
      <c r="AF3" s="23"/>
      <c r="AG3" s="23"/>
      <c r="AH3" s="23"/>
      <c r="AI3" s="23"/>
      <c r="AJ3" s="23"/>
      <c r="AK3" s="23"/>
      <c r="AL3" s="23"/>
    </row>
    <row r="4" hidden="1">
      <c r="A4" s="22" t="s">
        <v>257</v>
      </c>
      <c r="B4" s="22" t="s">
        <v>258</v>
      </c>
      <c r="C4" s="23" t="str">
        <f t="shared" si="1"/>
        <v>Abdelrahman Bannora</v>
      </c>
      <c r="D4" s="30">
        <v>2.012E11</v>
      </c>
      <c r="E4" s="29" t="s">
        <v>259</v>
      </c>
      <c r="F4" s="22" t="s">
        <v>238</v>
      </c>
      <c r="G4" s="22">
        <v>491.0</v>
      </c>
      <c r="H4" s="22">
        <f t="array" ref="H4">IFERROR(INDEX('Hub CPC 226'!A:A, MATCH(C4, 'Hub CPC 226'!B:B, 0)), "")</f>
        <v>7</v>
      </c>
      <c r="I4" s="22">
        <f t="array" ref="I4">IFERROR(INDEX('Hub Users 226'!A:A, MATCH(C4, 'Hub Users 226'!B:B, 0)), "")</f>
        <v>27</v>
      </c>
      <c r="J4" s="22" t="s">
        <v>260</v>
      </c>
      <c r="K4" s="23" t="s">
        <v>261</v>
      </c>
      <c r="L4" s="25">
        <v>44427.4625</v>
      </c>
      <c r="M4" s="23"/>
      <c r="N4" s="23"/>
      <c r="O4" s="23"/>
      <c r="P4" s="23"/>
      <c r="Q4" s="22" t="s">
        <v>262</v>
      </c>
      <c r="R4" s="22" t="s">
        <v>263</v>
      </c>
      <c r="S4" s="24"/>
      <c r="T4" s="24"/>
      <c r="U4" s="22" t="s">
        <v>264</v>
      </c>
      <c r="V4" s="23"/>
      <c r="W4" s="23"/>
      <c r="X4" s="23"/>
      <c r="Y4" s="23"/>
      <c r="Z4" s="28"/>
      <c r="AA4" s="23"/>
      <c r="AB4" s="23" t="str">
        <f>IFERROR(__xludf.DUMMYFUNCTION("IF(
ISNUMBER(MATCH(
C4,
IMPORTRANGE(""https://docs.google.com/spreadsheets/d/1yTh1ELC33JHYOeEdgIiEclxPRyh0zOKtlawDltfUay8"",""'Champions'!A:A""),
0
)),
""Outreach Conducted"",
"""")"),"")</f>
        <v/>
      </c>
      <c r="AC4" s="23"/>
      <c r="AD4" s="23"/>
      <c r="AE4" s="23"/>
      <c r="AF4" s="23"/>
      <c r="AG4" s="23"/>
      <c r="AH4" s="23"/>
      <c r="AI4" s="23"/>
      <c r="AJ4" s="23"/>
      <c r="AK4" s="23"/>
      <c r="AL4" s="23"/>
    </row>
    <row r="5" hidden="1">
      <c r="A5" s="22" t="s">
        <v>265</v>
      </c>
      <c r="B5" s="22" t="s">
        <v>266</v>
      </c>
      <c r="C5" s="23" t="str">
        <f t="shared" si="1"/>
        <v>Andres Rubiano</v>
      </c>
      <c r="D5" s="22" t="s">
        <v>267</v>
      </c>
      <c r="E5" s="29" t="s">
        <v>268</v>
      </c>
      <c r="F5" s="22" t="s">
        <v>248</v>
      </c>
      <c r="G5" s="22">
        <v>647.0</v>
      </c>
      <c r="H5" s="22" t="str">
        <f t="array" ref="H5">IFERROR(INDEX('Hub CPC 226'!A:A, MATCH(C5, 'Hub CPC 226'!B:B, 0)), "")</f>
        <v/>
      </c>
      <c r="I5" s="22">
        <f t="array" ref="I5">IFERROR(INDEX('Hub Users 226'!A:A, MATCH(C5, 'Hub Users 226'!B:B, 0)), "")</f>
        <v>28</v>
      </c>
      <c r="J5" s="22" t="s">
        <v>269</v>
      </c>
      <c r="K5" s="23" t="s">
        <v>270</v>
      </c>
      <c r="L5" s="25">
        <v>44678.58194444444</v>
      </c>
      <c r="M5" s="28"/>
      <c r="N5" s="28"/>
      <c r="O5" s="28"/>
      <c r="P5" s="31"/>
      <c r="Q5" s="24"/>
      <c r="R5" s="22" t="s">
        <v>271</v>
      </c>
      <c r="S5" s="24"/>
      <c r="T5" s="22" t="s">
        <v>272</v>
      </c>
      <c r="U5" s="22" t="s">
        <v>273</v>
      </c>
      <c r="V5" s="26" t="s">
        <v>274</v>
      </c>
      <c r="W5" s="23"/>
      <c r="X5" s="26" t="s">
        <v>275</v>
      </c>
      <c r="Y5" s="23"/>
      <c r="Z5" s="28"/>
      <c r="AA5" s="23"/>
      <c r="AB5" s="23" t="str">
        <f>IFERROR(__xludf.DUMMYFUNCTION("IF(
ISNUMBER(MATCH(
C5,
IMPORTRANGE(""https://docs.google.com/spreadsheets/d/1yTh1ELC33JHYOeEdgIiEclxPRyh0zOKtlawDltfUay8"",""'Champions'!A:A""),
0
)),
""Outreach Conducted"",
"""")"),"")</f>
        <v/>
      </c>
      <c r="AC5" s="23"/>
      <c r="AD5" s="23"/>
      <c r="AE5" s="23"/>
      <c r="AF5" s="23"/>
      <c r="AG5" s="23"/>
      <c r="AH5" s="23"/>
      <c r="AI5" s="23"/>
      <c r="AJ5" s="23"/>
      <c r="AK5" s="23"/>
      <c r="AL5" s="23"/>
    </row>
    <row r="6" hidden="1">
      <c r="A6" s="22" t="s">
        <v>276</v>
      </c>
      <c r="B6" s="22" t="s">
        <v>277</v>
      </c>
      <c r="C6" s="23" t="str">
        <f t="shared" si="1"/>
        <v>Abhishek Mehta</v>
      </c>
      <c r="D6" s="22">
        <v>1.6692884132E10</v>
      </c>
      <c r="E6" s="29" t="s">
        <v>278</v>
      </c>
      <c r="F6" s="22" t="s">
        <v>248</v>
      </c>
      <c r="G6" s="22">
        <v>489.0</v>
      </c>
      <c r="H6" s="22">
        <f t="array" ref="H6">IFERROR(INDEX('Hub CPC 226'!A:A, MATCH(C6, 'Hub CPC 226'!B:B, 0)), "")</f>
        <v>9</v>
      </c>
      <c r="I6" s="22">
        <f t="array" ref="I6">IFERROR(INDEX('Hub Users 226'!A:A, MATCH(C6, 'Hub Users 226'!B:B, 0)), "")</f>
        <v>29</v>
      </c>
      <c r="J6" s="22" t="s">
        <v>260</v>
      </c>
      <c r="K6" s="28" t="s">
        <v>279</v>
      </c>
      <c r="L6" s="25">
        <v>44410.79027777778</v>
      </c>
      <c r="M6" s="23"/>
      <c r="N6" s="23"/>
      <c r="O6" s="23"/>
      <c r="P6" s="23"/>
      <c r="Q6" s="22" t="s">
        <v>280</v>
      </c>
      <c r="R6" s="22" t="s">
        <v>281</v>
      </c>
      <c r="S6" s="22" t="s">
        <v>282</v>
      </c>
      <c r="T6" s="22" t="s">
        <v>252</v>
      </c>
      <c r="U6" s="22" t="s">
        <v>283</v>
      </c>
      <c r="V6" s="26" t="s">
        <v>284</v>
      </c>
      <c r="W6" s="27" t="s">
        <v>285</v>
      </c>
      <c r="X6" s="26" t="s">
        <v>286</v>
      </c>
      <c r="Y6" s="23"/>
      <c r="Z6" s="28"/>
      <c r="AA6" s="23"/>
      <c r="AB6" s="23" t="str">
        <f>IFERROR(__xludf.DUMMYFUNCTION("IF(
ISNUMBER(MATCH(
C6,
IMPORTRANGE(""https://docs.google.com/spreadsheets/d/1yTh1ELC33JHYOeEdgIiEclxPRyh0zOKtlawDltfUay8"",""'Champions'!A:A""),
0
)),
""Outreach Conducted"",
"""")"),"")</f>
        <v/>
      </c>
      <c r="AC6" s="23"/>
      <c r="AD6" s="23"/>
      <c r="AE6" s="23"/>
      <c r="AF6" s="23"/>
      <c r="AG6" s="23"/>
      <c r="AH6" s="23"/>
      <c r="AI6" s="23"/>
      <c r="AJ6" s="23"/>
      <c r="AK6" s="23"/>
      <c r="AL6" s="23"/>
    </row>
    <row r="7" hidden="1">
      <c r="A7" s="22" t="s">
        <v>287</v>
      </c>
      <c r="B7" s="22" t="s">
        <v>288</v>
      </c>
      <c r="C7" s="23" t="str">
        <f t="shared" si="1"/>
        <v>Adela Cimic</v>
      </c>
      <c r="D7" s="22">
        <v>6.365412393E9</v>
      </c>
      <c r="E7" s="29" t="s">
        <v>289</v>
      </c>
      <c r="F7" s="22" t="s">
        <v>248</v>
      </c>
      <c r="G7" s="22">
        <v>416.0</v>
      </c>
      <c r="H7" s="22">
        <f t="array" ref="H7">IFERROR(INDEX('Hub CPC 226'!A:A, MATCH(C7, 'Hub CPC 226'!B:B, 0)), "")</f>
        <v>10</v>
      </c>
      <c r="I7" s="22">
        <f t="array" ref="I7">IFERROR(INDEX('Hub Users 226'!A:A, MATCH(C7, 'Hub Users 226'!B:B, 0)), "")</f>
        <v>30</v>
      </c>
      <c r="J7" s="22" t="s">
        <v>290</v>
      </c>
      <c r="K7" s="23" t="s">
        <v>291</v>
      </c>
      <c r="L7" s="25">
        <v>44200.81875</v>
      </c>
      <c r="M7" s="28">
        <v>7.0</v>
      </c>
      <c r="N7" s="28">
        <v>59.0</v>
      </c>
      <c r="O7" s="28">
        <v>50.0</v>
      </c>
      <c r="P7" s="32">
        <v>33.0</v>
      </c>
      <c r="Q7" s="22" t="s">
        <v>292</v>
      </c>
      <c r="R7" s="22" t="s">
        <v>293</v>
      </c>
      <c r="S7" s="22" t="s">
        <v>294</v>
      </c>
      <c r="T7" s="22" t="s">
        <v>272</v>
      </c>
      <c r="U7" s="22" t="s">
        <v>295</v>
      </c>
      <c r="V7" s="26" t="s">
        <v>296</v>
      </c>
      <c r="W7" s="27" t="s">
        <v>297</v>
      </c>
      <c r="X7" s="26" t="s">
        <v>298</v>
      </c>
      <c r="Y7" s="23"/>
      <c r="Z7" s="28"/>
      <c r="AA7" s="23"/>
      <c r="AB7" s="23" t="str">
        <f>IFERROR(__xludf.DUMMYFUNCTION("IF(
ISNUMBER(MATCH(
C7,
IMPORTRANGE(""https://docs.google.com/spreadsheets/d/1yTh1ELC33JHYOeEdgIiEclxPRyh0zOKtlawDltfUay8"",""'Champions'!A:A""),
0
)),
""Outreach Conducted"",
"""")"),"")</f>
        <v/>
      </c>
      <c r="AC7" s="23"/>
      <c r="AD7" s="23"/>
      <c r="AE7" s="23"/>
      <c r="AF7" s="23"/>
      <c r="AG7" s="23"/>
      <c r="AH7" s="23"/>
      <c r="AI7" s="23"/>
      <c r="AJ7" s="23"/>
      <c r="AK7" s="23"/>
      <c r="AL7" s="23"/>
    </row>
    <row r="8" hidden="1">
      <c r="A8" s="22" t="s">
        <v>299</v>
      </c>
      <c r="B8" s="22" t="s">
        <v>300</v>
      </c>
      <c r="C8" s="23" t="str">
        <f t="shared" si="1"/>
        <v>Addy Michelle Jimenez Haga</v>
      </c>
      <c r="D8" s="22">
        <v>1.7142903471E10</v>
      </c>
      <c r="E8" s="29" t="s">
        <v>301</v>
      </c>
      <c r="F8" s="22" t="s">
        <v>248</v>
      </c>
      <c r="G8" s="22">
        <v>55.0</v>
      </c>
      <c r="H8" s="22">
        <f t="array" ref="H8">IFERROR(INDEX('Hub CPC 226'!A:A, MATCH(C8, 'Hub CPC 226'!B:B, 0)), "")</f>
        <v>11</v>
      </c>
      <c r="I8" s="22">
        <f t="array" ref="I8">IFERROR(INDEX('Hub Users 226'!A:A, MATCH(C8, 'Hub Users 226'!B:B, 0)), "")</f>
        <v>31</v>
      </c>
      <c r="J8" s="22" t="s">
        <v>302</v>
      </c>
      <c r="K8" s="23" t="s">
        <v>303</v>
      </c>
      <c r="L8" s="25">
        <v>43338.743055555555</v>
      </c>
      <c r="M8" s="23"/>
      <c r="N8" s="23"/>
      <c r="O8" s="23"/>
      <c r="P8" s="23"/>
      <c r="Q8" s="22" t="s">
        <v>304</v>
      </c>
      <c r="R8" s="22"/>
      <c r="S8" s="22" t="s">
        <v>305</v>
      </c>
      <c r="T8" s="22" t="s">
        <v>252</v>
      </c>
      <c r="U8" s="22" t="s">
        <v>306</v>
      </c>
      <c r="V8" s="26" t="s">
        <v>307</v>
      </c>
      <c r="W8" s="33" t="s">
        <v>308</v>
      </c>
      <c r="X8" s="26" t="s">
        <v>309</v>
      </c>
      <c r="Y8" s="23"/>
      <c r="Z8" s="28"/>
      <c r="AA8" s="23"/>
      <c r="AB8" s="23" t="str">
        <f>IFERROR(__xludf.DUMMYFUNCTION("IF(
ISNUMBER(MATCH(
C8,
IMPORTRANGE(""https://docs.google.com/spreadsheets/d/1yTh1ELC33JHYOeEdgIiEclxPRyh0zOKtlawDltfUay8"",""'Champions'!A:A""),
0
)),
""Outreach Conducted"",
"""")"),"")</f>
        <v/>
      </c>
      <c r="AC8" s="23"/>
      <c r="AD8" s="23"/>
      <c r="AE8" s="23"/>
      <c r="AF8" s="23"/>
      <c r="AG8" s="23"/>
      <c r="AH8" s="23"/>
      <c r="AI8" s="23"/>
      <c r="AJ8" s="23"/>
      <c r="AK8" s="23"/>
      <c r="AL8" s="23"/>
    </row>
    <row r="9" hidden="1">
      <c r="A9" s="22" t="s">
        <v>310</v>
      </c>
      <c r="B9" s="22" t="s">
        <v>311</v>
      </c>
      <c r="C9" s="23" t="str">
        <f t="shared" si="1"/>
        <v>Ashley Elizabeth Hudson-Hines</v>
      </c>
      <c r="D9" s="22" t="s">
        <v>312</v>
      </c>
      <c r="E9" s="29" t="s">
        <v>313</v>
      </c>
      <c r="F9" s="22" t="s">
        <v>248</v>
      </c>
      <c r="G9" s="22">
        <v>110.0</v>
      </c>
      <c r="H9" s="22">
        <f t="array" ref="H9">IFERROR(INDEX('Hub CPC 226'!A:A, MATCH(C9, 'Hub CPC 226'!B:B, 0)), "")</f>
        <v>12</v>
      </c>
      <c r="I9" s="22">
        <f t="array" ref="I9">IFERROR(INDEX('Hub Users 226'!A:A, MATCH(C9, 'Hub Users 226'!B:B, 0)), "")</f>
        <v>32</v>
      </c>
      <c r="J9" s="22" t="s">
        <v>240</v>
      </c>
      <c r="K9" s="23" t="s">
        <v>314</v>
      </c>
      <c r="L9" s="25">
        <v>43484.717361111114</v>
      </c>
      <c r="M9" s="23"/>
      <c r="N9" s="23"/>
      <c r="O9" s="23"/>
      <c r="P9" s="23"/>
      <c r="Q9" s="22" t="s">
        <v>315</v>
      </c>
      <c r="R9" s="22" t="s">
        <v>316</v>
      </c>
      <c r="S9" s="22" t="s">
        <v>251</v>
      </c>
      <c r="T9" s="22" t="s">
        <v>252</v>
      </c>
      <c r="U9" s="22" t="s">
        <v>317</v>
      </c>
      <c r="V9" s="23"/>
      <c r="W9" s="23"/>
      <c r="X9" s="23"/>
      <c r="Y9" s="23"/>
      <c r="Z9" s="28"/>
      <c r="AA9" s="23"/>
      <c r="AB9" s="23" t="str">
        <f>IFERROR(__xludf.DUMMYFUNCTION("IF(
ISNUMBER(MATCH(
C9,
IMPORTRANGE(""https://docs.google.com/spreadsheets/d/1yTh1ELC33JHYOeEdgIiEclxPRyh0zOKtlawDltfUay8"",""'Champions'!A:A""),
0
)),
""Outreach Conducted"",
"""")"),"")</f>
        <v/>
      </c>
      <c r="AC9" s="23"/>
      <c r="AD9" s="23"/>
      <c r="AE9" s="23"/>
      <c r="AF9" s="23"/>
      <c r="AG9" s="23"/>
      <c r="AH9" s="23"/>
      <c r="AI9" s="23"/>
      <c r="AJ9" s="23"/>
      <c r="AK9" s="23"/>
      <c r="AL9" s="23"/>
    </row>
    <row r="10" hidden="1">
      <c r="A10" s="22" t="s">
        <v>318</v>
      </c>
      <c r="B10" s="22" t="s">
        <v>319</v>
      </c>
      <c r="C10" s="23" t="str">
        <f t="shared" si="1"/>
        <v>Anne Tam</v>
      </c>
      <c r="D10" s="22" t="s">
        <v>320</v>
      </c>
      <c r="E10" s="29" t="s">
        <v>321</v>
      </c>
      <c r="F10" s="22" t="s">
        <v>248</v>
      </c>
      <c r="G10" s="22">
        <v>112.0</v>
      </c>
      <c r="H10" s="22">
        <f t="array" ref="H10">IFERROR(INDEX('Hub CPC 226'!A:A, MATCH(C10, 'Hub CPC 226'!B:B, 0)), "")</f>
        <v>13</v>
      </c>
      <c r="I10" s="22">
        <f t="array" ref="I10">IFERROR(INDEX('Hub Users 226'!A:A, MATCH(C10, 'Hub Users 226'!B:B, 0)), "")</f>
        <v>33</v>
      </c>
      <c r="J10" s="22" t="s">
        <v>240</v>
      </c>
      <c r="K10" s="23" t="s">
        <v>322</v>
      </c>
      <c r="L10" s="25">
        <v>43484.72361111111</v>
      </c>
      <c r="M10" s="28">
        <v>7.0</v>
      </c>
      <c r="N10" s="28">
        <v>12.0</v>
      </c>
      <c r="O10" s="28">
        <v>37.0</v>
      </c>
      <c r="P10" s="32">
        <v>26.0</v>
      </c>
      <c r="Q10" s="22" t="s">
        <v>323</v>
      </c>
      <c r="R10" s="22"/>
      <c r="S10" s="22" t="s">
        <v>324</v>
      </c>
      <c r="T10" s="22" t="s">
        <v>272</v>
      </c>
      <c r="U10" s="22" t="s">
        <v>325</v>
      </c>
      <c r="V10" s="26" t="s">
        <v>326</v>
      </c>
      <c r="W10" s="27" t="s">
        <v>327</v>
      </c>
      <c r="X10" s="26" t="s">
        <v>328</v>
      </c>
      <c r="Y10" s="23"/>
      <c r="Z10" s="28"/>
      <c r="AA10" s="23"/>
      <c r="AB10" s="23" t="str">
        <f>IFERROR(__xludf.DUMMYFUNCTION("IF(
ISNUMBER(MATCH(
C10,
IMPORTRANGE(""https://docs.google.com/spreadsheets/d/1yTh1ELC33JHYOeEdgIiEclxPRyh0zOKtlawDltfUay8"",""'Champions'!A:A""),
0
)),
""Outreach Conducted"",
"""")"),"")</f>
        <v/>
      </c>
      <c r="AC10" s="23"/>
      <c r="AD10" s="23"/>
      <c r="AE10" s="23"/>
      <c r="AF10" s="23"/>
      <c r="AG10" s="23"/>
      <c r="AH10" s="23"/>
      <c r="AI10" s="23"/>
      <c r="AJ10" s="23"/>
      <c r="AK10" s="23"/>
      <c r="AL10" s="23"/>
    </row>
    <row r="11" hidden="1">
      <c r="A11" s="22" t="s">
        <v>329</v>
      </c>
      <c r="B11" s="22" t="s">
        <v>330</v>
      </c>
      <c r="C11" s="23" t="str">
        <f t="shared" si="1"/>
        <v>Afia Howladar</v>
      </c>
      <c r="D11" s="22">
        <v>1.3475250223E10</v>
      </c>
      <c r="E11" s="29" t="s">
        <v>331</v>
      </c>
      <c r="F11" s="22" t="s">
        <v>238</v>
      </c>
      <c r="G11" s="22">
        <v>663.0</v>
      </c>
      <c r="H11" s="22">
        <f t="array" ref="H11">IFERROR(INDEX('Hub CPC 226'!A:A, MATCH(C11, 'Hub CPC 226'!B:B, 0)), "")</f>
        <v>14</v>
      </c>
      <c r="I11" s="22">
        <f t="array" ref="I11">IFERROR(INDEX('Hub Users 226'!A:A, MATCH(C11, 'Hub Users 226'!B:B, 0)), "")</f>
        <v>34</v>
      </c>
      <c r="J11" s="22" t="s">
        <v>260</v>
      </c>
      <c r="K11" s="23" t="s">
        <v>332</v>
      </c>
      <c r="L11" s="25">
        <v>44812.975694444445</v>
      </c>
      <c r="M11" s="28">
        <v>12.0</v>
      </c>
      <c r="N11" s="28">
        <v>28.0</v>
      </c>
      <c r="O11" s="28">
        <v>76.0</v>
      </c>
      <c r="P11" s="32">
        <v>5.0</v>
      </c>
      <c r="Q11" s="22" t="s">
        <v>333</v>
      </c>
      <c r="R11" s="22" t="s">
        <v>334</v>
      </c>
      <c r="S11" s="22" t="s">
        <v>271</v>
      </c>
      <c r="T11" s="22" t="s">
        <v>272</v>
      </c>
      <c r="U11" s="22" t="s">
        <v>335</v>
      </c>
      <c r="V11" s="23"/>
      <c r="W11" s="23"/>
      <c r="X11" s="23"/>
      <c r="Y11" s="23"/>
      <c r="Z11" s="28"/>
      <c r="AA11" s="23"/>
      <c r="AB11" s="23" t="str">
        <f>IFERROR(__xludf.DUMMYFUNCTION("IF(
ISNUMBER(MATCH(
C11,
IMPORTRANGE(""https://docs.google.com/spreadsheets/d/1yTh1ELC33JHYOeEdgIiEclxPRyh0zOKtlawDltfUay8"",""'Champions'!A:A""),
0
)),
""Outreach Conducted"",
"""")"),"")</f>
        <v/>
      </c>
      <c r="AC11" s="23"/>
      <c r="AD11" s="23"/>
      <c r="AE11" s="23"/>
      <c r="AF11" s="23"/>
      <c r="AG11" s="23"/>
      <c r="AH11" s="23"/>
      <c r="AI11" s="23"/>
      <c r="AJ11" s="23"/>
      <c r="AK11" s="23"/>
      <c r="AL11" s="23"/>
    </row>
    <row r="12" hidden="1">
      <c r="A12" s="22" t="s">
        <v>336</v>
      </c>
      <c r="B12" s="22" t="s">
        <v>337</v>
      </c>
      <c r="C12" s="23" t="str">
        <f t="shared" si="1"/>
        <v>Amy Meredith Jones</v>
      </c>
      <c r="D12" s="22" t="s">
        <v>338</v>
      </c>
      <c r="E12" s="29" t="s">
        <v>339</v>
      </c>
      <c r="F12" s="22" t="s">
        <v>238</v>
      </c>
      <c r="G12" s="22">
        <v>63.0</v>
      </c>
      <c r="H12" s="22">
        <f t="array" ref="H12">IFERROR(INDEX('Hub CPC 226'!A:A, MATCH(C12, 'Hub CPC 226'!B:B, 0)), "")</f>
        <v>15</v>
      </c>
      <c r="I12" s="22">
        <f t="array" ref="I12">IFERROR(INDEX('Hub Users 226'!A:A, MATCH(C12, 'Hub Users 226'!B:B, 0)), "")</f>
        <v>35</v>
      </c>
      <c r="J12" s="22" t="s">
        <v>260</v>
      </c>
      <c r="K12" s="23" t="s">
        <v>340</v>
      </c>
      <c r="L12" s="25">
        <v>43338.743055555555</v>
      </c>
      <c r="M12" s="23"/>
      <c r="N12" s="23"/>
      <c r="O12" s="23"/>
      <c r="P12" s="23"/>
      <c r="Q12" s="22" t="s">
        <v>341</v>
      </c>
      <c r="R12" s="22"/>
      <c r="S12" s="22" t="s">
        <v>342</v>
      </c>
      <c r="T12" s="22" t="s">
        <v>252</v>
      </c>
      <c r="U12" s="22" t="s">
        <v>343</v>
      </c>
      <c r="V12" s="23"/>
      <c r="W12" s="23"/>
      <c r="X12" s="23"/>
      <c r="Y12" s="23"/>
      <c r="Z12" s="28"/>
      <c r="AA12" s="23"/>
      <c r="AB12" s="23" t="str">
        <f>IFERROR(__xludf.DUMMYFUNCTION("IF(
ISNUMBER(MATCH(
C12,
IMPORTRANGE(""https://docs.google.com/spreadsheets/d/1yTh1ELC33JHYOeEdgIiEclxPRyh0zOKtlawDltfUay8"",""'Champions'!A:A""),
0
)),
""Outreach Conducted"",
"""")"),"")</f>
        <v/>
      </c>
      <c r="AC12" s="23"/>
      <c r="AD12" s="23"/>
      <c r="AE12" s="23"/>
      <c r="AF12" s="23"/>
      <c r="AG12" s="23"/>
      <c r="AH12" s="23"/>
      <c r="AI12" s="23"/>
      <c r="AJ12" s="23"/>
      <c r="AK12" s="23"/>
      <c r="AL12" s="23"/>
    </row>
    <row r="13" hidden="1">
      <c r="A13" s="22" t="s">
        <v>344</v>
      </c>
      <c r="B13" s="22" t="s">
        <v>345</v>
      </c>
      <c r="C13" s="23" t="str">
        <f t="shared" si="1"/>
        <v>Alyssa Jean Marion Daum</v>
      </c>
      <c r="D13" s="22" t="s">
        <v>346</v>
      </c>
      <c r="E13" s="29" t="s">
        <v>347</v>
      </c>
      <c r="F13" s="22" t="s">
        <v>238</v>
      </c>
      <c r="G13" s="22">
        <v>208.0</v>
      </c>
      <c r="H13" s="22">
        <f t="array" ref="H13">IFERROR(INDEX('Hub CPC 226'!A:A, MATCH(C13, 'Hub CPC 226'!B:B, 0)), "")</f>
        <v>16</v>
      </c>
      <c r="I13" s="22">
        <f t="array" ref="I13">IFERROR(INDEX('Hub Users 226'!A:A, MATCH(C13, 'Hub Users 226'!B:B, 0)), "")</f>
        <v>36</v>
      </c>
      <c r="J13" s="22" t="s">
        <v>240</v>
      </c>
      <c r="K13" s="28" t="s">
        <v>348</v>
      </c>
      <c r="L13" s="25">
        <v>43727.73055555556</v>
      </c>
      <c r="M13" s="23"/>
      <c r="N13" s="23"/>
      <c r="O13" s="23"/>
      <c r="P13" s="23"/>
      <c r="Q13" s="22" t="s">
        <v>349</v>
      </c>
      <c r="R13" s="22" t="s">
        <v>350</v>
      </c>
      <c r="S13" s="22" t="s">
        <v>351</v>
      </c>
      <c r="T13" s="22" t="s">
        <v>252</v>
      </c>
      <c r="U13" s="22" t="s">
        <v>352</v>
      </c>
      <c r="V13" s="23"/>
      <c r="W13" s="23"/>
      <c r="X13" s="23"/>
      <c r="Y13" s="23"/>
      <c r="Z13" s="28"/>
      <c r="AA13" s="23"/>
      <c r="AB13" s="23" t="str">
        <f>IFERROR(__xludf.DUMMYFUNCTION("IF(
ISNUMBER(MATCH(
C13,
IMPORTRANGE(""https://docs.google.com/spreadsheets/d/1yTh1ELC33JHYOeEdgIiEclxPRyh0zOKtlawDltfUay8"",""'Champions'!A:A""),
0
)),
""Outreach Conducted"",
"""")"),"")</f>
        <v/>
      </c>
      <c r="AC13" s="23"/>
      <c r="AD13" s="23"/>
      <c r="AE13" s="23"/>
      <c r="AF13" s="23"/>
      <c r="AG13" s="23"/>
      <c r="AH13" s="23"/>
      <c r="AI13" s="23"/>
      <c r="AJ13" s="23"/>
      <c r="AK13" s="23"/>
      <c r="AL13" s="23"/>
    </row>
    <row r="14" hidden="1">
      <c r="A14" s="22" t="s">
        <v>353</v>
      </c>
      <c r="B14" s="22" t="s">
        <v>354</v>
      </c>
      <c r="C14" s="23" t="str">
        <f t="shared" si="1"/>
        <v>Akanksha Raina</v>
      </c>
      <c r="D14" s="22" t="s">
        <v>355</v>
      </c>
      <c r="E14" s="29" t="s">
        <v>356</v>
      </c>
      <c r="F14" s="22" t="s">
        <v>248</v>
      </c>
      <c r="G14" s="22">
        <v>387.0</v>
      </c>
      <c r="H14" s="22">
        <f t="array" ref="H14">IFERROR(INDEX('Hub CPC 226'!A:A, MATCH(C14, 'Hub CPC 226'!B:B, 0)), "")</f>
        <v>17</v>
      </c>
      <c r="I14" s="22">
        <f t="array" ref="I14">IFERROR(INDEX('Hub Users 226'!A:A, MATCH(C14, 'Hub Users 226'!B:B, 0)), "")</f>
        <v>37</v>
      </c>
      <c r="J14" s="22" t="s">
        <v>290</v>
      </c>
      <c r="K14" s="23" t="s">
        <v>357</v>
      </c>
      <c r="L14" s="25">
        <v>44200.643055555556</v>
      </c>
      <c r="M14" s="28">
        <v>12.0</v>
      </c>
      <c r="N14" s="28">
        <v>47.0</v>
      </c>
      <c r="O14" s="28">
        <v>67.0</v>
      </c>
      <c r="P14" s="32">
        <v>3.0</v>
      </c>
      <c r="Q14" s="22" t="s">
        <v>358</v>
      </c>
      <c r="R14" s="22" t="s">
        <v>271</v>
      </c>
      <c r="S14" s="22" t="s">
        <v>271</v>
      </c>
      <c r="T14" s="22" t="s">
        <v>272</v>
      </c>
      <c r="U14" s="22" t="s">
        <v>359</v>
      </c>
      <c r="V14" s="26" t="s">
        <v>360</v>
      </c>
      <c r="W14" s="27" t="s">
        <v>361</v>
      </c>
      <c r="X14" s="26" t="s">
        <v>362</v>
      </c>
      <c r="Y14" s="23"/>
      <c r="Z14" s="28"/>
      <c r="AA14" s="23"/>
      <c r="AB14" s="23" t="str">
        <f>IFERROR(__xludf.DUMMYFUNCTION("IF(
ISNUMBER(MATCH(
C14,
IMPORTRANGE(""https://docs.google.com/spreadsheets/d/1yTh1ELC33JHYOeEdgIiEclxPRyh0zOKtlawDltfUay8"",""'Champions'!A:A""),
0
)),
""Outreach Conducted"",
"""")"),"")</f>
        <v/>
      </c>
      <c r="AC14" s="23"/>
      <c r="AD14" s="23"/>
      <c r="AE14" s="23"/>
      <c r="AF14" s="23"/>
      <c r="AG14" s="23"/>
      <c r="AH14" s="23"/>
      <c r="AI14" s="23"/>
      <c r="AJ14" s="23"/>
      <c r="AK14" s="23"/>
      <c r="AL14" s="23"/>
    </row>
    <row r="15" hidden="1">
      <c r="A15" s="22" t="s">
        <v>363</v>
      </c>
      <c r="B15" s="22" t="s">
        <v>364</v>
      </c>
      <c r="C15" s="23" t="str">
        <f t="shared" si="1"/>
        <v>Joseph Temowo</v>
      </c>
      <c r="D15" s="22">
        <v>9.173016742E9</v>
      </c>
      <c r="E15" s="29" t="s">
        <v>365</v>
      </c>
      <c r="F15" s="22" t="s">
        <v>238</v>
      </c>
      <c r="G15" s="22">
        <v>405.0</v>
      </c>
      <c r="H15" s="22">
        <f t="array" ref="H15">IFERROR(INDEX('Hub CPC 226'!A:A, MATCH(C15, 'Hub CPC 226'!B:B, 0)), "")</f>
        <v>18</v>
      </c>
      <c r="I15" s="22">
        <f t="array" ref="I15">IFERROR(INDEX('Hub Users 226'!A:A, MATCH(C15, 'Hub Users 226'!B:B, 0)), "")</f>
        <v>38</v>
      </c>
      <c r="J15" s="22" t="s">
        <v>302</v>
      </c>
      <c r="K15" s="23" t="s">
        <v>366</v>
      </c>
      <c r="L15" s="25">
        <v>44200.76944444444</v>
      </c>
      <c r="M15" s="23"/>
      <c r="N15" s="23"/>
      <c r="O15" s="23"/>
      <c r="P15" s="23"/>
      <c r="Q15" s="22" t="s">
        <v>367</v>
      </c>
      <c r="R15" s="22" t="s">
        <v>368</v>
      </c>
      <c r="S15" s="22" t="s">
        <v>369</v>
      </c>
      <c r="T15" s="22" t="s">
        <v>241</v>
      </c>
      <c r="U15" s="22" t="s">
        <v>370</v>
      </c>
      <c r="V15" s="26" t="s">
        <v>371</v>
      </c>
      <c r="W15" s="27" t="s">
        <v>372</v>
      </c>
      <c r="X15" s="26" t="s">
        <v>373</v>
      </c>
      <c r="Y15" s="23"/>
      <c r="Z15" s="28"/>
      <c r="AA15" s="23"/>
      <c r="AB15" s="23" t="str">
        <f>IFERROR(__xludf.DUMMYFUNCTION("IF(
ISNUMBER(MATCH(
C15,
IMPORTRANGE(""https://docs.google.com/spreadsheets/d/1yTh1ELC33JHYOeEdgIiEclxPRyh0zOKtlawDltfUay8"",""'Champions'!A:A""),
0
)),
""Outreach Conducted"",
"""")"),"")</f>
        <v/>
      </c>
      <c r="AC15" s="23"/>
      <c r="AD15" s="23"/>
      <c r="AE15" s="23"/>
      <c r="AF15" s="23"/>
      <c r="AG15" s="23"/>
      <c r="AH15" s="23"/>
      <c r="AI15" s="23"/>
      <c r="AJ15" s="23"/>
      <c r="AK15" s="23"/>
      <c r="AL15" s="23"/>
    </row>
    <row r="16" hidden="1">
      <c r="A16" s="22" t="s">
        <v>374</v>
      </c>
      <c r="B16" s="22" t="s">
        <v>375</v>
      </c>
      <c r="C16" s="23" t="str">
        <f t="shared" si="1"/>
        <v>Alina Ispas Montbriand</v>
      </c>
      <c r="D16" s="22" t="s">
        <v>376</v>
      </c>
      <c r="E16" s="29" t="s">
        <v>377</v>
      </c>
      <c r="F16" s="22" t="s">
        <v>248</v>
      </c>
      <c r="G16" s="22">
        <v>131.0</v>
      </c>
      <c r="H16" s="22">
        <f t="array" ref="H16">IFERROR(INDEX('Hub CPC 226'!A:A, MATCH(C16, 'Hub CPC 226'!B:B, 0)), "")</f>
        <v>19</v>
      </c>
      <c r="I16" s="22">
        <f t="array" ref="I16">IFERROR(INDEX('Hub Users 226'!A:A, MATCH(C16, 'Hub Users 226'!B:B, 0)), "")</f>
        <v>39</v>
      </c>
      <c r="J16" s="22" t="s">
        <v>240</v>
      </c>
      <c r="K16" s="23" t="s">
        <v>378</v>
      </c>
      <c r="L16" s="25">
        <v>43590.631944444445</v>
      </c>
      <c r="M16" s="23"/>
      <c r="N16" s="23"/>
      <c r="O16" s="23"/>
      <c r="P16" s="23"/>
      <c r="Q16" s="22" t="s">
        <v>379</v>
      </c>
      <c r="R16" s="22"/>
      <c r="S16" s="22" t="s">
        <v>380</v>
      </c>
      <c r="T16" s="22" t="s">
        <v>381</v>
      </c>
      <c r="U16" s="22" t="s">
        <v>382</v>
      </c>
      <c r="V16" s="26" t="s">
        <v>383</v>
      </c>
      <c r="W16" s="27" t="s">
        <v>384</v>
      </c>
      <c r="X16" s="26" t="s">
        <v>385</v>
      </c>
      <c r="Y16" s="23"/>
      <c r="Z16" s="28"/>
      <c r="AA16" s="23"/>
      <c r="AB16" s="23" t="str">
        <f>IFERROR(__xludf.DUMMYFUNCTION("IF(
ISNUMBER(MATCH(
C16,
IMPORTRANGE(""https://docs.google.com/spreadsheets/d/1yTh1ELC33JHYOeEdgIiEclxPRyh0zOKtlawDltfUay8"",""'Champions'!A:A""),
0
)),
""Outreach Conducted"",
"""")"),"")</f>
        <v/>
      </c>
      <c r="AC16" s="23"/>
      <c r="AD16" s="23"/>
      <c r="AE16" s="23"/>
      <c r="AF16" s="23"/>
      <c r="AG16" s="23"/>
      <c r="AH16" s="23"/>
      <c r="AI16" s="23"/>
      <c r="AJ16" s="23"/>
      <c r="AK16" s="23"/>
      <c r="AL16" s="23"/>
    </row>
    <row r="17" hidden="1">
      <c r="A17" s="22" t="s">
        <v>386</v>
      </c>
      <c r="B17" s="22" t="s">
        <v>387</v>
      </c>
      <c r="C17" s="23" t="str">
        <f t="shared" si="1"/>
        <v>Alpa Lachhman Rajai</v>
      </c>
      <c r="D17" s="22">
        <v>9.175421226E9</v>
      </c>
      <c r="E17" s="29" t="s">
        <v>388</v>
      </c>
      <c r="F17" s="22" t="s">
        <v>248</v>
      </c>
      <c r="G17" s="22">
        <v>61.0</v>
      </c>
      <c r="H17" s="22">
        <f t="array" ref="H17">IFERROR(INDEX('Hub CPC 226'!A:A, MATCH(C17, 'Hub CPC 226'!B:B, 0)), "")</f>
        <v>20</v>
      </c>
      <c r="I17" s="22">
        <f t="array" ref="I17">IFERROR(INDEX('Hub Users 226'!A:A, MATCH(C17, 'Hub Users 226'!B:B, 0)), "")</f>
        <v>40</v>
      </c>
      <c r="J17" s="22" t="s">
        <v>269</v>
      </c>
      <c r="K17" s="23" t="s">
        <v>389</v>
      </c>
      <c r="L17" s="25">
        <v>43338.743055555555</v>
      </c>
      <c r="M17" s="23"/>
      <c r="N17" s="23"/>
      <c r="O17" s="23"/>
      <c r="P17" s="23"/>
      <c r="Q17" s="22" t="s">
        <v>390</v>
      </c>
      <c r="R17" s="22"/>
      <c r="S17" s="22" t="s">
        <v>391</v>
      </c>
      <c r="T17" s="22" t="s">
        <v>241</v>
      </c>
      <c r="U17" s="22" t="s">
        <v>392</v>
      </c>
      <c r="V17" s="26" t="s">
        <v>393</v>
      </c>
      <c r="W17" s="27" t="s">
        <v>394</v>
      </c>
      <c r="X17" s="26" t="s">
        <v>395</v>
      </c>
      <c r="Y17" s="23"/>
      <c r="Z17" s="28"/>
      <c r="AA17" s="23"/>
      <c r="AB17" s="23" t="str">
        <f>IFERROR(__xludf.DUMMYFUNCTION("IF(
ISNUMBER(MATCH(
C17,
IMPORTRANGE(""https://docs.google.com/spreadsheets/d/1yTh1ELC33JHYOeEdgIiEclxPRyh0zOKtlawDltfUay8"",""'Champions'!A:A""),
0
)),
""Outreach Conducted"",
"""")"),"")</f>
        <v/>
      </c>
      <c r="AC17" s="23"/>
      <c r="AD17" s="23"/>
      <c r="AE17" s="23"/>
      <c r="AF17" s="23"/>
      <c r="AG17" s="23"/>
      <c r="AH17" s="23"/>
      <c r="AI17" s="23"/>
      <c r="AJ17" s="23"/>
      <c r="AK17" s="23"/>
      <c r="AL17" s="23"/>
    </row>
    <row r="18" hidden="1">
      <c r="A18" s="22" t="s">
        <v>396</v>
      </c>
      <c r="B18" s="22" t="s">
        <v>397</v>
      </c>
      <c r="C18" s="23" t="str">
        <f t="shared" si="1"/>
        <v>Alvaro Pavas-Hincapie</v>
      </c>
      <c r="D18" s="22">
        <v>1.9294367119E10</v>
      </c>
      <c r="E18" s="29" t="s">
        <v>398</v>
      </c>
      <c r="F18" s="22" t="s">
        <v>399</v>
      </c>
      <c r="G18" s="22">
        <v>539.0</v>
      </c>
      <c r="H18" s="22">
        <f t="array" ref="H18">IFERROR(INDEX('Hub CPC 226'!A:A, MATCH(C18, 'Hub CPC 226'!B:B, 0)), "")</f>
        <v>21</v>
      </c>
      <c r="I18" s="22">
        <f t="array" ref="I18">IFERROR(INDEX('Hub Users 226'!A:A, MATCH(C18, 'Hub Users 226'!B:B, 0)), "")</f>
        <v>41</v>
      </c>
      <c r="J18" s="22" t="s">
        <v>260</v>
      </c>
      <c r="K18" s="23" t="s">
        <v>400</v>
      </c>
      <c r="L18" s="25">
        <v>44505.63263888889</v>
      </c>
      <c r="M18" s="23"/>
      <c r="N18" s="23"/>
      <c r="O18" s="23"/>
      <c r="P18" s="23"/>
      <c r="Q18" s="22" t="s">
        <v>401</v>
      </c>
      <c r="R18" s="22" t="s">
        <v>402</v>
      </c>
      <c r="S18" s="24"/>
      <c r="T18" s="24"/>
      <c r="U18" s="22" t="s">
        <v>403</v>
      </c>
      <c r="V18" s="23"/>
      <c r="W18" s="23"/>
      <c r="X18" s="23"/>
      <c r="Y18" s="23"/>
      <c r="Z18" s="23"/>
      <c r="AA18" s="23"/>
      <c r="AB18" s="23" t="str">
        <f>IFERROR(__xludf.DUMMYFUNCTION("IF(
ISNUMBER(MATCH(
C18,
IMPORTRANGE(""https://docs.google.com/spreadsheets/d/1yTh1ELC33JHYOeEdgIiEclxPRyh0zOKtlawDltfUay8"",""'Champions'!A:A""),
0
)),
""Outreach Conducted"",
"""")"),"")</f>
        <v/>
      </c>
      <c r="AC18" s="23"/>
      <c r="AD18" s="23"/>
      <c r="AE18" s="23"/>
      <c r="AF18" s="23"/>
      <c r="AG18" s="23"/>
      <c r="AH18" s="23"/>
      <c r="AI18" s="23"/>
      <c r="AJ18" s="23"/>
      <c r="AK18" s="23"/>
      <c r="AL18" s="23"/>
    </row>
    <row r="19" hidden="1">
      <c r="A19" s="22" t="s">
        <v>404</v>
      </c>
      <c r="B19" s="22" t="s">
        <v>405</v>
      </c>
      <c r="C19" s="23" t="str">
        <f t="shared" si="1"/>
        <v>Albert Rocco</v>
      </c>
      <c r="D19" s="22">
        <v>2.014017738E9</v>
      </c>
      <c r="E19" s="29" t="s">
        <v>406</v>
      </c>
      <c r="F19" s="22" t="s">
        <v>248</v>
      </c>
      <c r="G19" s="22">
        <v>359.0</v>
      </c>
      <c r="H19" s="22">
        <f t="array" ref="H19">IFERROR(INDEX('Hub CPC 226'!A:A, MATCH(C19, 'Hub CPC 226'!B:B, 0)), "")</f>
        <v>22</v>
      </c>
      <c r="I19" s="22">
        <f t="array" ref="I19">IFERROR(INDEX('Hub Users 226'!A:A, MATCH(C19, 'Hub Users 226'!B:B, 0)), "")</f>
        <v>42</v>
      </c>
      <c r="J19" s="22" t="s">
        <v>407</v>
      </c>
      <c r="K19" s="28" t="s">
        <v>408</v>
      </c>
      <c r="L19" s="25">
        <v>44116.509722222225</v>
      </c>
      <c r="M19" s="23"/>
      <c r="N19" s="23"/>
      <c r="O19" s="23"/>
      <c r="P19" s="23"/>
      <c r="Q19" s="22" t="s">
        <v>409</v>
      </c>
      <c r="R19" s="22" t="s">
        <v>241</v>
      </c>
      <c r="S19" s="22" t="s">
        <v>410</v>
      </c>
      <c r="T19" s="22" t="s">
        <v>241</v>
      </c>
      <c r="U19" s="22" t="s">
        <v>411</v>
      </c>
      <c r="V19" s="26" t="s">
        <v>284</v>
      </c>
      <c r="W19" s="27" t="s">
        <v>412</v>
      </c>
      <c r="X19" s="26" t="s">
        <v>413</v>
      </c>
      <c r="Y19" s="23"/>
      <c r="Z19" s="28"/>
      <c r="AA19" s="23"/>
      <c r="AB19" s="23" t="str">
        <f>IFERROR(__xludf.DUMMYFUNCTION("IF(
ISNUMBER(MATCH(
C19,
IMPORTRANGE(""https://docs.google.com/spreadsheets/d/1yTh1ELC33JHYOeEdgIiEclxPRyh0zOKtlawDltfUay8"",""'Champions'!A:A""),
0
)),
""Outreach Conducted"",
"""")"),"")</f>
        <v/>
      </c>
      <c r="AC19" s="23"/>
      <c r="AD19" s="23"/>
      <c r="AE19" s="23"/>
      <c r="AF19" s="23"/>
      <c r="AG19" s="23"/>
      <c r="AH19" s="23"/>
      <c r="AI19" s="23"/>
      <c r="AJ19" s="23"/>
      <c r="AK19" s="23"/>
      <c r="AL19" s="23"/>
    </row>
    <row r="20" hidden="1">
      <c r="A20" s="22" t="s">
        <v>414</v>
      </c>
      <c r="B20" s="22" t="s">
        <v>415</v>
      </c>
      <c r="C20" s="23" t="str">
        <f t="shared" si="1"/>
        <v>Amanda Morgan Mackler</v>
      </c>
      <c r="D20" s="22">
        <v>2.015464923E9</v>
      </c>
      <c r="E20" s="29" t="s">
        <v>416</v>
      </c>
      <c r="F20" s="22" t="s">
        <v>248</v>
      </c>
      <c r="G20" s="22">
        <v>361.0</v>
      </c>
      <c r="H20" s="22">
        <f t="array" ref="H20">IFERROR(INDEX('Hub CPC 226'!A:A, MATCH(C20, 'Hub CPC 226'!B:B, 0)), "")</f>
        <v>23</v>
      </c>
      <c r="I20" s="22">
        <f t="array" ref="I20">IFERROR(INDEX('Hub Users 226'!A:A, MATCH(C20, 'Hub Users 226'!B:B, 0)), "")</f>
        <v>43</v>
      </c>
      <c r="J20" s="22" t="s">
        <v>417</v>
      </c>
      <c r="K20" s="23" t="s">
        <v>418</v>
      </c>
      <c r="L20" s="25">
        <v>44119.56805555556</v>
      </c>
      <c r="M20" s="28"/>
      <c r="N20" s="28"/>
      <c r="O20" s="28"/>
      <c r="P20" s="31"/>
      <c r="Q20" s="22" t="s">
        <v>271</v>
      </c>
      <c r="R20" s="24"/>
      <c r="S20" s="24"/>
      <c r="T20" s="22" t="s">
        <v>272</v>
      </c>
      <c r="U20" s="22" t="s">
        <v>419</v>
      </c>
      <c r="V20" s="26" t="s">
        <v>360</v>
      </c>
      <c r="W20" s="27" t="s">
        <v>420</v>
      </c>
      <c r="X20" s="26" t="s">
        <v>421</v>
      </c>
      <c r="Y20" s="23"/>
      <c r="Z20" s="28"/>
      <c r="AA20" s="23"/>
      <c r="AB20" s="23" t="str">
        <f>IFERROR(__xludf.DUMMYFUNCTION("IF(
ISNUMBER(MATCH(
C20,
IMPORTRANGE(""https://docs.google.com/spreadsheets/d/1yTh1ELC33JHYOeEdgIiEclxPRyh0zOKtlawDltfUay8"",""'Champions'!A:A""),
0
)),
""Outreach Conducted"",
"""")"),"")</f>
        <v/>
      </c>
      <c r="AC20" s="23"/>
      <c r="AD20" s="23"/>
      <c r="AE20" s="23"/>
      <c r="AF20" s="23"/>
      <c r="AG20" s="23"/>
      <c r="AH20" s="23"/>
      <c r="AI20" s="23"/>
      <c r="AJ20" s="23"/>
      <c r="AK20" s="23"/>
      <c r="AL20" s="23"/>
    </row>
    <row r="21" hidden="1">
      <c r="A21" s="22" t="s">
        <v>422</v>
      </c>
      <c r="B21" s="22" t="s">
        <v>423</v>
      </c>
      <c r="C21" s="23" t="str">
        <f t="shared" si="1"/>
        <v>Andrea Goodfriend</v>
      </c>
      <c r="D21" s="22">
        <v>1.8184513081E10</v>
      </c>
      <c r="E21" s="29" t="s">
        <v>424</v>
      </c>
      <c r="F21" s="22" t="s">
        <v>248</v>
      </c>
      <c r="G21" s="22">
        <v>506.0</v>
      </c>
      <c r="H21" s="22">
        <f t="array" ref="H21">IFERROR(INDEX('Hub CPC 226'!A:A, MATCH(C21, 'Hub CPC 226'!B:B, 0)), "")</f>
        <v>24</v>
      </c>
      <c r="I21" s="22">
        <f t="array" ref="I21">IFERROR(INDEX('Hub Users 226'!A:A, MATCH(C21, 'Hub Users 226'!B:B, 0)), "")</f>
        <v>44</v>
      </c>
      <c r="J21" s="22" t="s">
        <v>425</v>
      </c>
      <c r="K21" s="23" t="s">
        <v>426</v>
      </c>
      <c r="L21" s="25">
        <v>44476.760416666664</v>
      </c>
      <c r="M21" s="23"/>
      <c r="N21" s="23"/>
      <c r="O21" s="23"/>
      <c r="P21" s="23"/>
      <c r="Q21" s="22" t="s">
        <v>427</v>
      </c>
      <c r="R21" s="22" t="s">
        <v>428</v>
      </c>
      <c r="S21" s="22" t="s">
        <v>429</v>
      </c>
      <c r="T21" s="22" t="s">
        <v>252</v>
      </c>
      <c r="U21" s="22" t="s">
        <v>430</v>
      </c>
      <c r="V21" s="23"/>
      <c r="W21" s="23"/>
      <c r="X21" s="23"/>
      <c r="Y21" s="23"/>
      <c r="Z21" s="28"/>
      <c r="AA21" s="23"/>
      <c r="AB21" s="23" t="str">
        <f>IFERROR(__xludf.DUMMYFUNCTION("IF(
ISNUMBER(MATCH(
C21,
IMPORTRANGE(""https://docs.google.com/spreadsheets/d/1yTh1ELC33JHYOeEdgIiEclxPRyh0zOKtlawDltfUay8"",""'Champions'!A:A""),
0
)),
""Outreach Conducted"",
"""")"),"")</f>
        <v/>
      </c>
      <c r="AC21" s="23"/>
      <c r="AD21" s="23"/>
      <c r="AE21" s="23"/>
      <c r="AF21" s="23"/>
      <c r="AG21" s="23"/>
      <c r="AH21" s="23"/>
      <c r="AI21" s="23"/>
      <c r="AJ21" s="23"/>
      <c r="AK21" s="23"/>
      <c r="AL21" s="23"/>
    </row>
    <row r="22" hidden="1">
      <c r="A22" s="22" t="s">
        <v>431</v>
      </c>
      <c r="B22" s="22" t="s">
        <v>432</v>
      </c>
      <c r="C22" s="23" t="str">
        <f t="shared" si="1"/>
        <v>Alissa Meddlesaint</v>
      </c>
      <c r="D22" s="22" t="s">
        <v>433</v>
      </c>
      <c r="E22" s="29" t="s">
        <v>434</v>
      </c>
      <c r="F22" s="22" t="s">
        <v>399</v>
      </c>
      <c r="G22" s="22">
        <v>132.0</v>
      </c>
      <c r="H22" s="22">
        <f t="array" ref="H22">IFERROR(INDEX('Hub CPC 226'!A:A, MATCH(C22, 'Hub CPC 226'!B:B, 0)), "")</f>
        <v>25</v>
      </c>
      <c r="I22" s="22">
        <f t="array" ref="I22">IFERROR(INDEX('Hub Users 226'!A:A, MATCH(C22, 'Hub Users 226'!B:B, 0)), "")</f>
        <v>45</v>
      </c>
      <c r="J22" s="22" t="s">
        <v>239</v>
      </c>
      <c r="K22" s="23" t="s">
        <v>435</v>
      </c>
      <c r="L22" s="25">
        <v>43590.631944444445</v>
      </c>
      <c r="M22" s="23"/>
      <c r="N22" s="23"/>
      <c r="O22" s="23"/>
      <c r="P22" s="23"/>
      <c r="Q22" s="22" t="s">
        <v>436</v>
      </c>
      <c r="R22" s="22" t="s">
        <v>437</v>
      </c>
      <c r="S22" s="22" t="s">
        <v>437</v>
      </c>
      <c r="T22" s="22" t="s">
        <v>381</v>
      </c>
      <c r="U22" s="22" t="s">
        <v>438</v>
      </c>
      <c r="V22" s="23"/>
      <c r="W22" s="23"/>
      <c r="X22" s="23"/>
      <c r="Y22" s="23"/>
      <c r="Z22" s="23"/>
      <c r="AA22" s="23"/>
      <c r="AB22" s="23" t="str">
        <f>IFERROR(__xludf.DUMMYFUNCTION("IF(
ISNUMBER(MATCH(
C22,
IMPORTRANGE(""https://docs.google.com/spreadsheets/d/1yTh1ELC33JHYOeEdgIiEclxPRyh0zOKtlawDltfUay8"",""'Champions'!A:A""),
0
)),
""Outreach Conducted"",
"""")"),"")</f>
        <v/>
      </c>
      <c r="AC22" s="23"/>
      <c r="AD22" s="23"/>
      <c r="AE22" s="23"/>
      <c r="AF22" s="23"/>
      <c r="AG22" s="23"/>
      <c r="AH22" s="23"/>
      <c r="AI22" s="23"/>
      <c r="AJ22" s="23"/>
      <c r="AK22" s="23"/>
      <c r="AL22" s="23"/>
    </row>
    <row r="23" hidden="1">
      <c r="A23" s="22" t="s">
        <v>439</v>
      </c>
      <c r="B23" s="22" t="s">
        <v>440</v>
      </c>
      <c r="C23" s="23" t="str">
        <f t="shared" si="1"/>
        <v>Amelia Geary</v>
      </c>
      <c r="D23" s="22">
        <v>3.472478763E9</v>
      </c>
      <c r="E23" s="29" t="s">
        <v>441</v>
      </c>
      <c r="F23" s="22" t="s">
        <v>238</v>
      </c>
      <c r="G23" s="22">
        <v>327.0</v>
      </c>
      <c r="H23" s="22">
        <f t="array" ref="H23">IFERROR(INDEX('Hub CPC 226'!A:A, MATCH(C23, 'Hub CPC 226'!B:B, 0)), "")</f>
        <v>26</v>
      </c>
      <c r="I23" s="22">
        <f t="array" ref="I23">IFERROR(INDEX('Hub Users 226'!A:A, MATCH(C23, 'Hub Users 226'!B:B, 0)), "")</f>
        <v>46</v>
      </c>
      <c r="J23" s="22" t="s">
        <v>240</v>
      </c>
      <c r="K23" s="23" t="s">
        <v>442</v>
      </c>
      <c r="L23" s="25">
        <v>43989.603472222225</v>
      </c>
      <c r="M23" s="23"/>
      <c r="N23" s="23"/>
      <c r="O23" s="23"/>
      <c r="P23" s="23"/>
      <c r="Q23" s="22" t="s">
        <v>443</v>
      </c>
      <c r="R23" s="22" t="s">
        <v>444</v>
      </c>
      <c r="S23" s="24"/>
      <c r="T23" s="24"/>
      <c r="U23" s="22" t="s">
        <v>403</v>
      </c>
      <c r="V23" s="26" t="s">
        <v>445</v>
      </c>
      <c r="W23" s="27" t="s">
        <v>446</v>
      </c>
      <c r="X23" s="26" t="s">
        <v>447</v>
      </c>
      <c r="Y23" s="23"/>
      <c r="Z23" s="28"/>
      <c r="AA23" s="23"/>
      <c r="AB23" s="23" t="str">
        <f>IFERROR(__xludf.DUMMYFUNCTION("IF(
ISNUMBER(MATCH(
C23,
IMPORTRANGE(""https://docs.google.com/spreadsheets/d/1yTh1ELC33JHYOeEdgIiEclxPRyh0zOKtlawDltfUay8"",""'Champions'!A:A""),
0
)),
""Outreach Conducted"",
"""")"),"")</f>
        <v/>
      </c>
      <c r="AC23" s="23"/>
      <c r="AD23" s="26" t="s">
        <v>448</v>
      </c>
      <c r="AE23" s="34">
        <v>44593.0</v>
      </c>
      <c r="AF23" s="28" t="s">
        <v>449</v>
      </c>
      <c r="AG23" s="28">
        <v>50.0</v>
      </c>
      <c r="AH23" s="23"/>
      <c r="AI23" s="23"/>
      <c r="AJ23" s="23"/>
      <c r="AK23" s="23"/>
      <c r="AL23" s="23"/>
    </row>
    <row r="24" hidden="1">
      <c r="A24" s="22" t="s">
        <v>237</v>
      </c>
      <c r="B24" s="22" t="s">
        <v>450</v>
      </c>
      <c r="C24" s="23" t="str">
        <f t="shared" si="1"/>
        <v>Ahmed Imam</v>
      </c>
      <c r="D24" s="22">
        <v>1.6027368545E10</v>
      </c>
      <c r="E24" s="29" t="s">
        <v>451</v>
      </c>
      <c r="F24" s="22" t="s">
        <v>248</v>
      </c>
      <c r="G24" s="22">
        <v>592.0</v>
      </c>
      <c r="H24" s="22">
        <f t="array" ref="H24">IFERROR(INDEX('Hub CPC 226'!A:A, MATCH(C24, 'Hub CPC 226'!B:B, 0)), "")</f>
        <v>27</v>
      </c>
      <c r="I24" s="22">
        <f t="array" ref="I24">IFERROR(INDEX('Hub Users 226'!A:A, MATCH(C24, 'Hub Users 226'!B:B, 0)), "")</f>
        <v>47</v>
      </c>
      <c r="J24" s="22" t="s">
        <v>290</v>
      </c>
      <c r="K24" s="23" t="s">
        <v>452</v>
      </c>
      <c r="L24" s="25">
        <v>44571.86388888889</v>
      </c>
      <c r="M24" s="28">
        <v>12.0</v>
      </c>
      <c r="N24" s="28">
        <v>28.0</v>
      </c>
      <c r="O24" s="28">
        <v>75.0</v>
      </c>
      <c r="P24" s="32">
        <v>3.0</v>
      </c>
      <c r="Q24" s="22" t="s">
        <v>453</v>
      </c>
      <c r="R24" s="22" t="s">
        <v>454</v>
      </c>
      <c r="S24" s="22" t="s">
        <v>271</v>
      </c>
      <c r="T24" s="22" t="s">
        <v>272</v>
      </c>
      <c r="U24" s="22" t="s">
        <v>455</v>
      </c>
      <c r="V24" s="26" t="s">
        <v>284</v>
      </c>
      <c r="W24" s="27" t="s">
        <v>456</v>
      </c>
      <c r="X24" s="26" t="s">
        <v>457</v>
      </c>
      <c r="Y24" s="23"/>
      <c r="Z24" s="28"/>
      <c r="AA24" s="23"/>
      <c r="AB24" s="23" t="str">
        <f>IFERROR(__xludf.DUMMYFUNCTION("IF(
ISNUMBER(MATCH(
C24,
IMPORTRANGE(""https://docs.google.com/spreadsheets/d/1yTh1ELC33JHYOeEdgIiEclxPRyh0zOKtlawDltfUay8"",""'Champions'!A:A""),
0
)),
""Outreach Conducted"",
"""")"),"")</f>
        <v/>
      </c>
      <c r="AC24" s="23"/>
      <c r="AD24" s="23"/>
      <c r="AE24" s="23"/>
      <c r="AF24" s="23"/>
      <c r="AG24" s="23"/>
      <c r="AH24" s="23"/>
      <c r="AI24" s="23"/>
      <c r="AJ24" s="23"/>
      <c r="AK24" s="23"/>
      <c r="AL24" s="23"/>
    </row>
    <row r="25" hidden="1">
      <c r="A25" s="22" t="s">
        <v>458</v>
      </c>
      <c r="B25" s="22" t="s">
        <v>459</v>
      </c>
      <c r="C25" s="23" t="str">
        <f t="shared" si="1"/>
        <v>Abigail Mawhirter</v>
      </c>
      <c r="D25" s="22">
        <v>1.254723311E10</v>
      </c>
      <c r="E25" s="29" t="s">
        <v>460</v>
      </c>
      <c r="F25" s="22" t="s">
        <v>248</v>
      </c>
      <c r="G25" s="22">
        <v>445.0</v>
      </c>
      <c r="H25" s="22">
        <f t="array" ref="H25">IFERROR(INDEX('Hub CPC 226'!A:A, MATCH(C25, 'Hub CPC 226'!B:B, 0)), "")</f>
        <v>28</v>
      </c>
      <c r="I25" s="22">
        <f t="array" ref="I25">IFERROR(INDEX('Hub Users 226'!A:A, MATCH(C25, 'Hub Users 226'!B:B, 0)), "")</f>
        <v>48</v>
      </c>
      <c r="J25" s="22" t="s">
        <v>240</v>
      </c>
      <c r="K25" s="23" t="s">
        <v>461</v>
      </c>
      <c r="L25" s="25">
        <v>44236.93263888889</v>
      </c>
      <c r="M25" s="23"/>
      <c r="N25" s="23"/>
      <c r="O25" s="23"/>
      <c r="P25" s="23"/>
      <c r="Q25" s="22" t="s">
        <v>462</v>
      </c>
      <c r="R25" s="22" t="s">
        <v>463</v>
      </c>
      <c r="S25" s="22" t="s">
        <v>464</v>
      </c>
      <c r="T25" s="22" t="s">
        <v>465</v>
      </c>
      <c r="U25" s="22" t="s">
        <v>466</v>
      </c>
      <c r="V25" s="26" t="s">
        <v>371</v>
      </c>
      <c r="W25" s="27" t="s">
        <v>467</v>
      </c>
      <c r="X25" s="26" t="s">
        <v>468</v>
      </c>
      <c r="Y25" s="23"/>
      <c r="Z25" s="28"/>
      <c r="AA25" s="23"/>
      <c r="AB25" s="23" t="str">
        <f>IFERROR(__xludf.DUMMYFUNCTION("IF(
ISNUMBER(MATCH(
C25,
IMPORTRANGE(""https://docs.google.com/spreadsheets/d/1yTh1ELC33JHYOeEdgIiEclxPRyh0zOKtlawDltfUay8"",""'Champions'!A:A""),
0
)),
""Outreach Conducted"",
"""")"),"")</f>
        <v/>
      </c>
      <c r="AC25" s="23"/>
      <c r="AD25" s="23"/>
      <c r="AE25" s="23"/>
      <c r="AF25" s="23"/>
      <c r="AG25" s="23"/>
      <c r="AH25" s="23"/>
      <c r="AI25" s="23"/>
      <c r="AJ25" s="23"/>
      <c r="AK25" s="23"/>
      <c r="AL25" s="23"/>
    </row>
    <row r="26" hidden="1">
      <c r="A26" s="22" t="s">
        <v>469</v>
      </c>
      <c r="B26" s="22" t="s">
        <v>470</v>
      </c>
      <c r="C26" s="23" t="str">
        <f t="shared" si="1"/>
        <v>Amrita Pritam</v>
      </c>
      <c r="D26" s="22">
        <v>4.15996544E9</v>
      </c>
      <c r="E26" s="29" t="s">
        <v>471</v>
      </c>
      <c r="F26" s="22" t="s">
        <v>248</v>
      </c>
      <c r="G26" s="22">
        <v>54.0</v>
      </c>
      <c r="H26" s="22">
        <f t="array" ref="H26">IFERROR(INDEX('Hub CPC 226'!A:A, MATCH(C26, 'Hub CPC 226'!B:B, 0)), "")</f>
        <v>29</v>
      </c>
      <c r="I26" s="22">
        <f t="array" ref="I26">IFERROR(INDEX('Hub Users 226'!A:A, MATCH(C26, 'Hub Users 226'!B:B, 0)), "")</f>
        <v>49</v>
      </c>
      <c r="J26" s="22" t="s">
        <v>107</v>
      </c>
      <c r="K26" s="23" t="s">
        <v>472</v>
      </c>
      <c r="L26" s="25">
        <v>43338.743055555555</v>
      </c>
      <c r="M26" s="23"/>
      <c r="N26" s="23"/>
      <c r="O26" s="23"/>
      <c r="P26" s="23"/>
      <c r="Q26" s="22" t="s">
        <v>471</v>
      </c>
      <c r="R26" s="22"/>
      <c r="S26" s="22" t="s">
        <v>473</v>
      </c>
      <c r="T26" s="22" t="s">
        <v>252</v>
      </c>
      <c r="U26" s="22" t="s">
        <v>474</v>
      </c>
      <c r="V26" s="26" t="s">
        <v>475</v>
      </c>
      <c r="W26" s="27" t="s">
        <v>476</v>
      </c>
      <c r="X26" s="26" t="s">
        <v>477</v>
      </c>
      <c r="Y26" s="23"/>
      <c r="Z26" s="28"/>
      <c r="AA26" s="23"/>
      <c r="AB26" s="23" t="str">
        <f>IFERROR(__xludf.DUMMYFUNCTION("IF(
ISNUMBER(MATCH(
C26,
IMPORTRANGE(""https://docs.google.com/spreadsheets/d/1yTh1ELC33JHYOeEdgIiEclxPRyh0zOKtlawDltfUay8"",""'Champions'!A:A""),
0
)),
""Outreach Conducted"",
"""")"),"")</f>
        <v/>
      </c>
      <c r="AC26" s="23"/>
      <c r="AD26" s="23"/>
      <c r="AE26" s="23"/>
      <c r="AF26" s="23"/>
      <c r="AG26" s="23"/>
      <c r="AH26" s="23"/>
      <c r="AI26" s="23"/>
      <c r="AJ26" s="23"/>
      <c r="AK26" s="23"/>
      <c r="AL26" s="23"/>
    </row>
    <row r="27" hidden="1">
      <c r="A27" s="22" t="s">
        <v>336</v>
      </c>
      <c r="B27" s="22" t="s">
        <v>478</v>
      </c>
      <c r="C27" s="23" t="str">
        <f t="shared" si="1"/>
        <v>Amy Sit</v>
      </c>
      <c r="D27" s="22" t="s">
        <v>479</v>
      </c>
      <c r="E27" s="29" t="s">
        <v>480</v>
      </c>
      <c r="F27" s="22" t="s">
        <v>248</v>
      </c>
      <c r="G27" s="22">
        <v>202.0</v>
      </c>
      <c r="H27" s="22">
        <f t="array" ref="H27">IFERROR(INDEX('Hub CPC 226'!A:A, MATCH(C27, 'Hub CPC 226'!B:B, 0)), "")</f>
        <v>30</v>
      </c>
      <c r="I27" s="22">
        <f t="array" ref="I27">IFERROR(INDEX('Hub Users 226'!A:A, MATCH(C27, 'Hub Users 226'!B:B, 0)), "")</f>
        <v>50</v>
      </c>
      <c r="J27" s="22" t="s">
        <v>240</v>
      </c>
      <c r="K27" s="28" t="s">
        <v>481</v>
      </c>
      <c r="L27" s="25">
        <v>43683.44236111111</v>
      </c>
      <c r="M27" s="28">
        <v>9.0</v>
      </c>
      <c r="N27" s="28">
        <v>20.0</v>
      </c>
      <c r="O27" s="28">
        <v>43.0</v>
      </c>
      <c r="P27" s="32">
        <v>41.0</v>
      </c>
      <c r="Q27" s="22" t="s">
        <v>482</v>
      </c>
      <c r="R27" s="22" t="s">
        <v>293</v>
      </c>
      <c r="S27" s="22" t="s">
        <v>294</v>
      </c>
      <c r="T27" s="22" t="s">
        <v>272</v>
      </c>
      <c r="U27" s="22" t="s">
        <v>483</v>
      </c>
      <c r="V27" s="26" t="s">
        <v>484</v>
      </c>
      <c r="W27" s="27" t="s">
        <v>485</v>
      </c>
      <c r="X27" s="26" t="s">
        <v>486</v>
      </c>
      <c r="Y27" s="23"/>
      <c r="Z27" s="28"/>
      <c r="AA27" s="23"/>
      <c r="AB27" s="23" t="str">
        <f>IFERROR(__xludf.DUMMYFUNCTION("IF(
ISNUMBER(MATCH(
C27,
IMPORTRANGE(""https://docs.google.com/spreadsheets/d/1yTh1ELC33JHYOeEdgIiEclxPRyh0zOKtlawDltfUay8"",""'Champions'!A:A""),
0
)),
""Outreach Conducted"",
"""")"),"")</f>
        <v/>
      </c>
      <c r="AC27" s="23"/>
      <c r="AD27" s="23"/>
      <c r="AE27" s="23"/>
      <c r="AF27" s="23"/>
      <c r="AG27" s="23"/>
      <c r="AH27" s="23"/>
      <c r="AI27" s="23"/>
      <c r="AJ27" s="23"/>
      <c r="AK27" s="23"/>
      <c r="AL27" s="23"/>
    </row>
    <row r="28" hidden="1">
      <c r="A28" s="22" t="s">
        <v>336</v>
      </c>
      <c r="B28" s="22" t="s">
        <v>487</v>
      </c>
      <c r="C28" s="23" t="str">
        <f t="shared" si="1"/>
        <v>Amy Patel</v>
      </c>
      <c r="D28" s="22" t="s">
        <v>488</v>
      </c>
      <c r="E28" s="29" t="s">
        <v>489</v>
      </c>
      <c r="F28" s="22" t="s">
        <v>238</v>
      </c>
      <c r="G28" s="22">
        <v>45.0</v>
      </c>
      <c r="H28" s="22">
        <f t="array" ref="H28">IFERROR(INDEX('Hub CPC 226'!A:A, MATCH(C28, 'Hub CPC 226'!B:B, 0)), "")</f>
        <v>31</v>
      </c>
      <c r="I28" s="22">
        <f t="array" ref="I28">IFERROR(INDEX('Hub Users 226'!A:A, MATCH(C28, 'Hub Users 226'!B:B, 0)), "")</f>
        <v>51</v>
      </c>
      <c r="J28" s="22" t="s">
        <v>260</v>
      </c>
      <c r="K28" s="23" t="s">
        <v>490</v>
      </c>
      <c r="L28" s="25">
        <v>43338.743055555555</v>
      </c>
      <c r="M28" s="23"/>
      <c r="N28" s="23"/>
      <c r="O28" s="23"/>
      <c r="P28" s="23"/>
      <c r="Q28" s="22" t="s">
        <v>491</v>
      </c>
      <c r="R28" s="22"/>
      <c r="S28" s="22" t="s">
        <v>492</v>
      </c>
      <c r="T28" s="22" t="s">
        <v>27</v>
      </c>
      <c r="U28" s="22" t="s">
        <v>493</v>
      </c>
      <c r="V28" s="23"/>
      <c r="W28" s="23"/>
      <c r="X28" s="23"/>
      <c r="Y28" s="23"/>
      <c r="Z28" s="28"/>
      <c r="AA28" s="23"/>
      <c r="AB28" s="23" t="str">
        <f>IFERROR(__xludf.DUMMYFUNCTION("IF(
ISNUMBER(MATCH(
C28,
IMPORTRANGE(""https://docs.google.com/spreadsheets/d/1yTh1ELC33JHYOeEdgIiEclxPRyh0zOKtlawDltfUay8"",""'Champions'!A:A""),
0
)),
""Outreach Conducted"",
"""")"),"")</f>
        <v/>
      </c>
      <c r="AC28" s="23"/>
      <c r="AD28" s="23"/>
      <c r="AE28" s="23"/>
      <c r="AF28" s="23"/>
      <c r="AG28" s="23"/>
      <c r="AH28" s="23"/>
      <c r="AI28" s="23"/>
      <c r="AJ28" s="23"/>
      <c r="AK28" s="23"/>
      <c r="AL28" s="23"/>
    </row>
    <row r="29" hidden="1">
      <c r="A29" s="22" t="s">
        <v>494</v>
      </c>
      <c r="B29" s="22" t="s">
        <v>495</v>
      </c>
      <c r="C29" s="23" t="str">
        <f t="shared" si="1"/>
        <v>Anya Smith</v>
      </c>
      <c r="D29" s="22">
        <v>1.6507850781E10</v>
      </c>
      <c r="E29" s="29" t="s">
        <v>496</v>
      </c>
      <c r="F29" s="22" t="s">
        <v>248</v>
      </c>
      <c r="G29" s="22">
        <v>668.0</v>
      </c>
      <c r="H29" s="22">
        <f t="array" ref="H29">IFERROR(INDEX('Hub CPC 226'!A:A, MATCH(C29, 'Hub CPC 226'!B:B, 0)), "")</f>
        <v>32</v>
      </c>
      <c r="I29" s="22">
        <f t="array" ref="I29">IFERROR(INDEX('Hub Users 226'!A:A, MATCH(C29, 'Hub Users 226'!B:B, 0)), "")</f>
        <v>52</v>
      </c>
      <c r="J29" s="22" t="s">
        <v>260</v>
      </c>
      <c r="K29" s="23" t="s">
        <v>497</v>
      </c>
      <c r="L29" s="25">
        <v>44833.45347222222</v>
      </c>
      <c r="M29" s="23"/>
      <c r="N29" s="23"/>
      <c r="O29" s="23"/>
      <c r="P29" s="23"/>
      <c r="Q29" s="22" t="s">
        <v>498</v>
      </c>
      <c r="R29" s="22" t="s">
        <v>499</v>
      </c>
      <c r="S29" s="22" t="s">
        <v>500</v>
      </c>
      <c r="T29" s="22" t="s">
        <v>501</v>
      </c>
      <c r="U29" s="22" t="s">
        <v>502</v>
      </c>
      <c r="V29" s="26" t="s">
        <v>503</v>
      </c>
      <c r="W29" s="27" t="s">
        <v>504</v>
      </c>
      <c r="X29" s="26" t="s">
        <v>505</v>
      </c>
      <c r="Y29" s="23"/>
      <c r="Z29" s="28"/>
      <c r="AA29" s="23"/>
      <c r="AB29" s="23" t="str">
        <f>IFERROR(__xludf.DUMMYFUNCTION("IF(
ISNUMBER(MATCH(
C29,
IMPORTRANGE(""https://docs.google.com/spreadsheets/d/1yTh1ELC33JHYOeEdgIiEclxPRyh0zOKtlawDltfUay8"",""'Champions'!A:A""),
0
)),
""Outreach Conducted"",
"""")"),"")</f>
        <v/>
      </c>
      <c r="AC29" s="23"/>
      <c r="AD29" s="23"/>
      <c r="AE29" s="23"/>
      <c r="AF29" s="23"/>
      <c r="AG29" s="23"/>
      <c r="AH29" s="23"/>
      <c r="AI29" s="23"/>
      <c r="AJ29" s="23"/>
      <c r="AK29" s="23"/>
      <c r="AL29" s="23"/>
    </row>
    <row r="30" hidden="1">
      <c r="A30" s="22" t="s">
        <v>494</v>
      </c>
      <c r="B30" s="22" t="s">
        <v>495</v>
      </c>
      <c r="C30" s="23" t="str">
        <f t="shared" si="1"/>
        <v>Anya Smith</v>
      </c>
      <c r="D30" s="22">
        <v>1.425737823E10</v>
      </c>
      <c r="E30" s="29" t="s">
        <v>496</v>
      </c>
      <c r="F30" s="22" t="s">
        <v>248</v>
      </c>
      <c r="G30" s="22">
        <v>486.0</v>
      </c>
      <c r="H30" s="22">
        <f t="array" ref="H30">IFERROR(INDEX('Hub CPC 226'!A:A, MATCH(C30, 'Hub CPC 226'!B:B, 0)), "")</f>
        <v>32</v>
      </c>
      <c r="I30" s="22">
        <f t="array" ref="I30">IFERROR(INDEX('Hub Users 226'!A:A, MATCH(C30, 'Hub Users 226'!B:B, 0)), "")</f>
        <v>52</v>
      </c>
      <c r="J30" s="22" t="s">
        <v>239</v>
      </c>
      <c r="K30" s="23" t="s">
        <v>506</v>
      </c>
      <c r="L30" s="25">
        <v>44387.78055555555</v>
      </c>
      <c r="M30" s="23"/>
      <c r="N30" s="23"/>
      <c r="O30" s="23"/>
      <c r="P30" s="23"/>
      <c r="Q30" s="22" t="s">
        <v>498</v>
      </c>
      <c r="R30" s="22" t="s">
        <v>499</v>
      </c>
      <c r="S30" s="22" t="s">
        <v>500</v>
      </c>
      <c r="T30" s="22" t="s">
        <v>501</v>
      </c>
      <c r="U30" s="22" t="s">
        <v>502</v>
      </c>
      <c r="V30" s="26" t="s">
        <v>507</v>
      </c>
      <c r="W30" s="27" t="s">
        <v>508</v>
      </c>
      <c r="X30" s="26" t="s">
        <v>509</v>
      </c>
      <c r="Y30" s="23"/>
      <c r="Z30" s="28"/>
      <c r="AA30" s="23"/>
      <c r="AB30" s="23" t="str">
        <f>IFERROR(__xludf.DUMMYFUNCTION("IF(
ISNUMBER(MATCH(
C30,
IMPORTRANGE(""https://docs.google.com/spreadsheets/d/1yTh1ELC33JHYOeEdgIiEclxPRyh0zOKtlawDltfUay8"",""'Champions'!A:A""),
0
)),
""Outreach Conducted"",
"""")"),"")</f>
        <v/>
      </c>
      <c r="AC30" s="23"/>
      <c r="AD30" s="23"/>
      <c r="AE30" s="23"/>
      <c r="AF30" s="23"/>
      <c r="AG30" s="23"/>
      <c r="AH30" s="23"/>
      <c r="AI30" s="23"/>
      <c r="AJ30" s="23"/>
      <c r="AK30" s="23"/>
      <c r="AL30" s="23"/>
    </row>
    <row r="31" hidden="1">
      <c r="A31" s="22" t="s">
        <v>510</v>
      </c>
      <c r="B31" s="22" t="s">
        <v>511</v>
      </c>
      <c r="C31" s="23" t="str">
        <f t="shared" si="1"/>
        <v>Anastasia Maria Savelyeva</v>
      </c>
      <c r="D31" s="22" t="s">
        <v>512</v>
      </c>
      <c r="E31" s="29" t="s">
        <v>513</v>
      </c>
      <c r="F31" s="22" t="s">
        <v>238</v>
      </c>
      <c r="G31" s="22">
        <v>134.0</v>
      </c>
      <c r="H31" s="22">
        <f t="array" ref="H31">IFERROR(INDEX('Hub CPC 226'!A:A, MATCH(C31, 'Hub CPC 226'!B:B, 0)), "")</f>
        <v>33</v>
      </c>
      <c r="I31" s="22">
        <f t="array" ref="I31">IFERROR(INDEX('Hub Users 226'!A:A, MATCH(C31, 'Hub Users 226'!B:B, 0)), "")</f>
        <v>53</v>
      </c>
      <c r="J31" s="22" t="s">
        <v>417</v>
      </c>
      <c r="K31" s="28" t="s">
        <v>514</v>
      </c>
      <c r="L31" s="25">
        <v>43590.63263888889</v>
      </c>
      <c r="M31" s="28"/>
      <c r="N31" s="28"/>
      <c r="O31" s="28"/>
      <c r="P31" s="32">
        <v>29.0</v>
      </c>
      <c r="Q31" s="22" t="s">
        <v>515</v>
      </c>
      <c r="R31" s="22" t="s">
        <v>271</v>
      </c>
      <c r="S31" s="22" t="s">
        <v>516</v>
      </c>
      <c r="T31" s="22" t="s">
        <v>272</v>
      </c>
      <c r="U31" s="22" t="s">
        <v>517</v>
      </c>
      <c r="V31" s="26" t="s">
        <v>393</v>
      </c>
      <c r="W31" s="27" t="s">
        <v>518</v>
      </c>
      <c r="X31" s="26" t="s">
        <v>519</v>
      </c>
      <c r="Y31" s="23"/>
      <c r="Z31" s="28"/>
      <c r="AA31" s="23"/>
      <c r="AB31" s="23" t="str">
        <f>IFERROR(__xludf.DUMMYFUNCTION("IF(
ISNUMBER(MATCH(
C31,
IMPORTRANGE(""https://docs.google.com/spreadsheets/d/1yTh1ELC33JHYOeEdgIiEclxPRyh0zOKtlawDltfUay8"",""'Champions'!A:A""),
0
)),
""Outreach Conducted"",
"""")"),"")</f>
        <v/>
      </c>
      <c r="AC31" s="23"/>
      <c r="AD31" s="23"/>
      <c r="AE31" s="23"/>
      <c r="AF31" s="23"/>
      <c r="AG31" s="23"/>
      <c r="AH31" s="23"/>
      <c r="AI31" s="23"/>
      <c r="AJ31" s="23"/>
      <c r="AK31" s="23"/>
      <c r="AL31" s="23"/>
    </row>
    <row r="32" hidden="1">
      <c r="A32" s="22" t="s">
        <v>520</v>
      </c>
      <c r="B32" s="22" t="s">
        <v>521</v>
      </c>
      <c r="C32" s="23" t="str">
        <f t="shared" si="1"/>
        <v>Andrew Baum</v>
      </c>
      <c r="D32" s="24"/>
      <c r="E32" s="29" t="s">
        <v>522</v>
      </c>
      <c r="F32" s="22" t="s">
        <v>399</v>
      </c>
      <c r="G32" s="22">
        <v>630.0</v>
      </c>
      <c r="H32" s="22">
        <f t="array" ref="H32">IFERROR(INDEX('Hub CPC 226'!A:A, MATCH(C32, 'Hub CPC 226'!B:B, 0)), "")</f>
        <v>34</v>
      </c>
      <c r="I32" s="22">
        <f t="array" ref="I32">IFERROR(INDEX('Hub Users 226'!A:A, MATCH(C32, 'Hub Users 226'!B:B, 0)), "")</f>
        <v>54</v>
      </c>
      <c r="J32" s="22" t="s">
        <v>260</v>
      </c>
      <c r="K32" s="28" t="s">
        <v>523</v>
      </c>
      <c r="L32" s="25">
        <v>44630.4375</v>
      </c>
      <c r="M32" s="28"/>
      <c r="N32" s="28"/>
      <c r="O32" s="28"/>
      <c r="P32" s="31"/>
      <c r="Q32" s="24"/>
      <c r="R32" s="22" t="s">
        <v>524</v>
      </c>
      <c r="S32" s="22" t="s">
        <v>525</v>
      </c>
      <c r="T32" s="22" t="s">
        <v>272</v>
      </c>
      <c r="U32" s="22" t="s">
        <v>526</v>
      </c>
      <c r="V32" s="23"/>
      <c r="W32" s="23"/>
      <c r="X32" s="23"/>
      <c r="Y32" s="23"/>
      <c r="Z32" s="23"/>
      <c r="AA32" s="23"/>
      <c r="AB32" s="23" t="str">
        <f>IFERROR(__xludf.DUMMYFUNCTION("IF(
ISNUMBER(MATCH(
C32,
IMPORTRANGE(""https://docs.google.com/spreadsheets/d/1yTh1ELC33JHYOeEdgIiEclxPRyh0zOKtlawDltfUay8"",""'Champions'!A:A""),
0
)),
""Outreach Conducted"",
"""")"),"")</f>
        <v/>
      </c>
      <c r="AC32" s="23"/>
      <c r="AD32" s="23"/>
      <c r="AE32" s="23"/>
      <c r="AF32" s="23"/>
      <c r="AG32" s="23"/>
      <c r="AH32" s="23"/>
      <c r="AI32" s="23"/>
      <c r="AJ32" s="23"/>
      <c r="AK32" s="23"/>
      <c r="AL32" s="23"/>
    </row>
    <row r="33" hidden="1">
      <c r="A33" s="22" t="s">
        <v>527</v>
      </c>
      <c r="B33" s="22" t="s">
        <v>528</v>
      </c>
      <c r="C33" s="23" t="str">
        <f t="shared" si="1"/>
        <v>Angana Deb</v>
      </c>
      <c r="D33" s="22" t="s">
        <v>529</v>
      </c>
      <c r="E33" s="29" t="s">
        <v>530</v>
      </c>
      <c r="F33" s="22" t="s">
        <v>238</v>
      </c>
      <c r="G33" s="22">
        <v>135.0</v>
      </c>
      <c r="H33" s="22">
        <f t="array" ref="H33">IFERROR(INDEX('Hub CPC 226'!A:A, MATCH(C33, 'Hub CPC 226'!B:B, 0)), "")</f>
        <v>35</v>
      </c>
      <c r="I33" s="22">
        <f t="array" ref="I33">IFERROR(INDEX('Hub Users 226'!A:A, MATCH(C33, 'Hub Users 226'!B:B, 0)), "")</f>
        <v>55</v>
      </c>
      <c r="J33" s="22" t="s">
        <v>239</v>
      </c>
      <c r="K33" s="23" t="s">
        <v>531</v>
      </c>
      <c r="L33" s="25">
        <v>43590.63263888889</v>
      </c>
      <c r="M33" s="23"/>
      <c r="N33" s="23"/>
      <c r="O33" s="23"/>
      <c r="P33" s="23"/>
      <c r="Q33" s="22" t="s">
        <v>532</v>
      </c>
      <c r="R33" s="22" t="s">
        <v>473</v>
      </c>
      <c r="S33" s="22" t="s">
        <v>473</v>
      </c>
      <c r="T33" s="22" t="s">
        <v>252</v>
      </c>
      <c r="U33" s="22" t="s">
        <v>533</v>
      </c>
      <c r="V33" s="26" t="s">
        <v>393</v>
      </c>
      <c r="W33" s="27" t="s">
        <v>534</v>
      </c>
      <c r="X33" s="26" t="s">
        <v>519</v>
      </c>
      <c r="Y33" s="23"/>
      <c r="Z33" s="28"/>
      <c r="AA33" s="23"/>
      <c r="AB33" s="23" t="str">
        <f>IFERROR(__xludf.DUMMYFUNCTION("IF(
ISNUMBER(MATCH(
C33,
IMPORTRANGE(""https://docs.google.com/spreadsheets/d/1yTh1ELC33JHYOeEdgIiEclxPRyh0zOKtlawDltfUay8"",""'Champions'!A:A""),
0
)),
""Outreach Conducted"",
"""")"),"")</f>
        <v/>
      </c>
      <c r="AC33" s="23"/>
      <c r="AD33" s="23"/>
      <c r="AE33" s="23"/>
      <c r="AF33" s="23"/>
      <c r="AG33" s="23"/>
      <c r="AH33" s="23"/>
      <c r="AI33" s="23"/>
      <c r="AJ33" s="23"/>
      <c r="AK33" s="23"/>
      <c r="AL33" s="23"/>
    </row>
    <row r="34" hidden="1">
      <c r="A34" s="22" t="s">
        <v>535</v>
      </c>
      <c r="B34" s="22" t="s">
        <v>536</v>
      </c>
      <c r="C34" s="23" t="str">
        <f t="shared" si="1"/>
        <v>Angelo Rodriguez</v>
      </c>
      <c r="D34" s="22">
        <v>1.9174154436E10</v>
      </c>
      <c r="E34" s="29" t="s">
        <v>537</v>
      </c>
      <c r="F34" s="22" t="s">
        <v>248</v>
      </c>
      <c r="G34" s="22">
        <v>664.0</v>
      </c>
      <c r="H34" s="22">
        <f t="array" ref="H34">IFERROR(INDEX('Hub CPC 226'!A:A, MATCH(C34, 'Hub CPC 226'!B:B, 0)), "")</f>
        <v>36</v>
      </c>
      <c r="I34" s="22">
        <f t="array" ref="I34">IFERROR(INDEX('Hub Users 226'!A:A, MATCH(C34, 'Hub Users 226'!B:B, 0)), "")</f>
        <v>56</v>
      </c>
      <c r="J34" s="22" t="s">
        <v>538</v>
      </c>
      <c r="K34" s="28" t="s">
        <v>539</v>
      </c>
      <c r="L34" s="25">
        <v>44825.91458333333</v>
      </c>
      <c r="M34" s="28">
        <v>10.0</v>
      </c>
      <c r="N34" s="28">
        <v>26.0</v>
      </c>
      <c r="O34" s="28">
        <v>52.0</v>
      </c>
      <c r="P34" s="32">
        <v>33.0</v>
      </c>
      <c r="Q34" s="22" t="s">
        <v>540</v>
      </c>
      <c r="R34" s="22" t="s">
        <v>541</v>
      </c>
      <c r="S34" s="22" t="s">
        <v>294</v>
      </c>
      <c r="T34" s="22" t="s">
        <v>272</v>
      </c>
      <c r="U34" s="22" t="s">
        <v>542</v>
      </c>
      <c r="V34" s="26" t="s">
        <v>543</v>
      </c>
      <c r="W34" s="27" t="s">
        <v>544</v>
      </c>
      <c r="X34" s="26" t="s">
        <v>545</v>
      </c>
      <c r="Y34" s="23"/>
      <c r="Z34" s="28"/>
      <c r="AA34" s="23"/>
      <c r="AB34" s="23" t="str">
        <f>IFERROR(__xludf.DUMMYFUNCTION("IF(
ISNUMBER(MATCH(
C34,
IMPORTRANGE(""https://docs.google.com/spreadsheets/d/1yTh1ELC33JHYOeEdgIiEclxPRyh0zOKtlawDltfUay8"",""'Champions'!A:A""),
0
)),
""Outreach Conducted"",
"""")"),"")</f>
        <v/>
      </c>
      <c r="AC34" s="23"/>
      <c r="AD34" s="23"/>
      <c r="AE34" s="23"/>
      <c r="AF34" s="23"/>
      <c r="AG34" s="23"/>
      <c r="AH34" s="23"/>
      <c r="AI34" s="23"/>
      <c r="AJ34" s="23"/>
      <c r="AK34" s="23"/>
      <c r="AL34" s="23"/>
    </row>
    <row r="35" hidden="1">
      <c r="A35" s="22" t="s">
        <v>546</v>
      </c>
      <c r="B35" s="22" t="s">
        <v>547</v>
      </c>
      <c r="C35" s="23" t="str">
        <f t="shared" si="1"/>
        <v>Anisa Shukla</v>
      </c>
      <c r="D35" s="22" t="s">
        <v>548</v>
      </c>
      <c r="E35" s="29" t="s">
        <v>549</v>
      </c>
      <c r="F35" s="22" t="s">
        <v>238</v>
      </c>
      <c r="G35" s="22">
        <v>136.0</v>
      </c>
      <c r="H35" s="22">
        <f t="array" ref="H35">IFERROR(INDEX('Hub CPC 226'!A:A, MATCH(C35, 'Hub CPC 226'!B:B, 0)), "")</f>
        <v>37</v>
      </c>
      <c r="I35" s="22">
        <f t="array" ref="I35">IFERROR(INDEX('Hub Users 226'!A:A, MATCH(C35, 'Hub Users 226'!B:B, 0)), "")</f>
        <v>57</v>
      </c>
      <c r="J35" s="22" t="s">
        <v>107</v>
      </c>
      <c r="K35" s="23" t="s">
        <v>550</v>
      </c>
      <c r="L35" s="25">
        <v>43590.63333333333</v>
      </c>
      <c r="M35" s="28"/>
      <c r="N35" s="28"/>
      <c r="O35" s="28"/>
      <c r="P35" s="31"/>
      <c r="Q35" s="22" t="s">
        <v>551</v>
      </c>
      <c r="R35" s="22" t="s">
        <v>334</v>
      </c>
      <c r="S35" s="22" t="s">
        <v>271</v>
      </c>
      <c r="T35" s="22" t="s">
        <v>272</v>
      </c>
      <c r="U35" s="22" t="s">
        <v>552</v>
      </c>
      <c r="V35" s="23"/>
      <c r="W35" s="23"/>
      <c r="X35" s="23"/>
      <c r="Y35" s="23"/>
      <c r="Z35" s="28"/>
      <c r="AA35" s="23"/>
      <c r="AB35" s="23" t="str">
        <f>IFERROR(__xludf.DUMMYFUNCTION("IF(
ISNUMBER(MATCH(
C35,
IMPORTRANGE(""https://docs.google.com/spreadsheets/d/1yTh1ELC33JHYOeEdgIiEclxPRyh0zOKtlawDltfUay8"",""'Champions'!A:A""),
0
)),
""Outreach Conducted"",
"""")"),"")</f>
        <v/>
      </c>
      <c r="AC35" s="23"/>
      <c r="AD35" s="23"/>
      <c r="AE35" s="23"/>
      <c r="AF35" s="23"/>
      <c r="AG35" s="23"/>
      <c r="AH35" s="23"/>
      <c r="AI35" s="23"/>
      <c r="AJ35" s="23"/>
      <c r="AK35" s="23"/>
      <c r="AL35" s="23"/>
    </row>
    <row r="36" hidden="1">
      <c r="A36" s="22" t="s">
        <v>553</v>
      </c>
      <c r="B36" s="22" t="s">
        <v>554</v>
      </c>
      <c r="C36" s="23" t="str">
        <f t="shared" si="1"/>
        <v>Anjuli Bahuguna</v>
      </c>
      <c r="D36" s="22">
        <v>-5.51816754E8</v>
      </c>
      <c r="E36" s="29" t="s">
        <v>555</v>
      </c>
      <c r="F36" s="22" t="s">
        <v>248</v>
      </c>
      <c r="G36" s="22">
        <v>315.0</v>
      </c>
      <c r="H36" s="22">
        <f t="array" ref="H36">IFERROR(INDEX('Hub CPC 226'!A:A, MATCH(C36, 'Hub CPC 226'!B:B, 0)), "")</f>
        <v>38</v>
      </c>
      <c r="I36" s="22">
        <f t="array" ref="I36">IFERROR(INDEX('Hub Users 226'!A:A, MATCH(C36, 'Hub Users 226'!B:B, 0)), "")</f>
        <v>58</v>
      </c>
      <c r="J36" s="22" t="s">
        <v>260</v>
      </c>
      <c r="K36" s="23" t="s">
        <v>556</v>
      </c>
      <c r="L36" s="25">
        <v>43913.18541666667</v>
      </c>
      <c r="M36" s="23"/>
      <c r="N36" s="23"/>
      <c r="O36" s="23"/>
      <c r="P36" s="23"/>
      <c r="Q36" s="22" t="s">
        <v>555</v>
      </c>
      <c r="R36" s="22" t="s">
        <v>557</v>
      </c>
      <c r="S36" s="24"/>
      <c r="T36" s="24"/>
      <c r="U36" s="22" t="s">
        <v>558</v>
      </c>
      <c r="V36" s="23"/>
      <c r="W36" s="23"/>
      <c r="X36" s="23"/>
      <c r="Y36" s="23"/>
      <c r="Z36" s="28"/>
      <c r="AA36" s="23"/>
      <c r="AB36" s="23" t="str">
        <f>IFERROR(__xludf.DUMMYFUNCTION("IF(
ISNUMBER(MATCH(
C36,
IMPORTRANGE(""https://docs.google.com/spreadsheets/d/1yTh1ELC33JHYOeEdgIiEclxPRyh0zOKtlawDltfUay8"",""'Champions'!A:A""),
0
)),
""Outreach Conducted"",
"""")"),"")</f>
        <v/>
      </c>
      <c r="AC36" s="23"/>
      <c r="AD36" s="23"/>
      <c r="AE36" s="23"/>
      <c r="AF36" s="23"/>
      <c r="AG36" s="23"/>
      <c r="AH36" s="23"/>
      <c r="AI36" s="23"/>
      <c r="AJ36" s="23"/>
      <c r="AK36" s="23"/>
      <c r="AL36" s="23"/>
    </row>
    <row r="37" hidden="1">
      <c r="A37" s="22" t="s">
        <v>559</v>
      </c>
      <c r="B37" s="22" t="s">
        <v>560</v>
      </c>
      <c r="C37" s="23" t="str">
        <f t="shared" si="1"/>
        <v>Ankur Jaluria</v>
      </c>
      <c r="D37" s="22">
        <v>6.467891472E9</v>
      </c>
      <c r="E37" s="29" t="s">
        <v>561</v>
      </c>
      <c r="F37" s="22" t="s">
        <v>248</v>
      </c>
      <c r="G37" s="22">
        <v>331.0</v>
      </c>
      <c r="H37" s="22">
        <f t="array" ref="H37">IFERROR(INDEX('Hub CPC 226'!A:A, MATCH(C37, 'Hub CPC 226'!B:B, 0)), "")</f>
        <v>39</v>
      </c>
      <c r="I37" s="22">
        <f t="array" ref="I37">IFERROR(INDEX('Hub Users 226'!A:A, MATCH(C37, 'Hub Users 226'!B:B, 0)), "")</f>
        <v>59</v>
      </c>
      <c r="J37" s="22" t="s">
        <v>290</v>
      </c>
      <c r="K37" s="28" t="s">
        <v>562</v>
      </c>
      <c r="L37" s="25">
        <v>44024.47708333333</v>
      </c>
      <c r="M37" s="28">
        <v>12.0</v>
      </c>
      <c r="N37" s="28">
        <v>47.0</v>
      </c>
      <c r="O37" s="28">
        <v>75.0</v>
      </c>
      <c r="P37" s="32">
        <v>3.0</v>
      </c>
      <c r="Q37" s="22" t="s">
        <v>563</v>
      </c>
      <c r="R37" s="22" t="s">
        <v>271</v>
      </c>
      <c r="S37" s="22" t="s">
        <v>271</v>
      </c>
      <c r="T37" s="22" t="s">
        <v>272</v>
      </c>
      <c r="U37" s="22" t="s">
        <v>564</v>
      </c>
      <c r="V37" s="26" t="s">
        <v>296</v>
      </c>
      <c r="W37" s="27" t="s">
        <v>565</v>
      </c>
      <c r="X37" s="26" t="s">
        <v>566</v>
      </c>
      <c r="Y37" s="23"/>
      <c r="Z37" s="28"/>
      <c r="AA37" s="23"/>
      <c r="AB37" s="23" t="str">
        <f>IFERROR(__xludf.DUMMYFUNCTION("IF(
ISNUMBER(MATCH(
C37,
IMPORTRANGE(""https://docs.google.com/spreadsheets/d/1yTh1ELC33JHYOeEdgIiEclxPRyh0zOKtlawDltfUay8"",""'Champions'!A:A""),
0
)),
""Outreach Conducted"",
"""")"),"")</f>
        <v/>
      </c>
      <c r="AC37" s="23"/>
      <c r="AD37" s="23"/>
      <c r="AE37" s="23"/>
      <c r="AF37" s="23"/>
      <c r="AG37" s="23"/>
      <c r="AH37" s="23"/>
      <c r="AI37" s="23"/>
      <c r="AJ37" s="23"/>
      <c r="AK37" s="23"/>
      <c r="AL37" s="23"/>
    </row>
    <row r="38" hidden="1">
      <c r="A38" s="22" t="s">
        <v>567</v>
      </c>
      <c r="B38" s="22" t="s">
        <v>568</v>
      </c>
      <c r="C38" s="23" t="str">
        <f t="shared" si="1"/>
        <v>Anna Carina Radulovich (D)</v>
      </c>
      <c r="D38" s="22">
        <v>7.274590211E9</v>
      </c>
      <c r="E38" s="29" t="s">
        <v>569</v>
      </c>
      <c r="F38" s="22" t="s">
        <v>30</v>
      </c>
      <c r="G38" s="22">
        <v>467.0</v>
      </c>
      <c r="H38" s="22">
        <f t="array" ref="H38">IFERROR(INDEX('Hub CPC 226'!A:A, MATCH(C38, 'Hub CPC 226'!B:B, 0)), "")</f>
        <v>40</v>
      </c>
      <c r="I38" s="22">
        <f t="array" ref="I38">IFERROR(INDEX('Hub Users 226'!A:A, MATCH(C38, 'Hub Users 226'!B:B, 0)), "")</f>
        <v>60</v>
      </c>
      <c r="J38" s="22"/>
      <c r="K38" s="23" t="s">
        <v>570</v>
      </c>
      <c r="L38" s="25">
        <v>44291.45277777778</v>
      </c>
      <c r="M38" s="23"/>
      <c r="N38" s="23"/>
      <c r="O38" s="23"/>
      <c r="P38" s="23"/>
      <c r="Q38" s="22" t="s">
        <v>571</v>
      </c>
      <c r="R38" s="22" t="s">
        <v>572</v>
      </c>
      <c r="S38" s="22" t="s">
        <v>573</v>
      </c>
      <c r="T38" s="22" t="s">
        <v>252</v>
      </c>
      <c r="U38" s="24"/>
      <c r="V38" s="26" t="s">
        <v>574</v>
      </c>
      <c r="W38" s="27" t="s">
        <v>575</v>
      </c>
      <c r="X38" s="26" t="s">
        <v>576</v>
      </c>
      <c r="Y38" s="23"/>
      <c r="Z38" s="28"/>
      <c r="AA38" s="23"/>
      <c r="AB38" s="23" t="str">
        <f>IFERROR(__xludf.DUMMYFUNCTION("IF(
ISNUMBER(MATCH(
C38,
IMPORTRANGE(""https://docs.google.com/spreadsheets/d/1yTh1ELC33JHYOeEdgIiEclxPRyh0zOKtlawDltfUay8"",""'Champions'!A:A""),
0
)),
""Outreach Conducted"",
"""")"),"")</f>
        <v/>
      </c>
      <c r="AC38" s="23"/>
      <c r="AD38" s="23"/>
      <c r="AE38" s="23"/>
      <c r="AF38" s="23"/>
      <c r="AG38" s="23"/>
      <c r="AH38" s="23"/>
      <c r="AI38" s="23"/>
      <c r="AJ38" s="23"/>
      <c r="AK38" s="23"/>
      <c r="AL38" s="23"/>
    </row>
    <row r="39" hidden="1">
      <c r="A39" s="22" t="s">
        <v>567</v>
      </c>
      <c r="B39" s="22" t="s">
        <v>577</v>
      </c>
      <c r="C39" s="23" t="str">
        <f t="shared" si="1"/>
        <v>Anna Butuzova</v>
      </c>
      <c r="D39" s="22">
        <v>8.579282687E9</v>
      </c>
      <c r="E39" s="29" t="s">
        <v>578</v>
      </c>
      <c r="F39" s="22" t="s">
        <v>248</v>
      </c>
      <c r="G39" s="22">
        <v>306.0</v>
      </c>
      <c r="H39" s="22">
        <f t="array" ref="H39">IFERROR(INDEX('Hub CPC 226'!A:A, MATCH(C39, 'Hub CPC 226'!B:B, 0)), "")</f>
        <v>41</v>
      </c>
      <c r="I39" s="22">
        <f t="array" ref="I39">IFERROR(INDEX('Hub Users 226'!A:A, MATCH(C39, 'Hub Users 226'!B:B, 0)), "")</f>
        <v>61</v>
      </c>
      <c r="J39" s="22" t="s">
        <v>107</v>
      </c>
      <c r="K39" s="23" t="s">
        <v>579</v>
      </c>
      <c r="L39" s="25">
        <v>43879.62291666667</v>
      </c>
      <c r="M39" s="23"/>
      <c r="N39" s="23"/>
      <c r="O39" s="23"/>
      <c r="P39" s="23"/>
      <c r="Q39" s="22" t="s">
        <v>580</v>
      </c>
      <c r="R39" s="22" t="s">
        <v>581</v>
      </c>
      <c r="S39" s="22" t="s">
        <v>582</v>
      </c>
      <c r="T39" s="22" t="s">
        <v>252</v>
      </c>
      <c r="U39" s="22" t="s">
        <v>583</v>
      </c>
      <c r="V39" s="26" t="s">
        <v>584</v>
      </c>
      <c r="W39" s="27" t="s">
        <v>585</v>
      </c>
      <c r="X39" s="26" t="s">
        <v>586</v>
      </c>
      <c r="Y39" s="23"/>
      <c r="Z39" s="28"/>
      <c r="AA39" s="23"/>
      <c r="AB39" s="23" t="str">
        <f>IFERROR(__xludf.DUMMYFUNCTION("IF(
ISNUMBER(MATCH(
C39,
IMPORTRANGE(""https://docs.google.com/spreadsheets/d/1yTh1ELC33JHYOeEdgIiEclxPRyh0zOKtlawDltfUay8"",""'Champions'!A:A""),
0
)),
""Outreach Conducted"",
"""")"),"")</f>
        <v/>
      </c>
      <c r="AC39" s="23"/>
      <c r="AD39" s="23"/>
      <c r="AE39" s="23"/>
      <c r="AF39" s="23"/>
      <c r="AG39" s="23"/>
      <c r="AH39" s="23"/>
      <c r="AI39" s="23"/>
      <c r="AJ39" s="23"/>
      <c r="AK39" s="23"/>
      <c r="AL39" s="23"/>
    </row>
    <row r="40" hidden="1">
      <c r="A40" s="22" t="s">
        <v>587</v>
      </c>
      <c r="B40" s="22" t="s">
        <v>588</v>
      </c>
      <c r="C40" s="23" t="str">
        <f t="shared" si="1"/>
        <v>Annie Camey Kuo</v>
      </c>
      <c r="D40" s="22">
        <v>1.6267551726E10</v>
      </c>
      <c r="E40" s="29" t="s">
        <v>589</v>
      </c>
      <c r="F40" s="22" t="s">
        <v>248</v>
      </c>
      <c r="G40" s="22">
        <v>531.0</v>
      </c>
      <c r="H40" s="22">
        <f t="array" ref="H40">IFERROR(INDEX('Hub CPC 226'!A:A, MATCH(C40, 'Hub CPC 226'!B:B, 0)), "")</f>
        <v>42</v>
      </c>
      <c r="I40" s="22">
        <f t="array" ref="I40">IFERROR(INDEX('Hub Users 226'!A:A, MATCH(C40, 'Hub Users 226'!B:B, 0)), "")</f>
        <v>62</v>
      </c>
      <c r="J40" s="22" t="s">
        <v>239</v>
      </c>
      <c r="K40" s="23" t="s">
        <v>590</v>
      </c>
      <c r="L40" s="25">
        <v>44498.75486111111</v>
      </c>
      <c r="M40" s="23"/>
      <c r="N40" s="23"/>
      <c r="O40" s="23"/>
      <c r="P40" s="23"/>
      <c r="Q40" s="24"/>
      <c r="R40" s="22" t="s">
        <v>473</v>
      </c>
      <c r="S40" s="22" t="s">
        <v>473</v>
      </c>
      <c r="T40" s="22" t="s">
        <v>252</v>
      </c>
      <c r="U40" s="22" t="s">
        <v>591</v>
      </c>
      <c r="V40" s="26" t="s">
        <v>284</v>
      </c>
      <c r="W40" s="27" t="s">
        <v>592</v>
      </c>
      <c r="X40" s="26" t="s">
        <v>593</v>
      </c>
      <c r="Y40" s="23"/>
      <c r="Z40" s="28"/>
      <c r="AA40" s="23"/>
      <c r="AB40" s="23" t="str">
        <f>IFERROR(__xludf.DUMMYFUNCTION("IF(
ISNUMBER(MATCH(
C40,
IMPORTRANGE(""https://docs.google.com/spreadsheets/d/1yTh1ELC33JHYOeEdgIiEclxPRyh0zOKtlawDltfUay8"",""'Champions'!A:A""),
0
)),
""Outreach Conducted"",
"""")"),"")</f>
        <v/>
      </c>
      <c r="AC40" s="23"/>
      <c r="AD40" s="26" t="s">
        <v>594</v>
      </c>
      <c r="AE40" s="28" t="s">
        <v>595</v>
      </c>
      <c r="AF40" s="28" t="s">
        <v>449</v>
      </c>
      <c r="AG40" s="28" t="s">
        <v>596</v>
      </c>
      <c r="AH40" s="23"/>
      <c r="AI40" s="23"/>
      <c r="AJ40" s="23"/>
      <c r="AK40" s="23"/>
      <c r="AL40" s="23"/>
    </row>
    <row r="41" hidden="1">
      <c r="A41" s="22" t="s">
        <v>597</v>
      </c>
      <c r="B41" s="22" t="s">
        <v>598</v>
      </c>
      <c r="C41" s="23" t="str">
        <f t="shared" si="1"/>
        <v>April Carter</v>
      </c>
      <c r="D41" s="22">
        <v>1.4695712068E10</v>
      </c>
      <c r="E41" s="29" t="s">
        <v>599</v>
      </c>
      <c r="F41" s="22" t="s">
        <v>248</v>
      </c>
      <c r="G41" s="22">
        <v>557.0</v>
      </c>
      <c r="H41" s="22">
        <f t="array" ref="H41">IFERROR(INDEX('Hub CPC 226'!A:A, MATCH(C41, 'Hub CPC 226'!B:B, 0)), "")</f>
        <v>43</v>
      </c>
      <c r="I41" s="22">
        <f t="array" ref="I41">IFERROR(INDEX('Hub Users 226'!A:A, MATCH(C41, 'Hub Users 226'!B:B, 0)), "")</f>
        <v>63</v>
      </c>
      <c r="J41" s="22" t="s">
        <v>407</v>
      </c>
      <c r="K41" s="23" t="s">
        <v>600</v>
      </c>
      <c r="L41" s="25">
        <v>44529.481944444444</v>
      </c>
      <c r="M41" s="23"/>
      <c r="N41" s="23"/>
      <c r="O41" s="23"/>
      <c r="P41" s="23"/>
      <c r="Q41" s="22" t="s">
        <v>601</v>
      </c>
      <c r="R41" s="22" t="s">
        <v>602</v>
      </c>
      <c r="S41" s="22" t="s">
        <v>603</v>
      </c>
      <c r="T41" s="22" t="s">
        <v>501</v>
      </c>
      <c r="U41" s="22" t="s">
        <v>604</v>
      </c>
      <c r="V41" s="23"/>
      <c r="W41" s="23"/>
      <c r="X41" s="23"/>
      <c r="Y41" s="23"/>
      <c r="Z41" s="28"/>
      <c r="AA41" s="23"/>
      <c r="AB41" s="23" t="str">
        <f>IFERROR(__xludf.DUMMYFUNCTION("IF(
ISNUMBER(MATCH(
C41,
IMPORTRANGE(""https://docs.google.com/spreadsheets/d/1yTh1ELC33JHYOeEdgIiEclxPRyh0zOKtlawDltfUay8"",""'Champions'!A:A""),
0
)),
""Outreach Conducted"",
"""")"),"")</f>
        <v/>
      </c>
      <c r="AC41" s="23"/>
      <c r="AD41" s="23"/>
      <c r="AE41" s="23"/>
      <c r="AF41" s="23"/>
      <c r="AG41" s="23"/>
      <c r="AH41" s="23"/>
      <c r="AI41" s="23"/>
      <c r="AJ41" s="23"/>
      <c r="AK41" s="23"/>
      <c r="AL41" s="23"/>
    </row>
    <row r="42" hidden="1">
      <c r="A42" s="22" t="s">
        <v>605</v>
      </c>
      <c r="B42" s="22" t="s">
        <v>606</v>
      </c>
      <c r="C42" s="23" t="str">
        <f t="shared" si="1"/>
        <v>Astha Rajvanshi</v>
      </c>
      <c r="D42" s="22">
        <v>9.174462015E9</v>
      </c>
      <c r="E42" s="29" t="s">
        <v>607</v>
      </c>
      <c r="F42" s="22" t="s">
        <v>248</v>
      </c>
      <c r="G42" s="22">
        <v>15.0</v>
      </c>
      <c r="H42" s="22">
        <f t="array" ref="H42">IFERROR(INDEX('Hub CPC 226'!A:A, MATCH(C42, 'Hub CPC 226'!B:B, 0)), "")</f>
        <v>44</v>
      </c>
      <c r="I42" s="22">
        <f t="array" ref="I42">IFERROR(INDEX('Hub Users 226'!A:A, MATCH(C42, 'Hub Users 226'!B:B, 0)), "")</f>
        <v>64</v>
      </c>
      <c r="J42" s="22" t="s">
        <v>608</v>
      </c>
      <c r="K42" s="23" t="s">
        <v>609</v>
      </c>
      <c r="L42" s="25">
        <v>43338.743055555555</v>
      </c>
      <c r="M42" s="23"/>
      <c r="N42" s="23"/>
      <c r="O42" s="23"/>
      <c r="P42" s="23"/>
      <c r="Q42" s="22" t="s">
        <v>607</v>
      </c>
      <c r="R42" s="22"/>
      <c r="S42" s="24"/>
      <c r="T42" s="24"/>
      <c r="U42" s="22" t="s">
        <v>610</v>
      </c>
      <c r="V42" s="26" t="s">
        <v>242</v>
      </c>
      <c r="W42" s="35" t="s">
        <v>611</v>
      </c>
      <c r="X42" s="26" t="s">
        <v>244</v>
      </c>
      <c r="Y42" s="23"/>
      <c r="Z42" s="28"/>
      <c r="AA42" s="23"/>
      <c r="AB42" s="23" t="str">
        <f>IFERROR(__xludf.DUMMYFUNCTION("IF(
ISNUMBER(MATCH(
C42,
IMPORTRANGE(""https://docs.google.com/spreadsheets/d/1yTh1ELC33JHYOeEdgIiEclxPRyh0zOKtlawDltfUay8"",""'Champions'!A:A""),
0
)),
""Outreach Conducted"",
"""")"),"")</f>
        <v/>
      </c>
      <c r="AC42" s="23"/>
      <c r="AD42" s="23"/>
      <c r="AE42" s="23"/>
      <c r="AF42" s="23"/>
      <c r="AG42" s="23"/>
      <c r="AH42" s="23"/>
      <c r="AI42" s="23"/>
      <c r="AJ42" s="23"/>
      <c r="AK42" s="23"/>
      <c r="AL42" s="23"/>
    </row>
    <row r="43" hidden="1">
      <c r="A43" s="22" t="s">
        <v>612</v>
      </c>
      <c r="B43" s="22" t="s">
        <v>613</v>
      </c>
      <c r="C43" s="23" t="str">
        <f t="shared" si="1"/>
        <v>Arturo Paniagua</v>
      </c>
      <c r="D43" s="22">
        <v>1.2097126225E10</v>
      </c>
      <c r="E43" s="29" t="s">
        <v>614</v>
      </c>
      <c r="F43" s="22" t="s">
        <v>248</v>
      </c>
      <c r="G43" s="22">
        <v>563.0</v>
      </c>
      <c r="H43" s="22">
        <f t="array" ref="H43">IFERROR(INDEX('Hub CPC 226'!A:A, MATCH(C43, 'Hub CPC 226'!B:B, 0)), "")</f>
        <v>45</v>
      </c>
      <c r="I43" s="22">
        <f t="array" ref="I43">IFERROR(INDEX('Hub Users 226'!A:A, MATCH(C43, 'Hub Users 226'!B:B, 0)), "")</f>
        <v>65</v>
      </c>
      <c r="J43" s="22" t="s">
        <v>260</v>
      </c>
      <c r="K43" s="23" t="s">
        <v>615</v>
      </c>
      <c r="L43" s="25">
        <v>44537.61944444444</v>
      </c>
      <c r="M43" s="23"/>
      <c r="N43" s="23"/>
      <c r="O43" s="23"/>
      <c r="P43" s="23"/>
      <c r="Q43" s="22" t="s">
        <v>616</v>
      </c>
      <c r="R43" s="22"/>
      <c r="S43" s="24"/>
      <c r="T43" s="24"/>
      <c r="U43" s="22" t="s">
        <v>617</v>
      </c>
      <c r="V43" s="26" t="s">
        <v>284</v>
      </c>
      <c r="W43" s="27" t="s">
        <v>618</v>
      </c>
      <c r="X43" s="26" t="s">
        <v>619</v>
      </c>
      <c r="Y43" s="23"/>
      <c r="Z43" s="28"/>
      <c r="AA43" s="23"/>
      <c r="AB43" s="23" t="str">
        <f>IFERROR(__xludf.DUMMYFUNCTION("IF(
ISNUMBER(MATCH(
C43,
IMPORTRANGE(""https://docs.google.com/spreadsheets/d/1yTh1ELC33JHYOeEdgIiEclxPRyh0zOKtlawDltfUay8"",""'Champions'!A:A""),
0
)),
""Outreach Conducted"",
"""")"),"")</f>
        <v/>
      </c>
      <c r="AC43" s="23"/>
      <c r="AD43" s="23"/>
      <c r="AE43" s="23"/>
      <c r="AF43" s="23"/>
      <c r="AG43" s="23"/>
      <c r="AH43" s="23"/>
      <c r="AI43" s="23"/>
      <c r="AJ43" s="23"/>
      <c r="AK43" s="23"/>
      <c r="AL43" s="23"/>
    </row>
    <row r="44" hidden="1">
      <c r="A44" s="22" t="s">
        <v>620</v>
      </c>
      <c r="B44" s="22" t="s">
        <v>621</v>
      </c>
      <c r="C44" s="23" t="str">
        <f t="shared" si="1"/>
        <v>Asha Nair</v>
      </c>
      <c r="D44" s="22">
        <v>7.324213309E9</v>
      </c>
      <c r="E44" s="29" t="s">
        <v>622</v>
      </c>
      <c r="F44" s="22" t="s">
        <v>238</v>
      </c>
      <c r="G44" s="22">
        <v>11.0</v>
      </c>
      <c r="H44" s="22" t="str">
        <f t="array" ref="H44">IFERROR(INDEX('Hub CPC 226'!A:A, MATCH(C44, 'Hub CPC 226'!B:B, 0)), "")</f>
        <v/>
      </c>
      <c r="I44" s="22">
        <f t="array" ref="I44">IFERROR(INDEX('Hub Users 226'!A:A, MATCH(C44, 'Hub Users 226'!B:B, 0)), "")</f>
        <v>66</v>
      </c>
      <c r="J44" s="22" t="s">
        <v>260</v>
      </c>
      <c r="K44" s="23" t="s">
        <v>623</v>
      </c>
      <c r="L44" s="25">
        <v>43338.743055555555</v>
      </c>
      <c r="M44" s="23"/>
      <c r="N44" s="23"/>
      <c r="O44" s="23"/>
      <c r="P44" s="23"/>
      <c r="Q44" s="22" t="s">
        <v>624</v>
      </c>
      <c r="R44" s="22"/>
      <c r="S44" s="22" t="s">
        <v>625</v>
      </c>
      <c r="T44" s="22" t="s">
        <v>626</v>
      </c>
      <c r="U44" s="22" t="s">
        <v>627</v>
      </c>
      <c r="V44" s="26" t="s">
        <v>242</v>
      </c>
      <c r="W44" s="27" t="s">
        <v>628</v>
      </c>
      <c r="X44" s="26" t="s">
        <v>629</v>
      </c>
      <c r="Y44" s="23"/>
      <c r="Z44" s="28"/>
      <c r="AA44" s="23"/>
      <c r="AB44" s="23" t="str">
        <f>IFERROR(__xludf.DUMMYFUNCTION("IF(
ISNUMBER(MATCH(
C44,
IMPORTRANGE(""https://docs.google.com/spreadsheets/d/1yTh1ELC33JHYOeEdgIiEclxPRyh0zOKtlawDltfUay8"",""'Champions'!A:A""),
0
)),
""Outreach Conducted"",
"""")"),"")</f>
        <v/>
      </c>
      <c r="AC44" s="23"/>
      <c r="AD44" s="23"/>
      <c r="AE44" s="23"/>
      <c r="AF44" s="23"/>
      <c r="AG44" s="23"/>
      <c r="AH44" s="23"/>
      <c r="AI44" s="23"/>
      <c r="AJ44" s="23"/>
      <c r="AK44" s="23"/>
      <c r="AL44" s="23"/>
    </row>
    <row r="45" hidden="1">
      <c r="A45" s="22" t="s">
        <v>567</v>
      </c>
      <c r="B45" s="22" t="s">
        <v>630</v>
      </c>
      <c r="C45" s="23" t="str">
        <f t="shared" si="1"/>
        <v>Anna Stolbova</v>
      </c>
      <c r="D45" s="22" t="s">
        <v>631</v>
      </c>
      <c r="E45" s="29" t="s">
        <v>632</v>
      </c>
      <c r="F45" s="22" t="s">
        <v>399</v>
      </c>
      <c r="G45" s="22">
        <v>137.0</v>
      </c>
      <c r="H45" s="22">
        <f t="array" ref="H45">IFERROR(INDEX('Hub CPC 226'!A:A, MATCH(C45, 'Hub CPC 226'!B:B, 0)), "")</f>
        <v>47</v>
      </c>
      <c r="I45" s="22">
        <f t="array" ref="I45">IFERROR(INDEX('Hub Users 226'!A:A, MATCH(C45, 'Hub Users 226'!B:B, 0)), "")</f>
        <v>67</v>
      </c>
      <c r="J45" s="22" t="s">
        <v>107</v>
      </c>
      <c r="K45" s="23" t="s">
        <v>633</v>
      </c>
      <c r="L45" s="25">
        <v>43590.63333333333</v>
      </c>
      <c r="M45" s="28"/>
      <c r="N45" s="28"/>
      <c r="O45" s="28"/>
      <c r="P45" s="31"/>
      <c r="Q45" s="22" t="s">
        <v>634</v>
      </c>
      <c r="R45" s="22" t="s">
        <v>634</v>
      </c>
      <c r="S45" s="22" t="s">
        <v>635</v>
      </c>
      <c r="T45" s="22" t="s">
        <v>272</v>
      </c>
      <c r="U45" s="22" t="s">
        <v>636</v>
      </c>
      <c r="V45" s="23"/>
      <c r="W45" s="23"/>
      <c r="X45" s="23"/>
      <c r="Y45" s="23"/>
      <c r="Z45" s="23"/>
      <c r="AA45" s="23"/>
      <c r="AB45" s="23" t="str">
        <f>IFERROR(__xludf.DUMMYFUNCTION("IF(
ISNUMBER(MATCH(
C45,
IMPORTRANGE(""https://docs.google.com/spreadsheets/d/1yTh1ELC33JHYOeEdgIiEclxPRyh0zOKtlawDltfUay8"",""'Champions'!A:A""),
0
)),
""Outreach Conducted"",
"""")"),"")</f>
        <v/>
      </c>
      <c r="AC45" s="23"/>
      <c r="AD45" s="23"/>
      <c r="AE45" s="23"/>
      <c r="AF45" s="23"/>
      <c r="AG45" s="23"/>
      <c r="AH45" s="23"/>
      <c r="AI45" s="23"/>
      <c r="AJ45" s="23"/>
      <c r="AK45" s="23"/>
      <c r="AL45" s="23"/>
    </row>
    <row r="46" hidden="1">
      <c r="A46" s="22" t="s">
        <v>637</v>
      </c>
      <c r="B46" s="22" t="s">
        <v>638</v>
      </c>
      <c r="C46" s="23" t="str">
        <f t="shared" si="1"/>
        <v>AUGUSTO SALCEDO</v>
      </c>
      <c r="D46" s="22">
        <v>5.1933538927E10</v>
      </c>
      <c r="E46" s="29" t="s">
        <v>639</v>
      </c>
      <c r="F46" s="22" t="s">
        <v>248</v>
      </c>
      <c r="G46" s="22">
        <v>500.0</v>
      </c>
      <c r="H46" s="22">
        <f t="array" ref="H46">IFERROR(INDEX('Hub CPC 226'!A:A, MATCH(C46, 'Hub CPC 226'!B:B, 0)), "")</f>
        <v>48</v>
      </c>
      <c r="I46" s="22">
        <f t="array" ref="I46">IFERROR(INDEX('Hub Users 226'!A:A, MATCH(C46, 'Hub Users 226'!B:B, 0)), "")</f>
        <v>68</v>
      </c>
      <c r="J46" s="22" t="s">
        <v>407</v>
      </c>
      <c r="K46" s="23" t="s">
        <v>640</v>
      </c>
      <c r="L46" s="25">
        <v>44456.669444444444</v>
      </c>
      <c r="M46" s="23"/>
      <c r="N46" s="23"/>
      <c r="O46" s="23"/>
      <c r="P46" s="23"/>
      <c r="Q46" s="22" t="s">
        <v>641</v>
      </c>
      <c r="R46" s="22" t="s">
        <v>642</v>
      </c>
      <c r="S46" s="24"/>
      <c r="T46" s="24"/>
      <c r="U46" s="22" t="s">
        <v>643</v>
      </c>
      <c r="V46" s="26" t="s">
        <v>644</v>
      </c>
      <c r="W46" s="27" t="s">
        <v>645</v>
      </c>
      <c r="X46" s="26" t="s">
        <v>646</v>
      </c>
      <c r="Y46" s="23"/>
      <c r="Z46" s="28"/>
      <c r="AA46" s="23"/>
      <c r="AB46" s="23" t="str">
        <f>IFERROR(__xludf.DUMMYFUNCTION("IF(
ISNUMBER(MATCH(
C46,
IMPORTRANGE(""https://docs.google.com/spreadsheets/d/1yTh1ELC33JHYOeEdgIiEclxPRyh0zOKtlawDltfUay8"",""'Champions'!A:A""),
0
)),
""Outreach Conducted"",
"""")"),"")</f>
        <v/>
      </c>
      <c r="AC46" s="23"/>
      <c r="AD46" s="23"/>
      <c r="AE46" s="23"/>
      <c r="AF46" s="23"/>
      <c r="AG46" s="23"/>
      <c r="AH46" s="23"/>
      <c r="AI46" s="23"/>
      <c r="AJ46" s="23"/>
      <c r="AK46" s="23"/>
      <c r="AL46" s="23"/>
    </row>
    <row r="47" hidden="1">
      <c r="A47" s="22" t="s">
        <v>647</v>
      </c>
      <c r="B47" s="22" t="s">
        <v>648</v>
      </c>
      <c r="C47" s="23" t="str">
        <f t="shared" si="1"/>
        <v>Muhammad Awais</v>
      </c>
      <c r="D47" s="24"/>
      <c r="E47" s="29" t="s">
        <v>649</v>
      </c>
      <c r="F47" s="22" t="s">
        <v>248</v>
      </c>
      <c r="G47" s="22">
        <v>726.0</v>
      </c>
      <c r="H47" s="22">
        <f t="array" ref="H47">IFERROR(INDEX('Hub CPC 226'!A:A, MATCH(C47, 'Hub CPC 226'!B:B, 0)), "")</f>
        <v>49</v>
      </c>
      <c r="I47" s="22">
        <f t="array" ref="I47">IFERROR(INDEX('Hub Users 226'!A:A, MATCH(C47, 'Hub Users 226'!B:B, 0)), "")</f>
        <v>69</v>
      </c>
      <c r="J47" s="22" t="s">
        <v>290</v>
      </c>
      <c r="K47" s="23" t="s">
        <v>650</v>
      </c>
      <c r="L47" s="25">
        <v>45047.59375</v>
      </c>
      <c r="M47" s="23"/>
      <c r="N47" s="23"/>
      <c r="O47" s="23"/>
      <c r="P47" s="23"/>
      <c r="Q47" s="24"/>
      <c r="R47" s="22" t="s">
        <v>651</v>
      </c>
      <c r="S47" s="24"/>
      <c r="T47" s="24"/>
      <c r="U47" s="22" t="s">
        <v>652</v>
      </c>
      <c r="V47" s="23"/>
      <c r="W47" s="23"/>
      <c r="X47" s="23"/>
      <c r="Y47" s="23"/>
      <c r="Z47" s="28"/>
      <c r="AA47" s="23"/>
      <c r="AB47" s="23" t="str">
        <f>IFERROR(__xludf.DUMMYFUNCTION("IF(
ISNUMBER(MATCH(
C47,
IMPORTRANGE(""https://docs.google.com/spreadsheets/d/1yTh1ELC33JHYOeEdgIiEclxPRyh0zOKtlawDltfUay8"",""'Champions'!A:A""),
0
)),
""Outreach Conducted"",
"""")"),"")</f>
        <v/>
      </c>
      <c r="AC47" s="23"/>
      <c r="AD47" s="23"/>
      <c r="AE47" s="23"/>
      <c r="AF47" s="23"/>
      <c r="AG47" s="23"/>
      <c r="AH47" s="23"/>
      <c r="AI47" s="23"/>
      <c r="AJ47" s="23"/>
      <c r="AK47" s="23"/>
      <c r="AL47" s="23"/>
    </row>
    <row r="48" hidden="1">
      <c r="A48" s="22" t="s">
        <v>653</v>
      </c>
      <c r="B48" s="22" t="s">
        <v>654</v>
      </c>
      <c r="C48" s="23" t="str">
        <f t="shared" si="1"/>
        <v>Aya Elawad</v>
      </c>
      <c r="D48" s="22">
        <v>8.5262069177E10</v>
      </c>
      <c r="E48" s="29" t="s">
        <v>655</v>
      </c>
      <c r="F48" s="22" t="s">
        <v>399</v>
      </c>
      <c r="G48" s="22">
        <v>586.0</v>
      </c>
      <c r="H48" s="22">
        <f t="array" ref="H48">IFERROR(INDEX('Hub CPC 226'!A:A, MATCH(C48, 'Hub CPC 226'!B:B, 0)), "")</f>
        <v>50</v>
      </c>
      <c r="I48" s="22">
        <f t="array" ref="I48">IFERROR(INDEX('Hub Users 226'!A:A, MATCH(C48, 'Hub Users 226'!B:B, 0)), "")</f>
        <v>70</v>
      </c>
      <c r="J48" s="22" t="s">
        <v>260</v>
      </c>
      <c r="K48" s="23" t="s">
        <v>656</v>
      </c>
      <c r="L48" s="25">
        <v>44567.32638888889</v>
      </c>
      <c r="M48" s="23"/>
      <c r="N48" s="23"/>
      <c r="O48" s="23"/>
      <c r="P48" s="23"/>
      <c r="Q48" s="22" t="s">
        <v>657</v>
      </c>
      <c r="R48" s="22" t="s">
        <v>658</v>
      </c>
      <c r="S48" s="24"/>
      <c r="T48" s="24"/>
      <c r="U48" s="22" t="s">
        <v>50</v>
      </c>
      <c r="V48" s="23"/>
      <c r="W48" s="23"/>
      <c r="X48" s="23"/>
      <c r="Y48" s="23"/>
      <c r="Z48" s="23"/>
      <c r="AA48" s="23"/>
      <c r="AB48" s="23" t="str">
        <f>IFERROR(__xludf.DUMMYFUNCTION("IF(
ISNUMBER(MATCH(
C48,
IMPORTRANGE(""https://docs.google.com/spreadsheets/d/1yTh1ELC33JHYOeEdgIiEclxPRyh0zOKtlawDltfUay8"",""'Champions'!A:A""),
0
)),
""Outreach Conducted"",
"""")"),"")</f>
        <v/>
      </c>
      <c r="AC48" s="23"/>
      <c r="AD48" s="23"/>
      <c r="AE48" s="23"/>
      <c r="AF48" s="23"/>
      <c r="AG48" s="23"/>
      <c r="AH48" s="23"/>
      <c r="AI48" s="23"/>
      <c r="AJ48" s="23"/>
      <c r="AK48" s="23"/>
      <c r="AL48" s="23"/>
    </row>
    <row r="49" hidden="1">
      <c r="A49" s="22" t="s">
        <v>659</v>
      </c>
      <c r="B49" s="22" t="s">
        <v>660</v>
      </c>
      <c r="C49" s="23" t="str">
        <f t="shared" si="1"/>
        <v>Dima Al Ayderous</v>
      </c>
      <c r="D49" s="22" t="s">
        <v>661</v>
      </c>
      <c r="E49" s="29" t="s">
        <v>662</v>
      </c>
      <c r="F49" s="22" t="s">
        <v>248</v>
      </c>
      <c r="G49" s="22">
        <v>143.0</v>
      </c>
      <c r="H49" s="22">
        <f t="array" ref="H49">IFERROR(INDEX('Hub CPC 226'!A:A, MATCH(C49, 'Hub CPC 226'!B:B, 0)), "")</f>
        <v>51</v>
      </c>
      <c r="I49" s="22">
        <f t="array" ref="I49">IFERROR(INDEX('Hub Users 226'!A:A, MATCH(C49, 'Hub Users 226'!B:B, 0)), "")</f>
        <v>71</v>
      </c>
      <c r="J49" s="22" t="s">
        <v>302</v>
      </c>
      <c r="K49" s="23" t="s">
        <v>663</v>
      </c>
      <c r="L49" s="25">
        <v>43590.634722222225</v>
      </c>
      <c r="M49" s="23"/>
      <c r="N49" s="23"/>
      <c r="O49" s="23"/>
      <c r="P49" s="23"/>
      <c r="Q49" s="22" t="s">
        <v>664</v>
      </c>
      <c r="R49" s="22" t="s">
        <v>305</v>
      </c>
      <c r="S49" s="22" t="s">
        <v>305</v>
      </c>
      <c r="T49" s="22" t="s">
        <v>252</v>
      </c>
      <c r="U49" s="22" t="s">
        <v>665</v>
      </c>
      <c r="V49" s="26" t="s">
        <v>666</v>
      </c>
      <c r="W49" s="27" t="s">
        <v>667</v>
      </c>
      <c r="X49" s="26" t="s">
        <v>668</v>
      </c>
      <c r="Y49" s="23"/>
      <c r="Z49" s="28"/>
      <c r="AA49" s="23"/>
      <c r="AB49" s="23" t="str">
        <f>IFERROR(__xludf.DUMMYFUNCTION("IF(
ISNUMBER(MATCH(
C49,
IMPORTRANGE(""https://docs.google.com/spreadsheets/d/1yTh1ELC33JHYOeEdgIiEclxPRyh0zOKtlawDltfUay8"",""'Champions'!A:A""),
0
)),
""Outreach Conducted"",
"""")"),"")</f>
        <v/>
      </c>
      <c r="AC49" s="23"/>
      <c r="AD49" s="23"/>
      <c r="AE49" s="23"/>
      <c r="AF49" s="23"/>
      <c r="AG49" s="23"/>
      <c r="AH49" s="23"/>
      <c r="AI49" s="23"/>
      <c r="AJ49" s="23"/>
      <c r="AK49" s="23"/>
      <c r="AL49" s="23"/>
    </row>
    <row r="50" hidden="1">
      <c r="A50" s="22" t="s">
        <v>669</v>
      </c>
      <c r="B50" s="22" t="s">
        <v>670</v>
      </c>
      <c r="C50" s="23" t="str">
        <f t="shared" si="1"/>
        <v>Azikiwe Rich</v>
      </c>
      <c r="D50" s="22">
        <v>9.179741379E9</v>
      </c>
      <c r="E50" s="29" t="s">
        <v>671</v>
      </c>
      <c r="F50" s="22" t="s">
        <v>248</v>
      </c>
      <c r="G50" s="22">
        <v>646.0</v>
      </c>
      <c r="H50" s="22" t="str">
        <f t="array" ref="H50">IFERROR(INDEX('Hub CPC 226'!A:A, MATCH(C50, 'Hub CPC 226'!B:B, 0)), "")</f>
        <v/>
      </c>
      <c r="I50" s="22">
        <f t="array" ref="I50">IFERROR(INDEX('Hub Users 226'!A:A, MATCH(C50, 'Hub Users 226'!B:B, 0)), "")</f>
        <v>72</v>
      </c>
      <c r="J50" s="22" t="s">
        <v>407</v>
      </c>
      <c r="K50" s="23" t="s">
        <v>672</v>
      </c>
      <c r="L50" s="25">
        <v>44678.58125</v>
      </c>
      <c r="M50" s="23"/>
      <c r="N50" s="23"/>
      <c r="O50" s="23"/>
      <c r="P50" s="23"/>
      <c r="Q50" s="22" t="s">
        <v>673</v>
      </c>
      <c r="R50" s="22" t="s">
        <v>674</v>
      </c>
      <c r="S50" s="22" t="s">
        <v>391</v>
      </c>
      <c r="T50" s="22" t="s">
        <v>241</v>
      </c>
      <c r="U50" s="22" t="s">
        <v>675</v>
      </c>
      <c r="V50" s="26" t="s">
        <v>676</v>
      </c>
      <c r="W50" s="27" t="s">
        <v>677</v>
      </c>
      <c r="X50" s="26" t="s">
        <v>678</v>
      </c>
      <c r="Y50" s="23"/>
      <c r="Z50" s="28"/>
      <c r="AA50" s="23"/>
      <c r="AB50" s="23" t="str">
        <f>IFERROR(__xludf.DUMMYFUNCTION("IF(
ISNUMBER(MATCH(
C50,
IMPORTRANGE(""https://docs.google.com/spreadsheets/d/1yTh1ELC33JHYOeEdgIiEclxPRyh0zOKtlawDltfUay8"",""'Champions'!A:A""),
0
)),
""Outreach Conducted"",
"""")"),"")</f>
        <v/>
      </c>
      <c r="AC50" s="23"/>
      <c r="AD50" s="23"/>
      <c r="AE50" s="23"/>
      <c r="AF50" s="23"/>
      <c r="AG50" s="23"/>
      <c r="AH50" s="23"/>
      <c r="AI50" s="23"/>
      <c r="AJ50" s="23"/>
      <c r="AK50" s="23"/>
      <c r="AL50" s="23"/>
    </row>
    <row r="51" hidden="1">
      <c r="A51" s="22" t="s">
        <v>679</v>
      </c>
      <c r="B51" s="22" t="s">
        <v>680</v>
      </c>
      <c r="C51" s="23" t="str">
        <f t="shared" si="1"/>
        <v>Sara Benavent</v>
      </c>
      <c r="D51" s="22">
        <v>3.3673503357E10</v>
      </c>
      <c r="E51" s="29" t="s">
        <v>681</v>
      </c>
      <c r="F51" s="22" t="s">
        <v>238</v>
      </c>
      <c r="G51" s="22">
        <v>432.0</v>
      </c>
      <c r="H51" s="22">
        <f t="array" ref="H51">IFERROR(INDEX('Hub CPC 226'!A:A, MATCH(C51, 'Hub CPC 226'!B:B, 0)), "")</f>
        <v>53</v>
      </c>
      <c r="I51" s="22">
        <f t="array" ref="I51">IFERROR(INDEX('Hub Users 226'!A:A, MATCH(C51, 'Hub Users 226'!B:B, 0)), "")</f>
        <v>73</v>
      </c>
      <c r="J51" s="22" t="s">
        <v>240</v>
      </c>
      <c r="K51" s="23" t="s">
        <v>682</v>
      </c>
      <c r="L51" s="25">
        <v>44218.498611111114</v>
      </c>
      <c r="M51" s="23"/>
      <c r="N51" s="23"/>
      <c r="O51" s="23"/>
      <c r="P51" s="23"/>
      <c r="Q51" s="22" t="s">
        <v>683</v>
      </c>
      <c r="R51" s="22"/>
      <c r="S51" s="24"/>
      <c r="T51" s="24"/>
      <c r="U51" s="22" t="s">
        <v>403</v>
      </c>
      <c r="V51" s="26" t="s">
        <v>360</v>
      </c>
      <c r="W51" s="27" t="s">
        <v>684</v>
      </c>
      <c r="X51" s="26" t="s">
        <v>685</v>
      </c>
      <c r="Y51" s="23"/>
      <c r="Z51" s="28"/>
      <c r="AA51" s="23"/>
      <c r="AB51" s="23" t="str">
        <f>IFERROR(__xludf.DUMMYFUNCTION("IF(
ISNUMBER(MATCH(
C51,
IMPORTRANGE(""https://docs.google.com/spreadsheets/d/1yTh1ELC33JHYOeEdgIiEclxPRyh0zOKtlawDltfUay8"",""'Champions'!A:A""),
0
)),
""Outreach Conducted"",
"""")"),"")</f>
        <v/>
      </c>
      <c r="AC51" s="23"/>
      <c r="AD51" s="23"/>
      <c r="AE51" s="23"/>
      <c r="AF51" s="23"/>
      <c r="AG51" s="23"/>
      <c r="AH51" s="23"/>
      <c r="AI51" s="23"/>
      <c r="AJ51" s="23"/>
      <c r="AK51" s="23"/>
      <c r="AL51" s="23"/>
    </row>
    <row r="52" hidden="1">
      <c r="A52" s="22" t="s">
        <v>686</v>
      </c>
      <c r="B52" s="22" t="s">
        <v>687</v>
      </c>
      <c r="C52" s="23" t="str">
        <f t="shared" si="1"/>
        <v>Benjamin Curtis</v>
      </c>
      <c r="D52" s="22">
        <v>1.7206081229E10</v>
      </c>
      <c r="E52" s="29" t="s">
        <v>688</v>
      </c>
      <c r="F52" s="22" t="s">
        <v>238</v>
      </c>
      <c r="G52" s="22">
        <v>492.0</v>
      </c>
      <c r="H52" s="22">
        <f t="array" ref="H52">IFERROR(INDEX('Hub CPC 226'!A:A, MATCH(C52, 'Hub CPC 226'!B:B, 0)), "")</f>
        <v>54</v>
      </c>
      <c r="I52" s="22">
        <f t="array" ref="I52">IFERROR(INDEX('Hub Users 226'!A:A, MATCH(C52, 'Hub Users 226'!B:B, 0)), "")</f>
        <v>74</v>
      </c>
      <c r="J52" s="22" t="s">
        <v>608</v>
      </c>
      <c r="K52" s="28" t="s">
        <v>689</v>
      </c>
      <c r="L52" s="25">
        <v>44431.65416666667</v>
      </c>
      <c r="M52" s="23"/>
      <c r="N52" s="23"/>
      <c r="O52" s="23"/>
      <c r="P52" s="23"/>
      <c r="Q52" s="22" t="s">
        <v>690</v>
      </c>
      <c r="R52" s="22" t="s">
        <v>691</v>
      </c>
      <c r="S52" s="22" t="s">
        <v>692</v>
      </c>
      <c r="T52" s="22" t="s">
        <v>501</v>
      </c>
      <c r="U52" s="22" t="s">
        <v>693</v>
      </c>
      <c r="V52" s="26" t="s">
        <v>284</v>
      </c>
      <c r="W52" s="27" t="s">
        <v>694</v>
      </c>
      <c r="X52" s="26" t="s">
        <v>619</v>
      </c>
      <c r="Y52" s="23"/>
      <c r="Z52" s="28"/>
      <c r="AA52" s="23"/>
      <c r="AB52" s="23" t="str">
        <f>IFERROR(__xludf.DUMMYFUNCTION("IF(
ISNUMBER(MATCH(
C52,
IMPORTRANGE(""https://docs.google.com/spreadsheets/d/1yTh1ELC33JHYOeEdgIiEclxPRyh0zOKtlawDltfUay8"",""'Champions'!A:A""),
0
)),
""Outreach Conducted"",
"""")"),"")</f>
        <v/>
      </c>
      <c r="AC52" s="23"/>
      <c r="AD52" s="23"/>
      <c r="AE52" s="23"/>
      <c r="AF52" s="23"/>
      <c r="AG52" s="23"/>
      <c r="AH52" s="23"/>
      <c r="AI52" s="23"/>
      <c r="AJ52" s="23"/>
      <c r="AK52" s="23"/>
      <c r="AL52" s="23"/>
    </row>
    <row r="53" hidden="1">
      <c r="A53" s="22" t="s">
        <v>695</v>
      </c>
      <c r="B53" s="22" t="s">
        <v>696</v>
      </c>
      <c r="C53" s="23" t="str">
        <f t="shared" si="1"/>
        <v>Bhakti Pitre</v>
      </c>
      <c r="D53" s="22">
        <v>7.815021841E9</v>
      </c>
      <c r="E53" s="29" t="s">
        <v>697</v>
      </c>
      <c r="F53" s="22" t="s">
        <v>248</v>
      </c>
      <c r="G53" s="22">
        <v>718.0</v>
      </c>
      <c r="H53" s="22">
        <f t="array" ref="H53">IFERROR(INDEX('Hub CPC 226'!A:A, MATCH(C53, 'Hub CPC 226'!B:B, 0)), "")</f>
        <v>55</v>
      </c>
      <c r="I53" s="22">
        <f t="array" ref="I53">IFERROR(INDEX('Hub Users 226'!A:A, MATCH(C53, 'Hub Users 226'!B:B, 0)), "")</f>
        <v>75</v>
      </c>
      <c r="J53" s="22" t="s">
        <v>107</v>
      </c>
      <c r="K53" s="23" t="s">
        <v>698</v>
      </c>
      <c r="L53" s="25">
        <v>45019.600694444445</v>
      </c>
      <c r="M53" s="23"/>
      <c r="N53" s="23"/>
      <c r="O53" s="23"/>
      <c r="P53" s="23"/>
      <c r="Q53" s="22" t="s">
        <v>699</v>
      </c>
      <c r="R53" s="22" t="s">
        <v>700</v>
      </c>
      <c r="S53" s="22" t="s">
        <v>701</v>
      </c>
      <c r="T53" s="22" t="s">
        <v>252</v>
      </c>
      <c r="U53" s="22" t="s">
        <v>702</v>
      </c>
      <c r="V53" s="26" t="s">
        <v>475</v>
      </c>
      <c r="W53" s="27" t="s">
        <v>703</v>
      </c>
      <c r="X53" s="26" t="s">
        <v>704</v>
      </c>
      <c r="Y53" s="23"/>
      <c r="Z53" s="28"/>
      <c r="AA53" s="23"/>
      <c r="AB53" s="23" t="str">
        <f>IFERROR(__xludf.DUMMYFUNCTION("IF(
ISNUMBER(MATCH(
C53,
IMPORTRANGE(""https://docs.google.com/spreadsheets/d/1yTh1ELC33JHYOeEdgIiEclxPRyh0zOKtlawDltfUay8"",""'Champions'!A:A""),
0
)),
""Outreach Conducted"",
"""")"),"")</f>
        <v/>
      </c>
      <c r="AC53" s="23"/>
      <c r="AD53" s="26" t="s">
        <v>448</v>
      </c>
      <c r="AE53" s="28" t="s">
        <v>705</v>
      </c>
      <c r="AF53" s="28" t="s">
        <v>449</v>
      </c>
      <c r="AG53" s="28" t="s">
        <v>706</v>
      </c>
      <c r="AH53" s="23"/>
      <c r="AI53" s="23"/>
      <c r="AJ53" s="23"/>
      <c r="AK53" s="23"/>
      <c r="AL53" s="23"/>
    </row>
    <row r="54" hidden="1">
      <c r="A54" s="22" t="s">
        <v>707</v>
      </c>
      <c r="B54" s="22" t="s">
        <v>708</v>
      </c>
      <c r="C54" s="23" t="str">
        <f t="shared" si="1"/>
        <v>Bhavna Mohan Agnihotri</v>
      </c>
      <c r="D54" s="22" t="s">
        <v>709</v>
      </c>
      <c r="E54" s="22" t="s">
        <v>710</v>
      </c>
      <c r="F54" s="22" t="s">
        <v>248</v>
      </c>
      <c r="G54" s="22">
        <v>26.0</v>
      </c>
      <c r="H54" s="22">
        <f t="array" ref="H54">IFERROR(INDEX('Hub CPC 226'!A:A, MATCH(C54, 'Hub CPC 226'!B:B, 0)), "")</f>
        <v>56</v>
      </c>
      <c r="I54" s="22">
        <f t="array" ref="I54">IFERROR(INDEX('Hub Users 226'!A:A, MATCH(C54, 'Hub Users 226'!B:B, 0)), "")</f>
        <v>76</v>
      </c>
      <c r="J54" s="22" t="s">
        <v>239</v>
      </c>
      <c r="K54" s="28" t="s">
        <v>711</v>
      </c>
      <c r="L54" s="25">
        <v>43338.743055555555</v>
      </c>
      <c r="M54" s="28">
        <v>6.0</v>
      </c>
      <c r="N54" s="28">
        <v>14.0</v>
      </c>
      <c r="O54" s="28">
        <v>28.0</v>
      </c>
      <c r="P54" s="32">
        <v>29.0</v>
      </c>
      <c r="Q54" s="22" t="s">
        <v>712</v>
      </c>
      <c r="R54" s="22" t="s">
        <v>271</v>
      </c>
      <c r="S54" s="22" t="s">
        <v>713</v>
      </c>
      <c r="T54" s="22" t="s">
        <v>272</v>
      </c>
      <c r="U54" s="22" t="s">
        <v>714</v>
      </c>
      <c r="V54" s="26" t="s">
        <v>715</v>
      </c>
      <c r="W54" s="27" t="s">
        <v>716</v>
      </c>
      <c r="X54" s="26" t="s">
        <v>717</v>
      </c>
      <c r="Y54" s="23"/>
      <c r="Z54" s="28"/>
      <c r="AA54" s="23"/>
      <c r="AB54" s="23" t="str">
        <f>IFERROR(__xludf.DUMMYFUNCTION("IF(
ISNUMBER(MATCH(
C54,
IMPORTRANGE(""https://docs.google.com/spreadsheets/d/1yTh1ELC33JHYOeEdgIiEclxPRyh0zOKtlawDltfUay8"",""'Champions'!A:A""),
0
)),
""Outreach Conducted"",
"""")"),"")</f>
        <v/>
      </c>
      <c r="AC54" s="23"/>
      <c r="AD54" s="23"/>
      <c r="AE54" s="23"/>
      <c r="AF54" s="23"/>
      <c r="AG54" s="23"/>
      <c r="AH54" s="23"/>
      <c r="AI54" s="23"/>
      <c r="AJ54" s="23"/>
      <c r="AK54" s="23"/>
      <c r="AL54" s="23"/>
    </row>
    <row r="55" hidden="1">
      <c r="A55" s="22" t="s">
        <v>718</v>
      </c>
      <c r="B55" s="22" t="s">
        <v>719</v>
      </c>
      <c r="C55" s="23" t="str">
        <f t="shared" si="1"/>
        <v>Bindu Krishna</v>
      </c>
      <c r="D55" s="22">
        <v>1.9177150901E10</v>
      </c>
      <c r="E55" s="29" t="s">
        <v>720</v>
      </c>
      <c r="F55" s="22" t="s">
        <v>248</v>
      </c>
      <c r="G55" s="22">
        <v>609.0</v>
      </c>
      <c r="H55" s="22">
        <f t="array" ref="H55">IFERROR(INDEX('Hub CPC 226'!A:A, MATCH(C55, 'Hub CPC 226'!B:B, 0)), "")</f>
        <v>57</v>
      </c>
      <c r="I55" s="22">
        <f t="array" ref="I55">IFERROR(INDEX('Hub Users 226'!A:A, MATCH(C55, 'Hub Users 226'!B:B, 0)), "")</f>
        <v>77</v>
      </c>
      <c r="J55" s="22" t="s">
        <v>107</v>
      </c>
      <c r="K55" s="23" t="s">
        <v>721</v>
      </c>
      <c r="L55" s="25">
        <v>44585.736805555556</v>
      </c>
      <c r="M55" s="23"/>
      <c r="N55" s="23"/>
      <c r="O55" s="23"/>
      <c r="P55" s="23"/>
      <c r="Q55" s="22" t="s">
        <v>722</v>
      </c>
      <c r="R55" s="22" t="s">
        <v>723</v>
      </c>
      <c r="S55" s="22" t="s">
        <v>473</v>
      </c>
      <c r="T55" s="22" t="s">
        <v>252</v>
      </c>
      <c r="U55" s="22" t="s">
        <v>724</v>
      </c>
      <c r="V55" s="26" t="s">
        <v>725</v>
      </c>
      <c r="W55" s="27" t="s">
        <v>726</v>
      </c>
      <c r="X55" s="26" t="s">
        <v>727</v>
      </c>
      <c r="Y55" s="23"/>
      <c r="Z55" s="28"/>
      <c r="AA55" s="23"/>
      <c r="AB55" s="23" t="str">
        <f>IFERROR(__xludf.DUMMYFUNCTION("IF(
ISNUMBER(MATCH(
C55,
IMPORTRANGE(""https://docs.google.com/spreadsheets/d/1yTh1ELC33JHYOeEdgIiEclxPRyh0zOKtlawDltfUay8"",""'Champions'!A:A""),
0
)),
""Outreach Conducted"",
"""")"),"")</f>
        <v/>
      </c>
      <c r="AC55" s="23"/>
      <c r="AD55" s="23"/>
      <c r="AE55" s="23"/>
      <c r="AF55" s="23"/>
      <c r="AG55" s="23"/>
      <c r="AH55" s="23"/>
      <c r="AI55" s="23"/>
      <c r="AJ55" s="23"/>
      <c r="AK55" s="23"/>
      <c r="AL55" s="23"/>
    </row>
    <row r="56" hidden="1">
      <c r="A56" s="22" t="s">
        <v>728</v>
      </c>
      <c r="B56" s="22" t="s">
        <v>729</v>
      </c>
      <c r="C56" s="23" t="str">
        <f t="shared" si="1"/>
        <v>Brandy Fonkam</v>
      </c>
      <c r="D56" s="22">
        <v>1.6092546126E10</v>
      </c>
      <c r="E56" s="29" t="s">
        <v>730</v>
      </c>
      <c r="F56" s="22" t="s">
        <v>248</v>
      </c>
      <c r="G56" s="22">
        <v>553.0</v>
      </c>
      <c r="H56" s="22">
        <f t="array" ref="H56">IFERROR(INDEX('Hub CPC 226'!A:A, MATCH(C56, 'Hub CPC 226'!B:B, 0)), "")</f>
        <v>58</v>
      </c>
      <c r="I56" s="22">
        <f t="array" ref="I56">IFERROR(INDEX('Hub Users 226'!A:A, MATCH(C56, 'Hub Users 226'!B:B, 0)), "")</f>
        <v>78</v>
      </c>
      <c r="J56" s="22" t="s">
        <v>425</v>
      </c>
      <c r="K56" s="23" t="s">
        <v>731</v>
      </c>
      <c r="L56" s="25">
        <v>44519.43402777778</v>
      </c>
      <c r="M56" s="23"/>
      <c r="N56" s="23"/>
      <c r="O56" s="23"/>
      <c r="P56" s="23"/>
      <c r="Q56" s="22" t="s">
        <v>732</v>
      </c>
      <c r="R56" s="22" t="s">
        <v>733</v>
      </c>
      <c r="S56" s="22" t="s">
        <v>733</v>
      </c>
      <c r="T56" s="22" t="s">
        <v>241</v>
      </c>
      <c r="U56" s="22" t="s">
        <v>734</v>
      </c>
      <c r="V56" s="26" t="s">
        <v>735</v>
      </c>
      <c r="W56" s="27" t="s">
        <v>736</v>
      </c>
      <c r="X56" s="26" t="s">
        <v>737</v>
      </c>
      <c r="Y56" s="23"/>
      <c r="Z56" s="28"/>
      <c r="AA56" s="23"/>
      <c r="AB56" s="23" t="str">
        <f>IFERROR(__xludf.DUMMYFUNCTION("IF(
ISNUMBER(MATCH(
C56,
IMPORTRANGE(""https://docs.google.com/spreadsheets/d/1yTh1ELC33JHYOeEdgIiEclxPRyh0zOKtlawDltfUay8"",""'Champions'!A:A""),
0
)),
""Outreach Conducted"",
"""")"),"")</f>
        <v/>
      </c>
      <c r="AC56" s="23"/>
      <c r="AD56" s="23"/>
      <c r="AE56" s="23"/>
      <c r="AF56" s="23"/>
      <c r="AG56" s="23"/>
      <c r="AH56" s="23"/>
      <c r="AI56" s="23"/>
      <c r="AJ56" s="23"/>
      <c r="AK56" s="23"/>
      <c r="AL56" s="23"/>
    </row>
    <row r="57" hidden="1">
      <c r="A57" s="22" t="s">
        <v>738</v>
      </c>
      <c r="B57" s="22" t="s">
        <v>739</v>
      </c>
      <c r="C57" s="23" t="str">
        <f t="shared" si="1"/>
        <v>Brenda Morales</v>
      </c>
      <c r="D57" s="22">
        <v>4.052686784E9</v>
      </c>
      <c r="E57" s="29" t="s">
        <v>740</v>
      </c>
      <c r="F57" s="22" t="s">
        <v>248</v>
      </c>
      <c r="G57" s="22">
        <v>644.0</v>
      </c>
      <c r="H57" s="22" t="str">
        <f t="array" ref="H57">IFERROR(INDEX('Hub CPC 226'!A:A, MATCH(C57, 'Hub CPC 226'!B:B, 0)), "")</f>
        <v/>
      </c>
      <c r="I57" s="22">
        <f t="array" ref="I57">IFERROR(INDEX('Hub Users 226'!A:A, MATCH(C57, 'Hub Users 226'!B:B, 0)), "")</f>
        <v>79</v>
      </c>
      <c r="J57" s="22" t="s">
        <v>239</v>
      </c>
      <c r="K57" s="23" t="s">
        <v>741</v>
      </c>
      <c r="L57" s="25">
        <v>44678.57430555556</v>
      </c>
      <c r="M57" s="23"/>
      <c r="N57" s="23"/>
      <c r="O57" s="23"/>
      <c r="P57" s="23"/>
      <c r="Q57" s="24"/>
      <c r="R57" s="24"/>
      <c r="S57" s="24"/>
      <c r="T57" s="24"/>
      <c r="U57" s="24"/>
      <c r="V57" s="23"/>
      <c r="W57" s="23"/>
      <c r="X57" s="23"/>
      <c r="Y57" s="23"/>
      <c r="Z57" s="28"/>
      <c r="AA57" s="23"/>
      <c r="AB57" s="23" t="str">
        <f>IFERROR(__xludf.DUMMYFUNCTION("IF(
ISNUMBER(MATCH(
C57,
IMPORTRANGE(""https://docs.google.com/spreadsheets/d/1yTh1ELC33JHYOeEdgIiEclxPRyh0zOKtlawDltfUay8"",""'Champions'!A:A""),
0
)),
""Outreach Conducted"",
"""")"),"")</f>
        <v/>
      </c>
      <c r="AC57" s="23"/>
      <c r="AD57" s="23"/>
      <c r="AE57" s="23"/>
      <c r="AF57" s="23"/>
      <c r="AG57" s="23"/>
      <c r="AH57" s="23"/>
      <c r="AI57" s="23"/>
      <c r="AJ57" s="23"/>
      <c r="AK57" s="23"/>
      <c r="AL57" s="23"/>
    </row>
    <row r="58" hidden="1">
      <c r="A58" s="22" t="s">
        <v>742</v>
      </c>
      <c r="B58" s="22" t="s">
        <v>743</v>
      </c>
      <c r="C58" s="23" t="str">
        <f t="shared" si="1"/>
        <v>Bryan Roberts</v>
      </c>
      <c r="D58" s="22">
        <v>1.9177505342E10</v>
      </c>
      <c r="E58" s="29" t="s">
        <v>744</v>
      </c>
      <c r="F58" s="22" t="s">
        <v>248</v>
      </c>
      <c r="G58" s="22">
        <v>443.0</v>
      </c>
      <c r="H58" s="22">
        <f t="array" ref="H58">IFERROR(INDEX('Hub CPC 226'!A:A, MATCH(C58, 'Hub CPC 226'!B:B, 0)), "")</f>
        <v>60</v>
      </c>
      <c r="I58" s="22">
        <f t="array" ref="I58">IFERROR(INDEX('Hub Users 226'!A:A, MATCH(C58, 'Hub Users 226'!B:B, 0)), "")</f>
        <v>80</v>
      </c>
      <c r="J58" s="22" t="s">
        <v>260</v>
      </c>
      <c r="K58" s="23" t="s">
        <v>745</v>
      </c>
      <c r="L58" s="25">
        <v>44232.59652777778</v>
      </c>
      <c r="M58" s="28">
        <v>7.0</v>
      </c>
      <c r="N58" s="28">
        <v>25.0</v>
      </c>
      <c r="O58" s="28">
        <v>57.0</v>
      </c>
      <c r="P58" s="32">
        <v>35.0</v>
      </c>
      <c r="Q58" s="22" t="s">
        <v>746</v>
      </c>
      <c r="R58" s="22" t="s">
        <v>294</v>
      </c>
      <c r="S58" s="22" t="s">
        <v>294</v>
      </c>
      <c r="T58" s="22" t="s">
        <v>272</v>
      </c>
      <c r="U58" s="22" t="s">
        <v>747</v>
      </c>
      <c r="V58" s="26" t="s">
        <v>284</v>
      </c>
      <c r="W58" s="27" t="s">
        <v>748</v>
      </c>
      <c r="X58" s="26" t="s">
        <v>749</v>
      </c>
      <c r="Y58" s="23"/>
      <c r="Z58" s="28"/>
      <c r="AA58" s="23"/>
      <c r="AB58" s="23" t="str">
        <f>IFERROR(__xludf.DUMMYFUNCTION("IF(
ISNUMBER(MATCH(
C58,
IMPORTRANGE(""https://docs.google.com/spreadsheets/d/1yTh1ELC33JHYOeEdgIiEclxPRyh0zOKtlawDltfUay8"",""'Champions'!A:A""),
0
)),
""Outreach Conducted"",
"""")"),"")</f>
        <v/>
      </c>
      <c r="AC58" s="23"/>
      <c r="AD58" s="23"/>
      <c r="AE58" s="23"/>
      <c r="AF58" s="23"/>
      <c r="AG58" s="23"/>
      <c r="AH58" s="23"/>
      <c r="AI58" s="23"/>
      <c r="AJ58" s="23"/>
      <c r="AK58" s="23"/>
      <c r="AL58" s="23"/>
    </row>
    <row r="59" hidden="1">
      <c r="A59" s="22" t="s">
        <v>750</v>
      </c>
      <c r="B59" s="22" t="s">
        <v>751</v>
      </c>
      <c r="C59" s="23" t="str">
        <f t="shared" si="1"/>
        <v>Rex Xiong</v>
      </c>
      <c r="D59" s="22">
        <v>1.4253015566E10</v>
      </c>
      <c r="E59" s="29" t="s">
        <v>752</v>
      </c>
      <c r="F59" s="22" t="s">
        <v>248</v>
      </c>
      <c r="G59" s="22">
        <v>514.0</v>
      </c>
      <c r="H59" s="22">
        <f t="array" ref="H59">IFERROR(INDEX('Hub CPC 226'!A:A, MATCH(C59, 'Hub CPC 226'!B:B, 0)), "")</f>
        <v>61</v>
      </c>
      <c r="I59" s="22">
        <f t="array" ref="I59">IFERROR(INDEX('Hub Users 226'!A:A, MATCH(C59, 'Hub Users 226'!B:B, 0)), "")</f>
        <v>81</v>
      </c>
      <c r="J59" s="22" t="s">
        <v>425</v>
      </c>
      <c r="K59" s="23" t="s">
        <v>753</v>
      </c>
      <c r="L59" s="25">
        <v>44484.15972222222</v>
      </c>
      <c r="M59" s="23"/>
      <c r="N59" s="23"/>
      <c r="O59" s="23"/>
      <c r="P59" s="23"/>
      <c r="Q59" s="22" t="s">
        <v>754</v>
      </c>
      <c r="R59" s="22" t="s">
        <v>755</v>
      </c>
      <c r="S59" s="22" t="s">
        <v>692</v>
      </c>
      <c r="T59" s="22" t="s">
        <v>501</v>
      </c>
      <c r="U59" s="22" t="s">
        <v>756</v>
      </c>
      <c r="V59" s="26" t="s">
        <v>284</v>
      </c>
      <c r="W59" s="36" t="s">
        <v>757</v>
      </c>
      <c r="X59" s="26" t="s">
        <v>619</v>
      </c>
      <c r="Y59" s="23"/>
      <c r="Z59" s="28"/>
      <c r="AA59" s="23"/>
      <c r="AB59" s="23" t="str">
        <f>IFERROR(__xludf.DUMMYFUNCTION("IF(
ISNUMBER(MATCH(
C59,
IMPORTRANGE(""https://docs.google.com/spreadsheets/d/1yTh1ELC33JHYOeEdgIiEclxPRyh0zOKtlawDltfUay8"",""'Champions'!A:A""),
0
)),
""Outreach Conducted"",
"""")"),"")</f>
        <v/>
      </c>
      <c r="AC59" s="23"/>
      <c r="AD59" s="23"/>
      <c r="AE59" s="23"/>
      <c r="AF59" s="23"/>
      <c r="AG59" s="23"/>
      <c r="AH59" s="23"/>
      <c r="AI59" s="23"/>
      <c r="AJ59" s="23"/>
      <c r="AK59" s="23"/>
      <c r="AL59" s="23"/>
    </row>
    <row r="60" hidden="1">
      <c r="A60" s="22" t="s">
        <v>758</v>
      </c>
      <c r="B60" s="22" t="s">
        <v>759</v>
      </c>
      <c r="C60" s="23" t="str">
        <f t="shared" si="1"/>
        <v>Cara Every</v>
      </c>
      <c r="D60" s="22">
        <v>1.5166587211E10</v>
      </c>
      <c r="E60" s="29" t="s">
        <v>760</v>
      </c>
      <c r="F60" s="22" t="s">
        <v>248</v>
      </c>
      <c r="G60" s="22">
        <v>721.0</v>
      </c>
      <c r="H60" s="22">
        <f t="array" ref="H60">IFERROR(INDEX('Hub CPC 226'!A:A, MATCH(C60, 'Hub CPC 226'!B:B, 0)), "")</f>
        <v>62</v>
      </c>
      <c r="I60" s="22">
        <f t="array" ref="I60">IFERROR(INDEX('Hub Users 226'!A:A, MATCH(C60, 'Hub Users 226'!B:B, 0)), "")</f>
        <v>82</v>
      </c>
      <c r="J60" s="22" t="s">
        <v>260</v>
      </c>
      <c r="K60" s="23" t="s">
        <v>761</v>
      </c>
      <c r="L60" s="25">
        <v>45026.56458333333</v>
      </c>
      <c r="M60" s="28">
        <v>1.0</v>
      </c>
      <c r="N60" s="28">
        <v>2.0</v>
      </c>
      <c r="O60" s="28">
        <v>8.0</v>
      </c>
      <c r="P60" s="31"/>
      <c r="Q60" s="22" t="s">
        <v>762</v>
      </c>
      <c r="R60" s="22" t="s">
        <v>293</v>
      </c>
      <c r="S60" s="22" t="s">
        <v>763</v>
      </c>
      <c r="T60" s="22" t="s">
        <v>272</v>
      </c>
      <c r="U60" s="22" t="s">
        <v>764</v>
      </c>
      <c r="V60" s="23"/>
      <c r="W60" s="23"/>
      <c r="X60" s="23"/>
      <c r="Y60" s="23"/>
      <c r="Z60" s="28"/>
      <c r="AA60" s="23"/>
      <c r="AB60" s="23" t="str">
        <f>IFERROR(__xludf.DUMMYFUNCTION("IF(
ISNUMBER(MATCH(
C60,
IMPORTRANGE(""https://docs.google.com/spreadsheets/d/1yTh1ELC33JHYOeEdgIiEclxPRyh0zOKtlawDltfUay8"",""'Champions'!A:A""),
0
)),
""Outreach Conducted"",
"""")"),"")</f>
        <v/>
      </c>
      <c r="AC60" s="23"/>
      <c r="AD60" s="23"/>
      <c r="AE60" s="23"/>
      <c r="AF60" s="23"/>
      <c r="AG60" s="23"/>
      <c r="AH60" s="23"/>
      <c r="AI60" s="23"/>
      <c r="AJ60" s="23"/>
      <c r="AK60" s="23"/>
      <c r="AL60" s="23"/>
    </row>
    <row r="61" hidden="1">
      <c r="A61" s="32" t="s">
        <v>765</v>
      </c>
      <c r="B61" s="32" t="s">
        <v>766</v>
      </c>
      <c r="C61" s="23" t="str">
        <f t="shared" si="1"/>
        <v>Carla Pierini Borenstein</v>
      </c>
      <c r="D61" s="32" t="s">
        <v>767</v>
      </c>
      <c r="E61" s="32" t="s">
        <v>768</v>
      </c>
      <c r="F61" s="28" t="s">
        <v>769</v>
      </c>
      <c r="G61" s="32">
        <v>436.0</v>
      </c>
      <c r="H61" s="22">
        <f t="array" ref="H61">IFERROR(INDEX('Hub CPC 226'!A:A, MATCH(C61, 'Hub CPC 226'!B:B, 0)), "")</f>
        <v>63</v>
      </c>
      <c r="I61" s="22">
        <f t="array" ref="I61">IFERROR(INDEX('Hub Users 226'!A:A, MATCH(C61, 'Hub Users 226'!B:B, 0)), "")</f>
        <v>83</v>
      </c>
      <c r="J61" s="22"/>
      <c r="K61" s="23" t="s">
        <v>770</v>
      </c>
      <c r="L61" s="37">
        <v>44222.376388888886</v>
      </c>
      <c r="M61" s="28">
        <v>12.0</v>
      </c>
      <c r="N61" s="28">
        <v>28.0</v>
      </c>
      <c r="O61" s="28">
        <v>75.0</v>
      </c>
      <c r="P61" s="32">
        <v>3.0</v>
      </c>
      <c r="Q61" s="32" t="s">
        <v>771</v>
      </c>
      <c r="R61" s="32" t="s">
        <v>334</v>
      </c>
      <c r="S61" s="32" t="s">
        <v>271</v>
      </c>
      <c r="T61" s="22" t="s">
        <v>272</v>
      </c>
      <c r="U61" s="32" t="s">
        <v>772</v>
      </c>
      <c r="V61" s="23"/>
      <c r="W61" s="23"/>
      <c r="X61" s="23"/>
      <c r="Y61" s="23"/>
      <c r="Z61" s="23"/>
      <c r="AA61" s="23"/>
      <c r="AB61" s="23" t="str">
        <f>IFERROR(__xludf.DUMMYFUNCTION("IF(
ISNUMBER(MATCH(
C61,
IMPORTRANGE(""https://docs.google.com/spreadsheets/d/1yTh1ELC33JHYOeEdgIiEclxPRyh0zOKtlawDltfUay8"",""'Champions'!A:A""),
0
)),
""Outreach Conducted"",
"""")"),"")</f>
        <v/>
      </c>
      <c r="AC61" s="23"/>
      <c r="AD61" s="23"/>
      <c r="AE61" s="23"/>
      <c r="AF61" s="23"/>
      <c r="AG61" s="23"/>
      <c r="AH61" s="23"/>
      <c r="AI61" s="23"/>
      <c r="AJ61" s="23"/>
      <c r="AK61" s="23"/>
      <c r="AL61" s="23"/>
    </row>
    <row r="62" hidden="1">
      <c r="A62" s="22" t="s">
        <v>773</v>
      </c>
      <c r="B62" s="22" t="s">
        <v>774</v>
      </c>
      <c r="C62" s="23" t="str">
        <f t="shared" si="1"/>
        <v>Carly Elaine Grunwald</v>
      </c>
      <c r="D62" s="22" t="s">
        <v>775</v>
      </c>
      <c r="E62" s="29" t="s">
        <v>776</v>
      </c>
      <c r="F62" s="22" t="s">
        <v>238</v>
      </c>
      <c r="G62" s="22">
        <v>117.0</v>
      </c>
      <c r="H62" s="22">
        <f t="array" ref="H62">IFERROR(INDEX('Hub CPC 226'!A:A, MATCH(C62, 'Hub CPC 226'!B:B, 0)), "")</f>
        <v>64</v>
      </c>
      <c r="I62" s="22">
        <f t="array" ref="I62">IFERROR(INDEX('Hub Users 226'!A:A, MATCH(C62, 'Hub Users 226'!B:B, 0)), "")</f>
        <v>84</v>
      </c>
      <c r="J62" s="22" t="s">
        <v>240</v>
      </c>
      <c r="K62" s="23" t="s">
        <v>777</v>
      </c>
      <c r="L62" s="25">
        <v>43500.62708333333</v>
      </c>
      <c r="M62" s="23"/>
      <c r="N62" s="23"/>
      <c r="O62" s="23"/>
      <c r="P62" s="23"/>
      <c r="Q62" s="22" t="s">
        <v>778</v>
      </c>
      <c r="R62" s="22" t="s">
        <v>572</v>
      </c>
      <c r="S62" s="22" t="s">
        <v>573</v>
      </c>
      <c r="T62" s="22" t="s">
        <v>252</v>
      </c>
      <c r="U62" s="22" t="s">
        <v>779</v>
      </c>
      <c r="V62" s="26" t="s">
        <v>393</v>
      </c>
      <c r="W62" s="27" t="s">
        <v>780</v>
      </c>
      <c r="X62" s="26" t="s">
        <v>781</v>
      </c>
      <c r="Y62" s="23"/>
      <c r="Z62" s="28"/>
      <c r="AA62" s="23"/>
      <c r="AB62" s="23" t="str">
        <f>IFERROR(__xludf.DUMMYFUNCTION("IF(
ISNUMBER(MATCH(
C62,
IMPORTRANGE(""https://docs.google.com/spreadsheets/d/1yTh1ELC33JHYOeEdgIiEclxPRyh0zOKtlawDltfUay8"",""'Champions'!A:A""),
0
)),
""Outreach Conducted"",
"""")"),"")</f>
        <v/>
      </c>
      <c r="AC62" s="23"/>
      <c r="AD62" s="23"/>
      <c r="AE62" s="23"/>
      <c r="AF62" s="23"/>
      <c r="AG62" s="23"/>
      <c r="AH62" s="23"/>
      <c r="AI62" s="23"/>
      <c r="AJ62" s="23"/>
      <c r="AK62" s="23"/>
      <c r="AL62" s="23"/>
    </row>
    <row r="63" hidden="1">
      <c r="A63" s="22" t="s">
        <v>782</v>
      </c>
      <c r="B63" s="22" t="s">
        <v>783</v>
      </c>
      <c r="C63" s="23" t="str">
        <f t="shared" si="1"/>
        <v>Carmelo DeLeon</v>
      </c>
      <c r="D63" s="22">
        <v>1.3473765144E10</v>
      </c>
      <c r="E63" s="29" t="s">
        <v>784</v>
      </c>
      <c r="F63" s="22" t="s">
        <v>248</v>
      </c>
      <c r="G63" s="22">
        <v>628.0</v>
      </c>
      <c r="H63" s="22">
        <f t="array" ref="H63">IFERROR(INDEX('Hub CPC 226'!A:A, MATCH(C63, 'Hub CPC 226'!B:B, 0)), "")</f>
        <v>65</v>
      </c>
      <c r="I63" s="22">
        <f t="array" ref="I63">IFERROR(INDEX('Hub Users 226'!A:A, MATCH(C63, 'Hub Users 226'!B:B, 0)), "")</f>
        <v>85</v>
      </c>
      <c r="J63" s="22" t="s">
        <v>785</v>
      </c>
      <c r="K63" s="23" t="s">
        <v>786</v>
      </c>
      <c r="L63" s="25">
        <v>44627.5625</v>
      </c>
      <c r="M63" s="28">
        <v>22.0</v>
      </c>
      <c r="N63" s="28">
        <v>50.0</v>
      </c>
      <c r="O63" s="28">
        <v>127.0</v>
      </c>
      <c r="P63" s="31"/>
      <c r="Q63" s="22" t="s">
        <v>787</v>
      </c>
      <c r="R63" s="22" t="s">
        <v>524</v>
      </c>
      <c r="S63" s="22" t="s">
        <v>525</v>
      </c>
      <c r="T63" s="22" t="s">
        <v>272</v>
      </c>
      <c r="U63" s="22" t="s">
        <v>788</v>
      </c>
      <c r="V63" s="26" t="s">
        <v>383</v>
      </c>
      <c r="W63" s="27" t="s">
        <v>789</v>
      </c>
      <c r="X63" s="26" t="s">
        <v>790</v>
      </c>
      <c r="Y63" s="23"/>
      <c r="Z63" s="28"/>
      <c r="AA63" s="23"/>
      <c r="AB63" s="23" t="str">
        <f>IFERROR(__xludf.DUMMYFUNCTION("IF(
ISNUMBER(MATCH(
C63,
IMPORTRANGE(""https://docs.google.com/spreadsheets/d/1yTh1ELC33JHYOeEdgIiEclxPRyh0zOKtlawDltfUay8"",""'Champions'!A:A""),
0
)),
""Outreach Conducted"",
"""")"),"")</f>
        <v/>
      </c>
      <c r="AC63" s="23"/>
      <c r="AD63" s="23"/>
      <c r="AE63" s="23"/>
      <c r="AF63" s="23"/>
      <c r="AG63" s="23"/>
      <c r="AH63" s="23"/>
      <c r="AI63" s="23"/>
      <c r="AJ63" s="23"/>
      <c r="AK63" s="23"/>
      <c r="AL63" s="23"/>
    </row>
    <row r="64" hidden="1">
      <c r="A64" s="22" t="s">
        <v>791</v>
      </c>
      <c r="B64" s="22" t="s">
        <v>792</v>
      </c>
      <c r="C64" s="23" t="str">
        <f t="shared" si="1"/>
        <v>Carolina Chamorro</v>
      </c>
      <c r="D64" s="22" t="s">
        <v>793</v>
      </c>
      <c r="E64" s="29" t="s">
        <v>794</v>
      </c>
      <c r="F64" s="22" t="s">
        <v>248</v>
      </c>
      <c r="G64" s="22">
        <v>437.0</v>
      </c>
      <c r="H64" s="22">
        <f t="array" ref="H64">IFERROR(INDEX('Hub CPC 226'!A:A, MATCH(C64, 'Hub CPC 226'!B:B, 0)), "")</f>
        <v>66</v>
      </c>
      <c r="I64" s="22">
        <f t="array" ref="I64">IFERROR(INDEX('Hub Users 226'!A:A, MATCH(C64, 'Hub Users 226'!B:B, 0)), "")</f>
        <v>86</v>
      </c>
      <c r="J64" s="22" t="s">
        <v>239</v>
      </c>
      <c r="K64" s="23" t="s">
        <v>795</v>
      </c>
      <c r="L64" s="25">
        <v>44222.381944444445</v>
      </c>
      <c r="M64" s="28">
        <v>10.0</v>
      </c>
      <c r="N64" s="28">
        <v>27.0</v>
      </c>
      <c r="O64" s="28">
        <v>66.0</v>
      </c>
      <c r="P64" s="32">
        <v>2.0</v>
      </c>
      <c r="Q64" s="22" t="s">
        <v>796</v>
      </c>
      <c r="R64" s="22" t="s">
        <v>334</v>
      </c>
      <c r="S64" s="22" t="s">
        <v>271</v>
      </c>
      <c r="T64" s="22" t="s">
        <v>272</v>
      </c>
      <c r="U64" s="22" t="s">
        <v>797</v>
      </c>
      <c r="V64" s="26" t="s">
        <v>798</v>
      </c>
      <c r="W64" s="27" t="s">
        <v>799</v>
      </c>
      <c r="X64" s="26" t="s">
        <v>800</v>
      </c>
      <c r="Y64" s="23"/>
      <c r="Z64" s="28"/>
      <c r="AA64" s="23"/>
      <c r="AB64" s="23" t="str">
        <f>IFERROR(__xludf.DUMMYFUNCTION("IF(
ISNUMBER(MATCH(
C64,
IMPORTRANGE(""https://docs.google.com/spreadsheets/d/1yTh1ELC33JHYOeEdgIiEclxPRyh0zOKtlawDltfUay8"",""'Champions'!A:A""),
0
)),
""Outreach Conducted"",
"""")"),"")</f>
        <v/>
      </c>
      <c r="AC64" s="23"/>
      <c r="AD64" s="23"/>
      <c r="AE64" s="23"/>
      <c r="AF64" s="23"/>
      <c r="AG64" s="23"/>
      <c r="AH64" s="23"/>
      <c r="AI64" s="23"/>
      <c r="AJ64" s="23"/>
      <c r="AK64" s="23"/>
      <c r="AL64" s="23"/>
    </row>
    <row r="65" hidden="1">
      <c r="A65" s="22" t="s">
        <v>791</v>
      </c>
      <c r="B65" s="22" t="s">
        <v>801</v>
      </c>
      <c r="C65" s="23" t="str">
        <f t="shared" si="1"/>
        <v>Carolina Parra (D)</v>
      </c>
      <c r="D65" s="22">
        <v>1.9175147052E10</v>
      </c>
      <c r="E65" s="29" t="s">
        <v>802</v>
      </c>
      <c r="F65" s="22" t="s">
        <v>30</v>
      </c>
      <c r="G65" s="22">
        <v>569.0</v>
      </c>
      <c r="H65" s="22">
        <f t="array" ref="H65">IFERROR(INDEX('Hub CPC 226'!A:A, MATCH(C65, 'Hub CPC 226'!B:B, 0)), "")</f>
        <v>67</v>
      </c>
      <c r="I65" s="22">
        <f t="array" ref="I65">IFERROR(INDEX('Hub Users 226'!A:A, MATCH(C65, 'Hub Users 226'!B:B, 0)), "")</f>
        <v>87</v>
      </c>
      <c r="J65" s="22"/>
      <c r="K65" s="23" t="s">
        <v>803</v>
      </c>
      <c r="L65" s="25">
        <v>44540.40625</v>
      </c>
      <c r="M65" s="28">
        <v>13.0</v>
      </c>
      <c r="N65" s="28">
        <v>31.0</v>
      </c>
      <c r="O65" s="28">
        <v>71.0</v>
      </c>
      <c r="P65" s="32">
        <v>10.0</v>
      </c>
      <c r="Q65" s="22" t="s">
        <v>804</v>
      </c>
      <c r="R65" s="22" t="s">
        <v>454</v>
      </c>
      <c r="S65" s="22" t="s">
        <v>271</v>
      </c>
      <c r="T65" s="22" t="s">
        <v>272</v>
      </c>
      <c r="U65" s="22" t="s">
        <v>805</v>
      </c>
      <c r="V65" s="23"/>
      <c r="W65" s="23"/>
      <c r="X65" s="23"/>
      <c r="Y65" s="23"/>
      <c r="Z65" s="28"/>
      <c r="AA65" s="23"/>
      <c r="AB65" s="23" t="str">
        <f>IFERROR(__xludf.DUMMYFUNCTION("IF(
ISNUMBER(MATCH(
C65,
IMPORTRANGE(""https://docs.google.com/spreadsheets/d/1yTh1ELC33JHYOeEdgIiEclxPRyh0zOKtlawDltfUay8"",""'Champions'!A:A""),
0
)),
""Outreach Conducted"",
"""")"),"")</f>
        <v/>
      </c>
      <c r="AC65" s="23"/>
      <c r="AD65" s="23"/>
      <c r="AE65" s="23"/>
      <c r="AF65" s="23"/>
      <c r="AG65" s="23"/>
      <c r="AH65" s="23"/>
      <c r="AI65" s="23"/>
      <c r="AJ65" s="23"/>
      <c r="AK65" s="23"/>
      <c r="AL65" s="23"/>
    </row>
    <row r="66" hidden="1">
      <c r="A66" s="22" t="s">
        <v>806</v>
      </c>
      <c r="B66" s="22" t="s">
        <v>807</v>
      </c>
      <c r="C66" s="23" t="str">
        <f t="shared" si="1"/>
        <v>Malene Ginete Carr</v>
      </c>
      <c r="D66" s="22" t="s">
        <v>808</v>
      </c>
      <c r="E66" s="29" t="s">
        <v>809</v>
      </c>
      <c r="F66" s="22" t="s">
        <v>248</v>
      </c>
      <c r="G66" s="22">
        <v>27.0</v>
      </c>
      <c r="H66" s="22">
        <f t="array" ref="H66">IFERROR(INDEX('Hub CPC 226'!A:A, MATCH(C66, 'Hub CPC 226'!B:B, 0)), "")</f>
        <v>68</v>
      </c>
      <c r="I66" s="22">
        <f t="array" ref="I66">IFERROR(INDEX('Hub Users 226'!A:A, MATCH(C66, 'Hub Users 226'!B:B, 0)), "")</f>
        <v>88</v>
      </c>
      <c r="J66" s="22"/>
      <c r="K66" s="28" t="s">
        <v>810</v>
      </c>
      <c r="L66" s="25">
        <v>43338.743055555555</v>
      </c>
      <c r="M66" s="23"/>
      <c r="N66" s="23"/>
      <c r="O66" s="23"/>
      <c r="P66" s="23"/>
      <c r="Q66" s="22" t="s">
        <v>811</v>
      </c>
      <c r="R66" s="22"/>
      <c r="S66" s="22" t="s">
        <v>812</v>
      </c>
      <c r="T66" s="22" t="s">
        <v>813</v>
      </c>
      <c r="U66" s="22" t="s">
        <v>814</v>
      </c>
      <c r="V66" s="26" t="s">
        <v>242</v>
      </c>
      <c r="W66" s="27" t="s">
        <v>815</v>
      </c>
      <c r="X66" s="26" t="s">
        <v>244</v>
      </c>
      <c r="Y66" s="23"/>
      <c r="Z66" s="28"/>
      <c r="AA66" s="23"/>
      <c r="AB66" s="23" t="str">
        <f>IFERROR(__xludf.DUMMYFUNCTION("IF(
ISNUMBER(MATCH(
C66,
IMPORTRANGE(""https://docs.google.com/spreadsheets/d/1yTh1ELC33JHYOeEdgIiEclxPRyh0zOKtlawDltfUay8"",""'Champions'!A:A""),
0
)),
""Outreach Conducted"",
"""")"),"")</f>
        <v/>
      </c>
      <c r="AC66" s="23"/>
      <c r="AD66" s="23"/>
      <c r="AE66" s="23"/>
      <c r="AF66" s="23"/>
      <c r="AG66" s="23"/>
      <c r="AH66" s="23"/>
      <c r="AI66" s="23"/>
      <c r="AJ66" s="23"/>
      <c r="AK66" s="23"/>
      <c r="AL66" s="23"/>
    </row>
    <row r="67" hidden="1">
      <c r="A67" s="22" t="s">
        <v>816</v>
      </c>
      <c r="B67" s="22" t="s">
        <v>817</v>
      </c>
      <c r="C67" s="23" t="str">
        <f t="shared" si="1"/>
        <v>Casey Burry</v>
      </c>
      <c r="D67" s="22" t="s">
        <v>818</v>
      </c>
      <c r="E67" s="29" t="s">
        <v>819</v>
      </c>
      <c r="F67" s="22" t="s">
        <v>248</v>
      </c>
      <c r="G67" s="22">
        <v>129.0</v>
      </c>
      <c r="H67" s="22">
        <f t="array" ref="H67">IFERROR(INDEX('Hub CPC 226'!A:A, MATCH(C67, 'Hub CPC 226'!B:B, 0)), "")</f>
        <v>69</v>
      </c>
      <c r="I67" s="22">
        <f t="array" ref="I67">IFERROR(INDEX('Hub Users 226'!A:A, MATCH(C67, 'Hub Users 226'!B:B, 0)), "")</f>
        <v>89</v>
      </c>
      <c r="J67" s="22" t="s">
        <v>107</v>
      </c>
      <c r="K67" s="23" t="s">
        <v>820</v>
      </c>
      <c r="L67" s="25">
        <v>43510.052777777775</v>
      </c>
      <c r="M67" s="28">
        <v>10.0</v>
      </c>
      <c r="N67" s="28">
        <v>26.0</v>
      </c>
      <c r="O67" s="28">
        <v>52.0</v>
      </c>
      <c r="P67" s="32">
        <v>33.0</v>
      </c>
      <c r="Q67" s="22" t="s">
        <v>821</v>
      </c>
      <c r="R67" s="22" t="s">
        <v>271</v>
      </c>
      <c r="S67" s="22" t="s">
        <v>294</v>
      </c>
      <c r="T67" s="22" t="s">
        <v>272</v>
      </c>
      <c r="U67" s="22" t="s">
        <v>822</v>
      </c>
      <c r="V67" s="26" t="s">
        <v>823</v>
      </c>
      <c r="W67" s="27" t="s">
        <v>824</v>
      </c>
      <c r="X67" s="26" t="s">
        <v>825</v>
      </c>
      <c r="Y67" s="23"/>
      <c r="Z67" s="28"/>
      <c r="AA67" s="23"/>
      <c r="AB67" s="23" t="str">
        <f>IFERROR(__xludf.DUMMYFUNCTION("IF(
ISNUMBER(MATCH(
C67,
IMPORTRANGE(""https://docs.google.com/spreadsheets/d/1yTh1ELC33JHYOeEdgIiEclxPRyh0zOKtlawDltfUay8"",""'Champions'!A:A""),
0
)),
""Outreach Conducted"",
"""")"),"")</f>
        <v/>
      </c>
      <c r="AC67" s="23"/>
      <c r="AD67" s="23"/>
      <c r="AE67" s="23"/>
      <c r="AF67" s="23"/>
      <c r="AG67" s="23"/>
      <c r="AH67" s="23"/>
      <c r="AI67" s="23"/>
      <c r="AJ67" s="23"/>
      <c r="AK67" s="23"/>
      <c r="AL67" s="23"/>
    </row>
    <row r="68" hidden="1">
      <c r="A68" s="22" t="s">
        <v>826</v>
      </c>
      <c r="B68" s="22" t="s">
        <v>827</v>
      </c>
      <c r="C68" s="23" t="str">
        <f t="shared" si="1"/>
        <v>Cathy Zubiate Whealon</v>
      </c>
      <c r="D68" s="22">
        <v>3.012190608E9</v>
      </c>
      <c r="E68" s="29" t="s">
        <v>828</v>
      </c>
      <c r="F68" s="22" t="s">
        <v>248</v>
      </c>
      <c r="G68" s="22">
        <v>332.0</v>
      </c>
      <c r="H68" s="22">
        <f t="array" ref="H68">IFERROR(INDEX('Hub CPC 226'!A:A, MATCH(C68, 'Hub CPC 226'!B:B, 0)), "")</f>
        <v>70</v>
      </c>
      <c r="I68" s="22">
        <f t="array" ref="I68">IFERROR(INDEX('Hub Users 226'!A:A, MATCH(C68, 'Hub Users 226'!B:B, 0)), "")</f>
        <v>90</v>
      </c>
      <c r="J68" s="22" t="s">
        <v>260</v>
      </c>
      <c r="K68" s="23" t="s">
        <v>829</v>
      </c>
      <c r="L68" s="25">
        <v>44025.583333333336</v>
      </c>
      <c r="M68" s="23"/>
      <c r="N68" s="23"/>
      <c r="O68" s="23"/>
      <c r="P68" s="23"/>
      <c r="Q68" s="22" t="s">
        <v>830</v>
      </c>
      <c r="R68" s="22" t="s">
        <v>831</v>
      </c>
      <c r="S68" s="22" t="s">
        <v>832</v>
      </c>
      <c r="T68" s="22" t="s">
        <v>833</v>
      </c>
      <c r="U68" s="22" t="s">
        <v>834</v>
      </c>
      <c r="V68" s="26" t="s">
        <v>360</v>
      </c>
      <c r="W68" s="27" t="s">
        <v>835</v>
      </c>
      <c r="X68" s="26" t="s">
        <v>836</v>
      </c>
      <c r="Y68" s="23"/>
      <c r="Z68" s="28"/>
      <c r="AA68" s="23"/>
      <c r="AB68" s="23" t="str">
        <f>IFERROR(__xludf.DUMMYFUNCTION("IF(
ISNUMBER(MATCH(
C68,
IMPORTRANGE(""https://docs.google.com/spreadsheets/d/1yTh1ELC33JHYOeEdgIiEclxPRyh0zOKtlawDltfUay8"",""'Champions'!A:A""),
0
)),
""Outreach Conducted"",
"""")"),"")</f>
        <v/>
      </c>
      <c r="AC68" s="23"/>
      <c r="AD68" s="23"/>
      <c r="AE68" s="23"/>
      <c r="AF68" s="23"/>
      <c r="AG68" s="23"/>
      <c r="AH68" s="23"/>
      <c r="AI68" s="23"/>
      <c r="AJ68" s="23"/>
      <c r="AK68" s="23"/>
      <c r="AL68" s="23"/>
    </row>
    <row r="69" hidden="1">
      <c r="A69" s="22" t="s">
        <v>837</v>
      </c>
      <c r="B69" s="22" t="s">
        <v>838</v>
      </c>
      <c r="C69" s="23" t="str">
        <f t="shared" si="1"/>
        <v>Connie Lewin</v>
      </c>
      <c r="D69" s="22">
        <v>1.9544396702E10</v>
      </c>
      <c r="E69" s="29" t="s">
        <v>839</v>
      </c>
      <c r="F69" s="22" t="s">
        <v>248</v>
      </c>
      <c r="G69" s="22">
        <v>640.0</v>
      </c>
      <c r="H69" s="22">
        <f t="array" ref="H69">IFERROR(INDEX('Hub CPC 226'!A:A, MATCH(C69, 'Hub CPC 226'!B:B, 0)), "")</f>
        <v>71</v>
      </c>
      <c r="I69" s="22">
        <f t="array" ref="I69">IFERROR(INDEX('Hub Users 226'!A:A, MATCH(C69, 'Hub Users 226'!B:B, 0)), "")</f>
        <v>91</v>
      </c>
      <c r="J69" s="22" t="s">
        <v>302</v>
      </c>
      <c r="K69" s="23" t="s">
        <v>840</v>
      </c>
      <c r="L69" s="25">
        <v>44674.72986111111</v>
      </c>
      <c r="M69" s="23"/>
      <c r="N69" s="23"/>
      <c r="O69" s="23"/>
      <c r="P69" s="23"/>
      <c r="Q69" s="22"/>
      <c r="R69" s="22"/>
      <c r="S69" s="22"/>
      <c r="T69" s="22" t="s">
        <v>841</v>
      </c>
      <c r="U69" s="22" t="s">
        <v>842</v>
      </c>
      <c r="V69" s="23"/>
      <c r="W69" s="23"/>
      <c r="X69" s="23"/>
      <c r="Y69" s="23"/>
      <c r="Z69" s="28"/>
      <c r="AA69" s="23"/>
      <c r="AB69" s="23" t="str">
        <f>IFERROR(__xludf.DUMMYFUNCTION("IF(
ISNUMBER(MATCH(
C69,
IMPORTRANGE(""https://docs.google.com/spreadsheets/d/1yTh1ELC33JHYOeEdgIiEclxPRyh0zOKtlawDltfUay8"",""'Champions'!A:A""),
0
)),
""Outreach Conducted"",
"""")"),"")</f>
        <v/>
      </c>
      <c r="AC69" s="23"/>
      <c r="AD69" s="26" t="s">
        <v>843</v>
      </c>
      <c r="AE69" s="28" t="s">
        <v>844</v>
      </c>
      <c r="AF69" s="28" t="s">
        <v>449</v>
      </c>
      <c r="AG69" s="28" t="s">
        <v>845</v>
      </c>
      <c r="AH69" s="23"/>
      <c r="AI69" s="23"/>
      <c r="AJ69" s="23"/>
      <c r="AK69" s="23"/>
      <c r="AL69" s="23"/>
    </row>
    <row r="70" hidden="1">
      <c r="A70" s="22" t="s">
        <v>846</v>
      </c>
      <c r="B70" s="22" t="s">
        <v>847</v>
      </c>
      <c r="C70" s="23" t="str">
        <f t="shared" si="1"/>
        <v>Carlos Guzman</v>
      </c>
      <c r="D70" s="22" t="s">
        <v>848</v>
      </c>
      <c r="E70" s="29" t="s">
        <v>849</v>
      </c>
      <c r="F70" s="22" t="s">
        <v>238</v>
      </c>
      <c r="G70" s="22">
        <v>714.0</v>
      </c>
      <c r="H70" s="22">
        <f t="array" ref="H70">IFERROR(INDEX('Hub CPC 226'!A:A, MATCH(C70, 'Hub CPC 226'!B:B, 0)), "")</f>
        <v>72</v>
      </c>
      <c r="I70" s="22">
        <f t="array" ref="I70">IFERROR(INDEX('Hub Users 226'!A:A, MATCH(C70, 'Hub Users 226'!B:B, 0)), "")</f>
        <v>92</v>
      </c>
      <c r="J70" s="22" t="s">
        <v>290</v>
      </c>
      <c r="K70" s="23" t="s">
        <v>850</v>
      </c>
      <c r="L70" s="25">
        <v>45007.60555555556</v>
      </c>
      <c r="M70" s="23"/>
      <c r="N70" s="23"/>
      <c r="O70" s="23"/>
      <c r="P70" s="23"/>
      <c r="Q70" s="22" t="s">
        <v>851</v>
      </c>
      <c r="R70" s="22"/>
      <c r="S70" s="22" t="s">
        <v>852</v>
      </c>
      <c r="T70" s="22" t="s">
        <v>252</v>
      </c>
      <c r="U70" s="22" t="s">
        <v>853</v>
      </c>
      <c r="V70" s="23"/>
      <c r="W70" s="23"/>
      <c r="X70" s="23"/>
      <c r="Y70" s="23"/>
      <c r="Z70" s="28"/>
      <c r="AA70" s="23"/>
      <c r="AB70" s="23" t="str">
        <f>IFERROR(__xludf.DUMMYFUNCTION("IF(
ISNUMBER(MATCH(
C70,
IMPORTRANGE(""https://docs.google.com/spreadsheets/d/1yTh1ELC33JHYOeEdgIiEclxPRyh0zOKtlawDltfUay8"",""'Champions'!A:A""),
0
)),
""Outreach Conducted"",
"""")"),"")</f>
        <v/>
      </c>
      <c r="AC70" s="23"/>
      <c r="AD70" s="23"/>
      <c r="AE70" s="23"/>
      <c r="AF70" s="23"/>
      <c r="AG70" s="23"/>
      <c r="AH70" s="23"/>
      <c r="AI70" s="23"/>
      <c r="AJ70" s="23"/>
      <c r="AK70" s="23"/>
      <c r="AL70" s="23"/>
    </row>
    <row r="71">
      <c r="A71" s="22" t="s">
        <v>854</v>
      </c>
      <c r="B71" s="22" t="s">
        <v>855</v>
      </c>
      <c r="C71" s="23" t="str">
        <f t="shared" si="1"/>
        <v>Chaney Matos</v>
      </c>
      <c r="D71" s="22">
        <v>6.466287701E9</v>
      </c>
      <c r="E71" s="29" t="s">
        <v>856</v>
      </c>
      <c r="F71" s="22" t="s">
        <v>238</v>
      </c>
      <c r="G71" s="22">
        <v>60.0</v>
      </c>
      <c r="H71" s="22">
        <f t="array" ref="H71">IFERROR(INDEX('Hub CPC 226'!A:A, MATCH(C71, 'Hub CPC 226'!B:B, 0)), "")</f>
        <v>73</v>
      </c>
      <c r="I71" s="22">
        <f t="array" ref="I71">IFERROR(INDEX('Hub Users 226'!A:A, MATCH(C71, 'Hub Users 226'!B:B, 0)), "")</f>
        <v>93</v>
      </c>
      <c r="J71" s="22" t="s">
        <v>260</v>
      </c>
      <c r="K71" s="23" t="s">
        <v>857</v>
      </c>
      <c r="L71" s="25">
        <v>43338.743055555555</v>
      </c>
      <c r="M71" s="28">
        <v>15.0</v>
      </c>
      <c r="N71" s="28">
        <v>33.0</v>
      </c>
      <c r="O71" s="28">
        <v>80.0</v>
      </c>
      <c r="P71" s="32">
        <v>13.0</v>
      </c>
      <c r="Q71" s="22" t="s">
        <v>858</v>
      </c>
      <c r="R71" s="22"/>
      <c r="S71" s="22" t="s">
        <v>859</v>
      </c>
      <c r="T71" s="22" t="s">
        <v>272</v>
      </c>
      <c r="U71" s="22" t="s">
        <v>860</v>
      </c>
      <c r="V71" s="23"/>
      <c r="W71" s="23"/>
      <c r="X71" s="23"/>
      <c r="Y71" s="23"/>
      <c r="Z71" s="28"/>
      <c r="AA71" s="23"/>
      <c r="AB71" s="23" t="str">
        <f>IFERROR(__xludf.DUMMYFUNCTION("IF(
ISNUMBER(MATCH(
C71,
IMPORTRANGE(""https://docs.google.com/spreadsheets/d/1yTh1ELC33JHYOeEdgIiEclxPRyh0zOKtlawDltfUay8"",""'Champions'!A:A""),
0
)),
""Outreach Conducted"",
"""")"),"")</f>
        <v/>
      </c>
      <c r="AC71" s="23"/>
      <c r="AD71" s="23"/>
      <c r="AE71" s="23"/>
      <c r="AF71" s="23"/>
      <c r="AG71" s="23"/>
      <c r="AH71" s="23"/>
      <c r="AI71" s="23"/>
      <c r="AJ71" s="23"/>
      <c r="AK71" s="23"/>
      <c r="AL71" s="23"/>
    </row>
    <row r="72" hidden="1">
      <c r="A72" s="22" t="s">
        <v>861</v>
      </c>
      <c r="B72" s="22" t="s">
        <v>862</v>
      </c>
      <c r="C72" s="23" t="str">
        <f t="shared" si="1"/>
        <v>Lena Chang</v>
      </c>
      <c r="D72" s="22" t="s">
        <v>863</v>
      </c>
      <c r="E72" s="29" t="s">
        <v>864</v>
      </c>
      <c r="F72" s="22" t="s">
        <v>248</v>
      </c>
      <c r="G72" s="22">
        <v>724.0</v>
      </c>
      <c r="H72" s="22">
        <f t="array" ref="H72">IFERROR(INDEX('Hub CPC 226'!A:A, MATCH(C72, 'Hub CPC 226'!B:B, 0)), "")</f>
        <v>74</v>
      </c>
      <c r="I72" s="22">
        <f t="array" ref="I72">IFERROR(INDEX('Hub Users 226'!A:A, MATCH(C72, 'Hub Users 226'!B:B, 0)), "")</f>
        <v>94</v>
      </c>
      <c r="J72" s="22" t="s">
        <v>260</v>
      </c>
      <c r="K72" s="28" t="s">
        <v>865</v>
      </c>
      <c r="L72" s="25">
        <v>45041.97361111111</v>
      </c>
      <c r="M72" s="28">
        <v>10.0</v>
      </c>
      <c r="N72" s="28">
        <v>27.0</v>
      </c>
      <c r="O72" s="28">
        <v>61.0</v>
      </c>
      <c r="P72" s="32">
        <v>1.0</v>
      </c>
      <c r="Q72" s="22" t="s">
        <v>866</v>
      </c>
      <c r="R72" s="22" t="s">
        <v>271</v>
      </c>
      <c r="S72" s="22" t="s">
        <v>271</v>
      </c>
      <c r="T72" s="22" t="s">
        <v>272</v>
      </c>
      <c r="U72" s="22" t="s">
        <v>867</v>
      </c>
      <c r="V72" s="23"/>
      <c r="W72" s="23"/>
      <c r="X72" s="23"/>
      <c r="Y72" s="23"/>
      <c r="Z72" s="28"/>
      <c r="AA72" s="23"/>
      <c r="AB72" s="23" t="str">
        <f>IFERROR(__xludf.DUMMYFUNCTION("IF(
ISNUMBER(MATCH(
C72,
IMPORTRANGE(""https://docs.google.com/spreadsheets/d/1yTh1ELC33JHYOeEdgIiEclxPRyh0zOKtlawDltfUay8"",""'Champions'!A:A""),
0
)),
""Outreach Conducted"",
"""")"),"")</f>
        <v/>
      </c>
      <c r="AC72" s="23"/>
      <c r="AD72" s="23"/>
      <c r="AE72" s="23"/>
      <c r="AF72" s="23"/>
      <c r="AG72" s="23"/>
      <c r="AH72" s="23"/>
      <c r="AI72" s="23"/>
      <c r="AJ72" s="23"/>
      <c r="AK72" s="23"/>
      <c r="AL72" s="23"/>
    </row>
    <row r="73" hidden="1">
      <c r="A73" s="22" t="s">
        <v>868</v>
      </c>
      <c r="B73" s="22" t="s">
        <v>869</v>
      </c>
      <c r="C73" s="23" t="str">
        <f t="shared" si="1"/>
        <v>Chante Adams</v>
      </c>
      <c r="D73" s="22">
        <v>1.7025314626E10</v>
      </c>
      <c r="E73" s="29" t="s">
        <v>870</v>
      </c>
      <c r="F73" s="22" t="s">
        <v>248</v>
      </c>
      <c r="G73" s="22">
        <v>558.0</v>
      </c>
      <c r="H73" s="22">
        <f t="array" ref="H73">IFERROR(INDEX('Hub CPC 226'!A:A, MATCH(C73, 'Hub CPC 226'!B:B, 0)), "")</f>
        <v>75</v>
      </c>
      <c r="I73" s="22">
        <f t="array" ref="I73">IFERROR(INDEX('Hub Users 226'!A:A, MATCH(C73, 'Hub Users 226'!B:B, 0)), "")</f>
        <v>95</v>
      </c>
      <c r="J73" s="22" t="s">
        <v>608</v>
      </c>
      <c r="K73" s="28" t="s">
        <v>871</v>
      </c>
      <c r="L73" s="25">
        <v>44530.74652777778</v>
      </c>
      <c r="M73" s="23"/>
      <c r="N73" s="23"/>
      <c r="O73" s="23"/>
      <c r="P73" s="23"/>
      <c r="Q73" s="22" t="s">
        <v>872</v>
      </c>
      <c r="R73" s="22" t="s">
        <v>873</v>
      </c>
      <c r="S73" s="22" t="s">
        <v>873</v>
      </c>
      <c r="T73" s="22" t="s">
        <v>874</v>
      </c>
      <c r="U73" s="22" t="s">
        <v>875</v>
      </c>
      <c r="V73" s="26" t="s">
        <v>284</v>
      </c>
      <c r="W73" s="27" t="s">
        <v>876</v>
      </c>
      <c r="X73" s="26" t="s">
        <v>362</v>
      </c>
      <c r="Y73" s="23"/>
      <c r="Z73" s="28"/>
      <c r="AA73" s="23"/>
      <c r="AB73" s="23" t="str">
        <f>IFERROR(__xludf.DUMMYFUNCTION("IF(
ISNUMBER(MATCH(
C73,
IMPORTRANGE(""https://docs.google.com/spreadsheets/d/1yTh1ELC33JHYOeEdgIiEclxPRyh0zOKtlawDltfUay8"",""'Champions'!A:A""),
0
)),
""Outreach Conducted"",
"""")"),"")</f>
        <v/>
      </c>
      <c r="AC73" s="23"/>
      <c r="AD73" s="23"/>
      <c r="AE73" s="23"/>
      <c r="AF73" s="23"/>
      <c r="AG73" s="23"/>
      <c r="AH73" s="23"/>
      <c r="AI73" s="23"/>
      <c r="AJ73" s="23"/>
      <c r="AK73" s="23"/>
      <c r="AL73" s="23"/>
    </row>
    <row r="74" hidden="1">
      <c r="A74" s="22" t="s">
        <v>877</v>
      </c>
      <c r="B74" s="22" t="s">
        <v>878</v>
      </c>
      <c r="C74" s="23" t="str">
        <f t="shared" si="1"/>
        <v>Joanne Hsu</v>
      </c>
      <c r="D74" s="22">
        <v>1.5189862883E10</v>
      </c>
      <c r="E74" s="29" t="s">
        <v>879</v>
      </c>
      <c r="F74" s="22" t="s">
        <v>248</v>
      </c>
      <c r="G74" s="22">
        <v>523.0</v>
      </c>
      <c r="H74" s="22">
        <f t="array" ref="H74">IFERROR(INDEX('Hub CPC 226'!A:A, MATCH(C74, 'Hub CPC 226'!B:B, 0)), "")</f>
        <v>76</v>
      </c>
      <c r="I74" s="22">
        <f t="array" ref="I74">IFERROR(INDEX('Hub Users 226'!A:A, MATCH(C74, 'Hub Users 226'!B:B, 0)), "")</f>
        <v>96</v>
      </c>
      <c r="J74" s="22" t="s">
        <v>608</v>
      </c>
      <c r="K74" s="23" t="s">
        <v>880</v>
      </c>
      <c r="L74" s="25">
        <v>44494.39513888889</v>
      </c>
      <c r="M74" s="23"/>
      <c r="N74" s="23"/>
      <c r="O74" s="23"/>
      <c r="P74" s="23"/>
      <c r="Q74" s="22" t="s">
        <v>881</v>
      </c>
      <c r="R74" s="22" t="s">
        <v>271</v>
      </c>
      <c r="S74" s="22" t="s">
        <v>882</v>
      </c>
      <c r="T74" s="22" t="s">
        <v>241</v>
      </c>
      <c r="U74" s="22" t="s">
        <v>883</v>
      </c>
      <c r="V74" s="26" t="s">
        <v>884</v>
      </c>
      <c r="W74" s="27" t="s">
        <v>885</v>
      </c>
      <c r="X74" s="26" t="s">
        <v>886</v>
      </c>
      <c r="Y74" s="23"/>
      <c r="Z74" s="28"/>
      <c r="AA74" s="23"/>
      <c r="AB74" s="23" t="str">
        <f>IFERROR(__xludf.DUMMYFUNCTION("IF(
ISNUMBER(MATCH(
C74,
IMPORTRANGE(""https://docs.google.com/spreadsheets/d/1yTh1ELC33JHYOeEdgIiEclxPRyh0zOKtlawDltfUay8"",""'Champions'!A:A""),
0
)),
""Outreach Conducted"",
"""")"),"")</f>
        <v/>
      </c>
      <c r="AC74" s="23"/>
      <c r="AD74" s="26" t="s">
        <v>887</v>
      </c>
      <c r="AE74" s="28" t="s">
        <v>888</v>
      </c>
      <c r="AF74" s="28" t="s">
        <v>449</v>
      </c>
      <c r="AG74" s="23"/>
      <c r="AH74" s="23"/>
      <c r="AI74" s="23"/>
      <c r="AJ74" s="23"/>
      <c r="AK74" s="23"/>
      <c r="AL74" s="23"/>
    </row>
    <row r="75" hidden="1">
      <c r="A75" s="22" t="s">
        <v>889</v>
      </c>
      <c r="B75" s="22" t="s">
        <v>890</v>
      </c>
      <c r="C75" s="23" t="str">
        <f t="shared" si="1"/>
        <v>Chetana Manjunath Kaushik</v>
      </c>
      <c r="D75" s="22">
        <v>1.4167320512E10</v>
      </c>
      <c r="E75" s="29" t="s">
        <v>891</v>
      </c>
      <c r="F75" s="22" t="s">
        <v>248</v>
      </c>
      <c r="G75" s="22">
        <v>498.0</v>
      </c>
      <c r="H75" s="22">
        <f t="array" ref="H75">IFERROR(INDEX('Hub CPC 226'!A:A, MATCH(C75, 'Hub CPC 226'!B:B, 0)), "")</f>
        <v>77</v>
      </c>
      <c r="I75" s="22">
        <f t="array" ref="I75">IFERROR(INDEX('Hub Users 226'!A:A, MATCH(C75, 'Hub Users 226'!B:B, 0)), "")</f>
        <v>97</v>
      </c>
      <c r="J75" s="22" t="s">
        <v>608</v>
      </c>
      <c r="K75" s="23" t="s">
        <v>892</v>
      </c>
      <c r="L75" s="25">
        <v>44447.80347222222</v>
      </c>
      <c r="M75" s="23"/>
      <c r="N75" s="23"/>
      <c r="O75" s="23"/>
      <c r="P75" s="23"/>
      <c r="Q75" s="22" t="s">
        <v>893</v>
      </c>
      <c r="R75" s="22" t="s">
        <v>894</v>
      </c>
      <c r="S75" s="24"/>
      <c r="T75" s="24"/>
      <c r="U75" s="22" t="s">
        <v>895</v>
      </c>
      <c r="V75" s="26" t="s">
        <v>507</v>
      </c>
      <c r="W75" s="27" t="s">
        <v>896</v>
      </c>
      <c r="X75" s="26" t="s">
        <v>897</v>
      </c>
      <c r="Y75" s="23"/>
      <c r="Z75" s="28"/>
      <c r="AA75" s="23"/>
      <c r="AB75" s="23" t="str">
        <f>IFERROR(__xludf.DUMMYFUNCTION("IF(
ISNUMBER(MATCH(
C75,
IMPORTRANGE(""https://docs.google.com/spreadsheets/d/1yTh1ELC33JHYOeEdgIiEclxPRyh0zOKtlawDltfUay8"",""'Champions'!A:A""),
0
)),
""Outreach Conducted"",
"""")"),"")</f>
        <v/>
      </c>
      <c r="AC75" s="23"/>
      <c r="AD75" s="23"/>
      <c r="AE75" s="23"/>
      <c r="AF75" s="23"/>
      <c r="AG75" s="23"/>
      <c r="AH75" s="23"/>
      <c r="AI75" s="23"/>
      <c r="AJ75" s="23"/>
      <c r="AK75" s="23"/>
      <c r="AL75" s="23"/>
    </row>
    <row r="76" hidden="1">
      <c r="A76" s="22" t="s">
        <v>898</v>
      </c>
      <c r="B76" s="22" t="s">
        <v>899</v>
      </c>
      <c r="C76" s="23" t="str">
        <f t="shared" si="1"/>
        <v>Chetna Bail</v>
      </c>
      <c r="D76" s="22">
        <v>4.254453391E9</v>
      </c>
      <c r="E76" s="29" t="s">
        <v>900</v>
      </c>
      <c r="F76" s="22" t="s">
        <v>248</v>
      </c>
      <c r="G76" s="22">
        <v>58.0</v>
      </c>
      <c r="H76" s="22">
        <f t="array" ref="H76">IFERROR(INDEX('Hub CPC 226'!A:A, MATCH(C76, 'Hub CPC 226'!B:B, 0)), "")</f>
        <v>78</v>
      </c>
      <c r="I76" s="22">
        <f t="array" ref="I76">IFERROR(INDEX('Hub Users 226'!A:A, MATCH(C76, 'Hub Users 226'!B:B, 0)), "")</f>
        <v>98</v>
      </c>
      <c r="J76" s="22"/>
      <c r="K76" s="23" t="s">
        <v>901</v>
      </c>
      <c r="L76" s="25">
        <v>43338.743055555555</v>
      </c>
      <c r="M76" s="23"/>
      <c r="N76" s="23"/>
      <c r="O76" s="23"/>
      <c r="P76" s="23"/>
      <c r="Q76" s="22" t="s">
        <v>902</v>
      </c>
      <c r="R76" s="22"/>
      <c r="S76" s="22" t="s">
        <v>903</v>
      </c>
      <c r="T76" s="22" t="s">
        <v>252</v>
      </c>
      <c r="U76" s="22" t="s">
        <v>904</v>
      </c>
      <c r="V76" s="26" t="s">
        <v>284</v>
      </c>
      <c r="W76" s="27" t="s">
        <v>905</v>
      </c>
      <c r="X76" s="26" t="s">
        <v>619</v>
      </c>
      <c r="Y76" s="23"/>
      <c r="Z76" s="28"/>
      <c r="AA76" s="23"/>
      <c r="AB76" s="23" t="str">
        <f>IFERROR(__xludf.DUMMYFUNCTION("IF(
ISNUMBER(MATCH(
C76,
IMPORTRANGE(""https://docs.google.com/spreadsheets/d/1yTh1ELC33JHYOeEdgIiEclxPRyh0zOKtlawDltfUay8"",""'Champions'!A:A""),
0
)),
""Outreach Conducted"",
"""")"),"")</f>
        <v/>
      </c>
      <c r="AC76" s="23"/>
      <c r="AD76" s="23"/>
      <c r="AE76" s="23"/>
      <c r="AF76" s="23"/>
      <c r="AG76" s="23"/>
      <c r="AH76" s="23"/>
      <c r="AI76" s="23"/>
      <c r="AJ76" s="23"/>
      <c r="AK76" s="23"/>
      <c r="AL76" s="23"/>
    </row>
    <row r="77" hidden="1">
      <c r="A77" s="22" t="s">
        <v>906</v>
      </c>
      <c r="B77" s="22" t="s">
        <v>907</v>
      </c>
      <c r="C77" s="23" t="str">
        <f t="shared" si="1"/>
        <v>Chiemela Okwandu</v>
      </c>
      <c r="D77" s="22">
        <v>1.9095681293E10</v>
      </c>
      <c r="E77" s="29" t="s">
        <v>908</v>
      </c>
      <c r="F77" s="22" t="s">
        <v>248</v>
      </c>
      <c r="G77" s="22">
        <v>457.0</v>
      </c>
      <c r="H77" s="22">
        <f t="array" ref="H77">IFERROR(INDEX('Hub CPC 226'!A:A, MATCH(C77, 'Hub CPC 226'!B:B, 0)), "")</f>
        <v>79</v>
      </c>
      <c r="I77" s="22">
        <f t="array" ref="I77">IFERROR(INDEX('Hub Users 226'!A:A, MATCH(C77, 'Hub Users 226'!B:B, 0)), "")</f>
        <v>99</v>
      </c>
      <c r="J77" s="22" t="s">
        <v>269</v>
      </c>
      <c r="K77" s="23" t="s">
        <v>909</v>
      </c>
      <c r="L77" s="25">
        <v>44253.0125</v>
      </c>
      <c r="M77" s="23"/>
      <c r="N77" s="23"/>
      <c r="O77" s="23"/>
      <c r="P77" s="23"/>
      <c r="Q77" s="22" t="s">
        <v>910</v>
      </c>
      <c r="R77" s="22" t="s">
        <v>911</v>
      </c>
      <c r="S77" s="22" t="s">
        <v>911</v>
      </c>
      <c r="T77" s="22" t="s">
        <v>252</v>
      </c>
      <c r="U77" s="22" t="s">
        <v>912</v>
      </c>
      <c r="V77" s="26" t="s">
        <v>254</v>
      </c>
      <c r="W77" s="27" t="s">
        <v>913</v>
      </c>
      <c r="X77" s="26" t="s">
        <v>914</v>
      </c>
      <c r="Y77" s="23"/>
      <c r="Z77" s="28"/>
      <c r="AA77" s="23"/>
      <c r="AB77" s="23" t="str">
        <f>IFERROR(__xludf.DUMMYFUNCTION("IF(
ISNUMBER(MATCH(
C77,
IMPORTRANGE(""https://docs.google.com/spreadsheets/d/1yTh1ELC33JHYOeEdgIiEclxPRyh0zOKtlawDltfUay8"",""'Champions'!A:A""),
0
)),
""Outreach Conducted"",
"""")"),"")</f>
        <v/>
      </c>
      <c r="AC77" s="23"/>
      <c r="AD77" s="23"/>
      <c r="AE77" s="23"/>
      <c r="AF77" s="23"/>
      <c r="AG77" s="23"/>
      <c r="AH77" s="23"/>
      <c r="AI77" s="23"/>
      <c r="AJ77" s="23"/>
      <c r="AK77" s="23"/>
      <c r="AL77" s="23"/>
    </row>
    <row r="78" hidden="1">
      <c r="A78" s="22" t="s">
        <v>915</v>
      </c>
      <c r="B78" s="22" t="s">
        <v>916</v>
      </c>
      <c r="C78" s="23" t="str">
        <f t="shared" si="1"/>
        <v>Christa Neu</v>
      </c>
      <c r="D78" s="22">
        <v>1.4849517637E10</v>
      </c>
      <c r="E78" s="29" t="s">
        <v>917</v>
      </c>
      <c r="F78" s="22" t="s">
        <v>248</v>
      </c>
      <c r="G78" s="22">
        <v>621.0</v>
      </c>
      <c r="H78" s="22">
        <f t="array" ref="H78">IFERROR(INDEX('Hub CPC 226'!A:A, MATCH(C78, 'Hub CPC 226'!B:B, 0)), "")</f>
        <v>80</v>
      </c>
      <c r="I78" s="22">
        <f t="array" ref="I78">IFERROR(INDEX('Hub Users 226'!A:A, MATCH(C78, 'Hub Users 226'!B:B, 0)), "")</f>
        <v>100</v>
      </c>
      <c r="J78" s="22" t="s">
        <v>107</v>
      </c>
      <c r="K78" s="23" t="s">
        <v>918</v>
      </c>
      <c r="L78" s="25">
        <v>44596.717361111114</v>
      </c>
      <c r="M78" s="23"/>
      <c r="N78" s="23"/>
      <c r="O78" s="23"/>
      <c r="P78" s="23"/>
      <c r="Q78" s="22" t="s">
        <v>919</v>
      </c>
      <c r="R78" s="22" t="s">
        <v>920</v>
      </c>
      <c r="S78" s="22" t="s">
        <v>921</v>
      </c>
      <c r="T78" s="22" t="s">
        <v>381</v>
      </c>
      <c r="U78" s="22" t="s">
        <v>922</v>
      </c>
      <c r="V78" s="26" t="s">
        <v>884</v>
      </c>
      <c r="W78" s="27" t="s">
        <v>923</v>
      </c>
      <c r="X78" s="26" t="s">
        <v>924</v>
      </c>
      <c r="Y78" s="23"/>
      <c r="Z78" s="28"/>
      <c r="AA78" s="23"/>
      <c r="AB78" s="23" t="str">
        <f>IFERROR(__xludf.DUMMYFUNCTION("IF(
ISNUMBER(MATCH(
C78,
IMPORTRANGE(""https://docs.google.com/spreadsheets/d/1yTh1ELC33JHYOeEdgIiEclxPRyh0zOKtlawDltfUay8"",""'Champions'!A:A""),
0
)),
""Outreach Conducted"",
"""")"),"")</f>
        <v/>
      </c>
      <c r="AC78" s="23"/>
      <c r="AD78" s="23"/>
      <c r="AE78" s="23"/>
      <c r="AF78" s="23"/>
      <c r="AG78" s="23"/>
      <c r="AH78" s="23"/>
      <c r="AI78" s="23"/>
      <c r="AJ78" s="23"/>
      <c r="AK78" s="23"/>
      <c r="AL78" s="23"/>
    </row>
    <row r="79" hidden="1">
      <c r="A79" s="22" t="s">
        <v>925</v>
      </c>
      <c r="B79" s="22" t="s">
        <v>926</v>
      </c>
      <c r="C79" s="23" t="str">
        <f t="shared" si="1"/>
        <v>Jennifer Chowdhury</v>
      </c>
      <c r="D79" s="22">
        <v>6.464797979E9</v>
      </c>
      <c r="E79" s="29" t="s">
        <v>927</v>
      </c>
      <c r="F79" s="22" t="s">
        <v>238</v>
      </c>
      <c r="G79" s="22">
        <v>22.0</v>
      </c>
      <c r="H79" s="22">
        <f t="array" ref="H79">IFERROR(INDEX('Hub CPC 226'!A:A, MATCH(C79, 'Hub CPC 226'!B:B, 0)), "")</f>
        <v>81</v>
      </c>
      <c r="I79" s="22">
        <f t="array" ref="I79">IFERROR(INDEX('Hub Users 226'!A:A, MATCH(C79, 'Hub Users 226'!B:B, 0)), "")</f>
        <v>101</v>
      </c>
      <c r="J79" s="22"/>
      <c r="K79" s="28" t="s">
        <v>928</v>
      </c>
      <c r="L79" s="25">
        <v>43338.743055555555</v>
      </c>
      <c r="M79" s="28">
        <v>10.0</v>
      </c>
      <c r="N79" s="28">
        <v>26.0</v>
      </c>
      <c r="O79" s="28">
        <v>52.0</v>
      </c>
      <c r="P79" s="32">
        <v>33.0</v>
      </c>
      <c r="Q79" s="22" t="s">
        <v>929</v>
      </c>
      <c r="R79" s="22"/>
      <c r="S79" s="22" t="s">
        <v>294</v>
      </c>
      <c r="T79" s="22" t="s">
        <v>272</v>
      </c>
      <c r="U79" s="22" t="s">
        <v>930</v>
      </c>
      <c r="V79" s="26" t="s">
        <v>242</v>
      </c>
      <c r="W79" s="35" t="s">
        <v>931</v>
      </c>
      <c r="X79" s="23"/>
      <c r="Y79" s="23"/>
      <c r="Z79" s="28"/>
      <c r="AA79" s="23"/>
      <c r="AB79" s="23" t="str">
        <f>IFERROR(__xludf.DUMMYFUNCTION("IF(
ISNUMBER(MATCH(
C79,
IMPORTRANGE(""https://docs.google.com/spreadsheets/d/1yTh1ELC33JHYOeEdgIiEclxPRyh0zOKtlawDltfUay8"",""'Champions'!A:A""),
0
)),
""Outreach Conducted"",
"""")"),"")</f>
        <v/>
      </c>
      <c r="AC79" s="23"/>
      <c r="AD79" s="23"/>
      <c r="AE79" s="23"/>
      <c r="AF79" s="23"/>
      <c r="AG79" s="23"/>
      <c r="AH79" s="23"/>
      <c r="AI79" s="23"/>
      <c r="AJ79" s="23"/>
      <c r="AK79" s="23"/>
      <c r="AL79" s="23"/>
    </row>
    <row r="80" hidden="1">
      <c r="A80" s="32" t="s">
        <v>932</v>
      </c>
      <c r="B80" s="32" t="s">
        <v>933</v>
      </c>
      <c r="C80" s="23" t="str">
        <f t="shared" si="1"/>
        <v>Christian Espinoza</v>
      </c>
      <c r="D80" s="32" t="s">
        <v>934</v>
      </c>
      <c r="E80" s="32" t="s">
        <v>935</v>
      </c>
      <c r="F80" s="28" t="s">
        <v>769</v>
      </c>
      <c r="G80" s="32">
        <v>488.0</v>
      </c>
      <c r="H80" s="22">
        <f t="array" ref="H80">IFERROR(INDEX('Hub CPC 226'!A:A, MATCH(C80, 'Hub CPC 226'!B:B, 0)), "")</f>
        <v>82</v>
      </c>
      <c r="I80" s="22">
        <f t="array" ref="I80">IFERROR(INDEX('Hub Users 226'!A:A, MATCH(C80, 'Hub Users 226'!B:B, 0)), "")</f>
        <v>102</v>
      </c>
      <c r="J80" s="22"/>
      <c r="K80" s="23" t="s">
        <v>936</v>
      </c>
      <c r="L80" s="37">
        <v>44399.486805555556</v>
      </c>
      <c r="M80" s="23"/>
      <c r="N80" s="23"/>
      <c r="O80" s="23"/>
      <c r="P80" s="23"/>
      <c r="Q80" s="32" t="s">
        <v>937</v>
      </c>
      <c r="R80" s="32" t="s">
        <v>938</v>
      </c>
      <c r="S80" s="32" t="s">
        <v>938</v>
      </c>
      <c r="T80" s="22" t="s">
        <v>252</v>
      </c>
      <c r="U80" s="32" t="s">
        <v>939</v>
      </c>
      <c r="V80" s="26" t="s">
        <v>284</v>
      </c>
      <c r="W80" s="27" t="s">
        <v>940</v>
      </c>
      <c r="X80" s="26" t="s">
        <v>619</v>
      </c>
      <c r="Y80" s="23"/>
      <c r="Z80" s="23"/>
      <c r="AA80" s="23"/>
      <c r="AB80" s="23" t="str">
        <f>IFERROR(__xludf.DUMMYFUNCTION("IF(
ISNUMBER(MATCH(
C80,
IMPORTRANGE(""https://docs.google.com/spreadsheets/d/1yTh1ELC33JHYOeEdgIiEclxPRyh0zOKtlawDltfUay8"",""'Champions'!A:A""),
0
)),
""Outreach Conducted"",
"""")"),"")</f>
        <v/>
      </c>
      <c r="AC80" s="23"/>
      <c r="AD80" s="23"/>
      <c r="AE80" s="23"/>
      <c r="AF80" s="23"/>
      <c r="AG80" s="23"/>
      <c r="AH80" s="23"/>
      <c r="AI80" s="23"/>
      <c r="AJ80" s="23"/>
      <c r="AK80" s="23"/>
      <c r="AL80" s="23"/>
    </row>
    <row r="81" hidden="1">
      <c r="A81" s="32" t="s">
        <v>941</v>
      </c>
      <c r="B81" s="32" t="s">
        <v>942</v>
      </c>
      <c r="C81" s="23" t="str">
        <f t="shared" si="1"/>
        <v>Christina Kiffney</v>
      </c>
      <c r="D81" s="32" t="s">
        <v>943</v>
      </c>
      <c r="E81" s="32" t="s">
        <v>944</v>
      </c>
      <c r="F81" s="28" t="s">
        <v>769</v>
      </c>
      <c r="G81" s="32">
        <v>679.0</v>
      </c>
      <c r="H81" s="22">
        <f t="array" ref="H81">IFERROR(INDEX('Hub CPC 226'!A:A, MATCH(C81, 'Hub CPC 226'!B:B, 0)), "")</f>
        <v>83</v>
      </c>
      <c r="I81" s="22">
        <f t="array" ref="I81">IFERROR(INDEX('Hub Users 226'!A:A, MATCH(C81, 'Hub Users 226'!B:B, 0)), "")</f>
        <v>103</v>
      </c>
      <c r="J81" s="22"/>
      <c r="K81" s="23" t="s">
        <v>945</v>
      </c>
      <c r="L81" s="38">
        <v>44879.705555555556</v>
      </c>
      <c r="M81" s="23"/>
      <c r="N81" s="23"/>
      <c r="O81" s="23"/>
      <c r="P81" s="23"/>
      <c r="Q81" s="32" t="s">
        <v>946</v>
      </c>
      <c r="R81" s="32" t="s">
        <v>947</v>
      </c>
      <c r="S81" s="22" t="s">
        <v>948</v>
      </c>
      <c r="T81" s="24"/>
      <c r="U81" s="32" t="s">
        <v>949</v>
      </c>
      <c r="V81" s="23"/>
      <c r="W81" s="23"/>
      <c r="X81" s="23"/>
      <c r="Y81" s="23"/>
      <c r="Z81" s="23"/>
      <c r="AA81" s="23"/>
      <c r="AB81" s="23" t="str">
        <f>IFERROR(__xludf.DUMMYFUNCTION("IF(
ISNUMBER(MATCH(
C81,
IMPORTRANGE(""https://docs.google.com/spreadsheets/d/1yTh1ELC33JHYOeEdgIiEclxPRyh0zOKtlawDltfUay8"",""'Champions'!A:A""),
0
)),
""Outreach Conducted"",
"""")"),"")</f>
        <v/>
      </c>
      <c r="AC81" s="23"/>
      <c r="AD81" s="23"/>
      <c r="AE81" s="23"/>
      <c r="AF81" s="23"/>
      <c r="AG81" s="23"/>
      <c r="AH81" s="23"/>
      <c r="AI81" s="23"/>
      <c r="AJ81" s="23"/>
      <c r="AK81" s="23"/>
      <c r="AL81" s="23"/>
    </row>
    <row r="82" hidden="1">
      <c r="A82" s="22" t="s">
        <v>950</v>
      </c>
      <c r="B82" s="22" t="s">
        <v>951</v>
      </c>
      <c r="C82" s="23" t="str">
        <f t="shared" si="1"/>
        <v>CHRISTINA BROOMES</v>
      </c>
      <c r="D82" s="22">
        <v>1.6507595799E10</v>
      </c>
      <c r="E82" s="29" t="s">
        <v>952</v>
      </c>
      <c r="F82" s="22" t="s">
        <v>248</v>
      </c>
      <c r="G82" s="22">
        <v>516.0</v>
      </c>
      <c r="H82" s="22">
        <f t="array" ref="H82">IFERROR(INDEX('Hub CPC 226'!A:A, MATCH(C82, 'Hub CPC 226'!B:B, 0)), "")</f>
        <v>84</v>
      </c>
      <c r="I82" s="22">
        <f t="array" ref="I82">IFERROR(INDEX('Hub Users 226'!A:A, MATCH(C82, 'Hub Users 226'!B:B, 0)), "")</f>
        <v>104</v>
      </c>
      <c r="J82" s="22" t="s">
        <v>302</v>
      </c>
      <c r="K82" s="23" t="s">
        <v>953</v>
      </c>
      <c r="L82" s="25">
        <v>44487.775</v>
      </c>
      <c r="M82" s="23"/>
      <c r="N82" s="23"/>
      <c r="O82" s="23"/>
      <c r="P82" s="23"/>
      <c r="Q82" s="22" t="s">
        <v>954</v>
      </c>
      <c r="R82" s="22" t="s">
        <v>955</v>
      </c>
      <c r="S82" s="22" t="s">
        <v>956</v>
      </c>
      <c r="T82" s="22" t="s">
        <v>626</v>
      </c>
      <c r="U82" s="22" t="s">
        <v>957</v>
      </c>
      <c r="V82" s="26" t="s">
        <v>884</v>
      </c>
      <c r="W82" s="27" t="s">
        <v>958</v>
      </c>
      <c r="X82" s="26" t="s">
        <v>959</v>
      </c>
      <c r="Y82" s="23"/>
      <c r="Z82" s="28"/>
      <c r="AA82" s="23"/>
      <c r="AB82" s="23" t="str">
        <f>IFERROR(__xludf.DUMMYFUNCTION("IF(
ISNUMBER(MATCH(
C82,
IMPORTRANGE(""https://docs.google.com/spreadsheets/d/1yTh1ELC33JHYOeEdgIiEclxPRyh0zOKtlawDltfUay8"",""'Champions'!A:A""),
0
)),
""Outreach Conducted"",
"""")"),"")</f>
        <v/>
      </c>
      <c r="AC82" s="23"/>
      <c r="AD82" s="23"/>
      <c r="AE82" s="23"/>
      <c r="AF82" s="23"/>
      <c r="AG82" s="23"/>
      <c r="AH82" s="23"/>
      <c r="AI82" s="23"/>
      <c r="AJ82" s="23"/>
      <c r="AK82" s="23"/>
      <c r="AL82" s="23"/>
    </row>
    <row r="83" hidden="1">
      <c r="A83" s="22" t="s">
        <v>960</v>
      </c>
      <c r="B83" s="22" t="s">
        <v>961</v>
      </c>
      <c r="C83" s="23" t="str">
        <f t="shared" si="1"/>
        <v>Christine Elizabeth Katt</v>
      </c>
      <c r="D83" s="22" t="s">
        <v>962</v>
      </c>
      <c r="E83" s="29" t="s">
        <v>963</v>
      </c>
      <c r="F83" s="22" t="s">
        <v>238</v>
      </c>
      <c r="G83" s="22">
        <v>140.0</v>
      </c>
      <c r="H83" s="22">
        <f t="array" ref="H83">IFERROR(INDEX('Hub CPC 226'!A:A, MATCH(C83, 'Hub CPC 226'!B:B, 0)), "")</f>
        <v>85</v>
      </c>
      <c r="I83" s="22">
        <f t="array" ref="I83">IFERROR(INDEX('Hub Users 226'!A:A, MATCH(C83, 'Hub Users 226'!B:B, 0)), "")</f>
        <v>105</v>
      </c>
      <c r="J83" s="22" t="s">
        <v>240</v>
      </c>
      <c r="K83" s="23" t="s">
        <v>964</v>
      </c>
      <c r="L83" s="25">
        <v>43590.63402777778</v>
      </c>
      <c r="M83" s="23"/>
      <c r="N83" s="23"/>
      <c r="O83" s="23"/>
      <c r="P83" s="23"/>
      <c r="Q83" s="22" t="s">
        <v>965</v>
      </c>
      <c r="R83" s="22" t="s">
        <v>966</v>
      </c>
      <c r="S83" s="22" t="s">
        <v>380</v>
      </c>
      <c r="T83" s="22" t="s">
        <v>381</v>
      </c>
      <c r="U83" s="22" t="s">
        <v>967</v>
      </c>
      <c r="V83" s="23"/>
      <c r="W83" s="23"/>
      <c r="X83" s="23"/>
      <c r="Y83" s="23"/>
      <c r="Z83" s="28"/>
      <c r="AA83" s="23"/>
      <c r="AB83" s="23" t="str">
        <f>IFERROR(__xludf.DUMMYFUNCTION("IF(
ISNUMBER(MATCH(
C83,
IMPORTRANGE(""https://docs.google.com/spreadsheets/d/1yTh1ELC33JHYOeEdgIiEclxPRyh0zOKtlawDltfUay8"",""'Champions'!A:A""),
0
)),
""Outreach Conducted"",
"""")"),"")</f>
        <v/>
      </c>
      <c r="AC83" s="23"/>
      <c r="AD83" s="23"/>
      <c r="AE83" s="23"/>
      <c r="AF83" s="23"/>
      <c r="AG83" s="23"/>
      <c r="AH83" s="23"/>
      <c r="AI83" s="23"/>
      <c r="AJ83" s="23"/>
      <c r="AK83" s="23"/>
      <c r="AL83" s="23"/>
    </row>
    <row r="84" hidden="1">
      <c r="A84" s="22" t="s">
        <v>968</v>
      </c>
      <c r="B84" s="22" t="s">
        <v>969</v>
      </c>
      <c r="C84" s="23" t="str">
        <f t="shared" si="1"/>
        <v>Claudia Mendez</v>
      </c>
      <c r="D84" s="22" t="s">
        <v>970</v>
      </c>
      <c r="E84" s="29" t="s">
        <v>971</v>
      </c>
      <c r="F84" s="22" t="s">
        <v>248</v>
      </c>
      <c r="G84" s="22">
        <v>93.0</v>
      </c>
      <c r="H84" s="22">
        <f t="array" ref="H84">IFERROR(INDEX('Hub CPC 226'!A:A, MATCH(C84, 'Hub CPC 226'!B:B, 0)), "")</f>
        <v>86</v>
      </c>
      <c r="I84" s="22">
        <f t="array" ref="I84">IFERROR(INDEX('Hub Users 226'!A:A, MATCH(C84, 'Hub Users 226'!B:B, 0)), "")</f>
        <v>106</v>
      </c>
      <c r="J84" s="22" t="s">
        <v>240</v>
      </c>
      <c r="K84" s="23" t="s">
        <v>972</v>
      </c>
      <c r="L84" s="25">
        <v>43393.575694444444</v>
      </c>
      <c r="M84" s="23"/>
      <c r="N84" s="23"/>
      <c r="O84" s="23"/>
      <c r="P84" s="23"/>
      <c r="Q84" s="22" t="s">
        <v>973</v>
      </c>
      <c r="R84" s="22" t="s">
        <v>974</v>
      </c>
      <c r="S84" s="22" t="s">
        <v>974</v>
      </c>
      <c r="T84" s="22" t="s">
        <v>252</v>
      </c>
      <c r="U84" s="22" t="s">
        <v>975</v>
      </c>
      <c r="V84" s="23"/>
      <c r="W84" s="23"/>
      <c r="X84" s="23"/>
      <c r="Y84" s="23"/>
      <c r="Z84" s="28"/>
      <c r="AA84" s="23"/>
      <c r="AB84" s="23" t="str">
        <f>IFERROR(__xludf.DUMMYFUNCTION("IF(
ISNUMBER(MATCH(
C84,
IMPORTRANGE(""https://docs.google.com/spreadsheets/d/1yTh1ELC33JHYOeEdgIiEclxPRyh0zOKtlawDltfUay8"",""'Champions'!A:A""),
0
)),
""Outreach Conducted"",
"""")"),"")</f>
        <v/>
      </c>
      <c r="AC84" s="23"/>
      <c r="AD84" s="23"/>
      <c r="AE84" s="23"/>
      <c r="AF84" s="23"/>
      <c r="AG84" s="23"/>
      <c r="AH84" s="23"/>
      <c r="AI84" s="23"/>
      <c r="AJ84" s="23"/>
      <c r="AK84" s="23"/>
      <c r="AL84" s="23"/>
    </row>
    <row r="85" hidden="1">
      <c r="A85" s="22" t="s">
        <v>976</v>
      </c>
      <c r="B85" s="22" t="s">
        <v>977</v>
      </c>
      <c r="C85" s="23" t="str">
        <f t="shared" si="1"/>
        <v>Christopher Pasi</v>
      </c>
      <c r="D85" s="22">
        <v>1.9087208444E10</v>
      </c>
      <c r="E85" s="29" t="s">
        <v>978</v>
      </c>
      <c r="F85" s="22" t="s">
        <v>248</v>
      </c>
      <c r="G85" s="22">
        <v>619.0</v>
      </c>
      <c r="H85" s="22">
        <f t="array" ref="H85">IFERROR(INDEX('Hub CPC 226'!A:A, MATCH(C85, 'Hub CPC 226'!B:B, 0)), "")</f>
        <v>88</v>
      </c>
      <c r="I85" s="22">
        <f t="array" ref="I85">IFERROR(INDEX('Hub Users 226'!A:A, MATCH(C85, 'Hub Users 226'!B:B, 0)), "")</f>
        <v>108</v>
      </c>
      <c r="J85" s="22" t="s">
        <v>407</v>
      </c>
      <c r="K85" s="23" t="s">
        <v>979</v>
      </c>
      <c r="L85" s="25">
        <v>44593.740277777775</v>
      </c>
      <c r="M85" s="28">
        <v>13.0</v>
      </c>
      <c r="N85" s="28">
        <v>30.0</v>
      </c>
      <c r="O85" s="28">
        <v>70.0</v>
      </c>
      <c r="P85" s="32">
        <v>9.0</v>
      </c>
      <c r="Q85" s="22" t="s">
        <v>980</v>
      </c>
      <c r="R85" s="22" t="s">
        <v>981</v>
      </c>
      <c r="S85" s="22" t="s">
        <v>271</v>
      </c>
      <c r="T85" s="22" t="s">
        <v>272</v>
      </c>
      <c r="U85" s="22" t="s">
        <v>982</v>
      </c>
      <c r="V85" s="26" t="s">
        <v>507</v>
      </c>
      <c r="W85" s="27" t="s">
        <v>983</v>
      </c>
      <c r="X85" s="26" t="s">
        <v>984</v>
      </c>
      <c r="Y85" s="23"/>
      <c r="Z85" s="28"/>
      <c r="AA85" s="23"/>
      <c r="AB85" s="23" t="str">
        <f>IFERROR(__xludf.DUMMYFUNCTION("IF(
ISNUMBER(MATCH(
C85,
IMPORTRANGE(""https://docs.google.com/spreadsheets/d/1yTh1ELC33JHYOeEdgIiEclxPRyh0zOKtlawDltfUay8"",""'Champions'!A:A""),
0
)),
""Outreach Conducted"",
"""")"),"")</f>
        <v/>
      </c>
      <c r="AC85" s="23"/>
      <c r="AD85" s="23"/>
      <c r="AE85" s="23"/>
      <c r="AF85" s="23"/>
      <c r="AG85" s="23"/>
      <c r="AH85" s="23"/>
      <c r="AI85" s="23"/>
      <c r="AJ85" s="23"/>
      <c r="AK85" s="23"/>
      <c r="AL85" s="23"/>
    </row>
    <row r="86" hidden="1">
      <c r="A86" s="22" t="s">
        <v>985</v>
      </c>
      <c r="B86" s="22" t="s">
        <v>986</v>
      </c>
      <c r="C86" s="23" t="str">
        <f t="shared" si="1"/>
        <v>Colleen Rebecca Osborne</v>
      </c>
      <c r="D86" s="22" t="s">
        <v>987</v>
      </c>
      <c r="E86" s="29" t="s">
        <v>988</v>
      </c>
      <c r="F86" s="22" t="s">
        <v>238</v>
      </c>
      <c r="G86" s="22">
        <v>109.0</v>
      </c>
      <c r="H86" s="22">
        <f t="array" ref="H86">IFERROR(INDEX('Hub CPC 226'!A:A, MATCH(C86, 'Hub CPC 226'!B:B, 0)), "")</f>
        <v>89</v>
      </c>
      <c r="I86" s="22">
        <f t="array" ref="I86">IFERROR(INDEX('Hub Users 226'!A:A, MATCH(C86, 'Hub Users 226'!B:B, 0)), "")</f>
        <v>109</v>
      </c>
      <c r="J86" s="22" t="s">
        <v>240</v>
      </c>
      <c r="K86" s="23" t="s">
        <v>989</v>
      </c>
      <c r="L86" s="25">
        <v>43484.714583333334</v>
      </c>
      <c r="M86" s="28">
        <v>10.0</v>
      </c>
      <c r="N86" s="28">
        <v>20.0</v>
      </c>
      <c r="O86" s="28">
        <v>44.0</v>
      </c>
      <c r="P86" s="32">
        <v>35.0</v>
      </c>
      <c r="Q86" s="22" t="s">
        <v>990</v>
      </c>
      <c r="R86" s="22" t="s">
        <v>293</v>
      </c>
      <c r="S86" s="22" t="s">
        <v>294</v>
      </c>
      <c r="T86" s="22" t="s">
        <v>272</v>
      </c>
      <c r="U86" s="22" t="s">
        <v>991</v>
      </c>
      <c r="V86" s="23"/>
      <c r="W86" s="23"/>
      <c r="X86" s="23"/>
      <c r="Y86" s="23"/>
      <c r="Z86" s="28"/>
      <c r="AA86" s="23"/>
      <c r="AB86" s="23" t="str">
        <f>IFERROR(__xludf.DUMMYFUNCTION("IF(
ISNUMBER(MATCH(
C86,
IMPORTRANGE(""https://docs.google.com/spreadsheets/d/1yTh1ELC33JHYOeEdgIiEclxPRyh0zOKtlawDltfUay8"",""'Champions'!A:A""),
0
)),
""Outreach Conducted"",
"""")"),"")</f>
        <v/>
      </c>
      <c r="AC86" s="23"/>
      <c r="AD86" s="23"/>
      <c r="AE86" s="23"/>
      <c r="AF86" s="23"/>
      <c r="AG86" s="23"/>
      <c r="AH86" s="23"/>
      <c r="AI86" s="23"/>
      <c r="AJ86" s="23"/>
      <c r="AK86" s="23"/>
      <c r="AL86" s="23"/>
    </row>
    <row r="87" hidden="1">
      <c r="A87" s="22" t="s">
        <v>992</v>
      </c>
      <c r="B87" s="22" t="s">
        <v>993</v>
      </c>
      <c r="C87" s="23" t="str">
        <f t="shared" si="1"/>
        <v>Carmen Maldonado-Bowling</v>
      </c>
      <c r="D87" s="22">
        <v>1.9379749913E10</v>
      </c>
      <c r="E87" s="29" t="s">
        <v>994</v>
      </c>
      <c r="F87" s="22" t="s">
        <v>248</v>
      </c>
      <c r="G87" s="22">
        <v>670.0</v>
      </c>
      <c r="H87" s="22">
        <f t="array" ref="H87">IFERROR(INDEX('Hub CPC 226'!A:A, MATCH(C87, 'Hub CPC 226'!B:B, 0)), "")</f>
        <v>90</v>
      </c>
      <c r="I87" s="22">
        <f t="array" ref="I87">IFERROR(INDEX('Hub Users 226'!A:A, MATCH(C87, 'Hub Users 226'!B:B, 0)), "")</f>
        <v>110</v>
      </c>
      <c r="J87" s="22" t="s">
        <v>290</v>
      </c>
      <c r="K87" s="28" t="s">
        <v>995</v>
      </c>
      <c r="L87" s="25">
        <v>44844.722916666666</v>
      </c>
      <c r="M87" s="23"/>
      <c r="N87" s="23"/>
      <c r="O87" s="23"/>
      <c r="P87" s="23"/>
      <c r="Q87" s="22" t="s">
        <v>996</v>
      </c>
      <c r="R87" s="22" t="s">
        <v>997</v>
      </c>
      <c r="S87" s="22" t="s">
        <v>998</v>
      </c>
      <c r="T87" s="22" t="s">
        <v>465</v>
      </c>
      <c r="U87" s="22" t="s">
        <v>999</v>
      </c>
      <c r="V87" s="26" t="s">
        <v>1000</v>
      </c>
      <c r="W87" s="27" t="s">
        <v>1001</v>
      </c>
      <c r="X87" s="26" t="s">
        <v>1002</v>
      </c>
      <c r="Y87" s="23"/>
      <c r="Z87" s="28"/>
      <c r="AA87" s="23"/>
      <c r="AB87" s="23" t="str">
        <f>IFERROR(__xludf.DUMMYFUNCTION("IF(
ISNUMBER(MATCH(
C87,
IMPORTRANGE(""https://docs.google.com/spreadsheets/d/1yTh1ELC33JHYOeEdgIiEclxPRyh0zOKtlawDltfUay8"",""'Champions'!A:A""),
0
)),
""Outreach Conducted"",
"""")"),"")</f>
        <v/>
      </c>
      <c r="AC87" s="23"/>
      <c r="AD87" s="23"/>
      <c r="AE87" s="23"/>
      <c r="AF87" s="23"/>
      <c r="AG87" s="23"/>
      <c r="AH87" s="23"/>
      <c r="AI87" s="23"/>
      <c r="AJ87" s="23"/>
      <c r="AK87" s="23"/>
      <c r="AL87" s="23"/>
    </row>
    <row r="88" hidden="1">
      <c r="A88" s="32" t="s">
        <v>1003</v>
      </c>
      <c r="B88" s="32" t="s">
        <v>1004</v>
      </c>
      <c r="C88" s="23" t="str">
        <f t="shared" si="1"/>
        <v>Daniela Alarcon</v>
      </c>
      <c r="D88" s="32" t="s">
        <v>1005</v>
      </c>
      <c r="E88" s="32" t="s">
        <v>1006</v>
      </c>
      <c r="F88" s="28" t="s">
        <v>769</v>
      </c>
      <c r="G88" s="32">
        <v>594.0</v>
      </c>
      <c r="H88" s="22">
        <f t="array" ref="H88">IFERROR(INDEX('Hub CPC 226'!A:A, MATCH(C88, 'Hub CPC 226'!B:B, 0)), "")</f>
        <v>91</v>
      </c>
      <c r="I88" s="22">
        <f t="array" ref="I88">IFERROR(INDEX('Hub Users 226'!A:A, MATCH(C88, 'Hub Users 226'!B:B, 0)), "")</f>
        <v>111</v>
      </c>
      <c r="J88" s="22"/>
      <c r="K88" s="23" t="s">
        <v>1007</v>
      </c>
      <c r="L88" s="37">
        <v>44574.67569444444</v>
      </c>
      <c r="M88" s="23"/>
      <c r="N88" s="23"/>
      <c r="O88" s="23"/>
      <c r="P88" s="23"/>
      <c r="Q88" s="32" t="s">
        <v>1008</v>
      </c>
      <c r="R88" s="32" t="s">
        <v>1009</v>
      </c>
      <c r="S88" s="24"/>
      <c r="T88" s="24"/>
      <c r="U88" s="32" t="s">
        <v>130</v>
      </c>
      <c r="V88" s="26" t="s">
        <v>284</v>
      </c>
      <c r="W88" s="27" t="s">
        <v>1010</v>
      </c>
      <c r="X88" s="26" t="s">
        <v>477</v>
      </c>
      <c r="Y88" s="23"/>
      <c r="Z88" s="23"/>
      <c r="AA88" s="23"/>
      <c r="AB88" s="23" t="str">
        <f>IFERROR(__xludf.DUMMYFUNCTION("IF(
ISNUMBER(MATCH(
C88,
IMPORTRANGE(""https://docs.google.com/spreadsheets/d/1yTh1ELC33JHYOeEdgIiEclxPRyh0zOKtlawDltfUay8"",""'Champions'!A:A""),
0
)),
""Outreach Conducted"",
"""")"),"")</f>
        <v/>
      </c>
      <c r="AC88" s="23"/>
      <c r="AD88" s="23"/>
      <c r="AE88" s="23"/>
      <c r="AF88" s="23"/>
      <c r="AG88" s="23"/>
      <c r="AH88" s="23"/>
      <c r="AI88" s="23"/>
      <c r="AJ88" s="23"/>
      <c r="AK88" s="23"/>
      <c r="AL88" s="23"/>
    </row>
    <row r="89" hidden="1">
      <c r="A89" s="22" t="s">
        <v>1011</v>
      </c>
      <c r="B89" s="22" t="s">
        <v>1012</v>
      </c>
      <c r="C89" s="23" t="str">
        <f t="shared" si="1"/>
        <v>Dominique Kagele</v>
      </c>
      <c r="D89" s="22" t="s">
        <v>1013</v>
      </c>
      <c r="E89" s="29" t="s">
        <v>1014</v>
      </c>
      <c r="F89" s="22" t="s">
        <v>248</v>
      </c>
      <c r="G89" s="22">
        <v>108.0</v>
      </c>
      <c r="H89" s="22">
        <f t="array" ref="H89">IFERROR(INDEX('Hub CPC 226'!A:A, MATCH(C89, 'Hub CPC 226'!B:B, 0)), "")</f>
        <v>92</v>
      </c>
      <c r="I89" s="22">
        <f t="array" ref="I89">IFERROR(INDEX('Hub Users 226'!A:A, MATCH(C89, 'Hub Users 226'!B:B, 0)), "")</f>
        <v>112</v>
      </c>
      <c r="J89" s="22" t="s">
        <v>240</v>
      </c>
      <c r="K89" s="28" t="s">
        <v>1015</v>
      </c>
      <c r="L89" s="25">
        <v>43484.71111111111</v>
      </c>
      <c r="M89" s="23"/>
      <c r="N89" s="23"/>
      <c r="O89" s="23"/>
      <c r="P89" s="23"/>
      <c r="Q89" s="22" t="s">
        <v>1016</v>
      </c>
      <c r="R89" s="22" t="s">
        <v>723</v>
      </c>
      <c r="S89" s="22" t="s">
        <v>473</v>
      </c>
      <c r="T89" s="22" t="s">
        <v>252</v>
      </c>
      <c r="U89" s="22" t="s">
        <v>1017</v>
      </c>
      <c r="V89" s="26" t="s">
        <v>445</v>
      </c>
      <c r="W89" s="27" t="s">
        <v>1018</v>
      </c>
      <c r="X89" s="26" t="s">
        <v>1019</v>
      </c>
      <c r="Y89" s="23"/>
      <c r="Z89" s="28"/>
      <c r="AA89" s="23"/>
      <c r="AB89" s="23" t="str">
        <f>IFERROR(__xludf.DUMMYFUNCTION("IF(
ISNUMBER(MATCH(
C89,
IMPORTRANGE(""https://docs.google.com/spreadsheets/d/1yTh1ELC33JHYOeEdgIiEclxPRyh0zOKtlawDltfUay8"",""'Champions'!A:A""),
0
)),
""Outreach Conducted"",
"""")"),"")</f>
        <v/>
      </c>
      <c r="AC89" s="23"/>
      <c r="AD89" s="23"/>
      <c r="AE89" s="23"/>
      <c r="AF89" s="23"/>
      <c r="AG89" s="23"/>
      <c r="AH89" s="23"/>
      <c r="AI89" s="23"/>
      <c r="AJ89" s="23"/>
      <c r="AK89" s="23"/>
      <c r="AL89" s="23"/>
    </row>
    <row r="90" hidden="1">
      <c r="A90" s="22" t="s">
        <v>1020</v>
      </c>
      <c r="B90" s="22" t="s">
        <v>1021</v>
      </c>
      <c r="C90" s="23" t="str">
        <f t="shared" si="1"/>
        <v>Dalida Jaafar</v>
      </c>
      <c r="D90" s="22">
        <v>9.515667361E9</v>
      </c>
      <c r="E90" s="29" t="s">
        <v>1022</v>
      </c>
      <c r="F90" s="22" t="s">
        <v>238</v>
      </c>
      <c r="G90" s="22">
        <v>407.0</v>
      </c>
      <c r="H90" s="22">
        <f t="array" ref="H90">IFERROR(INDEX('Hub CPC 226'!A:A, MATCH(C90, 'Hub CPC 226'!B:B, 0)), "")</f>
        <v>93</v>
      </c>
      <c r="I90" s="22">
        <f t="array" ref="I90">IFERROR(INDEX('Hub Users 226'!A:A, MATCH(C90, 'Hub Users 226'!B:B, 0)), "")</f>
        <v>113</v>
      </c>
      <c r="J90" s="22" t="s">
        <v>290</v>
      </c>
      <c r="K90" s="23" t="s">
        <v>1023</v>
      </c>
      <c r="L90" s="25">
        <v>44200.779861111114</v>
      </c>
      <c r="M90" s="23"/>
      <c r="N90" s="23"/>
      <c r="O90" s="23"/>
      <c r="P90" s="23"/>
      <c r="Q90" s="22" t="s">
        <v>1024</v>
      </c>
      <c r="R90" s="22" t="s">
        <v>1025</v>
      </c>
      <c r="S90" s="22" t="s">
        <v>1026</v>
      </c>
      <c r="T90" s="22" t="s">
        <v>252</v>
      </c>
      <c r="U90" s="22" t="s">
        <v>1027</v>
      </c>
      <c r="V90" s="23"/>
      <c r="W90" s="23"/>
      <c r="X90" s="23"/>
      <c r="Y90" s="23"/>
      <c r="Z90" s="28"/>
      <c r="AA90" s="23"/>
      <c r="AB90" s="23" t="str">
        <f>IFERROR(__xludf.DUMMYFUNCTION("IF(
ISNUMBER(MATCH(
C90,
IMPORTRANGE(""https://docs.google.com/spreadsheets/d/1yTh1ELC33JHYOeEdgIiEclxPRyh0zOKtlawDltfUay8"",""'Champions'!A:A""),
0
)),
""Outreach Conducted"",
"""")"),"")</f>
        <v/>
      </c>
      <c r="AC90" s="23"/>
      <c r="AD90" s="23"/>
      <c r="AE90" s="23"/>
      <c r="AF90" s="23"/>
      <c r="AG90" s="23"/>
      <c r="AH90" s="23"/>
      <c r="AI90" s="23"/>
      <c r="AJ90" s="23"/>
      <c r="AK90" s="23"/>
      <c r="AL90" s="23"/>
    </row>
    <row r="91" hidden="1">
      <c r="A91" s="22" t="s">
        <v>1028</v>
      </c>
      <c r="B91" s="22" t="s">
        <v>1029</v>
      </c>
      <c r="C91" s="23" t="str">
        <f t="shared" si="1"/>
        <v>Lena K Dandy</v>
      </c>
      <c r="D91" s="22" t="s">
        <v>1030</v>
      </c>
      <c r="E91" s="29" t="s">
        <v>1031</v>
      </c>
      <c r="F91" s="22" t="s">
        <v>248</v>
      </c>
      <c r="G91" s="22">
        <v>162.0</v>
      </c>
      <c r="H91" s="22">
        <f t="array" ref="H91">IFERROR(INDEX('Hub CPC 226'!A:A, MATCH(C91, 'Hub CPC 226'!B:B, 0)), "")</f>
        <v>94</v>
      </c>
      <c r="I91" s="22">
        <f t="array" ref="I91">IFERROR(INDEX('Hub Users 226'!A:A, MATCH(C91, 'Hub Users 226'!B:B, 0)), "")</f>
        <v>114</v>
      </c>
      <c r="J91" s="22" t="s">
        <v>240</v>
      </c>
      <c r="K91" s="23" t="s">
        <v>1032</v>
      </c>
      <c r="L91" s="25">
        <v>43590.64027777778</v>
      </c>
      <c r="M91" s="23"/>
      <c r="N91" s="23"/>
      <c r="O91" s="23"/>
      <c r="P91" s="23"/>
      <c r="Q91" s="22" t="s">
        <v>1033</v>
      </c>
      <c r="R91" s="22" t="s">
        <v>272</v>
      </c>
      <c r="S91" s="22" t="s">
        <v>1034</v>
      </c>
      <c r="T91" s="22" t="s">
        <v>241</v>
      </c>
      <c r="U91" s="22" t="s">
        <v>1035</v>
      </c>
      <c r="V91" s="26" t="s">
        <v>798</v>
      </c>
      <c r="W91" s="27" t="s">
        <v>1036</v>
      </c>
      <c r="X91" s="26" t="s">
        <v>1037</v>
      </c>
      <c r="Y91" s="23"/>
      <c r="Z91" s="28"/>
      <c r="AA91" s="23"/>
      <c r="AB91" s="23" t="str">
        <f>IFERROR(__xludf.DUMMYFUNCTION("IF(
ISNUMBER(MATCH(
C91,
IMPORTRANGE(""https://docs.google.com/spreadsheets/d/1yTh1ELC33JHYOeEdgIiEclxPRyh0zOKtlawDltfUay8"",""'Champions'!A:A""),
0
)),
""Outreach Conducted"",
"""")"),"")</f>
        <v/>
      </c>
      <c r="AC91" s="23"/>
      <c r="AD91" s="23"/>
      <c r="AE91" s="23"/>
      <c r="AF91" s="23"/>
      <c r="AG91" s="23"/>
      <c r="AH91" s="23"/>
      <c r="AI91" s="23"/>
      <c r="AJ91" s="23"/>
      <c r="AK91" s="23"/>
      <c r="AL91" s="23"/>
    </row>
    <row r="92" hidden="1">
      <c r="A92" s="22" t="s">
        <v>1003</v>
      </c>
      <c r="B92" s="22" t="s">
        <v>1038</v>
      </c>
      <c r="C92" s="23" t="str">
        <f t="shared" si="1"/>
        <v>Daniela Russo</v>
      </c>
      <c r="D92" s="22" t="s">
        <v>1039</v>
      </c>
      <c r="E92" s="29" t="s">
        <v>1040</v>
      </c>
      <c r="F92" s="22" t="s">
        <v>248</v>
      </c>
      <c r="G92" s="22">
        <v>216.0</v>
      </c>
      <c r="H92" s="22">
        <f t="array" ref="H92">IFERROR(INDEX('Hub CPC 226'!A:A, MATCH(C92, 'Hub CPC 226'!B:B, 0)), "")</f>
        <v>95</v>
      </c>
      <c r="I92" s="22">
        <f t="array" ref="I92">IFERROR(INDEX('Hub Users 226'!A:A, MATCH(C92, 'Hub Users 226'!B:B, 0)), "")</f>
        <v>115</v>
      </c>
      <c r="J92" s="22" t="s">
        <v>260</v>
      </c>
      <c r="K92" s="23" t="s">
        <v>1041</v>
      </c>
      <c r="L92" s="25">
        <v>43739.447222222225</v>
      </c>
      <c r="M92" s="28">
        <v>6.0</v>
      </c>
      <c r="N92" s="28">
        <v>12.0</v>
      </c>
      <c r="O92" s="28">
        <v>37.0</v>
      </c>
      <c r="P92" s="32">
        <v>26.0</v>
      </c>
      <c r="Q92" s="22" t="s">
        <v>1042</v>
      </c>
      <c r="R92" s="22" t="s">
        <v>271</v>
      </c>
      <c r="S92" s="22" t="s">
        <v>324</v>
      </c>
      <c r="T92" s="22" t="s">
        <v>272</v>
      </c>
      <c r="U92" s="22" t="s">
        <v>1043</v>
      </c>
      <c r="V92" s="26" t="s">
        <v>393</v>
      </c>
      <c r="W92" s="27" t="s">
        <v>1044</v>
      </c>
      <c r="X92" s="26" t="s">
        <v>519</v>
      </c>
      <c r="Y92" s="23"/>
      <c r="Z92" s="28"/>
      <c r="AA92" s="23"/>
      <c r="AB92" s="23" t="str">
        <f>IFERROR(__xludf.DUMMYFUNCTION("IF(
ISNUMBER(MATCH(
C92,
IMPORTRANGE(""https://docs.google.com/spreadsheets/d/1yTh1ELC33JHYOeEdgIiEclxPRyh0zOKtlawDltfUay8"",""'Champions'!A:A""),
0
)),
""Outreach Conducted"",
"""")"),"")</f>
        <v/>
      </c>
      <c r="AC92" s="23"/>
      <c r="AD92" s="23"/>
      <c r="AE92" s="23"/>
      <c r="AF92" s="23"/>
      <c r="AG92" s="23"/>
      <c r="AH92" s="23"/>
      <c r="AI92" s="23"/>
      <c r="AJ92" s="23"/>
      <c r="AK92" s="23"/>
      <c r="AL92" s="23"/>
    </row>
    <row r="93" hidden="1">
      <c r="A93" s="22" t="s">
        <v>1045</v>
      </c>
      <c r="B93" s="22" t="s">
        <v>1046</v>
      </c>
      <c r="C93" s="23" t="str">
        <f t="shared" si="1"/>
        <v>Danielle Lian Farage</v>
      </c>
      <c r="D93" s="22">
        <v>9.178428767E9</v>
      </c>
      <c r="E93" s="29" t="s">
        <v>1047</v>
      </c>
      <c r="F93" s="22" t="s">
        <v>248</v>
      </c>
      <c r="G93" s="22">
        <v>369.0</v>
      </c>
      <c r="H93" s="22">
        <f t="array" ref="H93">IFERROR(INDEX('Hub CPC 226'!A:A, MATCH(C93, 'Hub CPC 226'!B:B, 0)), "")</f>
        <v>96</v>
      </c>
      <c r="I93" s="22">
        <f t="array" ref="I93">IFERROR(INDEX('Hub Users 226'!A:A, MATCH(C93, 'Hub Users 226'!B:B, 0)), "")</f>
        <v>116</v>
      </c>
      <c r="J93" s="22" t="s">
        <v>260</v>
      </c>
      <c r="K93" s="28" t="s">
        <v>1048</v>
      </c>
      <c r="L93" s="25">
        <v>44160.64791666667</v>
      </c>
      <c r="M93" s="28">
        <v>12.0</v>
      </c>
      <c r="N93" s="28">
        <v>47.0</v>
      </c>
      <c r="O93" s="28">
        <v>67.0</v>
      </c>
      <c r="P93" s="32">
        <v>3.0</v>
      </c>
      <c r="Q93" s="22" t="s">
        <v>1049</v>
      </c>
      <c r="R93" s="22" t="s">
        <v>271</v>
      </c>
      <c r="S93" s="22" t="s">
        <v>271</v>
      </c>
      <c r="T93" s="22" t="s">
        <v>272</v>
      </c>
      <c r="U93" s="22" t="s">
        <v>1050</v>
      </c>
      <c r="V93" s="23"/>
      <c r="W93" s="23"/>
      <c r="X93" s="23"/>
      <c r="Y93" s="23"/>
      <c r="Z93" s="28"/>
      <c r="AA93" s="23"/>
      <c r="AB93" s="23" t="str">
        <f>IFERROR(__xludf.DUMMYFUNCTION("IF(
ISNUMBER(MATCH(
C93,
IMPORTRANGE(""https://docs.google.com/spreadsheets/d/1yTh1ELC33JHYOeEdgIiEclxPRyh0zOKtlawDltfUay8"",""'Champions'!A:A""),
0
)),
""Outreach Conducted"",
"""")"),"")</f>
        <v/>
      </c>
      <c r="AC93" s="23"/>
      <c r="AD93" s="23"/>
      <c r="AE93" s="23"/>
      <c r="AF93" s="23"/>
      <c r="AG93" s="23"/>
      <c r="AH93" s="23"/>
      <c r="AI93" s="23"/>
      <c r="AJ93" s="23"/>
      <c r="AK93" s="23"/>
      <c r="AL93" s="23"/>
    </row>
    <row r="94" hidden="1">
      <c r="A94" s="22" t="s">
        <v>1003</v>
      </c>
      <c r="B94" s="22" t="s">
        <v>1051</v>
      </c>
      <c r="C94" s="23" t="str">
        <f t="shared" si="1"/>
        <v>Daniela Fernandez Espinosa</v>
      </c>
      <c r="D94" s="22">
        <v>1.5102069806E10</v>
      </c>
      <c r="E94" s="29" t="s">
        <v>1052</v>
      </c>
      <c r="F94" s="22" t="s">
        <v>248</v>
      </c>
      <c r="G94" s="22">
        <v>626.0</v>
      </c>
      <c r="H94" s="22">
        <f t="array" ref="H94">IFERROR(INDEX('Hub CPC 226'!A:A, MATCH(C94, 'Hub CPC 226'!B:B, 0)), "")</f>
        <v>97</v>
      </c>
      <c r="I94" s="22">
        <f t="array" ref="I94">IFERROR(INDEX('Hub Users 226'!A:A, MATCH(C94, 'Hub Users 226'!B:B, 0)), "")</f>
        <v>117</v>
      </c>
      <c r="J94" s="22" t="s">
        <v>240</v>
      </c>
      <c r="K94" s="23" t="s">
        <v>1053</v>
      </c>
      <c r="L94" s="25">
        <v>44621.73402777778</v>
      </c>
      <c r="M94" s="23"/>
      <c r="N94" s="23"/>
      <c r="O94" s="23"/>
      <c r="P94" s="23"/>
      <c r="Q94" s="22" t="s">
        <v>1054</v>
      </c>
      <c r="R94" s="22" t="s">
        <v>1055</v>
      </c>
      <c r="S94" s="22" t="s">
        <v>1056</v>
      </c>
      <c r="T94" s="22" t="s">
        <v>252</v>
      </c>
      <c r="U94" s="22" t="s">
        <v>1057</v>
      </c>
      <c r="V94" s="26" t="s">
        <v>725</v>
      </c>
      <c r="W94" s="27" t="s">
        <v>1058</v>
      </c>
      <c r="X94" s="26" t="s">
        <v>1059</v>
      </c>
      <c r="Y94" s="23"/>
      <c r="Z94" s="28"/>
      <c r="AA94" s="23"/>
      <c r="AB94" s="23" t="str">
        <f>IFERROR(__xludf.DUMMYFUNCTION("IF(
ISNUMBER(MATCH(
C94,
IMPORTRANGE(""https://docs.google.com/spreadsheets/d/1yTh1ELC33JHYOeEdgIiEclxPRyh0zOKtlawDltfUay8"",""'Champions'!A:A""),
0
)),
""Outreach Conducted"",
"""")"),"")</f>
        <v/>
      </c>
      <c r="AC94" s="23"/>
      <c r="AD94" s="23"/>
      <c r="AE94" s="23"/>
      <c r="AF94" s="23"/>
      <c r="AG94" s="23"/>
      <c r="AH94" s="23"/>
      <c r="AI94" s="23"/>
      <c r="AJ94" s="23"/>
      <c r="AK94" s="23"/>
      <c r="AL94" s="23"/>
    </row>
    <row r="95" hidden="1">
      <c r="A95" s="22" t="s">
        <v>1060</v>
      </c>
      <c r="B95" s="22" t="s">
        <v>1061</v>
      </c>
      <c r="C95" s="23" t="str">
        <f t="shared" si="1"/>
        <v>Dave Landa</v>
      </c>
      <c r="D95" s="22" t="s">
        <v>1062</v>
      </c>
      <c r="E95" s="29" t="s">
        <v>1063</v>
      </c>
      <c r="F95" s="22" t="s">
        <v>248</v>
      </c>
      <c r="G95" s="22">
        <v>471.0</v>
      </c>
      <c r="H95" s="22">
        <f t="array" ref="H95">IFERROR(INDEX('Hub CPC 226'!A:A, MATCH(C95, 'Hub CPC 226'!B:B, 0)), "")</f>
        <v>98</v>
      </c>
      <c r="I95" s="22">
        <f t="array" ref="I95">IFERROR(INDEX('Hub Users 226'!A:A, MATCH(C95, 'Hub Users 226'!B:B, 0)), "")</f>
        <v>118</v>
      </c>
      <c r="J95" s="22" t="s">
        <v>290</v>
      </c>
      <c r="K95" s="23" t="s">
        <v>1064</v>
      </c>
      <c r="L95" s="25">
        <v>44314.38055555556</v>
      </c>
      <c r="M95" s="23"/>
      <c r="N95" s="23"/>
      <c r="O95" s="23"/>
      <c r="P95" s="23"/>
      <c r="Q95" s="22" t="s">
        <v>1065</v>
      </c>
      <c r="R95" s="22" t="s">
        <v>723</v>
      </c>
      <c r="S95" s="22" t="s">
        <v>473</v>
      </c>
      <c r="T95" s="22" t="s">
        <v>252</v>
      </c>
      <c r="U95" s="22" t="s">
        <v>1066</v>
      </c>
      <c r="V95" s="26" t="s">
        <v>284</v>
      </c>
      <c r="W95" s="27" t="s">
        <v>1067</v>
      </c>
      <c r="X95" s="23"/>
      <c r="Y95" s="23"/>
      <c r="Z95" s="28"/>
      <c r="AA95" s="23"/>
      <c r="AB95" s="23" t="str">
        <f>IFERROR(__xludf.DUMMYFUNCTION("IF(
ISNUMBER(MATCH(
C95,
IMPORTRANGE(""https://docs.google.com/spreadsheets/d/1yTh1ELC33JHYOeEdgIiEclxPRyh0zOKtlawDltfUay8"",""'Champions'!A:A""),
0
)),
""Outreach Conducted"",
"""")"),"")</f>
        <v/>
      </c>
      <c r="AC95" s="23"/>
      <c r="AD95" s="23"/>
      <c r="AE95" s="23"/>
      <c r="AF95" s="23"/>
      <c r="AG95" s="23"/>
      <c r="AH95" s="23"/>
      <c r="AI95" s="23"/>
      <c r="AJ95" s="23"/>
      <c r="AK95" s="23"/>
      <c r="AL95" s="23"/>
    </row>
    <row r="96" hidden="1">
      <c r="A96" s="22" t="s">
        <v>1068</v>
      </c>
      <c r="B96" s="22" t="s">
        <v>1069</v>
      </c>
      <c r="C96" s="23" t="str">
        <f t="shared" si="1"/>
        <v>David Temple</v>
      </c>
      <c r="D96" s="22">
        <v>1.9788848156E10</v>
      </c>
      <c r="E96" s="29" t="s">
        <v>1070</v>
      </c>
      <c r="F96" s="22" t="s">
        <v>248</v>
      </c>
      <c r="G96" s="22">
        <v>485.0</v>
      </c>
      <c r="H96" s="22">
        <f t="array" ref="H96">IFERROR(INDEX('Hub CPC 226'!A:A, MATCH(C96, 'Hub CPC 226'!B:B, 0)), "")</f>
        <v>99</v>
      </c>
      <c r="I96" s="22">
        <f t="array" ref="I96">IFERROR(INDEX('Hub Users 226'!A:A, MATCH(C96, 'Hub Users 226'!B:B, 0)), "")</f>
        <v>119</v>
      </c>
      <c r="J96" s="22" t="s">
        <v>260</v>
      </c>
      <c r="K96" s="23" t="s">
        <v>1071</v>
      </c>
      <c r="L96" s="25">
        <v>44384.37708333333</v>
      </c>
      <c r="M96" s="23"/>
      <c r="N96" s="23"/>
      <c r="O96" s="23"/>
      <c r="P96" s="23"/>
      <c r="Q96" s="22" t="s">
        <v>1072</v>
      </c>
      <c r="R96" s="22" t="s">
        <v>1073</v>
      </c>
      <c r="S96" s="22" t="s">
        <v>1074</v>
      </c>
      <c r="T96" s="22" t="s">
        <v>241</v>
      </c>
      <c r="U96" s="22" t="s">
        <v>1075</v>
      </c>
      <c r="V96" s="26" t="s">
        <v>326</v>
      </c>
      <c r="W96" s="27" t="s">
        <v>1076</v>
      </c>
      <c r="X96" s="26" t="s">
        <v>1077</v>
      </c>
      <c r="Y96" s="23"/>
      <c r="Z96" s="28"/>
      <c r="AA96" s="23"/>
      <c r="AB96" s="23" t="str">
        <f>IFERROR(__xludf.DUMMYFUNCTION("IF(
ISNUMBER(MATCH(
C96,
IMPORTRANGE(""https://docs.google.com/spreadsheets/d/1yTh1ELC33JHYOeEdgIiEclxPRyh0zOKtlawDltfUay8"",""'Champions'!A:A""),
0
)),
""Outreach Conducted"",
"""")"),"")</f>
        <v/>
      </c>
      <c r="AC96" s="23"/>
      <c r="AD96" s="23"/>
      <c r="AE96" s="23"/>
      <c r="AF96" s="23"/>
      <c r="AG96" s="23"/>
      <c r="AH96" s="23"/>
      <c r="AI96" s="23"/>
      <c r="AJ96" s="23"/>
      <c r="AK96" s="23"/>
      <c r="AL96" s="23"/>
    </row>
    <row r="97" hidden="1">
      <c r="A97" s="22" t="s">
        <v>1078</v>
      </c>
      <c r="B97" s="22" t="s">
        <v>1079</v>
      </c>
      <c r="C97" s="23" t="str">
        <f t="shared" si="1"/>
        <v>Lee Davis</v>
      </c>
      <c r="D97" s="22">
        <v>1.9014962323E10</v>
      </c>
      <c r="E97" s="29" t="s">
        <v>1080</v>
      </c>
      <c r="F97" s="22" t="s">
        <v>248</v>
      </c>
      <c r="G97" s="22">
        <v>639.0</v>
      </c>
      <c r="H97" s="22">
        <f t="array" ref="H97">IFERROR(INDEX('Hub CPC 226'!A:A, MATCH(C97, 'Hub CPC 226'!B:B, 0)), "")</f>
        <v>100</v>
      </c>
      <c r="I97" s="22">
        <f t="array" ref="I97">IFERROR(INDEX('Hub Users 226'!A:A, MATCH(C97, 'Hub Users 226'!B:B, 0)), "")</f>
        <v>120</v>
      </c>
      <c r="J97" s="22" t="s">
        <v>290</v>
      </c>
      <c r="K97" s="23" t="s">
        <v>1081</v>
      </c>
      <c r="L97" s="25">
        <v>44664.81319444445</v>
      </c>
      <c r="M97" s="28">
        <v>10.0</v>
      </c>
      <c r="N97" s="28">
        <v>27.0</v>
      </c>
      <c r="O97" s="28">
        <v>61.0</v>
      </c>
      <c r="P97" s="32">
        <v>1.0</v>
      </c>
      <c r="Q97" s="22" t="s">
        <v>1082</v>
      </c>
      <c r="R97" s="22" t="s">
        <v>454</v>
      </c>
      <c r="S97" s="22" t="s">
        <v>271</v>
      </c>
      <c r="T97" s="22" t="s">
        <v>272</v>
      </c>
      <c r="U97" s="22" t="s">
        <v>1083</v>
      </c>
      <c r="V97" s="26" t="s">
        <v>284</v>
      </c>
      <c r="W97" s="27" t="s">
        <v>1084</v>
      </c>
      <c r="X97" s="26" t="s">
        <v>1085</v>
      </c>
      <c r="Y97" s="23"/>
      <c r="Z97" s="28"/>
      <c r="AA97" s="23"/>
      <c r="AB97" s="23" t="str">
        <f>IFERROR(__xludf.DUMMYFUNCTION("IF(
ISNUMBER(MATCH(
C97,
IMPORTRANGE(""https://docs.google.com/spreadsheets/d/1yTh1ELC33JHYOeEdgIiEclxPRyh0zOKtlawDltfUay8"",""'Champions'!A:A""),
0
)),
""Outreach Conducted"",
"""")"),"")</f>
        <v/>
      </c>
      <c r="AC97" s="23"/>
      <c r="AD97" s="23"/>
      <c r="AE97" s="23"/>
      <c r="AF97" s="23"/>
      <c r="AG97" s="23"/>
      <c r="AH97" s="23"/>
      <c r="AI97" s="23"/>
      <c r="AJ97" s="23"/>
      <c r="AK97" s="23"/>
      <c r="AL97" s="23"/>
    </row>
    <row r="98" hidden="1">
      <c r="A98" s="22" t="s">
        <v>1086</v>
      </c>
      <c r="B98" s="22" t="s">
        <v>1087</v>
      </c>
      <c r="C98" s="23" t="str">
        <f t="shared" si="1"/>
        <v>Debaleena Majumdar</v>
      </c>
      <c r="D98" s="22">
        <v>1.765337833E10</v>
      </c>
      <c r="E98" s="29" t="s">
        <v>1088</v>
      </c>
      <c r="F98" s="22" t="s">
        <v>248</v>
      </c>
      <c r="G98" s="22">
        <v>596.0</v>
      </c>
      <c r="H98" s="22">
        <f t="array" ref="H98">IFERROR(INDEX('Hub CPC 226'!A:A, MATCH(C98, 'Hub CPC 226'!B:B, 0)), "")</f>
        <v>101</v>
      </c>
      <c r="I98" s="22">
        <f t="array" ref="I98">IFERROR(INDEX('Hub Users 226'!A:A, MATCH(C98, 'Hub Users 226'!B:B, 0)), "")</f>
        <v>121</v>
      </c>
      <c r="J98" s="22" t="s">
        <v>290</v>
      </c>
      <c r="K98" s="28" t="s">
        <v>1089</v>
      </c>
      <c r="L98" s="25">
        <v>44577.86041666667</v>
      </c>
      <c r="M98" s="23"/>
      <c r="N98" s="23"/>
      <c r="O98" s="23"/>
      <c r="P98" s="23"/>
      <c r="Q98" s="22" t="s">
        <v>1090</v>
      </c>
      <c r="R98" s="22" t="s">
        <v>1091</v>
      </c>
      <c r="S98" s="22" t="s">
        <v>1092</v>
      </c>
      <c r="T98" s="22" t="s">
        <v>841</v>
      </c>
      <c r="U98" s="22" t="s">
        <v>1093</v>
      </c>
      <c r="V98" s="26" t="s">
        <v>884</v>
      </c>
      <c r="W98" s="27" t="s">
        <v>1094</v>
      </c>
      <c r="X98" s="26" t="s">
        <v>1095</v>
      </c>
      <c r="Y98" s="23"/>
      <c r="Z98" s="28"/>
      <c r="AA98" s="23"/>
      <c r="AB98" s="23" t="str">
        <f>IFERROR(__xludf.DUMMYFUNCTION("IF(
ISNUMBER(MATCH(
C98,
IMPORTRANGE(""https://docs.google.com/spreadsheets/d/1yTh1ELC33JHYOeEdgIiEclxPRyh0zOKtlawDltfUay8"",""'Champions'!A:A""),
0
)),
""Outreach Conducted"",
"""")"),"")</f>
        <v/>
      </c>
      <c r="AC98" s="23"/>
      <c r="AD98" s="23"/>
      <c r="AE98" s="23"/>
      <c r="AF98" s="23"/>
      <c r="AG98" s="23"/>
      <c r="AH98" s="23"/>
      <c r="AI98" s="23"/>
      <c r="AJ98" s="23"/>
      <c r="AK98" s="23"/>
      <c r="AL98" s="23"/>
    </row>
    <row r="99" hidden="1">
      <c r="A99" s="32" t="s">
        <v>1096</v>
      </c>
      <c r="B99" s="32" t="s">
        <v>1097</v>
      </c>
      <c r="C99" s="23" t="str">
        <f t="shared" si="1"/>
        <v>Diana Elejalde</v>
      </c>
      <c r="D99" s="32">
        <v>9.176791832E9</v>
      </c>
      <c r="E99" s="32" t="s">
        <v>1098</v>
      </c>
      <c r="F99" s="28" t="s">
        <v>769</v>
      </c>
      <c r="G99" s="32">
        <v>210.0</v>
      </c>
      <c r="H99" s="22">
        <f t="array" ref="H99">IFERROR(INDEX('Hub CPC 226'!A:A, MATCH(C99, 'Hub CPC 226'!B:B, 0)), "")</f>
        <v>102</v>
      </c>
      <c r="I99" s="22">
        <f t="array" ref="I99">IFERROR(INDEX('Hub Users 226'!A:A, MATCH(C99, 'Hub Users 226'!B:B, 0)), "")</f>
        <v>122</v>
      </c>
      <c r="J99" s="22"/>
      <c r="K99" s="23" t="s">
        <v>1099</v>
      </c>
      <c r="L99" s="37">
        <v>43738.83611111111</v>
      </c>
      <c r="M99" s="28">
        <v>10.0</v>
      </c>
      <c r="N99" s="28">
        <v>25.0</v>
      </c>
      <c r="O99" s="28">
        <v>44.0</v>
      </c>
      <c r="P99" s="32">
        <v>35.0</v>
      </c>
      <c r="Q99" s="32" t="s">
        <v>1100</v>
      </c>
      <c r="R99" s="32" t="s">
        <v>1101</v>
      </c>
      <c r="S99" s="32" t="s">
        <v>1101</v>
      </c>
      <c r="T99" s="22" t="s">
        <v>272</v>
      </c>
      <c r="U99" s="32" t="s">
        <v>1102</v>
      </c>
      <c r="V99" s="23"/>
      <c r="W99" s="23"/>
      <c r="X99" s="23"/>
      <c r="Y99" s="23"/>
      <c r="Z99" s="23"/>
      <c r="AA99" s="23"/>
      <c r="AB99" s="23" t="str">
        <f>IFERROR(__xludf.DUMMYFUNCTION("IF(
ISNUMBER(MATCH(
C99,
IMPORTRANGE(""https://docs.google.com/spreadsheets/d/1yTh1ELC33JHYOeEdgIiEclxPRyh0zOKtlawDltfUay8"",""'Champions'!A:A""),
0
)),
""Outreach Conducted"",
"""")"),"")</f>
        <v/>
      </c>
      <c r="AC99" s="23"/>
      <c r="AD99" s="23"/>
      <c r="AE99" s="23"/>
      <c r="AF99" s="23"/>
      <c r="AG99" s="23"/>
      <c r="AH99" s="23"/>
      <c r="AI99" s="23"/>
      <c r="AJ99" s="23"/>
      <c r="AK99" s="23"/>
      <c r="AL99" s="23"/>
    </row>
    <row r="100" hidden="1">
      <c r="A100" s="22" t="s">
        <v>1103</v>
      </c>
      <c r="B100" s="22" t="s">
        <v>1104</v>
      </c>
      <c r="C100" s="23" t="str">
        <f t="shared" si="1"/>
        <v>Demi Ajayi</v>
      </c>
      <c r="D100" s="22" t="s">
        <v>1105</v>
      </c>
      <c r="E100" s="29" t="s">
        <v>1106</v>
      </c>
      <c r="F100" s="22" t="s">
        <v>238</v>
      </c>
      <c r="G100" s="22">
        <v>90.0</v>
      </c>
      <c r="H100" s="22">
        <f t="array" ref="H100">IFERROR(INDEX('Hub CPC 226'!A:A, MATCH(C100, 'Hub CPC 226'!B:B, 0)), "")</f>
        <v>103</v>
      </c>
      <c r="I100" s="22">
        <f t="array" ref="I100">IFERROR(INDEX('Hub Users 226'!A:A, MATCH(C100, 'Hub Users 226'!B:B, 0)), "")</f>
        <v>123</v>
      </c>
      <c r="J100" s="22" t="s">
        <v>240</v>
      </c>
      <c r="K100" s="23" t="s">
        <v>1107</v>
      </c>
      <c r="L100" s="25">
        <v>43393.57430555556</v>
      </c>
      <c r="M100" s="28">
        <v>10.0</v>
      </c>
      <c r="N100" s="28">
        <v>20.0</v>
      </c>
      <c r="O100" s="28">
        <v>44.0</v>
      </c>
      <c r="P100" s="32">
        <v>35.0</v>
      </c>
      <c r="Q100" s="22" t="s">
        <v>1108</v>
      </c>
      <c r="R100" s="22" t="s">
        <v>334</v>
      </c>
      <c r="S100" s="22" t="s">
        <v>294</v>
      </c>
      <c r="T100" s="22" t="s">
        <v>272</v>
      </c>
      <c r="U100" s="22" t="s">
        <v>604</v>
      </c>
      <c r="V100" s="26" t="s">
        <v>360</v>
      </c>
      <c r="W100" s="27" t="s">
        <v>1109</v>
      </c>
      <c r="X100" s="26" t="s">
        <v>519</v>
      </c>
      <c r="Y100" s="23"/>
      <c r="Z100" s="28"/>
      <c r="AA100" s="23"/>
      <c r="AB100" s="23" t="str">
        <f>IFERROR(__xludf.DUMMYFUNCTION("IF(
ISNUMBER(MATCH(
C100,
IMPORTRANGE(""https://docs.google.com/spreadsheets/d/1yTh1ELC33JHYOeEdgIiEclxPRyh0zOKtlawDltfUay8"",""'Champions'!A:A""),
0
)),
""Outreach Conducted"",
"""")"),"")</f>
        <v/>
      </c>
      <c r="AC100" s="23"/>
      <c r="AD100" s="23"/>
      <c r="AE100" s="23"/>
      <c r="AF100" s="23"/>
      <c r="AG100" s="23"/>
      <c r="AH100" s="23"/>
      <c r="AI100" s="23"/>
      <c r="AJ100" s="23"/>
      <c r="AK100" s="23"/>
      <c r="AL100" s="23"/>
    </row>
    <row r="101" hidden="1">
      <c r="A101" s="22" t="s">
        <v>1110</v>
      </c>
      <c r="B101" s="22" t="s">
        <v>1111</v>
      </c>
      <c r="C101" s="23" t="str">
        <f t="shared" si="1"/>
        <v>Denise Vargas</v>
      </c>
      <c r="D101" s="22" t="s">
        <v>1112</v>
      </c>
      <c r="E101" s="29" t="s">
        <v>1113</v>
      </c>
      <c r="F101" s="22" t="s">
        <v>248</v>
      </c>
      <c r="G101" s="22">
        <v>414.0</v>
      </c>
      <c r="H101" s="22">
        <f t="array" ref="H101">IFERROR(INDEX('Hub CPC 226'!A:A, MATCH(C101, 'Hub CPC 226'!B:B, 0)), "")</f>
        <v>104</v>
      </c>
      <c r="I101" s="22">
        <f t="array" ref="I101">IFERROR(INDEX('Hub Users 226'!A:A, MATCH(C101, 'Hub Users 226'!B:B, 0)), "")</f>
        <v>124</v>
      </c>
      <c r="J101" s="22" t="s">
        <v>302</v>
      </c>
      <c r="K101" s="23" t="s">
        <v>1114</v>
      </c>
      <c r="L101" s="25">
        <v>44200.80763888889</v>
      </c>
      <c r="M101" s="23"/>
      <c r="N101" s="23"/>
      <c r="O101" s="23"/>
      <c r="P101" s="23"/>
      <c r="Q101" s="22" t="s">
        <v>1115</v>
      </c>
      <c r="R101" s="22" t="s">
        <v>1116</v>
      </c>
      <c r="S101" s="22" t="s">
        <v>1117</v>
      </c>
      <c r="T101" s="22" t="s">
        <v>252</v>
      </c>
      <c r="U101" s="22" t="s">
        <v>1118</v>
      </c>
      <c r="V101" s="26" t="s">
        <v>1119</v>
      </c>
      <c r="W101" s="27" t="s">
        <v>1120</v>
      </c>
      <c r="X101" s="26" t="s">
        <v>1121</v>
      </c>
      <c r="Y101" s="23"/>
      <c r="Z101" s="28"/>
      <c r="AA101" s="23"/>
      <c r="AB101" s="23" t="str">
        <f>IFERROR(__xludf.DUMMYFUNCTION("IF(
ISNUMBER(MATCH(
C101,
IMPORTRANGE(""https://docs.google.com/spreadsheets/d/1yTh1ELC33JHYOeEdgIiEclxPRyh0zOKtlawDltfUay8"",""'Champions'!A:A""),
0
)),
""Outreach Conducted"",
"""")"),"")</f>
        <v/>
      </c>
      <c r="AC101" s="23"/>
      <c r="AD101" s="23"/>
      <c r="AE101" s="23"/>
      <c r="AF101" s="23"/>
      <c r="AG101" s="23"/>
      <c r="AH101" s="23"/>
      <c r="AI101" s="23"/>
      <c r="AJ101" s="23"/>
      <c r="AK101" s="23"/>
      <c r="AL101" s="23"/>
    </row>
    <row r="102" hidden="1">
      <c r="A102" s="22" t="s">
        <v>1122</v>
      </c>
      <c r="B102" s="22" t="s">
        <v>1123</v>
      </c>
      <c r="C102" s="23" t="str">
        <f t="shared" si="1"/>
        <v>Sandra Denton</v>
      </c>
      <c r="D102" s="22">
        <v>1.9172821912E10</v>
      </c>
      <c r="E102" s="29" t="s">
        <v>1124</v>
      </c>
      <c r="F102" s="22" t="s">
        <v>248</v>
      </c>
      <c r="G102" s="22">
        <v>687.0</v>
      </c>
      <c r="H102" s="22">
        <f t="array" ref="H102">IFERROR(INDEX('Hub CPC 226'!A:A, MATCH(C102, 'Hub CPC 226'!B:B, 0)), "")</f>
        <v>105</v>
      </c>
      <c r="I102" s="22">
        <f t="array" ref="I102">IFERROR(INDEX('Hub Users 226'!A:A, MATCH(C102, 'Hub Users 226'!B:B, 0)), "")</f>
        <v>125</v>
      </c>
      <c r="J102" s="22" t="s">
        <v>290</v>
      </c>
      <c r="K102" s="23" t="s">
        <v>1125</v>
      </c>
      <c r="L102" s="25">
        <v>44936.80486111111</v>
      </c>
      <c r="M102" s="28">
        <v>12.0</v>
      </c>
      <c r="N102" s="28">
        <v>47.0</v>
      </c>
      <c r="O102" s="28">
        <v>67.0</v>
      </c>
      <c r="P102" s="32">
        <v>3.0</v>
      </c>
      <c r="Q102" s="22" t="s">
        <v>1126</v>
      </c>
      <c r="R102" s="22" t="s">
        <v>1127</v>
      </c>
      <c r="S102" s="22" t="s">
        <v>271</v>
      </c>
      <c r="T102" s="22" t="s">
        <v>272</v>
      </c>
      <c r="U102" s="22" t="s">
        <v>1128</v>
      </c>
      <c r="V102" s="26" t="s">
        <v>1000</v>
      </c>
      <c r="W102" s="27" t="s">
        <v>1129</v>
      </c>
      <c r="X102" s="26" t="s">
        <v>1130</v>
      </c>
      <c r="Y102" s="23"/>
      <c r="Z102" s="28"/>
      <c r="AA102" s="23"/>
      <c r="AB102" s="23" t="str">
        <f>IFERROR(__xludf.DUMMYFUNCTION("IF(
ISNUMBER(MATCH(
C102,
IMPORTRANGE(""https://docs.google.com/spreadsheets/d/1yTh1ELC33JHYOeEdgIiEclxPRyh0zOKtlawDltfUay8"",""'Champions'!A:A""),
0
)),
""Outreach Conducted"",
"""")"),"")</f>
        <v/>
      </c>
      <c r="AC102" s="23"/>
      <c r="AD102" s="23"/>
      <c r="AE102" s="23"/>
      <c r="AF102" s="23"/>
      <c r="AG102" s="23"/>
      <c r="AH102" s="23"/>
      <c r="AI102" s="23"/>
      <c r="AJ102" s="23"/>
      <c r="AK102" s="23"/>
      <c r="AL102" s="23"/>
    </row>
    <row r="103" hidden="1">
      <c r="A103" s="22" t="s">
        <v>1131</v>
      </c>
      <c r="B103" s="22" t="s">
        <v>1132</v>
      </c>
      <c r="C103" s="23" t="str">
        <f t="shared" si="1"/>
        <v>Dhivya Haridass</v>
      </c>
      <c r="D103" s="22">
        <v>-6352.0</v>
      </c>
      <c r="E103" s="29" t="s">
        <v>1133</v>
      </c>
      <c r="F103" s="22" t="s">
        <v>248</v>
      </c>
      <c r="G103" s="22">
        <v>275.0</v>
      </c>
      <c r="H103" s="22">
        <f t="array" ref="H103">IFERROR(INDEX('Hub CPC 226'!A:A, MATCH(C103, 'Hub CPC 226'!B:B, 0)), "")</f>
        <v>106</v>
      </c>
      <c r="I103" s="22">
        <f t="array" ref="I103">IFERROR(INDEX('Hub Users 226'!A:A, MATCH(C103, 'Hub Users 226'!B:B, 0)), "")</f>
        <v>126</v>
      </c>
      <c r="J103" s="22"/>
      <c r="K103" s="28" t="s">
        <v>1134</v>
      </c>
      <c r="L103" s="25">
        <v>43777.45277777778</v>
      </c>
      <c r="M103" s="23"/>
      <c r="N103" s="23"/>
      <c r="O103" s="23"/>
      <c r="P103" s="23"/>
      <c r="Q103" s="22" t="s">
        <v>1135</v>
      </c>
      <c r="R103" s="22" t="s">
        <v>1136</v>
      </c>
      <c r="S103" s="22" t="s">
        <v>1137</v>
      </c>
      <c r="T103" s="22" t="s">
        <v>501</v>
      </c>
      <c r="U103" s="22" t="s">
        <v>1138</v>
      </c>
      <c r="V103" s="23"/>
      <c r="W103" s="23"/>
      <c r="X103" s="23"/>
      <c r="Y103" s="23"/>
      <c r="Z103" s="28"/>
      <c r="AA103" s="23"/>
      <c r="AB103" s="23" t="str">
        <f>IFERROR(__xludf.DUMMYFUNCTION("IF(
ISNUMBER(MATCH(
C103,
IMPORTRANGE(""https://docs.google.com/spreadsheets/d/1yTh1ELC33JHYOeEdgIiEclxPRyh0zOKtlawDltfUay8"",""'Champions'!A:A""),
0
)),
""Outreach Conducted"",
"""")"),"")</f>
        <v/>
      </c>
      <c r="AC103" s="23"/>
      <c r="AD103" s="23"/>
      <c r="AE103" s="23"/>
      <c r="AF103" s="23"/>
      <c r="AG103" s="23"/>
      <c r="AH103" s="23"/>
      <c r="AI103" s="23"/>
      <c r="AJ103" s="23"/>
      <c r="AK103" s="23"/>
      <c r="AL103" s="23"/>
    </row>
    <row r="104" hidden="1">
      <c r="A104" s="22" t="s">
        <v>1139</v>
      </c>
      <c r="B104" s="22" t="s">
        <v>1140</v>
      </c>
      <c r="C104" s="23" t="str">
        <f t="shared" si="1"/>
        <v>Diane French</v>
      </c>
      <c r="D104" s="22">
        <v>1.608345278E10</v>
      </c>
      <c r="E104" s="29" t="s">
        <v>1141</v>
      </c>
      <c r="F104" s="22" t="s">
        <v>248</v>
      </c>
      <c r="G104" s="22">
        <v>662.0</v>
      </c>
      <c r="H104" s="22">
        <f t="array" ref="H104">IFERROR(INDEX('Hub CPC 226'!A:A, MATCH(C104, 'Hub CPC 226'!B:B, 0)), "")</f>
        <v>108</v>
      </c>
      <c r="I104" s="22">
        <f t="array" ref="I104">IFERROR(INDEX('Hub Users 226'!A:A, MATCH(C104, 'Hub Users 226'!B:B, 0)), "")</f>
        <v>128</v>
      </c>
      <c r="J104" s="22" t="s">
        <v>260</v>
      </c>
      <c r="K104" s="23" t="s">
        <v>1142</v>
      </c>
      <c r="L104" s="25">
        <v>44796.725694444445</v>
      </c>
      <c r="M104" s="23"/>
      <c r="N104" s="23"/>
      <c r="O104" s="23"/>
      <c r="P104" s="23"/>
      <c r="Q104" s="22" t="s">
        <v>1143</v>
      </c>
      <c r="R104" s="22" t="s">
        <v>1144</v>
      </c>
      <c r="S104" s="22" t="s">
        <v>1145</v>
      </c>
      <c r="T104" s="22" t="s">
        <v>841</v>
      </c>
      <c r="U104" s="22" t="s">
        <v>1146</v>
      </c>
      <c r="V104" s="26" t="s">
        <v>1147</v>
      </c>
      <c r="W104" s="27" t="s">
        <v>1148</v>
      </c>
      <c r="X104" s="26" t="s">
        <v>1149</v>
      </c>
      <c r="Y104" s="23"/>
      <c r="Z104" s="28"/>
      <c r="AA104" s="23"/>
      <c r="AB104" s="23" t="str">
        <f>IFERROR(__xludf.DUMMYFUNCTION("IF(
ISNUMBER(MATCH(
C104,
IMPORTRANGE(""https://docs.google.com/spreadsheets/d/1yTh1ELC33JHYOeEdgIiEclxPRyh0zOKtlawDltfUay8"",""'Champions'!A:A""),
0
)),
""Outreach Conducted"",
"""")"),"")</f>
        <v/>
      </c>
      <c r="AC104" s="23"/>
      <c r="AD104" s="23"/>
      <c r="AE104" s="23"/>
      <c r="AF104" s="23"/>
      <c r="AG104" s="23"/>
      <c r="AH104" s="23"/>
      <c r="AI104" s="23"/>
      <c r="AJ104" s="23"/>
      <c r="AK104" s="23"/>
      <c r="AL104" s="23"/>
    </row>
    <row r="105" hidden="1">
      <c r="A105" s="22" t="s">
        <v>1150</v>
      </c>
      <c r="B105" s="22" t="s">
        <v>1151</v>
      </c>
      <c r="C105" s="23" t="str">
        <f t="shared" si="1"/>
        <v>Disha Mattive</v>
      </c>
      <c r="D105" s="22">
        <v>5.613176304E9</v>
      </c>
      <c r="E105" s="29" t="s">
        <v>1152</v>
      </c>
      <c r="F105" s="22" t="s">
        <v>399</v>
      </c>
      <c r="G105" s="22">
        <v>329.0</v>
      </c>
      <c r="H105" s="22">
        <f t="array" ref="H105">IFERROR(INDEX('Hub CPC 226'!A:A, MATCH(C105, 'Hub CPC 226'!B:B, 0)), "")</f>
        <v>109</v>
      </c>
      <c r="I105" s="22">
        <f t="array" ref="I105">IFERROR(INDEX('Hub Users 226'!A:A, MATCH(C105, 'Hub Users 226'!B:B, 0)), "")</f>
        <v>129</v>
      </c>
      <c r="J105" s="22" t="s">
        <v>1153</v>
      </c>
      <c r="K105" s="23" t="s">
        <v>1154</v>
      </c>
      <c r="L105" s="25">
        <v>43999.705555555556</v>
      </c>
      <c r="M105" s="23"/>
      <c r="N105" s="23"/>
      <c r="O105" s="23"/>
      <c r="P105" s="23"/>
      <c r="Q105" s="22" t="s">
        <v>1155</v>
      </c>
      <c r="R105" s="22" t="s">
        <v>1156</v>
      </c>
      <c r="S105" s="22" t="s">
        <v>1157</v>
      </c>
      <c r="T105" s="22" t="s">
        <v>252</v>
      </c>
      <c r="U105" s="22" t="s">
        <v>1158</v>
      </c>
      <c r="V105" s="23"/>
      <c r="W105" s="23"/>
      <c r="X105" s="23"/>
      <c r="Y105" s="23"/>
      <c r="Z105" s="23"/>
      <c r="AA105" s="23"/>
      <c r="AB105" s="23" t="str">
        <f>IFERROR(__xludf.DUMMYFUNCTION("IF(
ISNUMBER(MATCH(
C105,
IMPORTRANGE(""https://docs.google.com/spreadsheets/d/1yTh1ELC33JHYOeEdgIiEclxPRyh0zOKtlawDltfUay8"",""'Champions'!A:A""),
0
)),
""Outreach Conducted"",
"""")"),"")</f>
        <v/>
      </c>
      <c r="AC105" s="23"/>
      <c r="AD105" s="23"/>
      <c r="AE105" s="23"/>
      <c r="AF105" s="23"/>
      <c r="AG105" s="23"/>
      <c r="AH105" s="23"/>
      <c r="AI105" s="23"/>
      <c r="AJ105" s="23"/>
      <c r="AK105" s="23"/>
      <c r="AL105" s="23"/>
    </row>
    <row r="106" hidden="1">
      <c r="A106" s="22" t="s">
        <v>1159</v>
      </c>
      <c r="B106" s="22" t="s">
        <v>1160</v>
      </c>
      <c r="C106" s="23" t="str">
        <f t="shared" si="1"/>
        <v>Divya Padgaonkar</v>
      </c>
      <c r="D106" s="22">
        <v>7.322368025E9</v>
      </c>
      <c r="E106" s="29" t="s">
        <v>1161</v>
      </c>
      <c r="F106" s="22" t="s">
        <v>248</v>
      </c>
      <c r="G106" s="22">
        <v>311.0</v>
      </c>
      <c r="H106" s="22">
        <f t="array" ref="H106">IFERROR(INDEX('Hub CPC 226'!A:A, MATCH(C106, 'Hub CPC 226'!B:B, 0)), "")</f>
        <v>110</v>
      </c>
      <c r="I106" s="22">
        <f t="array" ref="I106">IFERROR(INDEX('Hub Users 226'!A:A, MATCH(C106, 'Hub Users 226'!B:B, 0)), "")</f>
        <v>130</v>
      </c>
      <c r="J106" s="22" t="s">
        <v>107</v>
      </c>
      <c r="K106" s="23" t="s">
        <v>1162</v>
      </c>
      <c r="L106" s="25">
        <v>43909.67013888889</v>
      </c>
      <c r="M106" s="28">
        <v>7.0</v>
      </c>
      <c r="N106" s="28">
        <v>59.0</v>
      </c>
      <c r="O106" s="28">
        <v>37.0</v>
      </c>
      <c r="P106" s="32">
        <v>26.0</v>
      </c>
      <c r="Q106" s="22" t="s">
        <v>1163</v>
      </c>
      <c r="R106" s="22" t="s">
        <v>271</v>
      </c>
      <c r="S106" s="22" t="s">
        <v>1164</v>
      </c>
      <c r="T106" s="22" t="s">
        <v>272</v>
      </c>
      <c r="U106" s="22" t="s">
        <v>1165</v>
      </c>
      <c r="V106" s="26" t="s">
        <v>371</v>
      </c>
      <c r="W106" s="27" t="s">
        <v>1166</v>
      </c>
      <c r="X106" s="26" t="s">
        <v>1167</v>
      </c>
      <c r="Y106" s="23"/>
      <c r="Z106" s="28"/>
      <c r="AA106" s="23"/>
      <c r="AB106" s="23" t="str">
        <f>IFERROR(__xludf.DUMMYFUNCTION("IF(
ISNUMBER(MATCH(
C106,
IMPORTRANGE(""https://docs.google.com/spreadsheets/d/1yTh1ELC33JHYOeEdgIiEclxPRyh0zOKtlawDltfUay8"",""'Champions'!A:A""),
0
)),
""Outreach Conducted"",
"""")"),"")</f>
        <v/>
      </c>
      <c r="AC106" s="23"/>
      <c r="AD106" s="23"/>
      <c r="AE106" s="23"/>
      <c r="AF106" s="23"/>
      <c r="AG106" s="23"/>
      <c r="AH106" s="23"/>
      <c r="AI106" s="23"/>
      <c r="AJ106" s="23"/>
      <c r="AK106" s="23"/>
      <c r="AL106" s="23"/>
    </row>
    <row r="107" hidden="1">
      <c r="A107" s="22" t="s">
        <v>1159</v>
      </c>
      <c r="B107" s="22" t="s">
        <v>1168</v>
      </c>
      <c r="C107" s="23" t="str">
        <f t="shared" si="1"/>
        <v>Divya Karki</v>
      </c>
      <c r="D107" s="22">
        <v>1.9292724159E10</v>
      </c>
      <c r="E107" s="29" t="s">
        <v>1169</v>
      </c>
      <c r="F107" s="22" t="s">
        <v>399</v>
      </c>
      <c r="G107" s="22">
        <v>513.0</v>
      </c>
      <c r="H107" s="22">
        <f t="array" ref="H107">IFERROR(INDEX('Hub CPC 226'!A:A, MATCH(C107, 'Hub CPC 226'!B:B, 0)), "")</f>
        <v>111</v>
      </c>
      <c r="I107" s="22">
        <f t="array" ref="I107">IFERROR(INDEX('Hub Users 226'!A:A, MATCH(C107, 'Hub Users 226'!B:B, 0)), "")</f>
        <v>131</v>
      </c>
      <c r="J107" s="22" t="s">
        <v>260</v>
      </c>
      <c r="K107" s="23" t="s">
        <v>1170</v>
      </c>
      <c r="L107" s="25">
        <v>44483.90277777778</v>
      </c>
      <c r="M107" s="28"/>
      <c r="N107" s="28"/>
      <c r="O107" s="28"/>
      <c r="P107" s="32">
        <v>20.0</v>
      </c>
      <c r="Q107" s="22" t="s">
        <v>1171</v>
      </c>
      <c r="R107" s="22" t="s">
        <v>1172</v>
      </c>
      <c r="S107" s="22" t="s">
        <v>1173</v>
      </c>
      <c r="T107" s="22" t="s">
        <v>272</v>
      </c>
      <c r="U107" s="22" t="s">
        <v>1174</v>
      </c>
      <c r="V107" s="23"/>
      <c r="W107" s="23"/>
      <c r="X107" s="23"/>
      <c r="Y107" s="23"/>
      <c r="Z107" s="23"/>
      <c r="AA107" s="23"/>
      <c r="AB107" s="23" t="str">
        <f>IFERROR(__xludf.DUMMYFUNCTION("IF(
ISNUMBER(MATCH(
C107,
IMPORTRANGE(""https://docs.google.com/spreadsheets/d/1yTh1ELC33JHYOeEdgIiEclxPRyh0zOKtlawDltfUay8"",""'Champions'!A:A""),
0
)),
""Outreach Conducted"",
"""")"),"")</f>
        <v/>
      </c>
      <c r="AC107" s="23"/>
      <c r="AD107" s="23"/>
      <c r="AE107" s="23"/>
      <c r="AF107" s="23"/>
      <c r="AG107" s="23"/>
      <c r="AH107" s="23"/>
      <c r="AI107" s="23"/>
      <c r="AJ107" s="23"/>
      <c r="AK107" s="23"/>
      <c r="AL107" s="23"/>
    </row>
    <row r="108" hidden="1">
      <c r="A108" s="22" t="s">
        <v>1159</v>
      </c>
      <c r="B108" s="22" t="s">
        <v>1175</v>
      </c>
      <c r="C108" s="23" t="str">
        <f t="shared" si="1"/>
        <v>Divya Sharma</v>
      </c>
      <c r="D108" s="22">
        <v>1.4124650889E10</v>
      </c>
      <c r="E108" s="29" t="s">
        <v>1176</v>
      </c>
      <c r="F108" s="22" t="s">
        <v>248</v>
      </c>
      <c r="G108" s="22">
        <v>484.0</v>
      </c>
      <c r="H108" s="22">
        <f t="array" ref="H108">IFERROR(INDEX('Hub CPC 226'!A:A, MATCH(C108, 'Hub CPC 226'!B:B, 0)), "")</f>
        <v>112</v>
      </c>
      <c r="I108" s="22">
        <f t="array" ref="I108">IFERROR(INDEX('Hub Users 226'!A:A, MATCH(C108, 'Hub Users 226'!B:B, 0)), "")</f>
        <v>132</v>
      </c>
      <c r="J108" s="22" t="s">
        <v>260</v>
      </c>
      <c r="K108" s="23" t="s">
        <v>1177</v>
      </c>
      <c r="L108" s="25">
        <v>44379.00486111111</v>
      </c>
      <c r="M108" s="23"/>
      <c r="N108" s="23"/>
      <c r="O108" s="23"/>
      <c r="P108" s="23"/>
      <c r="Q108" s="22" t="s">
        <v>50</v>
      </c>
      <c r="R108" s="22" t="s">
        <v>1178</v>
      </c>
      <c r="S108" s="22" t="s">
        <v>473</v>
      </c>
      <c r="T108" s="22" t="s">
        <v>252</v>
      </c>
      <c r="U108" s="22" t="s">
        <v>533</v>
      </c>
      <c r="V108" s="23"/>
      <c r="W108" s="23"/>
      <c r="X108" s="23"/>
      <c r="Y108" s="23"/>
      <c r="Z108" s="28"/>
      <c r="AA108" s="23"/>
      <c r="AB108" s="23" t="str">
        <f>IFERROR(__xludf.DUMMYFUNCTION("IF(
ISNUMBER(MATCH(
C108,
IMPORTRANGE(""https://docs.google.com/spreadsheets/d/1yTh1ELC33JHYOeEdgIiEclxPRyh0zOKtlawDltfUay8"",""'Champions'!A:A""),
0
)),
""Outreach Conducted"",
"""")"),"")</f>
        <v/>
      </c>
      <c r="AC108" s="23"/>
      <c r="AD108" s="23"/>
      <c r="AE108" s="23"/>
      <c r="AF108" s="23"/>
      <c r="AG108" s="23"/>
      <c r="AH108" s="23"/>
      <c r="AI108" s="23"/>
      <c r="AJ108" s="23"/>
      <c r="AK108" s="23"/>
      <c r="AL108" s="23"/>
    </row>
    <row r="109" hidden="1">
      <c r="A109" s="22" t="s">
        <v>1179</v>
      </c>
      <c r="B109" s="22" t="s">
        <v>246</v>
      </c>
      <c r="C109" s="23" t="str">
        <f t="shared" si="1"/>
        <v>Donald Johnson</v>
      </c>
      <c r="D109" s="22">
        <v>1.3235523272E10</v>
      </c>
      <c r="E109" s="29" t="s">
        <v>1180</v>
      </c>
      <c r="F109" s="22" t="s">
        <v>248</v>
      </c>
      <c r="G109" s="22">
        <v>698.0</v>
      </c>
      <c r="H109" s="22">
        <f t="array" ref="H109">IFERROR(INDEX('Hub CPC 226'!A:A, MATCH(C109, 'Hub CPC 226'!B:B, 0)), "")</f>
        <v>113</v>
      </c>
      <c r="I109" s="22">
        <f t="array" ref="I109">IFERROR(INDEX('Hub Users 226'!A:A, MATCH(C109, 'Hub Users 226'!B:B, 0)), "")</f>
        <v>133</v>
      </c>
      <c r="J109" s="22" t="s">
        <v>260</v>
      </c>
      <c r="K109" s="23" t="s">
        <v>1181</v>
      </c>
      <c r="L109" s="25">
        <v>44964.74513888889</v>
      </c>
      <c r="M109" s="23"/>
      <c r="N109" s="23"/>
      <c r="O109" s="23"/>
      <c r="P109" s="23"/>
      <c r="Q109" s="22" t="s">
        <v>1182</v>
      </c>
      <c r="R109" s="22" t="s">
        <v>1183</v>
      </c>
      <c r="S109" s="22" t="s">
        <v>1184</v>
      </c>
      <c r="T109" s="22" t="s">
        <v>252</v>
      </c>
      <c r="U109" s="22" t="s">
        <v>1185</v>
      </c>
      <c r="V109" s="26" t="s">
        <v>475</v>
      </c>
      <c r="W109" s="27" t="s">
        <v>1186</v>
      </c>
      <c r="X109" s="26" t="s">
        <v>1085</v>
      </c>
      <c r="Y109" s="23"/>
      <c r="Z109" s="28"/>
      <c r="AA109" s="23"/>
      <c r="AB109" s="23" t="str">
        <f>IFERROR(__xludf.DUMMYFUNCTION("IF(
ISNUMBER(MATCH(
C109,
IMPORTRANGE(""https://docs.google.com/spreadsheets/d/1yTh1ELC33JHYOeEdgIiEclxPRyh0zOKtlawDltfUay8"",""'Champions'!A:A""),
0
)),
""Outreach Conducted"",
"""")"),"")</f>
        <v/>
      </c>
      <c r="AC109" s="23"/>
      <c r="AD109" s="23"/>
      <c r="AE109" s="23"/>
      <c r="AF109" s="23"/>
      <c r="AG109" s="23"/>
      <c r="AH109" s="23"/>
      <c r="AI109" s="23"/>
      <c r="AJ109" s="23"/>
      <c r="AK109" s="23"/>
      <c r="AL109" s="23"/>
    </row>
    <row r="110" hidden="1">
      <c r="A110" s="39" t="s">
        <v>1187</v>
      </c>
      <c r="B110" s="39" t="s">
        <v>1188</v>
      </c>
      <c r="C110" s="40" t="str">
        <f t="shared" si="1"/>
        <v>Dorcas Adekunle</v>
      </c>
      <c r="D110" s="39" t="s">
        <v>1189</v>
      </c>
      <c r="E110" s="41" t="s">
        <v>1190</v>
      </c>
      <c r="F110" s="39" t="s">
        <v>248</v>
      </c>
      <c r="G110" s="39">
        <v>49.0</v>
      </c>
      <c r="H110" s="22">
        <f t="array" ref="H110">IFERROR(INDEX('Hub CPC 226'!A:A, MATCH(C110, 'Hub CPC 226'!B:B, 0)), "")</f>
        <v>114</v>
      </c>
      <c r="I110" s="22">
        <f t="array" ref="I110">IFERROR(INDEX('Hub Users 226'!A:A, MATCH(C110, 'Hub Users 226'!B:B, 0)), "")</f>
        <v>134</v>
      </c>
      <c r="J110" s="22" t="s">
        <v>107</v>
      </c>
      <c r="K110" s="23" t="s">
        <v>1191</v>
      </c>
      <c r="L110" s="42">
        <v>43338.743055555555</v>
      </c>
      <c r="M110" s="40"/>
      <c r="N110" s="40"/>
      <c r="O110" s="40"/>
      <c r="P110" s="40"/>
      <c r="Q110" s="39" t="s">
        <v>1192</v>
      </c>
      <c r="R110" s="39"/>
      <c r="S110" s="39" t="s">
        <v>1193</v>
      </c>
      <c r="T110" s="39" t="s">
        <v>833</v>
      </c>
      <c r="U110" s="39" t="s">
        <v>1194</v>
      </c>
      <c r="V110" s="40"/>
      <c r="W110" s="40"/>
      <c r="X110" s="40"/>
      <c r="Y110" s="23"/>
      <c r="Z110" s="43"/>
      <c r="AA110" s="23"/>
      <c r="AB110" s="23" t="str">
        <f>IFERROR(__xludf.DUMMYFUNCTION("IF(
ISNUMBER(MATCH(
C110,
IMPORTRANGE(""https://docs.google.com/spreadsheets/d/1yTh1ELC33JHYOeEdgIiEclxPRyh0zOKtlawDltfUay8"",""'Champions'!A:A""),
0
)),
""Outreach Conducted"",
"""")"),"")</f>
        <v/>
      </c>
      <c r="AC110" s="40"/>
      <c r="AD110" s="44" t="s">
        <v>1195</v>
      </c>
      <c r="AE110" s="40"/>
      <c r="AF110" s="40"/>
      <c r="AG110" s="40"/>
      <c r="AH110" s="40"/>
      <c r="AI110" s="40"/>
      <c r="AJ110" s="40"/>
      <c r="AK110" s="40"/>
      <c r="AL110" s="40"/>
    </row>
    <row r="111" hidden="1">
      <c r="A111" s="22" t="s">
        <v>1196</v>
      </c>
      <c r="B111" s="22" t="s">
        <v>1197</v>
      </c>
      <c r="C111" s="23" t="str">
        <f t="shared" si="1"/>
        <v>Dorothea Weston</v>
      </c>
      <c r="D111" s="22">
        <v>1.2674810927E10</v>
      </c>
      <c r="E111" s="29" t="s">
        <v>1198</v>
      </c>
      <c r="F111" s="22" t="s">
        <v>248</v>
      </c>
      <c r="G111" s="22">
        <v>581.0</v>
      </c>
      <c r="H111" s="22">
        <f t="array" ref="H111">IFERROR(INDEX('Hub CPC 226'!A:A, MATCH(C111, 'Hub CPC 226'!B:B, 0)), "")</f>
        <v>115</v>
      </c>
      <c r="I111" s="22">
        <f t="array" ref="I111">IFERROR(INDEX('Hub Users 226'!A:A, MATCH(C111, 'Hub Users 226'!B:B, 0)), "")</f>
        <v>135</v>
      </c>
      <c r="J111" s="22" t="s">
        <v>239</v>
      </c>
      <c r="K111" s="23" t="s">
        <v>1199</v>
      </c>
      <c r="L111" s="25">
        <v>44560.60902777778</v>
      </c>
      <c r="M111" s="23"/>
      <c r="N111" s="23"/>
      <c r="O111" s="23"/>
      <c r="P111" s="23"/>
      <c r="Q111" s="22" t="s">
        <v>1200</v>
      </c>
      <c r="R111" s="22" t="s">
        <v>966</v>
      </c>
      <c r="S111" s="22" t="s">
        <v>380</v>
      </c>
      <c r="T111" s="22" t="s">
        <v>381</v>
      </c>
      <c r="U111" s="22" t="s">
        <v>1201</v>
      </c>
      <c r="V111" s="23"/>
      <c r="W111" s="23"/>
      <c r="X111" s="23"/>
      <c r="Y111" s="23"/>
      <c r="Z111" s="28"/>
      <c r="AA111" s="23"/>
      <c r="AB111" s="23" t="str">
        <f>IFERROR(__xludf.DUMMYFUNCTION("IF(
ISNUMBER(MATCH(
C111,
IMPORTRANGE(""https://docs.google.com/spreadsheets/d/1yTh1ELC33JHYOeEdgIiEclxPRyh0zOKtlawDltfUay8"",""'Champions'!A:A""),
0
)),
""Outreach Conducted"",
"""")"),"")</f>
        <v/>
      </c>
      <c r="AC111" s="23"/>
      <c r="AD111" s="23"/>
      <c r="AE111" s="23"/>
      <c r="AF111" s="23"/>
      <c r="AG111" s="28">
        <v>50.0</v>
      </c>
      <c r="AH111" s="23"/>
      <c r="AI111" s="23"/>
      <c r="AJ111" s="23"/>
      <c r="AK111" s="23"/>
      <c r="AL111" s="23"/>
    </row>
    <row r="112" hidden="1">
      <c r="A112" s="22" t="s">
        <v>1202</v>
      </c>
      <c r="B112" s="22" t="s">
        <v>1203</v>
      </c>
      <c r="C112" s="23" t="str">
        <f t="shared" si="1"/>
        <v>Joan Marie Cadenhead</v>
      </c>
      <c r="D112" s="22" t="s">
        <v>1204</v>
      </c>
      <c r="E112" s="29" t="s">
        <v>1205</v>
      </c>
      <c r="F112" s="22" t="s">
        <v>248</v>
      </c>
      <c r="G112" s="22">
        <v>423.0</v>
      </c>
      <c r="H112" s="22">
        <f t="array" ref="H112">IFERROR(INDEX('Hub CPC 226'!A:A, MATCH(C112, 'Hub CPC 226'!B:B, 0)), "")</f>
        <v>116</v>
      </c>
      <c r="I112" s="22">
        <f t="array" ref="I112">IFERROR(INDEX('Hub Users 226'!A:A, MATCH(C112, 'Hub Users 226'!B:B, 0)), "")</f>
        <v>136</v>
      </c>
      <c r="J112" s="22" t="s">
        <v>269</v>
      </c>
      <c r="K112" s="28" t="s">
        <v>1206</v>
      </c>
      <c r="L112" s="25">
        <v>44207.822916666664</v>
      </c>
      <c r="M112" s="28">
        <v>4.0</v>
      </c>
      <c r="N112" s="28">
        <v>9.0</v>
      </c>
      <c r="O112" s="28">
        <v>22.0</v>
      </c>
      <c r="P112" s="31"/>
      <c r="Q112" s="22" t="s">
        <v>1207</v>
      </c>
      <c r="R112" s="22" t="s">
        <v>334</v>
      </c>
      <c r="S112" s="22" t="s">
        <v>1208</v>
      </c>
      <c r="T112" s="22" t="s">
        <v>272</v>
      </c>
      <c r="U112" s="22" t="s">
        <v>1209</v>
      </c>
      <c r="V112" s="26" t="s">
        <v>371</v>
      </c>
      <c r="W112" s="27" t="s">
        <v>1210</v>
      </c>
      <c r="X112" s="26" t="s">
        <v>1211</v>
      </c>
      <c r="Y112" s="23"/>
      <c r="Z112" s="28"/>
      <c r="AA112" s="23"/>
      <c r="AB112" s="23" t="str">
        <f>IFERROR(__xludf.DUMMYFUNCTION("IF(
ISNUMBER(MATCH(
C112,
IMPORTRANGE(""https://docs.google.com/spreadsheets/d/1yTh1ELC33JHYOeEdgIiEclxPRyh0zOKtlawDltfUay8"",""'Champions'!A:A""),
0
)),
""Outreach Conducted"",
"""")"),"")</f>
        <v/>
      </c>
      <c r="AC112" s="23"/>
      <c r="AD112" s="23"/>
      <c r="AE112" s="23"/>
      <c r="AF112" s="23"/>
      <c r="AG112" s="23"/>
      <c r="AH112" s="23"/>
      <c r="AI112" s="23"/>
      <c r="AJ112" s="23"/>
      <c r="AK112" s="23"/>
      <c r="AL112" s="23"/>
    </row>
    <row r="113" hidden="1">
      <c r="A113" s="22" t="s">
        <v>1212</v>
      </c>
      <c r="B113" s="22" t="s">
        <v>1213</v>
      </c>
      <c r="C113" s="23" t="str">
        <f t="shared" si="1"/>
        <v>Adelina Longoria</v>
      </c>
      <c r="D113" s="22">
        <v>1.7132696823E10</v>
      </c>
      <c r="E113" s="29" t="s">
        <v>1214</v>
      </c>
      <c r="F113" s="22" t="s">
        <v>248</v>
      </c>
      <c r="G113" s="22">
        <v>587.0</v>
      </c>
      <c r="H113" s="22">
        <f t="array" ref="H113">IFERROR(INDEX('Hub CPC 226'!A:A, MATCH(C113, 'Hub CPC 226'!B:B, 0)), "")</f>
        <v>117</v>
      </c>
      <c r="I113" s="22">
        <f t="array" ref="I113">IFERROR(INDEX('Hub Users 226'!A:A, MATCH(C113, 'Hub Users 226'!B:B, 0)), "")</f>
        <v>137</v>
      </c>
      <c r="J113" s="22" t="s">
        <v>290</v>
      </c>
      <c r="K113" s="23" t="s">
        <v>1215</v>
      </c>
      <c r="L113" s="25">
        <v>44568.80694444444</v>
      </c>
      <c r="M113" s="23"/>
      <c r="N113" s="23"/>
      <c r="O113" s="23"/>
      <c r="P113" s="23"/>
      <c r="Q113" s="22" t="s">
        <v>1216</v>
      </c>
      <c r="R113" s="22" t="s">
        <v>1217</v>
      </c>
      <c r="S113" s="22" t="s">
        <v>1218</v>
      </c>
      <c r="T113" s="22" t="s">
        <v>465</v>
      </c>
      <c r="U113" s="22" t="s">
        <v>1219</v>
      </c>
      <c r="V113" s="26" t="s">
        <v>284</v>
      </c>
      <c r="W113" s="27" t="s">
        <v>1220</v>
      </c>
      <c r="X113" s="26" t="s">
        <v>619</v>
      </c>
      <c r="Y113" s="23"/>
      <c r="Z113" s="28"/>
      <c r="AA113" s="23"/>
      <c r="AB113" s="23" t="str">
        <f>IFERROR(__xludf.DUMMYFUNCTION("IF(
ISNUMBER(MATCH(
C113,
IMPORTRANGE(""https://docs.google.com/spreadsheets/d/1yTh1ELC33JHYOeEdgIiEclxPRyh0zOKtlawDltfUay8"",""'Champions'!A:A""),
0
)),
""Outreach Conducted"",
"""")"),"")</f>
        <v/>
      </c>
      <c r="AC113" s="23"/>
      <c r="AD113" s="23"/>
      <c r="AE113" s="23"/>
      <c r="AF113" s="23"/>
      <c r="AG113" s="23"/>
      <c r="AH113" s="23"/>
      <c r="AI113" s="23"/>
      <c r="AJ113" s="23"/>
      <c r="AK113" s="23"/>
      <c r="AL113" s="23"/>
    </row>
    <row r="114" hidden="1">
      <c r="A114" s="22" t="s">
        <v>1221</v>
      </c>
      <c r="B114" s="22" t="s">
        <v>1222</v>
      </c>
      <c r="C114" s="23" t="str">
        <f t="shared" si="1"/>
        <v>Dwayne Taylor</v>
      </c>
      <c r="D114" s="22">
        <v>1.6158627341E10</v>
      </c>
      <c r="E114" s="29" t="s">
        <v>1223</v>
      </c>
      <c r="F114" s="22" t="s">
        <v>248</v>
      </c>
      <c r="G114" s="22">
        <v>666.0</v>
      </c>
      <c r="H114" s="22">
        <f t="array" ref="H114">IFERROR(INDEX('Hub CPC 226'!A:A, MATCH(C114, 'Hub CPC 226'!B:B, 0)), "")</f>
        <v>118</v>
      </c>
      <c r="I114" s="22">
        <f t="array" ref="I114">IFERROR(INDEX('Hub Users 226'!A:A, MATCH(C114, 'Hub Users 226'!B:B, 0)), "")</f>
        <v>138</v>
      </c>
      <c r="J114" s="22" t="s">
        <v>290</v>
      </c>
      <c r="K114" s="23" t="s">
        <v>1224</v>
      </c>
      <c r="L114" s="25">
        <v>44832.52222222222</v>
      </c>
      <c r="M114" s="23"/>
      <c r="N114" s="23"/>
      <c r="O114" s="23"/>
      <c r="P114" s="23"/>
      <c r="Q114" s="22" t="s">
        <v>1225</v>
      </c>
      <c r="R114" s="22" t="s">
        <v>1226</v>
      </c>
      <c r="S114" s="22" t="s">
        <v>1227</v>
      </c>
      <c r="T114" s="22" t="s">
        <v>1228</v>
      </c>
      <c r="U114" s="22" t="s">
        <v>1229</v>
      </c>
      <c r="V114" s="26" t="s">
        <v>475</v>
      </c>
      <c r="W114" s="27" t="s">
        <v>1230</v>
      </c>
      <c r="X114" s="26" t="s">
        <v>1085</v>
      </c>
      <c r="Y114" s="23"/>
      <c r="Z114" s="28"/>
      <c r="AA114" s="23"/>
      <c r="AB114" s="23" t="str">
        <f>IFERROR(__xludf.DUMMYFUNCTION("IF(
ISNUMBER(MATCH(
C114,
IMPORTRANGE(""https://docs.google.com/spreadsheets/d/1yTh1ELC33JHYOeEdgIiEclxPRyh0zOKtlawDltfUay8"",""'Champions'!A:A""),
0
)),
""Outreach Conducted"",
"""")"),"")</f>
        <v/>
      </c>
      <c r="AC114" s="23"/>
      <c r="AD114" s="23"/>
      <c r="AE114" s="23"/>
      <c r="AF114" s="23"/>
      <c r="AG114" s="23"/>
      <c r="AH114" s="23"/>
      <c r="AI114" s="23"/>
      <c r="AJ114" s="23"/>
      <c r="AK114" s="23"/>
      <c r="AL114" s="23"/>
    </row>
    <row r="115" hidden="1">
      <c r="A115" s="22" t="s">
        <v>1231</v>
      </c>
      <c r="B115" s="22" t="s">
        <v>1232</v>
      </c>
      <c r="C115" s="23" t="str">
        <f t="shared" si="1"/>
        <v>Ed Bianchi</v>
      </c>
      <c r="D115" s="22" t="s">
        <v>1233</v>
      </c>
      <c r="E115" s="29" t="s">
        <v>1234</v>
      </c>
      <c r="F115" s="22" t="s">
        <v>248</v>
      </c>
      <c r="G115" s="22">
        <v>508.0</v>
      </c>
      <c r="H115" s="22">
        <f t="array" ref="H115">IFERROR(INDEX('Hub CPC 226'!A:A, MATCH(C115, 'Hub CPC 226'!B:B, 0)), "")</f>
        <v>119</v>
      </c>
      <c r="I115" s="22">
        <f t="array" ref="I115">IFERROR(INDEX('Hub Users 226'!A:A, MATCH(C115, 'Hub Users 226'!B:B, 0)), "")</f>
        <v>139</v>
      </c>
      <c r="J115" s="22" t="s">
        <v>1235</v>
      </c>
      <c r="K115" s="23" t="s">
        <v>1236</v>
      </c>
      <c r="L115" s="25">
        <v>44477.91111111111</v>
      </c>
      <c r="M115" s="23"/>
      <c r="N115" s="23"/>
      <c r="O115" s="23"/>
      <c r="P115" s="23"/>
      <c r="Q115" s="24"/>
      <c r="R115" s="24"/>
      <c r="S115" s="24"/>
      <c r="T115" s="24"/>
      <c r="U115" s="22" t="s">
        <v>1237</v>
      </c>
      <c r="V115" s="26" t="s">
        <v>1238</v>
      </c>
      <c r="W115" s="23"/>
      <c r="X115" s="26" t="s">
        <v>1239</v>
      </c>
      <c r="Y115" s="28" t="s">
        <v>1240</v>
      </c>
      <c r="Z115" s="28"/>
      <c r="AA115" s="23"/>
      <c r="AB115" s="23" t="str">
        <f>IFERROR(__xludf.DUMMYFUNCTION("IF(
ISNUMBER(MATCH(
C115,
IMPORTRANGE(""https://docs.google.com/spreadsheets/d/1yTh1ELC33JHYOeEdgIiEclxPRyh0zOKtlawDltfUay8"",""'Champions'!A:A""),
0
)),
""Outreach Conducted"",
"""")"),"")</f>
        <v/>
      </c>
      <c r="AC115" s="23"/>
      <c r="AD115" s="23"/>
      <c r="AE115" s="23"/>
      <c r="AF115" s="23"/>
      <c r="AG115" s="23"/>
      <c r="AH115" s="23"/>
      <c r="AI115" s="23"/>
      <c r="AJ115" s="23"/>
      <c r="AK115" s="23"/>
      <c r="AL115" s="23"/>
    </row>
    <row r="116" hidden="1">
      <c r="A116" s="22" t="s">
        <v>1241</v>
      </c>
      <c r="B116" s="22" t="s">
        <v>1242</v>
      </c>
      <c r="C116" s="23" t="str">
        <f t="shared" si="1"/>
        <v>Elise George</v>
      </c>
      <c r="D116" s="22">
        <v>1.9513103582E10</v>
      </c>
      <c r="E116" s="29" t="s">
        <v>1243</v>
      </c>
      <c r="F116" s="22" t="s">
        <v>248</v>
      </c>
      <c r="G116" s="22">
        <v>595.0</v>
      </c>
      <c r="H116" s="22">
        <f t="array" ref="H116">IFERROR(INDEX('Hub CPC 226'!A:A, MATCH(C116, 'Hub CPC 226'!B:B, 0)), "")</f>
        <v>120</v>
      </c>
      <c r="I116" s="22">
        <f t="array" ref="I116">IFERROR(INDEX('Hub Users 226'!A:A, MATCH(C116, 'Hub Users 226'!B:B, 0)), "")</f>
        <v>140</v>
      </c>
      <c r="J116" s="22" t="s">
        <v>260</v>
      </c>
      <c r="K116" s="23" t="s">
        <v>1244</v>
      </c>
      <c r="L116" s="25">
        <v>44576.57986111111</v>
      </c>
      <c r="M116" s="23"/>
      <c r="N116" s="23"/>
      <c r="O116" s="23"/>
      <c r="P116" s="23"/>
      <c r="Q116" s="22" t="s">
        <v>1245</v>
      </c>
      <c r="R116" s="22" t="s">
        <v>1246</v>
      </c>
      <c r="S116" s="22" t="s">
        <v>1247</v>
      </c>
      <c r="T116" s="22" t="s">
        <v>252</v>
      </c>
      <c r="U116" s="22" t="s">
        <v>1248</v>
      </c>
      <c r="V116" s="26" t="s">
        <v>507</v>
      </c>
      <c r="W116" s="27" t="s">
        <v>1249</v>
      </c>
      <c r="X116" s="26" t="s">
        <v>1250</v>
      </c>
      <c r="Y116" s="23"/>
      <c r="Z116" s="28"/>
      <c r="AA116" s="23"/>
      <c r="AB116" s="23" t="str">
        <f>IFERROR(__xludf.DUMMYFUNCTION("IF(
ISNUMBER(MATCH(
C116,
IMPORTRANGE(""https://docs.google.com/spreadsheets/d/1yTh1ELC33JHYOeEdgIiEclxPRyh0zOKtlawDltfUay8"",""'Champions'!A:A""),
0
)),
""Outreach Conducted"",
"""")"),"")</f>
        <v/>
      </c>
      <c r="AC116" s="23"/>
      <c r="AD116" s="23"/>
      <c r="AE116" s="23"/>
      <c r="AF116" s="23"/>
      <c r="AG116" s="23"/>
      <c r="AH116" s="23"/>
      <c r="AI116" s="23"/>
      <c r="AJ116" s="23"/>
      <c r="AK116" s="23"/>
      <c r="AL116" s="23"/>
    </row>
    <row r="117" hidden="1">
      <c r="A117" s="22" t="s">
        <v>1251</v>
      </c>
      <c r="B117" s="22" t="s">
        <v>1252</v>
      </c>
      <c r="C117" s="23" t="str">
        <f t="shared" si="1"/>
        <v>Enrique Linan</v>
      </c>
      <c r="D117" s="22">
        <v>5.1948329862E10</v>
      </c>
      <c r="E117" s="29" t="s">
        <v>1253</v>
      </c>
      <c r="F117" s="22" t="s">
        <v>248</v>
      </c>
      <c r="G117" s="22">
        <v>541.0</v>
      </c>
      <c r="H117" s="22">
        <f t="array" ref="H117">IFERROR(INDEX('Hub CPC 226'!A:A, MATCH(C117, 'Hub CPC 226'!B:B, 0)), "")</f>
        <v>121</v>
      </c>
      <c r="I117" s="22">
        <f t="array" ref="I117">IFERROR(INDEX('Hub Users 226'!A:A, MATCH(C117, 'Hub Users 226'!B:B, 0)), "")</f>
        <v>141</v>
      </c>
      <c r="J117" s="22" t="s">
        <v>1153</v>
      </c>
      <c r="K117" s="23" t="s">
        <v>1254</v>
      </c>
      <c r="L117" s="25">
        <v>44505.95138888889</v>
      </c>
      <c r="M117" s="23"/>
      <c r="N117" s="23"/>
      <c r="O117" s="23"/>
      <c r="P117" s="23"/>
      <c r="Q117" s="22" t="s">
        <v>1255</v>
      </c>
      <c r="R117" s="22" t="s">
        <v>1256</v>
      </c>
      <c r="S117" s="24"/>
      <c r="T117" s="24"/>
      <c r="U117" s="22" t="s">
        <v>1257</v>
      </c>
      <c r="V117" s="26" t="s">
        <v>284</v>
      </c>
      <c r="W117" s="36" t="s">
        <v>1258</v>
      </c>
      <c r="X117" s="26" t="s">
        <v>373</v>
      </c>
      <c r="Y117" s="23"/>
      <c r="Z117" s="28"/>
      <c r="AA117" s="23"/>
      <c r="AB117" s="23" t="str">
        <f>IFERROR(__xludf.DUMMYFUNCTION("IF(
ISNUMBER(MATCH(
C117,
IMPORTRANGE(""https://docs.google.com/spreadsheets/d/1yTh1ELC33JHYOeEdgIiEclxPRyh0zOKtlawDltfUay8"",""'Champions'!A:A""),
0
)),
""Outreach Conducted"",
"""")"),"")</f>
        <v/>
      </c>
      <c r="AC117" s="23"/>
      <c r="AD117" s="23"/>
      <c r="AE117" s="23"/>
      <c r="AF117" s="23"/>
      <c r="AG117" s="23"/>
      <c r="AH117" s="23"/>
      <c r="AI117" s="23"/>
      <c r="AJ117" s="23"/>
      <c r="AK117" s="23"/>
      <c r="AL117" s="23"/>
    </row>
    <row r="118" hidden="1">
      <c r="A118" s="22" t="s">
        <v>1259</v>
      </c>
      <c r="B118" s="22" t="s">
        <v>1260</v>
      </c>
      <c r="C118" s="23" t="str">
        <f t="shared" si="1"/>
        <v>Elizabeth (Jean) Pierson</v>
      </c>
      <c r="D118" s="22" t="s">
        <v>1261</v>
      </c>
      <c r="E118" s="29" t="s">
        <v>1262</v>
      </c>
      <c r="F118" s="22" t="s">
        <v>399</v>
      </c>
      <c r="G118" s="22">
        <v>67.0</v>
      </c>
      <c r="H118" s="22">
        <f t="array" ref="H118">IFERROR(INDEX('Hub CPC 226'!A:A, MATCH(C118, 'Hub CPC 226'!B:B, 0)), "")</f>
        <v>122</v>
      </c>
      <c r="I118" s="22">
        <f t="array" ref="I118">IFERROR(INDEX('Hub Users 226'!A:A, MATCH(C118, 'Hub Users 226'!B:B, 0)), "")</f>
        <v>142</v>
      </c>
      <c r="J118" s="22" t="s">
        <v>107</v>
      </c>
      <c r="K118" s="23" t="s">
        <v>1263</v>
      </c>
      <c r="L118" s="25">
        <v>43354.00208333333</v>
      </c>
      <c r="M118" s="28">
        <v>10.0</v>
      </c>
      <c r="N118" s="28">
        <v>27.0</v>
      </c>
      <c r="O118" s="28">
        <v>65.0</v>
      </c>
      <c r="P118" s="32">
        <v>1.0</v>
      </c>
      <c r="Q118" s="22" t="s">
        <v>1264</v>
      </c>
      <c r="R118" s="22"/>
      <c r="S118" s="22" t="s">
        <v>271</v>
      </c>
      <c r="T118" s="22" t="s">
        <v>272</v>
      </c>
      <c r="U118" s="22" t="s">
        <v>1265</v>
      </c>
      <c r="V118" s="26" t="s">
        <v>274</v>
      </c>
      <c r="W118" s="23"/>
      <c r="X118" s="26" t="s">
        <v>1266</v>
      </c>
      <c r="Y118" s="28" t="s">
        <v>1267</v>
      </c>
      <c r="Z118" s="23"/>
      <c r="AA118" s="23"/>
      <c r="AB118" s="23" t="str">
        <f>IFERROR(__xludf.DUMMYFUNCTION("IF(
ISNUMBER(MATCH(
C118,
IMPORTRANGE(""https://docs.google.com/spreadsheets/d/1yTh1ELC33JHYOeEdgIiEclxPRyh0zOKtlawDltfUay8"",""'Champions'!A:A""),
0
)),
""Outreach Conducted"",
"""")"),"")</f>
        <v/>
      </c>
      <c r="AC118" s="23"/>
      <c r="AD118" s="23"/>
      <c r="AE118" s="23"/>
      <c r="AF118" s="23"/>
      <c r="AG118" s="23"/>
      <c r="AH118" s="23"/>
      <c r="AI118" s="23"/>
      <c r="AJ118" s="23"/>
      <c r="AK118" s="23"/>
      <c r="AL118" s="23"/>
    </row>
    <row r="119" hidden="1">
      <c r="A119" s="22" t="s">
        <v>1268</v>
      </c>
      <c r="B119" s="22" t="s">
        <v>1269</v>
      </c>
      <c r="C119" s="23" t="str">
        <f t="shared" si="1"/>
        <v>Ellerie Vaughn</v>
      </c>
      <c r="D119" s="22">
        <v>5.627168813E9</v>
      </c>
      <c r="E119" s="29" t="s">
        <v>1270</v>
      </c>
      <c r="F119" s="22" t="s">
        <v>248</v>
      </c>
      <c r="G119" s="22">
        <v>50.0</v>
      </c>
      <c r="H119" s="22">
        <f t="array" ref="H119">IFERROR(INDEX('Hub CPC 226'!A:A, MATCH(C119, 'Hub CPC 226'!B:B, 0)), "")</f>
        <v>123</v>
      </c>
      <c r="I119" s="22">
        <f t="array" ref="I119">IFERROR(INDEX('Hub Users 226'!A:A, MATCH(C119, 'Hub Users 226'!B:B, 0)), "")</f>
        <v>143</v>
      </c>
      <c r="J119" s="22" t="s">
        <v>608</v>
      </c>
      <c r="K119" s="23" t="s">
        <v>1271</v>
      </c>
      <c r="L119" s="25">
        <v>43338.743055555555</v>
      </c>
      <c r="M119" s="23"/>
      <c r="N119" s="23"/>
      <c r="O119" s="23"/>
      <c r="P119" s="23"/>
      <c r="Q119" s="22" t="s">
        <v>1272</v>
      </c>
      <c r="R119" s="22" t="s">
        <v>1273</v>
      </c>
      <c r="S119" s="22" t="s">
        <v>1274</v>
      </c>
      <c r="T119" s="22" t="s">
        <v>252</v>
      </c>
      <c r="U119" s="24"/>
      <c r="V119" s="26" t="s">
        <v>360</v>
      </c>
      <c r="W119" s="27" t="s">
        <v>1275</v>
      </c>
      <c r="X119" s="26" t="s">
        <v>362</v>
      </c>
      <c r="Y119" s="23"/>
      <c r="Z119" s="28"/>
      <c r="AA119" s="23"/>
      <c r="AB119" s="23" t="str">
        <f>IFERROR(__xludf.DUMMYFUNCTION("IF(
ISNUMBER(MATCH(
C119,
IMPORTRANGE(""https://docs.google.com/spreadsheets/d/1yTh1ELC33JHYOeEdgIiEclxPRyh0zOKtlawDltfUay8"",""'Champions'!A:A""),
0
)),
""Outreach Conducted"",
"""")"),"")</f>
        <v/>
      </c>
      <c r="AC119" s="23"/>
      <c r="AD119" s="23"/>
      <c r="AE119" s="23"/>
      <c r="AF119" s="23"/>
      <c r="AG119" s="23"/>
      <c r="AH119" s="23"/>
      <c r="AI119" s="23"/>
      <c r="AJ119" s="23"/>
      <c r="AK119" s="23"/>
      <c r="AL119" s="23"/>
    </row>
    <row r="120" hidden="1">
      <c r="A120" s="22" t="s">
        <v>1276</v>
      </c>
      <c r="B120" s="22" t="s">
        <v>1277</v>
      </c>
      <c r="C120" s="23" t="str">
        <f t="shared" si="1"/>
        <v>Elon Stein</v>
      </c>
      <c r="D120" s="22">
        <v>1.8567802758E10</v>
      </c>
      <c r="E120" s="29" t="s">
        <v>1278</v>
      </c>
      <c r="F120" s="22" t="s">
        <v>248</v>
      </c>
      <c r="G120" s="22">
        <v>444.0</v>
      </c>
      <c r="H120" s="22">
        <f t="array" ref="H120">IFERROR(INDEX('Hub CPC 226'!A:A, MATCH(C120, 'Hub CPC 226'!B:B, 0)), "")</f>
        <v>124</v>
      </c>
      <c r="I120" s="22">
        <f t="array" ref="I120">IFERROR(INDEX('Hub Users 226'!A:A, MATCH(C120, 'Hub Users 226'!B:B, 0)), "")</f>
        <v>144</v>
      </c>
      <c r="J120" s="22" t="s">
        <v>260</v>
      </c>
      <c r="K120" s="23" t="s">
        <v>1279</v>
      </c>
      <c r="L120" s="25">
        <v>44235.55</v>
      </c>
      <c r="M120" s="23"/>
      <c r="N120" s="23"/>
      <c r="O120" s="23"/>
      <c r="P120" s="23"/>
      <c r="Q120" s="22" t="s">
        <v>1280</v>
      </c>
      <c r="R120" s="22" t="s">
        <v>1281</v>
      </c>
      <c r="S120" s="22" t="s">
        <v>1282</v>
      </c>
      <c r="T120" s="22" t="s">
        <v>241</v>
      </c>
      <c r="U120" s="22" t="s">
        <v>1283</v>
      </c>
      <c r="V120" s="26" t="s">
        <v>1284</v>
      </c>
      <c r="W120" s="23"/>
      <c r="X120" s="26" t="s">
        <v>477</v>
      </c>
      <c r="Y120" s="23"/>
      <c r="Z120" s="28"/>
      <c r="AA120" s="23"/>
      <c r="AB120" s="23" t="str">
        <f>IFERROR(__xludf.DUMMYFUNCTION("IF(
ISNUMBER(MATCH(
C120,
IMPORTRANGE(""https://docs.google.com/spreadsheets/d/1yTh1ELC33JHYOeEdgIiEclxPRyh0zOKtlawDltfUay8"",""'Champions'!A:A""),
0
)),
""Outreach Conducted"",
"""")"),"")</f>
        <v/>
      </c>
      <c r="AC120" s="23"/>
      <c r="AD120" s="23"/>
      <c r="AE120" s="23"/>
      <c r="AF120" s="23"/>
      <c r="AG120" s="23"/>
      <c r="AH120" s="23"/>
      <c r="AI120" s="23"/>
      <c r="AJ120" s="23"/>
      <c r="AK120" s="23"/>
      <c r="AL120" s="23"/>
    </row>
    <row r="121" hidden="1">
      <c r="A121" s="22" t="s">
        <v>1285</v>
      </c>
      <c r="B121" s="22" t="s">
        <v>1079</v>
      </c>
      <c r="C121" s="23" t="str">
        <f t="shared" si="1"/>
        <v>Emily Davis</v>
      </c>
      <c r="D121" s="22">
        <v>1.6166063802E10</v>
      </c>
      <c r="E121" s="29" t="s">
        <v>1286</v>
      </c>
      <c r="F121" s="22" t="s">
        <v>248</v>
      </c>
      <c r="G121" s="22">
        <v>548.0</v>
      </c>
      <c r="H121" s="22">
        <f t="array" ref="H121">IFERROR(INDEX('Hub CPC 226'!A:A, MATCH(C121, 'Hub CPC 226'!B:B, 0)), "")</f>
        <v>125</v>
      </c>
      <c r="I121" s="22">
        <f t="array" ref="I121">IFERROR(INDEX('Hub Users 226'!A:A, MATCH(C121, 'Hub Users 226'!B:B, 0)), "")</f>
        <v>145</v>
      </c>
      <c r="J121" s="22" t="s">
        <v>1235</v>
      </c>
      <c r="K121" s="23" t="s">
        <v>1287</v>
      </c>
      <c r="L121" s="25">
        <v>44510.81527777778</v>
      </c>
      <c r="M121" s="23"/>
      <c r="N121" s="23"/>
      <c r="O121" s="23"/>
      <c r="P121" s="23"/>
      <c r="Q121" s="22" t="s">
        <v>1288</v>
      </c>
      <c r="R121" s="22" t="s">
        <v>1289</v>
      </c>
      <c r="S121" s="22" t="s">
        <v>1290</v>
      </c>
      <c r="T121" s="22" t="s">
        <v>252</v>
      </c>
      <c r="U121" s="22" t="s">
        <v>1017</v>
      </c>
      <c r="V121" s="26" t="s">
        <v>284</v>
      </c>
      <c r="W121" s="27" t="s">
        <v>1291</v>
      </c>
      <c r="X121" s="26" t="s">
        <v>619</v>
      </c>
      <c r="Y121" s="23"/>
      <c r="Z121" s="28"/>
      <c r="AA121" s="23"/>
      <c r="AB121" s="23" t="str">
        <f>IFERROR(__xludf.DUMMYFUNCTION("IF(
ISNUMBER(MATCH(
C121,
IMPORTRANGE(""https://docs.google.com/spreadsheets/d/1yTh1ELC33JHYOeEdgIiEclxPRyh0zOKtlawDltfUay8"",""'Champions'!A:A""),
0
)),
""Outreach Conducted"",
"""")"),"")</f>
        <v/>
      </c>
      <c r="AC121" s="23"/>
      <c r="AD121" s="23"/>
      <c r="AE121" s="23"/>
      <c r="AF121" s="23"/>
      <c r="AG121" s="23"/>
      <c r="AH121" s="23"/>
      <c r="AI121" s="23"/>
      <c r="AJ121" s="23"/>
      <c r="AK121" s="23"/>
      <c r="AL121" s="23"/>
    </row>
    <row r="122" hidden="1">
      <c r="A122" s="22" t="s">
        <v>1259</v>
      </c>
      <c r="B122" s="22" t="s">
        <v>1292</v>
      </c>
      <c r="C122" s="23" t="str">
        <f t="shared" si="1"/>
        <v>Elizabeth Padilla-Crespo</v>
      </c>
      <c r="D122" s="22">
        <v>1.7875994368E10</v>
      </c>
      <c r="E122" s="29" t="s">
        <v>1293</v>
      </c>
      <c r="F122" s="22" t="s">
        <v>238</v>
      </c>
      <c r="G122" s="22">
        <v>612.0</v>
      </c>
      <c r="H122" s="22">
        <f t="array" ref="H122">IFERROR(INDEX('Hub CPC 226'!A:A, MATCH(C122, 'Hub CPC 226'!B:B, 0)), "")</f>
        <v>126</v>
      </c>
      <c r="I122" s="22">
        <f t="array" ref="I122">IFERROR(INDEX('Hub Users 226'!A:A, MATCH(C122, 'Hub Users 226'!B:B, 0)), "")</f>
        <v>146</v>
      </c>
      <c r="J122" s="22" t="s">
        <v>407</v>
      </c>
      <c r="K122" s="23" t="s">
        <v>1294</v>
      </c>
      <c r="L122" s="25">
        <v>44586.364583333336</v>
      </c>
      <c r="M122" s="23"/>
      <c r="N122" s="23"/>
      <c r="O122" s="23"/>
      <c r="P122" s="23"/>
      <c r="Q122" s="22" t="s">
        <v>1295</v>
      </c>
      <c r="R122" s="22" t="s">
        <v>1296</v>
      </c>
      <c r="S122" s="24"/>
      <c r="T122" s="24"/>
      <c r="U122" s="22" t="s">
        <v>1296</v>
      </c>
      <c r="V122" s="26" t="s">
        <v>284</v>
      </c>
      <c r="W122" s="27" t="s">
        <v>1297</v>
      </c>
      <c r="X122" s="26" t="s">
        <v>619</v>
      </c>
      <c r="Y122" s="23"/>
      <c r="Z122" s="28"/>
      <c r="AA122" s="23"/>
      <c r="AB122" s="23" t="str">
        <f>IFERROR(__xludf.DUMMYFUNCTION("IF(
ISNUMBER(MATCH(
C122,
IMPORTRANGE(""https://docs.google.com/spreadsheets/d/1yTh1ELC33JHYOeEdgIiEclxPRyh0zOKtlawDltfUay8"",""'Champions'!A:A""),
0
)),
""Outreach Conducted"",
"""")"),"")</f>
        <v/>
      </c>
      <c r="AC122" s="23"/>
      <c r="AD122" s="23"/>
      <c r="AE122" s="23"/>
      <c r="AF122" s="23"/>
      <c r="AG122" s="23"/>
      <c r="AH122" s="23"/>
      <c r="AI122" s="23"/>
      <c r="AJ122" s="23"/>
      <c r="AK122" s="23"/>
      <c r="AL122" s="23"/>
    </row>
    <row r="123" hidden="1">
      <c r="A123" s="22" t="s">
        <v>1298</v>
      </c>
      <c r="B123" s="22" t="s">
        <v>1299</v>
      </c>
      <c r="C123" s="23" t="str">
        <f t="shared" si="1"/>
        <v>Erycka Montoya</v>
      </c>
      <c r="D123" s="22">
        <v>1.9175605692E10</v>
      </c>
      <c r="E123" s="29" t="s">
        <v>1300</v>
      </c>
      <c r="F123" s="22" t="s">
        <v>248</v>
      </c>
      <c r="G123" s="22">
        <v>520.0</v>
      </c>
      <c r="H123" s="22">
        <f t="array" ref="H123">IFERROR(INDEX('Hub CPC 226'!A:A, MATCH(C123, 'Hub CPC 226'!B:B, 0)), "")</f>
        <v>127</v>
      </c>
      <c r="I123" s="22">
        <f t="array" ref="I123">IFERROR(INDEX('Hub Users 226'!A:A, MATCH(C123, 'Hub Users 226'!B:B, 0)), "")</f>
        <v>147</v>
      </c>
      <c r="J123" s="22" t="s">
        <v>260</v>
      </c>
      <c r="K123" s="23" t="s">
        <v>1301</v>
      </c>
      <c r="L123" s="25">
        <v>44489.85902777778</v>
      </c>
      <c r="M123" s="28">
        <v>6.0</v>
      </c>
      <c r="N123" s="28">
        <v>13.0</v>
      </c>
      <c r="O123" s="28">
        <v>35.0</v>
      </c>
      <c r="P123" s="32">
        <v>21.0</v>
      </c>
      <c r="Q123" s="22" t="s">
        <v>1302</v>
      </c>
      <c r="R123" s="22" t="s">
        <v>1172</v>
      </c>
      <c r="S123" s="22" t="s">
        <v>1173</v>
      </c>
      <c r="T123" s="22" t="s">
        <v>272</v>
      </c>
      <c r="U123" s="22" t="s">
        <v>1303</v>
      </c>
      <c r="V123" s="26" t="s">
        <v>1304</v>
      </c>
      <c r="W123" s="27" t="s">
        <v>1305</v>
      </c>
      <c r="X123" s="26" t="s">
        <v>1306</v>
      </c>
      <c r="Y123" s="23"/>
      <c r="Z123" s="28"/>
      <c r="AA123" s="23"/>
      <c r="AB123" s="23" t="str">
        <f>IFERROR(__xludf.DUMMYFUNCTION("IF(
ISNUMBER(MATCH(
C123,
IMPORTRANGE(""https://docs.google.com/spreadsheets/d/1yTh1ELC33JHYOeEdgIiEclxPRyh0zOKtlawDltfUay8"",""'Champions'!A:A""),
0
)),
""Outreach Conducted"",
"""")"),"")</f>
        <v/>
      </c>
      <c r="AC123" s="23"/>
      <c r="AD123" s="23"/>
      <c r="AE123" s="23"/>
      <c r="AF123" s="23"/>
      <c r="AG123" s="23"/>
      <c r="AH123" s="23"/>
      <c r="AI123" s="23"/>
      <c r="AJ123" s="23"/>
      <c r="AK123" s="23"/>
      <c r="AL123" s="23"/>
    </row>
    <row r="124" hidden="1">
      <c r="A124" s="22" t="s">
        <v>1307</v>
      </c>
      <c r="B124" s="22" t="s">
        <v>1308</v>
      </c>
      <c r="C124" s="23" t="str">
        <f t="shared" si="1"/>
        <v>Evidence Ohikhuai</v>
      </c>
      <c r="D124" s="22">
        <v>6.013170119E9</v>
      </c>
      <c r="E124" s="29" t="s">
        <v>1309</v>
      </c>
      <c r="F124" s="22" t="s">
        <v>248</v>
      </c>
      <c r="G124" s="22">
        <v>677.0</v>
      </c>
      <c r="H124" s="22">
        <f t="array" ref="H124">IFERROR(INDEX('Hub CPC 226'!A:A, MATCH(C124, 'Hub CPC 226'!B:B, 0)), "")</f>
        <v>129</v>
      </c>
      <c r="I124" s="22">
        <f t="array" ref="I124">IFERROR(INDEX('Hub Users 226'!A:A, MATCH(C124, 'Hub Users 226'!B:B, 0)), "")</f>
        <v>149</v>
      </c>
      <c r="J124" s="22" t="s">
        <v>107</v>
      </c>
      <c r="K124" s="23" t="s">
        <v>1310</v>
      </c>
      <c r="L124" s="25">
        <v>44867.645833333336</v>
      </c>
      <c r="M124" s="23"/>
      <c r="N124" s="23"/>
      <c r="O124" s="23"/>
      <c r="P124" s="23"/>
      <c r="Q124" s="24"/>
      <c r="R124" s="22" t="s">
        <v>1311</v>
      </c>
      <c r="S124" s="22" t="s">
        <v>1312</v>
      </c>
      <c r="T124" s="22" t="s">
        <v>1313</v>
      </c>
      <c r="U124" s="22" t="s">
        <v>1314</v>
      </c>
      <c r="V124" s="23"/>
      <c r="W124" s="23"/>
      <c r="X124" s="23"/>
      <c r="Y124" s="23"/>
      <c r="Z124" s="28"/>
      <c r="AA124" s="23"/>
      <c r="AB124" s="23" t="str">
        <f>IFERROR(__xludf.DUMMYFUNCTION("IF(
ISNUMBER(MATCH(
C124,
IMPORTRANGE(""https://docs.google.com/spreadsheets/d/1yTh1ELC33JHYOeEdgIiEclxPRyh0zOKtlawDltfUay8"",""'Champions'!A:A""),
0
)),
""Outreach Conducted"",
"""")"),"")</f>
        <v/>
      </c>
      <c r="AC124" s="23"/>
      <c r="AD124" s="23"/>
      <c r="AE124" s="23"/>
      <c r="AF124" s="23"/>
      <c r="AG124" s="23"/>
      <c r="AH124" s="23"/>
      <c r="AI124" s="23"/>
      <c r="AJ124" s="23"/>
      <c r="AK124" s="23"/>
      <c r="AL124" s="23"/>
    </row>
    <row r="125" hidden="1">
      <c r="A125" s="22" t="s">
        <v>1315</v>
      </c>
      <c r="B125" s="22" t="s">
        <v>1316</v>
      </c>
      <c r="C125" s="23" t="str">
        <f t="shared" si="1"/>
        <v>Estrella Mestres</v>
      </c>
      <c r="D125" s="22">
        <v>1.6462603663E10</v>
      </c>
      <c r="E125" s="29" t="s">
        <v>1317</v>
      </c>
      <c r="F125" s="22" t="s">
        <v>248</v>
      </c>
      <c r="G125" s="22">
        <v>554.0</v>
      </c>
      <c r="H125" s="22">
        <f t="array" ref="H125">IFERROR(INDEX('Hub CPC 226'!A:A, MATCH(C125, 'Hub CPC 226'!B:B, 0)), "")</f>
        <v>130</v>
      </c>
      <c r="I125" s="22">
        <f t="array" ref="I125">IFERROR(INDEX('Hub Users 226'!A:A, MATCH(C125, 'Hub Users 226'!B:B, 0)), "")</f>
        <v>150</v>
      </c>
      <c r="J125" s="22" t="s">
        <v>260</v>
      </c>
      <c r="K125" s="23" t="s">
        <v>1318</v>
      </c>
      <c r="L125" s="25">
        <v>44519.58194444444</v>
      </c>
      <c r="M125" s="28">
        <v>13.0</v>
      </c>
      <c r="N125" s="28">
        <v>30.0</v>
      </c>
      <c r="O125" s="28">
        <v>70.0</v>
      </c>
      <c r="P125" s="32">
        <v>7.0</v>
      </c>
      <c r="Q125" s="22" t="s">
        <v>1319</v>
      </c>
      <c r="R125" s="22" t="s">
        <v>271</v>
      </c>
      <c r="S125" s="22" t="s">
        <v>271</v>
      </c>
      <c r="T125" s="22" t="s">
        <v>272</v>
      </c>
      <c r="U125" s="22" t="s">
        <v>1320</v>
      </c>
      <c r="V125" s="26" t="s">
        <v>284</v>
      </c>
      <c r="W125" s="27" t="s">
        <v>1321</v>
      </c>
      <c r="X125" s="26" t="s">
        <v>619</v>
      </c>
      <c r="Y125" s="23"/>
      <c r="Z125" s="28"/>
      <c r="AA125" s="23"/>
      <c r="AB125" s="23" t="str">
        <f>IFERROR(__xludf.DUMMYFUNCTION("IF(
ISNUMBER(MATCH(
C125,
IMPORTRANGE(""https://docs.google.com/spreadsheets/d/1yTh1ELC33JHYOeEdgIiEclxPRyh0zOKtlawDltfUay8"",""'Champions'!A:A""),
0
)),
""Outreach Conducted"",
"""")"),"")</f>
        <v/>
      </c>
      <c r="AC125" s="23"/>
      <c r="AD125" s="23"/>
      <c r="AE125" s="23"/>
      <c r="AF125" s="23"/>
      <c r="AG125" s="23"/>
      <c r="AH125" s="23"/>
      <c r="AI125" s="23"/>
      <c r="AJ125" s="23"/>
      <c r="AK125" s="23"/>
      <c r="AL125" s="23"/>
    </row>
    <row r="126" hidden="1">
      <c r="A126" s="22" t="s">
        <v>1322</v>
      </c>
      <c r="B126" s="22" t="s">
        <v>1323</v>
      </c>
      <c r="C126" s="23" t="str">
        <f t="shared" si="1"/>
        <v>Victor Evans</v>
      </c>
      <c r="D126" s="22">
        <v>1.425919635E10</v>
      </c>
      <c r="E126" s="29" t="s">
        <v>1324</v>
      </c>
      <c r="F126" s="22" t="s">
        <v>248</v>
      </c>
      <c r="G126" s="22">
        <v>616.0</v>
      </c>
      <c r="H126" s="22" t="str">
        <f t="array" ref="H126">IFERROR(INDEX('Hub CPC 226'!A:A, MATCH(C126, 'Hub CPC 226'!B:B, 0)), "")</f>
        <v/>
      </c>
      <c r="I126" s="22">
        <f t="array" ref="I126">IFERROR(INDEX('Hub Users 226'!A:A, MATCH(C126, 'Hub Users 226'!B:B, 0)), "")</f>
        <v>151</v>
      </c>
      <c r="J126" s="22" t="s">
        <v>239</v>
      </c>
      <c r="K126" s="23" t="s">
        <v>1325</v>
      </c>
      <c r="L126" s="25">
        <v>44590.81597222222</v>
      </c>
      <c r="M126" s="23"/>
      <c r="N126" s="23"/>
      <c r="O126" s="23"/>
      <c r="P126" s="23"/>
      <c r="Q126" s="22" t="s">
        <v>1326</v>
      </c>
      <c r="R126" s="22" t="s">
        <v>1327</v>
      </c>
      <c r="S126" s="22" t="s">
        <v>1328</v>
      </c>
      <c r="T126" s="22" t="s">
        <v>501</v>
      </c>
      <c r="U126" s="22" t="s">
        <v>1329</v>
      </c>
      <c r="V126" s="26" t="s">
        <v>507</v>
      </c>
      <c r="W126" s="27" t="s">
        <v>1330</v>
      </c>
      <c r="X126" s="26" t="s">
        <v>619</v>
      </c>
      <c r="Y126" s="23"/>
      <c r="Z126" s="28"/>
      <c r="AA126" s="23"/>
      <c r="AB126" s="23" t="str">
        <f>IFERROR(__xludf.DUMMYFUNCTION("IF(
ISNUMBER(MATCH(
C126,
IMPORTRANGE(""https://docs.google.com/spreadsheets/d/1yTh1ELC33JHYOeEdgIiEclxPRyh0zOKtlawDltfUay8"",""'Champions'!A:A""),
0
)),
""Outreach Conducted"",
"""")"),"")</f>
        <v/>
      </c>
      <c r="AC126" s="23"/>
      <c r="AD126" s="23"/>
      <c r="AE126" s="23"/>
      <c r="AF126" s="23"/>
      <c r="AG126" s="23"/>
      <c r="AH126" s="23"/>
      <c r="AI126" s="23"/>
      <c r="AJ126" s="23"/>
      <c r="AK126" s="23"/>
      <c r="AL126" s="23"/>
    </row>
    <row r="127" hidden="1">
      <c r="A127" s="22" t="s">
        <v>1331</v>
      </c>
      <c r="B127" s="22" t="s">
        <v>1332</v>
      </c>
      <c r="C127" s="23" t="str">
        <f t="shared" si="1"/>
        <v>Dr. Rabiaa'h Bhatia</v>
      </c>
      <c r="D127" s="30">
        <v>9.18449E11</v>
      </c>
      <c r="E127" s="29" t="s">
        <v>1333</v>
      </c>
      <c r="F127" s="22" t="s">
        <v>399</v>
      </c>
      <c r="G127" s="22">
        <v>573.0</v>
      </c>
      <c r="H127" s="22">
        <f t="array" ref="H127">IFERROR(INDEX('Hub CPC 226'!A:A, MATCH(C127, 'Hub CPC 226'!B:B, 0)), "")</f>
        <v>132</v>
      </c>
      <c r="I127" s="22">
        <f t="array" ref="I127">IFERROR(INDEX('Hub Users 226'!A:A, MATCH(C127, 'Hub Users 226'!B:B, 0)), "")</f>
        <v>152</v>
      </c>
      <c r="J127" s="22" t="s">
        <v>538</v>
      </c>
      <c r="K127" s="23" t="s">
        <v>1334</v>
      </c>
      <c r="L127" s="25">
        <v>44551.075694444444</v>
      </c>
      <c r="M127" s="23"/>
      <c r="N127" s="23"/>
      <c r="O127" s="23"/>
      <c r="P127" s="23"/>
      <c r="Q127" s="22" t="s">
        <v>1333</v>
      </c>
      <c r="R127" s="22" t="s">
        <v>1335</v>
      </c>
      <c r="S127" s="24"/>
      <c r="T127" s="24"/>
      <c r="U127" s="22" t="s">
        <v>1336</v>
      </c>
      <c r="V127" s="23"/>
      <c r="W127" s="23"/>
      <c r="X127" s="23"/>
      <c r="Y127" s="23"/>
      <c r="Z127" s="23"/>
      <c r="AA127" s="23"/>
      <c r="AB127" s="23" t="str">
        <f>IFERROR(__xludf.DUMMYFUNCTION("IF(
ISNUMBER(MATCH(
C127,
IMPORTRANGE(""https://docs.google.com/spreadsheets/d/1yTh1ELC33JHYOeEdgIiEclxPRyh0zOKtlawDltfUay8"",""'Champions'!A:A""),
0
)),
""Outreach Conducted"",
"""")"),"")</f>
        <v/>
      </c>
      <c r="AC127" s="23"/>
      <c r="AD127" s="23"/>
      <c r="AE127" s="23"/>
      <c r="AF127" s="23"/>
      <c r="AG127" s="23"/>
      <c r="AH127" s="23"/>
      <c r="AI127" s="23"/>
      <c r="AJ127" s="23"/>
      <c r="AK127" s="23"/>
      <c r="AL127" s="23"/>
    </row>
    <row r="128" hidden="1">
      <c r="A128" s="22" t="s">
        <v>1122</v>
      </c>
      <c r="B128" s="22" t="s">
        <v>1337</v>
      </c>
      <c r="C128" s="23" t="str">
        <f t="shared" si="1"/>
        <v>Sandra Rodriquez-Scarano</v>
      </c>
      <c r="D128" s="22">
        <v>2.098310386E9</v>
      </c>
      <c r="E128" s="29" t="s">
        <v>1338</v>
      </c>
      <c r="F128" s="22" t="s">
        <v>248</v>
      </c>
      <c r="G128" s="22">
        <v>394.0</v>
      </c>
      <c r="H128" s="22">
        <f t="array" ref="H128">IFERROR(INDEX('Hub CPC 226'!A:A, MATCH(C128, 'Hub CPC 226'!B:B, 0)), "")</f>
        <v>133</v>
      </c>
      <c r="I128" s="22">
        <f t="array" ref="I128">IFERROR(INDEX('Hub Users 226'!A:A, MATCH(C128, 'Hub Users 226'!B:B, 0)), "")</f>
        <v>153</v>
      </c>
      <c r="J128" s="22" t="s">
        <v>425</v>
      </c>
      <c r="K128" s="28" t="s">
        <v>1339</v>
      </c>
      <c r="L128" s="25">
        <v>44200.67152777778</v>
      </c>
      <c r="M128" s="23"/>
      <c r="N128" s="23"/>
      <c r="O128" s="23"/>
      <c r="P128" s="23"/>
      <c r="Q128" s="22" t="s">
        <v>1340</v>
      </c>
      <c r="R128" s="22" t="s">
        <v>1341</v>
      </c>
      <c r="S128" s="22" t="s">
        <v>1342</v>
      </c>
      <c r="T128" s="22" t="s">
        <v>252</v>
      </c>
      <c r="U128" s="22" t="s">
        <v>1343</v>
      </c>
      <c r="V128" s="23"/>
      <c r="W128" s="23"/>
      <c r="X128" s="23"/>
      <c r="Y128" s="23"/>
      <c r="Z128" s="28"/>
      <c r="AA128" s="23"/>
      <c r="AB128" s="23" t="str">
        <f>IFERROR(__xludf.DUMMYFUNCTION("IF(
ISNUMBER(MATCH(
C128,
IMPORTRANGE(""https://docs.google.com/spreadsheets/d/1yTh1ELC33JHYOeEdgIiEclxPRyh0zOKtlawDltfUay8"",""'Champions'!A:A""),
0
)),
""Outreach Conducted"",
"""")"),"")</f>
        <v/>
      </c>
      <c r="AC128" s="23"/>
      <c r="AD128" s="23"/>
      <c r="AE128" s="23"/>
      <c r="AF128" s="23"/>
      <c r="AG128" s="23"/>
      <c r="AH128" s="23"/>
      <c r="AI128" s="23"/>
      <c r="AJ128" s="23"/>
      <c r="AK128" s="23"/>
      <c r="AL128" s="23"/>
    </row>
    <row r="129" hidden="1">
      <c r="A129" s="22" t="s">
        <v>1344</v>
      </c>
      <c r="B129" s="22" t="s">
        <v>1345</v>
      </c>
      <c r="C129" s="23" t="str">
        <f t="shared" si="1"/>
        <v>Benazir Fateh</v>
      </c>
      <c r="D129" s="22">
        <v>9.842187523E9</v>
      </c>
      <c r="E129" s="29" t="s">
        <v>1346</v>
      </c>
      <c r="F129" s="22" t="s">
        <v>248</v>
      </c>
      <c r="G129" s="22">
        <v>371.0</v>
      </c>
      <c r="H129" s="22">
        <f t="array" ref="H129">IFERROR(INDEX('Hub CPC 226'!A:A, MATCH(C129, 'Hub CPC 226'!B:B, 0)), "")</f>
        <v>134</v>
      </c>
      <c r="I129" s="22">
        <f t="array" ref="I129">IFERROR(INDEX('Hub Users 226'!A:A, MATCH(C129, 'Hub Users 226'!B:B, 0)), "")</f>
        <v>154</v>
      </c>
      <c r="J129" s="22" t="s">
        <v>239</v>
      </c>
      <c r="K129" s="23" t="s">
        <v>1347</v>
      </c>
      <c r="L129" s="25">
        <v>44175.71111111111</v>
      </c>
      <c r="M129" s="23"/>
      <c r="N129" s="23"/>
      <c r="O129" s="23"/>
      <c r="P129" s="23"/>
      <c r="Q129" s="22" t="s">
        <v>1348</v>
      </c>
      <c r="R129" s="22" t="s">
        <v>1349</v>
      </c>
      <c r="S129" s="22" t="s">
        <v>1349</v>
      </c>
      <c r="T129" s="22" t="s">
        <v>252</v>
      </c>
      <c r="U129" s="22" t="s">
        <v>533</v>
      </c>
      <c r="V129" s="26" t="s">
        <v>798</v>
      </c>
      <c r="W129" s="27" t="s">
        <v>1350</v>
      </c>
      <c r="X129" s="26" t="s">
        <v>1351</v>
      </c>
      <c r="Y129" s="23"/>
      <c r="Z129" s="28"/>
      <c r="AA129" s="23"/>
      <c r="AB129" s="23" t="str">
        <f>IFERROR(__xludf.DUMMYFUNCTION("IF(
ISNUMBER(MATCH(
C129,
IMPORTRANGE(""https://docs.google.com/spreadsheets/d/1yTh1ELC33JHYOeEdgIiEclxPRyh0zOKtlawDltfUay8"",""'Champions'!A:A""),
0
)),
""Outreach Conducted"",
"""")"),"")</f>
        <v/>
      </c>
      <c r="AC129" s="23"/>
      <c r="AD129" s="23"/>
      <c r="AE129" s="23"/>
      <c r="AF129" s="23"/>
      <c r="AG129" s="23"/>
      <c r="AH129" s="23"/>
      <c r="AI129" s="23"/>
      <c r="AJ129" s="23"/>
      <c r="AK129" s="23"/>
      <c r="AL129" s="23"/>
    </row>
    <row r="130" hidden="1">
      <c r="A130" s="22" t="s">
        <v>1352</v>
      </c>
      <c r="B130" s="22" t="s">
        <v>1353</v>
      </c>
      <c r="C130" s="23" t="str">
        <f t="shared" si="1"/>
        <v>Flavia Mihaela Vaduva</v>
      </c>
      <c r="D130" s="22">
        <v>7.723619702E9</v>
      </c>
      <c r="E130" s="29" t="s">
        <v>1354</v>
      </c>
      <c r="F130" s="22" t="s">
        <v>248</v>
      </c>
      <c r="G130" s="22">
        <v>28.0</v>
      </c>
      <c r="H130" s="22" t="str">
        <f t="array" ref="H130">IFERROR(INDEX('Hub CPC 226'!A:A, MATCH(C130, 'Hub CPC 226'!B:B, 0)), "")</f>
        <v/>
      </c>
      <c r="I130" s="22">
        <f t="array" ref="I130">IFERROR(INDEX('Hub Users 226'!A:A, MATCH(C130, 'Hub Users 226'!B:B, 0)), "")</f>
        <v>155</v>
      </c>
      <c r="J130" s="22"/>
      <c r="K130" s="23" t="s">
        <v>1355</v>
      </c>
      <c r="L130" s="25">
        <v>43338.743055555555</v>
      </c>
      <c r="M130" s="23"/>
      <c r="N130" s="23"/>
      <c r="O130" s="23"/>
      <c r="P130" s="23"/>
      <c r="Q130" s="22" t="s">
        <v>1356</v>
      </c>
      <c r="R130" s="22" t="s">
        <v>1357</v>
      </c>
      <c r="S130" s="22" t="s">
        <v>1358</v>
      </c>
      <c r="T130" s="22" t="s">
        <v>1359</v>
      </c>
      <c r="U130" s="22" t="s">
        <v>1360</v>
      </c>
      <c r="V130" s="26" t="s">
        <v>1361</v>
      </c>
      <c r="W130" s="27" t="s">
        <v>1362</v>
      </c>
      <c r="X130" s="26" t="s">
        <v>1363</v>
      </c>
      <c r="Y130" s="23"/>
      <c r="Z130" s="28"/>
      <c r="AA130" s="23"/>
      <c r="AB130" s="23" t="str">
        <f>IFERROR(__xludf.DUMMYFUNCTION("IF(
ISNUMBER(MATCH(
C130,
IMPORTRANGE(""https://docs.google.com/spreadsheets/d/1yTh1ELC33JHYOeEdgIiEclxPRyh0zOKtlawDltfUay8"",""'Champions'!A:A""),
0
)),
""Outreach Conducted"",
"""")"),"")</f>
        <v/>
      </c>
      <c r="AC130" s="23"/>
      <c r="AD130" s="26" t="s">
        <v>448</v>
      </c>
      <c r="AE130" s="34">
        <v>44593.0</v>
      </c>
      <c r="AF130" s="28" t="s">
        <v>449</v>
      </c>
      <c r="AG130" s="28" t="s">
        <v>1364</v>
      </c>
      <c r="AH130" s="23"/>
      <c r="AI130" s="23"/>
      <c r="AJ130" s="23"/>
      <c r="AK130" s="23"/>
      <c r="AL130" s="23"/>
    </row>
    <row r="131" hidden="1">
      <c r="A131" s="22" t="s">
        <v>1365</v>
      </c>
      <c r="B131" s="22" t="s">
        <v>1366</v>
      </c>
      <c r="C131" s="23" t="str">
        <f t="shared" si="1"/>
        <v>Frances Tseng</v>
      </c>
      <c r="D131" s="22">
        <v>1.3238136611E10</v>
      </c>
      <c r="E131" s="29" t="s">
        <v>1367</v>
      </c>
      <c r="F131" s="22" t="s">
        <v>248</v>
      </c>
      <c r="G131" s="22">
        <v>729.0</v>
      </c>
      <c r="H131" s="22">
        <f t="array" ref="H131">IFERROR(INDEX('Hub CPC 226'!A:A, MATCH(C131, 'Hub CPC 226'!B:B, 0)), "")</f>
        <v>136</v>
      </c>
      <c r="I131" s="22">
        <f t="array" ref="I131">IFERROR(INDEX('Hub Users 226'!A:A, MATCH(C131, 'Hub Users 226'!B:B, 0)), "")</f>
        <v>156</v>
      </c>
      <c r="J131" s="22" t="s">
        <v>785</v>
      </c>
      <c r="K131" s="23" t="s">
        <v>1368</v>
      </c>
      <c r="L131" s="25">
        <v>45086.46041666667</v>
      </c>
      <c r="M131" s="23"/>
      <c r="N131" s="23"/>
      <c r="O131" s="23"/>
      <c r="P131" s="23"/>
      <c r="Q131" s="22" t="s">
        <v>1369</v>
      </c>
      <c r="R131" s="22" t="s">
        <v>1370</v>
      </c>
      <c r="S131" s="22" t="s">
        <v>1371</v>
      </c>
      <c r="T131" s="22" t="s">
        <v>1372</v>
      </c>
      <c r="U131" s="22" t="s">
        <v>1373</v>
      </c>
      <c r="V131" s="26" t="s">
        <v>1374</v>
      </c>
      <c r="W131" s="27" t="s">
        <v>1375</v>
      </c>
      <c r="X131" s="26" t="s">
        <v>704</v>
      </c>
      <c r="Y131" s="23"/>
      <c r="Z131" s="28"/>
      <c r="AA131" s="23"/>
      <c r="AB131" s="23" t="str">
        <f>IFERROR(__xludf.DUMMYFUNCTION("IF(
ISNUMBER(MATCH(
C131,
IMPORTRANGE(""https://docs.google.com/spreadsheets/d/1yTh1ELC33JHYOeEdgIiEclxPRyh0zOKtlawDltfUay8"",""'Champions'!A:A""),
0
)),
""Outreach Conducted"",
"""")"),"")</f>
        <v/>
      </c>
      <c r="AC131" s="23"/>
      <c r="AD131" s="23"/>
      <c r="AE131" s="23"/>
      <c r="AF131" s="23"/>
      <c r="AG131" s="23"/>
      <c r="AH131" s="23"/>
      <c r="AI131" s="23"/>
      <c r="AJ131" s="23"/>
      <c r="AK131" s="23"/>
      <c r="AL131" s="23"/>
    </row>
    <row r="132" hidden="1">
      <c r="A132" s="22" t="s">
        <v>1376</v>
      </c>
      <c r="B132" s="22" t="s">
        <v>1377</v>
      </c>
      <c r="C132" s="23" t="str">
        <f t="shared" si="1"/>
        <v>Francesca Gonzalez</v>
      </c>
      <c r="D132" s="22" t="s">
        <v>1378</v>
      </c>
      <c r="E132" s="29" t="s">
        <v>1379</v>
      </c>
      <c r="F132" s="22" t="s">
        <v>248</v>
      </c>
      <c r="G132" s="22">
        <v>645.0</v>
      </c>
      <c r="H132" s="22" t="str">
        <f t="array" ref="H132">IFERROR(INDEX('Hub CPC 226'!A:A, MATCH(C132, 'Hub CPC 226'!B:B, 0)), "")</f>
        <v/>
      </c>
      <c r="I132" s="22">
        <f t="array" ref="I132">IFERROR(INDEX('Hub Users 226'!A:A, MATCH(C132, 'Hub Users 226'!B:B, 0)), "")</f>
        <v>157</v>
      </c>
      <c r="J132" s="22" t="s">
        <v>417</v>
      </c>
      <c r="K132" s="23" t="s">
        <v>1380</v>
      </c>
      <c r="L132" s="25">
        <v>44678.57847222222</v>
      </c>
      <c r="M132" s="23"/>
      <c r="N132" s="23"/>
      <c r="O132" s="23"/>
      <c r="P132" s="23"/>
      <c r="Q132" s="22" t="s">
        <v>1381</v>
      </c>
      <c r="R132" s="22" t="s">
        <v>1382</v>
      </c>
      <c r="S132" s="24"/>
      <c r="T132" s="24"/>
      <c r="U132" s="24"/>
      <c r="V132" s="26" t="s">
        <v>1383</v>
      </c>
      <c r="W132" s="23"/>
      <c r="X132" s="26" t="s">
        <v>477</v>
      </c>
      <c r="Y132" s="23"/>
      <c r="Z132" s="28"/>
      <c r="AA132" s="23"/>
      <c r="AB132" s="23" t="str">
        <f>IFERROR(__xludf.DUMMYFUNCTION("IF(
ISNUMBER(MATCH(
C132,
IMPORTRANGE(""https://docs.google.com/spreadsheets/d/1yTh1ELC33JHYOeEdgIiEclxPRyh0zOKtlawDltfUay8"",""'Champions'!A:A""),
0
)),
""Outreach Conducted"",
"""")"),"")</f>
        <v/>
      </c>
      <c r="AC132" s="23"/>
      <c r="AD132" s="23"/>
      <c r="AE132" s="23"/>
      <c r="AF132" s="23"/>
      <c r="AG132" s="23"/>
      <c r="AH132" s="23"/>
      <c r="AI132" s="23"/>
      <c r="AJ132" s="23"/>
      <c r="AK132" s="23"/>
      <c r="AL132" s="23"/>
    </row>
    <row r="133" hidden="1">
      <c r="A133" s="22" t="s">
        <v>1384</v>
      </c>
      <c r="B133" s="22" t="s">
        <v>1385</v>
      </c>
      <c r="C133" s="23" t="str">
        <f t="shared" si="1"/>
        <v>Francis Asprec</v>
      </c>
      <c r="D133" s="22">
        <v>1.3478601058E10</v>
      </c>
      <c r="E133" s="29" t="s">
        <v>1386</v>
      </c>
      <c r="F133" s="22" t="s">
        <v>238</v>
      </c>
      <c r="G133" s="22">
        <v>536.0</v>
      </c>
      <c r="H133" s="22">
        <f t="array" ref="H133">IFERROR(INDEX('Hub CPC 226'!A:A, MATCH(C133, 'Hub CPC 226'!B:B, 0)), "")</f>
        <v>138</v>
      </c>
      <c r="I133" s="22">
        <f t="array" ref="I133">IFERROR(INDEX('Hub Users 226'!A:A, MATCH(C133, 'Hub Users 226'!B:B, 0)), "")</f>
        <v>158</v>
      </c>
      <c r="J133" s="22" t="s">
        <v>107</v>
      </c>
      <c r="K133" s="23" t="s">
        <v>1387</v>
      </c>
      <c r="L133" s="25">
        <v>44504.78680555556</v>
      </c>
      <c r="M133" s="23"/>
      <c r="N133" s="23"/>
      <c r="O133" s="23"/>
      <c r="P133" s="23"/>
      <c r="Q133" s="22" t="s">
        <v>1388</v>
      </c>
      <c r="R133" s="22" t="s">
        <v>1389</v>
      </c>
      <c r="S133" s="22" t="s">
        <v>1390</v>
      </c>
      <c r="T133" s="22" t="s">
        <v>241</v>
      </c>
      <c r="U133" s="22" t="s">
        <v>1391</v>
      </c>
      <c r="V133" s="26" t="s">
        <v>284</v>
      </c>
      <c r="W133" s="27" t="s">
        <v>1392</v>
      </c>
      <c r="X133" s="26" t="s">
        <v>619</v>
      </c>
      <c r="Y133" s="23"/>
      <c r="Z133" s="28"/>
      <c r="AA133" s="23"/>
      <c r="AB133" s="23" t="str">
        <f>IFERROR(__xludf.DUMMYFUNCTION("IF(
ISNUMBER(MATCH(
C133,
IMPORTRANGE(""https://docs.google.com/spreadsheets/d/1yTh1ELC33JHYOeEdgIiEclxPRyh0zOKtlawDltfUay8"",""'Champions'!A:A""),
0
)),
""Outreach Conducted"",
"""")"),"")</f>
        <v/>
      </c>
      <c r="AC133" s="23"/>
      <c r="AD133" s="23"/>
      <c r="AE133" s="23"/>
      <c r="AF133" s="23"/>
      <c r="AG133" s="23"/>
      <c r="AH133" s="23"/>
      <c r="AI133" s="23"/>
      <c r="AJ133" s="23"/>
      <c r="AK133" s="23"/>
      <c r="AL133" s="23"/>
    </row>
    <row r="134" hidden="1">
      <c r="A134" s="22" t="s">
        <v>1393</v>
      </c>
      <c r="B134" s="22" t="s">
        <v>1394</v>
      </c>
      <c r="C134" s="23" t="str">
        <f t="shared" si="1"/>
        <v>Rubinder Gill</v>
      </c>
      <c r="D134" s="22">
        <v>5.303016757E9</v>
      </c>
      <c r="E134" s="29" t="s">
        <v>1395</v>
      </c>
      <c r="F134" s="22" t="s">
        <v>248</v>
      </c>
      <c r="G134" s="22">
        <v>350.0</v>
      </c>
      <c r="H134" s="22">
        <f t="array" ref="H134">IFERROR(INDEX('Hub CPC 226'!A:A, MATCH(C134, 'Hub CPC 226'!B:B, 0)), "")</f>
        <v>139</v>
      </c>
      <c r="I134" s="22">
        <f t="array" ref="I134">IFERROR(INDEX('Hub Users 226'!A:A, MATCH(C134, 'Hub Users 226'!B:B, 0)), "")</f>
        <v>159</v>
      </c>
      <c r="J134" s="22" t="s">
        <v>260</v>
      </c>
      <c r="K134" s="23" t="s">
        <v>1396</v>
      </c>
      <c r="L134" s="25">
        <v>44092.46319444444</v>
      </c>
      <c r="M134" s="23"/>
      <c r="N134" s="23"/>
      <c r="O134" s="23"/>
      <c r="P134" s="23"/>
      <c r="Q134" s="22" t="s">
        <v>1397</v>
      </c>
      <c r="R134" s="22" t="s">
        <v>1398</v>
      </c>
      <c r="S134" s="22" t="s">
        <v>1398</v>
      </c>
      <c r="T134" s="22" t="s">
        <v>252</v>
      </c>
      <c r="U134" s="22" t="s">
        <v>1399</v>
      </c>
      <c r="V134" s="23"/>
      <c r="W134" s="23"/>
      <c r="X134" s="23"/>
      <c r="Y134" s="23"/>
      <c r="Z134" s="28"/>
      <c r="AA134" s="23"/>
      <c r="AB134" s="23" t="str">
        <f>IFERROR(__xludf.DUMMYFUNCTION("IF(
ISNUMBER(MATCH(
C134,
IMPORTRANGE(""https://docs.google.com/spreadsheets/d/1yTh1ELC33JHYOeEdgIiEclxPRyh0zOKtlawDltfUay8"",""'Champions'!A:A""),
0
)),
""Outreach Conducted"",
"""")"),"")</f>
        <v/>
      </c>
      <c r="AC134" s="23"/>
      <c r="AD134" s="23"/>
      <c r="AE134" s="23"/>
      <c r="AF134" s="23"/>
      <c r="AG134" s="23"/>
      <c r="AH134" s="23"/>
      <c r="AI134" s="23"/>
      <c r="AJ134" s="23"/>
      <c r="AK134" s="23"/>
      <c r="AL134" s="23"/>
    </row>
    <row r="135" hidden="1">
      <c r="A135" s="22" t="s">
        <v>915</v>
      </c>
      <c r="B135" s="22" t="s">
        <v>1400</v>
      </c>
      <c r="C135" s="23" t="str">
        <f t="shared" si="1"/>
        <v>Christa Margaret Gabert</v>
      </c>
      <c r="D135" s="22" t="s">
        <v>1401</v>
      </c>
      <c r="E135" s="29" t="s">
        <v>1402</v>
      </c>
      <c r="F135" s="22" t="s">
        <v>238</v>
      </c>
      <c r="G135" s="22">
        <v>106.0</v>
      </c>
      <c r="H135" s="22">
        <f t="array" ref="H135">IFERROR(INDEX('Hub CPC 226'!A:A, MATCH(C135, 'Hub CPC 226'!B:B, 0)), "")</f>
        <v>140</v>
      </c>
      <c r="I135" s="22">
        <f t="array" ref="I135">IFERROR(INDEX('Hub Users 226'!A:A, MATCH(C135, 'Hub Users 226'!B:B, 0)), "")</f>
        <v>160</v>
      </c>
      <c r="J135" s="22" t="s">
        <v>240</v>
      </c>
      <c r="K135" s="23" t="s">
        <v>1403</v>
      </c>
      <c r="L135" s="25">
        <v>43484.70625</v>
      </c>
      <c r="M135" s="28">
        <v>14.0</v>
      </c>
      <c r="N135" s="28">
        <v>59.0</v>
      </c>
      <c r="O135" s="28">
        <v>36.0</v>
      </c>
      <c r="P135" s="32">
        <v>26.0</v>
      </c>
      <c r="Q135" s="22" t="s">
        <v>1404</v>
      </c>
      <c r="R135" s="22" t="s">
        <v>334</v>
      </c>
      <c r="S135" s="22" t="s">
        <v>1405</v>
      </c>
      <c r="T135" s="22" t="s">
        <v>272</v>
      </c>
      <c r="U135" s="22" t="s">
        <v>1406</v>
      </c>
      <c r="V135" s="23"/>
      <c r="W135" s="23"/>
      <c r="X135" s="23"/>
      <c r="Y135" s="23"/>
      <c r="Z135" s="28"/>
      <c r="AA135" s="23"/>
      <c r="AB135" s="23" t="str">
        <f>IFERROR(__xludf.DUMMYFUNCTION("IF(
ISNUMBER(MATCH(
C135,
IMPORTRANGE(""https://docs.google.com/spreadsheets/d/1yTh1ELC33JHYOeEdgIiEclxPRyh0zOKtlawDltfUay8"",""'Champions'!A:A""),
0
)),
""Outreach Conducted"",
"""")"),"")</f>
        <v/>
      </c>
      <c r="AC135" s="23"/>
      <c r="AD135" s="23"/>
      <c r="AE135" s="23"/>
      <c r="AF135" s="23"/>
      <c r="AG135" s="23"/>
      <c r="AH135" s="23"/>
      <c r="AI135" s="23"/>
      <c r="AJ135" s="23"/>
      <c r="AK135" s="23"/>
      <c r="AL135" s="23"/>
    </row>
    <row r="136" hidden="1">
      <c r="A136" s="22" t="s">
        <v>1407</v>
      </c>
      <c r="B136" s="22" t="s">
        <v>1408</v>
      </c>
      <c r="C136" s="23" t="str">
        <f t="shared" si="1"/>
        <v>Gabby Riccardi</v>
      </c>
      <c r="D136" s="22">
        <v>2.013701765E9</v>
      </c>
      <c r="E136" s="29" t="s">
        <v>1409</v>
      </c>
      <c r="F136" s="22" t="s">
        <v>248</v>
      </c>
      <c r="G136" s="22">
        <v>62.0</v>
      </c>
      <c r="H136" s="22">
        <f t="array" ref="H136">IFERROR(INDEX('Hub CPC 226'!A:A, MATCH(C136, 'Hub CPC 226'!B:B, 0)), "")</f>
        <v>141</v>
      </c>
      <c r="I136" s="22">
        <f t="array" ref="I136">IFERROR(INDEX('Hub Users 226'!A:A, MATCH(C136, 'Hub Users 226'!B:B, 0)), "")</f>
        <v>161</v>
      </c>
      <c r="J136" s="22" t="s">
        <v>269</v>
      </c>
      <c r="K136" s="28" t="s">
        <v>1410</v>
      </c>
      <c r="L136" s="25">
        <v>43338.743055555555</v>
      </c>
      <c r="M136" s="23"/>
      <c r="N136" s="23"/>
      <c r="O136" s="23"/>
      <c r="P136" s="23"/>
      <c r="Q136" s="22" t="s">
        <v>1411</v>
      </c>
      <c r="R136" s="22"/>
      <c r="S136" s="22" t="s">
        <v>1371</v>
      </c>
      <c r="T136" s="22" t="s">
        <v>1372</v>
      </c>
      <c r="U136" s="22" t="s">
        <v>1412</v>
      </c>
      <c r="V136" s="23"/>
      <c r="W136" s="23"/>
      <c r="X136" s="23"/>
      <c r="Y136" s="23"/>
      <c r="Z136" s="28"/>
      <c r="AA136" s="23"/>
      <c r="AB136" s="23" t="str">
        <f>IFERROR(__xludf.DUMMYFUNCTION("IF(
ISNUMBER(MATCH(
C136,
IMPORTRANGE(""https://docs.google.com/spreadsheets/d/1yTh1ELC33JHYOeEdgIiEclxPRyh0zOKtlawDltfUay8"",""'Champions'!A:A""),
0
)),
""Outreach Conducted"",
"""")"),"")</f>
        <v/>
      </c>
      <c r="AC136" s="23"/>
      <c r="AD136" s="23"/>
      <c r="AE136" s="23"/>
      <c r="AF136" s="23"/>
      <c r="AG136" s="23"/>
      <c r="AH136" s="23"/>
      <c r="AI136" s="23"/>
      <c r="AJ136" s="23"/>
      <c r="AK136" s="23"/>
      <c r="AL136" s="23"/>
    </row>
    <row r="137" hidden="1">
      <c r="A137" s="22" t="s">
        <v>1413</v>
      </c>
      <c r="B137" s="22" t="s">
        <v>1414</v>
      </c>
      <c r="C137" s="23" t="str">
        <f t="shared" si="1"/>
        <v>Gabriela Amada Vega</v>
      </c>
      <c r="D137" s="22" t="s">
        <v>1415</v>
      </c>
      <c r="E137" s="29" t="s">
        <v>1416</v>
      </c>
      <c r="F137" s="22" t="s">
        <v>238</v>
      </c>
      <c r="G137" s="22">
        <v>95.0</v>
      </c>
      <c r="H137" s="22">
        <f t="array" ref="H137">IFERROR(INDEX('Hub CPC 226'!A:A, MATCH(C137, 'Hub CPC 226'!B:B, 0)), "")</f>
        <v>142</v>
      </c>
      <c r="I137" s="22">
        <f t="array" ref="I137">IFERROR(INDEX('Hub Users 226'!A:A, MATCH(C137, 'Hub Users 226'!B:B, 0)), "")</f>
        <v>162</v>
      </c>
      <c r="J137" s="22" t="s">
        <v>240</v>
      </c>
      <c r="K137" s="23" t="s">
        <v>1417</v>
      </c>
      <c r="L137" s="25">
        <v>43393.57708333333</v>
      </c>
      <c r="M137" s="23"/>
      <c r="N137" s="23"/>
      <c r="O137" s="23"/>
      <c r="P137" s="23"/>
      <c r="Q137" s="22" t="s">
        <v>1418</v>
      </c>
      <c r="R137" s="22" t="s">
        <v>1419</v>
      </c>
      <c r="S137" s="22" t="s">
        <v>1420</v>
      </c>
      <c r="T137" s="22" t="s">
        <v>1421</v>
      </c>
      <c r="U137" s="22" t="s">
        <v>1422</v>
      </c>
      <c r="V137" s="26" t="s">
        <v>360</v>
      </c>
      <c r="W137" s="27" t="s">
        <v>1423</v>
      </c>
      <c r="X137" s="26" t="s">
        <v>477</v>
      </c>
      <c r="Y137" s="23"/>
      <c r="Z137" s="28"/>
      <c r="AA137" s="23"/>
      <c r="AB137" s="23" t="str">
        <f>IFERROR(__xludf.DUMMYFUNCTION("IF(
ISNUMBER(MATCH(
C137,
IMPORTRANGE(""https://docs.google.com/spreadsheets/d/1yTh1ELC33JHYOeEdgIiEclxPRyh0zOKtlawDltfUay8"",""'Champions'!A:A""),
0
)),
""Outreach Conducted"",
"""")"),"")</f>
        <v/>
      </c>
      <c r="AC137" s="23"/>
      <c r="AD137" s="23"/>
      <c r="AE137" s="23"/>
      <c r="AF137" s="23"/>
      <c r="AG137" s="23"/>
      <c r="AH137" s="23"/>
      <c r="AI137" s="23"/>
      <c r="AJ137" s="23"/>
      <c r="AK137" s="23"/>
      <c r="AL137" s="23"/>
    </row>
    <row r="138" hidden="1">
      <c r="A138" s="22" t="s">
        <v>1424</v>
      </c>
      <c r="B138" s="22" t="s">
        <v>1425</v>
      </c>
      <c r="C138" s="23" t="str">
        <f t="shared" si="1"/>
        <v>Dragana Glumac</v>
      </c>
      <c r="D138" s="22">
        <v>6.303174707E9</v>
      </c>
      <c r="E138" s="29" t="s">
        <v>1426</v>
      </c>
      <c r="F138" s="22" t="s">
        <v>248</v>
      </c>
      <c r="G138" s="22">
        <v>304.0</v>
      </c>
      <c r="H138" s="22">
        <f t="array" ref="H138">IFERROR(INDEX('Hub CPC 226'!A:A, MATCH(C138, 'Hub CPC 226'!B:B, 0)), "")</f>
        <v>143</v>
      </c>
      <c r="I138" s="22">
        <f t="array" ref="I138">IFERROR(INDEX('Hub Users 226'!A:A, MATCH(C138, 'Hub Users 226'!B:B, 0)), "")</f>
        <v>163</v>
      </c>
      <c r="J138" s="22" t="s">
        <v>260</v>
      </c>
      <c r="K138" s="23" t="s">
        <v>1427</v>
      </c>
      <c r="L138" s="25">
        <v>43815.46111111111</v>
      </c>
      <c r="M138" s="23"/>
      <c r="N138" s="23"/>
      <c r="O138" s="23"/>
      <c r="P138" s="23"/>
      <c r="Q138" s="22" t="s">
        <v>1428</v>
      </c>
      <c r="R138" s="22" t="s">
        <v>1429</v>
      </c>
      <c r="S138" s="22" t="s">
        <v>1430</v>
      </c>
      <c r="T138" s="22" t="s">
        <v>813</v>
      </c>
      <c r="U138" s="22" t="s">
        <v>1431</v>
      </c>
      <c r="V138" s="26" t="s">
        <v>1119</v>
      </c>
      <c r="W138" s="27" t="s">
        <v>1432</v>
      </c>
      <c r="X138" s="26" t="s">
        <v>1433</v>
      </c>
      <c r="Y138" s="23"/>
      <c r="Z138" s="28"/>
      <c r="AA138" s="23"/>
      <c r="AB138" s="23" t="str">
        <f>IFERROR(__xludf.DUMMYFUNCTION("IF(
ISNUMBER(MATCH(
C138,
IMPORTRANGE(""https://docs.google.com/spreadsheets/d/1yTh1ELC33JHYOeEdgIiEclxPRyh0zOKtlawDltfUay8"",""'Champions'!A:A""),
0
)),
""Outreach Conducted"",
"""")"),"")</f>
        <v/>
      </c>
      <c r="AC138" s="23"/>
      <c r="AD138" s="23"/>
      <c r="AE138" s="23"/>
      <c r="AF138" s="23"/>
      <c r="AG138" s="23"/>
      <c r="AH138" s="23"/>
      <c r="AI138" s="23"/>
      <c r="AJ138" s="23"/>
      <c r="AK138" s="23"/>
      <c r="AL138" s="23"/>
    </row>
    <row r="139" hidden="1">
      <c r="A139" s="22" t="s">
        <v>1434</v>
      </c>
      <c r="B139" s="22" t="s">
        <v>1435</v>
      </c>
      <c r="C139" s="23" t="str">
        <f t="shared" si="1"/>
        <v>Golnaz Agahi</v>
      </c>
      <c r="D139" s="22">
        <v>1.3102106027E10</v>
      </c>
      <c r="E139" s="29" t="s">
        <v>1436</v>
      </c>
      <c r="F139" s="22" t="s">
        <v>248</v>
      </c>
      <c r="G139" s="22">
        <v>597.0</v>
      </c>
      <c r="H139" s="22">
        <f t="array" ref="H139">IFERROR(INDEX('Hub CPC 226'!A:A, MATCH(C139, 'Hub CPC 226'!B:B, 0)), "")</f>
        <v>144</v>
      </c>
      <c r="I139" s="22">
        <f t="array" ref="I139">IFERROR(INDEX('Hub Users 226'!A:A, MATCH(C139, 'Hub Users 226'!B:B, 0)), "")</f>
        <v>164</v>
      </c>
      <c r="J139" s="22" t="s">
        <v>240</v>
      </c>
      <c r="K139" s="23" t="s">
        <v>1437</v>
      </c>
      <c r="L139" s="25">
        <v>44578.67152777778</v>
      </c>
      <c r="M139" s="23"/>
      <c r="N139" s="23"/>
      <c r="O139" s="23"/>
      <c r="P139" s="23"/>
      <c r="Q139" s="22" t="s">
        <v>1438</v>
      </c>
      <c r="R139" s="22" t="s">
        <v>700</v>
      </c>
      <c r="S139" s="22" t="s">
        <v>1439</v>
      </c>
      <c r="T139" s="22" t="s">
        <v>252</v>
      </c>
      <c r="U139" s="22" t="s">
        <v>1440</v>
      </c>
      <c r="V139" s="26" t="s">
        <v>284</v>
      </c>
      <c r="W139" s="27" t="s">
        <v>1441</v>
      </c>
      <c r="X139" s="26" t="s">
        <v>1442</v>
      </c>
      <c r="Y139" s="23"/>
      <c r="Z139" s="28"/>
      <c r="AA139" s="23"/>
      <c r="AB139" s="23" t="str">
        <f>IFERROR(__xludf.DUMMYFUNCTION("IF(
ISNUMBER(MATCH(
C139,
IMPORTRANGE(""https://docs.google.com/spreadsheets/d/1yTh1ELC33JHYOeEdgIiEclxPRyh0zOKtlawDltfUay8"",""'Champions'!A:A""),
0
)),
""Outreach Conducted"",
"""")"),"")</f>
        <v/>
      </c>
      <c r="AC139" s="23"/>
      <c r="AD139" s="23"/>
      <c r="AE139" s="23"/>
      <c r="AF139" s="23"/>
      <c r="AG139" s="23"/>
      <c r="AH139" s="23"/>
      <c r="AI139" s="23"/>
      <c r="AJ139" s="23"/>
      <c r="AK139" s="23"/>
      <c r="AL139" s="23"/>
    </row>
    <row r="140" hidden="1">
      <c r="A140" s="22" t="s">
        <v>1443</v>
      </c>
      <c r="B140" s="22" t="s">
        <v>1444</v>
      </c>
      <c r="C140" s="23" t="str">
        <f t="shared" si="1"/>
        <v>Giridhar Ravindran</v>
      </c>
      <c r="D140" s="22">
        <v>1.5712909013E10</v>
      </c>
      <c r="E140" s="29" t="s">
        <v>1445</v>
      </c>
      <c r="F140" s="22" t="s">
        <v>248</v>
      </c>
      <c r="G140" s="22">
        <v>476.0</v>
      </c>
      <c r="H140" s="22">
        <f t="array" ref="H140">IFERROR(INDEX('Hub CPC 226'!A:A, MATCH(C140, 'Hub CPC 226'!B:B, 0)), "")</f>
        <v>145</v>
      </c>
      <c r="I140" s="22">
        <f t="array" ref="I140">IFERROR(INDEX('Hub Users 226'!A:A, MATCH(C140, 'Hub Users 226'!B:B, 0)), "")</f>
        <v>165</v>
      </c>
      <c r="J140" s="22" t="s">
        <v>239</v>
      </c>
      <c r="K140" s="23" t="s">
        <v>1446</v>
      </c>
      <c r="L140" s="25">
        <v>44354.34722222222</v>
      </c>
      <c r="M140" s="23"/>
      <c r="N140" s="23"/>
      <c r="O140" s="23"/>
      <c r="P140" s="23"/>
      <c r="Q140" s="22" t="s">
        <v>1447</v>
      </c>
      <c r="R140" s="22" t="s">
        <v>1448</v>
      </c>
      <c r="S140" s="22" t="s">
        <v>1449</v>
      </c>
      <c r="T140" s="22" t="s">
        <v>1450</v>
      </c>
      <c r="U140" s="22" t="s">
        <v>1451</v>
      </c>
      <c r="V140" s="23"/>
      <c r="W140" s="23"/>
      <c r="X140" s="23"/>
      <c r="Y140" s="23"/>
      <c r="Z140" s="28"/>
      <c r="AA140" s="23"/>
      <c r="AB140" s="23" t="str">
        <f>IFERROR(__xludf.DUMMYFUNCTION("IF(
ISNUMBER(MATCH(
C140,
IMPORTRANGE(""https://docs.google.com/spreadsheets/d/1yTh1ELC33JHYOeEdgIiEclxPRyh0zOKtlawDltfUay8"",""'Champions'!A:A""),
0
)),
""Outreach Conducted"",
"""")"),"")</f>
        <v/>
      </c>
      <c r="AC140" s="23"/>
      <c r="AD140" s="23"/>
      <c r="AE140" s="23"/>
      <c r="AF140" s="23"/>
      <c r="AG140" s="23"/>
      <c r="AH140" s="23"/>
      <c r="AI140" s="23"/>
      <c r="AJ140" s="23"/>
      <c r="AK140" s="23"/>
      <c r="AL140" s="23"/>
    </row>
    <row r="141" hidden="1">
      <c r="A141" s="22" t="s">
        <v>1452</v>
      </c>
      <c r="B141" s="22" t="s">
        <v>1453</v>
      </c>
      <c r="C141" s="23" t="str">
        <f t="shared" si="1"/>
        <v>Geoffrey Irwin</v>
      </c>
      <c r="D141" s="22">
        <v>6.103680794E9</v>
      </c>
      <c r="E141" s="29" t="s">
        <v>1454</v>
      </c>
      <c r="F141" s="22" t="s">
        <v>248</v>
      </c>
      <c r="G141" s="22">
        <v>401.0</v>
      </c>
      <c r="H141" s="22">
        <f t="array" ref="H141">IFERROR(INDEX('Hub CPC 226'!A:A, MATCH(C141, 'Hub CPC 226'!B:B, 0)), "")</f>
        <v>146</v>
      </c>
      <c r="I141" s="22">
        <f t="array" ref="I141">IFERROR(INDEX('Hub Users 226'!A:A, MATCH(C141, 'Hub Users 226'!B:B, 0)), "")</f>
        <v>166</v>
      </c>
      <c r="J141" s="22" t="s">
        <v>260</v>
      </c>
      <c r="K141" s="23" t="s">
        <v>1455</v>
      </c>
      <c r="L141" s="25">
        <v>44200.70625</v>
      </c>
      <c r="M141" s="23"/>
      <c r="N141" s="23"/>
      <c r="O141" s="23"/>
      <c r="P141" s="23"/>
      <c r="Q141" s="22" t="s">
        <v>1456</v>
      </c>
      <c r="R141" s="22" t="s">
        <v>1457</v>
      </c>
      <c r="S141" s="22" t="s">
        <v>1458</v>
      </c>
      <c r="T141" s="22" t="s">
        <v>381</v>
      </c>
      <c r="U141" s="22" t="s">
        <v>1459</v>
      </c>
      <c r="V141" s="26" t="s">
        <v>360</v>
      </c>
      <c r="W141" s="27" t="s">
        <v>1460</v>
      </c>
      <c r="X141" s="26" t="s">
        <v>421</v>
      </c>
      <c r="Y141" s="23"/>
      <c r="Z141" s="28"/>
      <c r="AA141" s="23"/>
      <c r="AB141" s="23" t="str">
        <f>IFERROR(__xludf.DUMMYFUNCTION("IF(
ISNUMBER(MATCH(
C141,
IMPORTRANGE(""https://docs.google.com/spreadsheets/d/1yTh1ELC33JHYOeEdgIiEclxPRyh0zOKtlawDltfUay8"",""'Champions'!A:A""),
0
)),
""Outreach Conducted"",
"""")"),"")</f>
        <v/>
      </c>
      <c r="AC141" s="23"/>
      <c r="AD141" s="23"/>
      <c r="AE141" s="23"/>
      <c r="AF141" s="23"/>
      <c r="AG141" s="23"/>
      <c r="AH141" s="23"/>
      <c r="AI141" s="23"/>
      <c r="AJ141" s="23"/>
      <c r="AK141" s="23"/>
      <c r="AL141" s="23"/>
    </row>
    <row r="142" hidden="1">
      <c r="A142" s="22" t="s">
        <v>1461</v>
      </c>
      <c r="B142" s="22" t="s">
        <v>1462</v>
      </c>
      <c r="C142" s="23" t="str">
        <f t="shared" si="1"/>
        <v>Gisela Castaneda</v>
      </c>
      <c r="D142" s="22">
        <v>1.4158027499E10</v>
      </c>
      <c r="E142" s="29" t="s">
        <v>1463</v>
      </c>
      <c r="F142" s="22" t="s">
        <v>248</v>
      </c>
      <c r="G142" s="22">
        <v>680.0</v>
      </c>
      <c r="H142" s="22">
        <f t="array" ref="H142">IFERROR(INDEX('Hub CPC 226'!A:A, MATCH(C142, 'Hub CPC 226'!B:B, 0)), "")</f>
        <v>147</v>
      </c>
      <c r="I142" s="22">
        <f t="array" ref="I142">IFERROR(INDEX('Hub Users 226'!A:A, MATCH(C142, 'Hub Users 226'!B:B, 0)), "")</f>
        <v>167</v>
      </c>
      <c r="J142" s="22" t="s">
        <v>260</v>
      </c>
      <c r="K142" s="23" t="s">
        <v>1464</v>
      </c>
      <c r="L142" s="25">
        <v>44887.799305555556</v>
      </c>
      <c r="M142" s="28">
        <v>10.0</v>
      </c>
      <c r="N142" s="28">
        <v>26.0</v>
      </c>
      <c r="O142" s="28">
        <v>52.0</v>
      </c>
      <c r="P142" s="32">
        <v>33.0</v>
      </c>
      <c r="Q142" s="22" t="s">
        <v>1465</v>
      </c>
      <c r="R142" s="22" t="s">
        <v>271</v>
      </c>
      <c r="S142" s="22" t="s">
        <v>294</v>
      </c>
      <c r="T142" s="22" t="s">
        <v>272</v>
      </c>
      <c r="U142" s="45" t="s">
        <v>1466</v>
      </c>
      <c r="V142" s="26" t="s">
        <v>475</v>
      </c>
      <c r="W142" s="27" t="s">
        <v>1467</v>
      </c>
      <c r="X142" s="26" t="s">
        <v>1468</v>
      </c>
      <c r="Y142" s="23"/>
      <c r="Z142" s="28"/>
      <c r="AA142" s="23"/>
      <c r="AB142" s="23" t="str">
        <f>IFERROR(__xludf.DUMMYFUNCTION("IF(
ISNUMBER(MATCH(
C142,
IMPORTRANGE(""https://docs.google.com/spreadsheets/d/1yTh1ELC33JHYOeEdgIiEclxPRyh0zOKtlawDltfUay8"",""'Champions'!A:A""),
0
)),
""Outreach Conducted"",
"""")"),"")</f>
        <v/>
      </c>
      <c r="AC142" s="23"/>
      <c r="AD142" s="23"/>
      <c r="AE142" s="23"/>
      <c r="AF142" s="23"/>
      <c r="AG142" s="23"/>
      <c r="AH142" s="23"/>
      <c r="AI142" s="23"/>
      <c r="AJ142" s="23"/>
      <c r="AK142" s="23"/>
      <c r="AL142" s="23"/>
    </row>
    <row r="143" hidden="1">
      <c r="A143" s="22" t="s">
        <v>1469</v>
      </c>
      <c r="B143" s="22" t="s">
        <v>1470</v>
      </c>
      <c r="C143" s="23" t="str">
        <f t="shared" si="1"/>
        <v>Chelsea Baker</v>
      </c>
      <c r="D143" s="22">
        <v>5.102847948E9</v>
      </c>
      <c r="E143" s="29" t="s">
        <v>1471</v>
      </c>
      <c r="F143" s="22" t="s">
        <v>248</v>
      </c>
      <c r="G143" s="22">
        <v>720.0</v>
      </c>
      <c r="H143" s="22">
        <f t="array" ref="H143">IFERROR(INDEX('Hub CPC 226'!A:A, MATCH(C143, 'Hub CPC 226'!B:B, 0)), "")</f>
        <v>148</v>
      </c>
      <c r="I143" s="22">
        <f t="array" ref="I143">IFERROR(INDEX('Hub Users 226'!A:A, MATCH(C143, 'Hub Users 226'!B:B, 0)), "")</f>
        <v>168</v>
      </c>
      <c r="J143" s="22" t="s">
        <v>785</v>
      </c>
      <c r="K143" s="23" t="s">
        <v>1472</v>
      </c>
      <c r="L143" s="25">
        <v>45022.77361111111</v>
      </c>
      <c r="M143" s="23"/>
      <c r="N143" s="23"/>
      <c r="O143" s="23"/>
      <c r="P143" s="23"/>
      <c r="Q143" s="22" t="s">
        <v>1473</v>
      </c>
      <c r="R143" s="22" t="s">
        <v>1474</v>
      </c>
      <c r="S143" s="22" t="s">
        <v>1218</v>
      </c>
      <c r="T143" s="22" t="s">
        <v>465</v>
      </c>
      <c r="U143" s="22" t="s">
        <v>1475</v>
      </c>
      <c r="V143" s="26" t="s">
        <v>475</v>
      </c>
      <c r="W143" s="27" t="s">
        <v>1476</v>
      </c>
      <c r="X143" s="26" t="s">
        <v>477</v>
      </c>
      <c r="Y143" s="23"/>
      <c r="Z143" s="28"/>
      <c r="AA143" s="23"/>
      <c r="AB143" s="23" t="str">
        <f>IFERROR(__xludf.DUMMYFUNCTION("IF(
ISNUMBER(MATCH(
C143,
IMPORTRANGE(""https://docs.google.com/spreadsheets/d/1yTh1ELC33JHYOeEdgIiEclxPRyh0zOKtlawDltfUay8"",""'Champions'!A:A""),
0
)),
""Outreach Conducted"",
"""")"),"")</f>
        <v/>
      </c>
      <c r="AC143" s="23"/>
      <c r="AD143" s="23"/>
      <c r="AE143" s="23"/>
      <c r="AF143" s="23"/>
      <c r="AG143" s="23"/>
      <c r="AH143" s="23"/>
      <c r="AI143" s="23"/>
      <c r="AJ143" s="23"/>
      <c r="AK143" s="23"/>
      <c r="AL143" s="23"/>
    </row>
    <row r="144" hidden="1">
      <c r="A144" s="22" t="s">
        <v>1477</v>
      </c>
      <c r="B144" s="22" t="s">
        <v>1478</v>
      </c>
      <c r="C144" s="23" t="str">
        <f t="shared" si="1"/>
        <v>Dyamond Gordon</v>
      </c>
      <c r="D144" s="22">
        <v>3.109088182E9</v>
      </c>
      <c r="E144" s="29" t="s">
        <v>1479</v>
      </c>
      <c r="F144" s="22" t="s">
        <v>248</v>
      </c>
      <c r="G144" s="22">
        <v>53.0</v>
      </c>
      <c r="H144" s="22">
        <f t="array" ref="H144">IFERROR(INDEX('Hub CPC 226'!A:A, MATCH(C144, 'Hub CPC 226'!B:B, 0)), "")</f>
        <v>149</v>
      </c>
      <c r="I144" s="22">
        <f t="array" ref="I144">IFERROR(INDEX('Hub Users 226'!A:A, MATCH(C144, 'Hub Users 226'!B:B, 0)), "")</f>
        <v>169</v>
      </c>
      <c r="J144" s="22" t="s">
        <v>260</v>
      </c>
      <c r="K144" s="28" t="s">
        <v>1480</v>
      </c>
      <c r="L144" s="25">
        <v>43338.743055555555</v>
      </c>
      <c r="M144" s="23"/>
      <c r="N144" s="23"/>
      <c r="O144" s="23"/>
      <c r="P144" s="23"/>
      <c r="Q144" s="22" t="s">
        <v>1481</v>
      </c>
      <c r="R144" s="22" t="s">
        <v>974</v>
      </c>
      <c r="S144" s="22" t="s">
        <v>974</v>
      </c>
      <c r="T144" s="22" t="s">
        <v>252</v>
      </c>
      <c r="U144" s="22" t="s">
        <v>1482</v>
      </c>
      <c r="V144" s="23"/>
      <c r="W144" s="23"/>
      <c r="X144" s="23"/>
      <c r="Y144" s="23"/>
      <c r="Z144" s="28"/>
      <c r="AA144" s="23"/>
      <c r="AB144" s="23" t="str">
        <f>IFERROR(__xludf.DUMMYFUNCTION("IF(
ISNUMBER(MATCH(
C144,
IMPORTRANGE(""https://docs.google.com/spreadsheets/d/1yTh1ELC33JHYOeEdgIiEclxPRyh0zOKtlawDltfUay8"",""'Champions'!A:A""),
0
)),
""Outreach Conducted"",
"""")"),"")</f>
        <v/>
      </c>
      <c r="AC144" s="23"/>
      <c r="AD144" s="23"/>
      <c r="AE144" s="23"/>
      <c r="AF144" s="23"/>
      <c r="AG144" s="23"/>
      <c r="AH144" s="23"/>
      <c r="AI144" s="23"/>
      <c r="AJ144" s="23"/>
      <c r="AK144" s="23"/>
      <c r="AL144" s="23"/>
    </row>
    <row r="145" hidden="1">
      <c r="A145" s="32" t="s">
        <v>1483</v>
      </c>
      <c r="B145" s="32" t="s">
        <v>1484</v>
      </c>
      <c r="C145" s="23" t="str">
        <f t="shared" si="1"/>
        <v>Gregg Garcia</v>
      </c>
      <c r="D145" s="31"/>
      <c r="E145" s="32" t="s">
        <v>1485</v>
      </c>
      <c r="F145" s="28" t="s">
        <v>769</v>
      </c>
      <c r="G145" s="32">
        <v>717.0</v>
      </c>
      <c r="H145" s="22">
        <f t="array" ref="H145">IFERROR(INDEX('Hub CPC 226'!A:A, MATCH(C145, 'Hub CPC 226'!B:B, 0)), "")</f>
        <v>150</v>
      </c>
      <c r="I145" s="22">
        <f t="array" ref="I145">IFERROR(INDEX('Hub Users 226'!A:A, MATCH(C145, 'Hub Users 226'!B:B, 0)), "")</f>
        <v>170</v>
      </c>
      <c r="J145" s="22"/>
      <c r="K145" s="23" t="s">
        <v>1486</v>
      </c>
      <c r="L145" s="37">
        <v>45015.00486111111</v>
      </c>
      <c r="M145" s="23"/>
      <c r="N145" s="23"/>
      <c r="O145" s="23"/>
      <c r="P145" s="23"/>
      <c r="Q145" s="31"/>
      <c r="R145" s="32" t="s">
        <v>1487</v>
      </c>
      <c r="S145" s="32" t="s">
        <v>305</v>
      </c>
      <c r="T145" s="22" t="s">
        <v>252</v>
      </c>
      <c r="U145" s="32" t="s">
        <v>1488</v>
      </c>
      <c r="V145" s="23"/>
      <c r="W145" s="23"/>
      <c r="X145" s="23"/>
      <c r="Y145" s="23"/>
      <c r="Z145" s="23"/>
      <c r="AA145" s="23"/>
      <c r="AB145" s="23" t="str">
        <f>IFERROR(__xludf.DUMMYFUNCTION("IF(
ISNUMBER(MATCH(
C145,
IMPORTRANGE(""https://docs.google.com/spreadsheets/d/1yTh1ELC33JHYOeEdgIiEclxPRyh0zOKtlawDltfUay8"",""'Champions'!A:A""),
0
)),
""Outreach Conducted"",
"""")"),"")</f>
        <v/>
      </c>
      <c r="AC145" s="23"/>
      <c r="AD145" s="23"/>
      <c r="AE145" s="23"/>
      <c r="AF145" s="23"/>
      <c r="AG145" s="23"/>
      <c r="AH145" s="23"/>
      <c r="AI145" s="23"/>
      <c r="AJ145" s="23"/>
      <c r="AK145" s="23"/>
      <c r="AL145" s="23"/>
    </row>
    <row r="146" hidden="1">
      <c r="A146" s="22" t="s">
        <v>1489</v>
      </c>
      <c r="B146" s="22" t="s">
        <v>1490</v>
      </c>
      <c r="C146" s="23" t="str">
        <f t="shared" si="1"/>
        <v>Griselda Guadalupe Cuevas Zambrano</v>
      </c>
      <c r="D146" s="22" t="s">
        <v>1491</v>
      </c>
      <c r="E146" s="29" t="s">
        <v>1492</v>
      </c>
      <c r="F146" s="22" t="s">
        <v>248</v>
      </c>
      <c r="G146" s="22">
        <v>146.0</v>
      </c>
      <c r="H146" s="22">
        <f t="array" ref="H146">IFERROR(INDEX('Hub CPC 226'!A:A, MATCH(C146, 'Hub CPC 226'!B:B, 0)), "")</f>
        <v>151</v>
      </c>
      <c r="I146" s="22">
        <f t="array" ref="I146">IFERROR(INDEX('Hub Users 226'!A:A, MATCH(C146, 'Hub Users 226'!B:B, 0)), "")</f>
        <v>171</v>
      </c>
      <c r="J146" s="22" t="s">
        <v>260</v>
      </c>
      <c r="K146" s="23" t="s">
        <v>1493</v>
      </c>
      <c r="L146" s="25">
        <v>43590.635416666664</v>
      </c>
      <c r="M146" s="23"/>
      <c r="N146" s="23"/>
      <c r="O146" s="23"/>
      <c r="P146" s="23"/>
      <c r="Q146" s="22" t="s">
        <v>1494</v>
      </c>
      <c r="R146" s="22" t="s">
        <v>1495</v>
      </c>
      <c r="S146" s="22" t="s">
        <v>473</v>
      </c>
      <c r="T146" s="22" t="s">
        <v>252</v>
      </c>
      <c r="U146" s="22" t="s">
        <v>533</v>
      </c>
      <c r="V146" s="26" t="s">
        <v>284</v>
      </c>
      <c r="W146" s="27" t="s">
        <v>1496</v>
      </c>
      <c r="X146" s="26" t="s">
        <v>749</v>
      </c>
      <c r="Y146" s="23"/>
      <c r="Z146" s="28"/>
      <c r="AA146" s="23"/>
      <c r="AB146" s="23" t="str">
        <f>IFERROR(__xludf.DUMMYFUNCTION("IF(
ISNUMBER(MATCH(
C146,
IMPORTRANGE(""https://docs.google.com/spreadsheets/d/1yTh1ELC33JHYOeEdgIiEclxPRyh0zOKtlawDltfUay8"",""'Champions'!A:A""),
0
)),
""Outreach Conducted"",
"""")"),"")</f>
        <v/>
      </c>
      <c r="AC146" s="23"/>
      <c r="AD146" s="23"/>
      <c r="AE146" s="23"/>
      <c r="AF146" s="23"/>
      <c r="AG146" s="23"/>
      <c r="AH146" s="23"/>
      <c r="AI146" s="23"/>
      <c r="AJ146" s="23"/>
      <c r="AK146" s="23"/>
      <c r="AL146" s="23"/>
    </row>
    <row r="147" hidden="1">
      <c r="A147" s="22" t="s">
        <v>1497</v>
      </c>
      <c r="B147" s="22" t="s">
        <v>1498</v>
      </c>
      <c r="C147" s="23" t="str">
        <f t="shared" si="1"/>
        <v>Frank Guia</v>
      </c>
      <c r="D147" s="22">
        <v>1.3057726856E10</v>
      </c>
      <c r="E147" s="29" t="s">
        <v>1499</v>
      </c>
      <c r="F147" s="22" t="s">
        <v>248</v>
      </c>
      <c r="G147" s="22">
        <v>540.0</v>
      </c>
      <c r="H147" s="22">
        <f t="array" ref="H147">IFERROR(INDEX('Hub CPC 226'!A:A, MATCH(C147, 'Hub CPC 226'!B:B, 0)), "")</f>
        <v>152</v>
      </c>
      <c r="I147" s="22">
        <f t="array" ref="I147">IFERROR(INDEX('Hub Users 226'!A:A, MATCH(C147, 'Hub Users 226'!B:B, 0)), "")</f>
        <v>172</v>
      </c>
      <c r="J147" s="22" t="s">
        <v>290</v>
      </c>
      <c r="K147" s="23" t="s">
        <v>1500</v>
      </c>
      <c r="L147" s="25">
        <v>44505.717361111114</v>
      </c>
      <c r="M147" s="23"/>
      <c r="N147" s="23"/>
      <c r="O147" s="23"/>
      <c r="P147" s="23"/>
      <c r="Q147" s="22" t="s">
        <v>1501</v>
      </c>
      <c r="R147" s="22" t="s">
        <v>1502</v>
      </c>
      <c r="S147" s="22" t="s">
        <v>1503</v>
      </c>
      <c r="T147" s="22" t="s">
        <v>626</v>
      </c>
      <c r="U147" s="22" t="s">
        <v>1504</v>
      </c>
      <c r="V147" s="26" t="s">
        <v>1505</v>
      </c>
      <c r="W147" s="27" t="s">
        <v>1506</v>
      </c>
      <c r="X147" s="26" t="s">
        <v>1507</v>
      </c>
      <c r="Y147" s="28" t="s">
        <v>1508</v>
      </c>
      <c r="Z147" s="28"/>
      <c r="AA147" s="23"/>
      <c r="AB147" s="23" t="str">
        <f>IFERROR(__xludf.DUMMYFUNCTION("IF(
ISNUMBER(MATCH(
C147,
IMPORTRANGE(""https://docs.google.com/spreadsheets/d/1yTh1ELC33JHYOeEdgIiEclxPRyh0zOKtlawDltfUay8"",""'Champions'!A:A""),
0
)),
""Outreach Conducted"",
"""")"),"")</f>
        <v/>
      </c>
      <c r="AC147" s="23"/>
      <c r="AD147" s="23"/>
      <c r="AE147" s="23"/>
      <c r="AF147" s="23"/>
      <c r="AG147" s="23"/>
      <c r="AH147" s="23"/>
      <c r="AI147" s="23"/>
      <c r="AJ147" s="23"/>
      <c r="AK147" s="23"/>
      <c r="AL147" s="23"/>
    </row>
    <row r="148" hidden="1">
      <c r="A148" s="22" t="s">
        <v>1509</v>
      </c>
      <c r="B148" s="22" t="s">
        <v>1510</v>
      </c>
      <c r="C148" s="23" t="str">
        <f t="shared" si="1"/>
        <v>Guiuliana Miranda</v>
      </c>
      <c r="D148" s="22">
        <v>1.8609925191E10</v>
      </c>
      <c r="E148" s="29" t="s">
        <v>1511</v>
      </c>
      <c r="F148" s="22" t="s">
        <v>248</v>
      </c>
      <c r="G148" s="22">
        <v>468.0</v>
      </c>
      <c r="H148" s="22">
        <f t="array" ref="H148">IFERROR(INDEX('Hub CPC 226'!A:A, MATCH(C148, 'Hub CPC 226'!B:B, 0)), "")</f>
        <v>153</v>
      </c>
      <c r="I148" s="22">
        <f t="array" ref="I148">IFERROR(INDEX('Hub Users 226'!A:A, MATCH(C148, 'Hub Users 226'!B:B, 0)), "")</f>
        <v>173</v>
      </c>
      <c r="J148" s="22" t="s">
        <v>302</v>
      </c>
      <c r="K148" s="23" t="s">
        <v>1512</v>
      </c>
      <c r="L148" s="25">
        <v>44291.93194444444</v>
      </c>
      <c r="M148" s="23"/>
      <c r="N148" s="23"/>
      <c r="O148" s="23"/>
      <c r="P148" s="23"/>
      <c r="Q148" s="22" t="s">
        <v>1513</v>
      </c>
      <c r="R148" s="22" t="s">
        <v>1514</v>
      </c>
      <c r="S148" s="22" t="s">
        <v>1515</v>
      </c>
      <c r="T148" s="22" t="s">
        <v>841</v>
      </c>
      <c r="U148" s="22" t="s">
        <v>1516</v>
      </c>
      <c r="V148" s="26" t="s">
        <v>284</v>
      </c>
      <c r="W148" s="27" t="s">
        <v>1517</v>
      </c>
      <c r="X148" s="26" t="s">
        <v>477</v>
      </c>
      <c r="Y148" s="23"/>
      <c r="Z148" s="28"/>
      <c r="AA148" s="23"/>
      <c r="AB148" s="23" t="str">
        <f>IFERROR(__xludf.DUMMYFUNCTION("IF(
ISNUMBER(MATCH(
C148,
IMPORTRANGE(""https://docs.google.com/spreadsheets/d/1yTh1ELC33JHYOeEdgIiEclxPRyh0zOKtlawDltfUay8"",""'Champions'!A:A""),
0
)),
""Outreach Conducted"",
"""")"),"")</f>
        <v/>
      </c>
      <c r="AC148" s="23"/>
      <c r="AD148" s="23"/>
      <c r="AE148" s="23"/>
      <c r="AF148" s="23"/>
      <c r="AG148" s="23"/>
      <c r="AH148" s="23"/>
      <c r="AI148" s="23"/>
      <c r="AJ148" s="23"/>
      <c r="AK148" s="23"/>
      <c r="AL148" s="23"/>
    </row>
    <row r="149" hidden="1">
      <c r="A149" s="22" t="s">
        <v>1518</v>
      </c>
      <c r="B149" s="22" t="s">
        <v>1519</v>
      </c>
      <c r="C149" s="23" t="str">
        <f t="shared" si="1"/>
        <v>Harrison Thai</v>
      </c>
      <c r="D149" s="22">
        <v>1.9496335883E10</v>
      </c>
      <c r="E149" s="29" t="s">
        <v>1520</v>
      </c>
      <c r="F149" s="22" t="s">
        <v>238</v>
      </c>
      <c r="G149" s="22">
        <v>561.0</v>
      </c>
      <c r="H149" s="22">
        <f t="array" ref="H149">IFERROR(INDEX('Hub CPC 226'!A:A, MATCH(C149, 'Hub CPC 226'!B:B, 0)), "")</f>
        <v>155</v>
      </c>
      <c r="I149" s="22">
        <f t="array" ref="I149">IFERROR(INDEX('Hub Users 226'!A:A, MATCH(C149, 'Hub Users 226'!B:B, 0)), "")</f>
        <v>175</v>
      </c>
      <c r="J149" s="22" t="s">
        <v>302</v>
      </c>
      <c r="K149" s="23" t="s">
        <v>1521</v>
      </c>
      <c r="L149" s="25">
        <v>44531.96666666667</v>
      </c>
      <c r="M149" s="23"/>
      <c r="N149" s="23"/>
      <c r="O149" s="23"/>
      <c r="P149" s="23"/>
      <c r="Q149" s="22" t="s">
        <v>1522</v>
      </c>
      <c r="R149" s="22" t="s">
        <v>1523</v>
      </c>
      <c r="S149" s="22" t="s">
        <v>1524</v>
      </c>
      <c r="T149" s="22" t="s">
        <v>1525</v>
      </c>
      <c r="U149" s="22" t="s">
        <v>1526</v>
      </c>
      <c r="V149" s="26" t="s">
        <v>284</v>
      </c>
      <c r="W149" s="27" t="s">
        <v>1527</v>
      </c>
      <c r="X149" s="26" t="s">
        <v>619</v>
      </c>
      <c r="Y149" s="23"/>
      <c r="Z149" s="28"/>
      <c r="AA149" s="23"/>
      <c r="AB149" s="23" t="str">
        <f>IFERROR(__xludf.DUMMYFUNCTION("IF(
ISNUMBER(MATCH(
C149,
IMPORTRANGE(""https://docs.google.com/spreadsheets/d/1yTh1ELC33JHYOeEdgIiEclxPRyh0zOKtlawDltfUay8"",""'Champions'!A:A""),
0
)),
""Outreach Conducted"",
"""")"),"")</f>
        <v/>
      </c>
      <c r="AC149" s="23"/>
      <c r="AD149" s="23"/>
      <c r="AE149" s="23"/>
      <c r="AF149" s="23"/>
      <c r="AG149" s="23"/>
      <c r="AH149" s="23"/>
      <c r="AI149" s="23"/>
      <c r="AJ149" s="23"/>
      <c r="AK149" s="23"/>
      <c r="AL149" s="23"/>
    </row>
    <row r="150" hidden="1">
      <c r="A150" s="22" t="s">
        <v>1528</v>
      </c>
      <c r="B150" s="22" t="s">
        <v>1529</v>
      </c>
      <c r="C150" s="23" t="str">
        <f t="shared" si="1"/>
        <v>Harshitha Girithara Gopalan</v>
      </c>
      <c r="D150" s="22">
        <v>1.8312246231E10</v>
      </c>
      <c r="E150" s="29" t="s">
        <v>1530</v>
      </c>
      <c r="F150" s="22" t="s">
        <v>248</v>
      </c>
      <c r="G150" s="22">
        <v>638.0</v>
      </c>
      <c r="H150" s="22">
        <f t="array" ref="H150">IFERROR(INDEX('Hub CPC 226'!A:A, MATCH(C150, 'Hub CPC 226'!B:B, 0)), "")</f>
        <v>156</v>
      </c>
      <c r="I150" s="22">
        <f t="array" ref="I150">IFERROR(INDEX('Hub Users 226'!A:A, MATCH(C150, 'Hub Users 226'!B:B, 0)), "")</f>
        <v>176</v>
      </c>
      <c r="J150" s="22" t="s">
        <v>239</v>
      </c>
      <c r="K150" s="23" t="s">
        <v>1531</v>
      </c>
      <c r="L150" s="25">
        <v>44659.53333333333</v>
      </c>
      <c r="M150" s="23"/>
      <c r="N150" s="23"/>
      <c r="O150" s="23"/>
      <c r="P150" s="23"/>
      <c r="Q150" s="22" t="s">
        <v>1532</v>
      </c>
      <c r="R150" s="22" t="s">
        <v>1533</v>
      </c>
      <c r="S150" s="22" t="s">
        <v>1534</v>
      </c>
      <c r="T150" s="22" t="s">
        <v>501</v>
      </c>
      <c r="U150" s="22" t="s">
        <v>1535</v>
      </c>
      <c r="V150" s="26" t="s">
        <v>284</v>
      </c>
      <c r="W150" s="27" t="s">
        <v>1536</v>
      </c>
      <c r="X150" s="26" t="s">
        <v>1537</v>
      </c>
      <c r="Y150" s="23"/>
      <c r="Z150" s="28"/>
      <c r="AA150" s="23"/>
      <c r="AB150" s="23" t="str">
        <f>IFERROR(__xludf.DUMMYFUNCTION("IF(
ISNUMBER(MATCH(
C150,
IMPORTRANGE(""https://docs.google.com/spreadsheets/d/1yTh1ELC33JHYOeEdgIiEclxPRyh0zOKtlawDltfUay8"",""'Champions'!A:A""),
0
)),
""Outreach Conducted"",
"""")"),"")</f>
        <v/>
      </c>
      <c r="AC150" s="23"/>
      <c r="AD150" s="23"/>
      <c r="AE150" s="23"/>
      <c r="AF150" s="23"/>
      <c r="AG150" s="23"/>
      <c r="AH150" s="23"/>
      <c r="AI150" s="23"/>
      <c r="AJ150" s="23"/>
      <c r="AK150" s="23"/>
      <c r="AL150" s="23"/>
    </row>
    <row r="151" hidden="1">
      <c r="A151" s="22" t="s">
        <v>1538</v>
      </c>
      <c r="B151" s="22" t="s">
        <v>1539</v>
      </c>
      <c r="C151" s="23" t="str">
        <f t="shared" si="1"/>
        <v>Hira Ghani</v>
      </c>
      <c r="D151" s="22">
        <v>1.2019255165E10</v>
      </c>
      <c r="E151" s="29" t="s">
        <v>1540</v>
      </c>
      <c r="F151" s="22" t="s">
        <v>399</v>
      </c>
      <c r="G151" s="22">
        <v>625.0</v>
      </c>
      <c r="H151" s="22">
        <f t="array" ref="H151">IFERROR(INDEX('Hub CPC 226'!A:A, MATCH(C151, 'Hub CPC 226'!B:B, 0)), "")</f>
        <v>157</v>
      </c>
      <c r="I151" s="22">
        <f t="array" ref="I151">IFERROR(INDEX('Hub Users 226'!A:A, MATCH(C151, 'Hub Users 226'!B:B, 0)), "")</f>
        <v>177</v>
      </c>
      <c r="J151" s="22" t="s">
        <v>240</v>
      </c>
      <c r="K151" s="23" t="s">
        <v>1541</v>
      </c>
      <c r="L151" s="25">
        <v>44608.041666666664</v>
      </c>
      <c r="M151" s="23"/>
      <c r="N151" s="23"/>
      <c r="O151" s="23"/>
      <c r="P151" s="23"/>
      <c r="Q151" s="22" t="s">
        <v>1542</v>
      </c>
      <c r="R151" s="22" t="s">
        <v>241</v>
      </c>
      <c r="S151" s="22" t="s">
        <v>1543</v>
      </c>
      <c r="T151" s="22" t="s">
        <v>241</v>
      </c>
      <c r="U151" s="22" t="s">
        <v>1544</v>
      </c>
      <c r="V151" s="23"/>
      <c r="W151" s="23"/>
      <c r="X151" s="23"/>
      <c r="Y151" s="23"/>
      <c r="Z151" s="23"/>
      <c r="AA151" s="23"/>
      <c r="AB151" s="23" t="str">
        <f>IFERROR(__xludf.DUMMYFUNCTION("IF(
ISNUMBER(MATCH(
C151,
IMPORTRANGE(""https://docs.google.com/spreadsheets/d/1yTh1ELC33JHYOeEdgIiEclxPRyh0zOKtlawDltfUay8"",""'Champions'!A:A""),
0
)),
""Outreach Conducted"",
"""")"),"")</f>
        <v/>
      </c>
      <c r="AC151" s="23"/>
      <c r="AD151" s="23"/>
      <c r="AE151" s="23"/>
      <c r="AF151" s="23"/>
      <c r="AG151" s="23"/>
      <c r="AH151" s="23"/>
      <c r="AI151" s="23"/>
      <c r="AJ151" s="23"/>
      <c r="AK151" s="23"/>
      <c r="AL151" s="23"/>
    </row>
    <row r="152" hidden="1">
      <c r="A152" s="22" t="s">
        <v>1545</v>
      </c>
      <c r="B152" s="22" t="s">
        <v>1546</v>
      </c>
      <c r="C152" s="23" t="str">
        <f t="shared" si="1"/>
        <v>Hesam Moghaddam</v>
      </c>
      <c r="D152" s="22">
        <v>1.7014297129E10</v>
      </c>
      <c r="E152" s="29" t="s">
        <v>1547</v>
      </c>
      <c r="F152" s="22" t="s">
        <v>248</v>
      </c>
      <c r="G152" s="22">
        <v>682.0</v>
      </c>
      <c r="H152" s="22">
        <f t="array" ref="H152">IFERROR(INDEX('Hub CPC 226'!A:A, MATCH(C152, 'Hub CPC 226'!B:B, 0)), "")</f>
        <v>158</v>
      </c>
      <c r="I152" s="22">
        <f t="array" ref="I152">IFERROR(INDEX('Hub Users 226'!A:A, MATCH(C152, 'Hub Users 226'!B:B, 0)), "")</f>
        <v>178</v>
      </c>
      <c r="J152" s="22" t="s">
        <v>260</v>
      </c>
      <c r="K152" s="23" t="s">
        <v>1548</v>
      </c>
      <c r="L152" s="25">
        <v>44894.4625</v>
      </c>
      <c r="M152" s="23"/>
      <c r="N152" s="23"/>
      <c r="O152" s="23"/>
      <c r="P152" s="23"/>
      <c r="Q152" s="22" t="s">
        <v>1549</v>
      </c>
      <c r="R152" s="22" t="s">
        <v>1550</v>
      </c>
      <c r="S152" s="22" t="s">
        <v>1551</v>
      </c>
      <c r="T152" s="22" t="s">
        <v>1552</v>
      </c>
      <c r="U152" s="22" t="s">
        <v>474</v>
      </c>
      <c r="V152" s="26" t="s">
        <v>475</v>
      </c>
      <c r="W152" s="27" t="s">
        <v>1553</v>
      </c>
      <c r="X152" s="26" t="s">
        <v>1085</v>
      </c>
      <c r="Y152" s="23"/>
      <c r="Z152" s="28"/>
      <c r="AA152" s="23"/>
      <c r="AB152" s="23" t="str">
        <f>IFERROR(__xludf.DUMMYFUNCTION("IF(
ISNUMBER(MATCH(
C152,
IMPORTRANGE(""https://docs.google.com/spreadsheets/d/1yTh1ELC33JHYOeEdgIiEclxPRyh0zOKtlawDltfUay8"",""'Champions'!A:A""),
0
)),
""Outreach Conducted"",
"""")"),"")</f>
        <v/>
      </c>
      <c r="AC152" s="23"/>
      <c r="AD152" s="23"/>
      <c r="AE152" s="23"/>
      <c r="AF152" s="23"/>
      <c r="AG152" s="23"/>
      <c r="AH152" s="23"/>
      <c r="AI152" s="23"/>
      <c r="AJ152" s="23"/>
      <c r="AK152" s="23"/>
      <c r="AL152" s="23"/>
    </row>
    <row r="153" hidden="1">
      <c r="A153" s="22" t="s">
        <v>1554</v>
      </c>
      <c r="B153" s="22" t="s">
        <v>1555</v>
      </c>
      <c r="C153" s="23" t="str">
        <f t="shared" si="1"/>
        <v>Ibtesam Khan</v>
      </c>
      <c r="D153" s="22">
        <v>6.319464558E9</v>
      </c>
      <c r="E153" s="29" t="s">
        <v>1556</v>
      </c>
      <c r="F153" s="22" t="s">
        <v>248</v>
      </c>
      <c r="G153" s="22">
        <v>298.0</v>
      </c>
      <c r="H153" s="22">
        <f t="array" ref="H153">IFERROR(INDEX('Hub CPC 226'!A:A, MATCH(C153, 'Hub CPC 226'!B:B, 0)), "")</f>
        <v>159</v>
      </c>
      <c r="I153" s="22">
        <f t="array" ref="I153">IFERROR(INDEX('Hub Users 226'!A:A, MATCH(C153, 'Hub Users 226'!B:B, 0)), "")</f>
        <v>179</v>
      </c>
      <c r="J153" s="22" t="s">
        <v>260</v>
      </c>
      <c r="K153" s="23" t="s">
        <v>1557</v>
      </c>
      <c r="L153" s="25">
        <v>43782.71805555555</v>
      </c>
      <c r="M153" s="28">
        <v>14.0</v>
      </c>
      <c r="N153" s="28">
        <v>59.0</v>
      </c>
      <c r="O153" s="28">
        <v>36.0</v>
      </c>
      <c r="P153" s="32">
        <v>26.0</v>
      </c>
      <c r="Q153" s="22" t="s">
        <v>1558</v>
      </c>
      <c r="R153" s="22" t="s">
        <v>1405</v>
      </c>
      <c r="S153" s="22" t="s">
        <v>1405</v>
      </c>
      <c r="T153" s="22" t="s">
        <v>272</v>
      </c>
      <c r="U153" s="22" t="s">
        <v>1559</v>
      </c>
      <c r="V153" s="26" t="s">
        <v>1560</v>
      </c>
      <c r="W153" s="27" t="s">
        <v>1561</v>
      </c>
      <c r="X153" s="26" t="s">
        <v>1562</v>
      </c>
      <c r="Y153" s="23"/>
      <c r="Z153" s="28"/>
      <c r="AA153" s="23"/>
      <c r="AB153" s="23" t="str">
        <f>IFERROR(__xludf.DUMMYFUNCTION("IF(
ISNUMBER(MATCH(
C153,
IMPORTRANGE(""https://docs.google.com/spreadsheets/d/1yTh1ELC33JHYOeEdgIiEclxPRyh0zOKtlawDltfUay8"",""'Champions'!A:A""),
0
)),
""Outreach Conducted"",
"""")"),"")</f>
        <v/>
      </c>
      <c r="AC153" s="23"/>
      <c r="AD153" s="23"/>
      <c r="AE153" s="23"/>
      <c r="AF153" s="23"/>
      <c r="AG153" s="23"/>
      <c r="AH153" s="23"/>
      <c r="AI153" s="23"/>
      <c r="AJ153" s="23"/>
      <c r="AK153" s="23"/>
      <c r="AL153" s="23"/>
    </row>
    <row r="154" hidden="1">
      <c r="A154" s="22" t="s">
        <v>1563</v>
      </c>
      <c r="B154" s="22" t="s">
        <v>1564</v>
      </c>
      <c r="C154" s="23" t="str">
        <f t="shared" si="1"/>
        <v>Ian Paratore</v>
      </c>
      <c r="D154" s="22">
        <v>4.15702505E9</v>
      </c>
      <c r="E154" s="29" t="s">
        <v>1565</v>
      </c>
      <c r="F154" s="22" t="s">
        <v>248</v>
      </c>
      <c r="G154" s="22">
        <v>352.0</v>
      </c>
      <c r="H154" s="22">
        <f t="array" ref="H154">IFERROR(INDEX('Hub CPC 226'!A:A, MATCH(C154, 'Hub CPC 226'!B:B, 0)), "")</f>
        <v>160</v>
      </c>
      <c r="I154" s="22">
        <f t="array" ref="I154">IFERROR(INDEX('Hub Users 226'!A:A, MATCH(C154, 'Hub Users 226'!B:B, 0)), "")</f>
        <v>180</v>
      </c>
      <c r="J154" s="22" t="s">
        <v>239</v>
      </c>
      <c r="K154" s="23" t="s">
        <v>1566</v>
      </c>
      <c r="L154" s="25">
        <v>44102.59861111111</v>
      </c>
      <c r="M154" s="23"/>
      <c r="N154" s="23"/>
      <c r="O154" s="23"/>
      <c r="P154" s="23"/>
      <c r="Q154" s="22" t="s">
        <v>1567</v>
      </c>
      <c r="R154" s="22" t="s">
        <v>473</v>
      </c>
      <c r="S154" s="22" t="s">
        <v>473</v>
      </c>
      <c r="T154" s="22" t="s">
        <v>252</v>
      </c>
      <c r="U154" s="22" t="s">
        <v>1568</v>
      </c>
      <c r="V154" s="26" t="s">
        <v>360</v>
      </c>
      <c r="W154" s="27" t="s">
        <v>1569</v>
      </c>
      <c r="X154" s="26" t="s">
        <v>1570</v>
      </c>
      <c r="Y154" s="23"/>
      <c r="Z154" s="28"/>
      <c r="AA154" s="23"/>
      <c r="AB154" s="23" t="str">
        <f>IFERROR(__xludf.DUMMYFUNCTION("IF(
ISNUMBER(MATCH(
C154,
IMPORTRANGE(""https://docs.google.com/spreadsheets/d/1yTh1ELC33JHYOeEdgIiEclxPRyh0zOKtlawDltfUay8"",""'Champions'!A:A""),
0
)),
""Outreach Conducted"",
"""")"),"")</f>
        <v/>
      </c>
      <c r="AC154" s="23"/>
      <c r="AD154" s="23"/>
      <c r="AE154" s="23"/>
      <c r="AF154" s="23"/>
      <c r="AG154" s="23"/>
      <c r="AH154" s="23"/>
      <c r="AI154" s="23"/>
      <c r="AJ154" s="23"/>
      <c r="AK154" s="23"/>
      <c r="AL154" s="23"/>
    </row>
    <row r="155" hidden="1">
      <c r="A155" s="22" t="s">
        <v>1571</v>
      </c>
      <c r="B155" s="22" t="s">
        <v>1572</v>
      </c>
      <c r="C155" s="23" t="str">
        <f t="shared" si="1"/>
        <v>Irina Shevchenko</v>
      </c>
      <c r="D155" s="22" t="s">
        <v>1573</v>
      </c>
      <c r="E155" s="29" t="s">
        <v>1574</v>
      </c>
      <c r="F155" s="22" t="s">
        <v>238</v>
      </c>
      <c r="G155" s="22">
        <v>127.0</v>
      </c>
      <c r="H155" s="22">
        <f t="array" ref="H155">IFERROR(INDEX('Hub CPC 226'!A:A, MATCH(C155, 'Hub CPC 226'!B:B, 0)), "")</f>
        <v>161</v>
      </c>
      <c r="I155" s="22">
        <f t="array" ref="I155">IFERROR(INDEX('Hub Users 226'!A:A, MATCH(C155, 'Hub Users 226'!B:B, 0)), "")</f>
        <v>181</v>
      </c>
      <c r="J155" s="22" t="s">
        <v>290</v>
      </c>
      <c r="K155" s="23" t="s">
        <v>1575</v>
      </c>
      <c r="L155" s="25">
        <v>43510.04791666667</v>
      </c>
      <c r="M155" s="23"/>
      <c r="N155" s="23"/>
      <c r="O155" s="23"/>
      <c r="P155" s="23"/>
      <c r="Q155" s="22" t="s">
        <v>1576</v>
      </c>
      <c r="R155" s="22" t="s">
        <v>974</v>
      </c>
      <c r="S155" s="22" t="s">
        <v>974</v>
      </c>
      <c r="T155" s="22" t="s">
        <v>252</v>
      </c>
      <c r="U155" s="22" t="s">
        <v>1577</v>
      </c>
      <c r="V155" s="23"/>
      <c r="W155" s="23"/>
      <c r="X155" s="23"/>
      <c r="Y155" s="23"/>
      <c r="Z155" s="28"/>
      <c r="AA155" s="23"/>
      <c r="AB155" s="23" t="str">
        <f>IFERROR(__xludf.DUMMYFUNCTION("IF(
ISNUMBER(MATCH(
C155,
IMPORTRANGE(""https://docs.google.com/spreadsheets/d/1yTh1ELC33JHYOeEdgIiEclxPRyh0zOKtlawDltfUay8"",""'Champions'!A:A""),
0
)),
""Outreach Conducted"",
"""")"),"")</f>
        <v/>
      </c>
      <c r="AC155" s="23"/>
      <c r="AD155" s="23"/>
      <c r="AE155" s="23"/>
      <c r="AF155" s="23"/>
      <c r="AG155" s="23"/>
      <c r="AH155" s="23"/>
      <c r="AI155" s="23"/>
      <c r="AJ155" s="23"/>
      <c r="AK155" s="23"/>
      <c r="AL155" s="23"/>
    </row>
    <row r="156" hidden="1">
      <c r="A156" s="22" t="s">
        <v>1571</v>
      </c>
      <c r="B156" s="22" t="s">
        <v>1578</v>
      </c>
      <c r="C156" s="23" t="str">
        <f t="shared" si="1"/>
        <v>Irina Zilbergleyt</v>
      </c>
      <c r="D156" s="22">
        <v>1.312505102E10</v>
      </c>
      <c r="E156" s="29" t="s">
        <v>1579</v>
      </c>
      <c r="F156" s="22" t="s">
        <v>248</v>
      </c>
      <c r="G156" s="22">
        <v>692.0</v>
      </c>
      <c r="H156" s="22">
        <f t="array" ref="H156">IFERROR(INDEX('Hub CPC 226'!A:A, MATCH(C156, 'Hub CPC 226'!B:B, 0)), "")</f>
        <v>162</v>
      </c>
      <c r="I156" s="22">
        <f t="array" ref="I156">IFERROR(INDEX('Hub Users 226'!A:A, MATCH(C156, 'Hub Users 226'!B:B, 0)), "")</f>
        <v>182</v>
      </c>
      <c r="J156" s="22" t="s">
        <v>260</v>
      </c>
      <c r="K156" s="23" t="s">
        <v>1580</v>
      </c>
      <c r="L156" s="25">
        <v>44952.51388888889</v>
      </c>
      <c r="M156" s="28">
        <v>12.0</v>
      </c>
      <c r="N156" s="28">
        <v>47.0</v>
      </c>
      <c r="O156" s="28">
        <v>67.0</v>
      </c>
      <c r="P156" s="32">
        <v>6.0</v>
      </c>
      <c r="Q156" s="22" t="s">
        <v>1581</v>
      </c>
      <c r="R156" s="22" t="s">
        <v>271</v>
      </c>
      <c r="S156" s="22" t="s">
        <v>271</v>
      </c>
      <c r="T156" s="22" t="s">
        <v>272</v>
      </c>
      <c r="U156" s="22" t="s">
        <v>1582</v>
      </c>
      <c r="V156" s="26" t="s">
        <v>1583</v>
      </c>
      <c r="W156" s="23"/>
      <c r="X156" s="26" t="s">
        <v>1584</v>
      </c>
      <c r="Y156" s="23"/>
      <c r="Z156" s="28"/>
      <c r="AA156" s="23"/>
      <c r="AB156" s="23" t="str">
        <f>IFERROR(__xludf.DUMMYFUNCTION("IF(
ISNUMBER(MATCH(
C156,
IMPORTRANGE(""https://docs.google.com/spreadsheets/d/1yTh1ELC33JHYOeEdgIiEclxPRyh0zOKtlawDltfUay8"",""'Champions'!A:A""),
0
)),
""Outreach Conducted"",
"""")"),"")</f>
        <v/>
      </c>
      <c r="AC156" s="23"/>
      <c r="AD156" s="23"/>
      <c r="AE156" s="23"/>
      <c r="AF156" s="23"/>
      <c r="AG156" s="23"/>
      <c r="AH156" s="23"/>
      <c r="AI156" s="23"/>
      <c r="AJ156" s="23"/>
      <c r="AK156" s="23"/>
      <c r="AL156" s="23"/>
    </row>
    <row r="157" hidden="1">
      <c r="A157" s="22" t="s">
        <v>1585</v>
      </c>
      <c r="B157" s="22" t="s">
        <v>1586</v>
      </c>
      <c r="C157" s="23" t="str">
        <f t="shared" si="1"/>
        <v>Jihan Maryam Bacchus</v>
      </c>
      <c r="D157" s="22">
        <v>2.604464469E9</v>
      </c>
      <c r="E157" s="29" t="s">
        <v>1587</v>
      </c>
      <c r="F157" s="22" t="s">
        <v>238</v>
      </c>
      <c r="G157" s="22">
        <v>294.0</v>
      </c>
      <c r="H157" s="22">
        <f t="array" ref="H157">IFERROR(INDEX('Hub CPC 226'!A:A, MATCH(C157, 'Hub CPC 226'!B:B, 0)), "")</f>
        <v>163</v>
      </c>
      <c r="I157" s="22">
        <f t="array" ref="I157">IFERROR(INDEX('Hub Users 226'!A:A, MATCH(C157, 'Hub Users 226'!B:B, 0)), "")</f>
        <v>183</v>
      </c>
      <c r="J157" s="22" t="s">
        <v>240</v>
      </c>
      <c r="K157" s="23" t="s">
        <v>1588</v>
      </c>
      <c r="L157" s="25">
        <v>43782.50347222222</v>
      </c>
      <c r="M157" s="23"/>
      <c r="N157" s="23"/>
      <c r="O157" s="23"/>
      <c r="P157" s="23"/>
      <c r="Q157" s="22" t="s">
        <v>1589</v>
      </c>
      <c r="R157" s="22" t="s">
        <v>1590</v>
      </c>
      <c r="S157" s="22" t="s">
        <v>1591</v>
      </c>
      <c r="T157" s="22" t="s">
        <v>813</v>
      </c>
      <c r="U157" s="22" t="s">
        <v>1592</v>
      </c>
      <c r="V157" s="23"/>
      <c r="W157" s="23"/>
      <c r="X157" s="23"/>
      <c r="Y157" s="23"/>
      <c r="Z157" s="28"/>
      <c r="AA157" s="23"/>
      <c r="AB157" s="23" t="str">
        <f>IFERROR(__xludf.DUMMYFUNCTION("IF(
ISNUMBER(MATCH(
C157,
IMPORTRANGE(""https://docs.google.com/spreadsheets/d/1yTh1ELC33JHYOeEdgIiEclxPRyh0zOKtlawDltfUay8"",""'Champions'!A:A""),
0
)),
""Outreach Conducted"",
"""")"),"")</f>
        <v/>
      </c>
      <c r="AC157" s="23"/>
      <c r="AD157" s="23"/>
      <c r="AE157" s="23"/>
      <c r="AF157" s="23"/>
      <c r="AG157" s="23"/>
      <c r="AH157" s="23"/>
      <c r="AI157" s="23"/>
      <c r="AJ157" s="23"/>
      <c r="AK157" s="23"/>
      <c r="AL157" s="23"/>
    </row>
    <row r="158" hidden="1">
      <c r="A158" s="22" t="s">
        <v>1593</v>
      </c>
      <c r="B158" s="22" t="s">
        <v>1594</v>
      </c>
      <c r="C158" s="23" t="str">
        <f t="shared" si="1"/>
        <v>Jacob Makola</v>
      </c>
      <c r="D158" s="22">
        <v>1.414322794E10</v>
      </c>
      <c r="E158" s="29" t="s">
        <v>1595</v>
      </c>
      <c r="F158" s="22" t="s">
        <v>248</v>
      </c>
      <c r="G158" s="22">
        <v>456.0</v>
      </c>
      <c r="H158" s="22">
        <f t="array" ref="H158">IFERROR(INDEX('Hub CPC 226'!A:A, MATCH(C158, 'Hub CPC 226'!B:B, 0)), "")</f>
        <v>164</v>
      </c>
      <c r="I158" s="22">
        <f t="array" ref="I158">IFERROR(INDEX('Hub Users 226'!A:A, MATCH(C158, 'Hub Users 226'!B:B, 0)), "")</f>
        <v>184</v>
      </c>
      <c r="J158" s="22" t="s">
        <v>302</v>
      </c>
      <c r="K158" s="23" t="s">
        <v>1596</v>
      </c>
      <c r="L158" s="25">
        <v>44249.36736111111</v>
      </c>
      <c r="M158" s="28">
        <v>25.0</v>
      </c>
      <c r="N158" s="28">
        <v>56.0</v>
      </c>
      <c r="O158" s="28">
        <v>137.0</v>
      </c>
      <c r="P158" s="32"/>
      <c r="Q158" s="22" t="s">
        <v>1597</v>
      </c>
      <c r="R158" s="22" t="s">
        <v>1598</v>
      </c>
      <c r="S158" s="22" t="s">
        <v>1599</v>
      </c>
      <c r="T158" s="22" t="s">
        <v>272</v>
      </c>
      <c r="U158" s="22" t="s">
        <v>1600</v>
      </c>
      <c r="V158" s="26" t="s">
        <v>360</v>
      </c>
      <c r="W158" s="27" t="s">
        <v>1601</v>
      </c>
      <c r="X158" s="26" t="s">
        <v>421</v>
      </c>
      <c r="Y158" s="23"/>
      <c r="Z158" s="28"/>
      <c r="AA158" s="23"/>
      <c r="AB158" s="23" t="str">
        <f>IFERROR(__xludf.DUMMYFUNCTION("IF(
ISNUMBER(MATCH(
C158,
IMPORTRANGE(""https://docs.google.com/spreadsheets/d/1yTh1ELC33JHYOeEdgIiEclxPRyh0zOKtlawDltfUay8"",""'Champions'!A:A""),
0
)),
""Outreach Conducted"",
"""")"),"")</f>
        <v/>
      </c>
      <c r="AC158" s="23"/>
      <c r="AD158" s="23"/>
      <c r="AE158" s="23"/>
      <c r="AF158" s="23"/>
      <c r="AG158" s="23"/>
      <c r="AH158" s="23"/>
      <c r="AI158" s="23"/>
      <c r="AJ158" s="23"/>
      <c r="AK158" s="23"/>
      <c r="AL158" s="23"/>
    </row>
    <row r="159" hidden="1">
      <c r="A159" s="22" t="s">
        <v>1602</v>
      </c>
      <c r="B159" s="22" t="s">
        <v>1603</v>
      </c>
      <c r="C159" s="23" t="str">
        <f t="shared" si="1"/>
        <v>Jessica Ann Huang</v>
      </c>
      <c r="D159" s="22">
        <v>9.096323058E9</v>
      </c>
      <c r="E159" s="29" t="s">
        <v>1604</v>
      </c>
      <c r="F159" s="22" t="s">
        <v>248</v>
      </c>
      <c r="G159" s="22">
        <v>41.0</v>
      </c>
      <c r="H159" s="22">
        <f t="array" ref="H159">IFERROR(INDEX('Hub CPC 226'!A:A, MATCH(C159, 'Hub CPC 226'!B:B, 0)), "")</f>
        <v>165</v>
      </c>
      <c r="I159" s="22">
        <f t="array" ref="I159">IFERROR(INDEX('Hub Users 226'!A:A, MATCH(C159, 'Hub Users 226'!B:B, 0)), "")</f>
        <v>185</v>
      </c>
      <c r="J159" s="22" t="s">
        <v>260</v>
      </c>
      <c r="K159" s="23" t="s">
        <v>1605</v>
      </c>
      <c r="L159" s="25">
        <v>43338.743055555555</v>
      </c>
      <c r="M159" s="23"/>
      <c r="N159" s="23"/>
      <c r="O159" s="23"/>
      <c r="P159" s="23"/>
      <c r="Q159" s="22" t="s">
        <v>1606</v>
      </c>
      <c r="R159" s="22"/>
      <c r="S159" s="22" t="s">
        <v>1607</v>
      </c>
      <c r="T159" s="22" t="s">
        <v>626</v>
      </c>
      <c r="U159" s="22" t="s">
        <v>1608</v>
      </c>
      <c r="V159" s="23"/>
      <c r="W159" s="23"/>
      <c r="X159" s="23"/>
      <c r="Y159" s="23"/>
      <c r="Z159" s="28"/>
      <c r="AA159" s="23"/>
      <c r="AB159" s="23" t="str">
        <f>IFERROR(__xludf.DUMMYFUNCTION("IF(
ISNUMBER(MATCH(
C159,
IMPORTRANGE(""https://docs.google.com/spreadsheets/d/1yTh1ELC33JHYOeEdgIiEclxPRyh0zOKtlawDltfUay8"",""'Champions'!A:A""),
0
)),
""Outreach Conducted"",
"""")"),"")</f>
        <v/>
      </c>
      <c r="AC159" s="23"/>
      <c r="AD159" s="23"/>
      <c r="AE159" s="23"/>
      <c r="AF159" s="23"/>
      <c r="AG159" s="23"/>
      <c r="AH159" s="23"/>
      <c r="AI159" s="23"/>
      <c r="AJ159" s="23"/>
      <c r="AK159" s="23"/>
      <c r="AL159" s="23"/>
    </row>
    <row r="160" hidden="1">
      <c r="A160" s="22" t="s">
        <v>1609</v>
      </c>
      <c r="B160" s="22" t="s">
        <v>1610</v>
      </c>
      <c r="C160" s="23" t="str">
        <f t="shared" si="1"/>
        <v>Jaisri Chety</v>
      </c>
      <c r="D160" s="22" t="s">
        <v>1611</v>
      </c>
      <c r="E160" s="29" t="s">
        <v>1612</v>
      </c>
      <c r="F160" s="22" t="s">
        <v>238</v>
      </c>
      <c r="G160" s="22">
        <v>197.0</v>
      </c>
      <c r="H160" s="22">
        <f t="array" ref="H160">IFERROR(INDEX('Hub CPC 226'!A:A, MATCH(C160, 'Hub CPC 226'!B:B, 0)), "")</f>
        <v>166</v>
      </c>
      <c r="I160" s="22">
        <f t="array" ref="I160">IFERROR(INDEX('Hub Users 226'!A:A, MATCH(C160, 'Hub Users 226'!B:B, 0)), "")</f>
        <v>186</v>
      </c>
      <c r="J160" s="22" t="s">
        <v>240</v>
      </c>
      <c r="K160" s="28" t="s">
        <v>1613</v>
      </c>
      <c r="L160" s="25">
        <v>43593.27916666667</v>
      </c>
      <c r="M160" s="23"/>
      <c r="N160" s="23"/>
      <c r="O160" s="23"/>
      <c r="P160" s="23"/>
      <c r="Q160" s="22" t="s">
        <v>1614</v>
      </c>
      <c r="R160" s="22" t="s">
        <v>1615</v>
      </c>
      <c r="S160" s="22" t="s">
        <v>1616</v>
      </c>
      <c r="T160" s="22" t="s">
        <v>381</v>
      </c>
      <c r="U160" s="22" t="s">
        <v>1617</v>
      </c>
      <c r="V160" s="26" t="s">
        <v>360</v>
      </c>
      <c r="W160" s="27" t="s">
        <v>1618</v>
      </c>
      <c r="X160" s="26" t="s">
        <v>519</v>
      </c>
      <c r="Y160" s="23"/>
      <c r="Z160" s="28"/>
      <c r="AA160" s="23"/>
      <c r="AB160" s="23" t="str">
        <f>IFERROR(__xludf.DUMMYFUNCTION("IF(
ISNUMBER(MATCH(
C160,
IMPORTRANGE(""https://docs.google.com/spreadsheets/d/1yTh1ELC33JHYOeEdgIiEclxPRyh0zOKtlawDltfUay8"",""'Champions'!A:A""),
0
)),
""Outreach Conducted"",
"""")"),"")</f>
        <v/>
      </c>
      <c r="AC160" s="23"/>
      <c r="AD160" s="23"/>
      <c r="AE160" s="23"/>
      <c r="AF160" s="23"/>
      <c r="AG160" s="23"/>
      <c r="AH160" s="23"/>
      <c r="AI160" s="23"/>
      <c r="AJ160" s="23"/>
      <c r="AK160" s="23"/>
      <c r="AL160" s="23"/>
    </row>
    <row r="161" hidden="1">
      <c r="A161" s="22" t="s">
        <v>1619</v>
      </c>
      <c r="B161" s="22" t="s">
        <v>1620</v>
      </c>
      <c r="C161" s="23" t="str">
        <f t="shared" si="1"/>
        <v>Naqeebullah Jalalzay</v>
      </c>
      <c r="D161" s="22">
        <v>5.712764697E9</v>
      </c>
      <c r="E161" s="29" t="s">
        <v>1621</v>
      </c>
      <c r="F161" s="22" t="s">
        <v>248</v>
      </c>
      <c r="G161" s="22">
        <v>366.0</v>
      </c>
      <c r="H161" s="22">
        <f t="array" ref="H161">IFERROR(INDEX('Hub CPC 226'!A:A, MATCH(C161, 'Hub CPC 226'!B:B, 0)), "")</f>
        <v>167</v>
      </c>
      <c r="I161" s="22">
        <f t="array" ref="I161">IFERROR(INDEX('Hub Users 226'!A:A, MATCH(C161, 'Hub Users 226'!B:B, 0)), "")</f>
        <v>187</v>
      </c>
      <c r="J161" s="22" t="s">
        <v>239</v>
      </c>
      <c r="K161" s="23" t="s">
        <v>1622</v>
      </c>
      <c r="L161" s="25">
        <v>44137.541666666664</v>
      </c>
      <c r="M161" s="23"/>
      <c r="N161" s="23"/>
      <c r="O161" s="23"/>
      <c r="P161" s="23"/>
      <c r="Q161" s="22" t="s">
        <v>1623</v>
      </c>
      <c r="R161" s="22" t="s">
        <v>1624</v>
      </c>
      <c r="S161" s="22" t="s">
        <v>1625</v>
      </c>
      <c r="T161" s="22" t="s">
        <v>813</v>
      </c>
      <c r="U161" s="22" t="s">
        <v>1626</v>
      </c>
      <c r="V161" s="26" t="s">
        <v>360</v>
      </c>
      <c r="W161" s="27" t="s">
        <v>1627</v>
      </c>
      <c r="X161" s="26" t="s">
        <v>1570</v>
      </c>
      <c r="Y161" s="23"/>
      <c r="Z161" s="28"/>
      <c r="AA161" s="23"/>
      <c r="AB161" s="23" t="str">
        <f>IFERROR(__xludf.DUMMYFUNCTION("IF(
ISNUMBER(MATCH(
C161,
IMPORTRANGE(""https://docs.google.com/spreadsheets/d/1yTh1ELC33JHYOeEdgIiEclxPRyh0zOKtlawDltfUay8"",""'Champions'!A:A""),
0
)),
""Outreach Conducted"",
"""")"),"")</f>
        <v/>
      </c>
      <c r="AC161" s="23"/>
      <c r="AD161" s="23"/>
      <c r="AE161" s="23"/>
      <c r="AF161" s="23"/>
      <c r="AG161" s="23"/>
      <c r="AH161" s="23"/>
      <c r="AI161" s="23"/>
      <c r="AJ161" s="23"/>
      <c r="AK161" s="23"/>
      <c r="AL161" s="23"/>
    </row>
    <row r="162" hidden="1">
      <c r="A162" s="22" t="s">
        <v>1628</v>
      </c>
      <c r="B162" s="22" t="s">
        <v>1629</v>
      </c>
      <c r="C162" s="23" t="str">
        <f t="shared" si="1"/>
        <v>James Baroi</v>
      </c>
      <c r="D162" s="24"/>
      <c r="E162" s="29" t="s">
        <v>1630</v>
      </c>
      <c r="F162" s="22" t="s">
        <v>399</v>
      </c>
      <c r="G162" s="22">
        <v>684.0</v>
      </c>
      <c r="H162" s="22">
        <f t="array" ref="H162">IFERROR(INDEX('Hub CPC 226'!A:A, MATCH(C162, 'Hub CPC 226'!B:B, 0)), "")</f>
        <v>168</v>
      </c>
      <c r="I162" s="22">
        <f t="array" ref="I162">IFERROR(INDEX('Hub Users 226'!A:A, MATCH(C162, 'Hub Users 226'!B:B, 0)), "")</f>
        <v>188</v>
      </c>
      <c r="J162" s="22" t="s">
        <v>260</v>
      </c>
      <c r="K162" s="23" t="s">
        <v>1631</v>
      </c>
      <c r="L162" s="25">
        <v>44895.43194444444</v>
      </c>
      <c r="M162" s="23"/>
      <c r="N162" s="23"/>
      <c r="O162" s="23"/>
      <c r="P162" s="23"/>
      <c r="Q162" s="24"/>
      <c r="R162" s="22" t="s">
        <v>1632</v>
      </c>
      <c r="S162" s="24"/>
      <c r="T162" s="24"/>
      <c r="U162" s="22" t="s">
        <v>1633</v>
      </c>
      <c r="V162" s="23"/>
      <c r="W162" s="23"/>
      <c r="X162" s="23"/>
      <c r="Y162" s="23"/>
      <c r="Z162" s="28"/>
      <c r="AA162" s="23"/>
      <c r="AB162" s="23" t="str">
        <f>IFERROR(__xludf.DUMMYFUNCTION("IF(
ISNUMBER(MATCH(
C162,
IMPORTRANGE(""https://docs.google.com/spreadsheets/d/1yTh1ELC33JHYOeEdgIiEclxPRyh0zOKtlawDltfUay8"",""'Champions'!A:A""),
0
)),
""Outreach Conducted"",
"""")"),"")</f>
        <v/>
      </c>
      <c r="AC162" s="23"/>
      <c r="AD162" s="23"/>
      <c r="AE162" s="23"/>
      <c r="AF162" s="23"/>
      <c r="AG162" s="23"/>
      <c r="AH162" s="23"/>
      <c r="AI162" s="23"/>
      <c r="AJ162" s="23"/>
      <c r="AK162" s="23"/>
      <c r="AL162" s="23"/>
    </row>
    <row r="163" hidden="1">
      <c r="A163" s="22" t="s">
        <v>1634</v>
      </c>
      <c r="B163" s="22" t="s">
        <v>1635</v>
      </c>
      <c r="C163" s="23" t="str">
        <f t="shared" si="1"/>
        <v>Jamie Huang Chu</v>
      </c>
      <c r="D163" s="22" t="s">
        <v>1636</v>
      </c>
      <c r="E163" s="29" t="s">
        <v>1637</v>
      </c>
      <c r="F163" s="22" t="s">
        <v>238</v>
      </c>
      <c r="G163" s="22">
        <v>118.0</v>
      </c>
      <c r="H163" s="22">
        <f t="array" ref="H163">IFERROR(INDEX('Hub CPC 226'!A:A, MATCH(C163, 'Hub CPC 226'!B:B, 0)), "")</f>
        <v>169</v>
      </c>
      <c r="I163" s="22">
        <f t="array" ref="I163">IFERROR(INDEX('Hub Users 226'!A:A, MATCH(C163, 'Hub Users 226'!B:B, 0)), "")</f>
        <v>189</v>
      </c>
      <c r="J163" s="22" t="s">
        <v>240</v>
      </c>
      <c r="K163" s="23" t="s">
        <v>1638</v>
      </c>
      <c r="L163" s="25">
        <v>43500.62986111111</v>
      </c>
      <c r="M163" s="28">
        <v>23.0</v>
      </c>
      <c r="N163" s="28">
        <v>58.0</v>
      </c>
      <c r="O163" s="28">
        <v>132.0</v>
      </c>
      <c r="P163" s="31"/>
      <c r="Q163" s="22" t="s">
        <v>1639</v>
      </c>
      <c r="R163" s="22" t="s">
        <v>1640</v>
      </c>
      <c r="S163" s="22" t="s">
        <v>1641</v>
      </c>
      <c r="T163" s="22" t="s">
        <v>272</v>
      </c>
      <c r="U163" s="22" t="s">
        <v>1642</v>
      </c>
      <c r="V163" s="26" t="s">
        <v>393</v>
      </c>
      <c r="W163" s="27" t="s">
        <v>1643</v>
      </c>
      <c r="X163" s="26" t="s">
        <v>395</v>
      </c>
      <c r="Y163" s="23"/>
      <c r="Z163" s="28"/>
      <c r="AA163" s="23"/>
      <c r="AB163" s="23" t="str">
        <f>IFERROR(__xludf.DUMMYFUNCTION("IF(
ISNUMBER(MATCH(
C163,
IMPORTRANGE(""https://docs.google.com/spreadsheets/d/1yTh1ELC33JHYOeEdgIiEclxPRyh0zOKtlawDltfUay8"",""'Champions'!A:A""),
0
)),
""Outreach Conducted"",
"""")"),"")</f>
        <v/>
      </c>
      <c r="AC163" s="23"/>
      <c r="AD163" s="23"/>
      <c r="AE163" s="23"/>
      <c r="AF163" s="23"/>
      <c r="AG163" s="23"/>
      <c r="AH163" s="23"/>
      <c r="AI163" s="23"/>
      <c r="AJ163" s="23"/>
      <c r="AK163" s="23"/>
      <c r="AL163" s="23"/>
    </row>
    <row r="164" hidden="1">
      <c r="A164" s="22" t="s">
        <v>1159</v>
      </c>
      <c r="B164" s="22" t="s">
        <v>1644</v>
      </c>
      <c r="C164" s="23" t="str">
        <f t="shared" si="1"/>
        <v>Divya Jani</v>
      </c>
      <c r="D164" s="22">
        <v>3.472004763E9</v>
      </c>
      <c r="E164" s="29" t="s">
        <v>1645</v>
      </c>
      <c r="F164" s="22" t="s">
        <v>248</v>
      </c>
      <c r="G164" s="22">
        <v>355.0</v>
      </c>
      <c r="H164" s="22">
        <f t="array" ref="H164">IFERROR(INDEX('Hub CPC 226'!A:A, MATCH(C164, 'Hub CPC 226'!B:B, 0)), "")</f>
        <v>170</v>
      </c>
      <c r="I164" s="22">
        <f t="array" ref="I164">IFERROR(INDEX('Hub Users 226'!A:A, MATCH(C164, 'Hub Users 226'!B:B, 0)), "")</f>
        <v>190</v>
      </c>
      <c r="J164" s="22" t="s">
        <v>407</v>
      </c>
      <c r="K164" s="23" t="s">
        <v>1646</v>
      </c>
      <c r="L164" s="25">
        <v>44106.46388888889</v>
      </c>
      <c r="M164" s="23"/>
      <c r="N164" s="23"/>
      <c r="O164" s="23"/>
      <c r="P164" s="23"/>
      <c r="Q164" s="22" t="s">
        <v>1647</v>
      </c>
      <c r="R164" s="22" t="s">
        <v>293</v>
      </c>
      <c r="S164" s="22" t="s">
        <v>1648</v>
      </c>
      <c r="T164" s="22" t="s">
        <v>241</v>
      </c>
      <c r="U164" s="22" t="s">
        <v>1649</v>
      </c>
      <c r="V164" s="26" t="s">
        <v>360</v>
      </c>
      <c r="W164" s="27" t="s">
        <v>1650</v>
      </c>
      <c r="X164" s="26" t="s">
        <v>1651</v>
      </c>
      <c r="Y164" s="23"/>
      <c r="Z164" s="28"/>
      <c r="AA164" s="23"/>
      <c r="AB164" s="23" t="str">
        <f>IFERROR(__xludf.DUMMYFUNCTION("IF(
ISNUMBER(MATCH(
C164,
IMPORTRANGE(""https://docs.google.com/spreadsheets/d/1yTh1ELC33JHYOeEdgIiEclxPRyh0zOKtlawDltfUay8"",""'Champions'!A:A""),
0
)),
""Outreach Conducted"",
"""")"),"")</f>
        <v/>
      </c>
      <c r="AC164" s="23"/>
      <c r="AD164" s="23"/>
      <c r="AE164" s="23"/>
      <c r="AF164" s="23"/>
      <c r="AG164" s="23"/>
      <c r="AH164" s="23"/>
      <c r="AI164" s="23"/>
      <c r="AJ164" s="23"/>
      <c r="AK164" s="23"/>
      <c r="AL164" s="23"/>
    </row>
    <row r="165" hidden="1">
      <c r="A165" s="22" t="s">
        <v>1652</v>
      </c>
      <c r="B165" s="22" t="s">
        <v>1653</v>
      </c>
      <c r="C165" s="23" t="str">
        <f t="shared" si="1"/>
        <v>Jannet Figueroa Gallardo</v>
      </c>
      <c r="D165" s="22" t="s">
        <v>1654</v>
      </c>
      <c r="E165" s="29" t="s">
        <v>1655</v>
      </c>
      <c r="F165" s="22" t="s">
        <v>248</v>
      </c>
      <c r="G165" s="22">
        <v>51.0</v>
      </c>
      <c r="H165" s="22">
        <f t="array" ref="H165">IFERROR(INDEX('Hub CPC 226'!A:A, MATCH(C165, 'Hub CPC 226'!B:B, 0)), "")</f>
        <v>171</v>
      </c>
      <c r="I165" s="22">
        <f t="array" ref="I165">IFERROR(INDEX('Hub Users 226'!A:A, MATCH(C165, 'Hub Users 226'!B:B, 0)), "")</f>
        <v>191</v>
      </c>
      <c r="J165" s="22" t="s">
        <v>290</v>
      </c>
      <c r="K165" s="23" t="s">
        <v>1656</v>
      </c>
      <c r="L165" s="25">
        <v>43338.743055555555</v>
      </c>
      <c r="M165" s="23"/>
      <c r="N165" s="23"/>
      <c r="O165" s="23"/>
      <c r="P165" s="23"/>
      <c r="Q165" s="22" t="s">
        <v>1657</v>
      </c>
      <c r="R165" s="22"/>
      <c r="S165" s="22" t="s">
        <v>1658</v>
      </c>
      <c r="T165" s="22" t="s">
        <v>381</v>
      </c>
      <c r="U165" s="22" t="s">
        <v>1659</v>
      </c>
      <c r="V165" s="26" t="s">
        <v>507</v>
      </c>
      <c r="W165" s="27" t="s">
        <v>1660</v>
      </c>
      <c r="X165" s="26" t="s">
        <v>1661</v>
      </c>
      <c r="Y165" s="23"/>
      <c r="Z165" s="28"/>
      <c r="AA165" s="23"/>
      <c r="AB165" s="23" t="str">
        <f>IFERROR(__xludf.DUMMYFUNCTION("IF(
ISNUMBER(MATCH(
C165,
IMPORTRANGE(""https://docs.google.com/spreadsheets/d/1yTh1ELC33JHYOeEdgIiEclxPRyh0zOKtlawDltfUay8"",""'Champions'!A:A""),
0
)),
""Outreach Conducted"",
"""")"),"")</f>
        <v/>
      </c>
      <c r="AC165" s="23"/>
      <c r="AD165" s="23"/>
      <c r="AE165" s="23"/>
      <c r="AF165" s="23"/>
      <c r="AG165" s="23"/>
      <c r="AH165" s="23"/>
      <c r="AI165" s="23"/>
      <c r="AJ165" s="23"/>
      <c r="AK165" s="23"/>
      <c r="AL165" s="23"/>
    </row>
    <row r="166" hidden="1">
      <c r="A166" s="22" t="s">
        <v>1662</v>
      </c>
      <c r="B166" s="22" t="s">
        <v>1663</v>
      </c>
      <c r="C166" s="23" t="str">
        <f t="shared" si="1"/>
        <v>Jan Panchalingam (D)</v>
      </c>
      <c r="D166" s="22">
        <v>1.917444693E10</v>
      </c>
      <c r="E166" s="29" t="s">
        <v>1664</v>
      </c>
      <c r="F166" s="22" t="s">
        <v>30</v>
      </c>
      <c r="G166" s="22">
        <v>604.0</v>
      </c>
      <c r="H166" s="22">
        <f t="array" ref="H166">IFERROR(INDEX('Hub CPC 226'!A:A, MATCH(C166, 'Hub CPC 226'!B:B, 0)), "")</f>
        <v>172</v>
      </c>
      <c r="I166" s="22">
        <f t="array" ref="I166">IFERROR(INDEX('Hub Users 226'!A:A, MATCH(C166, 'Hub Users 226'!B:B, 0)), "")</f>
        <v>192</v>
      </c>
      <c r="J166" s="22"/>
      <c r="K166" s="23" t="s">
        <v>1665</v>
      </c>
      <c r="L166" s="25">
        <v>44580.79861111111</v>
      </c>
      <c r="M166" s="28">
        <v>7.0</v>
      </c>
      <c r="N166" s="28">
        <v>18.0</v>
      </c>
      <c r="O166" s="28">
        <v>50.0</v>
      </c>
      <c r="P166" s="32">
        <v>34.0</v>
      </c>
      <c r="Q166" s="22" t="s">
        <v>1666</v>
      </c>
      <c r="R166" s="22" t="s">
        <v>271</v>
      </c>
      <c r="S166" s="22" t="s">
        <v>294</v>
      </c>
      <c r="T166" s="22" t="s">
        <v>272</v>
      </c>
      <c r="U166" s="22" t="s">
        <v>1667</v>
      </c>
      <c r="V166" s="23"/>
      <c r="W166" s="23"/>
      <c r="X166" s="23"/>
      <c r="Y166" s="23"/>
      <c r="Z166" s="28"/>
      <c r="AA166" s="23"/>
      <c r="AB166" s="23" t="str">
        <f>IFERROR(__xludf.DUMMYFUNCTION("IF(
ISNUMBER(MATCH(
C166,
IMPORTRANGE(""https://docs.google.com/spreadsheets/d/1yTh1ELC33JHYOeEdgIiEclxPRyh0zOKtlawDltfUay8"",""'Champions'!A:A""),
0
)),
""Outreach Conducted"",
"""")"),"")</f>
        <v/>
      </c>
      <c r="AC166" s="23"/>
      <c r="AD166" s="23"/>
      <c r="AE166" s="23"/>
      <c r="AF166" s="23"/>
      <c r="AG166" s="23"/>
      <c r="AH166" s="23"/>
      <c r="AI166" s="23"/>
      <c r="AJ166" s="23"/>
      <c r="AK166" s="23"/>
      <c r="AL166" s="23"/>
    </row>
    <row r="167" hidden="1">
      <c r="A167" s="22" t="s">
        <v>1668</v>
      </c>
      <c r="B167" s="22" t="s">
        <v>1669</v>
      </c>
      <c r="C167" s="23" t="str">
        <f t="shared" si="1"/>
        <v>Jaskiran Ghuman</v>
      </c>
      <c r="D167" s="22" t="s">
        <v>1670</v>
      </c>
      <c r="E167" s="29" t="s">
        <v>1671</v>
      </c>
      <c r="F167" s="22" t="s">
        <v>248</v>
      </c>
      <c r="G167" s="22">
        <v>312.0</v>
      </c>
      <c r="H167" s="22">
        <f t="array" ref="H167">IFERROR(INDEX('Hub CPC 226'!A:A, MATCH(C167, 'Hub CPC 226'!B:B, 0)), "")</f>
        <v>173</v>
      </c>
      <c r="I167" s="22">
        <f t="array" ref="I167">IFERROR(INDEX('Hub Users 226'!A:A, MATCH(C167, 'Hub Users 226'!B:B, 0)), "")</f>
        <v>193</v>
      </c>
      <c r="J167" s="22" t="s">
        <v>1235</v>
      </c>
      <c r="K167" s="23" t="s">
        <v>1672</v>
      </c>
      <c r="L167" s="25">
        <v>43909.68194444444</v>
      </c>
      <c r="M167" s="28">
        <v>6.0</v>
      </c>
      <c r="N167" s="28">
        <v>14.0</v>
      </c>
      <c r="O167" s="28">
        <v>28.0</v>
      </c>
      <c r="P167" s="32">
        <v>29.0</v>
      </c>
      <c r="Q167" s="22" t="s">
        <v>1673</v>
      </c>
      <c r="R167" s="22" t="s">
        <v>1173</v>
      </c>
      <c r="S167" s="22" t="s">
        <v>1173</v>
      </c>
      <c r="T167" s="22" t="s">
        <v>272</v>
      </c>
      <c r="U167" s="22" t="s">
        <v>1674</v>
      </c>
      <c r="V167" s="26" t="s">
        <v>393</v>
      </c>
      <c r="W167" s="27" t="s">
        <v>1675</v>
      </c>
      <c r="X167" s="26" t="s">
        <v>781</v>
      </c>
      <c r="Y167" s="23"/>
      <c r="Z167" s="28"/>
      <c r="AA167" s="23"/>
      <c r="AB167" s="23" t="str">
        <f>IFERROR(__xludf.DUMMYFUNCTION("IF(
ISNUMBER(MATCH(
C167,
IMPORTRANGE(""https://docs.google.com/spreadsheets/d/1yTh1ELC33JHYOeEdgIiEclxPRyh0zOKtlawDltfUay8"",""'Champions'!A:A""),
0
)),
""Outreach Conducted"",
"""")"),"")</f>
        <v/>
      </c>
      <c r="AC167" s="23"/>
      <c r="AD167" s="23"/>
      <c r="AE167" s="23"/>
      <c r="AF167" s="23"/>
      <c r="AG167" s="23"/>
      <c r="AH167" s="23"/>
      <c r="AI167" s="23"/>
      <c r="AJ167" s="23"/>
      <c r="AK167" s="23"/>
      <c r="AL167" s="23"/>
    </row>
    <row r="168" hidden="1">
      <c r="A168" s="22" t="s">
        <v>1676</v>
      </c>
      <c r="B168" s="22" t="s">
        <v>1677</v>
      </c>
      <c r="C168" s="23" t="str">
        <f t="shared" si="1"/>
        <v>Jason Alafgani</v>
      </c>
      <c r="D168" s="22">
        <v>1.4154015597E10</v>
      </c>
      <c r="E168" s="29" t="s">
        <v>1678</v>
      </c>
      <c r="F168" s="22" t="s">
        <v>248</v>
      </c>
      <c r="G168" s="22">
        <v>533.0</v>
      </c>
      <c r="H168" s="22">
        <f t="array" ref="H168">IFERROR(INDEX('Hub CPC 226'!A:A, MATCH(C168, 'Hub CPC 226'!B:B, 0)), "")</f>
        <v>174</v>
      </c>
      <c r="I168" s="22">
        <f t="array" ref="I168">IFERROR(INDEX('Hub Users 226'!A:A, MATCH(C168, 'Hub Users 226'!B:B, 0)), "")</f>
        <v>194</v>
      </c>
      <c r="J168" s="22" t="s">
        <v>260</v>
      </c>
      <c r="K168" s="23" t="s">
        <v>1679</v>
      </c>
      <c r="L168" s="25">
        <v>44502.80625</v>
      </c>
      <c r="M168" s="23"/>
      <c r="N168" s="23"/>
      <c r="O168" s="23"/>
      <c r="P168" s="23"/>
      <c r="Q168" s="22" t="s">
        <v>1680</v>
      </c>
      <c r="R168" s="22" t="s">
        <v>473</v>
      </c>
      <c r="S168" s="22" t="s">
        <v>473</v>
      </c>
      <c r="T168" s="22" t="s">
        <v>252</v>
      </c>
      <c r="U168" s="22" t="s">
        <v>1681</v>
      </c>
      <c r="V168" s="26" t="s">
        <v>326</v>
      </c>
      <c r="W168" s="27" t="s">
        <v>1682</v>
      </c>
      <c r="X168" s="26" t="s">
        <v>1683</v>
      </c>
      <c r="Y168" s="23"/>
      <c r="Z168" s="28"/>
      <c r="AA168" s="23"/>
      <c r="AB168" s="23" t="str">
        <f>IFERROR(__xludf.DUMMYFUNCTION("IF(
ISNUMBER(MATCH(
C168,
IMPORTRANGE(""https://docs.google.com/spreadsheets/d/1yTh1ELC33JHYOeEdgIiEclxPRyh0zOKtlawDltfUay8"",""'Champions'!A:A""),
0
)),
""Outreach Conducted"",
"""")"),"")</f>
        <v/>
      </c>
      <c r="AC168" s="23"/>
      <c r="AD168" s="26" t="s">
        <v>448</v>
      </c>
      <c r="AE168" s="34">
        <v>44593.0</v>
      </c>
      <c r="AF168" s="28" t="s">
        <v>449</v>
      </c>
      <c r="AG168" s="28">
        <v>15.0</v>
      </c>
      <c r="AH168" s="23"/>
      <c r="AI168" s="23"/>
      <c r="AJ168" s="23"/>
      <c r="AK168" s="23"/>
      <c r="AL168" s="23"/>
    </row>
    <row r="169" hidden="1">
      <c r="A169" s="22" t="s">
        <v>1684</v>
      </c>
      <c r="B169" s="22" t="s">
        <v>1377</v>
      </c>
      <c r="C169" s="23" t="str">
        <f t="shared" si="1"/>
        <v>Jayne Gonzalez</v>
      </c>
      <c r="D169" s="22">
        <v>4.083481087E9</v>
      </c>
      <c r="E169" s="29" t="s">
        <v>1685</v>
      </c>
      <c r="F169" s="22" t="s">
        <v>248</v>
      </c>
      <c r="G169" s="22">
        <v>357.0</v>
      </c>
      <c r="H169" s="22">
        <f t="array" ref="H169">IFERROR(INDEX('Hub CPC 226'!A:A, MATCH(C169, 'Hub CPC 226'!B:B, 0)), "")</f>
        <v>175</v>
      </c>
      <c r="I169" s="22">
        <f t="array" ref="I169">IFERROR(INDEX('Hub Users 226'!A:A, MATCH(C169, 'Hub Users 226'!B:B, 0)), "")</f>
        <v>195</v>
      </c>
      <c r="J169" s="22" t="s">
        <v>260</v>
      </c>
      <c r="K169" s="23" t="s">
        <v>1686</v>
      </c>
      <c r="L169" s="25">
        <v>44109.527083333334</v>
      </c>
      <c r="M169" s="23"/>
      <c r="N169" s="23"/>
      <c r="O169" s="23"/>
      <c r="P169" s="23"/>
      <c r="Q169" s="22" t="s">
        <v>1687</v>
      </c>
      <c r="R169" s="22" t="s">
        <v>1688</v>
      </c>
      <c r="S169" s="22" t="s">
        <v>1689</v>
      </c>
      <c r="T169" s="22" t="s">
        <v>252</v>
      </c>
      <c r="U169" s="22" t="s">
        <v>1690</v>
      </c>
      <c r="V169" s="26" t="s">
        <v>1691</v>
      </c>
      <c r="W169" s="27" t="s">
        <v>1692</v>
      </c>
      <c r="X169" s="26" t="s">
        <v>1693</v>
      </c>
      <c r="Y169" s="23"/>
      <c r="Z169" s="28"/>
      <c r="AA169" s="23"/>
      <c r="AB169" s="23" t="str">
        <f>IFERROR(__xludf.DUMMYFUNCTION("IF(
ISNUMBER(MATCH(
C169,
IMPORTRANGE(""https://docs.google.com/spreadsheets/d/1yTh1ELC33JHYOeEdgIiEclxPRyh0zOKtlawDltfUay8"",""'Champions'!A:A""),
0
)),
""Outreach Conducted"",
"""")"),"")</f>
        <v/>
      </c>
      <c r="AC169" s="23"/>
      <c r="AD169" s="23"/>
      <c r="AE169" s="23"/>
      <c r="AF169" s="23"/>
      <c r="AG169" s="23"/>
      <c r="AH169" s="23"/>
      <c r="AI169" s="23"/>
      <c r="AJ169" s="23"/>
      <c r="AK169" s="23"/>
      <c r="AL169" s="23"/>
    </row>
    <row r="170" hidden="1">
      <c r="A170" s="22" t="s">
        <v>925</v>
      </c>
      <c r="B170" s="22" t="s">
        <v>1694</v>
      </c>
      <c r="C170" s="23" t="str">
        <f t="shared" si="1"/>
        <v>Jennifer Go</v>
      </c>
      <c r="D170" s="22">
        <v>1.6268271953E10</v>
      </c>
      <c r="E170" s="29" t="s">
        <v>1695</v>
      </c>
      <c r="F170" s="22" t="s">
        <v>248</v>
      </c>
      <c r="G170" s="22">
        <v>495.0</v>
      </c>
      <c r="H170" s="22">
        <f t="array" ref="H170">IFERROR(INDEX('Hub CPC 226'!A:A, MATCH(C170, 'Hub CPC 226'!B:B, 0)), "")</f>
        <v>176</v>
      </c>
      <c r="I170" s="22">
        <f t="array" ref="I170">IFERROR(INDEX('Hub Users 226'!A:A, MATCH(C170, 'Hub Users 226'!B:B, 0)), "")</f>
        <v>196</v>
      </c>
      <c r="J170" s="22" t="s">
        <v>407</v>
      </c>
      <c r="K170" s="23" t="s">
        <v>1696</v>
      </c>
      <c r="L170" s="25">
        <v>44439.455555555556</v>
      </c>
      <c r="M170" s="23"/>
      <c r="N170" s="23"/>
      <c r="O170" s="23"/>
      <c r="P170" s="23"/>
      <c r="Q170" s="22" t="s">
        <v>1697</v>
      </c>
      <c r="R170" s="22" t="s">
        <v>700</v>
      </c>
      <c r="S170" s="22" t="s">
        <v>1698</v>
      </c>
      <c r="T170" s="22" t="s">
        <v>252</v>
      </c>
      <c r="U170" s="22" t="s">
        <v>1699</v>
      </c>
      <c r="V170" s="26" t="s">
        <v>284</v>
      </c>
      <c r="W170" s="27" t="s">
        <v>1700</v>
      </c>
      <c r="X170" s="26" t="s">
        <v>619</v>
      </c>
      <c r="Y170" s="23"/>
      <c r="Z170" s="28"/>
      <c r="AA170" s="23"/>
      <c r="AB170" s="23" t="str">
        <f>IFERROR(__xludf.DUMMYFUNCTION("IF(
ISNUMBER(MATCH(
C170,
IMPORTRANGE(""https://docs.google.com/spreadsheets/d/1yTh1ELC33JHYOeEdgIiEclxPRyh0zOKtlawDltfUay8"",""'Champions'!A:A""),
0
)),
""Outreach Conducted"",
"""")"),"")</f>
        <v/>
      </c>
      <c r="AC170" s="23"/>
      <c r="AD170" s="23"/>
      <c r="AE170" s="23"/>
      <c r="AF170" s="23"/>
      <c r="AG170" s="23"/>
      <c r="AH170" s="23"/>
      <c r="AI170" s="23"/>
      <c r="AJ170" s="23"/>
      <c r="AK170" s="23"/>
      <c r="AL170" s="23"/>
    </row>
    <row r="171" hidden="1">
      <c r="A171" s="22" t="s">
        <v>925</v>
      </c>
      <c r="B171" s="22" t="s">
        <v>1701</v>
      </c>
      <c r="C171" s="23" t="str">
        <f t="shared" si="1"/>
        <v>Jennifer Christman</v>
      </c>
      <c r="D171" s="22" t="s">
        <v>1702</v>
      </c>
      <c r="E171" s="29" t="s">
        <v>1703</v>
      </c>
      <c r="F171" s="22" t="s">
        <v>248</v>
      </c>
      <c r="G171" s="22">
        <v>121.0</v>
      </c>
      <c r="H171" s="22">
        <f t="array" ref="H171">IFERROR(INDEX('Hub CPC 226'!A:A, MATCH(C171, 'Hub CPC 226'!B:B, 0)), "")</f>
        <v>177</v>
      </c>
      <c r="I171" s="22">
        <f t="array" ref="I171">IFERROR(INDEX('Hub Users 226'!A:A, MATCH(C171, 'Hub Users 226'!B:B, 0)), "")</f>
        <v>197</v>
      </c>
      <c r="J171" s="22" t="s">
        <v>240</v>
      </c>
      <c r="K171" s="23" t="s">
        <v>1704</v>
      </c>
      <c r="L171" s="25">
        <v>43500.6375</v>
      </c>
      <c r="M171" s="23"/>
      <c r="N171" s="23"/>
      <c r="O171" s="23"/>
      <c r="P171" s="23"/>
      <c r="Q171" s="22" t="s">
        <v>1705</v>
      </c>
      <c r="R171" s="22" t="s">
        <v>1706</v>
      </c>
      <c r="S171" s="22" t="s">
        <v>1707</v>
      </c>
      <c r="T171" s="22" t="s">
        <v>381</v>
      </c>
      <c r="U171" s="22" t="s">
        <v>1708</v>
      </c>
      <c r="V171" s="23"/>
      <c r="W171" s="23"/>
      <c r="X171" s="23"/>
      <c r="Y171" s="23"/>
      <c r="Z171" s="28"/>
      <c r="AA171" s="23"/>
      <c r="AB171" s="23" t="str">
        <f>IFERROR(__xludf.DUMMYFUNCTION("IF(
ISNUMBER(MATCH(
C171,
IMPORTRANGE(""https://docs.google.com/spreadsheets/d/1yTh1ELC33JHYOeEdgIiEclxPRyh0zOKtlawDltfUay8"",""'Champions'!A:A""),
0
)),
""Outreach Conducted"",
"""")"),"")</f>
        <v/>
      </c>
      <c r="AC171" s="23"/>
      <c r="AD171" s="23"/>
      <c r="AE171" s="23"/>
      <c r="AF171" s="23"/>
      <c r="AG171" s="23"/>
      <c r="AH171" s="23"/>
      <c r="AI171" s="23"/>
      <c r="AJ171" s="23"/>
      <c r="AK171" s="23"/>
      <c r="AL171" s="23"/>
    </row>
    <row r="172" hidden="1">
      <c r="A172" s="22" t="s">
        <v>925</v>
      </c>
      <c r="B172" s="22" t="s">
        <v>1709</v>
      </c>
      <c r="C172" s="23" t="str">
        <f t="shared" si="1"/>
        <v>Jennifer Nguyen</v>
      </c>
      <c r="D172" s="22">
        <v>1.503473936E10</v>
      </c>
      <c r="E172" s="29" t="s">
        <v>1710</v>
      </c>
      <c r="F172" s="22" t="s">
        <v>248</v>
      </c>
      <c r="G172" s="22">
        <v>700.0</v>
      </c>
      <c r="H172" s="22">
        <f t="array" ref="H172">IFERROR(INDEX('Hub CPC 226'!A:A, MATCH(C172, 'Hub CPC 226'!B:B, 0)), "")</f>
        <v>178</v>
      </c>
      <c r="I172" s="22">
        <f t="array" ref="I172">IFERROR(INDEX('Hub Users 226'!A:A, MATCH(C172, 'Hub Users 226'!B:B, 0)), "")</f>
        <v>198</v>
      </c>
      <c r="J172" s="22" t="s">
        <v>260</v>
      </c>
      <c r="K172" s="28" t="s">
        <v>1711</v>
      </c>
      <c r="L172" s="25">
        <v>44970.756944444445</v>
      </c>
      <c r="M172" s="28">
        <v>12.0</v>
      </c>
      <c r="N172" s="28">
        <v>59.0</v>
      </c>
      <c r="O172" s="28">
        <v>73.0</v>
      </c>
      <c r="P172" s="32">
        <v>4.0</v>
      </c>
      <c r="Q172" s="22" t="s">
        <v>1712</v>
      </c>
      <c r="R172" s="22" t="s">
        <v>334</v>
      </c>
      <c r="S172" s="22" t="s">
        <v>271</v>
      </c>
      <c r="T172" s="22" t="s">
        <v>272</v>
      </c>
      <c r="U172" s="22" t="s">
        <v>1713</v>
      </c>
      <c r="V172" s="26" t="s">
        <v>1000</v>
      </c>
      <c r="W172" s="27" t="s">
        <v>1714</v>
      </c>
      <c r="X172" s="26" t="s">
        <v>1715</v>
      </c>
      <c r="Y172" s="23"/>
      <c r="Z172" s="28"/>
      <c r="AA172" s="23"/>
      <c r="AB172" s="23" t="str">
        <f>IFERROR(__xludf.DUMMYFUNCTION("IF(
ISNUMBER(MATCH(
C172,
IMPORTRANGE(""https://docs.google.com/spreadsheets/d/1yTh1ELC33JHYOeEdgIiEclxPRyh0zOKtlawDltfUay8"",""'Champions'!A:A""),
0
)),
""Outreach Conducted"",
"""")"),"")</f>
        <v/>
      </c>
      <c r="AC172" s="23"/>
      <c r="AD172" s="23"/>
      <c r="AE172" s="23"/>
      <c r="AF172" s="23"/>
      <c r="AG172" s="23"/>
      <c r="AH172" s="23"/>
      <c r="AI172" s="23"/>
      <c r="AJ172" s="23"/>
      <c r="AK172" s="23"/>
      <c r="AL172" s="23"/>
    </row>
    <row r="173" hidden="1">
      <c r="A173" s="22" t="s">
        <v>925</v>
      </c>
      <c r="B173" s="22" t="s">
        <v>1716</v>
      </c>
      <c r="C173" s="23" t="str">
        <f t="shared" si="1"/>
        <v>Jennifer Demartini DuVall</v>
      </c>
      <c r="D173" s="22" t="s">
        <v>1717</v>
      </c>
      <c r="E173" s="29" t="s">
        <v>1718</v>
      </c>
      <c r="F173" s="22" t="s">
        <v>248</v>
      </c>
      <c r="G173" s="22">
        <v>101.0</v>
      </c>
      <c r="H173" s="22">
        <f t="array" ref="H173">IFERROR(INDEX('Hub CPC 226'!A:A, MATCH(C173, 'Hub CPC 226'!B:B, 0)), "")</f>
        <v>179</v>
      </c>
      <c r="I173" s="22">
        <f t="array" ref="I173">IFERROR(INDEX('Hub Users 226'!A:A, MATCH(C173, 'Hub Users 226'!B:B, 0)), "")</f>
        <v>199</v>
      </c>
      <c r="J173" s="22" t="s">
        <v>240</v>
      </c>
      <c r="K173" s="23" t="s">
        <v>1719</v>
      </c>
      <c r="L173" s="25">
        <v>43468.98888888889</v>
      </c>
      <c r="M173" s="23"/>
      <c r="N173" s="23"/>
      <c r="O173" s="23"/>
      <c r="P173" s="23"/>
      <c r="Q173" s="22" t="s">
        <v>1720</v>
      </c>
      <c r="R173" s="22" t="s">
        <v>1721</v>
      </c>
      <c r="S173" s="22" t="s">
        <v>1721</v>
      </c>
      <c r="T173" s="22" t="s">
        <v>252</v>
      </c>
      <c r="U173" s="22" t="s">
        <v>1722</v>
      </c>
      <c r="V173" s="23"/>
      <c r="W173" s="23"/>
      <c r="X173" s="23"/>
      <c r="Y173" s="23"/>
      <c r="Z173" s="28"/>
      <c r="AA173" s="23"/>
      <c r="AB173" s="23" t="str">
        <f>IFERROR(__xludf.DUMMYFUNCTION("IF(
ISNUMBER(MATCH(
C173,
IMPORTRANGE(""https://docs.google.com/spreadsheets/d/1yTh1ELC33JHYOeEdgIiEclxPRyh0zOKtlawDltfUay8"",""'Champions'!A:A""),
0
)),
""Outreach Conducted"",
"""")"),"")</f>
        <v/>
      </c>
      <c r="AC173" s="23"/>
      <c r="AD173" s="23"/>
      <c r="AE173" s="23"/>
      <c r="AF173" s="23"/>
      <c r="AG173" s="23"/>
      <c r="AH173" s="23"/>
      <c r="AI173" s="23"/>
      <c r="AJ173" s="23"/>
      <c r="AK173" s="23"/>
      <c r="AL173" s="23"/>
    </row>
    <row r="174" hidden="1">
      <c r="A174" s="22" t="s">
        <v>925</v>
      </c>
      <c r="B174" s="22" t="s">
        <v>1723</v>
      </c>
      <c r="C174" s="23" t="str">
        <f t="shared" si="1"/>
        <v>Jennifer Joelle Kachler</v>
      </c>
      <c r="D174" s="22" t="s">
        <v>1724</v>
      </c>
      <c r="E174" s="29" t="s">
        <v>1725</v>
      </c>
      <c r="F174" s="22" t="s">
        <v>248</v>
      </c>
      <c r="G174" s="22">
        <v>48.0</v>
      </c>
      <c r="H174" s="22">
        <f t="array" ref="H174">IFERROR(INDEX('Hub CPC 226'!A:A, MATCH(C174, 'Hub CPC 226'!B:B, 0)), "")</f>
        <v>180</v>
      </c>
      <c r="I174" s="22">
        <f t="array" ref="I174">IFERROR(INDEX('Hub Users 226'!A:A, MATCH(C174, 'Hub Users 226'!B:B, 0)), "")</f>
        <v>200</v>
      </c>
      <c r="J174" s="22" t="s">
        <v>260</v>
      </c>
      <c r="K174" s="23" t="s">
        <v>1726</v>
      </c>
      <c r="L174" s="25">
        <v>43338.743055555555</v>
      </c>
      <c r="M174" s="28">
        <v>10.0</v>
      </c>
      <c r="N174" s="28">
        <v>25.0</v>
      </c>
      <c r="O174" s="28">
        <v>44.0</v>
      </c>
      <c r="P174" s="32">
        <v>35.0</v>
      </c>
      <c r="Q174" s="22" t="s">
        <v>1727</v>
      </c>
      <c r="R174" s="22"/>
      <c r="S174" s="22" t="s">
        <v>294</v>
      </c>
      <c r="T174" s="22" t="s">
        <v>272</v>
      </c>
      <c r="U174" s="22" t="s">
        <v>1728</v>
      </c>
      <c r="V174" s="26" t="s">
        <v>393</v>
      </c>
      <c r="W174" s="35" t="s">
        <v>1729</v>
      </c>
      <c r="X174" s="26" t="s">
        <v>1730</v>
      </c>
      <c r="Y174" s="23"/>
      <c r="Z174" s="28"/>
      <c r="AA174" s="23"/>
      <c r="AB174" s="23" t="str">
        <f>IFERROR(__xludf.DUMMYFUNCTION("IF(
ISNUMBER(MATCH(
C174,
IMPORTRANGE(""https://docs.google.com/spreadsheets/d/1yTh1ELC33JHYOeEdgIiEclxPRyh0zOKtlawDltfUay8"",""'Champions'!A:A""),
0
)),
""Outreach Conducted"",
"""")"),"")</f>
        <v/>
      </c>
      <c r="AC174" s="23"/>
      <c r="AD174" s="23"/>
      <c r="AE174" s="23"/>
      <c r="AF174" s="23"/>
      <c r="AG174" s="23"/>
      <c r="AH174" s="23"/>
      <c r="AI174" s="23"/>
      <c r="AJ174" s="23"/>
      <c r="AK174" s="23"/>
      <c r="AL174" s="23"/>
    </row>
    <row r="175" hidden="1">
      <c r="A175" s="22" t="s">
        <v>1731</v>
      </c>
      <c r="B175" s="22" t="s">
        <v>1732</v>
      </c>
      <c r="C175" s="23" t="str">
        <f t="shared" si="1"/>
        <v>Jenny Lisbet Chickering</v>
      </c>
      <c r="D175" s="22" t="s">
        <v>1733</v>
      </c>
      <c r="E175" s="29" t="s">
        <v>1734</v>
      </c>
      <c r="F175" s="22" t="s">
        <v>248</v>
      </c>
      <c r="G175" s="22">
        <v>152.0</v>
      </c>
      <c r="H175" s="22">
        <f t="array" ref="H175">IFERROR(INDEX('Hub CPC 226'!A:A, MATCH(C175, 'Hub CPC 226'!B:B, 0)), "")</f>
        <v>181</v>
      </c>
      <c r="I175" s="22">
        <f t="array" ref="I175">IFERROR(INDEX('Hub Users 226'!A:A, MATCH(C175, 'Hub Users 226'!B:B, 0)), "")</f>
        <v>201</v>
      </c>
      <c r="J175" s="22" t="s">
        <v>240</v>
      </c>
      <c r="K175" s="28" t="s">
        <v>1735</v>
      </c>
      <c r="L175" s="25">
        <v>43590.63680555556</v>
      </c>
      <c r="M175" s="23"/>
      <c r="N175" s="23"/>
      <c r="O175" s="23"/>
      <c r="P175" s="23"/>
      <c r="Q175" s="22" t="s">
        <v>1736</v>
      </c>
      <c r="R175" s="22" t="s">
        <v>316</v>
      </c>
      <c r="S175" s="22" t="s">
        <v>251</v>
      </c>
      <c r="T175" s="22" t="s">
        <v>252</v>
      </c>
      <c r="U175" s="22" t="s">
        <v>1737</v>
      </c>
      <c r="V175" s="26" t="s">
        <v>1738</v>
      </c>
      <c r="W175" s="27" t="s">
        <v>1739</v>
      </c>
      <c r="X175" s="26" t="s">
        <v>1740</v>
      </c>
      <c r="Y175" s="23"/>
      <c r="Z175" s="28"/>
      <c r="AA175" s="23"/>
      <c r="AB175" s="23" t="str">
        <f>IFERROR(__xludf.DUMMYFUNCTION("IF(
ISNUMBER(MATCH(
C175,
IMPORTRANGE(""https://docs.google.com/spreadsheets/d/1yTh1ELC33JHYOeEdgIiEclxPRyh0zOKtlawDltfUay8"",""'Champions'!A:A""),
0
)),
""Outreach Conducted"",
"""")"),"")</f>
        <v/>
      </c>
      <c r="AC175" s="23"/>
      <c r="AD175" s="23"/>
      <c r="AE175" s="23"/>
      <c r="AF175" s="23"/>
      <c r="AG175" s="23"/>
      <c r="AH175" s="23"/>
      <c r="AI175" s="23"/>
      <c r="AJ175" s="23"/>
      <c r="AK175" s="23"/>
      <c r="AL175" s="23"/>
    </row>
    <row r="176" hidden="1">
      <c r="A176" s="22" t="s">
        <v>1731</v>
      </c>
      <c r="B176" s="22" t="s">
        <v>1741</v>
      </c>
      <c r="C176" s="23" t="str">
        <f t="shared" si="1"/>
        <v>Jenny Chen</v>
      </c>
      <c r="D176" s="22">
        <v>1.4084803852E10</v>
      </c>
      <c r="E176" s="29" t="s">
        <v>1742</v>
      </c>
      <c r="F176" s="22" t="s">
        <v>238</v>
      </c>
      <c r="G176" s="22">
        <v>530.0</v>
      </c>
      <c r="H176" s="22">
        <f t="array" ref="H176">IFERROR(INDEX('Hub CPC 226'!A:A, MATCH(C176, 'Hub CPC 226'!B:B, 0)), "")</f>
        <v>182</v>
      </c>
      <c r="I176" s="22">
        <f t="array" ref="I176">IFERROR(INDEX('Hub Users 226'!A:A, MATCH(C176, 'Hub Users 226'!B:B, 0)), "")</f>
        <v>202</v>
      </c>
      <c r="J176" s="22" t="s">
        <v>240</v>
      </c>
      <c r="K176" s="23" t="s">
        <v>1743</v>
      </c>
      <c r="L176" s="25">
        <v>44498.73541666667</v>
      </c>
      <c r="M176" s="23"/>
      <c r="N176" s="23"/>
      <c r="O176" s="23"/>
      <c r="P176" s="23"/>
      <c r="Q176" s="22" t="s">
        <v>1744</v>
      </c>
      <c r="R176" s="22" t="s">
        <v>1745</v>
      </c>
      <c r="S176" s="22" t="s">
        <v>1746</v>
      </c>
      <c r="T176" s="22" t="s">
        <v>252</v>
      </c>
      <c r="U176" s="22" t="s">
        <v>591</v>
      </c>
      <c r="V176" s="23"/>
      <c r="W176" s="23"/>
      <c r="X176" s="23"/>
      <c r="Y176" s="23"/>
      <c r="Z176" s="28"/>
      <c r="AA176" s="23"/>
      <c r="AB176" s="23" t="str">
        <f>IFERROR(__xludf.DUMMYFUNCTION("IF(
ISNUMBER(MATCH(
C176,
IMPORTRANGE(""https://docs.google.com/spreadsheets/d/1yTh1ELC33JHYOeEdgIiEclxPRyh0zOKtlawDltfUay8"",""'Champions'!A:A""),
0
)),
""Outreach Conducted"",
"""")"),"")</f>
        <v/>
      </c>
      <c r="AC176" s="23"/>
      <c r="AD176" s="23"/>
      <c r="AE176" s="23"/>
      <c r="AF176" s="23"/>
      <c r="AG176" s="23"/>
      <c r="AH176" s="23"/>
      <c r="AI176" s="23"/>
      <c r="AJ176" s="23"/>
      <c r="AK176" s="23"/>
      <c r="AL176" s="23"/>
    </row>
    <row r="177" hidden="1">
      <c r="A177" s="22" t="s">
        <v>1731</v>
      </c>
      <c r="B177" s="22" t="s">
        <v>1747</v>
      </c>
      <c r="C177" s="23" t="str">
        <f t="shared" si="1"/>
        <v>Jenny Xochilt Salinas</v>
      </c>
      <c r="D177" s="22" t="s">
        <v>1748</v>
      </c>
      <c r="E177" s="29" t="s">
        <v>1749</v>
      </c>
      <c r="F177" s="22" t="s">
        <v>238</v>
      </c>
      <c r="G177" s="22">
        <v>44.0</v>
      </c>
      <c r="H177" s="22">
        <f t="array" ref="H177">IFERROR(INDEX('Hub CPC 226'!A:A, MATCH(C177, 'Hub CPC 226'!B:B, 0)), "")</f>
        <v>183</v>
      </c>
      <c r="I177" s="22">
        <f t="array" ref="I177">IFERROR(INDEX('Hub Users 226'!A:A, MATCH(C177, 'Hub Users 226'!B:B, 0)), "")</f>
        <v>203</v>
      </c>
      <c r="J177" s="22"/>
      <c r="K177" s="23" t="s">
        <v>1750</v>
      </c>
      <c r="L177" s="25">
        <v>43338.743055555555</v>
      </c>
      <c r="M177" s="23"/>
      <c r="N177" s="23"/>
      <c r="O177" s="23"/>
      <c r="P177" s="23"/>
      <c r="Q177" s="22" t="s">
        <v>1751</v>
      </c>
      <c r="R177" s="22"/>
      <c r="S177" s="22" t="s">
        <v>1117</v>
      </c>
      <c r="T177" s="22" t="s">
        <v>252</v>
      </c>
      <c r="U177" s="22" t="s">
        <v>1752</v>
      </c>
      <c r="V177" s="26" t="s">
        <v>1753</v>
      </c>
      <c r="W177" s="27" t="s">
        <v>1754</v>
      </c>
      <c r="X177" s="26" t="s">
        <v>1755</v>
      </c>
      <c r="Y177" s="23"/>
      <c r="Z177" s="28"/>
      <c r="AA177" s="23"/>
      <c r="AB177" s="23" t="str">
        <f>IFERROR(__xludf.DUMMYFUNCTION("IF(
ISNUMBER(MATCH(
C177,
IMPORTRANGE(""https://docs.google.com/spreadsheets/d/1yTh1ELC33JHYOeEdgIiEclxPRyh0zOKtlawDltfUay8"",""'Champions'!A:A""),
0
)),
""Outreach Conducted"",
"""")"),"")</f>
        <v/>
      </c>
      <c r="AC177" s="23"/>
      <c r="AD177" s="23"/>
      <c r="AE177" s="23"/>
      <c r="AF177" s="23"/>
      <c r="AG177" s="23"/>
      <c r="AH177" s="23"/>
      <c r="AI177" s="23"/>
      <c r="AJ177" s="23"/>
      <c r="AK177" s="23"/>
      <c r="AL177" s="23"/>
    </row>
    <row r="178" hidden="1">
      <c r="A178" s="22" t="s">
        <v>1756</v>
      </c>
      <c r="B178" s="22" t="s">
        <v>1757</v>
      </c>
      <c r="C178" s="23" t="str">
        <f t="shared" si="1"/>
        <v>Jimy Shah</v>
      </c>
      <c r="D178" s="22" t="s">
        <v>1758</v>
      </c>
      <c r="E178" s="29" t="s">
        <v>1759</v>
      </c>
      <c r="F178" s="22" t="s">
        <v>248</v>
      </c>
      <c r="G178" s="22">
        <v>292.0</v>
      </c>
      <c r="H178" s="22">
        <f t="array" ref="H178">IFERROR(INDEX('Hub CPC 226'!A:A, MATCH(C178, 'Hub CPC 226'!B:B, 0)), "")</f>
        <v>185</v>
      </c>
      <c r="I178" s="22">
        <f t="array" ref="I178">IFERROR(INDEX('Hub Users 226'!A:A, MATCH(C178, 'Hub Users 226'!B:B, 0)), "")</f>
        <v>205</v>
      </c>
      <c r="J178" s="22" t="s">
        <v>407</v>
      </c>
      <c r="K178" s="23" t="s">
        <v>1760</v>
      </c>
      <c r="L178" s="25">
        <v>43780.76111111111</v>
      </c>
      <c r="M178" s="23"/>
      <c r="N178" s="23"/>
      <c r="O178" s="23"/>
      <c r="P178" s="23"/>
      <c r="Q178" s="22" t="s">
        <v>1761</v>
      </c>
      <c r="R178" s="22" t="s">
        <v>974</v>
      </c>
      <c r="S178" s="22" t="s">
        <v>974</v>
      </c>
      <c r="T178" s="22" t="s">
        <v>252</v>
      </c>
      <c r="U178" s="22" t="s">
        <v>1762</v>
      </c>
      <c r="V178" s="26" t="s">
        <v>1383</v>
      </c>
      <c r="W178" s="23"/>
      <c r="X178" s="26" t="s">
        <v>362</v>
      </c>
      <c r="Y178" s="23"/>
      <c r="Z178" s="28"/>
      <c r="AA178" s="23"/>
      <c r="AB178" s="23" t="str">
        <f>IFERROR(__xludf.DUMMYFUNCTION("IF(
ISNUMBER(MATCH(
C178,
IMPORTRANGE(""https://docs.google.com/spreadsheets/d/1yTh1ELC33JHYOeEdgIiEclxPRyh0zOKtlawDltfUay8"",""'Champions'!A:A""),
0
)),
""Outreach Conducted"",
"""")"),"")</f>
        <v/>
      </c>
      <c r="AC178" s="23"/>
      <c r="AD178" s="23"/>
      <c r="AE178" s="23"/>
      <c r="AF178" s="23"/>
      <c r="AG178" s="23"/>
      <c r="AH178" s="23"/>
      <c r="AI178" s="23"/>
      <c r="AJ178" s="23"/>
      <c r="AK178" s="23"/>
      <c r="AL178" s="23"/>
    </row>
    <row r="179" hidden="1">
      <c r="A179" s="22" t="s">
        <v>877</v>
      </c>
      <c r="B179" s="22" t="s">
        <v>1763</v>
      </c>
      <c r="C179" s="23" t="str">
        <f t="shared" si="1"/>
        <v>Joanne Antoine</v>
      </c>
      <c r="D179" s="22">
        <v>8.482204971E9</v>
      </c>
      <c r="E179" s="29" t="s">
        <v>1764</v>
      </c>
      <c r="F179" s="22" t="s">
        <v>238</v>
      </c>
      <c r="G179" s="22">
        <v>242.0</v>
      </c>
      <c r="H179" s="22">
        <f t="array" ref="H179">IFERROR(INDEX('Hub CPC 226'!A:A, MATCH(C179, 'Hub CPC 226'!B:B, 0)), "")</f>
        <v>186</v>
      </c>
      <c r="I179" s="22">
        <f t="array" ref="I179">IFERROR(INDEX('Hub Users 226'!A:A, MATCH(C179, 'Hub Users 226'!B:B, 0)), "")</f>
        <v>206</v>
      </c>
      <c r="J179" s="22" t="s">
        <v>425</v>
      </c>
      <c r="K179" s="23" t="s">
        <v>1765</v>
      </c>
      <c r="L179" s="25">
        <v>43769.71319444444</v>
      </c>
      <c r="M179" s="23"/>
      <c r="N179" s="23"/>
      <c r="O179" s="23"/>
      <c r="P179" s="23"/>
      <c r="Q179" s="22" t="s">
        <v>1766</v>
      </c>
      <c r="R179" s="22" t="s">
        <v>1767</v>
      </c>
      <c r="S179" s="22" t="s">
        <v>1768</v>
      </c>
      <c r="T179" s="22" t="s">
        <v>833</v>
      </c>
      <c r="U179" s="22" t="s">
        <v>1769</v>
      </c>
      <c r="V179" s="23"/>
      <c r="W179" s="23"/>
      <c r="X179" s="23"/>
      <c r="Y179" s="23"/>
      <c r="Z179" s="28"/>
      <c r="AA179" s="23"/>
      <c r="AB179" s="23" t="str">
        <f>IFERROR(__xludf.DUMMYFUNCTION("IF(
ISNUMBER(MATCH(
C179,
IMPORTRANGE(""https://docs.google.com/spreadsheets/d/1yTh1ELC33JHYOeEdgIiEclxPRyh0zOKtlawDltfUay8"",""'Champions'!A:A""),
0
)),
""Outreach Conducted"",
"""")"),"")</f>
        <v/>
      </c>
      <c r="AC179" s="23"/>
      <c r="AD179" s="23"/>
      <c r="AE179" s="23"/>
      <c r="AF179" s="23"/>
      <c r="AG179" s="23"/>
      <c r="AH179" s="23"/>
      <c r="AI179" s="23"/>
      <c r="AJ179" s="23"/>
      <c r="AK179" s="23"/>
      <c r="AL179" s="23"/>
    </row>
    <row r="180" hidden="1">
      <c r="A180" s="22" t="s">
        <v>1770</v>
      </c>
      <c r="B180" s="22" t="s">
        <v>1771</v>
      </c>
      <c r="C180" s="23" t="str">
        <f t="shared" si="1"/>
        <v>Jose Carlos Campos</v>
      </c>
      <c r="D180" s="22">
        <v>1.203997892E10</v>
      </c>
      <c r="E180" s="29" t="s">
        <v>1772</v>
      </c>
      <c r="F180" s="22" t="s">
        <v>248</v>
      </c>
      <c r="G180" s="22">
        <v>517.0</v>
      </c>
      <c r="H180" s="22">
        <f t="array" ref="H180">IFERROR(INDEX('Hub CPC 226'!A:A, MATCH(C180, 'Hub CPC 226'!B:B, 0)), "")</f>
        <v>187</v>
      </c>
      <c r="I180" s="22">
        <f t="array" ref="I180">IFERROR(INDEX('Hub Users 226'!A:A, MATCH(C180, 'Hub Users 226'!B:B, 0)), "")</f>
        <v>207</v>
      </c>
      <c r="J180" s="22" t="s">
        <v>407</v>
      </c>
      <c r="K180" s="23" t="s">
        <v>1773</v>
      </c>
      <c r="L180" s="25">
        <v>44487.77916666667</v>
      </c>
      <c r="M180" s="23"/>
      <c r="N180" s="23"/>
      <c r="O180" s="23"/>
      <c r="P180" s="23"/>
      <c r="Q180" s="22" t="s">
        <v>1774</v>
      </c>
      <c r="R180" s="22" t="s">
        <v>1775</v>
      </c>
      <c r="S180" s="22" t="s">
        <v>1776</v>
      </c>
      <c r="T180" s="22" t="s">
        <v>1777</v>
      </c>
      <c r="U180" s="22" t="s">
        <v>1778</v>
      </c>
      <c r="V180" s="23"/>
      <c r="W180" s="23"/>
      <c r="X180" s="23"/>
      <c r="Y180" s="23"/>
      <c r="Z180" s="28"/>
      <c r="AA180" s="23"/>
      <c r="AB180" s="23" t="str">
        <f>IFERROR(__xludf.DUMMYFUNCTION("IF(
ISNUMBER(MATCH(
C180,
IMPORTRANGE(""https://docs.google.com/spreadsheets/d/1yTh1ELC33JHYOeEdgIiEclxPRyh0zOKtlawDltfUay8"",""'Champions'!A:A""),
0
)),
""Outreach Conducted"",
"""")"),"")</f>
        <v/>
      </c>
      <c r="AC180" s="23"/>
      <c r="AD180" s="23"/>
      <c r="AE180" s="23"/>
      <c r="AF180" s="23"/>
      <c r="AG180" s="23"/>
      <c r="AH180" s="23"/>
      <c r="AI180" s="23"/>
      <c r="AJ180" s="23"/>
      <c r="AK180" s="23"/>
      <c r="AL180" s="23"/>
    </row>
    <row r="181" hidden="1">
      <c r="A181" s="22" t="s">
        <v>1779</v>
      </c>
      <c r="B181" s="22" t="s">
        <v>1780</v>
      </c>
      <c r="C181" s="23" t="str">
        <f t="shared" si="1"/>
        <v>Jody Kramer</v>
      </c>
      <c r="D181" s="22">
        <v>1.7032161739E10</v>
      </c>
      <c r="E181" s="29" t="s">
        <v>1781</v>
      </c>
      <c r="F181" s="22" t="s">
        <v>248</v>
      </c>
      <c r="G181" s="22">
        <v>620.0</v>
      </c>
      <c r="H181" s="22">
        <f t="array" ref="H181">IFERROR(INDEX('Hub CPC 226'!A:A, MATCH(C181, 'Hub CPC 226'!B:B, 0)), "")</f>
        <v>188</v>
      </c>
      <c r="I181" s="22">
        <f t="array" ref="I181">IFERROR(INDEX('Hub Users 226'!A:A, MATCH(C181, 'Hub Users 226'!B:B, 0)), "")</f>
        <v>208</v>
      </c>
      <c r="J181" s="22" t="s">
        <v>1235</v>
      </c>
      <c r="K181" s="23" t="s">
        <v>1782</v>
      </c>
      <c r="L181" s="25">
        <v>44594.81805555556</v>
      </c>
      <c r="M181" s="23"/>
      <c r="N181" s="23"/>
      <c r="O181" s="23"/>
      <c r="P181" s="23"/>
      <c r="Q181" s="22" t="s">
        <v>1783</v>
      </c>
      <c r="R181" s="22" t="s">
        <v>1784</v>
      </c>
      <c r="S181" s="22" t="s">
        <v>1785</v>
      </c>
      <c r="T181" s="22" t="s">
        <v>813</v>
      </c>
      <c r="U181" s="22" t="s">
        <v>1786</v>
      </c>
      <c r="V181" s="26" t="s">
        <v>284</v>
      </c>
      <c r="W181" s="27" t="s">
        <v>1787</v>
      </c>
      <c r="X181" s="26" t="s">
        <v>457</v>
      </c>
      <c r="Y181" s="23"/>
      <c r="Z181" s="28"/>
      <c r="AA181" s="23"/>
      <c r="AB181" s="23" t="str">
        <f>IFERROR(__xludf.DUMMYFUNCTION("IF(
ISNUMBER(MATCH(
C181,
IMPORTRANGE(""https://docs.google.com/spreadsheets/d/1yTh1ELC33JHYOeEdgIiEclxPRyh0zOKtlawDltfUay8"",""'Champions'!A:A""),
0
)),
""Outreach Conducted"",
"""")"),"")</f>
        <v/>
      </c>
      <c r="AC181" s="23"/>
      <c r="AD181" s="23"/>
      <c r="AE181" s="23"/>
      <c r="AF181" s="23"/>
      <c r="AG181" s="23"/>
      <c r="AH181" s="23"/>
      <c r="AI181" s="23"/>
      <c r="AJ181" s="23"/>
      <c r="AK181" s="23"/>
      <c r="AL181" s="23"/>
    </row>
    <row r="182" hidden="1">
      <c r="A182" s="22" t="s">
        <v>1788</v>
      </c>
      <c r="B182" s="22" t="s">
        <v>1789</v>
      </c>
      <c r="C182" s="23" t="str">
        <f t="shared" si="1"/>
        <v>John Mix</v>
      </c>
      <c r="D182" s="22">
        <v>1.6319217959E10</v>
      </c>
      <c r="E182" s="29" t="s">
        <v>1790</v>
      </c>
      <c r="F182" s="22" t="s">
        <v>248</v>
      </c>
      <c r="G182" s="22">
        <v>577.0</v>
      </c>
      <c r="H182" s="22">
        <f t="array" ref="H182">IFERROR(INDEX('Hub CPC 226'!A:A, MATCH(C182, 'Hub CPC 226'!B:B, 0)), "")</f>
        <v>189</v>
      </c>
      <c r="I182" s="22">
        <f t="array" ref="I182">IFERROR(INDEX('Hub Users 226'!A:A, MATCH(C182, 'Hub Users 226'!B:B, 0)), "")</f>
        <v>209</v>
      </c>
      <c r="J182" s="22" t="s">
        <v>269</v>
      </c>
      <c r="K182" s="23" t="s">
        <v>1791</v>
      </c>
      <c r="L182" s="25">
        <v>44554.31458333333</v>
      </c>
      <c r="M182" s="28">
        <v>2.0</v>
      </c>
      <c r="N182" s="28">
        <v>8.0</v>
      </c>
      <c r="O182" s="28">
        <v>11.0</v>
      </c>
      <c r="P182" s="31"/>
      <c r="Q182" s="22" t="s">
        <v>1792</v>
      </c>
      <c r="R182" s="22" t="s">
        <v>271</v>
      </c>
      <c r="S182" s="22" t="s">
        <v>1793</v>
      </c>
      <c r="T182" s="22" t="s">
        <v>272</v>
      </c>
      <c r="U182" s="22" t="s">
        <v>1794</v>
      </c>
      <c r="V182" s="26" t="s">
        <v>507</v>
      </c>
      <c r="W182" s="27" t="s">
        <v>1795</v>
      </c>
      <c r="X182" s="26" t="s">
        <v>1796</v>
      </c>
      <c r="Y182" s="23"/>
      <c r="Z182" s="28"/>
      <c r="AA182" s="23"/>
      <c r="AB182" s="23" t="str">
        <f>IFERROR(__xludf.DUMMYFUNCTION("IF(
ISNUMBER(MATCH(
C182,
IMPORTRANGE(""https://docs.google.com/spreadsheets/d/1yTh1ELC33JHYOeEdgIiEclxPRyh0zOKtlawDltfUay8"",""'Champions'!A:A""),
0
)),
""Outreach Conducted"",
"""")"),"")</f>
        <v/>
      </c>
      <c r="AC182" s="23"/>
      <c r="AD182" s="23"/>
      <c r="AE182" s="23"/>
      <c r="AF182" s="23"/>
      <c r="AG182" s="23"/>
      <c r="AH182" s="23"/>
      <c r="AI182" s="23"/>
      <c r="AJ182" s="23"/>
      <c r="AK182" s="23"/>
      <c r="AL182" s="23"/>
    </row>
    <row r="183" hidden="1">
      <c r="A183" s="22" t="s">
        <v>1797</v>
      </c>
      <c r="B183" s="22" t="s">
        <v>1798</v>
      </c>
      <c r="C183" s="23" t="str">
        <f t="shared" si="1"/>
        <v>Joshua Foster</v>
      </c>
      <c r="D183" s="22" t="s">
        <v>1799</v>
      </c>
      <c r="E183" s="29" t="s">
        <v>1800</v>
      </c>
      <c r="F183" s="22" t="s">
        <v>238</v>
      </c>
      <c r="G183" s="22">
        <v>559.0</v>
      </c>
      <c r="H183" s="22">
        <f t="array" ref="H183">IFERROR(INDEX('Hub CPC 226'!A:A, MATCH(C183, 'Hub CPC 226'!B:B, 0)), "")</f>
        <v>190</v>
      </c>
      <c r="I183" s="22">
        <f t="array" ref="I183">IFERROR(INDEX('Hub Users 226'!A:A, MATCH(C183, 'Hub Users 226'!B:B, 0)), "")</f>
        <v>210</v>
      </c>
      <c r="J183" s="22" t="s">
        <v>407</v>
      </c>
      <c r="K183" s="23" t="s">
        <v>1801</v>
      </c>
      <c r="L183" s="25">
        <v>44531.39791666667</v>
      </c>
      <c r="M183" s="23"/>
      <c r="N183" s="23"/>
      <c r="O183" s="23"/>
      <c r="P183" s="23"/>
      <c r="Q183" s="22" t="s">
        <v>1802</v>
      </c>
      <c r="R183" s="22" t="s">
        <v>1803</v>
      </c>
      <c r="S183" s="22" t="s">
        <v>1804</v>
      </c>
      <c r="T183" s="22" t="s">
        <v>1805</v>
      </c>
      <c r="U183" s="22" t="s">
        <v>1806</v>
      </c>
      <c r="V183" s="26" t="s">
        <v>1807</v>
      </c>
      <c r="W183" s="27" t="s">
        <v>1808</v>
      </c>
      <c r="X183" s="26" t="s">
        <v>1809</v>
      </c>
      <c r="Y183" s="23"/>
      <c r="Z183" s="28"/>
      <c r="AA183" s="23"/>
      <c r="AB183" s="23" t="str">
        <f>IFERROR(__xludf.DUMMYFUNCTION("IF(
ISNUMBER(MATCH(
C183,
IMPORTRANGE(""https://docs.google.com/spreadsheets/d/1yTh1ELC33JHYOeEdgIiEclxPRyh0zOKtlawDltfUay8"",""'Champions'!A:A""),
0
)),
""Outreach Conducted"",
"""")"),"")</f>
        <v/>
      </c>
      <c r="AC183" s="23"/>
      <c r="AD183" s="23"/>
      <c r="AE183" s="23"/>
      <c r="AF183" s="23"/>
      <c r="AG183" s="23"/>
      <c r="AH183" s="23"/>
      <c r="AI183" s="23"/>
      <c r="AJ183" s="23"/>
      <c r="AK183" s="23"/>
      <c r="AL183" s="23"/>
    </row>
    <row r="184" hidden="1">
      <c r="A184" s="22" t="s">
        <v>1810</v>
      </c>
      <c r="B184" s="22" t="s">
        <v>1811</v>
      </c>
      <c r="C184" s="23" t="str">
        <f t="shared" si="1"/>
        <v>Josh Harris</v>
      </c>
      <c r="D184" s="22">
        <v>1.5418640005E10</v>
      </c>
      <c r="E184" s="29" t="s">
        <v>1812</v>
      </c>
      <c r="F184" s="22" t="s">
        <v>248</v>
      </c>
      <c r="G184" s="22">
        <v>589.0</v>
      </c>
      <c r="H184" s="22">
        <f t="array" ref="H184">IFERROR(INDEX('Hub CPC 226'!A:A, MATCH(C184, 'Hub CPC 226'!B:B, 0)), "")</f>
        <v>191</v>
      </c>
      <c r="I184" s="22">
        <f t="array" ref="I184">IFERROR(INDEX('Hub Users 226'!A:A, MATCH(C184, 'Hub Users 226'!B:B, 0)), "")</f>
        <v>211</v>
      </c>
      <c r="J184" s="22" t="s">
        <v>239</v>
      </c>
      <c r="K184" s="23" t="s">
        <v>1813</v>
      </c>
      <c r="L184" s="25">
        <v>44569.48541666667</v>
      </c>
      <c r="M184" s="23"/>
      <c r="N184" s="23"/>
      <c r="O184" s="23"/>
      <c r="P184" s="23"/>
      <c r="Q184" s="22" t="s">
        <v>1814</v>
      </c>
      <c r="R184" s="22" t="s">
        <v>974</v>
      </c>
      <c r="S184" s="22" t="s">
        <v>974</v>
      </c>
      <c r="T184" s="22" t="s">
        <v>252</v>
      </c>
      <c r="U184" s="22" t="s">
        <v>1815</v>
      </c>
      <c r="V184" s="26" t="s">
        <v>284</v>
      </c>
      <c r="W184" s="27" t="s">
        <v>1816</v>
      </c>
      <c r="X184" s="26" t="s">
        <v>1817</v>
      </c>
      <c r="Y184" s="23"/>
      <c r="Z184" s="28"/>
      <c r="AA184" s="23"/>
      <c r="AB184" s="23" t="str">
        <f>IFERROR(__xludf.DUMMYFUNCTION("IF(
ISNUMBER(MATCH(
C184,
IMPORTRANGE(""https://docs.google.com/spreadsheets/d/1yTh1ELC33JHYOeEdgIiEclxPRyh0zOKtlawDltfUay8"",""'Champions'!A:A""),
0
)),
""Outreach Conducted"",
"""")"),"")</f>
        <v/>
      </c>
      <c r="AC184" s="23"/>
      <c r="AD184" s="23"/>
      <c r="AE184" s="23"/>
      <c r="AF184" s="23"/>
      <c r="AG184" s="23"/>
      <c r="AH184" s="23"/>
      <c r="AI184" s="23"/>
      <c r="AJ184" s="23"/>
      <c r="AK184" s="23"/>
      <c r="AL184" s="23"/>
    </row>
    <row r="185" hidden="1">
      <c r="A185" s="22" t="s">
        <v>1818</v>
      </c>
      <c r="B185" s="22" t="s">
        <v>1819</v>
      </c>
      <c r="C185" s="23" t="str">
        <f t="shared" si="1"/>
        <v>Karen Tan</v>
      </c>
      <c r="D185" s="22" t="s">
        <v>1820</v>
      </c>
      <c r="E185" s="29" t="s">
        <v>1821</v>
      </c>
      <c r="F185" s="22" t="s">
        <v>238</v>
      </c>
      <c r="G185" s="22">
        <v>119.0</v>
      </c>
      <c r="H185" s="22">
        <f t="array" ref="H185">IFERROR(INDEX('Hub CPC 226'!A:A, MATCH(C185, 'Hub CPC 226'!B:B, 0)), "")</f>
        <v>192</v>
      </c>
      <c r="I185" s="22">
        <f t="array" ref="I185">IFERROR(INDEX('Hub Users 226'!A:A, MATCH(C185, 'Hub Users 226'!B:B, 0)), "")</f>
        <v>212</v>
      </c>
      <c r="J185" s="22" t="s">
        <v>240</v>
      </c>
      <c r="K185" s="28" t="s">
        <v>1822</v>
      </c>
      <c r="L185" s="25">
        <v>43500.631944444445</v>
      </c>
      <c r="M185" s="23"/>
      <c r="N185" s="23"/>
      <c r="O185" s="23"/>
      <c r="P185" s="23"/>
      <c r="Q185" s="22" t="s">
        <v>1349</v>
      </c>
      <c r="R185" s="22" t="s">
        <v>1349</v>
      </c>
      <c r="S185" s="22" t="s">
        <v>1349</v>
      </c>
      <c r="T185" s="22" t="s">
        <v>252</v>
      </c>
      <c r="U185" s="22" t="s">
        <v>1823</v>
      </c>
      <c r="V185" s="23"/>
      <c r="W185" s="23"/>
      <c r="X185" s="23"/>
      <c r="Y185" s="23"/>
      <c r="Z185" s="28"/>
      <c r="AA185" s="23"/>
      <c r="AB185" s="23" t="str">
        <f>IFERROR(__xludf.DUMMYFUNCTION("IF(
ISNUMBER(MATCH(
C185,
IMPORTRANGE(""https://docs.google.com/spreadsheets/d/1yTh1ELC33JHYOeEdgIiEclxPRyh0zOKtlawDltfUay8"",""'Champions'!A:A""),
0
)),
""Outreach Conducted"",
"""")"),"")</f>
        <v/>
      </c>
      <c r="AC185" s="23"/>
      <c r="AD185" s="23"/>
      <c r="AE185" s="23"/>
      <c r="AF185" s="23"/>
      <c r="AG185" s="23"/>
      <c r="AH185" s="23"/>
      <c r="AI185" s="23"/>
      <c r="AJ185" s="23"/>
      <c r="AK185" s="23"/>
      <c r="AL185" s="23"/>
    </row>
    <row r="186" hidden="1">
      <c r="A186" s="22" t="s">
        <v>1824</v>
      </c>
      <c r="B186" s="22" t="s">
        <v>1825</v>
      </c>
      <c r="C186" s="23" t="str">
        <f t="shared" si="1"/>
        <v>Janelle Amoako</v>
      </c>
      <c r="D186" s="22" t="s">
        <v>1826</v>
      </c>
      <c r="E186" s="29" t="s">
        <v>1827</v>
      </c>
      <c r="F186" s="22" t="s">
        <v>238</v>
      </c>
      <c r="G186" s="22">
        <v>288.0</v>
      </c>
      <c r="H186" s="22">
        <f t="array" ref="H186">IFERROR(INDEX('Hub CPC 226'!A:A, MATCH(C186, 'Hub CPC 226'!B:B, 0)), "")</f>
        <v>193</v>
      </c>
      <c r="I186" s="22">
        <f t="array" ref="I186">IFERROR(INDEX('Hub Users 226'!A:A, MATCH(C186, 'Hub Users 226'!B:B, 0)), "")</f>
        <v>213</v>
      </c>
      <c r="J186" s="22" t="s">
        <v>240</v>
      </c>
      <c r="K186" s="23" t="s">
        <v>1828</v>
      </c>
      <c r="L186" s="25">
        <v>43777.45277777778</v>
      </c>
      <c r="M186" s="23"/>
      <c r="N186" s="23"/>
      <c r="O186" s="23"/>
      <c r="P186" s="23"/>
      <c r="Q186" s="22" t="s">
        <v>1381</v>
      </c>
      <c r="R186" s="22" t="s">
        <v>1370</v>
      </c>
      <c r="S186" s="22" t="s">
        <v>1371</v>
      </c>
      <c r="T186" s="22" t="s">
        <v>1372</v>
      </c>
      <c r="U186" s="22" t="s">
        <v>1829</v>
      </c>
      <c r="V186" s="23"/>
      <c r="W186" s="23"/>
      <c r="X186" s="23"/>
      <c r="Y186" s="23"/>
      <c r="Z186" s="28"/>
      <c r="AA186" s="23"/>
      <c r="AB186" s="23" t="str">
        <f>IFERROR(__xludf.DUMMYFUNCTION("IF(
ISNUMBER(MATCH(
C186,
IMPORTRANGE(""https://docs.google.com/spreadsheets/d/1yTh1ELC33JHYOeEdgIiEclxPRyh0zOKtlawDltfUay8"",""'Champions'!A:A""),
0
)),
""Outreach Conducted"",
"""")"),"")</f>
        <v/>
      </c>
      <c r="AC186" s="23"/>
      <c r="AD186" s="23"/>
      <c r="AE186" s="23"/>
      <c r="AF186" s="23"/>
      <c r="AG186" s="23"/>
      <c r="AH186" s="23"/>
      <c r="AI186" s="23"/>
      <c r="AJ186" s="23"/>
      <c r="AK186" s="23"/>
      <c r="AL186" s="23"/>
    </row>
    <row r="187" hidden="1">
      <c r="A187" s="22" t="s">
        <v>925</v>
      </c>
      <c r="B187" s="22" t="s">
        <v>1830</v>
      </c>
      <c r="C187" s="23" t="str">
        <f t="shared" si="1"/>
        <v>Jennifer Rosen</v>
      </c>
      <c r="D187" s="22">
        <v>1.9179074518E10</v>
      </c>
      <c r="E187" s="29" t="s">
        <v>1831</v>
      </c>
      <c r="F187" s="22" t="s">
        <v>248</v>
      </c>
      <c r="G187" s="22">
        <v>653.0</v>
      </c>
      <c r="H187" s="22">
        <f t="array" ref="H187">IFERROR(INDEX('Hub CPC 226'!A:A, MATCH(C187, 'Hub CPC 226'!B:B, 0)), "")</f>
        <v>194</v>
      </c>
      <c r="I187" s="22">
        <f t="array" ref="I187">IFERROR(INDEX('Hub Users 226'!A:A, MATCH(C187, 'Hub Users 226'!B:B, 0)), "")</f>
        <v>214</v>
      </c>
      <c r="J187" s="22" t="s">
        <v>302</v>
      </c>
      <c r="K187" s="23" t="s">
        <v>1832</v>
      </c>
      <c r="L187" s="25">
        <v>44690.76944444444</v>
      </c>
      <c r="M187" s="28">
        <v>4.0</v>
      </c>
      <c r="N187" s="28">
        <v>9.0</v>
      </c>
      <c r="O187" s="28">
        <v>20.0</v>
      </c>
      <c r="P187" s="31"/>
      <c r="Q187" s="22" t="s">
        <v>1833</v>
      </c>
      <c r="R187" s="22" t="s">
        <v>454</v>
      </c>
      <c r="S187" s="22" t="s">
        <v>1834</v>
      </c>
      <c r="T187" s="22" t="s">
        <v>272</v>
      </c>
      <c r="U187" s="22" t="s">
        <v>1835</v>
      </c>
      <c r="V187" s="26" t="s">
        <v>284</v>
      </c>
      <c r="W187" s="27" t="s">
        <v>1836</v>
      </c>
      <c r="X187" s="26" t="s">
        <v>457</v>
      </c>
      <c r="Y187" s="23"/>
      <c r="Z187" s="28"/>
      <c r="AA187" s="23"/>
      <c r="AB187" s="23" t="str">
        <f>IFERROR(__xludf.DUMMYFUNCTION("IF(
ISNUMBER(MATCH(
C187,
IMPORTRANGE(""https://docs.google.com/spreadsheets/d/1yTh1ELC33JHYOeEdgIiEclxPRyh0zOKtlawDltfUay8"",""'Champions'!A:A""),
0
)),
""Outreach Conducted"",
"""")"),"")</f>
        <v/>
      </c>
      <c r="AC187" s="23"/>
      <c r="AD187" s="23"/>
      <c r="AE187" s="23"/>
      <c r="AF187" s="23"/>
      <c r="AG187" s="23"/>
      <c r="AH187" s="23"/>
      <c r="AI187" s="23"/>
      <c r="AJ187" s="23"/>
      <c r="AK187" s="23"/>
      <c r="AL187" s="23"/>
    </row>
    <row r="188" hidden="1">
      <c r="A188" s="22" t="s">
        <v>1837</v>
      </c>
      <c r="B188" s="22" t="s">
        <v>487</v>
      </c>
      <c r="C188" s="23" t="str">
        <f t="shared" si="1"/>
        <v>Jigar Patel</v>
      </c>
      <c r="D188" s="22">
        <v>1.267328742E10</v>
      </c>
      <c r="E188" s="29" t="s">
        <v>1838</v>
      </c>
      <c r="F188" s="22" t="s">
        <v>248</v>
      </c>
      <c r="G188" s="22">
        <v>518.0</v>
      </c>
      <c r="H188" s="22">
        <f t="array" ref="H188">IFERROR(INDEX('Hub CPC 226'!A:A, MATCH(C188, 'Hub CPC 226'!B:B, 0)), "")</f>
        <v>195</v>
      </c>
      <c r="I188" s="22">
        <f t="array" ref="I188">IFERROR(INDEX('Hub Users 226'!A:A, MATCH(C188, 'Hub Users 226'!B:B, 0)), "")</f>
        <v>215</v>
      </c>
      <c r="J188" s="22" t="s">
        <v>425</v>
      </c>
      <c r="K188" s="28" t="s">
        <v>1839</v>
      </c>
      <c r="L188" s="25">
        <v>44488.67569444444</v>
      </c>
      <c r="M188" s="23"/>
      <c r="N188" s="23"/>
      <c r="O188" s="23"/>
      <c r="P188" s="23"/>
      <c r="Q188" s="22" t="s">
        <v>1840</v>
      </c>
      <c r="R188" s="22" t="s">
        <v>1841</v>
      </c>
      <c r="S188" s="22" t="s">
        <v>1842</v>
      </c>
      <c r="T188" s="22" t="s">
        <v>381</v>
      </c>
      <c r="U188" s="22" t="s">
        <v>1843</v>
      </c>
      <c r="V188" s="26" t="s">
        <v>507</v>
      </c>
      <c r="W188" s="27" t="s">
        <v>1844</v>
      </c>
      <c r="X188" s="26" t="s">
        <v>1845</v>
      </c>
      <c r="Y188" s="23"/>
      <c r="Z188" s="28"/>
      <c r="AA188" s="23"/>
      <c r="AB188" s="23" t="str">
        <f>IFERROR(__xludf.DUMMYFUNCTION("IF(
ISNUMBER(MATCH(
C188,
IMPORTRANGE(""https://docs.google.com/spreadsheets/d/1yTh1ELC33JHYOeEdgIiEclxPRyh0zOKtlawDltfUay8"",""'Champions'!A:A""),
0
)),
""Outreach Conducted"",
"""")"),"")</f>
        <v/>
      </c>
      <c r="AC188" s="23"/>
      <c r="AD188" s="23"/>
      <c r="AE188" s="23"/>
      <c r="AF188" s="23"/>
      <c r="AG188" s="23"/>
      <c r="AH188" s="23"/>
      <c r="AI188" s="23"/>
      <c r="AJ188" s="23"/>
      <c r="AK188" s="23"/>
      <c r="AL188" s="23"/>
    </row>
    <row r="189" hidden="1">
      <c r="A189" s="22" t="s">
        <v>1846</v>
      </c>
      <c r="B189" s="22" t="s">
        <v>1847</v>
      </c>
      <c r="C189" s="23" t="str">
        <f t="shared" si="1"/>
        <v>Joanna Sun</v>
      </c>
      <c r="D189" s="22">
        <v>4.084820838E9</v>
      </c>
      <c r="E189" s="29" t="s">
        <v>1848</v>
      </c>
      <c r="F189" s="22" t="s">
        <v>248</v>
      </c>
      <c r="G189" s="22">
        <v>346.0</v>
      </c>
      <c r="H189" s="22">
        <f t="array" ref="H189">IFERROR(INDEX('Hub CPC 226'!A:A, MATCH(C189, 'Hub CPC 226'!B:B, 0)), "")</f>
        <v>196</v>
      </c>
      <c r="I189" s="22">
        <f t="array" ref="I189">IFERROR(INDEX('Hub Users 226'!A:A, MATCH(C189, 'Hub Users 226'!B:B, 0)), "")</f>
        <v>216</v>
      </c>
      <c r="J189" s="22" t="s">
        <v>260</v>
      </c>
      <c r="K189" s="28" t="s">
        <v>1849</v>
      </c>
      <c r="L189" s="25">
        <v>44069.799305555556</v>
      </c>
      <c r="M189" s="23"/>
      <c r="N189" s="23"/>
      <c r="O189" s="23"/>
      <c r="P189" s="23"/>
      <c r="Q189" s="22" t="s">
        <v>1850</v>
      </c>
      <c r="R189" s="22" t="s">
        <v>1851</v>
      </c>
      <c r="S189" s="22" t="s">
        <v>1349</v>
      </c>
      <c r="T189" s="22" t="s">
        <v>252</v>
      </c>
      <c r="U189" s="22" t="s">
        <v>1852</v>
      </c>
      <c r="V189" s="23"/>
      <c r="W189" s="23"/>
      <c r="X189" s="23"/>
      <c r="Y189" s="23"/>
      <c r="Z189" s="28"/>
      <c r="AA189" s="23"/>
      <c r="AB189" s="23" t="str">
        <f>IFERROR(__xludf.DUMMYFUNCTION("IF(
ISNUMBER(MATCH(
C189,
IMPORTRANGE(""https://docs.google.com/spreadsheets/d/1yTh1ELC33JHYOeEdgIiEclxPRyh0zOKtlawDltfUay8"",""'Champions'!A:A""),
0
)),
""Outreach Conducted"",
"""")"),"")</f>
        <v/>
      </c>
      <c r="AC189" s="23"/>
      <c r="AD189" s="23"/>
      <c r="AE189" s="23"/>
      <c r="AF189" s="23"/>
      <c r="AG189" s="23"/>
      <c r="AH189" s="23"/>
      <c r="AI189" s="23"/>
      <c r="AJ189" s="23"/>
      <c r="AK189" s="23"/>
      <c r="AL189" s="23"/>
    </row>
    <row r="190" hidden="1">
      <c r="A190" s="22" t="s">
        <v>1853</v>
      </c>
      <c r="B190" s="22" t="s">
        <v>1854</v>
      </c>
      <c r="C190" s="23" t="str">
        <f t="shared" si="1"/>
        <v>Joy Shri Das</v>
      </c>
      <c r="D190" s="22" t="s">
        <v>1855</v>
      </c>
      <c r="E190" s="29" t="s">
        <v>1856</v>
      </c>
      <c r="F190" s="22" t="s">
        <v>248</v>
      </c>
      <c r="G190" s="22">
        <v>99.0</v>
      </c>
      <c r="H190" s="22">
        <f t="array" ref="H190">IFERROR(INDEX('Hub CPC 226'!A:A, MATCH(C190, 'Hub CPC 226'!B:B, 0)), "")</f>
        <v>197</v>
      </c>
      <c r="I190" s="22">
        <f t="array" ref="I190">IFERROR(INDEX('Hub Users 226'!A:A, MATCH(C190, 'Hub Users 226'!B:B, 0)), "")</f>
        <v>217</v>
      </c>
      <c r="J190" s="22" t="s">
        <v>240</v>
      </c>
      <c r="K190" s="23" t="s">
        <v>1857</v>
      </c>
      <c r="L190" s="25">
        <v>43445.39513888889</v>
      </c>
      <c r="M190" s="28">
        <v>19.0</v>
      </c>
      <c r="N190" s="28">
        <v>52.0</v>
      </c>
      <c r="O190" s="28">
        <v>125.0</v>
      </c>
      <c r="P190" s="31"/>
      <c r="Q190" s="22" t="s">
        <v>1858</v>
      </c>
      <c r="R190" s="22" t="s">
        <v>1859</v>
      </c>
      <c r="S190" s="22" t="s">
        <v>1860</v>
      </c>
      <c r="T190" s="22" t="s">
        <v>272</v>
      </c>
      <c r="U190" s="22" t="s">
        <v>1861</v>
      </c>
      <c r="V190" s="26" t="s">
        <v>360</v>
      </c>
      <c r="W190" s="27" t="s">
        <v>1862</v>
      </c>
      <c r="X190" s="26" t="s">
        <v>1863</v>
      </c>
      <c r="Y190" s="23"/>
      <c r="Z190" s="28"/>
      <c r="AA190" s="23"/>
      <c r="AB190" s="23" t="str">
        <f>IFERROR(__xludf.DUMMYFUNCTION("IF(
ISNUMBER(MATCH(
C190,
IMPORTRANGE(""https://docs.google.com/spreadsheets/d/1yTh1ELC33JHYOeEdgIiEclxPRyh0zOKtlawDltfUay8"",""'Champions'!A:A""),
0
)),
""Outreach Conducted"",
"""")"),"")</f>
        <v/>
      </c>
      <c r="AC190" s="23"/>
      <c r="AD190" s="23"/>
      <c r="AE190" s="23"/>
      <c r="AF190" s="23"/>
      <c r="AG190" s="23"/>
      <c r="AH190" s="23"/>
      <c r="AI190" s="23"/>
      <c r="AJ190" s="23"/>
      <c r="AK190" s="23"/>
      <c r="AL190" s="23"/>
    </row>
    <row r="191" hidden="1">
      <c r="A191" s="22" t="s">
        <v>1864</v>
      </c>
      <c r="B191" s="22" t="s">
        <v>1865</v>
      </c>
      <c r="C191" s="23" t="str">
        <f t="shared" si="1"/>
        <v>Julia Golkin</v>
      </c>
      <c r="D191" s="22" t="s">
        <v>1866</v>
      </c>
      <c r="E191" s="29" t="s">
        <v>1867</v>
      </c>
      <c r="F191" s="22" t="s">
        <v>248</v>
      </c>
      <c r="G191" s="22">
        <v>154.0</v>
      </c>
      <c r="H191" s="22">
        <f t="array" ref="H191">IFERROR(INDEX('Hub CPC 226'!A:A, MATCH(C191, 'Hub CPC 226'!B:B, 0)), "")</f>
        <v>198</v>
      </c>
      <c r="I191" s="22">
        <f t="array" ref="I191">IFERROR(INDEX('Hub Users 226'!A:A, MATCH(C191, 'Hub Users 226'!B:B, 0)), "")</f>
        <v>218</v>
      </c>
      <c r="J191" s="22" t="s">
        <v>240</v>
      </c>
      <c r="K191" s="23" t="s">
        <v>1868</v>
      </c>
      <c r="L191" s="25">
        <v>43590.6375</v>
      </c>
      <c r="M191" s="23"/>
      <c r="N191" s="23"/>
      <c r="O191" s="23"/>
      <c r="P191" s="23"/>
      <c r="Q191" s="22" t="s">
        <v>1869</v>
      </c>
      <c r="R191" s="22" t="s">
        <v>966</v>
      </c>
      <c r="S191" s="22" t="s">
        <v>380</v>
      </c>
      <c r="T191" s="22" t="s">
        <v>381</v>
      </c>
      <c r="U191" s="22" t="s">
        <v>1870</v>
      </c>
      <c r="V191" s="26" t="s">
        <v>360</v>
      </c>
      <c r="W191" s="27" t="s">
        <v>1871</v>
      </c>
      <c r="X191" s="26" t="s">
        <v>619</v>
      </c>
      <c r="Y191" s="23"/>
      <c r="Z191" s="28"/>
      <c r="AA191" s="23"/>
      <c r="AB191" s="23" t="str">
        <f>IFERROR(__xludf.DUMMYFUNCTION("IF(
ISNUMBER(MATCH(
C191,
IMPORTRANGE(""https://docs.google.com/spreadsheets/d/1yTh1ELC33JHYOeEdgIiEclxPRyh0zOKtlawDltfUay8"",""'Champions'!A:A""),
0
)),
""Outreach Conducted"",
"""")"),"")</f>
        <v/>
      </c>
      <c r="AC191" s="23"/>
      <c r="AD191" s="23"/>
      <c r="AE191" s="23"/>
      <c r="AF191" s="23"/>
      <c r="AG191" s="23"/>
      <c r="AH191" s="23"/>
      <c r="AI191" s="23"/>
      <c r="AJ191" s="23"/>
      <c r="AK191" s="23"/>
      <c r="AL191" s="23"/>
    </row>
    <row r="192" hidden="1">
      <c r="A192" s="22" t="s">
        <v>1872</v>
      </c>
      <c r="B192" s="22" t="s">
        <v>1873</v>
      </c>
      <c r="C192" s="23" t="str">
        <f t="shared" si="1"/>
        <v>Jasmine Zheng</v>
      </c>
      <c r="D192" s="22" t="s">
        <v>1874</v>
      </c>
      <c r="E192" s="29" t="s">
        <v>1875</v>
      </c>
      <c r="F192" s="22" t="s">
        <v>248</v>
      </c>
      <c r="G192" s="22">
        <v>328.0</v>
      </c>
      <c r="H192" s="22">
        <f t="array" ref="H192">IFERROR(INDEX('Hub CPC 226'!A:A, MATCH(C192, 'Hub CPC 226'!B:B, 0)), "")</f>
        <v>200</v>
      </c>
      <c r="I192" s="22">
        <f t="array" ref="I192">IFERROR(INDEX('Hub Users 226'!A:A, MATCH(C192, 'Hub Users 226'!B:B, 0)), "")</f>
        <v>219</v>
      </c>
      <c r="J192" s="22" t="s">
        <v>240</v>
      </c>
      <c r="K192" s="23" t="s">
        <v>1876</v>
      </c>
      <c r="L192" s="25">
        <v>43996.5</v>
      </c>
      <c r="M192" s="28"/>
      <c r="N192" s="28"/>
      <c r="O192" s="28"/>
      <c r="P192" s="31"/>
      <c r="Q192" s="22" t="s">
        <v>1875</v>
      </c>
      <c r="R192" s="22" t="s">
        <v>293</v>
      </c>
      <c r="S192" s="22" t="s">
        <v>271</v>
      </c>
      <c r="T192" s="22" t="s">
        <v>272</v>
      </c>
      <c r="U192" s="22" t="s">
        <v>1877</v>
      </c>
      <c r="V192" s="26" t="s">
        <v>360</v>
      </c>
      <c r="W192" s="27" t="s">
        <v>1878</v>
      </c>
      <c r="X192" s="26" t="s">
        <v>1879</v>
      </c>
      <c r="Y192" s="23"/>
      <c r="Z192" s="28"/>
      <c r="AA192" s="23"/>
      <c r="AB192" s="23" t="str">
        <f>IFERROR(__xludf.DUMMYFUNCTION("IF(
ISNUMBER(MATCH(
C192,
IMPORTRANGE(""https://docs.google.com/spreadsheets/d/1yTh1ELC33JHYOeEdgIiEclxPRyh0zOKtlawDltfUay8"",""'Champions'!A:A""),
0
)),
""Outreach Conducted"",
"""")"),"")</f>
        <v/>
      </c>
      <c r="AC192" s="23"/>
      <c r="AD192" s="23"/>
      <c r="AE192" s="23"/>
      <c r="AF192" s="23"/>
      <c r="AG192" s="23"/>
      <c r="AH192" s="23"/>
      <c r="AI192" s="23"/>
      <c r="AJ192" s="23"/>
      <c r="AK192" s="23"/>
      <c r="AL192" s="23"/>
    </row>
    <row r="193" hidden="1">
      <c r="A193" s="22" t="s">
        <v>1880</v>
      </c>
      <c r="B193" s="22" t="s">
        <v>1881</v>
      </c>
      <c r="C193" s="23" t="str">
        <f t="shared" si="1"/>
        <v>Kadiatou (Kady) Sylla</v>
      </c>
      <c r="D193" s="22">
        <v>1.6462013318E10</v>
      </c>
      <c r="E193" s="29" t="s">
        <v>1882</v>
      </c>
      <c r="F193" s="22" t="s">
        <v>248</v>
      </c>
      <c r="G193" s="22">
        <v>504.0</v>
      </c>
      <c r="H193" s="22">
        <f t="array" ref="H193">IFERROR(INDEX('Hub CPC 226'!A:A, MATCH(C193, 'Hub CPC 226'!B:B, 0)), "")</f>
        <v>201</v>
      </c>
      <c r="I193" s="22">
        <f t="array" ref="I193">IFERROR(INDEX('Hub Users 226'!A:A, MATCH(C193, 'Hub Users 226'!B:B, 0)), "")</f>
        <v>220</v>
      </c>
      <c r="J193" s="22" t="s">
        <v>290</v>
      </c>
      <c r="K193" s="23" t="s">
        <v>1883</v>
      </c>
      <c r="L193" s="25">
        <v>44470.825</v>
      </c>
      <c r="M193" s="28">
        <v>13.0</v>
      </c>
      <c r="N193" s="28">
        <v>30.0</v>
      </c>
      <c r="O193" s="28">
        <v>70.0</v>
      </c>
      <c r="P193" s="32">
        <v>9.0</v>
      </c>
      <c r="Q193" s="22" t="s">
        <v>1884</v>
      </c>
      <c r="R193" s="22" t="s">
        <v>454</v>
      </c>
      <c r="S193" s="22" t="s">
        <v>271</v>
      </c>
      <c r="T193" s="22" t="s">
        <v>272</v>
      </c>
      <c r="U193" s="22" t="s">
        <v>1885</v>
      </c>
      <c r="V193" s="26" t="s">
        <v>284</v>
      </c>
      <c r="W193" s="27" t="s">
        <v>1886</v>
      </c>
      <c r="X193" s="26" t="s">
        <v>1887</v>
      </c>
      <c r="Y193" s="23"/>
      <c r="Z193" s="28"/>
      <c r="AA193" s="23"/>
      <c r="AB193" s="23" t="str">
        <f>IFERROR(__xludf.DUMMYFUNCTION("IF(
ISNUMBER(MATCH(
C193,
IMPORTRANGE(""https://docs.google.com/spreadsheets/d/1yTh1ELC33JHYOeEdgIiEclxPRyh0zOKtlawDltfUay8"",""'Champions'!A:A""),
0
)),
""Outreach Conducted"",
"""")"),"")</f>
        <v/>
      </c>
      <c r="AC193" s="23"/>
      <c r="AD193" s="23"/>
      <c r="AE193" s="23"/>
      <c r="AF193" s="23"/>
      <c r="AG193" s="23"/>
      <c r="AH193" s="23"/>
      <c r="AI193" s="23"/>
      <c r="AJ193" s="23"/>
      <c r="AK193" s="23"/>
      <c r="AL193" s="23"/>
    </row>
    <row r="194" hidden="1">
      <c r="A194" s="22" t="s">
        <v>1888</v>
      </c>
      <c r="B194" s="22" t="s">
        <v>1889</v>
      </c>
      <c r="C194" s="23" t="str">
        <f t="shared" si="1"/>
        <v>Kapila Monga</v>
      </c>
      <c r="D194" s="22" t="s">
        <v>1890</v>
      </c>
      <c r="E194" s="29" t="s">
        <v>1891</v>
      </c>
      <c r="F194" s="22" t="s">
        <v>248</v>
      </c>
      <c r="G194" s="22">
        <v>155.0</v>
      </c>
      <c r="H194" s="22">
        <f t="array" ref="H194">IFERROR(INDEX('Hub CPC 226'!A:A, MATCH(C194, 'Hub CPC 226'!B:B, 0)), "")</f>
        <v>202</v>
      </c>
      <c r="I194" s="22">
        <f t="array" ref="I194">IFERROR(INDEX('Hub Users 226'!A:A, MATCH(C194, 'Hub Users 226'!B:B, 0)), "")</f>
        <v>221</v>
      </c>
      <c r="J194" s="22" t="s">
        <v>240</v>
      </c>
      <c r="K194" s="28" t="s">
        <v>1892</v>
      </c>
      <c r="L194" s="25">
        <v>43590.6375</v>
      </c>
      <c r="M194" s="23"/>
      <c r="N194" s="23"/>
      <c r="O194" s="23"/>
      <c r="P194" s="23"/>
      <c r="Q194" s="22" t="s">
        <v>1893</v>
      </c>
      <c r="R194" s="22" t="s">
        <v>1894</v>
      </c>
      <c r="S194" s="22" t="s">
        <v>1895</v>
      </c>
      <c r="T194" s="22" t="s">
        <v>241</v>
      </c>
      <c r="U194" s="22" t="s">
        <v>1896</v>
      </c>
      <c r="V194" s="23"/>
      <c r="W194" s="23"/>
      <c r="X194" s="23"/>
      <c r="Y194" s="23"/>
      <c r="Z194" s="28"/>
      <c r="AA194" s="23"/>
      <c r="AB194" s="23" t="str">
        <f>IFERROR(__xludf.DUMMYFUNCTION("IF(
ISNUMBER(MATCH(
C194,
IMPORTRANGE(""https://docs.google.com/spreadsheets/d/1yTh1ELC33JHYOeEdgIiEclxPRyh0zOKtlawDltfUay8"",""'Champions'!A:A""),
0
)),
""Outreach Conducted"",
"""")"),"")</f>
        <v/>
      </c>
      <c r="AC194" s="23"/>
      <c r="AD194" s="23"/>
      <c r="AE194" s="23"/>
      <c r="AF194" s="23"/>
      <c r="AG194" s="23"/>
      <c r="AH194" s="23"/>
      <c r="AI194" s="23"/>
      <c r="AJ194" s="23"/>
      <c r="AK194" s="23"/>
      <c r="AL194" s="23"/>
    </row>
    <row r="195" hidden="1">
      <c r="A195" s="22" t="s">
        <v>1897</v>
      </c>
      <c r="B195" s="22" t="s">
        <v>1898</v>
      </c>
      <c r="C195" s="23" t="str">
        <f t="shared" si="1"/>
        <v>Karmen Leung</v>
      </c>
      <c r="D195" s="22">
        <v>7.035178847E9</v>
      </c>
      <c r="E195" s="29" t="s">
        <v>1899</v>
      </c>
      <c r="F195" s="22" t="s">
        <v>248</v>
      </c>
      <c r="G195" s="22">
        <v>9.0</v>
      </c>
      <c r="H195" s="22">
        <f t="array" ref="H195">IFERROR(INDEX('Hub CPC 226'!A:A, MATCH(C195, 'Hub CPC 226'!B:B, 0)), "")</f>
        <v>203</v>
      </c>
      <c r="I195" s="22">
        <f t="array" ref="I195">IFERROR(INDEX('Hub Users 226'!A:A, MATCH(C195, 'Hub Users 226'!B:B, 0)), "")</f>
        <v>222</v>
      </c>
      <c r="J195" s="22" t="s">
        <v>290</v>
      </c>
      <c r="K195" s="28" t="s">
        <v>1900</v>
      </c>
      <c r="L195" s="25">
        <v>43338.743055555555</v>
      </c>
      <c r="M195" s="23"/>
      <c r="N195" s="23"/>
      <c r="O195" s="23"/>
      <c r="P195" s="23"/>
      <c r="Q195" s="22" t="s">
        <v>1901</v>
      </c>
      <c r="R195" s="22" t="s">
        <v>1902</v>
      </c>
      <c r="S195" s="22" t="s">
        <v>473</v>
      </c>
      <c r="T195" s="22" t="s">
        <v>252</v>
      </c>
      <c r="U195" s="22" t="s">
        <v>604</v>
      </c>
      <c r="V195" s="26" t="s">
        <v>1903</v>
      </c>
      <c r="W195" s="27" t="s">
        <v>1904</v>
      </c>
      <c r="X195" s="26" t="s">
        <v>1905</v>
      </c>
      <c r="Y195" s="23"/>
      <c r="Z195" s="28"/>
      <c r="AA195" s="23"/>
      <c r="AB195" s="23" t="str">
        <f>IFERROR(__xludf.DUMMYFUNCTION("IF(
ISNUMBER(MATCH(
C195,
IMPORTRANGE(""https://docs.google.com/spreadsheets/d/1yTh1ELC33JHYOeEdgIiEclxPRyh0zOKtlawDltfUay8"",""'Champions'!A:A""),
0
)),
""Outreach Conducted"",
"""")"),"")</f>
        <v/>
      </c>
      <c r="AC195" s="23"/>
      <c r="AD195" s="23"/>
      <c r="AE195" s="23"/>
      <c r="AF195" s="23"/>
      <c r="AG195" s="23"/>
      <c r="AH195" s="23"/>
      <c r="AI195" s="23"/>
      <c r="AJ195" s="23"/>
      <c r="AK195" s="23"/>
      <c r="AL195" s="23"/>
    </row>
    <row r="196" hidden="1">
      <c r="A196" s="22" t="s">
        <v>1818</v>
      </c>
      <c r="B196" s="22" t="s">
        <v>1906</v>
      </c>
      <c r="C196" s="23" t="str">
        <f t="shared" si="1"/>
        <v>Karen Lynn Morcos</v>
      </c>
      <c r="D196" s="22" t="s">
        <v>1907</v>
      </c>
      <c r="E196" s="29" t="s">
        <v>1908</v>
      </c>
      <c r="F196" s="22" t="s">
        <v>238</v>
      </c>
      <c r="G196" s="22">
        <v>126.0</v>
      </c>
      <c r="H196" s="22">
        <f t="array" ref="H196">IFERROR(INDEX('Hub CPC 226'!A:A, MATCH(C196, 'Hub CPC 226'!B:B, 0)), "")</f>
        <v>204</v>
      </c>
      <c r="I196" s="22">
        <f t="array" ref="I196">IFERROR(INDEX('Hub Users 226'!A:A, MATCH(C196, 'Hub Users 226'!B:B, 0)), "")</f>
        <v>223</v>
      </c>
      <c r="J196" s="22" t="s">
        <v>240</v>
      </c>
      <c r="K196" s="23" t="s">
        <v>1909</v>
      </c>
      <c r="L196" s="25">
        <v>43510.04652777778</v>
      </c>
      <c r="M196" s="23"/>
      <c r="N196" s="23"/>
      <c r="O196" s="23"/>
      <c r="P196" s="23"/>
      <c r="Q196" s="22" t="s">
        <v>1910</v>
      </c>
      <c r="R196" s="22" t="s">
        <v>1911</v>
      </c>
      <c r="S196" s="22" t="s">
        <v>1912</v>
      </c>
      <c r="T196" s="22" t="s">
        <v>252</v>
      </c>
      <c r="U196" s="22" t="s">
        <v>1913</v>
      </c>
      <c r="V196" s="23"/>
      <c r="W196" s="23"/>
      <c r="X196" s="23"/>
      <c r="Y196" s="23"/>
      <c r="Z196" s="28"/>
      <c r="AA196" s="23"/>
      <c r="AB196" s="23" t="str">
        <f>IFERROR(__xludf.DUMMYFUNCTION("IF(
ISNUMBER(MATCH(
C196,
IMPORTRANGE(""https://docs.google.com/spreadsheets/d/1yTh1ELC33JHYOeEdgIiEclxPRyh0zOKtlawDltfUay8"",""'Champions'!A:A""),
0
)),
""Outreach Conducted"",
"""")"),"")</f>
        <v/>
      </c>
      <c r="AC196" s="23"/>
      <c r="AD196" s="23"/>
      <c r="AE196" s="23"/>
      <c r="AF196" s="23"/>
      <c r="AG196" s="23"/>
      <c r="AH196" s="23"/>
      <c r="AI196" s="23"/>
      <c r="AJ196" s="23"/>
      <c r="AK196" s="23"/>
      <c r="AL196" s="23"/>
    </row>
    <row r="197" hidden="1">
      <c r="A197" s="22" t="s">
        <v>1914</v>
      </c>
      <c r="B197" s="22" t="s">
        <v>1915</v>
      </c>
      <c r="C197" s="23" t="str">
        <f t="shared" si="1"/>
        <v>Kate Cory</v>
      </c>
      <c r="D197" s="22">
        <v>4.154976697E9</v>
      </c>
      <c r="E197" s="29" t="s">
        <v>1916</v>
      </c>
      <c r="F197" s="22" t="s">
        <v>238</v>
      </c>
      <c r="G197" s="22">
        <v>324.0</v>
      </c>
      <c r="H197" s="22">
        <f t="array" ref="H197">IFERROR(INDEX('Hub CPC 226'!A:A, MATCH(C197, 'Hub CPC 226'!B:B, 0)), "")</f>
        <v>205</v>
      </c>
      <c r="I197" s="22">
        <f t="array" ref="I197">IFERROR(INDEX('Hub Users 226'!A:A, MATCH(C197, 'Hub Users 226'!B:B, 0)), "")</f>
        <v>224</v>
      </c>
      <c r="J197" s="22" t="s">
        <v>239</v>
      </c>
      <c r="K197" s="23" t="s">
        <v>1917</v>
      </c>
      <c r="L197" s="25">
        <v>43979.95486111111</v>
      </c>
      <c r="M197" s="23"/>
      <c r="N197" s="23"/>
      <c r="O197" s="23"/>
      <c r="P197" s="23"/>
      <c r="Q197" s="22" t="s">
        <v>1918</v>
      </c>
      <c r="R197" s="22" t="s">
        <v>1919</v>
      </c>
      <c r="S197" s="22" t="s">
        <v>1920</v>
      </c>
      <c r="T197" s="22" t="s">
        <v>252</v>
      </c>
      <c r="U197" s="22" t="s">
        <v>1921</v>
      </c>
      <c r="V197" s="26" t="s">
        <v>360</v>
      </c>
      <c r="W197" s="27" t="s">
        <v>1922</v>
      </c>
      <c r="X197" s="26" t="s">
        <v>1923</v>
      </c>
      <c r="Y197" s="23"/>
      <c r="Z197" s="28"/>
      <c r="AA197" s="23"/>
      <c r="AB197" s="23" t="str">
        <f>IFERROR(__xludf.DUMMYFUNCTION("IF(
ISNUMBER(MATCH(
C197,
IMPORTRANGE(""https://docs.google.com/spreadsheets/d/1yTh1ELC33JHYOeEdgIiEclxPRyh0zOKtlawDltfUay8"",""'Champions'!A:A""),
0
)),
""Outreach Conducted"",
"""")"),"")</f>
        <v/>
      </c>
      <c r="AC197" s="23"/>
      <c r="AD197" s="26" t="s">
        <v>448</v>
      </c>
      <c r="AE197" s="28" t="s">
        <v>1924</v>
      </c>
      <c r="AF197" s="46" t="s">
        <v>449</v>
      </c>
      <c r="AG197" s="28" t="s">
        <v>1925</v>
      </c>
      <c r="AH197" s="23"/>
      <c r="AI197" s="23"/>
      <c r="AJ197" s="23"/>
      <c r="AK197" s="23"/>
      <c r="AL197" s="23"/>
    </row>
    <row r="198" hidden="1">
      <c r="A198" s="22" t="s">
        <v>1926</v>
      </c>
      <c r="B198" s="22" t="s">
        <v>1927</v>
      </c>
      <c r="C198" s="23" t="str">
        <f t="shared" si="1"/>
        <v>Katherine Quach</v>
      </c>
      <c r="D198" s="22">
        <v>1.9178805359E10</v>
      </c>
      <c r="E198" s="29" t="s">
        <v>1928</v>
      </c>
      <c r="F198" s="22" t="s">
        <v>399</v>
      </c>
      <c r="G198" s="22">
        <v>686.0</v>
      </c>
      <c r="H198" s="22">
        <f t="array" ref="H198">IFERROR(INDEX('Hub CPC 226'!A:A, MATCH(C198, 'Hub CPC 226'!B:B, 0)), "")</f>
        <v>206</v>
      </c>
      <c r="I198" s="22">
        <f t="array" ref="I198">IFERROR(INDEX('Hub Users 226'!A:A, MATCH(C198, 'Hub Users 226'!B:B, 0)), "")</f>
        <v>225</v>
      </c>
      <c r="J198" s="22" t="s">
        <v>290</v>
      </c>
      <c r="K198" s="23" t="s">
        <v>1929</v>
      </c>
      <c r="L198" s="25">
        <v>44918.99097222222</v>
      </c>
      <c r="M198" s="28">
        <v>3.0</v>
      </c>
      <c r="N198" s="28">
        <v>11.0</v>
      </c>
      <c r="O198" s="28">
        <v>26.0</v>
      </c>
      <c r="P198" s="32">
        <v>23.0</v>
      </c>
      <c r="Q198" s="22" t="s">
        <v>1930</v>
      </c>
      <c r="R198" s="22" t="s">
        <v>271</v>
      </c>
      <c r="S198" s="22" t="s">
        <v>271</v>
      </c>
      <c r="T198" s="22" t="s">
        <v>272</v>
      </c>
      <c r="U198" s="22" t="s">
        <v>1931</v>
      </c>
      <c r="V198" s="23"/>
      <c r="W198" s="23"/>
      <c r="X198" s="23"/>
      <c r="Y198" s="23"/>
      <c r="Z198" s="28"/>
      <c r="AA198" s="23"/>
      <c r="AB198" s="23" t="str">
        <f>IFERROR(__xludf.DUMMYFUNCTION("IF(
ISNUMBER(MATCH(
C198,
IMPORTRANGE(""https://docs.google.com/spreadsheets/d/1yTh1ELC33JHYOeEdgIiEclxPRyh0zOKtlawDltfUay8"",""'Champions'!A:A""),
0
)),
""Outreach Conducted"",
"""")"),"")</f>
        <v/>
      </c>
      <c r="AC198" s="23"/>
      <c r="AD198" s="23"/>
      <c r="AE198" s="23"/>
      <c r="AF198" s="23"/>
      <c r="AG198" s="23"/>
      <c r="AH198" s="23"/>
      <c r="AI198" s="23"/>
      <c r="AJ198" s="23"/>
      <c r="AK198" s="23"/>
      <c r="AL198" s="23"/>
    </row>
    <row r="199" hidden="1">
      <c r="A199" s="22" t="s">
        <v>1932</v>
      </c>
      <c r="B199" s="22" t="s">
        <v>1933</v>
      </c>
      <c r="C199" s="23" t="str">
        <f t="shared" si="1"/>
        <v>Kaushik Sampath</v>
      </c>
      <c r="D199" s="22">
        <v>1.4124827291E10</v>
      </c>
      <c r="E199" s="29" t="s">
        <v>1934</v>
      </c>
      <c r="F199" s="22" t="s">
        <v>238</v>
      </c>
      <c r="G199" s="22">
        <v>482.0</v>
      </c>
      <c r="H199" s="22">
        <f t="array" ref="H199">IFERROR(INDEX('Hub CPC 226'!A:A, MATCH(C199, 'Hub CPC 226'!B:B, 0)), "")</f>
        <v>207</v>
      </c>
      <c r="I199" s="22">
        <f t="array" ref="I199">IFERROR(INDEX('Hub Users 226'!A:A, MATCH(C199, 'Hub Users 226'!B:B, 0)), "")</f>
        <v>226</v>
      </c>
      <c r="J199" s="22" t="s">
        <v>260</v>
      </c>
      <c r="K199" s="23" t="s">
        <v>1935</v>
      </c>
      <c r="L199" s="25">
        <v>44375.76597222222</v>
      </c>
      <c r="M199" s="23"/>
      <c r="N199" s="23"/>
      <c r="O199" s="23"/>
      <c r="P199" s="23"/>
      <c r="Q199" s="22" t="s">
        <v>1936</v>
      </c>
      <c r="R199" s="22" t="s">
        <v>1937</v>
      </c>
      <c r="S199" s="22" t="s">
        <v>1938</v>
      </c>
      <c r="T199" s="22" t="s">
        <v>1939</v>
      </c>
      <c r="U199" s="22" t="s">
        <v>1940</v>
      </c>
      <c r="V199" s="23"/>
      <c r="W199" s="23"/>
      <c r="X199" s="23"/>
      <c r="Y199" s="23"/>
      <c r="Z199" s="28"/>
      <c r="AA199" s="23"/>
      <c r="AB199" s="23" t="str">
        <f>IFERROR(__xludf.DUMMYFUNCTION("IF(
ISNUMBER(MATCH(
C199,
IMPORTRANGE(""https://docs.google.com/spreadsheets/d/1yTh1ELC33JHYOeEdgIiEclxPRyh0zOKtlawDltfUay8"",""'Champions'!A:A""),
0
)),
""Outreach Conducted"",
"""")"),"")</f>
        <v/>
      </c>
      <c r="AC199" s="23"/>
      <c r="AD199" s="23"/>
      <c r="AE199" s="23"/>
      <c r="AF199" s="23"/>
      <c r="AG199" s="23"/>
      <c r="AH199" s="23"/>
      <c r="AI199" s="23"/>
      <c r="AJ199" s="23"/>
      <c r="AK199" s="23"/>
      <c r="AL199" s="23"/>
    </row>
    <row r="200" hidden="1">
      <c r="A200" s="22" t="s">
        <v>1941</v>
      </c>
      <c r="B200" s="22" t="s">
        <v>1942</v>
      </c>
      <c r="C200" s="23" t="str">
        <f t="shared" si="1"/>
        <v>Pooja Kavi</v>
      </c>
      <c r="D200" s="22" t="s">
        <v>1943</v>
      </c>
      <c r="E200" s="29" t="s">
        <v>1944</v>
      </c>
      <c r="F200" s="22" t="s">
        <v>248</v>
      </c>
      <c r="G200" s="22">
        <v>203.0</v>
      </c>
      <c r="H200" s="22">
        <f t="array" ref="H200">IFERROR(INDEX('Hub CPC 226'!A:A, MATCH(C200, 'Hub CPC 226'!B:B, 0)), "")</f>
        <v>208</v>
      </c>
      <c r="I200" s="22">
        <f t="array" ref="I200">IFERROR(INDEX('Hub Users 226'!A:A, MATCH(C200, 'Hub Users 226'!B:B, 0)), "")</f>
        <v>227</v>
      </c>
      <c r="J200" s="22" t="s">
        <v>240</v>
      </c>
      <c r="K200" s="23" t="s">
        <v>1945</v>
      </c>
      <c r="L200" s="25">
        <v>43683.44375</v>
      </c>
      <c r="M200" s="23"/>
      <c r="N200" s="23"/>
      <c r="O200" s="23"/>
      <c r="P200" s="23"/>
      <c r="Q200" s="22" t="s">
        <v>1946</v>
      </c>
      <c r="R200" s="22" t="s">
        <v>974</v>
      </c>
      <c r="S200" s="22" t="s">
        <v>974</v>
      </c>
      <c r="T200" s="22" t="s">
        <v>252</v>
      </c>
      <c r="U200" s="22" t="s">
        <v>1947</v>
      </c>
      <c r="V200" s="26" t="s">
        <v>393</v>
      </c>
      <c r="W200" s="28" t="s">
        <v>1948</v>
      </c>
      <c r="X200" s="26" t="s">
        <v>781</v>
      </c>
      <c r="Y200" s="23"/>
      <c r="Z200" s="28"/>
      <c r="AA200" s="23"/>
      <c r="AB200" s="23" t="str">
        <f>IFERROR(__xludf.DUMMYFUNCTION("IF(
ISNUMBER(MATCH(
C200,
IMPORTRANGE(""https://docs.google.com/spreadsheets/d/1yTh1ELC33JHYOeEdgIiEclxPRyh0zOKtlawDltfUay8"",""'Champions'!A:A""),
0
)),
""Outreach Conducted"",
"""")"),"")</f>
        <v/>
      </c>
      <c r="AC200" s="23"/>
      <c r="AD200" s="23"/>
      <c r="AE200" s="23"/>
      <c r="AF200" s="23"/>
      <c r="AG200" s="23"/>
      <c r="AH200" s="23"/>
      <c r="AI200" s="23"/>
      <c r="AJ200" s="23"/>
      <c r="AK200" s="23"/>
      <c r="AL200" s="23"/>
    </row>
    <row r="201" hidden="1">
      <c r="A201" s="22" t="s">
        <v>1949</v>
      </c>
      <c r="B201" s="22" t="s">
        <v>1950</v>
      </c>
      <c r="C201" s="23" t="str">
        <f t="shared" si="1"/>
        <v>Kenia Wellington</v>
      </c>
      <c r="D201" s="22">
        <v>9.17562225E9</v>
      </c>
      <c r="E201" s="29" t="s">
        <v>1951</v>
      </c>
      <c r="F201" s="22" t="s">
        <v>248</v>
      </c>
      <c r="G201" s="22">
        <v>381.0</v>
      </c>
      <c r="H201" s="22">
        <f t="array" ref="H201">IFERROR(INDEX('Hub CPC 226'!A:A, MATCH(C201, 'Hub CPC 226'!B:B, 0)), "")</f>
        <v>209</v>
      </c>
      <c r="I201" s="22">
        <f t="array" ref="I201">IFERROR(INDEX('Hub Users 226'!A:A, MATCH(C201, 'Hub Users 226'!B:B, 0)), "")</f>
        <v>228</v>
      </c>
      <c r="J201" s="22" t="s">
        <v>260</v>
      </c>
      <c r="K201" s="23" t="s">
        <v>1952</v>
      </c>
      <c r="L201" s="25">
        <v>44200.60902777778</v>
      </c>
      <c r="M201" s="28">
        <v>2.0</v>
      </c>
      <c r="N201" s="28">
        <v>4.0</v>
      </c>
      <c r="O201" s="28">
        <v>8.0</v>
      </c>
      <c r="P201" s="31"/>
      <c r="Q201" s="22" t="s">
        <v>1953</v>
      </c>
      <c r="R201" s="22" t="s">
        <v>1954</v>
      </c>
      <c r="S201" s="22" t="s">
        <v>1954</v>
      </c>
      <c r="T201" s="22" t="s">
        <v>272</v>
      </c>
      <c r="U201" s="22" t="s">
        <v>1955</v>
      </c>
      <c r="V201" s="26" t="s">
        <v>1119</v>
      </c>
      <c r="W201" s="27" t="s">
        <v>1956</v>
      </c>
      <c r="X201" s="26" t="s">
        <v>1957</v>
      </c>
      <c r="Y201" s="23"/>
      <c r="Z201" s="28"/>
      <c r="AA201" s="23"/>
      <c r="AB201" s="23" t="str">
        <f>IFERROR(__xludf.DUMMYFUNCTION("IF(
ISNUMBER(MATCH(
C201,
IMPORTRANGE(""https://docs.google.com/spreadsheets/d/1yTh1ELC33JHYOeEdgIiEclxPRyh0zOKtlawDltfUay8"",""'Champions'!A:A""),
0
)),
""Outreach Conducted"",
"""")"),"")</f>
        <v/>
      </c>
      <c r="AC201" s="23"/>
      <c r="AD201" s="26" t="s">
        <v>448</v>
      </c>
      <c r="AE201" s="34">
        <v>44593.0</v>
      </c>
      <c r="AF201" s="28" t="s">
        <v>449</v>
      </c>
      <c r="AG201" s="28" t="s">
        <v>1958</v>
      </c>
      <c r="AH201" s="23"/>
      <c r="AI201" s="23"/>
      <c r="AJ201" s="23"/>
      <c r="AK201" s="23"/>
      <c r="AL201" s="23"/>
    </row>
    <row r="202" hidden="1">
      <c r="A202" s="22" t="s">
        <v>1959</v>
      </c>
      <c r="B202" s="22" t="s">
        <v>1960</v>
      </c>
      <c r="C202" s="23" t="str">
        <f t="shared" si="1"/>
        <v>Kenna Elice Ranson</v>
      </c>
      <c r="D202" s="22" t="s">
        <v>1961</v>
      </c>
      <c r="E202" s="29" t="s">
        <v>1962</v>
      </c>
      <c r="F202" s="22" t="s">
        <v>248</v>
      </c>
      <c r="G202" s="22">
        <v>66.0</v>
      </c>
      <c r="H202" s="22">
        <f t="array" ref="H202">IFERROR(INDEX('Hub CPC 226'!A:A, MATCH(C202, 'Hub CPC 226'!B:B, 0)), "")</f>
        <v>210</v>
      </c>
      <c r="I202" s="22">
        <f t="array" ref="I202">IFERROR(INDEX('Hub Users 226'!A:A, MATCH(C202, 'Hub Users 226'!B:B, 0)), "")</f>
        <v>229</v>
      </c>
      <c r="J202" s="22" t="s">
        <v>1963</v>
      </c>
      <c r="K202" s="23" t="s">
        <v>240</v>
      </c>
      <c r="L202" s="25">
        <v>43338.743055555555</v>
      </c>
      <c r="M202" s="23"/>
      <c r="N202" s="23"/>
      <c r="O202" s="23"/>
      <c r="P202" s="23"/>
      <c r="Q202" s="22" t="s">
        <v>1964</v>
      </c>
      <c r="R202" s="22"/>
      <c r="S202" s="22" t="s">
        <v>1056</v>
      </c>
      <c r="T202" s="22" t="s">
        <v>252</v>
      </c>
      <c r="U202" s="22" t="s">
        <v>1965</v>
      </c>
      <c r="V202" s="26" t="s">
        <v>360</v>
      </c>
      <c r="W202" s="27" t="s">
        <v>1966</v>
      </c>
      <c r="X202" s="26" t="s">
        <v>362</v>
      </c>
      <c r="Y202" s="23"/>
      <c r="Z202" s="28"/>
      <c r="AA202" s="23"/>
      <c r="AB202" s="23" t="str">
        <f>IFERROR(__xludf.DUMMYFUNCTION("IF(
ISNUMBER(MATCH(
C202,
IMPORTRANGE(""https://docs.google.com/spreadsheets/d/1yTh1ELC33JHYOeEdgIiEclxPRyh0zOKtlawDltfUay8"",""'Champions'!A:A""),
0
)),
""Outreach Conducted"",
"""")"),"")</f>
        <v/>
      </c>
      <c r="AC202" s="23"/>
      <c r="AD202" s="23"/>
      <c r="AE202" s="23"/>
      <c r="AF202" s="23"/>
      <c r="AG202" s="23"/>
      <c r="AH202" s="23"/>
      <c r="AI202" s="23"/>
      <c r="AJ202" s="23"/>
      <c r="AK202" s="23"/>
      <c r="AL202" s="23"/>
    </row>
    <row r="203">
      <c r="A203" s="22" t="s">
        <v>1967</v>
      </c>
      <c r="B203" s="22" t="s">
        <v>1968</v>
      </c>
      <c r="C203" s="23" t="str">
        <f t="shared" si="1"/>
        <v>Kerry-Ann Henry</v>
      </c>
      <c r="D203" s="22">
        <v>1.6467710288E10</v>
      </c>
      <c r="E203" s="29" t="s">
        <v>1969</v>
      </c>
      <c r="F203" s="22" t="s">
        <v>248</v>
      </c>
      <c r="G203" s="22">
        <v>543.0</v>
      </c>
      <c r="H203" s="22">
        <f t="array" ref="H203">IFERROR(INDEX('Hub CPC 226'!A:A, MATCH(C203, 'Hub CPC 226'!B:B, 0)), "")</f>
        <v>211</v>
      </c>
      <c r="I203" s="22">
        <f t="array" ref="I203">IFERROR(INDEX('Hub Users 226'!A:A, MATCH(C203, 'Hub Users 226'!B:B, 0)), "")</f>
        <v>230</v>
      </c>
      <c r="J203" s="22" t="s">
        <v>290</v>
      </c>
      <c r="K203" s="23" t="s">
        <v>1970</v>
      </c>
      <c r="L203" s="25">
        <v>44507.80347222222</v>
      </c>
      <c r="M203" s="28">
        <v>15.0</v>
      </c>
      <c r="N203" s="28">
        <v>36.0</v>
      </c>
      <c r="O203" s="28">
        <v>83.0</v>
      </c>
      <c r="P203" s="32">
        <v>12.0</v>
      </c>
      <c r="Q203" s="22" t="s">
        <v>1971</v>
      </c>
      <c r="R203" s="22" t="s">
        <v>1972</v>
      </c>
      <c r="S203" s="22" t="s">
        <v>859</v>
      </c>
      <c r="T203" s="22" t="s">
        <v>272</v>
      </c>
      <c r="U203" s="22" t="s">
        <v>1973</v>
      </c>
      <c r="V203" s="26" t="s">
        <v>284</v>
      </c>
      <c r="W203" s="27" t="s">
        <v>1974</v>
      </c>
      <c r="X203" s="26" t="s">
        <v>519</v>
      </c>
      <c r="Y203" s="23"/>
      <c r="Z203" s="28"/>
      <c r="AA203" s="23"/>
      <c r="AB203" s="23" t="str">
        <f>IFERROR(__xludf.DUMMYFUNCTION("IF(
ISNUMBER(MATCH(
C203,
IMPORTRANGE(""https://docs.google.com/spreadsheets/d/1yTh1ELC33JHYOeEdgIiEclxPRyh0zOKtlawDltfUay8"",""'Champions'!A:A""),
0
)),
""Outreach Conducted"",
"""")"),"")</f>
        <v/>
      </c>
      <c r="AC203" s="23"/>
      <c r="AD203" s="23"/>
      <c r="AE203" s="23"/>
      <c r="AF203" s="23"/>
      <c r="AG203" s="23"/>
      <c r="AH203" s="23"/>
      <c r="AI203" s="23"/>
      <c r="AJ203" s="23"/>
      <c r="AK203" s="23"/>
      <c r="AL203" s="23"/>
    </row>
    <row r="204" hidden="1">
      <c r="A204" s="22" t="s">
        <v>1975</v>
      </c>
      <c r="B204" s="22" t="s">
        <v>1976</v>
      </c>
      <c r="C204" s="23" t="str">
        <f t="shared" si="1"/>
        <v>Keylin Rivera</v>
      </c>
      <c r="D204" s="22">
        <v>1.3364576869E10</v>
      </c>
      <c r="E204" s="29" t="s">
        <v>1977</v>
      </c>
      <c r="F204" s="22" t="s">
        <v>248</v>
      </c>
      <c r="G204" s="22">
        <v>83.0</v>
      </c>
      <c r="H204" s="22">
        <f t="array" ref="H204">IFERROR(INDEX('Hub CPC 226'!A:A, MATCH(C204, 'Hub CPC 226'!B:B, 0)), "")</f>
        <v>212</v>
      </c>
      <c r="I204" s="22">
        <f t="array" ref="I204">IFERROR(INDEX('Hub Users 226'!A:A, MATCH(C204, 'Hub Users 226'!B:B, 0)), "")</f>
        <v>231</v>
      </c>
      <c r="J204" s="22" t="s">
        <v>240</v>
      </c>
      <c r="K204" s="23" t="s">
        <v>1978</v>
      </c>
      <c r="L204" s="25">
        <v>43354.00208333333</v>
      </c>
      <c r="M204" s="23"/>
      <c r="N204" s="23"/>
      <c r="O204" s="23"/>
      <c r="P204" s="23"/>
      <c r="Q204" s="22" t="s">
        <v>1979</v>
      </c>
      <c r="R204" s="22" t="s">
        <v>1980</v>
      </c>
      <c r="S204" s="22" t="s">
        <v>1371</v>
      </c>
      <c r="T204" s="22" t="s">
        <v>1372</v>
      </c>
      <c r="U204" s="22" t="s">
        <v>1981</v>
      </c>
      <c r="V204" s="26" t="s">
        <v>1982</v>
      </c>
      <c r="W204" s="27" t="s">
        <v>1983</v>
      </c>
      <c r="X204" s="26" t="s">
        <v>1984</v>
      </c>
      <c r="Y204" s="23"/>
      <c r="Z204" s="28"/>
      <c r="AA204" s="23"/>
      <c r="AB204" s="23" t="str">
        <f>IFERROR(__xludf.DUMMYFUNCTION("IF(
ISNUMBER(MATCH(
C204,
IMPORTRANGE(""https://docs.google.com/spreadsheets/d/1yTh1ELC33JHYOeEdgIiEclxPRyh0zOKtlawDltfUay8"",""'Champions'!A:A""),
0
)),
""Outreach Conducted"",
"""")"),"")</f>
        <v/>
      </c>
      <c r="AC204" s="23"/>
      <c r="AD204" s="23"/>
      <c r="AE204" s="23"/>
      <c r="AF204" s="23"/>
      <c r="AG204" s="23"/>
      <c r="AH204" s="23"/>
      <c r="AI204" s="23"/>
      <c r="AJ204" s="23"/>
      <c r="AK204" s="23"/>
      <c r="AL204" s="23"/>
    </row>
    <row r="205" hidden="1">
      <c r="A205" s="22" t="s">
        <v>1985</v>
      </c>
      <c r="B205" s="22" t="s">
        <v>1986</v>
      </c>
      <c r="C205" s="23" t="str">
        <f t="shared" si="1"/>
        <v>Kimberly Vo</v>
      </c>
      <c r="D205" s="22">
        <v>1.5103873688E10</v>
      </c>
      <c r="E205" s="29" t="s">
        <v>1987</v>
      </c>
      <c r="F205" s="22" t="s">
        <v>248</v>
      </c>
      <c r="G205" s="22">
        <v>373.0</v>
      </c>
      <c r="H205" s="22">
        <f t="array" ref="H205">IFERROR(INDEX('Hub CPC 226'!A:A, MATCH(C205, 'Hub CPC 226'!B:B, 0)), "")</f>
        <v>213</v>
      </c>
      <c r="I205" s="22">
        <f t="array" ref="I205">IFERROR(INDEX('Hub Users 226'!A:A, MATCH(C205, 'Hub Users 226'!B:B, 0)), "")</f>
        <v>232</v>
      </c>
      <c r="J205" s="22" t="s">
        <v>260</v>
      </c>
      <c r="K205" s="23" t="s">
        <v>1988</v>
      </c>
      <c r="L205" s="25">
        <v>44194.354166666664</v>
      </c>
      <c r="M205" s="23"/>
      <c r="N205" s="23"/>
      <c r="O205" s="23"/>
      <c r="P205" s="23"/>
      <c r="Q205" s="22" t="s">
        <v>1989</v>
      </c>
      <c r="R205" s="22" t="s">
        <v>1990</v>
      </c>
      <c r="S205" s="22" t="s">
        <v>1056</v>
      </c>
      <c r="T205" s="22" t="s">
        <v>252</v>
      </c>
      <c r="U205" s="22" t="s">
        <v>1991</v>
      </c>
      <c r="V205" s="23"/>
      <c r="W205" s="23"/>
      <c r="X205" s="23"/>
      <c r="Y205" s="23"/>
      <c r="Z205" s="28"/>
      <c r="AA205" s="23"/>
      <c r="AB205" s="23" t="str">
        <f>IFERROR(__xludf.DUMMYFUNCTION("IF(
ISNUMBER(MATCH(
C205,
IMPORTRANGE(""https://docs.google.com/spreadsheets/d/1yTh1ELC33JHYOeEdgIiEclxPRyh0zOKtlawDltfUay8"",""'Champions'!A:A""),
0
)),
""Outreach Conducted"",
"""")"),"")</f>
        <v/>
      </c>
      <c r="AC205" s="23"/>
      <c r="AD205" s="23"/>
      <c r="AE205" s="23"/>
      <c r="AF205" s="23"/>
      <c r="AG205" s="23"/>
      <c r="AH205" s="23"/>
      <c r="AI205" s="23"/>
      <c r="AJ205" s="23"/>
      <c r="AK205" s="23"/>
      <c r="AL205" s="23"/>
    </row>
    <row r="206" hidden="1">
      <c r="A206" s="22" t="s">
        <v>1985</v>
      </c>
      <c r="B206" s="22" t="s">
        <v>1992</v>
      </c>
      <c r="C206" s="23" t="str">
        <f t="shared" si="1"/>
        <v>Kimberly Logan</v>
      </c>
      <c r="D206" s="22" t="s">
        <v>1993</v>
      </c>
      <c r="E206" s="29" t="s">
        <v>1994</v>
      </c>
      <c r="F206" s="22" t="s">
        <v>238</v>
      </c>
      <c r="G206" s="22">
        <v>158.0</v>
      </c>
      <c r="H206" s="22">
        <f t="array" ref="H206">IFERROR(INDEX('Hub CPC 226'!A:A, MATCH(C206, 'Hub CPC 226'!B:B, 0)), "")</f>
        <v>214</v>
      </c>
      <c r="I206" s="22">
        <f t="array" ref="I206">IFERROR(INDEX('Hub Users 226'!A:A, MATCH(C206, 'Hub Users 226'!B:B, 0)), "")</f>
        <v>233</v>
      </c>
      <c r="J206" s="22" t="s">
        <v>240</v>
      </c>
      <c r="K206" s="23" t="s">
        <v>1995</v>
      </c>
      <c r="L206" s="25">
        <v>43590.638194444444</v>
      </c>
      <c r="M206" s="23"/>
      <c r="N206" s="23"/>
      <c r="O206" s="23"/>
      <c r="P206" s="23"/>
      <c r="Q206" s="22" t="s">
        <v>1996</v>
      </c>
      <c r="R206" s="22" t="s">
        <v>380</v>
      </c>
      <c r="S206" s="22" t="s">
        <v>380</v>
      </c>
      <c r="T206" s="22" t="s">
        <v>381</v>
      </c>
      <c r="U206" s="22" t="s">
        <v>1997</v>
      </c>
      <c r="V206" s="23"/>
      <c r="W206" s="23"/>
      <c r="X206" s="23"/>
      <c r="Y206" s="23"/>
      <c r="Z206" s="28"/>
      <c r="AA206" s="23"/>
      <c r="AB206" s="23" t="str">
        <f>IFERROR(__xludf.DUMMYFUNCTION("IF(
ISNUMBER(MATCH(
C206,
IMPORTRANGE(""https://docs.google.com/spreadsheets/d/1yTh1ELC33JHYOeEdgIiEclxPRyh0zOKtlawDltfUay8"",""'Champions'!A:A""),
0
)),
""Outreach Conducted"",
"""")"),"")</f>
        <v/>
      </c>
      <c r="AC206" s="23"/>
      <c r="AD206" s="23"/>
      <c r="AE206" s="23"/>
      <c r="AF206" s="23"/>
      <c r="AG206" s="23"/>
      <c r="AH206" s="23"/>
      <c r="AI206" s="23"/>
      <c r="AJ206" s="23"/>
      <c r="AK206" s="23"/>
      <c r="AL206" s="23"/>
    </row>
    <row r="207" hidden="1">
      <c r="A207" s="22" t="s">
        <v>1998</v>
      </c>
      <c r="B207" s="22" t="s">
        <v>1394</v>
      </c>
      <c r="C207" s="23" t="str">
        <f t="shared" si="1"/>
        <v>Kiran Gill</v>
      </c>
      <c r="D207" s="22" t="s">
        <v>1999</v>
      </c>
      <c r="E207" s="29" t="s">
        <v>2000</v>
      </c>
      <c r="F207" s="22" t="s">
        <v>248</v>
      </c>
      <c r="G207" s="22">
        <v>206.0</v>
      </c>
      <c r="H207" s="22">
        <f t="array" ref="H207">IFERROR(INDEX('Hub CPC 226'!A:A, MATCH(C207, 'Hub CPC 226'!B:B, 0)), "")</f>
        <v>215</v>
      </c>
      <c r="I207" s="22">
        <f t="array" ref="I207">IFERROR(INDEX('Hub Users 226'!A:A, MATCH(C207, 'Hub Users 226'!B:B, 0)), "")</f>
        <v>234</v>
      </c>
      <c r="J207" s="22" t="s">
        <v>240</v>
      </c>
      <c r="K207" s="23" t="s">
        <v>2001</v>
      </c>
      <c r="L207" s="25">
        <v>43727.72708333333</v>
      </c>
      <c r="M207" s="28">
        <v>3.0</v>
      </c>
      <c r="N207" s="28">
        <v>5.0</v>
      </c>
      <c r="O207" s="28">
        <v>13.0</v>
      </c>
      <c r="P207" s="31"/>
      <c r="Q207" s="22" t="s">
        <v>2002</v>
      </c>
      <c r="R207" s="22" t="s">
        <v>2003</v>
      </c>
      <c r="S207" s="22" t="s">
        <v>2004</v>
      </c>
      <c r="T207" s="22" t="s">
        <v>272</v>
      </c>
      <c r="U207" s="22" t="s">
        <v>2005</v>
      </c>
      <c r="V207" s="26" t="s">
        <v>2006</v>
      </c>
      <c r="W207" s="27" t="s">
        <v>2007</v>
      </c>
      <c r="X207" s="26" t="s">
        <v>2008</v>
      </c>
      <c r="Y207" s="23"/>
      <c r="Z207" s="28"/>
      <c r="AA207" s="23"/>
      <c r="AB207" s="23" t="str">
        <f>IFERROR(__xludf.DUMMYFUNCTION("IF(
ISNUMBER(MATCH(
C207,
IMPORTRANGE(""https://docs.google.com/spreadsheets/d/1yTh1ELC33JHYOeEdgIiEclxPRyh0zOKtlawDltfUay8"",""'Champions'!A:A""),
0
)),
""Outreach Conducted"",
"""")"),"")</f>
        <v/>
      </c>
      <c r="AC207" s="23"/>
      <c r="AD207" s="23"/>
      <c r="AE207" s="23"/>
      <c r="AF207" s="23"/>
      <c r="AG207" s="23"/>
      <c r="AH207" s="23"/>
      <c r="AI207" s="23"/>
      <c r="AJ207" s="23"/>
      <c r="AK207" s="23"/>
      <c r="AL207" s="23"/>
    </row>
    <row r="208" hidden="1">
      <c r="A208" s="22" t="s">
        <v>2009</v>
      </c>
      <c r="B208" s="22" t="s">
        <v>2010</v>
      </c>
      <c r="C208" s="23" t="str">
        <f t="shared" si="1"/>
        <v>Kim Martinez</v>
      </c>
      <c r="D208" s="22">
        <v>1.4693582781E10</v>
      </c>
      <c r="E208" s="29" t="s">
        <v>2011</v>
      </c>
      <c r="F208" s="22" t="s">
        <v>238</v>
      </c>
      <c r="G208" s="22">
        <v>716.0</v>
      </c>
      <c r="H208" s="22">
        <f t="array" ref="H208">IFERROR(INDEX('Hub CPC 226'!A:A, MATCH(C208, 'Hub CPC 226'!B:B, 0)), "")</f>
        <v>216</v>
      </c>
      <c r="I208" s="22">
        <f t="array" ref="I208">IFERROR(INDEX('Hub Users 226'!A:A, MATCH(C208, 'Hub Users 226'!B:B, 0)), "")</f>
        <v>235</v>
      </c>
      <c r="J208" s="22" t="s">
        <v>290</v>
      </c>
      <c r="K208" s="23" t="s">
        <v>2012</v>
      </c>
      <c r="L208" s="25">
        <v>45012.71597222222</v>
      </c>
      <c r="M208" s="23"/>
      <c r="N208" s="23"/>
      <c r="O208" s="23"/>
      <c r="P208" s="23"/>
      <c r="Q208" s="22" t="s">
        <v>2013</v>
      </c>
      <c r="R208" s="22" t="s">
        <v>2014</v>
      </c>
      <c r="S208" s="22" t="s">
        <v>2015</v>
      </c>
      <c r="T208" s="22" t="s">
        <v>465</v>
      </c>
      <c r="U208" s="22" t="s">
        <v>2016</v>
      </c>
      <c r="V208" s="23"/>
      <c r="W208" s="23"/>
      <c r="X208" s="23"/>
      <c r="Y208" s="23"/>
      <c r="Z208" s="28"/>
      <c r="AA208" s="23"/>
      <c r="AB208" s="23" t="str">
        <f>IFERROR(__xludf.DUMMYFUNCTION("IF(
ISNUMBER(MATCH(
C208,
IMPORTRANGE(""https://docs.google.com/spreadsheets/d/1yTh1ELC33JHYOeEdgIiEclxPRyh0zOKtlawDltfUay8"",""'Champions'!A:A""),
0
)),
""Outreach Conducted"",
"""")"),"")</f>
        <v/>
      </c>
      <c r="AC208" s="23"/>
      <c r="AD208" s="23"/>
      <c r="AE208" s="23"/>
      <c r="AF208" s="23"/>
      <c r="AG208" s="23"/>
      <c r="AH208" s="23"/>
      <c r="AI208" s="23"/>
      <c r="AJ208" s="23"/>
      <c r="AK208" s="23"/>
      <c r="AL208" s="23"/>
    </row>
    <row r="209" hidden="1">
      <c r="A209" s="22" t="s">
        <v>2017</v>
      </c>
      <c r="B209" s="22" t="s">
        <v>2018</v>
      </c>
      <c r="C209" s="23" t="str">
        <f t="shared" si="1"/>
        <v>Karim Rajmohamed</v>
      </c>
      <c r="D209" s="22">
        <v>1.4846619983E10</v>
      </c>
      <c r="E209" s="29" t="s">
        <v>2019</v>
      </c>
      <c r="F209" s="22" t="s">
        <v>248</v>
      </c>
      <c r="G209" s="22">
        <v>546.0</v>
      </c>
      <c r="H209" s="22">
        <f t="array" ref="H209">IFERROR(INDEX('Hub CPC 226'!A:A, MATCH(C209, 'Hub CPC 226'!B:B, 0)), "")</f>
        <v>217</v>
      </c>
      <c r="I209" s="22">
        <f t="array" ref="I209">IFERROR(INDEX('Hub Users 226'!A:A, MATCH(C209, 'Hub Users 226'!B:B, 0)), "")</f>
        <v>236</v>
      </c>
      <c r="J209" s="22" t="s">
        <v>1235</v>
      </c>
      <c r="K209" s="23" t="s">
        <v>2020</v>
      </c>
      <c r="L209" s="25">
        <v>44510.41458333333</v>
      </c>
      <c r="M209" s="23"/>
      <c r="N209" s="23"/>
      <c r="O209" s="23"/>
      <c r="P209" s="23"/>
      <c r="Q209" s="22" t="s">
        <v>2021</v>
      </c>
      <c r="R209" s="22" t="s">
        <v>2022</v>
      </c>
      <c r="S209" s="22" t="s">
        <v>2023</v>
      </c>
      <c r="T209" s="22" t="s">
        <v>465</v>
      </c>
      <c r="U209" s="22" t="s">
        <v>2024</v>
      </c>
      <c r="V209" s="26" t="s">
        <v>326</v>
      </c>
      <c r="W209" s="27" t="s">
        <v>2025</v>
      </c>
      <c r="X209" s="26" t="s">
        <v>1845</v>
      </c>
      <c r="Y209" s="23"/>
      <c r="Z209" s="28"/>
      <c r="AA209" s="23"/>
      <c r="AB209" s="23" t="str">
        <f>IFERROR(__xludf.DUMMYFUNCTION("IF(
ISNUMBER(MATCH(
C209,
IMPORTRANGE(""https://docs.google.com/spreadsheets/d/1yTh1ELC33JHYOeEdgIiEclxPRyh0zOKtlawDltfUay8"",""'Champions'!A:A""),
0
)),
""Outreach Conducted"",
"""")"),"")</f>
        <v/>
      </c>
      <c r="AC209" s="23"/>
      <c r="AD209" s="23"/>
      <c r="AE209" s="23"/>
      <c r="AF209" s="23"/>
      <c r="AG209" s="23"/>
      <c r="AH209" s="23"/>
      <c r="AI209" s="23"/>
      <c r="AJ209" s="23"/>
      <c r="AK209" s="23"/>
      <c r="AL209" s="23"/>
    </row>
    <row r="210" hidden="1">
      <c r="A210" s="22" t="s">
        <v>2026</v>
      </c>
      <c r="B210" s="22" t="s">
        <v>2027</v>
      </c>
      <c r="C210" s="23" t="str">
        <f t="shared" si="1"/>
        <v>Kristen Farver</v>
      </c>
      <c r="D210" s="22">
        <v>1.9173340493E10</v>
      </c>
      <c r="E210" s="29" t="s">
        <v>2028</v>
      </c>
      <c r="F210" s="22" t="s">
        <v>248</v>
      </c>
      <c r="G210" s="22">
        <v>449.0</v>
      </c>
      <c r="H210" s="22">
        <f t="array" ref="H210">IFERROR(INDEX('Hub CPC 226'!A:A, MATCH(C210, 'Hub CPC 226'!B:B, 0)), "")</f>
        <v>218</v>
      </c>
      <c r="I210" s="22">
        <f t="array" ref="I210">IFERROR(INDEX('Hub Users 226'!A:A, MATCH(C210, 'Hub Users 226'!B:B, 0)), "")</f>
        <v>237</v>
      </c>
      <c r="J210" s="22"/>
      <c r="K210" s="23" t="s">
        <v>2029</v>
      </c>
      <c r="L210" s="25">
        <v>44238.83194444444</v>
      </c>
      <c r="M210" s="28">
        <v>12.0</v>
      </c>
      <c r="N210" s="28">
        <v>59.0</v>
      </c>
      <c r="O210" s="28">
        <v>74.0</v>
      </c>
      <c r="P210" s="32">
        <v>4.0</v>
      </c>
      <c r="Q210" s="22" t="s">
        <v>2030</v>
      </c>
      <c r="R210" s="22" t="s">
        <v>454</v>
      </c>
      <c r="S210" s="22" t="s">
        <v>271</v>
      </c>
      <c r="T210" s="22" t="s">
        <v>272</v>
      </c>
      <c r="U210" s="22" t="s">
        <v>2031</v>
      </c>
      <c r="V210" s="26" t="s">
        <v>360</v>
      </c>
      <c r="W210" s="27" t="s">
        <v>2032</v>
      </c>
      <c r="X210" s="26" t="s">
        <v>2033</v>
      </c>
      <c r="Y210" s="23"/>
      <c r="Z210" s="28"/>
      <c r="AA210" s="23"/>
      <c r="AB210" s="23" t="str">
        <f>IFERROR(__xludf.DUMMYFUNCTION("IF(
ISNUMBER(MATCH(
C210,
IMPORTRANGE(""https://docs.google.com/spreadsheets/d/1yTh1ELC33JHYOeEdgIiEclxPRyh0zOKtlawDltfUay8"",""'Champions'!A:A""),
0
)),
""Outreach Conducted"",
"""")"),"")</f>
        <v/>
      </c>
      <c r="AC210" s="23"/>
      <c r="AD210" s="23"/>
      <c r="AE210" s="23"/>
      <c r="AF210" s="23"/>
      <c r="AG210" s="23"/>
      <c r="AH210" s="23"/>
      <c r="AI210" s="23"/>
      <c r="AJ210" s="23"/>
      <c r="AK210" s="23"/>
      <c r="AL210" s="23"/>
    </row>
    <row r="211" hidden="1">
      <c r="A211" s="22" t="s">
        <v>2034</v>
      </c>
      <c r="B211" s="22" t="s">
        <v>1644</v>
      </c>
      <c r="C211" s="23" t="str">
        <f t="shared" si="1"/>
        <v>Krupa Jani</v>
      </c>
      <c r="D211" s="22">
        <v>1.973978846E10</v>
      </c>
      <c r="E211" s="29" t="s">
        <v>2035</v>
      </c>
      <c r="F211" s="22" t="s">
        <v>248</v>
      </c>
      <c r="G211" s="22">
        <v>447.0</v>
      </c>
      <c r="H211" s="22">
        <f t="array" ref="H211">IFERROR(INDEX('Hub CPC 226'!A:A, MATCH(C211, 'Hub CPC 226'!B:B, 0)), "")</f>
        <v>219</v>
      </c>
      <c r="I211" s="22">
        <f t="array" ref="I211">IFERROR(INDEX('Hub Users 226'!A:A, MATCH(C211, 'Hub Users 226'!B:B, 0)), "")</f>
        <v>238</v>
      </c>
      <c r="J211" s="22" t="s">
        <v>269</v>
      </c>
      <c r="K211" s="23" t="s">
        <v>2036</v>
      </c>
      <c r="L211" s="25">
        <v>44237.52013888889</v>
      </c>
      <c r="M211" s="23"/>
      <c r="N211" s="23"/>
      <c r="O211" s="23"/>
      <c r="P211" s="23"/>
      <c r="Q211" s="22" t="s">
        <v>2037</v>
      </c>
      <c r="R211" s="22" t="s">
        <v>2038</v>
      </c>
      <c r="S211" s="22" t="s">
        <v>1390</v>
      </c>
      <c r="T211" s="22" t="s">
        <v>241</v>
      </c>
      <c r="U211" s="22" t="s">
        <v>2039</v>
      </c>
      <c r="V211" s="26" t="s">
        <v>360</v>
      </c>
      <c r="W211" s="27" t="s">
        <v>2040</v>
      </c>
      <c r="X211" s="26" t="s">
        <v>362</v>
      </c>
      <c r="Y211" s="23"/>
      <c r="Z211" s="28"/>
      <c r="AA211" s="23"/>
      <c r="AB211" s="23" t="str">
        <f>IFERROR(__xludf.DUMMYFUNCTION("IF(
ISNUMBER(MATCH(
C211,
IMPORTRANGE(""https://docs.google.com/spreadsheets/d/1yTh1ELC33JHYOeEdgIiEclxPRyh0zOKtlawDltfUay8"",""'Champions'!A:A""),
0
)),
""Outreach Conducted"",
"""")"),"")</f>
        <v/>
      </c>
      <c r="AC211" s="23"/>
      <c r="AD211" s="23"/>
      <c r="AE211" s="23"/>
      <c r="AF211" s="23"/>
      <c r="AG211" s="23"/>
      <c r="AH211" s="23"/>
      <c r="AI211" s="23"/>
      <c r="AJ211" s="23"/>
      <c r="AK211" s="23"/>
      <c r="AL211" s="23"/>
    </row>
    <row r="212" hidden="1">
      <c r="A212" s="22" t="s">
        <v>2041</v>
      </c>
      <c r="B212" s="22" t="s">
        <v>1644</v>
      </c>
      <c r="C212" s="23" t="str">
        <f t="shared" si="1"/>
        <v>Kunal Jani</v>
      </c>
      <c r="D212" s="22">
        <v>1.9739543577E10</v>
      </c>
      <c r="E212" s="29" t="s">
        <v>2042</v>
      </c>
      <c r="F212" s="22" t="s">
        <v>248</v>
      </c>
      <c r="G212" s="22">
        <v>458.0</v>
      </c>
      <c r="H212" s="22">
        <f t="array" ref="H212">IFERROR(INDEX('Hub CPC 226'!A:A, MATCH(C212, 'Hub CPC 226'!B:B, 0)), "")</f>
        <v>220</v>
      </c>
      <c r="I212" s="22">
        <f t="array" ref="I212">IFERROR(INDEX('Hub Users 226'!A:A, MATCH(C212, 'Hub Users 226'!B:B, 0)), "")</f>
        <v>239</v>
      </c>
      <c r="J212" s="22" t="s">
        <v>269</v>
      </c>
      <c r="K212" s="23" t="s">
        <v>2043</v>
      </c>
      <c r="L212" s="25">
        <v>44263.42222222222</v>
      </c>
      <c r="M212" s="23"/>
      <c r="N212" s="23"/>
      <c r="O212" s="23"/>
      <c r="P212" s="23"/>
      <c r="Q212" s="22" t="s">
        <v>2044</v>
      </c>
      <c r="R212" s="22" t="s">
        <v>2045</v>
      </c>
      <c r="S212" s="22" t="s">
        <v>2046</v>
      </c>
      <c r="T212" s="22" t="s">
        <v>2047</v>
      </c>
      <c r="U212" s="22" t="s">
        <v>2048</v>
      </c>
      <c r="V212" s="26" t="s">
        <v>884</v>
      </c>
      <c r="W212" s="27" t="s">
        <v>2049</v>
      </c>
      <c r="X212" s="26" t="s">
        <v>2050</v>
      </c>
      <c r="Y212" s="23"/>
      <c r="Z212" s="28"/>
      <c r="AA212" s="23"/>
      <c r="AB212" s="23" t="str">
        <f>IFERROR(__xludf.DUMMYFUNCTION("IF(
ISNUMBER(MATCH(
C212,
IMPORTRANGE(""https://docs.google.com/spreadsheets/d/1yTh1ELC33JHYOeEdgIiEclxPRyh0zOKtlawDltfUay8"",""'Champions'!A:A""),
0
)),
""Outreach Conducted"",
"""")"),"")</f>
        <v/>
      </c>
      <c r="AC212" s="23"/>
      <c r="AD212" s="23"/>
      <c r="AE212" s="23"/>
      <c r="AF212" s="23"/>
      <c r="AG212" s="23"/>
      <c r="AH212" s="23"/>
      <c r="AI212" s="23"/>
      <c r="AJ212" s="23"/>
      <c r="AK212" s="23"/>
      <c r="AL212" s="23"/>
    </row>
    <row r="213" hidden="1">
      <c r="A213" s="22" t="s">
        <v>2051</v>
      </c>
      <c r="B213" s="22" t="s">
        <v>2052</v>
      </c>
      <c r="C213" s="23" t="str">
        <f t="shared" si="1"/>
        <v>Lamon Chapman</v>
      </c>
      <c r="D213" s="24"/>
      <c r="E213" s="29" t="s">
        <v>2053</v>
      </c>
      <c r="F213" s="22" t="s">
        <v>248</v>
      </c>
      <c r="G213" s="22">
        <v>705.0</v>
      </c>
      <c r="H213" s="22">
        <f t="array" ref="H213">IFERROR(INDEX('Hub CPC 226'!A:A, MATCH(C213, 'Hub CPC 226'!B:B, 0)), "")</f>
        <v>221</v>
      </c>
      <c r="I213" s="22">
        <f t="array" ref="I213">IFERROR(INDEX('Hub Users 226'!A:A, MATCH(C213, 'Hub Users 226'!B:B, 0)), "")</f>
        <v>240</v>
      </c>
      <c r="J213" s="22" t="s">
        <v>417</v>
      </c>
      <c r="K213" s="23" t="s">
        <v>2054</v>
      </c>
      <c r="L213" s="25">
        <v>44988.78888888889</v>
      </c>
      <c r="M213" s="28"/>
      <c r="N213" s="28"/>
      <c r="O213" s="28"/>
      <c r="P213" s="31"/>
      <c r="Q213" s="24"/>
      <c r="R213" s="22" t="s">
        <v>334</v>
      </c>
      <c r="S213" s="22" t="s">
        <v>271</v>
      </c>
      <c r="T213" s="22" t="s">
        <v>272</v>
      </c>
      <c r="U213" s="22" t="s">
        <v>2055</v>
      </c>
      <c r="V213" s="26" t="s">
        <v>1000</v>
      </c>
      <c r="W213" s="27" t="s">
        <v>2056</v>
      </c>
      <c r="X213" s="26" t="s">
        <v>2057</v>
      </c>
      <c r="Y213" s="23"/>
      <c r="Z213" s="28"/>
      <c r="AA213" s="23"/>
      <c r="AB213" s="23" t="str">
        <f>IFERROR(__xludf.DUMMYFUNCTION("IF(
ISNUMBER(MATCH(
C213,
IMPORTRANGE(""https://docs.google.com/spreadsheets/d/1yTh1ELC33JHYOeEdgIiEclxPRyh0zOKtlawDltfUay8"",""'Champions'!A:A""),
0
)),
""Outreach Conducted"",
"""")"),"")</f>
        <v/>
      </c>
      <c r="AC213" s="23"/>
      <c r="AD213" s="23"/>
      <c r="AE213" s="23"/>
      <c r="AF213" s="23"/>
      <c r="AG213" s="23"/>
      <c r="AH213" s="23"/>
      <c r="AI213" s="23"/>
      <c r="AJ213" s="23"/>
      <c r="AK213" s="23"/>
      <c r="AL213" s="23"/>
    </row>
    <row r="214" hidden="1">
      <c r="A214" s="22" t="s">
        <v>2058</v>
      </c>
      <c r="B214" s="22" t="s">
        <v>2059</v>
      </c>
      <c r="C214" s="23" t="str">
        <f t="shared" si="1"/>
        <v>Larry Williams</v>
      </c>
      <c r="D214" s="22">
        <v>1.615891805E10</v>
      </c>
      <c r="E214" s="29" t="s">
        <v>2060</v>
      </c>
      <c r="F214" s="22" t="s">
        <v>248</v>
      </c>
      <c r="G214" s="22">
        <v>667.0</v>
      </c>
      <c r="H214" s="22">
        <f t="array" ref="H214">IFERROR(INDEX('Hub CPC 226'!A:A, MATCH(C214, 'Hub CPC 226'!B:B, 0)), "")</f>
        <v>222</v>
      </c>
      <c r="I214" s="22">
        <f t="array" ref="I214">IFERROR(INDEX('Hub Users 226'!A:A, MATCH(C214, 'Hub Users 226'!B:B, 0)), "")</f>
        <v>241</v>
      </c>
      <c r="J214" s="22" t="s">
        <v>425</v>
      </c>
      <c r="K214" s="23" t="s">
        <v>2061</v>
      </c>
      <c r="L214" s="25">
        <v>44832.52569444444</v>
      </c>
      <c r="M214" s="23"/>
      <c r="N214" s="23"/>
      <c r="O214" s="23"/>
      <c r="P214" s="23"/>
      <c r="Q214" s="22" t="s">
        <v>2062</v>
      </c>
      <c r="R214" s="22" t="s">
        <v>2063</v>
      </c>
      <c r="S214" s="22" t="s">
        <v>1227</v>
      </c>
      <c r="T214" s="22" t="s">
        <v>1228</v>
      </c>
      <c r="U214" s="22" t="s">
        <v>2064</v>
      </c>
      <c r="V214" s="26" t="s">
        <v>1583</v>
      </c>
      <c r="W214" s="23"/>
      <c r="X214" s="26" t="s">
        <v>1085</v>
      </c>
      <c r="Y214" s="23"/>
      <c r="Z214" s="28"/>
      <c r="AA214" s="23"/>
      <c r="AB214" s="23" t="str">
        <f>IFERROR(__xludf.DUMMYFUNCTION("IF(
ISNUMBER(MATCH(
C214,
IMPORTRANGE(""https://docs.google.com/spreadsheets/d/1yTh1ELC33JHYOeEdgIiEclxPRyh0zOKtlawDltfUay8"",""'Champions'!A:A""),
0
)),
""Outreach Conducted"",
"""")"),"")</f>
        <v/>
      </c>
      <c r="AC214" s="23"/>
      <c r="AD214" s="23"/>
      <c r="AE214" s="23"/>
      <c r="AF214" s="23"/>
      <c r="AG214" s="23"/>
      <c r="AH214" s="23"/>
      <c r="AI214" s="23"/>
      <c r="AJ214" s="23"/>
      <c r="AK214" s="23"/>
      <c r="AL214" s="23"/>
    </row>
    <row r="215" hidden="1">
      <c r="A215" s="22" t="s">
        <v>2065</v>
      </c>
      <c r="B215" s="22" t="s">
        <v>2066</v>
      </c>
      <c r="C215" s="23" t="str">
        <f t="shared" si="1"/>
        <v>Laura Cejas</v>
      </c>
      <c r="D215" s="22" t="s">
        <v>2067</v>
      </c>
      <c r="E215" s="29" t="s">
        <v>2068</v>
      </c>
      <c r="F215" s="22" t="s">
        <v>248</v>
      </c>
      <c r="G215" s="22">
        <v>159.0</v>
      </c>
      <c r="H215" s="22">
        <f t="array" ref="H215">IFERROR(INDEX('Hub CPC 226'!A:A, MATCH(C215, 'Hub CPC 226'!B:B, 0)), "")</f>
        <v>223</v>
      </c>
      <c r="I215" s="22">
        <f t="array" ref="I215">IFERROR(INDEX('Hub Users 226'!A:A, MATCH(C215, 'Hub Users 226'!B:B, 0)), "")</f>
        <v>242</v>
      </c>
      <c r="J215" s="22" t="s">
        <v>240</v>
      </c>
      <c r="K215" s="23" t="s">
        <v>2069</v>
      </c>
      <c r="L215" s="25">
        <v>43590.63888888889</v>
      </c>
      <c r="M215" s="23"/>
      <c r="N215" s="23"/>
      <c r="O215" s="23"/>
      <c r="P215" s="23"/>
      <c r="Q215" s="22" t="s">
        <v>2070</v>
      </c>
      <c r="R215" s="22" t="s">
        <v>271</v>
      </c>
      <c r="S215" s="22" t="s">
        <v>271</v>
      </c>
      <c r="T215" s="22" t="s">
        <v>241</v>
      </c>
      <c r="U215" s="22" t="s">
        <v>2071</v>
      </c>
      <c r="V215" s="26" t="s">
        <v>2006</v>
      </c>
      <c r="W215" s="27" t="s">
        <v>2072</v>
      </c>
      <c r="X215" s="26" t="s">
        <v>2073</v>
      </c>
      <c r="Y215" s="23"/>
      <c r="Z215" s="28"/>
      <c r="AA215" s="23"/>
      <c r="AB215" s="23" t="str">
        <f>IFERROR(__xludf.DUMMYFUNCTION("IF(
ISNUMBER(MATCH(
C215,
IMPORTRANGE(""https://docs.google.com/spreadsheets/d/1yTh1ELC33JHYOeEdgIiEclxPRyh0zOKtlawDltfUay8"",""'Champions'!A:A""),
0
)),
""Outreach Conducted"",
"""")"),"")</f>
        <v/>
      </c>
      <c r="AC215" s="23"/>
      <c r="AD215" s="23"/>
      <c r="AE215" s="23"/>
      <c r="AF215" s="23"/>
      <c r="AG215" s="23"/>
      <c r="AH215" s="23"/>
      <c r="AI215" s="23"/>
      <c r="AJ215" s="23"/>
      <c r="AK215" s="23"/>
      <c r="AL215" s="23"/>
    </row>
    <row r="216" hidden="1">
      <c r="A216" s="22" t="s">
        <v>2074</v>
      </c>
      <c r="B216" s="22" t="s">
        <v>2075</v>
      </c>
      <c r="C216" s="23" t="str">
        <f t="shared" si="1"/>
        <v>Lauren Amelia Varga</v>
      </c>
      <c r="D216" s="22" t="s">
        <v>2076</v>
      </c>
      <c r="E216" s="29" t="s">
        <v>2077</v>
      </c>
      <c r="F216" s="22" t="s">
        <v>248</v>
      </c>
      <c r="G216" s="22">
        <v>16.0</v>
      </c>
      <c r="H216" s="22">
        <f t="array" ref="H216">IFERROR(INDEX('Hub CPC 226'!A:A, MATCH(C216, 'Hub CPC 226'!B:B, 0)), "")</f>
        <v>224</v>
      </c>
      <c r="I216" s="22">
        <f t="array" ref="I216">IFERROR(INDEX('Hub Users 226'!A:A, MATCH(C216, 'Hub Users 226'!B:B, 0)), "")</f>
        <v>243</v>
      </c>
      <c r="J216" s="22" t="s">
        <v>290</v>
      </c>
      <c r="K216" s="23" t="s">
        <v>2078</v>
      </c>
      <c r="L216" s="25">
        <v>43338.743055555555</v>
      </c>
      <c r="M216" s="28">
        <v>7.0</v>
      </c>
      <c r="N216" s="28">
        <v>18.0</v>
      </c>
      <c r="O216" s="28">
        <v>50.0</v>
      </c>
      <c r="P216" s="32">
        <v>34.0</v>
      </c>
      <c r="Q216" s="22" t="s">
        <v>2079</v>
      </c>
      <c r="R216" s="22"/>
      <c r="S216" s="22" t="s">
        <v>294</v>
      </c>
      <c r="T216" s="22" t="s">
        <v>272</v>
      </c>
      <c r="U216" s="22" t="s">
        <v>2080</v>
      </c>
      <c r="V216" s="26" t="s">
        <v>242</v>
      </c>
      <c r="W216" s="35" t="s">
        <v>2081</v>
      </c>
      <c r="X216" s="26" t="s">
        <v>2082</v>
      </c>
      <c r="Y216" s="23"/>
      <c r="Z216" s="28"/>
      <c r="AA216" s="23"/>
      <c r="AB216" s="23" t="str">
        <f>IFERROR(__xludf.DUMMYFUNCTION("IF(
ISNUMBER(MATCH(
C216,
IMPORTRANGE(""https://docs.google.com/spreadsheets/d/1yTh1ELC33JHYOeEdgIiEclxPRyh0zOKtlawDltfUay8"",""'Champions'!A:A""),
0
)),
""Outreach Conducted"",
"""")"),"")</f>
        <v/>
      </c>
      <c r="AC216" s="23"/>
      <c r="AD216" s="23"/>
      <c r="AE216" s="23"/>
      <c r="AF216" s="23"/>
      <c r="AG216" s="23"/>
      <c r="AH216" s="23"/>
      <c r="AI216" s="23"/>
      <c r="AJ216" s="23"/>
      <c r="AK216" s="23"/>
      <c r="AL216" s="23"/>
    </row>
    <row r="217" hidden="1">
      <c r="A217" s="22" t="s">
        <v>2083</v>
      </c>
      <c r="B217" s="22" t="s">
        <v>2084</v>
      </c>
      <c r="C217" s="23" t="str">
        <f t="shared" si="1"/>
        <v>Leigh Ann Wilson</v>
      </c>
      <c r="D217" s="22">
        <v>1.915910027E10</v>
      </c>
      <c r="E217" s="29" t="s">
        <v>2085</v>
      </c>
      <c r="F217" s="22" t="s">
        <v>248</v>
      </c>
      <c r="G217" s="22">
        <v>681.0</v>
      </c>
      <c r="H217" s="22">
        <f t="array" ref="H217">IFERROR(INDEX('Hub CPC 226'!A:A, MATCH(C217, 'Hub CPC 226'!B:B, 0)), "")</f>
        <v>225</v>
      </c>
      <c r="I217" s="22">
        <f t="array" ref="I217">IFERROR(INDEX('Hub Users 226'!A:A, MATCH(C217, 'Hub Users 226'!B:B, 0)), "")</f>
        <v>244</v>
      </c>
      <c r="J217" s="22" t="s">
        <v>260</v>
      </c>
      <c r="K217" s="23" t="s">
        <v>2086</v>
      </c>
      <c r="L217" s="25">
        <v>44888.597916666666</v>
      </c>
      <c r="M217" s="23"/>
      <c r="N217" s="23"/>
      <c r="O217" s="23"/>
      <c r="P217" s="23"/>
      <c r="Q217" s="22" t="s">
        <v>2087</v>
      </c>
      <c r="R217" s="22" t="s">
        <v>2088</v>
      </c>
      <c r="S217" s="22" t="s">
        <v>2089</v>
      </c>
      <c r="T217" s="22" t="s">
        <v>465</v>
      </c>
      <c r="U217" s="22" t="s">
        <v>853</v>
      </c>
      <c r="V217" s="26" t="s">
        <v>475</v>
      </c>
      <c r="W217" s="27" t="s">
        <v>2090</v>
      </c>
      <c r="X217" s="26" t="s">
        <v>1085</v>
      </c>
      <c r="Y217" s="23"/>
      <c r="Z217" s="28"/>
      <c r="AA217" s="23"/>
      <c r="AB217" s="23" t="str">
        <f>IFERROR(__xludf.DUMMYFUNCTION("IF(
ISNUMBER(MATCH(
C217,
IMPORTRANGE(""https://docs.google.com/spreadsheets/d/1yTh1ELC33JHYOeEdgIiEclxPRyh0zOKtlawDltfUay8"",""'Champions'!A:A""),
0
)),
""Outreach Conducted"",
"""")"),"")</f>
        <v/>
      </c>
      <c r="AC217" s="23"/>
      <c r="AD217" s="23"/>
      <c r="AE217" s="23"/>
      <c r="AF217" s="23"/>
      <c r="AG217" s="23"/>
      <c r="AH217" s="23"/>
      <c r="AI217" s="23"/>
      <c r="AJ217" s="23"/>
      <c r="AK217" s="23"/>
      <c r="AL217" s="23"/>
    </row>
    <row r="218" hidden="1">
      <c r="A218" s="22" t="s">
        <v>2091</v>
      </c>
      <c r="B218" s="22" t="s">
        <v>2092</v>
      </c>
      <c r="C218" s="23" t="str">
        <f t="shared" si="1"/>
        <v>Luisa Castro</v>
      </c>
      <c r="D218" s="22">
        <v>1.8088954775E10</v>
      </c>
      <c r="E218" s="29" t="s">
        <v>2093</v>
      </c>
      <c r="F218" s="22" t="s">
        <v>238</v>
      </c>
      <c r="G218" s="22">
        <v>611.0</v>
      </c>
      <c r="H218" s="22">
        <f t="array" ref="H218">IFERROR(INDEX('Hub CPC 226'!A:A, MATCH(C218, 'Hub CPC 226'!B:B, 0)), "")</f>
        <v>226</v>
      </c>
      <c r="I218" s="22">
        <f t="array" ref="I218">IFERROR(INDEX('Hub Users 226'!A:A, MATCH(C218, 'Hub Users 226'!B:B, 0)), "")</f>
        <v>245</v>
      </c>
      <c r="J218" s="22" t="s">
        <v>407</v>
      </c>
      <c r="K218" s="23" t="s">
        <v>2094</v>
      </c>
      <c r="L218" s="25">
        <v>44585.93402777778</v>
      </c>
      <c r="M218" s="23"/>
      <c r="N218" s="23"/>
      <c r="O218" s="23"/>
      <c r="P218" s="23"/>
      <c r="Q218" s="22" t="s">
        <v>2095</v>
      </c>
      <c r="R218" s="22" t="s">
        <v>2096</v>
      </c>
      <c r="S218" s="22" t="s">
        <v>2097</v>
      </c>
      <c r="T218" s="22" t="s">
        <v>501</v>
      </c>
      <c r="U218" s="22" t="s">
        <v>2098</v>
      </c>
      <c r="V218" s="26" t="s">
        <v>284</v>
      </c>
      <c r="W218" s="27" t="s">
        <v>2099</v>
      </c>
      <c r="X218" s="26" t="s">
        <v>619</v>
      </c>
      <c r="Y218" s="23"/>
      <c r="Z218" s="28"/>
      <c r="AA218" s="23"/>
      <c r="AB218" s="23" t="str">
        <f>IFERROR(__xludf.DUMMYFUNCTION("IF(
ISNUMBER(MATCH(
C218,
IMPORTRANGE(""https://docs.google.com/spreadsheets/d/1yTh1ELC33JHYOeEdgIiEclxPRyh0zOKtlawDltfUay8"",""'Champions'!A:A""),
0
)),
""Outreach Conducted"",
"""")"),"")</f>
        <v/>
      </c>
      <c r="AC218" s="23"/>
      <c r="AD218" s="23"/>
      <c r="AE218" s="23"/>
      <c r="AF218" s="23"/>
      <c r="AG218" s="23"/>
      <c r="AH218" s="23"/>
      <c r="AI218" s="23"/>
      <c r="AJ218" s="23"/>
      <c r="AK218" s="23"/>
      <c r="AL218" s="23"/>
    </row>
    <row r="219" hidden="1">
      <c r="A219" s="22" t="s">
        <v>2100</v>
      </c>
      <c r="B219" s="22" t="s">
        <v>2101</v>
      </c>
      <c r="C219" s="23" t="str">
        <f t="shared" si="1"/>
        <v>Louise Malone</v>
      </c>
      <c r="D219" s="30">
        <v>4.47717E11</v>
      </c>
      <c r="E219" s="29" t="s">
        <v>2102</v>
      </c>
      <c r="F219" s="22" t="s">
        <v>248</v>
      </c>
      <c r="G219" s="22">
        <v>446.0</v>
      </c>
      <c r="H219" s="22">
        <f t="array" ref="H219">IFERROR(INDEX('Hub CPC 226'!A:A, MATCH(C219, 'Hub CPC 226'!B:B, 0)), "")</f>
        <v>227</v>
      </c>
      <c r="I219" s="22">
        <f t="array" ref="I219">IFERROR(INDEX('Hub Users 226'!A:A, MATCH(C219, 'Hub Users 226'!B:B, 0)), "")</f>
        <v>246</v>
      </c>
      <c r="J219" s="22" t="s">
        <v>260</v>
      </c>
      <c r="K219" s="23" t="s">
        <v>2103</v>
      </c>
      <c r="L219" s="25">
        <v>44237.239583333336</v>
      </c>
      <c r="M219" s="23"/>
      <c r="N219" s="23"/>
      <c r="O219" s="23"/>
      <c r="P219" s="23"/>
      <c r="Q219" s="22" t="s">
        <v>2104</v>
      </c>
      <c r="R219" s="22" t="s">
        <v>2105</v>
      </c>
      <c r="S219" s="24"/>
      <c r="T219" s="24"/>
      <c r="U219" s="22" t="s">
        <v>2106</v>
      </c>
      <c r="V219" s="26" t="s">
        <v>1119</v>
      </c>
      <c r="W219" s="27" t="s">
        <v>2107</v>
      </c>
      <c r="X219" s="26" t="s">
        <v>2108</v>
      </c>
      <c r="Y219" s="23"/>
      <c r="Z219" s="28"/>
      <c r="AA219" s="23"/>
      <c r="AB219" s="23" t="str">
        <f>IFERROR(__xludf.DUMMYFUNCTION("IF(
ISNUMBER(MATCH(
C219,
IMPORTRANGE(""https://docs.google.com/spreadsheets/d/1yTh1ELC33JHYOeEdgIiEclxPRyh0zOKtlawDltfUay8"",""'Champions'!A:A""),
0
)),
""Outreach Conducted"",
"""")"),"")</f>
        <v/>
      </c>
      <c r="AC219" s="23"/>
      <c r="AD219" s="23"/>
      <c r="AE219" s="23"/>
      <c r="AF219" s="23"/>
      <c r="AG219" s="28">
        <v>50.0</v>
      </c>
      <c r="AH219" s="23"/>
      <c r="AI219" s="23"/>
      <c r="AJ219" s="23"/>
      <c r="AK219" s="23"/>
      <c r="AL219" s="23"/>
    </row>
    <row r="220" hidden="1">
      <c r="A220" s="22" t="s">
        <v>2109</v>
      </c>
      <c r="B220" s="22" t="s">
        <v>2110</v>
      </c>
      <c r="C220" s="23" t="str">
        <f t="shared" si="1"/>
        <v>Leif Castren</v>
      </c>
      <c r="D220" s="22">
        <v>1.406471067E10</v>
      </c>
      <c r="E220" s="29" t="s">
        <v>2111</v>
      </c>
      <c r="F220" s="22" t="s">
        <v>248</v>
      </c>
      <c r="G220" s="22">
        <v>580.0</v>
      </c>
      <c r="H220" s="22">
        <f t="array" ref="H220">IFERROR(INDEX('Hub CPC 226'!A:A, MATCH(C220, 'Hub CPC 226'!B:B, 0)), "")</f>
        <v>228</v>
      </c>
      <c r="I220" s="22">
        <f t="array" ref="I220">IFERROR(INDEX('Hub Users 226'!A:A, MATCH(C220, 'Hub Users 226'!B:B, 0)), "")</f>
        <v>247</v>
      </c>
      <c r="J220" s="22" t="s">
        <v>260</v>
      </c>
      <c r="K220" s="28" t="s">
        <v>2112</v>
      </c>
      <c r="L220" s="25">
        <v>44560.58194444444</v>
      </c>
      <c r="M220" s="23"/>
      <c r="N220" s="23"/>
      <c r="O220" s="23"/>
      <c r="P220" s="23"/>
      <c r="Q220" s="22" t="s">
        <v>2113</v>
      </c>
      <c r="R220" s="22" t="s">
        <v>2114</v>
      </c>
      <c r="S220" s="22" t="s">
        <v>1371</v>
      </c>
      <c r="T220" s="22" t="s">
        <v>1372</v>
      </c>
      <c r="U220" s="22" t="s">
        <v>2115</v>
      </c>
      <c r="V220" s="26" t="s">
        <v>725</v>
      </c>
      <c r="W220" s="27" t="s">
        <v>2116</v>
      </c>
      <c r="X220" s="26" t="s">
        <v>2117</v>
      </c>
      <c r="Y220" s="23"/>
      <c r="Z220" s="28"/>
      <c r="AA220" s="23"/>
      <c r="AB220" s="23" t="str">
        <f>IFERROR(__xludf.DUMMYFUNCTION("IF(
ISNUMBER(MATCH(
C220,
IMPORTRANGE(""https://docs.google.com/spreadsheets/d/1yTh1ELC33JHYOeEdgIiEclxPRyh0zOKtlawDltfUay8"",""'Champions'!A:A""),
0
)),
""Outreach Conducted"",
"""")"),"")</f>
        <v/>
      </c>
      <c r="AC220" s="23"/>
      <c r="AD220" s="23"/>
      <c r="AE220" s="23"/>
      <c r="AF220" s="23"/>
      <c r="AG220" s="23"/>
      <c r="AH220" s="23"/>
      <c r="AI220" s="23"/>
      <c r="AJ220" s="23"/>
      <c r="AK220" s="23"/>
      <c r="AL220" s="23"/>
    </row>
    <row r="221" hidden="1">
      <c r="A221" s="22" t="s">
        <v>2118</v>
      </c>
      <c r="B221" s="22" t="s">
        <v>1709</v>
      </c>
      <c r="C221" s="23" t="str">
        <f t="shared" si="1"/>
        <v>Lien Nguyen</v>
      </c>
      <c r="D221" s="22">
        <v>3.1653433438E10</v>
      </c>
      <c r="E221" s="29" t="s">
        <v>2119</v>
      </c>
      <c r="F221" s="22" t="s">
        <v>248</v>
      </c>
      <c r="G221" s="22">
        <v>365.0</v>
      </c>
      <c r="H221" s="22">
        <f t="array" ref="H221">IFERROR(INDEX('Hub CPC 226'!A:A, MATCH(C221, 'Hub CPC 226'!B:B, 0)), "")</f>
        <v>229</v>
      </c>
      <c r="I221" s="22">
        <f t="array" ref="I221">IFERROR(INDEX('Hub Users 226'!A:A, MATCH(C221, 'Hub Users 226'!B:B, 0)), "")</f>
        <v>248</v>
      </c>
      <c r="J221" s="22" t="s">
        <v>1235</v>
      </c>
      <c r="K221" s="23" t="s">
        <v>2120</v>
      </c>
      <c r="L221" s="25">
        <v>44131.57013888889</v>
      </c>
      <c r="M221" s="23"/>
      <c r="N221" s="23"/>
      <c r="O221" s="23"/>
      <c r="P221" s="23"/>
      <c r="Q221" s="22" t="s">
        <v>2121</v>
      </c>
      <c r="R221" s="22" t="s">
        <v>2122</v>
      </c>
      <c r="S221" s="24"/>
      <c r="T221" s="24"/>
      <c r="U221" s="22" t="s">
        <v>2123</v>
      </c>
      <c r="V221" s="26" t="s">
        <v>1119</v>
      </c>
      <c r="W221" s="27" t="s">
        <v>2124</v>
      </c>
      <c r="X221" s="26" t="s">
        <v>2125</v>
      </c>
      <c r="Y221" s="23"/>
      <c r="Z221" s="28"/>
      <c r="AA221" s="23"/>
      <c r="AB221" s="23" t="str">
        <f>IFERROR(__xludf.DUMMYFUNCTION("IF(
ISNUMBER(MATCH(
C221,
IMPORTRANGE(""https://docs.google.com/spreadsheets/d/1yTh1ELC33JHYOeEdgIiEclxPRyh0zOKtlawDltfUay8"",""'Champions'!A:A""),
0
)),
""Outreach Conducted"",
"""")"),"")</f>
        <v/>
      </c>
      <c r="AC221" s="23"/>
      <c r="AD221" s="23"/>
      <c r="AE221" s="23"/>
      <c r="AF221" s="23"/>
      <c r="AG221" s="23"/>
      <c r="AH221" s="23"/>
      <c r="AI221" s="23"/>
      <c r="AJ221" s="23"/>
      <c r="AK221" s="23"/>
      <c r="AL221" s="23"/>
    </row>
    <row r="222" hidden="1">
      <c r="A222" s="22" t="s">
        <v>2126</v>
      </c>
      <c r="B222" s="22" t="s">
        <v>2127</v>
      </c>
      <c r="C222" s="23" t="str">
        <f t="shared" si="1"/>
        <v>Linda Ramirez</v>
      </c>
      <c r="D222" s="22">
        <v>1.8058670909E10</v>
      </c>
      <c r="E222" s="29" t="s">
        <v>2128</v>
      </c>
      <c r="F222" s="22" t="s">
        <v>248</v>
      </c>
      <c r="G222" s="22">
        <v>637.0</v>
      </c>
      <c r="H222" s="22">
        <f t="array" ref="H222">IFERROR(INDEX('Hub CPC 226'!A:A, MATCH(C222, 'Hub CPC 226'!B:B, 0)), "")</f>
        <v>230</v>
      </c>
      <c r="I222" s="22">
        <f t="array" ref="I222">IFERROR(INDEX('Hub Users 226'!A:A, MATCH(C222, 'Hub Users 226'!B:B, 0)), "")</f>
        <v>249</v>
      </c>
      <c r="J222" s="22" t="s">
        <v>260</v>
      </c>
      <c r="K222" s="23" t="s">
        <v>2129</v>
      </c>
      <c r="L222" s="25">
        <v>44659.49375</v>
      </c>
      <c r="M222" s="23"/>
      <c r="N222" s="23"/>
      <c r="O222" s="23"/>
      <c r="P222" s="23"/>
      <c r="Q222" s="22" t="s">
        <v>2130</v>
      </c>
      <c r="R222" s="22" t="s">
        <v>2131</v>
      </c>
      <c r="S222" s="22" t="s">
        <v>2131</v>
      </c>
      <c r="T222" s="22" t="s">
        <v>252</v>
      </c>
      <c r="U222" s="22" t="s">
        <v>2132</v>
      </c>
      <c r="V222" s="26" t="s">
        <v>284</v>
      </c>
      <c r="W222" s="27" t="s">
        <v>2133</v>
      </c>
      <c r="X222" s="26" t="s">
        <v>477</v>
      </c>
      <c r="Y222" s="23"/>
      <c r="Z222" s="28"/>
      <c r="AA222" s="23"/>
      <c r="AB222" s="23" t="str">
        <f>IFERROR(__xludf.DUMMYFUNCTION("IF(
ISNUMBER(MATCH(
C222,
IMPORTRANGE(""https://docs.google.com/spreadsheets/d/1yTh1ELC33JHYOeEdgIiEclxPRyh0zOKtlawDltfUay8"",""'Champions'!A:A""),
0
)),
""Outreach Conducted"",
"""")"),"")</f>
        <v/>
      </c>
      <c r="AC222" s="23"/>
      <c r="AD222" s="23"/>
      <c r="AE222" s="23"/>
      <c r="AF222" s="23"/>
      <c r="AG222" s="23"/>
      <c r="AH222" s="23"/>
      <c r="AI222" s="23"/>
      <c r="AJ222" s="23"/>
      <c r="AK222" s="23"/>
      <c r="AL222" s="23"/>
    </row>
    <row r="223" hidden="1">
      <c r="A223" s="22" t="s">
        <v>2126</v>
      </c>
      <c r="B223" s="22" t="s">
        <v>2134</v>
      </c>
      <c r="C223" s="23" t="str">
        <f t="shared" si="1"/>
        <v>Linda Guerrero</v>
      </c>
      <c r="D223" s="22">
        <v>1.760212192E10</v>
      </c>
      <c r="E223" s="29" t="s">
        <v>2135</v>
      </c>
      <c r="F223" s="22" t="s">
        <v>248</v>
      </c>
      <c r="G223" s="22">
        <v>480.0</v>
      </c>
      <c r="H223" s="22">
        <f t="array" ref="H223">IFERROR(INDEX('Hub CPC 226'!A:A, MATCH(C223, 'Hub CPC 226'!B:B, 0)), "")</f>
        <v>231</v>
      </c>
      <c r="I223" s="22">
        <f t="array" ref="I223">IFERROR(INDEX('Hub Users 226'!A:A, MATCH(C223, 'Hub Users 226'!B:B, 0)), "")</f>
        <v>250</v>
      </c>
      <c r="J223" s="22" t="s">
        <v>260</v>
      </c>
      <c r="K223" s="23" t="s">
        <v>2136</v>
      </c>
      <c r="L223" s="25">
        <v>44367.665972222225</v>
      </c>
      <c r="M223" s="23"/>
      <c r="N223" s="23"/>
      <c r="O223" s="23"/>
      <c r="P223" s="23"/>
      <c r="Q223" s="22" t="s">
        <v>2137</v>
      </c>
      <c r="R223" s="22" t="s">
        <v>2138</v>
      </c>
      <c r="S223" s="22" t="s">
        <v>2139</v>
      </c>
      <c r="T223" s="22" t="s">
        <v>252</v>
      </c>
      <c r="U223" s="22" t="s">
        <v>2138</v>
      </c>
      <c r="V223" s="26" t="s">
        <v>284</v>
      </c>
      <c r="W223" s="27" t="s">
        <v>2140</v>
      </c>
      <c r="X223" s="26" t="s">
        <v>2141</v>
      </c>
      <c r="Y223" s="23"/>
      <c r="Z223" s="28"/>
      <c r="AA223" s="23"/>
      <c r="AB223" s="23" t="str">
        <f>IFERROR(__xludf.DUMMYFUNCTION("IF(
ISNUMBER(MATCH(
C223,
IMPORTRANGE(""https://docs.google.com/spreadsheets/d/1yTh1ELC33JHYOeEdgIiEclxPRyh0zOKtlawDltfUay8"",""'Champions'!A:A""),
0
)),
""Outreach Conducted"",
"""")"),"")</f>
        <v/>
      </c>
      <c r="AC223" s="23"/>
      <c r="AD223" s="23"/>
      <c r="AE223" s="23"/>
      <c r="AF223" s="23"/>
      <c r="AG223" s="23"/>
      <c r="AH223" s="23"/>
      <c r="AI223" s="23"/>
      <c r="AJ223" s="23"/>
      <c r="AK223" s="23"/>
      <c r="AL223" s="23"/>
    </row>
    <row r="224" hidden="1">
      <c r="A224" s="22" t="s">
        <v>2142</v>
      </c>
      <c r="B224" s="22" t="s">
        <v>2143</v>
      </c>
      <c r="C224" s="23" t="str">
        <f t="shared" si="1"/>
        <v>Lindsay Katherine LoBello</v>
      </c>
      <c r="D224" s="22">
        <v>4.157105816E9</v>
      </c>
      <c r="E224" s="29" t="s">
        <v>2144</v>
      </c>
      <c r="F224" s="22" t="s">
        <v>248</v>
      </c>
      <c r="G224" s="22">
        <v>299.0</v>
      </c>
      <c r="H224" s="22">
        <f t="array" ref="H224">IFERROR(INDEX('Hub CPC 226'!A:A, MATCH(C224, 'Hub CPC 226'!B:B, 0)), "")</f>
        <v>232</v>
      </c>
      <c r="I224" s="22">
        <f t="array" ref="I224">IFERROR(INDEX('Hub Users 226'!A:A, MATCH(C224, 'Hub Users 226'!B:B, 0)), "")</f>
        <v>251</v>
      </c>
      <c r="J224" s="22" t="s">
        <v>260</v>
      </c>
      <c r="K224" s="23" t="s">
        <v>2145</v>
      </c>
      <c r="L224" s="25">
        <v>43787.39375</v>
      </c>
      <c r="M224" s="28">
        <v>12.0</v>
      </c>
      <c r="N224" s="28">
        <v>47.0</v>
      </c>
      <c r="O224" s="28">
        <v>67.0</v>
      </c>
      <c r="P224" s="32">
        <v>6.0</v>
      </c>
      <c r="Q224" s="22" t="s">
        <v>2146</v>
      </c>
      <c r="R224" s="22" t="s">
        <v>293</v>
      </c>
      <c r="S224" s="22" t="s">
        <v>271</v>
      </c>
      <c r="T224" s="22" t="s">
        <v>272</v>
      </c>
      <c r="U224" s="22" t="s">
        <v>2147</v>
      </c>
      <c r="V224" s="26" t="s">
        <v>284</v>
      </c>
      <c r="W224" s="27" t="s">
        <v>2148</v>
      </c>
      <c r="X224" s="26" t="s">
        <v>619</v>
      </c>
      <c r="Y224" s="23"/>
      <c r="Z224" s="28"/>
      <c r="AA224" s="23"/>
      <c r="AB224" s="23" t="str">
        <f>IFERROR(__xludf.DUMMYFUNCTION("IF(
ISNUMBER(MATCH(
C224,
IMPORTRANGE(""https://docs.google.com/spreadsheets/d/1yTh1ELC33JHYOeEdgIiEclxPRyh0zOKtlawDltfUay8"",""'Champions'!A:A""),
0
)),
""Outreach Conducted"",
"""")"),"")</f>
        <v/>
      </c>
      <c r="AC224" s="23"/>
      <c r="AD224" s="23"/>
      <c r="AE224" s="23"/>
      <c r="AF224" s="23"/>
      <c r="AG224" s="23"/>
      <c r="AH224" s="23"/>
      <c r="AI224" s="23"/>
      <c r="AJ224" s="23"/>
      <c r="AK224" s="23"/>
      <c r="AL224" s="23"/>
    </row>
    <row r="225" hidden="1">
      <c r="A225" s="22" t="s">
        <v>2149</v>
      </c>
      <c r="B225" s="22" t="s">
        <v>2150</v>
      </c>
      <c r="C225" s="23" t="str">
        <f t="shared" si="1"/>
        <v>Leanna Kieran Carroll</v>
      </c>
      <c r="D225" s="22" t="s">
        <v>2151</v>
      </c>
      <c r="E225" s="29" t="s">
        <v>2152</v>
      </c>
      <c r="F225" s="22" t="s">
        <v>248</v>
      </c>
      <c r="G225" s="22">
        <v>319.0</v>
      </c>
      <c r="H225" s="22">
        <f t="array" ref="H225">IFERROR(INDEX('Hub CPC 226'!A:A, MATCH(C225, 'Hub CPC 226'!B:B, 0)), "")</f>
        <v>234</v>
      </c>
      <c r="I225" s="22">
        <f t="array" ref="I225">IFERROR(INDEX('Hub Users 226'!A:A, MATCH(C225, 'Hub Users 226'!B:B, 0)), "")</f>
        <v>253</v>
      </c>
      <c r="J225" s="22"/>
      <c r="K225" s="23" t="s">
        <v>2153</v>
      </c>
      <c r="L225" s="25">
        <v>43916.759722222225</v>
      </c>
      <c r="M225" s="28">
        <v>5.0</v>
      </c>
      <c r="N225" s="28">
        <v>11.0</v>
      </c>
      <c r="O225" s="28">
        <v>33.0</v>
      </c>
      <c r="P225" s="32">
        <v>23.0</v>
      </c>
      <c r="Q225" s="22" t="s">
        <v>2154</v>
      </c>
      <c r="R225" s="22" t="s">
        <v>2155</v>
      </c>
      <c r="S225" s="22" t="s">
        <v>1173</v>
      </c>
      <c r="T225" s="22" t="s">
        <v>272</v>
      </c>
      <c r="U225" s="22" t="s">
        <v>2156</v>
      </c>
      <c r="V225" s="26" t="s">
        <v>360</v>
      </c>
      <c r="W225" s="27" t="s">
        <v>2157</v>
      </c>
      <c r="X225" s="26" t="s">
        <v>629</v>
      </c>
      <c r="Y225" s="23"/>
      <c r="Z225" s="28"/>
      <c r="AA225" s="23"/>
      <c r="AB225" s="23" t="str">
        <f>IFERROR(__xludf.DUMMYFUNCTION("IF(
ISNUMBER(MATCH(
C225,
IMPORTRANGE(""https://docs.google.com/spreadsheets/d/1yTh1ELC33JHYOeEdgIiEclxPRyh0zOKtlawDltfUay8"",""'Champions'!A:A""),
0
)),
""Outreach Conducted"",
"""")"),"")</f>
        <v/>
      </c>
      <c r="AC225" s="23"/>
      <c r="AD225" s="23"/>
      <c r="AE225" s="23"/>
      <c r="AF225" s="23"/>
      <c r="AG225" s="23"/>
      <c r="AH225" s="23"/>
      <c r="AI225" s="23"/>
      <c r="AJ225" s="23"/>
      <c r="AK225" s="23"/>
      <c r="AL225" s="23"/>
    </row>
    <row r="226" hidden="1">
      <c r="A226" s="22" t="s">
        <v>2158</v>
      </c>
      <c r="B226" s="22" t="s">
        <v>2159</v>
      </c>
      <c r="C226" s="23" t="str">
        <f t="shared" si="1"/>
        <v>Loic Uriel Nguoghia</v>
      </c>
      <c r="D226" s="22">
        <v>1.4053612385E10</v>
      </c>
      <c r="E226" s="29" t="s">
        <v>2160</v>
      </c>
      <c r="F226" s="22" t="s">
        <v>248</v>
      </c>
      <c r="G226" s="22">
        <v>552.0</v>
      </c>
      <c r="H226" s="22">
        <f t="array" ref="H226">IFERROR(INDEX('Hub CPC 226'!A:A, MATCH(C226, 'Hub CPC 226'!B:B, 0)), "")</f>
        <v>235</v>
      </c>
      <c r="I226" s="22">
        <f t="array" ref="I226">IFERROR(INDEX('Hub Users 226'!A:A, MATCH(C226, 'Hub Users 226'!B:B, 0)), "")</f>
        <v>254</v>
      </c>
      <c r="J226" s="22" t="s">
        <v>1235</v>
      </c>
      <c r="K226" s="28" t="s">
        <v>2161</v>
      </c>
      <c r="L226" s="25">
        <v>44516.75833333333</v>
      </c>
      <c r="M226" s="23"/>
      <c r="N226" s="23"/>
      <c r="O226" s="23"/>
      <c r="P226" s="23"/>
      <c r="Q226" s="22" t="s">
        <v>2162</v>
      </c>
      <c r="R226" s="22" t="s">
        <v>674</v>
      </c>
      <c r="S226" s="22" t="s">
        <v>2163</v>
      </c>
      <c r="T226" s="22" t="s">
        <v>241</v>
      </c>
      <c r="U226" s="22" t="s">
        <v>2164</v>
      </c>
      <c r="V226" s="26" t="s">
        <v>507</v>
      </c>
      <c r="W226" s="27" t="s">
        <v>2165</v>
      </c>
      <c r="X226" s="26" t="s">
        <v>2166</v>
      </c>
      <c r="Y226" s="23"/>
      <c r="Z226" s="28"/>
      <c r="AA226" s="23"/>
      <c r="AB226" s="23" t="str">
        <f>IFERROR(__xludf.DUMMYFUNCTION("IF(
ISNUMBER(MATCH(
C226,
IMPORTRANGE(""https://docs.google.com/spreadsheets/d/1yTh1ELC33JHYOeEdgIiEclxPRyh0zOKtlawDltfUay8"",""'Champions'!A:A""),
0
)),
""Outreach Conducted"",
"""")"),"")</f>
        <v/>
      </c>
      <c r="AC226" s="23"/>
      <c r="AD226" s="26" t="s">
        <v>448</v>
      </c>
      <c r="AE226" s="28" t="s">
        <v>705</v>
      </c>
      <c r="AF226" s="28" t="s">
        <v>449</v>
      </c>
      <c r="AG226" s="28" t="s">
        <v>706</v>
      </c>
      <c r="AH226" s="23"/>
      <c r="AI226" s="23"/>
      <c r="AJ226" s="23"/>
      <c r="AK226" s="23"/>
      <c r="AL226" s="23"/>
    </row>
    <row r="227" hidden="1">
      <c r="A227" s="22" t="s">
        <v>2167</v>
      </c>
      <c r="B227" s="22" t="s">
        <v>2168</v>
      </c>
      <c r="C227" s="23" t="str">
        <f t="shared" si="1"/>
        <v>Loren Hernandez</v>
      </c>
      <c r="D227" s="22">
        <v>1.972804586E10</v>
      </c>
      <c r="E227" s="29" t="s">
        <v>2169</v>
      </c>
      <c r="F227" s="22" t="s">
        <v>238</v>
      </c>
      <c r="G227" s="22">
        <v>474.0</v>
      </c>
      <c r="H227" s="22">
        <f t="array" ref="H227">IFERROR(INDEX('Hub CPC 226'!A:A, MATCH(C227, 'Hub CPC 226'!B:B, 0)), "")</f>
        <v>236</v>
      </c>
      <c r="I227" s="22">
        <f t="array" ref="I227">IFERROR(INDEX('Hub Users 226'!A:A, MATCH(C227, 'Hub Users 226'!B:B, 0)), "")</f>
        <v>255</v>
      </c>
      <c r="J227" s="22" t="s">
        <v>260</v>
      </c>
      <c r="K227" s="23" t="s">
        <v>2170</v>
      </c>
      <c r="L227" s="25">
        <v>44334.748611111114</v>
      </c>
      <c r="M227" s="23"/>
      <c r="N227" s="23"/>
      <c r="O227" s="23"/>
      <c r="P227" s="23"/>
      <c r="Q227" s="22" t="s">
        <v>2171</v>
      </c>
      <c r="R227" s="22" t="s">
        <v>2172</v>
      </c>
      <c r="S227" s="22" t="s">
        <v>2173</v>
      </c>
      <c r="T227" s="22" t="s">
        <v>252</v>
      </c>
      <c r="U227" s="22" t="s">
        <v>2174</v>
      </c>
      <c r="V227" s="26" t="s">
        <v>284</v>
      </c>
      <c r="W227" s="27" t="s">
        <v>2175</v>
      </c>
      <c r="X227" s="26" t="s">
        <v>2176</v>
      </c>
      <c r="Y227" s="23"/>
      <c r="Z227" s="28"/>
      <c r="AA227" s="23"/>
      <c r="AB227" s="23" t="str">
        <f>IFERROR(__xludf.DUMMYFUNCTION("IF(
ISNUMBER(MATCH(
C227,
IMPORTRANGE(""https://docs.google.com/spreadsheets/d/1yTh1ELC33JHYOeEdgIiEclxPRyh0zOKtlawDltfUay8"",""'Champions'!A:A""),
0
)),
""Outreach Conducted"",
"""")"),"")</f>
        <v/>
      </c>
      <c r="AC227" s="23"/>
      <c r="AD227" s="23"/>
      <c r="AE227" s="23"/>
      <c r="AF227" s="23"/>
      <c r="AG227" s="23"/>
      <c r="AH227" s="23"/>
      <c r="AI227" s="23"/>
      <c r="AJ227" s="23"/>
      <c r="AK227" s="23"/>
      <c r="AL227" s="23"/>
    </row>
    <row r="228" hidden="1">
      <c r="A228" s="22" t="s">
        <v>2177</v>
      </c>
      <c r="B228" s="22" t="s">
        <v>2178</v>
      </c>
      <c r="C228" s="23" t="str">
        <f t="shared" si="1"/>
        <v>Luz Santana</v>
      </c>
      <c r="D228" s="22">
        <v>1.3477842546E10</v>
      </c>
      <c r="E228" s="29" t="s">
        <v>2179</v>
      </c>
      <c r="F228" s="22" t="s">
        <v>248</v>
      </c>
      <c r="G228" s="22">
        <v>676.0</v>
      </c>
      <c r="H228" s="22">
        <f t="array" ref="H228">IFERROR(INDEX('Hub CPC 226'!A:A, MATCH(C228, 'Hub CPC 226'!B:B, 0)), "")</f>
        <v>237</v>
      </c>
      <c r="I228" s="22">
        <f t="array" ref="I228">IFERROR(INDEX('Hub Users 226'!A:A, MATCH(C228, 'Hub Users 226'!B:B, 0)), "")</f>
        <v>256</v>
      </c>
      <c r="J228" s="22" t="s">
        <v>239</v>
      </c>
      <c r="K228" s="23" t="s">
        <v>2180</v>
      </c>
      <c r="L228" s="25">
        <v>44865.97361111111</v>
      </c>
      <c r="M228" s="28">
        <v>7.0</v>
      </c>
      <c r="N228" s="28">
        <v>18.0</v>
      </c>
      <c r="O228" s="28">
        <v>53.0</v>
      </c>
      <c r="P228" s="32">
        <v>34.0</v>
      </c>
      <c r="Q228" s="22" t="s">
        <v>2181</v>
      </c>
      <c r="R228" s="22" t="s">
        <v>271</v>
      </c>
      <c r="S228" s="22" t="s">
        <v>294</v>
      </c>
      <c r="T228" s="22" t="s">
        <v>272</v>
      </c>
      <c r="U228" s="22" t="s">
        <v>2182</v>
      </c>
      <c r="V228" s="26" t="s">
        <v>1147</v>
      </c>
      <c r="W228" s="27" t="s">
        <v>2183</v>
      </c>
      <c r="X228" s="26" t="s">
        <v>2184</v>
      </c>
      <c r="Y228" s="23"/>
      <c r="Z228" s="28"/>
      <c r="AA228" s="23"/>
      <c r="AB228" s="23" t="str">
        <f>IFERROR(__xludf.DUMMYFUNCTION("IF(
ISNUMBER(MATCH(
C228,
IMPORTRANGE(""https://docs.google.com/spreadsheets/d/1yTh1ELC33JHYOeEdgIiEclxPRyh0zOKtlawDltfUay8"",""'Champions'!A:A""),
0
)),
""Outreach Conducted"",
"""")"),"")</f>
        <v/>
      </c>
      <c r="AC228" s="23"/>
      <c r="AD228" s="23"/>
      <c r="AE228" s="23"/>
      <c r="AF228" s="23"/>
      <c r="AG228" s="23"/>
      <c r="AH228" s="23"/>
      <c r="AI228" s="23"/>
      <c r="AJ228" s="23"/>
      <c r="AK228" s="23"/>
      <c r="AL228" s="23"/>
    </row>
    <row r="229" hidden="1">
      <c r="A229" s="22" t="s">
        <v>2185</v>
      </c>
      <c r="B229" s="22" t="s">
        <v>2186</v>
      </c>
      <c r="C229" s="23" t="str">
        <f t="shared" si="1"/>
        <v>Lynda Nwabuobi</v>
      </c>
      <c r="D229" s="22" t="s">
        <v>2187</v>
      </c>
      <c r="E229" s="29" t="s">
        <v>2188</v>
      </c>
      <c r="F229" s="22" t="s">
        <v>238</v>
      </c>
      <c r="G229" s="22">
        <v>64.0</v>
      </c>
      <c r="H229" s="22">
        <f t="array" ref="H229">IFERROR(INDEX('Hub CPC 226'!A:A, MATCH(C229, 'Hub CPC 226'!B:B, 0)), "")</f>
        <v>238</v>
      </c>
      <c r="I229" s="22">
        <f t="array" ref="I229">IFERROR(INDEX('Hub Users 226'!A:A, MATCH(C229, 'Hub Users 226'!B:B, 0)), "")</f>
        <v>257</v>
      </c>
      <c r="J229" s="22" t="s">
        <v>260</v>
      </c>
      <c r="K229" s="23" t="s">
        <v>2189</v>
      </c>
      <c r="L229" s="25">
        <v>43338.743055555555</v>
      </c>
      <c r="M229" s="23"/>
      <c r="N229" s="23"/>
      <c r="O229" s="23"/>
      <c r="P229" s="23"/>
      <c r="Q229" s="22" t="s">
        <v>2190</v>
      </c>
      <c r="R229" s="22" t="s">
        <v>2191</v>
      </c>
      <c r="S229" s="22" t="s">
        <v>1371</v>
      </c>
      <c r="T229" s="22" t="s">
        <v>1372</v>
      </c>
      <c r="U229" s="22" t="s">
        <v>2192</v>
      </c>
      <c r="V229" s="26" t="s">
        <v>2193</v>
      </c>
      <c r="W229" s="27" t="s">
        <v>2194</v>
      </c>
      <c r="X229" s="26" t="s">
        <v>2195</v>
      </c>
      <c r="Y229" s="23"/>
      <c r="Z229" s="28"/>
      <c r="AA229" s="23"/>
      <c r="AB229" s="23" t="str">
        <f>IFERROR(__xludf.DUMMYFUNCTION("IF(
ISNUMBER(MATCH(
C229,
IMPORTRANGE(""https://docs.google.com/spreadsheets/d/1yTh1ELC33JHYOeEdgIiEclxPRyh0zOKtlawDltfUay8"",""'Champions'!A:A""),
0
)),
""Outreach Conducted"",
"""")"),"")</f>
        <v/>
      </c>
      <c r="AC229" s="23"/>
      <c r="AD229" s="23"/>
      <c r="AE229" s="23"/>
      <c r="AF229" s="23"/>
      <c r="AG229" s="23"/>
      <c r="AH229" s="23"/>
      <c r="AI229" s="23"/>
      <c r="AJ229" s="23"/>
      <c r="AK229" s="23"/>
      <c r="AL229" s="23"/>
    </row>
    <row r="230" hidden="1">
      <c r="A230" s="22" t="s">
        <v>2196</v>
      </c>
      <c r="B230" s="22" t="s">
        <v>2197</v>
      </c>
      <c r="C230" s="23" t="str">
        <f t="shared" si="1"/>
        <v>Ayanna Lyons</v>
      </c>
      <c r="D230" s="22">
        <v>1.8565163141E10</v>
      </c>
      <c r="E230" s="29" t="s">
        <v>2198</v>
      </c>
      <c r="F230" s="22" t="s">
        <v>248</v>
      </c>
      <c r="G230" s="22">
        <v>374.0</v>
      </c>
      <c r="H230" s="22">
        <f t="array" ref="H230">IFERROR(INDEX('Hub CPC 226'!A:A, MATCH(C230, 'Hub CPC 226'!B:B, 0)), "")</f>
        <v>239</v>
      </c>
      <c r="I230" s="22">
        <f t="array" ref="I230">IFERROR(INDEX('Hub Users 226'!A:A, MATCH(C230, 'Hub Users 226'!B:B, 0)), "")</f>
        <v>258</v>
      </c>
      <c r="J230" s="22" t="s">
        <v>107</v>
      </c>
      <c r="K230" s="23" t="s">
        <v>2199</v>
      </c>
      <c r="L230" s="25">
        <v>44194.3625</v>
      </c>
      <c r="M230" s="23"/>
      <c r="N230" s="23"/>
      <c r="O230" s="23"/>
      <c r="P230" s="23"/>
      <c r="Q230" s="22" t="s">
        <v>2200</v>
      </c>
      <c r="R230" s="22" t="s">
        <v>674</v>
      </c>
      <c r="S230" s="22" t="s">
        <v>2201</v>
      </c>
      <c r="T230" s="22" t="s">
        <v>241</v>
      </c>
      <c r="U230" s="22" t="s">
        <v>2202</v>
      </c>
      <c r="V230" s="26" t="s">
        <v>2203</v>
      </c>
      <c r="W230" s="27" t="s">
        <v>2204</v>
      </c>
      <c r="X230" s="26" t="s">
        <v>2205</v>
      </c>
      <c r="Y230" s="23"/>
      <c r="Z230" s="28"/>
      <c r="AA230" s="23"/>
      <c r="AB230" s="23" t="str">
        <f>IFERROR(__xludf.DUMMYFUNCTION("IF(
ISNUMBER(MATCH(
C230,
IMPORTRANGE(""https://docs.google.com/spreadsheets/d/1yTh1ELC33JHYOeEdgIiEclxPRyh0zOKtlawDltfUay8"",""'Champions'!A:A""),
0
)),
""Outreach Conducted"",
"""")"),"")</f>
        <v/>
      </c>
      <c r="AC230" s="23"/>
      <c r="AD230" s="23"/>
      <c r="AE230" s="23"/>
      <c r="AF230" s="23"/>
      <c r="AG230" s="23"/>
      <c r="AH230" s="23"/>
      <c r="AI230" s="23"/>
      <c r="AJ230" s="23"/>
      <c r="AK230" s="23"/>
      <c r="AL230" s="23"/>
    </row>
    <row r="231" hidden="1">
      <c r="A231" s="22" t="s">
        <v>2206</v>
      </c>
      <c r="B231" s="22" t="s">
        <v>1873</v>
      </c>
      <c r="C231" s="23" t="str">
        <f t="shared" si="1"/>
        <v>Lucy Zheng</v>
      </c>
      <c r="D231" s="22">
        <v>2.066616705E9</v>
      </c>
      <c r="E231" s="29" t="s">
        <v>2207</v>
      </c>
      <c r="F231" s="22" t="s">
        <v>238</v>
      </c>
      <c r="G231" s="22">
        <v>333.0</v>
      </c>
      <c r="H231" s="22">
        <f t="array" ref="H231">IFERROR(INDEX('Hub CPC 226'!A:A, MATCH(C231, 'Hub CPC 226'!B:B, 0)), "")</f>
        <v>240</v>
      </c>
      <c r="I231" s="22">
        <f t="array" ref="I231">IFERROR(INDEX('Hub Users 226'!A:A, MATCH(C231, 'Hub Users 226'!B:B, 0)), "")</f>
        <v>259</v>
      </c>
      <c r="J231" s="22" t="s">
        <v>240</v>
      </c>
      <c r="K231" s="23" t="s">
        <v>2208</v>
      </c>
      <c r="L231" s="25">
        <v>44026.5875</v>
      </c>
      <c r="M231" s="28">
        <v>10.0</v>
      </c>
      <c r="N231" s="28">
        <v>27.0</v>
      </c>
      <c r="O231" s="28">
        <v>65.0</v>
      </c>
      <c r="P231" s="32">
        <v>1.0</v>
      </c>
      <c r="Q231" s="22" t="s">
        <v>2209</v>
      </c>
      <c r="R231" s="22" t="s">
        <v>271</v>
      </c>
      <c r="S231" s="22" t="s">
        <v>271</v>
      </c>
      <c r="T231" s="22" t="s">
        <v>272</v>
      </c>
      <c r="U231" s="22" t="s">
        <v>2210</v>
      </c>
      <c r="V231" s="23"/>
      <c r="W231" s="23"/>
      <c r="X231" s="23"/>
      <c r="Y231" s="23"/>
      <c r="Z231" s="28"/>
      <c r="AA231" s="23"/>
      <c r="AB231" s="23" t="str">
        <f>IFERROR(__xludf.DUMMYFUNCTION("IF(
ISNUMBER(MATCH(
C231,
IMPORTRANGE(""https://docs.google.com/spreadsheets/d/1yTh1ELC33JHYOeEdgIiEclxPRyh0zOKtlawDltfUay8"",""'Champions'!A:A""),
0
)),
""Outreach Conducted"",
"""")"),"")</f>
        <v/>
      </c>
      <c r="AC231" s="23"/>
      <c r="AD231" s="23"/>
      <c r="AE231" s="23"/>
      <c r="AF231" s="23"/>
      <c r="AG231" s="23"/>
      <c r="AH231" s="23"/>
      <c r="AI231" s="23"/>
      <c r="AJ231" s="23"/>
      <c r="AK231" s="23"/>
      <c r="AL231" s="23"/>
    </row>
    <row r="232" hidden="1">
      <c r="A232" s="22" t="s">
        <v>2211</v>
      </c>
      <c r="B232" s="22" t="s">
        <v>2212</v>
      </c>
      <c r="C232" s="23" t="str">
        <f t="shared" si="1"/>
        <v>Maha Khalawi</v>
      </c>
      <c r="D232" s="30">
        <v>9.71567E11</v>
      </c>
      <c r="E232" s="29" t="s">
        <v>2213</v>
      </c>
      <c r="F232" s="22" t="s">
        <v>248</v>
      </c>
      <c r="G232" s="22">
        <v>313.0</v>
      </c>
      <c r="H232" s="22">
        <f t="array" ref="H232">IFERROR(INDEX('Hub CPC 226'!A:A, MATCH(C232, 'Hub CPC 226'!B:B, 0)), "")</f>
        <v>241</v>
      </c>
      <c r="I232" s="22">
        <f t="array" ref="I232">IFERROR(INDEX('Hub Users 226'!A:A, MATCH(C232, 'Hub Users 226'!B:B, 0)), "")</f>
        <v>260</v>
      </c>
      <c r="J232" s="22" t="s">
        <v>260</v>
      </c>
      <c r="K232" s="23" t="s">
        <v>2214</v>
      </c>
      <c r="L232" s="25">
        <v>43912.188888888886</v>
      </c>
      <c r="M232" s="23"/>
      <c r="N232" s="23"/>
      <c r="O232" s="23"/>
      <c r="P232" s="23"/>
      <c r="Q232" s="22" t="s">
        <v>2215</v>
      </c>
      <c r="R232" s="22" t="s">
        <v>2216</v>
      </c>
      <c r="S232" s="24"/>
      <c r="T232" s="24"/>
      <c r="U232" s="22" t="s">
        <v>2217</v>
      </c>
      <c r="V232" s="26" t="s">
        <v>284</v>
      </c>
      <c r="W232" s="27" t="s">
        <v>2218</v>
      </c>
      <c r="X232" s="26" t="s">
        <v>1085</v>
      </c>
      <c r="Y232" s="23"/>
      <c r="Z232" s="28"/>
      <c r="AA232" s="23"/>
      <c r="AB232" s="23" t="str">
        <f>IFERROR(__xludf.DUMMYFUNCTION("IF(
ISNUMBER(MATCH(
C232,
IMPORTRANGE(""https://docs.google.com/spreadsheets/d/1yTh1ELC33JHYOeEdgIiEclxPRyh0zOKtlawDltfUay8"",""'Champions'!A:A""),
0
)),
""Outreach Conducted"",
"""")"),"")</f>
        <v/>
      </c>
      <c r="AC232" s="23"/>
      <c r="AD232" s="23"/>
      <c r="AE232" s="23"/>
      <c r="AF232" s="23"/>
      <c r="AG232" s="23"/>
      <c r="AH232" s="23"/>
      <c r="AI232" s="23"/>
      <c r="AJ232" s="23"/>
      <c r="AK232" s="23"/>
      <c r="AL232" s="23"/>
    </row>
    <row r="233" hidden="1">
      <c r="A233" s="22" t="s">
        <v>2219</v>
      </c>
      <c r="B233" s="22" t="s">
        <v>2220</v>
      </c>
      <c r="C233" s="23" t="str">
        <f t="shared" si="1"/>
        <v>Marissa Arciola</v>
      </c>
      <c r="D233" s="22" t="s">
        <v>2221</v>
      </c>
      <c r="E233" s="29" t="s">
        <v>2222</v>
      </c>
      <c r="F233" s="22" t="s">
        <v>248</v>
      </c>
      <c r="G233" s="22">
        <v>120.0</v>
      </c>
      <c r="H233" s="22">
        <f t="array" ref="H233">IFERROR(INDEX('Hub CPC 226'!A:A, MATCH(C233, 'Hub CPC 226'!B:B, 0)), "")</f>
        <v>242</v>
      </c>
      <c r="I233" s="22">
        <f t="array" ref="I233">IFERROR(INDEX('Hub Users 226'!A:A, MATCH(C233, 'Hub Users 226'!B:B, 0)), "")</f>
        <v>261</v>
      </c>
      <c r="J233" s="22" t="s">
        <v>240</v>
      </c>
      <c r="K233" s="23" t="s">
        <v>2223</v>
      </c>
      <c r="L233" s="25">
        <v>43500.634722222225</v>
      </c>
      <c r="M233" s="28">
        <v>14.0</v>
      </c>
      <c r="N233" s="28">
        <v>59.0</v>
      </c>
      <c r="O233" s="28">
        <v>36.0</v>
      </c>
      <c r="P233" s="32">
        <v>22.0</v>
      </c>
      <c r="Q233" s="22" t="s">
        <v>2224</v>
      </c>
      <c r="R233" s="22" t="s">
        <v>2225</v>
      </c>
      <c r="S233" s="22" t="s">
        <v>1405</v>
      </c>
      <c r="T233" s="22" t="s">
        <v>272</v>
      </c>
      <c r="U233" s="22" t="s">
        <v>2226</v>
      </c>
      <c r="V233" s="26" t="s">
        <v>284</v>
      </c>
      <c r="W233" s="27" t="s">
        <v>2227</v>
      </c>
      <c r="X233" s="26" t="s">
        <v>457</v>
      </c>
      <c r="Y233" s="23"/>
      <c r="Z233" s="28"/>
      <c r="AA233" s="23"/>
      <c r="AB233" s="23" t="str">
        <f>IFERROR(__xludf.DUMMYFUNCTION("IF(
ISNUMBER(MATCH(
C233,
IMPORTRANGE(""https://docs.google.com/spreadsheets/d/1yTh1ELC33JHYOeEdgIiEclxPRyh0zOKtlawDltfUay8"",""'Champions'!A:A""),
0
)),
""Outreach Conducted"",
"""")"),"")</f>
        <v/>
      </c>
      <c r="AC233" s="23"/>
      <c r="AD233" s="23"/>
      <c r="AE233" s="23"/>
      <c r="AF233" s="23"/>
      <c r="AG233" s="23"/>
      <c r="AH233" s="23"/>
      <c r="AI233" s="23"/>
      <c r="AJ233" s="23"/>
      <c r="AK233" s="23"/>
      <c r="AL233" s="23"/>
    </row>
    <row r="234">
      <c r="A234" s="22" t="s">
        <v>976</v>
      </c>
      <c r="B234" s="22" t="s">
        <v>2228</v>
      </c>
      <c r="C234" s="23" t="str">
        <f t="shared" si="1"/>
        <v>Christopher Mc Daid</v>
      </c>
      <c r="D234" s="22">
        <v>1.3477350835E10</v>
      </c>
      <c r="E234" s="29" t="s">
        <v>2229</v>
      </c>
      <c r="F234" s="22" t="s">
        <v>399</v>
      </c>
      <c r="G234" s="22">
        <v>496.0</v>
      </c>
      <c r="H234" s="22">
        <f t="array" ref="H234">IFERROR(INDEX('Hub CPC 226'!A:A, MATCH(C234, 'Hub CPC 226'!B:B, 0)), "")</f>
        <v>243</v>
      </c>
      <c r="I234" s="22">
        <f t="array" ref="I234">IFERROR(INDEX('Hub Users 226'!A:A, MATCH(C234, 'Hub Users 226'!B:B, 0)), "")</f>
        <v>262</v>
      </c>
      <c r="J234" s="22" t="s">
        <v>107</v>
      </c>
      <c r="K234" s="23" t="s">
        <v>2230</v>
      </c>
      <c r="L234" s="25">
        <v>44440.60763888889</v>
      </c>
      <c r="M234" s="28"/>
      <c r="N234" s="28"/>
      <c r="O234" s="28"/>
      <c r="P234" s="31"/>
      <c r="Q234" s="22" t="s">
        <v>2231</v>
      </c>
      <c r="R234" s="22" t="s">
        <v>859</v>
      </c>
      <c r="S234" s="22" t="s">
        <v>859</v>
      </c>
      <c r="T234" s="22" t="s">
        <v>272</v>
      </c>
      <c r="U234" s="22" t="s">
        <v>2232</v>
      </c>
      <c r="V234" s="23"/>
      <c r="W234" s="23"/>
      <c r="X234" s="23"/>
      <c r="Y234" s="23"/>
      <c r="Z234" s="23"/>
      <c r="AA234" s="23"/>
      <c r="AB234" s="23" t="str">
        <f>IFERROR(__xludf.DUMMYFUNCTION("IF(
ISNUMBER(MATCH(
C234,
IMPORTRANGE(""https://docs.google.com/spreadsheets/d/1yTh1ELC33JHYOeEdgIiEclxPRyh0zOKtlawDltfUay8"",""'Champions'!A:A""),
0
)),
""Outreach Conducted"",
"""")"),"")</f>
        <v/>
      </c>
      <c r="AC234" s="23"/>
      <c r="AD234" s="23"/>
      <c r="AE234" s="23"/>
      <c r="AF234" s="23"/>
      <c r="AG234" s="23"/>
      <c r="AH234" s="23"/>
      <c r="AI234" s="23"/>
      <c r="AJ234" s="23"/>
      <c r="AK234" s="23"/>
      <c r="AL234" s="23"/>
    </row>
    <row r="235" hidden="1">
      <c r="A235" s="22" t="s">
        <v>2233</v>
      </c>
      <c r="B235" s="22" t="s">
        <v>2234</v>
      </c>
      <c r="C235" s="23" t="str">
        <f t="shared" si="1"/>
        <v>Madhuri (Maddy) Koushik</v>
      </c>
      <c r="D235" s="22">
        <v>-5134.0</v>
      </c>
      <c r="E235" s="29" t="s">
        <v>2235</v>
      </c>
      <c r="F235" s="22" t="s">
        <v>248</v>
      </c>
      <c r="G235" s="22">
        <v>713.0</v>
      </c>
      <c r="H235" s="22">
        <f t="array" ref="H235">IFERROR(INDEX('Hub CPC 226'!A:A, MATCH(C235, 'Hub CPC 226'!B:B, 0)), "")</f>
        <v>244</v>
      </c>
      <c r="I235" s="22">
        <f t="array" ref="I235">IFERROR(INDEX('Hub Users 226'!A:A, MATCH(C235, 'Hub Users 226'!B:B, 0)), "")</f>
        <v>263</v>
      </c>
      <c r="J235" s="22" t="s">
        <v>425</v>
      </c>
      <c r="K235" s="23" t="s">
        <v>2236</v>
      </c>
      <c r="L235" s="25">
        <v>45007.60138888889</v>
      </c>
      <c r="M235" s="23"/>
      <c r="N235" s="23"/>
      <c r="O235" s="23"/>
      <c r="P235" s="23"/>
      <c r="Q235" s="22" t="s">
        <v>2237</v>
      </c>
      <c r="R235" s="22"/>
      <c r="S235" s="22" t="s">
        <v>2238</v>
      </c>
      <c r="T235" s="22" t="s">
        <v>501</v>
      </c>
      <c r="U235" s="22" t="s">
        <v>2239</v>
      </c>
      <c r="V235" s="26" t="s">
        <v>475</v>
      </c>
      <c r="W235" s="27" t="s">
        <v>2240</v>
      </c>
      <c r="X235" s="26" t="s">
        <v>2241</v>
      </c>
      <c r="Y235" s="23"/>
      <c r="Z235" s="28"/>
      <c r="AA235" s="23"/>
      <c r="AB235" s="23" t="str">
        <f>IFERROR(__xludf.DUMMYFUNCTION("IF(
ISNUMBER(MATCH(
C235,
IMPORTRANGE(""https://docs.google.com/spreadsheets/d/1yTh1ELC33JHYOeEdgIiEclxPRyh0zOKtlawDltfUay8"",""'Champions'!A:A""),
0
)),
""Outreach Conducted"",
"""")"),"")</f>
        <v/>
      </c>
      <c r="AC235" s="23"/>
      <c r="AD235" s="23"/>
      <c r="AE235" s="23"/>
      <c r="AF235" s="23"/>
      <c r="AG235" s="23"/>
      <c r="AH235" s="23"/>
      <c r="AI235" s="23"/>
      <c r="AJ235" s="23"/>
      <c r="AK235" s="23"/>
      <c r="AL235" s="23"/>
    </row>
    <row r="236" hidden="1">
      <c r="A236" s="22" t="s">
        <v>2242</v>
      </c>
      <c r="B236" s="22" t="s">
        <v>2243</v>
      </c>
      <c r="C236" s="23" t="str">
        <f t="shared" si="1"/>
        <v>Madhuri Sesha Sarma</v>
      </c>
      <c r="D236" s="22">
        <v>1.4026718181E10</v>
      </c>
      <c r="E236" s="29" t="s">
        <v>2244</v>
      </c>
      <c r="F236" s="22" t="s">
        <v>248</v>
      </c>
      <c r="G236" s="22">
        <v>483.0</v>
      </c>
      <c r="H236" s="22">
        <f t="array" ref="H236">IFERROR(INDEX('Hub CPC 226'!A:A, MATCH(C236, 'Hub CPC 226'!B:B, 0)), "")</f>
        <v>245</v>
      </c>
      <c r="I236" s="22">
        <f t="array" ref="I236">IFERROR(INDEX('Hub Users 226'!A:A, MATCH(C236, 'Hub Users 226'!B:B, 0)), "")</f>
        <v>264</v>
      </c>
      <c r="J236" s="22" t="s">
        <v>260</v>
      </c>
      <c r="K236" s="23" t="s">
        <v>2245</v>
      </c>
      <c r="L236" s="25">
        <v>44376.10833333333</v>
      </c>
      <c r="M236" s="23"/>
      <c r="N236" s="23"/>
      <c r="O236" s="23"/>
      <c r="P236" s="23"/>
      <c r="Q236" s="22" t="s">
        <v>2246</v>
      </c>
      <c r="R236" s="22" t="s">
        <v>2247</v>
      </c>
      <c r="S236" s="22" t="s">
        <v>2247</v>
      </c>
      <c r="T236" s="22" t="s">
        <v>252</v>
      </c>
      <c r="U236" s="45" t="s">
        <v>2248</v>
      </c>
      <c r="V236" s="26" t="s">
        <v>475</v>
      </c>
      <c r="W236" s="27" t="s">
        <v>2249</v>
      </c>
      <c r="X236" s="23"/>
      <c r="Y236" s="23"/>
      <c r="Z236" s="28"/>
      <c r="AA236" s="23"/>
      <c r="AB236" s="23" t="str">
        <f>IFERROR(__xludf.DUMMYFUNCTION("IF(
ISNUMBER(MATCH(
C236,
IMPORTRANGE(""https://docs.google.com/spreadsheets/d/1yTh1ELC33JHYOeEdgIiEclxPRyh0zOKtlawDltfUay8"",""'Champions'!A:A""),
0
)),
""Outreach Conducted"",
"""")"),"")</f>
        <v/>
      </c>
      <c r="AC236" s="23"/>
      <c r="AD236" s="23"/>
      <c r="AE236" s="23"/>
      <c r="AF236" s="23"/>
      <c r="AG236" s="23"/>
      <c r="AH236" s="23"/>
      <c r="AI236" s="23"/>
      <c r="AJ236" s="23"/>
      <c r="AK236" s="23"/>
      <c r="AL236" s="23"/>
    </row>
    <row r="237" hidden="1">
      <c r="A237" s="22" t="s">
        <v>2250</v>
      </c>
      <c r="B237" s="22" t="s">
        <v>2251</v>
      </c>
      <c r="C237" s="23" t="str">
        <f t="shared" si="1"/>
        <v>Bela Madrigal</v>
      </c>
      <c r="D237" s="22">
        <v>1.4848093244E10</v>
      </c>
      <c r="E237" s="29" t="s">
        <v>2252</v>
      </c>
      <c r="F237" s="22" t="s">
        <v>248</v>
      </c>
      <c r="G237" s="22">
        <v>617.0</v>
      </c>
      <c r="H237" s="22">
        <f t="array" ref="H237">IFERROR(INDEX('Hub CPC 226'!A:A, MATCH(C237, 'Hub CPC 226'!B:B, 0)), "")</f>
        <v>246</v>
      </c>
      <c r="I237" s="22">
        <f t="array" ref="I237">IFERROR(INDEX('Hub Users 226'!A:A, MATCH(C237, 'Hub Users 226'!B:B, 0)), "")</f>
        <v>265</v>
      </c>
      <c r="J237" s="22" t="s">
        <v>107</v>
      </c>
      <c r="K237" s="23" t="s">
        <v>2253</v>
      </c>
      <c r="L237" s="25">
        <v>44591.688888888886</v>
      </c>
      <c r="M237" s="23"/>
      <c r="N237" s="23"/>
      <c r="O237" s="23"/>
      <c r="P237" s="23"/>
      <c r="Q237" s="22" t="s">
        <v>2254</v>
      </c>
      <c r="R237" s="22" t="s">
        <v>2255</v>
      </c>
      <c r="S237" s="22" t="s">
        <v>2256</v>
      </c>
      <c r="T237" s="22" t="s">
        <v>252</v>
      </c>
      <c r="U237" s="22" t="s">
        <v>2257</v>
      </c>
      <c r="V237" s="26" t="s">
        <v>284</v>
      </c>
      <c r="W237" s="27" t="s">
        <v>2258</v>
      </c>
      <c r="X237" s="26" t="s">
        <v>619</v>
      </c>
      <c r="Y237" s="23"/>
      <c r="Z237" s="28"/>
      <c r="AA237" s="23"/>
      <c r="AB237" s="23" t="str">
        <f>IFERROR(__xludf.DUMMYFUNCTION("IF(
ISNUMBER(MATCH(
C237,
IMPORTRANGE(""https://docs.google.com/spreadsheets/d/1yTh1ELC33JHYOeEdgIiEclxPRyh0zOKtlawDltfUay8"",""'Champions'!A:A""),
0
)),
""Outreach Conducted"",
"""")"),"")</f>
        <v/>
      </c>
      <c r="AC237" s="23"/>
      <c r="AD237" s="23"/>
      <c r="AE237" s="23"/>
      <c r="AF237" s="23"/>
      <c r="AG237" s="23"/>
      <c r="AH237" s="23"/>
      <c r="AI237" s="23"/>
      <c r="AJ237" s="23"/>
      <c r="AK237" s="23"/>
      <c r="AL237" s="23"/>
    </row>
    <row r="238" hidden="1">
      <c r="A238" s="22" t="s">
        <v>2259</v>
      </c>
      <c r="B238" s="22" t="s">
        <v>2260</v>
      </c>
      <c r="C238" s="23" t="str">
        <f t="shared" si="1"/>
        <v>Mallory Bogard</v>
      </c>
      <c r="D238" s="22">
        <v>1.4053175687E10</v>
      </c>
      <c r="E238" s="29" t="s">
        <v>2261</v>
      </c>
      <c r="F238" s="22" t="s">
        <v>248</v>
      </c>
      <c r="G238" s="22">
        <v>654.0</v>
      </c>
      <c r="H238" s="22">
        <f t="array" ref="H238">IFERROR(INDEX('Hub CPC 226'!A:A, MATCH(C238, 'Hub CPC 226'!B:B, 0)), "")</f>
        <v>247</v>
      </c>
      <c r="I238" s="22">
        <f t="array" ref="I238">IFERROR(INDEX('Hub Users 226'!A:A, MATCH(C238, 'Hub Users 226'!B:B, 0)), "")</f>
        <v>266</v>
      </c>
      <c r="J238" s="22" t="s">
        <v>239</v>
      </c>
      <c r="K238" s="23" t="s">
        <v>2262</v>
      </c>
      <c r="L238" s="25">
        <v>44719.6125</v>
      </c>
      <c r="M238" s="28">
        <v>10.0</v>
      </c>
      <c r="N238" s="28">
        <v>26.0</v>
      </c>
      <c r="O238" s="28">
        <v>52.0</v>
      </c>
      <c r="P238" s="32">
        <v>33.0</v>
      </c>
      <c r="Q238" s="22" t="s">
        <v>2263</v>
      </c>
      <c r="R238" s="22" t="s">
        <v>334</v>
      </c>
      <c r="S238" s="22" t="s">
        <v>271</v>
      </c>
      <c r="T238" s="22" t="s">
        <v>272</v>
      </c>
      <c r="U238" s="22" t="s">
        <v>2264</v>
      </c>
      <c r="V238" s="23"/>
      <c r="W238" s="23"/>
      <c r="X238" s="23"/>
      <c r="Y238" s="23"/>
      <c r="Z238" s="28"/>
      <c r="AA238" s="23"/>
      <c r="AB238" s="23" t="str">
        <f>IFERROR(__xludf.DUMMYFUNCTION("IF(
ISNUMBER(MATCH(
C238,
IMPORTRANGE(""https://docs.google.com/spreadsheets/d/1yTh1ELC33JHYOeEdgIiEclxPRyh0zOKtlawDltfUay8"",""'Champions'!A:A""),
0
)),
""Outreach Conducted"",
"""")"),"")</f>
        <v/>
      </c>
      <c r="AC238" s="23"/>
      <c r="AD238" s="23"/>
      <c r="AE238" s="23"/>
      <c r="AF238" s="23"/>
      <c r="AG238" s="23"/>
      <c r="AH238" s="23"/>
      <c r="AI238" s="23"/>
      <c r="AJ238" s="23"/>
      <c r="AK238" s="23"/>
      <c r="AL238" s="23"/>
    </row>
    <row r="239" hidden="1">
      <c r="A239" s="22" t="s">
        <v>2265</v>
      </c>
      <c r="B239" s="22" t="s">
        <v>2266</v>
      </c>
      <c r="C239" s="23" t="str">
        <f t="shared" si="1"/>
        <v>Malini Ramnarine</v>
      </c>
      <c r="D239" s="22">
        <v>9.543970976E9</v>
      </c>
      <c r="E239" s="29" t="s">
        <v>2267</v>
      </c>
      <c r="F239" s="22" t="s">
        <v>248</v>
      </c>
      <c r="G239" s="22">
        <v>297.0</v>
      </c>
      <c r="H239" s="22">
        <f t="array" ref="H239">IFERROR(INDEX('Hub CPC 226'!A:A, MATCH(C239, 'Hub CPC 226'!B:B, 0)), "")</f>
        <v>248</v>
      </c>
      <c r="I239" s="22">
        <f t="array" ref="I239">IFERROR(INDEX('Hub Users 226'!A:A, MATCH(C239, 'Hub Users 226'!B:B, 0)), "")</f>
        <v>267</v>
      </c>
      <c r="J239" s="22"/>
      <c r="K239" s="23" t="s">
        <v>2268</v>
      </c>
      <c r="L239" s="25">
        <v>43782.51388888889</v>
      </c>
      <c r="M239" s="23"/>
      <c r="N239" s="23"/>
      <c r="O239" s="23"/>
      <c r="P239" s="23"/>
      <c r="Q239" s="22" t="s">
        <v>2269</v>
      </c>
      <c r="R239" s="22" t="s">
        <v>2270</v>
      </c>
      <c r="S239" s="22" t="s">
        <v>2271</v>
      </c>
      <c r="T239" s="22" t="s">
        <v>841</v>
      </c>
      <c r="U239" s="22" t="s">
        <v>2272</v>
      </c>
      <c r="V239" s="23"/>
      <c r="W239" s="23"/>
      <c r="X239" s="23"/>
      <c r="Y239" s="23"/>
      <c r="Z239" s="28"/>
      <c r="AA239" s="23"/>
      <c r="AB239" s="23" t="str">
        <f>IFERROR(__xludf.DUMMYFUNCTION("IF(
ISNUMBER(MATCH(
C239,
IMPORTRANGE(""https://docs.google.com/spreadsheets/d/1yTh1ELC33JHYOeEdgIiEclxPRyh0zOKtlawDltfUay8"",""'Champions'!A:A""),
0
)),
""Outreach Conducted"",
"""")"),"")</f>
        <v/>
      </c>
      <c r="AC239" s="23"/>
      <c r="AD239" s="23"/>
      <c r="AE239" s="23"/>
      <c r="AF239" s="23"/>
      <c r="AG239" s="23"/>
      <c r="AH239" s="23"/>
      <c r="AI239" s="23"/>
      <c r="AJ239" s="23"/>
      <c r="AK239" s="23"/>
      <c r="AL239" s="23"/>
    </row>
    <row r="240" hidden="1">
      <c r="A240" s="22" t="s">
        <v>2273</v>
      </c>
      <c r="B240" s="22" t="s">
        <v>2274</v>
      </c>
      <c r="C240" s="23" t="str">
        <f t="shared" si="1"/>
        <v>Monique Rochell Anderson</v>
      </c>
      <c r="D240" s="22">
        <v>9.177513105E9</v>
      </c>
      <c r="E240" s="29" t="s">
        <v>2275</v>
      </c>
      <c r="F240" s="22" t="s">
        <v>248</v>
      </c>
      <c r="G240" s="22">
        <v>24.0</v>
      </c>
      <c r="H240" s="22">
        <f t="array" ref="H240">IFERROR(INDEX('Hub CPC 226'!A:A, MATCH(C240, 'Hub CPC 226'!B:B, 0)), "")</f>
        <v>249</v>
      </c>
      <c r="I240" s="22">
        <f t="array" ref="I240">IFERROR(INDEX('Hub Users 226'!A:A, MATCH(C240, 'Hub Users 226'!B:B, 0)), "")</f>
        <v>268</v>
      </c>
      <c r="J240" s="22" t="s">
        <v>407</v>
      </c>
      <c r="K240" s="28" t="s">
        <v>2276</v>
      </c>
      <c r="L240" s="25">
        <v>43338.743055555555</v>
      </c>
      <c r="M240" s="23"/>
      <c r="N240" s="23"/>
      <c r="O240" s="23"/>
      <c r="P240" s="23"/>
      <c r="Q240" s="22" t="s">
        <v>2277</v>
      </c>
      <c r="R240" s="22" t="s">
        <v>2278</v>
      </c>
      <c r="S240" s="22" t="s">
        <v>2279</v>
      </c>
      <c r="T240" s="22" t="s">
        <v>626</v>
      </c>
      <c r="U240" s="22" t="s">
        <v>2280</v>
      </c>
      <c r="V240" s="26" t="s">
        <v>2281</v>
      </c>
      <c r="W240" s="27" t="s">
        <v>2282</v>
      </c>
      <c r="X240" s="26" t="s">
        <v>2283</v>
      </c>
      <c r="Y240" s="23"/>
      <c r="Z240" s="28"/>
      <c r="AA240" s="23"/>
      <c r="AB240" s="23" t="str">
        <f>IFERROR(__xludf.DUMMYFUNCTION("IF(
ISNUMBER(MATCH(
C240,
IMPORTRANGE(""https://docs.google.com/spreadsheets/d/1yTh1ELC33JHYOeEdgIiEclxPRyh0zOKtlawDltfUay8"",""'Champions'!A:A""),
0
)),
""Outreach Conducted"",
"""")"),"")</f>
        <v/>
      </c>
      <c r="AC240" s="23"/>
      <c r="AD240" s="23"/>
      <c r="AE240" s="23"/>
      <c r="AF240" s="23"/>
      <c r="AG240" s="23"/>
      <c r="AH240" s="23"/>
      <c r="AI240" s="23"/>
      <c r="AJ240" s="23"/>
      <c r="AK240" s="23"/>
      <c r="AL240" s="23"/>
    </row>
    <row r="241" hidden="1">
      <c r="A241" s="22" t="s">
        <v>2284</v>
      </c>
      <c r="B241" s="22" t="s">
        <v>2285</v>
      </c>
      <c r="C241" s="23" t="str">
        <f t="shared" si="1"/>
        <v>Mandy Coligan</v>
      </c>
      <c r="D241" s="22" t="s">
        <v>2286</v>
      </c>
      <c r="E241" s="29" t="s">
        <v>2287</v>
      </c>
      <c r="F241" s="22" t="s">
        <v>248</v>
      </c>
      <c r="G241" s="22">
        <v>98.0</v>
      </c>
      <c r="H241" s="22">
        <f t="array" ref="H241">IFERROR(INDEX('Hub CPC 226'!A:A, MATCH(C241, 'Hub CPC 226'!B:B, 0)), "")</f>
        <v>250</v>
      </c>
      <c r="I241" s="22">
        <f t="array" ref="I241">IFERROR(INDEX('Hub Users 226'!A:A, MATCH(C241, 'Hub Users 226'!B:B, 0)), "")</f>
        <v>269</v>
      </c>
      <c r="J241" s="22" t="s">
        <v>240</v>
      </c>
      <c r="K241" s="23" t="s">
        <v>2288</v>
      </c>
      <c r="L241" s="25">
        <v>43438.48541666667</v>
      </c>
      <c r="M241" s="23"/>
      <c r="N241" s="23"/>
      <c r="O241" s="23"/>
      <c r="P241" s="23"/>
      <c r="Q241" s="22" t="s">
        <v>2289</v>
      </c>
      <c r="R241" s="22" t="s">
        <v>2290</v>
      </c>
      <c r="S241" s="22" t="s">
        <v>2291</v>
      </c>
      <c r="T241" s="22" t="s">
        <v>381</v>
      </c>
      <c r="U241" s="22" t="s">
        <v>2292</v>
      </c>
      <c r="V241" s="23"/>
      <c r="W241" s="23"/>
      <c r="X241" s="23"/>
      <c r="Y241" s="23"/>
      <c r="Z241" s="28"/>
      <c r="AA241" s="23"/>
      <c r="AB241" s="23" t="str">
        <f>IFERROR(__xludf.DUMMYFUNCTION("IF(
ISNUMBER(MATCH(
C241,
IMPORTRANGE(""https://docs.google.com/spreadsheets/d/1yTh1ELC33JHYOeEdgIiEclxPRyh0zOKtlawDltfUay8"",""'Champions'!A:A""),
0
)),
""Outreach Conducted"",
"""")"),"")</f>
        <v/>
      </c>
      <c r="AC241" s="23"/>
      <c r="AD241" s="23"/>
      <c r="AE241" s="23"/>
      <c r="AF241" s="23"/>
      <c r="AG241" s="23"/>
      <c r="AH241" s="23"/>
      <c r="AI241" s="23"/>
      <c r="AJ241" s="23"/>
      <c r="AK241" s="23"/>
      <c r="AL241" s="23"/>
    </row>
    <row r="242" hidden="1">
      <c r="A242" s="22" t="s">
        <v>2293</v>
      </c>
      <c r="B242" s="22" t="s">
        <v>2294</v>
      </c>
      <c r="C242" s="23" t="str">
        <f t="shared" si="1"/>
        <v>Monica Manglani</v>
      </c>
      <c r="D242" s="22">
        <v>5.163840058E9</v>
      </c>
      <c r="E242" s="29" t="s">
        <v>2295</v>
      </c>
      <c r="F242" s="22" t="s">
        <v>399</v>
      </c>
      <c r="G242" s="22">
        <v>323.0</v>
      </c>
      <c r="H242" s="22">
        <f t="array" ref="H242">IFERROR(INDEX('Hub CPC 226'!A:A, MATCH(C242, 'Hub CPC 226'!B:B, 0)), "")</f>
        <v>251</v>
      </c>
      <c r="I242" s="22">
        <f t="array" ref="I242">IFERROR(INDEX('Hub Users 226'!A:A, MATCH(C242, 'Hub Users 226'!B:B, 0)), "")</f>
        <v>270</v>
      </c>
      <c r="J242" s="22" t="s">
        <v>290</v>
      </c>
      <c r="K242" s="23" t="s">
        <v>2296</v>
      </c>
      <c r="L242" s="25">
        <v>43940.37777777778</v>
      </c>
      <c r="M242" s="23"/>
      <c r="N242" s="23"/>
      <c r="O242" s="23"/>
      <c r="P242" s="23"/>
      <c r="Q242" s="22" t="s">
        <v>2297</v>
      </c>
      <c r="R242" s="22" t="s">
        <v>2298</v>
      </c>
      <c r="S242" s="22" t="s">
        <v>2299</v>
      </c>
      <c r="T242" s="22" t="s">
        <v>381</v>
      </c>
      <c r="U242" s="22" t="s">
        <v>2300</v>
      </c>
      <c r="V242" s="23"/>
      <c r="W242" s="23"/>
      <c r="X242" s="23"/>
      <c r="Y242" s="23"/>
      <c r="Z242" s="23"/>
      <c r="AA242" s="23"/>
      <c r="AB242" s="23" t="str">
        <f>IFERROR(__xludf.DUMMYFUNCTION("IF(
ISNUMBER(MATCH(
C242,
IMPORTRANGE(""https://docs.google.com/spreadsheets/d/1yTh1ELC33JHYOeEdgIiEclxPRyh0zOKtlawDltfUay8"",""'Champions'!A:A""),
0
)),
""Outreach Conducted"",
"""")"),"")</f>
        <v/>
      </c>
      <c r="AC242" s="23"/>
      <c r="AD242" s="23"/>
      <c r="AE242" s="23"/>
      <c r="AF242" s="23"/>
      <c r="AG242" s="23"/>
      <c r="AH242" s="23"/>
      <c r="AI242" s="23"/>
      <c r="AJ242" s="23"/>
      <c r="AK242" s="23"/>
      <c r="AL242" s="23"/>
    </row>
    <row r="243" hidden="1">
      <c r="A243" s="22" t="s">
        <v>2301</v>
      </c>
      <c r="B243" s="22" t="s">
        <v>2302</v>
      </c>
      <c r="C243" s="23" t="str">
        <f t="shared" si="1"/>
        <v>Manisha Sareen</v>
      </c>
      <c r="D243" s="22">
        <v>9.175796905E9</v>
      </c>
      <c r="E243" s="29" t="s">
        <v>2303</v>
      </c>
      <c r="F243" s="22" t="s">
        <v>238</v>
      </c>
      <c r="G243" s="22">
        <v>47.0</v>
      </c>
      <c r="H243" s="22">
        <f t="array" ref="H243">IFERROR(INDEX('Hub CPC 226'!A:A, MATCH(C243, 'Hub CPC 226'!B:B, 0)), "")</f>
        <v>252</v>
      </c>
      <c r="I243" s="22">
        <f t="array" ref="I243">IFERROR(INDEX('Hub Users 226'!A:A, MATCH(C243, 'Hub Users 226'!B:B, 0)), "")</f>
        <v>271</v>
      </c>
      <c r="J243" s="22"/>
      <c r="K243" s="23" t="s">
        <v>2304</v>
      </c>
      <c r="L243" s="25">
        <v>43338.743055555555</v>
      </c>
      <c r="M243" s="28">
        <v>6.0</v>
      </c>
      <c r="N243" s="28">
        <v>13.0</v>
      </c>
      <c r="O243" s="28">
        <v>39.0</v>
      </c>
      <c r="P243" s="32">
        <v>25.0</v>
      </c>
      <c r="Q243" s="22" t="s">
        <v>2305</v>
      </c>
      <c r="R243" s="22" t="s">
        <v>271</v>
      </c>
      <c r="S243" s="22" t="s">
        <v>2306</v>
      </c>
      <c r="T243" s="22" t="s">
        <v>272</v>
      </c>
      <c r="U243" s="22" t="s">
        <v>2307</v>
      </c>
      <c r="V243" s="23"/>
      <c r="W243" s="23"/>
      <c r="X243" s="23"/>
      <c r="Y243" s="23"/>
      <c r="Z243" s="28"/>
      <c r="AA243" s="23"/>
      <c r="AB243" s="23" t="str">
        <f>IFERROR(__xludf.DUMMYFUNCTION("IF(
ISNUMBER(MATCH(
C243,
IMPORTRANGE(""https://docs.google.com/spreadsheets/d/1yTh1ELC33JHYOeEdgIiEclxPRyh0zOKtlawDltfUay8"",""'Champions'!A:A""),
0
)),
""Outreach Conducted"",
"""")"),"")</f>
        <v/>
      </c>
      <c r="AC243" s="23"/>
      <c r="AD243" s="23"/>
      <c r="AE243" s="23"/>
      <c r="AF243" s="23"/>
      <c r="AG243" s="23"/>
      <c r="AH243" s="23"/>
      <c r="AI243" s="23"/>
      <c r="AJ243" s="23"/>
      <c r="AK243" s="23"/>
      <c r="AL243" s="23"/>
    </row>
    <row r="244" hidden="1">
      <c r="A244" s="22" t="s">
        <v>2308</v>
      </c>
      <c r="B244" s="22" t="s">
        <v>2309</v>
      </c>
      <c r="C244" s="23" t="str">
        <f t="shared" si="1"/>
        <v>Maria Graciela Burn</v>
      </c>
      <c r="D244" s="22">
        <v>6.309172392E9</v>
      </c>
      <c r="E244" s="29" t="s">
        <v>2310</v>
      </c>
      <c r="F244" s="22" t="s">
        <v>248</v>
      </c>
      <c r="G244" s="22">
        <v>408.0</v>
      </c>
      <c r="H244" s="22">
        <f t="array" ref="H244">IFERROR(INDEX('Hub CPC 226'!A:A, MATCH(C244, 'Hub CPC 226'!B:B, 0)), "")</f>
        <v>254</v>
      </c>
      <c r="I244" s="22">
        <f t="array" ref="I244">IFERROR(INDEX('Hub Users 226'!A:A, MATCH(C244, 'Hub Users 226'!B:B, 0)), "")</f>
        <v>273</v>
      </c>
      <c r="J244" s="22" t="s">
        <v>302</v>
      </c>
      <c r="K244" s="28" t="s">
        <v>2311</v>
      </c>
      <c r="L244" s="25">
        <v>44200.78333333333</v>
      </c>
      <c r="M244" s="23"/>
      <c r="N244" s="23"/>
      <c r="O244" s="23"/>
      <c r="P244" s="23"/>
      <c r="Q244" s="22" t="s">
        <v>492</v>
      </c>
      <c r="R244" s="22" t="s">
        <v>700</v>
      </c>
      <c r="S244" s="22" t="s">
        <v>492</v>
      </c>
      <c r="T244" s="22" t="s">
        <v>27</v>
      </c>
      <c r="U244" s="22" t="s">
        <v>2312</v>
      </c>
      <c r="V244" s="26" t="s">
        <v>2313</v>
      </c>
      <c r="W244" s="27" t="s">
        <v>2314</v>
      </c>
      <c r="X244" s="26" t="s">
        <v>2315</v>
      </c>
      <c r="Y244" s="23"/>
      <c r="Z244" s="28"/>
      <c r="AA244" s="23"/>
      <c r="AB244" s="23" t="str">
        <f>IFERROR(__xludf.DUMMYFUNCTION("IF(
ISNUMBER(MATCH(
C244,
IMPORTRANGE(""https://docs.google.com/spreadsheets/d/1yTh1ELC33JHYOeEdgIiEclxPRyh0zOKtlawDltfUay8"",""'Champions'!A:A""),
0
)),
""Outreach Conducted"",
"""")"),"")</f>
        <v/>
      </c>
      <c r="AC244" s="23"/>
      <c r="AD244" s="23"/>
      <c r="AE244" s="23"/>
      <c r="AF244" s="23"/>
      <c r="AG244" s="23"/>
      <c r="AH244" s="23"/>
      <c r="AI244" s="23"/>
      <c r="AJ244" s="23"/>
      <c r="AK244" s="23"/>
      <c r="AL244" s="23"/>
    </row>
    <row r="245" hidden="1">
      <c r="A245" s="22" t="s">
        <v>2316</v>
      </c>
      <c r="B245" s="22" t="s">
        <v>2317</v>
      </c>
      <c r="C245" s="23" t="str">
        <f t="shared" si="1"/>
        <v>Mariana Tejeida-Olvera</v>
      </c>
      <c r="D245" s="22">
        <v>1.2023753541E10</v>
      </c>
      <c r="E245" s="29" t="s">
        <v>2318</v>
      </c>
      <c r="F245" s="22" t="s">
        <v>238</v>
      </c>
      <c r="G245" s="22">
        <v>607.0</v>
      </c>
      <c r="H245" s="22">
        <f t="array" ref="H245">IFERROR(INDEX('Hub CPC 226'!A:A, MATCH(C245, 'Hub CPC 226'!B:B, 0)), "")</f>
        <v>255</v>
      </c>
      <c r="I245" s="22">
        <f t="array" ref="I245">IFERROR(INDEX('Hub Users 226'!A:A, MATCH(C245, 'Hub Users 226'!B:B, 0)), "")</f>
        <v>274</v>
      </c>
      <c r="J245" s="22" t="s">
        <v>302</v>
      </c>
      <c r="K245" s="23" t="s">
        <v>2319</v>
      </c>
      <c r="L245" s="25">
        <v>44585.26597222222</v>
      </c>
      <c r="M245" s="23"/>
      <c r="N245" s="23"/>
      <c r="O245" s="23"/>
      <c r="P245" s="23"/>
      <c r="Q245" s="22" t="s">
        <v>2320</v>
      </c>
      <c r="R245" s="22" t="s">
        <v>2114</v>
      </c>
      <c r="S245" s="22" t="s">
        <v>1371</v>
      </c>
      <c r="T245" s="22" t="s">
        <v>1372</v>
      </c>
      <c r="U245" s="22" t="s">
        <v>2321</v>
      </c>
      <c r="V245" s="26" t="s">
        <v>284</v>
      </c>
      <c r="W245" s="27" t="s">
        <v>2322</v>
      </c>
      <c r="X245" s="26" t="s">
        <v>704</v>
      </c>
      <c r="Y245" s="23"/>
      <c r="Z245" s="28"/>
      <c r="AA245" s="23"/>
      <c r="AB245" s="23" t="str">
        <f>IFERROR(__xludf.DUMMYFUNCTION("IF(
ISNUMBER(MATCH(
C245,
IMPORTRANGE(""https://docs.google.com/spreadsheets/d/1yTh1ELC33JHYOeEdgIiEclxPRyh0zOKtlawDltfUay8"",""'Champions'!A:A""),
0
)),
""Outreach Conducted"",
"""")"),"")</f>
        <v/>
      </c>
      <c r="AC245" s="23"/>
      <c r="AD245" s="23"/>
      <c r="AE245" s="23"/>
      <c r="AF245" s="23"/>
      <c r="AG245" s="23"/>
      <c r="AH245" s="23"/>
      <c r="AI245" s="23"/>
      <c r="AJ245" s="23"/>
      <c r="AK245" s="23"/>
      <c r="AL245" s="23"/>
    </row>
    <row r="246" hidden="1">
      <c r="A246" s="22" t="s">
        <v>2316</v>
      </c>
      <c r="B246" s="22" t="s">
        <v>2323</v>
      </c>
      <c r="C246" s="23" t="str">
        <f t="shared" si="1"/>
        <v>Mariana Silva Aranha</v>
      </c>
      <c r="D246" s="22">
        <v>9.734521787E9</v>
      </c>
      <c r="E246" s="29" t="s">
        <v>2324</v>
      </c>
      <c r="F246" s="22" t="s">
        <v>248</v>
      </c>
      <c r="G246" s="22">
        <v>372.0</v>
      </c>
      <c r="H246" s="22">
        <f t="array" ref="H246">IFERROR(INDEX('Hub CPC 226'!A:A, MATCH(C246, 'Hub CPC 226'!B:B, 0)), "")</f>
        <v>256</v>
      </c>
      <c r="I246" s="22">
        <f t="array" ref="I246">IFERROR(INDEX('Hub Users 226'!A:A, MATCH(C246, 'Hub Users 226'!B:B, 0)), "")</f>
        <v>275</v>
      </c>
      <c r="J246" s="22" t="s">
        <v>425</v>
      </c>
      <c r="K246" s="23" t="s">
        <v>2325</v>
      </c>
      <c r="L246" s="25">
        <v>44177.592361111114</v>
      </c>
      <c r="M246" s="23"/>
      <c r="N246" s="23"/>
      <c r="O246" s="23"/>
      <c r="P246" s="23"/>
      <c r="Q246" s="22" t="s">
        <v>2326</v>
      </c>
      <c r="R246" s="22" t="s">
        <v>2327</v>
      </c>
      <c r="S246" s="22" t="s">
        <v>2328</v>
      </c>
      <c r="T246" s="22" t="s">
        <v>241</v>
      </c>
      <c r="U246" s="22" t="s">
        <v>2329</v>
      </c>
      <c r="V246" s="26" t="s">
        <v>1119</v>
      </c>
      <c r="W246" s="27" t="s">
        <v>2330</v>
      </c>
      <c r="X246" s="26" t="s">
        <v>373</v>
      </c>
      <c r="Y246" s="23"/>
      <c r="Z246" s="28"/>
      <c r="AA246" s="23"/>
      <c r="AB246" s="23" t="str">
        <f>IFERROR(__xludf.DUMMYFUNCTION("IF(
ISNUMBER(MATCH(
C246,
IMPORTRANGE(""https://docs.google.com/spreadsheets/d/1yTh1ELC33JHYOeEdgIiEclxPRyh0zOKtlawDltfUay8"",""'Champions'!A:A""),
0
)),
""Outreach Conducted"",
"""")"),"")</f>
        <v/>
      </c>
      <c r="AC246" s="23"/>
      <c r="AD246" s="23"/>
      <c r="AE246" s="23"/>
      <c r="AF246" s="23"/>
      <c r="AG246" s="23"/>
      <c r="AH246" s="23"/>
      <c r="AI246" s="23"/>
      <c r="AJ246" s="23"/>
      <c r="AK246" s="23"/>
      <c r="AL246" s="23"/>
    </row>
    <row r="247" hidden="1">
      <c r="A247" s="22" t="s">
        <v>2331</v>
      </c>
      <c r="B247" s="22" t="s">
        <v>2332</v>
      </c>
      <c r="C247" s="23" t="str">
        <f t="shared" si="1"/>
        <v>Marinee Lees</v>
      </c>
      <c r="D247" s="22">
        <v>1.3476752716E10</v>
      </c>
      <c r="E247" s="29" t="s">
        <v>2333</v>
      </c>
      <c r="F247" s="22" t="s">
        <v>248</v>
      </c>
      <c r="G247" s="22">
        <v>511.0</v>
      </c>
      <c r="H247" s="22">
        <f t="array" ref="H247">IFERROR(INDEX('Hub CPC 226'!A:A, MATCH(C247, 'Hub CPC 226'!B:B, 0)), "")</f>
        <v>257</v>
      </c>
      <c r="I247" s="22">
        <f t="array" ref="I247">IFERROR(INDEX('Hub Users 226'!A:A, MATCH(C247, 'Hub Users 226'!B:B, 0)), "")</f>
        <v>276</v>
      </c>
      <c r="J247" s="22" t="s">
        <v>407</v>
      </c>
      <c r="K247" s="23" t="s">
        <v>2334</v>
      </c>
      <c r="L247" s="25">
        <v>44483.8375</v>
      </c>
      <c r="M247" s="23"/>
      <c r="N247" s="23"/>
      <c r="O247" s="23"/>
      <c r="P247" s="23"/>
      <c r="Q247" s="22" t="s">
        <v>2335</v>
      </c>
      <c r="R247" s="22" t="s">
        <v>2336</v>
      </c>
      <c r="S247" s="22" t="s">
        <v>2337</v>
      </c>
      <c r="T247" s="22" t="s">
        <v>2338</v>
      </c>
      <c r="U247" s="22" t="s">
        <v>2339</v>
      </c>
      <c r="V247" s="26" t="s">
        <v>284</v>
      </c>
      <c r="W247" s="27" t="s">
        <v>2340</v>
      </c>
      <c r="X247" s="26" t="s">
        <v>619</v>
      </c>
      <c r="Y247" s="23"/>
      <c r="Z247" s="28"/>
      <c r="AA247" s="23"/>
      <c r="AB247" s="23" t="str">
        <f>IFERROR(__xludf.DUMMYFUNCTION("IF(
ISNUMBER(MATCH(
C247,
IMPORTRANGE(""https://docs.google.com/spreadsheets/d/1yTh1ELC33JHYOeEdgIiEclxPRyh0zOKtlawDltfUay8"",""'Champions'!A:A""),
0
)),
""Outreach Conducted"",
"""")"),"")</f>
        <v/>
      </c>
      <c r="AC247" s="23"/>
      <c r="AD247" s="23"/>
      <c r="AE247" s="23"/>
      <c r="AF247" s="23"/>
      <c r="AG247" s="23"/>
      <c r="AH247" s="23"/>
      <c r="AI247" s="23"/>
      <c r="AJ247" s="23"/>
      <c r="AK247" s="23"/>
      <c r="AL247" s="23"/>
    </row>
    <row r="248" hidden="1">
      <c r="A248" s="22" t="s">
        <v>2341</v>
      </c>
      <c r="B248" s="22" t="s">
        <v>2342</v>
      </c>
      <c r="C248" s="23" t="str">
        <f t="shared" si="1"/>
        <v>Mariann Melicharek Kessler</v>
      </c>
      <c r="D248" s="22" t="s">
        <v>2343</v>
      </c>
      <c r="E248" s="29" t="s">
        <v>2344</v>
      </c>
      <c r="F248" s="22" t="s">
        <v>248</v>
      </c>
      <c r="G248" s="22">
        <v>187.0</v>
      </c>
      <c r="H248" s="22">
        <f t="array" ref="H248">IFERROR(INDEX('Hub CPC 226'!A:A, MATCH(C248, 'Hub CPC 226'!B:B, 0)), "")</f>
        <v>258</v>
      </c>
      <c r="I248" s="22">
        <f t="array" ref="I248">IFERROR(INDEX('Hub Users 226'!A:A, MATCH(C248, 'Hub Users 226'!B:B, 0)), "")</f>
        <v>277</v>
      </c>
      <c r="J248" s="22" t="s">
        <v>240</v>
      </c>
      <c r="K248" s="23" t="s">
        <v>2345</v>
      </c>
      <c r="L248" s="25">
        <v>43592.271527777775</v>
      </c>
      <c r="M248" s="28">
        <v>1.0</v>
      </c>
      <c r="N248" s="28">
        <v>2.0</v>
      </c>
      <c r="O248" s="28">
        <v>8.0</v>
      </c>
      <c r="P248" s="31"/>
      <c r="Q248" s="22" t="s">
        <v>2346</v>
      </c>
      <c r="R248" s="22" t="s">
        <v>272</v>
      </c>
      <c r="S248" s="22" t="s">
        <v>2347</v>
      </c>
      <c r="T248" s="22" t="s">
        <v>272</v>
      </c>
      <c r="U248" s="24"/>
      <c r="V248" s="26" t="s">
        <v>360</v>
      </c>
      <c r="W248" s="27" t="s">
        <v>2348</v>
      </c>
      <c r="X248" s="26" t="s">
        <v>477</v>
      </c>
      <c r="Y248" s="23"/>
      <c r="Z248" s="28"/>
      <c r="AA248" s="23"/>
      <c r="AB248" s="23" t="str">
        <f>IFERROR(__xludf.DUMMYFUNCTION("IF(
ISNUMBER(MATCH(
C248,
IMPORTRANGE(""https://docs.google.com/spreadsheets/d/1yTh1ELC33JHYOeEdgIiEclxPRyh0zOKtlawDltfUay8"",""'Champions'!A:A""),
0
)),
""Outreach Conducted"",
"""")"),"")</f>
        <v/>
      </c>
      <c r="AC248" s="23"/>
      <c r="AD248" s="26" t="s">
        <v>843</v>
      </c>
      <c r="AE248" s="28" t="s">
        <v>844</v>
      </c>
      <c r="AF248" s="28" t="s">
        <v>449</v>
      </c>
      <c r="AG248" s="28" t="s">
        <v>2349</v>
      </c>
      <c r="AH248" s="23"/>
      <c r="AI248" s="23"/>
      <c r="AJ248" s="23"/>
      <c r="AK248" s="23"/>
      <c r="AL248" s="23"/>
    </row>
    <row r="249" hidden="1">
      <c r="A249" s="22" t="s">
        <v>2350</v>
      </c>
      <c r="B249" s="22" t="s">
        <v>2351</v>
      </c>
      <c r="C249" s="23" t="str">
        <f t="shared" si="1"/>
        <v>Maryana Ivlev</v>
      </c>
      <c r="D249" s="22">
        <v>1.5512254717E10</v>
      </c>
      <c r="E249" s="29" t="s">
        <v>2352</v>
      </c>
      <c r="F249" s="22" t="s">
        <v>248</v>
      </c>
      <c r="G249" s="22">
        <v>576.0</v>
      </c>
      <c r="H249" s="22">
        <f t="array" ref="H249">IFERROR(INDEX('Hub CPC 226'!A:A, MATCH(C249, 'Hub CPC 226'!B:B, 0)), "")</f>
        <v>259</v>
      </c>
      <c r="I249" s="22">
        <f t="array" ref="I249">IFERROR(INDEX('Hub Users 226'!A:A, MATCH(C249, 'Hub Users 226'!B:B, 0)), "")</f>
        <v>278</v>
      </c>
      <c r="J249" s="22" t="s">
        <v>260</v>
      </c>
      <c r="K249" s="23" t="s">
        <v>2353</v>
      </c>
      <c r="L249" s="25">
        <v>44552.55972222222</v>
      </c>
      <c r="M249" s="23"/>
      <c r="N249" s="23"/>
      <c r="O249" s="23"/>
      <c r="P249" s="23"/>
      <c r="Q249" s="22" t="s">
        <v>2354</v>
      </c>
      <c r="R249" s="22" t="s">
        <v>2355</v>
      </c>
      <c r="S249" s="22" t="s">
        <v>2356</v>
      </c>
      <c r="T249" s="22" t="s">
        <v>241</v>
      </c>
      <c r="U249" s="22" t="s">
        <v>2357</v>
      </c>
      <c r="V249" s="26" t="s">
        <v>284</v>
      </c>
      <c r="W249" s="27" t="s">
        <v>2358</v>
      </c>
      <c r="X249" s="26" t="s">
        <v>2359</v>
      </c>
      <c r="Y249" s="23"/>
      <c r="Z249" s="28"/>
      <c r="AA249" s="23"/>
      <c r="AB249" s="23" t="str">
        <f>IFERROR(__xludf.DUMMYFUNCTION("IF(
ISNUMBER(MATCH(
C249,
IMPORTRANGE(""https://docs.google.com/spreadsheets/d/1yTh1ELC33JHYOeEdgIiEclxPRyh0zOKtlawDltfUay8"",""'Champions'!A:A""),
0
)),
""Outreach Conducted"",
"""")"),"")</f>
        <v/>
      </c>
      <c r="AC249" s="23"/>
      <c r="AD249" s="23"/>
      <c r="AE249" s="23"/>
      <c r="AF249" s="23"/>
      <c r="AG249" s="23"/>
      <c r="AH249" s="23"/>
      <c r="AI249" s="23"/>
      <c r="AJ249" s="23"/>
      <c r="AK249" s="23"/>
      <c r="AL249" s="23"/>
    </row>
    <row r="250" hidden="1">
      <c r="A250" s="22" t="s">
        <v>2360</v>
      </c>
      <c r="B250" s="22" t="s">
        <v>2361</v>
      </c>
      <c r="C250" s="23" t="str">
        <f t="shared" si="1"/>
        <v>Mary Anne Maples</v>
      </c>
      <c r="D250" s="22">
        <v>1.760845722E10</v>
      </c>
      <c r="E250" s="29" t="s">
        <v>2362</v>
      </c>
      <c r="F250" s="22" t="s">
        <v>248</v>
      </c>
      <c r="G250" s="22">
        <v>571.0</v>
      </c>
      <c r="H250" s="22">
        <f t="array" ref="H250">IFERROR(INDEX('Hub CPC 226'!A:A, MATCH(C250, 'Hub CPC 226'!B:B, 0)), "")</f>
        <v>260</v>
      </c>
      <c r="I250" s="22">
        <f t="array" ref="I250">IFERROR(INDEX('Hub Users 226'!A:A, MATCH(C250, 'Hub Users 226'!B:B, 0)), "")</f>
        <v>279</v>
      </c>
      <c r="J250" s="22" t="s">
        <v>290</v>
      </c>
      <c r="K250" s="23" t="s">
        <v>2363</v>
      </c>
      <c r="L250" s="25">
        <v>44546.43472222222</v>
      </c>
      <c r="M250" s="23"/>
      <c r="N250" s="23"/>
      <c r="O250" s="23"/>
      <c r="P250" s="23"/>
      <c r="Q250" s="22" t="s">
        <v>2364</v>
      </c>
      <c r="R250" s="22" t="s">
        <v>316</v>
      </c>
      <c r="S250" s="22" t="s">
        <v>251</v>
      </c>
      <c r="T250" s="22" t="s">
        <v>252</v>
      </c>
      <c r="U250" s="22" t="s">
        <v>2365</v>
      </c>
      <c r="V250" s="26" t="s">
        <v>284</v>
      </c>
      <c r="W250" s="27" t="s">
        <v>2366</v>
      </c>
      <c r="X250" s="26" t="s">
        <v>2367</v>
      </c>
      <c r="Y250" s="23"/>
      <c r="Z250" s="28"/>
      <c r="AA250" s="23"/>
      <c r="AB250" s="23" t="str">
        <f>IFERROR(__xludf.DUMMYFUNCTION("IF(
ISNUMBER(MATCH(
C250,
IMPORTRANGE(""https://docs.google.com/spreadsheets/d/1yTh1ELC33JHYOeEdgIiEclxPRyh0zOKtlawDltfUay8"",""'Champions'!A:A""),
0
)),
""Outreach Conducted"",
"""")"),"")</f>
        <v/>
      </c>
      <c r="AC250" s="23"/>
      <c r="AD250" s="23"/>
      <c r="AE250" s="23"/>
      <c r="AF250" s="23"/>
      <c r="AG250" s="23"/>
      <c r="AH250" s="23"/>
      <c r="AI250" s="23"/>
      <c r="AJ250" s="23"/>
      <c r="AK250" s="23"/>
      <c r="AL250" s="23"/>
    </row>
    <row r="251" hidden="1">
      <c r="A251" s="22" t="s">
        <v>2368</v>
      </c>
      <c r="B251" s="22" t="s">
        <v>2369</v>
      </c>
      <c r="C251" s="23" t="str">
        <f t="shared" si="1"/>
        <v>Matthew Roberson</v>
      </c>
      <c r="D251" s="22">
        <v>1.2063793625E10</v>
      </c>
      <c r="E251" s="29" t="s">
        <v>2370</v>
      </c>
      <c r="F251" s="22" t="s">
        <v>248</v>
      </c>
      <c r="G251" s="22">
        <v>660.0</v>
      </c>
      <c r="H251" s="22">
        <f t="array" ref="H251">IFERROR(INDEX('Hub CPC 226'!A:A, MATCH(C251, 'Hub CPC 226'!B:B, 0)), "")</f>
        <v>261</v>
      </c>
      <c r="I251" s="22">
        <f t="array" ref="I251">IFERROR(INDEX('Hub Users 226'!A:A, MATCH(C251, 'Hub Users 226'!B:B, 0)), "")</f>
        <v>280</v>
      </c>
      <c r="J251" s="22" t="s">
        <v>1235</v>
      </c>
      <c r="K251" s="23" t="s">
        <v>2371</v>
      </c>
      <c r="L251" s="25">
        <v>44777.60625</v>
      </c>
      <c r="M251" s="23"/>
      <c r="N251" s="23"/>
      <c r="O251" s="23"/>
      <c r="P251" s="23"/>
      <c r="Q251" s="22" t="s">
        <v>2372</v>
      </c>
      <c r="R251" s="22" t="s">
        <v>692</v>
      </c>
      <c r="S251" s="22" t="s">
        <v>692</v>
      </c>
      <c r="T251" s="22" t="s">
        <v>501</v>
      </c>
      <c r="U251" s="22" t="s">
        <v>2373</v>
      </c>
      <c r="V251" s="26" t="s">
        <v>2374</v>
      </c>
      <c r="W251" s="23"/>
      <c r="X251" s="26" t="s">
        <v>1085</v>
      </c>
      <c r="Y251" s="23"/>
      <c r="Z251" s="28"/>
      <c r="AA251" s="23"/>
      <c r="AB251" s="23" t="str">
        <f>IFERROR(__xludf.DUMMYFUNCTION("IF(
ISNUMBER(MATCH(
C251,
IMPORTRANGE(""https://docs.google.com/spreadsheets/d/1yTh1ELC33JHYOeEdgIiEclxPRyh0zOKtlawDltfUay8"",""'Champions'!A:A""),
0
)),
""Outreach Conducted"",
"""")"),"")</f>
        <v/>
      </c>
      <c r="AC251" s="23"/>
      <c r="AD251" s="23"/>
      <c r="AE251" s="23"/>
      <c r="AF251" s="23"/>
      <c r="AG251" s="23"/>
      <c r="AH251" s="23"/>
      <c r="AI251" s="23"/>
      <c r="AJ251" s="23"/>
      <c r="AK251" s="23"/>
      <c r="AL251" s="23"/>
    </row>
    <row r="252" hidden="1">
      <c r="A252" s="22" t="s">
        <v>2375</v>
      </c>
      <c r="B252" s="22" t="s">
        <v>2376</v>
      </c>
      <c r="C252" s="23" t="str">
        <f t="shared" si="1"/>
        <v>Maxine Antoinette Mitchell</v>
      </c>
      <c r="D252" s="22" t="s">
        <v>2377</v>
      </c>
      <c r="E252" s="29" t="s">
        <v>2378</v>
      </c>
      <c r="F252" s="22" t="s">
        <v>248</v>
      </c>
      <c r="G252" s="22">
        <v>207.0</v>
      </c>
      <c r="H252" s="22">
        <f t="array" ref="H252">IFERROR(INDEX('Hub CPC 226'!A:A, MATCH(C252, 'Hub CPC 226'!B:B, 0)), "")</f>
        <v>262</v>
      </c>
      <c r="I252" s="22">
        <f t="array" ref="I252">IFERROR(INDEX('Hub Users 226'!A:A, MATCH(C252, 'Hub Users 226'!B:B, 0)), "")</f>
        <v>281</v>
      </c>
      <c r="J252" s="22" t="s">
        <v>240</v>
      </c>
      <c r="K252" s="23" t="s">
        <v>2379</v>
      </c>
      <c r="L252" s="25">
        <v>43727.728472222225</v>
      </c>
      <c r="M252" s="28">
        <v>4.0</v>
      </c>
      <c r="N252" s="28">
        <v>9.0</v>
      </c>
      <c r="O252" s="28">
        <v>21.0</v>
      </c>
      <c r="P252" s="31"/>
      <c r="Q252" s="22" t="s">
        <v>2380</v>
      </c>
      <c r="R252" s="22" t="s">
        <v>2381</v>
      </c>
      <c r="S252" s="22" t="s">
        <v>2382</v>
      </c>
      <c r="T252" s="22" t="s">
        <v>272</v>
      </c>
      <c r="U252" s="22" t="s">
        <v>2383</v>
      </c>
      <c r="V252" s="23"/>
      <c r="W252" s="23"/>
      <c r="X252" s="23"/>
      <c r="Y252" s="23"/>
      <c r="Z252" s="28"/>
      <c r="AA252" s="23"/>
      <c r="AB252" s="23" t="str">
        <f>IFERROR(__xludf.DUMMYFUNCTION("IF(
ISNUMBER(MATCH(
C252,
IMPORTRANGE(""https://docs.google.com/spreadsheets/d/1yTh1ELC33JHYOeEdgIiEclxPRyh0zOKtlawDltfUay8"",""'Champions'!A:A""),
0
)),
""Outreach Conducted"",
"""")"),"")</f>
        <v/>
      </c>
      <c r="AC252" s="23"/>
      <c r="AD252" s="23"/>
      <c r="AE252" s="23"/>
      <c r="AF252" s="23"/>
      <c r="AG252" s="23"/>
      <c r="AH252" s="23"/>
      <c r="AI252" s="23"/>
      <c r="AJ252" s="23"/>
      <c r="AK252" s="23"/>
      <c r="AL252" s="23"/>
    </row>
    <row r="253" hidden="1">
      <c r="A253" s="22" t="s">
        <v>2384</v>
      </c>
      <c r="B253" s="22" t="s">
        <v>2385</v>
      </c>
      <c r="C253" s="23" t="str">
        <f t="shared" si="1"/>
        <v>Mario Badillo</v>
      </c>
      <c r="D253" s="24"/>
      <c r="E253" s="29" t="s">
        <v>2386</v>
      </c>
      <c r="F253" s="22" t="s">
        <v>248</v>
      </c>
      <c r="G253" s="22">
        <v>696.0</v>
      </c>
      <c r="H253" s="22">
        <f t="array" ref="H253">IFERROR(INDEX('Hub CPC 226'!A:A, MATCH(C253, 'Hub CPC 226'!B:B, 0)), "")</f>
        <v>263</v>
      </c>
      <c r="I253" s="22">
        <f t="array" ref="I253">IFERROR(INDEX('Hub Users 226'!A:A, MATCH(C253, 'Hub Users 226'!B:B, 0)), "")</f>
        <v>282</v>
      </c>
      <c r="J253" s="22" t="s">
        <v>260</v>
      </c>
      <c r="K253" s="23" t="s">
        <v>2387</v>
      </c>
      <c r="L253" s="25">
        <v>44960.888194444444</v>
      </c>
      <c r="M253" s="23"/>
      <c r="N253" s="23"/>
      <c r="O253" s="23"/>
      <c r="P253" s="23"/>
      <c r="Q253" s="24"/>
      <c r="R253" s="22" t="s">
        <v>2388</v>
      </c>
      <c r="S253" s="24"/>
      <c r="T253" s="24"/>
      <c r="U253" s="22" t="s">
        <v>2389</v>
      </c>
      <c r="V253" s="26" t="s">
        <v>1147</v>
      </c>
      <c r="W253" s="27" t="s">
        <v>2390</v>
      </c>
      <c r="X253" s="26" t="s">
        <v>2050</v>
      </c>
      <c r="Y253" s="23"/>
      <c r="Z253" s="28"/>
      <c r="AA253" s="23"/>
      <c r="AB253" s="23" t="str">
        <f>IFERROR(__xludf.DUMMYFUNCTION("IF(
ISNUMBER(MATCH(
C253,
IMPORTRANGE(""https://docs.google.com/spreadsheets/d/1yTh1ELC33JHYOeEdgIiEclxPRyh0zOKtlawDltfUay8"",""'Champions'!A:A""),
0
)),
""Outreach Conducted"",
"""")"),"")</f>
        <v/>
      </c>
      <c r="AC253" s="23"/>
      <c r="AD253" s="23"/>
      <c r="AE253" s="23"/>
      <c r="AF253" s="23"/>
      <c r="AG253" s="23"/>
      <c r="AH253" s="23"/>
      <c r="AI253" s="23"/>
      <c r="AJ253" s="23"/>
      <c r="AK253" s="23"/>
      <c r="AL253" s="23"/>
    </row>
    <row r="254" hidden="1">
      <c r="A254" s="22" t="s">
        <v>2391</v>
      </c>
      <c r="B254" s="22" t="s">
        <v>2392</v>
      </c>
      <c r="C254" s="23" t="str">
        <f t="shared" si="1"/>
        <v>Maghee Disch</v>
      </c>
      <c r="D254" s="22">
        <v>1.6144936612E10</v>
      </c>
      <c r="E254" s="29" t="s">
        <v>2393</v>
      </c>
      <c r="F254" s="22" t="s">
        <v>399</v>
      </c>
      <c r="G254" s="22">
        <v>658.0</v>
      </c>
      <c r="H254" s="22">
        <f t="array" ref="H254">IFERROR(INDEX('Hub CPC 226'!A:A, MATCH(C254, 'Hub CPC 226'!B:B, 0)), "")</f>
        <v>264</v>
      </c>
      <c r="I254" s="22">
        <f t="array" ref="I254">IFERROR(INDEX('Hub Users 226'!A:A, MATCH(C254, 'Hub Users 226'!B:B, 0)), "")</f>
        <v>283</v>
      </c>
      <c r="J254" s="22" t="s">
        <v>407</v>
      </c>
      <c r="K254" s="23" t="s">
        <v>2394</v>
      </c>
      <c r="L254" s="25">
        <v>44770.572222222225</v>
      </c>
      <c r="M254" s="23"/>
      <c r="N254" s="23"/>
      <c r="O254" s="23"/>
      <c r="P254" s="23"/>
      <c r="Q254" s="22" t="s">
        <v>2395</v>
      </c>
      <c r="R254" s="22" t="s">
        <v>1370</v>
      </c>
      <c r="S254" s="22" t="s">
        <v>1371</v>
      </c>
      <c r="T254" s="22" t="s">
        <v>1372</v>
      </c>
      <c r="U254" s="22" t="s">
        <v>2396</v>
      </c>
      <c r="V254" s="23"/>
      <c r="W254" s="23"/>
      <c r="X254" s="23"/>
      <c r="Y254" s="23"/>
      <c r="Z254" s="28"/>
      <c r="AA254" s="23"/>
      <c r="AB254" s="23" t="str">
        <f>IFERROR(__xludf.DUMMYFUNCTION("IF(
ISNUMBER(MATCH(
C254,
IMPORTRANGE(""https://docs.google.com/spreadsheets/d/1yTh1ELC33JHYOeEdgIiEclxPRyh0zOKtlawDltfUay8"",""'Champions'!A:A""),
0
)),
""Outreach Conducted"",
"""")"),"")</f>
        <v/>
      </c>
      <c r="AC254" s="23"/>
      <c r="AD254" s="23"/>
      <c r="AE254" s="23"/>
      <c r="AF254" s="23"/>
      <c r="AG254" s="23"/>
      <c r="AH254" s="23"/>
      <c r="AI254" s="23"/>
      <c r="AJ254" s="23"/>
      <c r="AK254" s="23"/>
      <c r="AL254" s="23"/>
    </row>
    <row r="255" hidden="1">
      <c r="A255" s="22" t="s">
        <v>2397</v>
      </c>
      <c r="B255" s="22" t="s">
        <v>2398</v>
      </c>
      <c r="C255" s="23" t="str">
        <f t="shared" si="1"/>
        <v>Melissa Mozelle Schad</v>
      </c>
      <c r="D255" s="22" t="s">
        <v>2399</v>
      </c>
      <c r="E255" s="29" t="s">
        <v>2400</v>
      </c>
      <c r="F255" s="22" t="s">
        <v>248</v>
      </c>
      <c r="G255" s="22">
        <v>189.0</v>
      </c>
      <c r="H255" s="22">
        <f t="array" ref="H255">IFERROR(INDEX('Hub CPC 226'!A:A, MATCH(C255, 'Hub CPC 226'!B:B, 0)), "")</f>
        <v>265</v>
      </c>
      <c r="I255" s="22">
        <f t="array" ref="I255">IFERROR(INDEX('Hub Users 226'!A:A, MATCH(C255, 'Hub Users 226'!B:B, 0)), "")</f>
        <v>284</v>
      </c>
      <c r="J255" s="22" t="s">
        <v>240</v>
      </c>
      <c r="K255" s="23" t="s">
        <v>2401</v>
      </c>
      <c r="L255" s="25">
        <v>43592.271527777775</v>
      </c>
      <c r="M255" s="23"/>
      <c r="N255" s="23"/>
      <c r="O255" s="23"/>
      <c r="P255" s="23"/>
      <c r="Q255" s="22" t="s">
        <v>2402</v>
      </c>
      <c r="R255" s="22" t="s">
        <v>2403</v>
      </c>
      <c r="S255" s="22" t="s">
        <v>2403</v>
      </c>
      <c r="T255" s="22" t="s">
        <v>252</v>
      </c>
      <c r="U255" s="22" t="s">
        <v>2404</v>
      </c>
      <c r="V255" s="26" t="s">
        <v>507</v>
      </c>
      <c r="W255" s="27" t="s">
        <v>2405</v>
      </c>
      <c r="X255" s="26" t="s">
        <v>2406</v>
      </c>
      <c r="Y255" s="23"/>
      <c r="Z255" s="28"/>
      <c r="AA255" s="23"/>
      <c r="AB255" s="23" t="str">
        <f>IFERROR(__xludf.DUMMYFUNCTION("IF(
ISNUMBER(MATCH(
C255,
IMPORTRANGE(""https://docs.google.com/spreadsheets/d/1yTh1ELC33JHYOeEdgIiEclxPRyh0zOKtlawDltfUay8"",""'Champions'!A:A""),
0
)),
""Outreach Conducted"",
"""")"),"")</f>
        <v/>
      </c>
      <c r="AC255" s="23"/>
      <c r="AD255" s="23"/>
      <c r="AE255" s="23"/>
      <c r="AF255" s="23"/>
      <c r="AG255" s="23"/>
      <c r="AH255" s="23"/>
      <c r="AI255" s="23"/>
      <c r="AJ255" s="23"/>
      <c r="AK255" s="23"/>
      <c r="AL255" s="23"/>
    </row>
    <row r="256" hidden="1">
      <c r="A256" s="22" t="s">
        <v>2397</v>
      </c>
      <c r="B256" s="22" t="s">
        <v>2407</v>
      </c>
      <c r="C256" s="23" t="str">
        <f t="shared" si="1"/>
        <v>Melissa Dallmeyer</v>
      </c>
      <c r="D256" s="22">
        <v>1.2675660541E10</v>
      </c>
      <c r="E256" s="29" t="s">
        <v>2408</v>
      </c>
      <c r="F256" s="22" t="s">
        <v>248</v>
      </c>
      <c r="G256" s="22">
        <v>521.0</v>
      </c>
      <c r="H256" s="22">
        <f t="array" ref="H256">IFERROR(INDEX('Hub CPC 226'!A:A, MATCH(C256, 'Hub CPC 226'!B:B, 0)), "")</f>
        <v>266</v>
      </c>
      <c r="I256" s="22">
        <f t="array" ref="I256">IFERROR(INDEX('Hub Users 226'!A:A, MATCH(C256, 'Hub Users 226'!B:B, 0)), "")</f>
        <v>285</v>
      </c>
      <c r="J256" s="22" t="s">
        <v>239</v>
      </c>
      <c r="K256" s="23" t="s">
        <v>2409</v>
      </c>
      <c r="L256" s="25">
        <v>44490.97986111111</v>
      </c>
      <c r="M256" s="23"/>
      <c r="N256" s="23"/>
      <c r="O256" s="23"/>
      <c r="P256" s="23"/>
      <c r="Q256" s="22" t="s">
        <v>2410</v>
      </c>
      <c r="R256" s="22" t="s">
        <v>692</v>
      </c>
      <c r="S256" s="22" t="s">
        <v>692</v>
      </c>
      <c r="T256" s="22" t="s">
        <v>501</v>
      </c>
      <c r="U256" s="22" t="s">
        <v>2411</v>
      </c>
      <c r="V256" s="23"/>
      <c r="W256" s="23"/>
      <c r="X256" s="23"/>
      <c r="Y256" s="23"/>
      <c r="Z256" s="28"/>
      <c r="AA256" s="23"/>
      <c r="AB256" s="23" t="str">
        <f>IFERROR(__xludf.DUMMYFUNCTION("IF(
ISNUMBER(MATCH(
C256,
IMPORTRANGE(""https://docs.google.com/spreadsheets/d/1yTh1ELC33JHYOeEdgIiEclxPRyh0zOKtlawDltfUay8"",""'Champions'!A:A""),
0
)),
""Outreach Conducted"",
"""")"),"")</f>
        <v/>
      </c>
      <c r="AC256" s="23"/>
      <c r="AD256" s="23"/>
      <c r="AE256" s="23"/>
      <c r="AF256" s="23"/>
      <c r="AG256" s="23"/>
      <c r="AH256" s="23"/>
      <c r="AI256" s="23"/>
      <c r="AJ256" s="23"/>
      <c r="AK256" s="23"/>
      <c r="AL256" s="23"/>
    </row>
    <row r="257" hidden="1">
      <c r="A257" s="22" t="s">
        <v>2412</v>
      </c>
      <c r="B257" s="22" t="s">
        <v>2413</v>
      </c>
      <c r="C257" s="23" t="str">
        <f t="shared" si="1"/>
        <v>Meliza Fernandez</v>
      </c>
      <c r="D257" s="22">
        <v>9.17701169E9</v>
      </c>
      <c r="E257" s="29" t="s">
        <v>2414</v>
      </c>
      <c r="F257" s="22" t="s">
        <v>248</v>
      </c>
      <c r="G257" s="22">
        <v>643.0</v>
      </c>
      <c r="H257" s="22" t="str">
        <f t="array" ref="H257">IFERROR(INDEX('Hub CPC 226'!A:A, MATCH(C257, 'Hub CPC 226'!B:B, 0)), "")</f>
        <v/>
      </c>
      <c r="I257" s="22">
        <f t="array" ref="I257">IFERROR(INDEX('Hub Users 226'!A:A, MATCH(C257, 'Hub Users 226'!B:B, 0)), "")</f>
        <v>286</v>
      </c>
      <c r="J257" s="22" t="s">
        <v>608</v>
      </c>
      <c r="K257" s="23" t="s">
        <v>2415</v>
      </c>
      <c r="L257" s="25">
        <v>44678.572916666664</v>
      </c>
      <c r="M257" s="28"/>
      <c r="N257" s="28"/>
      <c r="O257" s="28"/>
      <c r="P257" s="31"/>
      <c r="Q257" s="31"/>
      <c r="R257" s="22" t="s">
        <v>1172</v>
      </c>
      <c r="S257" s="22" t="s">
        <v>1173</v>
      </c>
      <c r="T257" s="22" t="s">
        <v>272</v>
      </c>
      <c r="U257" s="24"/>
      <c r="V257" s="23"/>
      <c r="W257" s="23"/>
      <c r="X257" s="23"/>
      <c r="Y257" s="23"/>
      <c r="Z257" s="28"/>
      <c r="AA257" s="23"/>
      <c r="AB257" s="23" t="str">
        <f>IFERROR(__xludf.DUMMYFUNCTION("IF(
ISNUMBER(MATCH(
C257,
IMPORTRANGE(""https://docs.google.com/spreadsheets/d/1yTh1ELC33JHYOeEdgIiEclxPRyh0zOKtlawDltfUay8"",""'Champions'!A:A""),
0
)),
""Outreach Conducted"",
"""")"),"")</f>
        <v/>
      </c>
      <c r="AC257" s="23"/>
      <c r="AD257" s="23"/>
      <c r="AE257" s="23"/>
      <c r="AF257" s="23"/>
      <c r="AG257" s="23"/>
      <c r="AH257" s="23"/>
      <c r="AI257" s="23"/>
      <c r="AJ257" s="23"/>
      <c r="AK257" s="23"/>
      <c r="AL257" s="23"/>
    </row>
    <row r="258" hidden="1">
      <c r="A258" s="22" t="s">
        <v>2416</v>
      </c>
      <c r="B258" s="22" t="s">
        <v>2417</v>
      </c>
      <c r="C258" s="23" t="str">
        <f t="shared" si="1"/>
        <v>Melody Jia Fang</v>
      </c>
      <c r="D258" s="22">
        <v>5.104491317E9</v>
      </c>
      <c r="E258" s="29" t="s">
        <v>2418</v>
      </c>
      <c r="F258" s="22" t="s">
        <v>248</v>
      </c>
      <c r="G258" s="22">
        <v>342.0</v>
      </c>
      <c r="H258" s="22">
        <f t="array" ref="H258">IFERROR(INDEX('Hub CPC 226'!A:A, MATCH(C258, 'Hub CPC 226'!B:B, 0)), "")</f>
        <v>268</v>
      </c>
      <c r="I258" s="22">
        <f t="array" ref="I258">IFERROR(INDEX('Hub Users 226'!A:A, MATCH(C258, 'Hub Users 226'!B:B, 0)), "")</f>
        <v>287</v>
      </c>
      <c r="J258" s="22" t="s">
        <v>1153</v>
      </c>
      <c r="K258" s="23" t="s">
        <v>2419</v>
      </c>
      <c r="L258" s="25">
        <v>44053.75277777778</v>
      </c>
      <c r="M258" s="23"/>
      <c r="N258" s="23"/>
      <c r="O258" s="23"/>
      <c r="P258" s="23"/>
      <c r="Q258" s="22" t="s">
        <v>2420</v>
      </c>
      <c r="R258" s="22" t="s">
        <v>492</v>
      </c>
      <c r="S258" s="22" t="s">
        <v>492</v>
      </c>
      <c r="T258" s="22" t="s">
        <v>27</v>
      </c>
      <c r="U258" s="22" t="s">
        <v>2421</v>
      </c>
      <c r="V258" s="26" t="s">
        <v>360</v>
      </c>
      <c r="W258" s="27" t="s">
        <v>2422</v>
      </c>
      <c r="X258" s="26" t="s">
        <v>2423</v>
      </c>
      <c r="Y258" s="23"/>
      <c r="Z258" s="28"/>
      <c r="AA258" s="23"/>
      <c r="AB258" s="23" t="str">
        <f>IFERROR(__xludf.DUMMYFUNCTION("IF(
ISNUMBER(MATCH(
C258,
IMPORTRANGE(""https://docs.google.com/spreadsheets/d/1yTh1ELC33JHYOeEdgIiEclxPRyh0zOKtlawDltfUay8"",""'Champions'!A:A""),
0
)),
""Outreach Conducted"",
"""")"),"")</f>
        <v/>
      </c>
      <c r="AC258" s="23"/>
      <c r="AD258" s="23"/>
      <c r="AE258" s="23"/>
      <c r="AF258" s="23"/>
      <c r="AG258" s="23"/>
      <c r="AH258" s="23"/>
      <c r="AI258" s="23"/>
      <c r="AJ258" s="23"/>
      <c r="AK258" s="23"/>
      <c r="AL258" s="23"/>
    </row>
    <row r="259" hidden="1">
      <c r="A259" s="22" t="s">
        <v>2424</v>
      </c>
      <c r="B259" s="22" t="s">
        <v>2425</v>
      </c>
      <c r="C259" s="23" t="str">
        <f t="shared" si="1"/>
        <v>Michael Dougherty</v>
      </c>
      <c r="D259" s="22" t="s">
        <v>2426</v>
      </c>
      <c r="E259" s="29" t="s">
        <v>2427</v>
      </c>
      <c r="F259" s="22" t="s">
        <v>248</v>
      </c>
      <c r="G259" s="22">
        <v>648.0</v>
      </c>
      <c r="H259" s="22" t="str">
        <f t="array" ref="H259">IFERROR(INDEX('Hub CPC 226'!A:A, MATCH(C259, 'Hub CPC 226'!B:B, 0)), "")</f>
        <v/>
      </c>
      <c r="I259" s="22">
        <f t="array" ref="I259">IFERROR(INDEX('Hub Users 226'!A:A, MATCH(C259, 'Hub Users 226'!B:B, 0)), "")</f>
        <v>288</v>
      </c>
      <c r="J259" s="22" t="s">
        <v>240</v>
      </c>
      <c r="K259" s="23" t="s">
        <v>2428</v>
      </c>
      <c r="L259" s="25">
        <v>44678.58263888889</v>
      </c>
      <c r="M259" s="28">
        <v>17.0</v>
      </c>
      <c r="N259" s="28">
        <v>40.0</v>
      </c>
      <c r="O259" s="28">
        <v>94.0</v>
      </c>
      <c r="P259" s="31"/>
      <c r="Q259" s="22" t="s">
        <v>2429</v>
      </c>
      <c r="R259" s="22" t="s">
        <v>271</v>
      </c>
      <c r="S259" s="22" t="s">
        <v>2430</v>
      </c>
      <c r="T259" s="22" t="s">
        <v>272</v>
      </c>
      <c r="U259" s="22" t="s">
        <v>2431</v>
      </c>
      <c r="V259" s="26" t="s">
        <v>2432</v>
      </c>
      <c r="W259" s="27" t="s">
        <v>2433</v>
      </c>
      <c r="X259" s="26" t="s">
        <v>2434</v>
      </c>
      <c r="Y259" s="23"/>
      <c r="Z259" s="28"/>
      <c r="AA259" s="23"/>
      <c r="AB259" s="23" t="str">
        <f>IFERROR(__xludf.DUMMYFUNCTION("IF(
ISNUMBER(MATCH(
C259,
IMPORTRANGE(""https://docs.google.com/spreadsheets/d/1yTh1ELC33JHYOeEdgIiEclxPRyh0zOKtlawDltfUay8"",""'Champions'!A:A""),
0
)),
""Outreach Conducted"",
"""")"),"")</f>
        <v/>
      </c>
      <c r="AC259" s="23"/>
      <c r="AD259" s="23"/>
      <c r="AE259" s="23"/>
      <c r="AF259" s="23"/>
      <c r="AG259" s="23"/>
      <c r="AH259" s="23"/>
      <c r="AI259" s="23"/>
      <c r="AJ259" s="23"/>
      <c r="AK259" s="23"/>
      <c r="AL259" s="23"/>
    </row>
    <row r="260" hidden="1">
      <c r="A260" s="22" t="s">
        <v>2435</v>
      </c>
      <c r="B260" s="22" t="s">
        <v>2436</v>
      </c>
      <c r="C260" s="23" t="str">
        <f t="shared" si="1"/>
        <v>Meghan Bethany Gunther</v>
      </c>
      <c r="D260" s="22">
        <v>4.848867506E9</v>
      </c>
      <c r="E260" s="29" t="s">
        <v>2437</v>
      </c>
      <c r="F260" s="22" t="s">
        <v>248</v>
      </c>
      <c r="G260" s="22">
        <v>29.0</v>
      </c>
      <c r="H260" s="22">
        <f t="array" ref="H260">IFERROR(INDEX('Hub CPC 226'!A:A, MATCH(C260, 'Hub CPC 226'!B:B, 0)), "")</f>
        <v>270</v>
      </c>
      <c r="I260" s="22">
        <f t="array" ref="I260">IFERROR(INDEX('Hub Users 226'!A:A, MATCH(C260, 'Hub Users 226'!B:B, 0)), "")</f>
        <v>289</v>
      </c>
      <c r="J260" s="22" t="s">
        <v>290</v>
      </c>
      <c r="K260" s="23" t="s">
        <v>2438</v>
      </c>
      <c r="L260" s="25">
        <v>43338.743055555555</v>
      </c>
      <c r="M260" s="23"/>
      <c r="N260" s="23"/>
      <c r="O260" s="23"/>
      <c r="P260" s="23"/>
      <c r="Q260" s="22" t="s">
        <v>2439</v>
      </c>
      <c r="R260" s="22"/>
      <c r="S260" s="22" t="s">
        <v>1615</v>
      </c>
      <c r="T260" s="22" t="s">
        <v>381</v>
      </c>
      <c r="U260" s="24"/>
      <c r="V260" s="23"/>
      <c r="W260" s="23"/>
      <c r="X260" s="23"/>
      <c r="Y260" s="23"/>
      <c r="Z260" s="28"/>
      <c r="AA260" s="23"/>
      <c r="AB260" s="23" t="str">
        <f>IFERROR(__xludf.DUMMYFUNCTION("IF(
ISNUMBER(MATCH(
C260,
IMPORTRANGE(""https://docs.google.com/spreadsheets/d/1yTh1ELC33JHYOeEdgIiEclxPRyh0zOKtlawDltfUay8"",""'Champions'!A:A""),
0
)),
""Outreach Conducted"",
"""")"),"")</f>
        <v/>
      </c>
      <c r="AC260" s="23"/>
      <c r="AD260" s="23"/>
      <c r="AE260" s="23"/>
      <c r="AF260" s="23"/>
      <c r="AG260" s="23"/>
      <c r="AH260" s="23"/>
      <c r="AI260" s="23"/>
      <c r="AJ260" s="23"/>
      <c r="AK260" s="23"/>
      <c r="AL260" s="23"/>
    </row>
    <row r="261" hidden="1">
      <c r="A261" s="22" t="s">
        <v>2440</v>
      </c>
      <c r="B261" s="22" t="s">
        <v>2441</v>
      </c>
      <c r="C261" s="23" t="str">
        <f t="shared" si="1"/>
        <v>Mikey Bedney</v>
      </c>
      <c r="D261" s="22">
        <v>1.503816995E10</v>
      </c>
      <c r="E261" s="29" t="s">
        <v>2442</v>
      </c>
      <c r="F261" s="22" t="s">
        <v>248</v>
      </c>
      <c r="G261" s="22">
        <v>691.0</v>
      </c>
      <c r="H261" s="22">
        <f t="array" ref="H261">IFERROR(INDEX('Hub CPC 226'!A:A, MATCH(C261, 'Hub CPC 226'!B:B, 0)), "")</f>
        <v>271</v>
      </c>
      <c r="I261" s="22">
        <f t="array" ref="I261">IFERROR(INDEX('Hub Users 226'!A:A, MATCH(C261, 'Hub Users 226'!B:B, 0)), "")</f>
        <v>290</v>
      </c>
      <c r="J261" s="22" t="s">
        <v>1235</v>
      </c>
      <c r="K261" s="23" t="s">
        <v>2443</v>
      </c>
      <c r="L261" s="25">
        <v>44945.71597222222</v>
      </c>
      <c r="M261" s="23"/>
      <c r="N261" s="23"/>
      <c r="O261" s="23"/>
      <c r="P261" s="23"/>
      <c r="Q261" s="22" t="s">
        <v>2444</v>
      </c>
      <c r="R261" s="22" t="s">
        <v>2445</v>
      </c>
      <c r="S261" s="22" t="s">
        <v>2446</v>
      </c>
      <c r="T261" s="22" t="s">
        <v>2447</v>
      </c>
      <c r="U261" s="22" t="s">
        <v>2448</v>
      </c>
      <c r="V261" s="26" t="s">
        <v>475</v>
      </c>
      <c r="W261" s="27" t="s">
        <v>2449</v>
      </c>
      <c r="X261" s="26" t="s">
        <v>1085</v>
      </c>
      <c r="Y261" s="23"/>
      <c r="Z261" s="28"/>
      <c r="AA261" s="23"/>
      <c r="AB261" s="23" t="str">
        <f>IFERROR(__xludf.DUMMYFUNCTION("IF(
ISNUMBER(MATCH(
C261,
IMPORTRANGE(""https://docs.google.com/spreadsheets/d/1yTh1ELC33JHYOeEdgIiEclxPRyh0zOKtlawDltfUay8"",""'Champions'!A:A""),
0
)),
""Outreach Conducted"",
"""")"),"")</f>
        <v/>
      </c>
      <c r="AC261" s="23"/>
      <c r="AD261" s="23"/>
      <c r="AE261" s="23"/>
      <c r="AF261" s="23"/>
      <c r="AG261" s="23"/>
      <c r="AH261" s="23"/>
      <c r="AI261" s="23"/>
      <c r="AJ261" s="23"/>
      <c r="AK261" s="23"/>
      <c r="AL261" s="23"/>
    </row>
    <row r="262" hidden="1">
      <c r="A262" s="22" t="s">
        <v>2450</v>
      </c>
      <c r="B262" s="22" t="s">
        <v>2451</v>
      </c>
      <c r="C262" s="23" t="str">
        <f t="shared" si="1"/>
        <v>Min Jung Park</v>
      </c>
      <c r="D262" s="22">
        <v>1.2134403377E10</v>
      </c>
      <c r="E262" s="29" t="s">
        <v>2452</v>
      </c>
      <c r="F262" s="22" t="s">
        <v>248</v>
      </c>
      <c r="G262" s="22">
        <v>669.0</v>
      </c>
      <c r="H262" s="22">
        <f t="array" ref="H262">IFERROR(INDEX('Hub CPC 226'!A:A, MATCH(C262, 'Hub CPC 226'!B:B, 0)), "")</f>
        <v>272</v>
      </c>
      <c r="I262" s="22">
        <f t="array" ref="I262">IFERROR(INDEX('Hub Users 226'!A:A, MATCH(C262, 'Hub Users 226'!B:B, 0)), "")</f>
        <v>291</v>
      </c>
      <c r="J262" s="22" t="s">
        <v>239</v>
      </c>
      <c r="K262" s="23" t="s">
        <v>2453</v>
      </c>
      <c r="L262" s="25">
        <v>44841.654861111114</v>
      </c>
      <c r="M262" s="23"/>
      <c r="N262" s="23"/>
      <c r="O262" s="23"/>
      <c r="P262" s="23"/>
      <c r="Q262" s="22" t="s">
        <v>2454</v>
      </c>
      <c r="R262" s="22" t="s">
        <v>2455</v>
      </c>
      <c r="S262" s="22" t="s">
        <v>1439</v>
      </c>
      <c r="T262" s="22" t="s">
        <v>252</v>
      </c>
      <c r="U262" s="22" t="s">
        <v>853</v>
      </c>
      <c r="V262" s="26" t="s">
        <v>475</v>
      </c>
      <c r="W262" s="27" t="s">
        <v>2456</v>
      </c>
      <c r="X262" s="26" t="s">
        <v>1085</v>
      </c>
      <c r="Y262" s="23"/>
      <c r="Z262" s="28"/>
      <c r="AA262" s="23"/>
      <c r="AB262" s="23" t="str">
        <f>IFERROR(__xludf.DUMMYFUNCTION("IF(
ISNUMBER(MATCH(
C262,
IMPORTRANGE(""https://docs.google.com/spreadsheets/d/1yTh1ELC33JHYOeEdgIiEclxPRyh0zOKtlawDltfUay8"",""'Champions'!A:A""),
0
)),
""Outreach Conducted"",
"""")"),"")</f>
        <v/>
      </c>
      <c r="AC262" s="23"/>
      <c r="AD262" s="23"/>
      <c r="AE262" s="23"/>
      <c r="AF262" s="23"/>
      <c r="AG262" s="23"/>
      <c r="AH262" s="23"/>
      <c r="AI262" s="23"/>
      <c r="AJ262" s="23"/>
      <c r="AK262" s="23"/>
      <c r="AL262" s="23"/>
    </row>
    <row r="263" hidden="1">
      <c r="A263" s="22" t="s">
        <v>2457</v>
      </c>
      <c r="B263" s="22" t="s">
        <v>2458</v>
      </c>
      <c r="C263" s="23" t="str">
        <f t="shared" si="1"/>
        <v>Mirela Alexe</v>
      </c>
      <c r="D263" s="22" t="s">
        <v>2459</v>
      </c>
      <c r="E263" s="29" t="s">
        <v>2460</v>
      </c>
      <c r="F263" s="22" t="s">
        <v>238</v>
      </c>
      <c r="G263" s="22">
        <v>192.0</v>
      </c>
      <c r="H263" s="22">
        <f t="array" ref="H263">IFERROR(INDEX('Hub CPC 226'!A:A, MATCH(C263, 'Hub CPC 226'!B:B, 0)), "")</f>
        <v>273</v>
      </c>
      <c r="I263" s="22">
        <f t="array" ref="I263">IFERROR(INDEX('Hub Users 226'!A:A, MATCH(C263, 'Hub Users 226'!B:B, 0)), "")</f>
        <v>292</v>
      </c>
      <c r="J263" s="22" t="s">
        <v>240</v>
      </c>
      <c r="K263" s="23" t="s">
        <v>2461</v>
      </c>
      <c r="L263" s="25">
        <v>43592.27222222222</v>
      </c>
      <c r="M263" s="23"/>
      <c r="N263" s="23"/>
      <c r="O263" s="23"/>
      <c r="P263" s="23"/>
      <c r="Q263" s="22" t="s">
        <v>2462</v>
      </c>
      <c r="R263" s="22" t="s">
        <v>2462</v>
      </c>
      <c r="S263" s="22" t="s">
        <v>410</v>
      </c>
      <c r="T263" s="22" t="s">
        <v>241</v>
      </c>
      <c r="U263" s="22" t="s">
        <v>2463</v>
      </c>
      <c r="V263" s="23"/>
      <c r="W263" s="23"/>
      <c r="X263" s="23"/>
      <c r="Y263" s="23"/>
      <c r="Z263" s="28"/>
      <c r="AA263" s="23"/>
      <c r="AB263" s="23" t="str">
        <f>IFERROR(__xludf.DUMMYFUNCTION("IF(
ISNUMBER(MATCH(
C263,
IMPORTRANGE(""https://docs.google.com/spreadsheets/d/1yTh1ELC33JHYOeEdgIiEclxPRyh0zOKtlawDltfUay8"",""'Champions'!A:A""),
0
)),
""Outreach Conducted"",
"""")"),"")</f>
        <v/>
      </c>
      <c r="AC263" s="23"/>
      <c r="AD263" s="23"/>
      <c r="AE263" s="23"/>
      <c r="AF263" s="23"/>
      <c r="AG263" s="23"/>
      <c r="AH263" s="23"/>
      <c r="AI263" s="23"/>
      <c r="AJ263" s="23"/>
      <c r="AK263" s="23"/>
      <c r="AL263" s="23"/>
    </row>
    <row r="264" hidden="1">
      <c r="A264" s="22" t="s">
        <v>2464</v>
      </c>
      <c r="B264" s="22" t="s">
        <v>1510</v>
      </c>
      <c r="C264" s="23" t="str">
        <f t="shared" si="1"/>
        <v>Missie Miranda</v>
      </c>
      <c r="D264" s="22" t="s">
        <v>2465</v>
      </c>
      <c r="E264" s="29" t="s">
        <v>2466</v>
      </c>
      <c r="F264" s="22" t="s">
        <v>248</v>
      </c>
      <c r="G264" s="22">
        <v>128.0</v>
      </c>
      <c r="H264" s="22">
        <f t="array" ref="H264">IFERROR(INDEX('Hub CPC 226'!A:A, MATCH(C264, 'Hub CPC 226'!B:B, 0)), "")</f>
        <v>274</v>
      </c>
      <c r="I264" s="22">
        <f t="array" ref="I264">IFERROR(INDEX('Hub Users 226'!A:A, MATCH(C264, 'Hub Users 226'!B:B, 0)), "")</f>
        <v>293</v>
      </c>
      <c r="J264" s="22" t="s">
        <v>290</v>
      </c>
      <c r="K264" s="23" t="s">
        <v>2467</v>
      </c>
      <c r="L264" s="25">
        <v>43510.05069444444</v>
      </c>
      <c r="M264" s="23"/>
      <c r="N264" s="23"/>
      <c r="O264" s="23"/>
      <c r="P264" s="23"/>
      <c r="Q264" s="22" t="s">
        <v>2468</v>
      </c>
      <c r="R264" s="22" t="s">
        <v>2469</v>
      </c>
      <c r="S264" s="22" t="s">
        <v>2470</v>
      </c>
      <c r="T264" s="22" t="s">
        <v>252</v>
      </c>
      <c r="U264" s="22" t="s">
        <v>2471</v>
      </c>
      <c r="V264" s="26" t="s">
        <v>666</v>
      </c>
      <c r="W264" s="27" t="s">
        <v>2472</v>
      </c>
      <c r="X264" s="26" t="s">
        <v>2473</v>
      </c>
      <c r="Y264" s="23"/>
      <c r="Z264" s="28"/>
      <c r="AA264" s="23"/>
      <c r="AB264" s="23" t="str">
        <f>IFERROR(__xludf.DUMMYFUNCTION("IF(
ISNUMBER(MATCH(
C264,
IMPORTRANGE(""https://docs.google.com/spreadsheets/d/1yTh1ELC33JHYOeEdgIiEclxPRyh0zOKtlawDltfUay8"",""'Champions'!A:A""),
0
)),
""Outreach Conducted"",
"""")"),"")</f>
        <v/>
      </c>
      <c r="AC264" s="23"/>
      <c r="AD264" s="23"/>
      <c r="AE264" s="23"/>
      <c r="AF264" s="23"/>
      <c r="AG264" s="23"/>
      <c r="AH264" s="23"/>
      <c r="AI264" s="23"/>
      <c r="AJ264" s="23"/>
      <c r="AK264" s="23"/>
      <c r="AL264" s="23"/>
    </row>
    <row r="265" hidden="1">
      <c r="A265" s="22" t="s">
        <v>2474</v>
      </c>
      <c r="B265" s="22" t="s">
        <v>2475</v>
      </c>
      <c r="C265" s="23" t="str">
        <f t="shared" si="1"/>
        <v>Mihira Vedula Karra</v>
      </c>
      <c r="D265" s="22" t="s">
        <v>2476</v>
      </c>
      <c r="E265" s="29" t="s">
        <v>2477</v>
      </c>
      <c r="F265" s="22" t="s">
        <v>248</v>
      </c>
      <c r="G265" s="22">
        <v>38.0</v>
      </c>
      <c r="H265" s="22">
        <f t="array" ref="H265">IFERROR(INDEX('Hub CPC 226'!A:A, MATCH(C265, 'Hub CPC 226'!B:B, 0)), "")</f>
        <v>275</v>
      </c>
      <c r="I265" s="22">
        <f t="array" ref="I265">IFERROR(INDEX('Hub Users 226'!A:A, MATCH(C265, 'Hub Users 226'!B:B, 0)), "")</f>
        <v>294</v>
      </c>
      <c r="J265" s="22" t="s">
        <v>407</v>
      </c>
      <c r="K265" s="28" t="s">
        <v>2478</v>
      </c>
      <c r="L265" s="25">
        <v>43338.743055555555</v>
      </c>
      <c r="M265" s="23"/>
      <c r="N265" s="23"/>
      <c r="O265" s="23"/>
      <c r="P265" s="23"/>
      <c r="Q265" s="22" t="s">
        <v>2479</v>
      </c>
      <c r="R265" s="22" t="s">
        <v>2480</v>
      </c>
      <c r="S265" s="22" t="s">
        <v>2481</v>
      </c>
      <c r="T265" s="22" t="s">
        <v>813</v>
      </c>
      <c r="U265" s="22" t="s">
        <v>2482</v>
      </c>
      <c r="V265" s="23"/>
      <c r="W265" s="23"/>
      <c r="X265" s="23"/>
      <c r="Y265" s="23"/>
      <c r="Z265" s="28"/>
      <c r="AA265" s="23"/>
      <c r="AB265" s="23" t="str">
        <f>IFERROR(__xludf.DUMMYFUNCTION("IF(
ISNUMBER(MATCH(
C265,
IMPORTRANGE(""https://docs.google.com/spreadsheets/d/1yTh1ELC33JHYOeEdgIiEclxPRyh0zOKtlawDltfUay8"",""'Champions'!A:A""),
0
)),
""Outreach Conducted"",
"""")"),"")</f>
        <v/>
      </c>
      <c r="AC265" s="23"/>
      <c r="AD265" s="23"/>
      <c r="AE265" s="23"/>
      <c r="AF265" s="23"/>
      <c r="AG265" s="23"/>
      <c r="AH265" s="23"/>
      <c r="AI265" s="23"/>
      <c r="AJ265" s="23"/>
      <c r="AK265" s="23"/>
      <c r="AL265" s="23"/>
    </row>
    <row r="266" hidden="1">
      <c r="A266" s="22" t="s">
        <v>2483</v>
      </c>
      <c r="B266" s="22" t="s">
        <v>495</v>
      </c>
      <c r="C266" s="23" t="str">
        <f t="shared" si="1"/>
        <v>Marcus Smith</v>
      </c>
      <c r="D266" s="22">
        <v>2.037457799E9</v>
      </c>
      <c r="E266" s="29" t="s">
        <v>2484</v>
      </c>
      <c r="F266" s="22" t="s">
        <v>399</v>
      </c>
      <c r="G266" s="22">
        <v>719.0</v>
      </c>
      <c r="H266" s="22">
        <f t="array" ref="H266">IFERROR(INDEX('Hub CPC 226'!A:A, MATCH(C266, 'Hub CPC 226'!B:B, 0)), "")</f>
        <v>276</v>
      </c>
      <c r="I266" s="22">
        <f t="array" ref="I266">IFERROR(INDEX('Hub Users 226'!A:A, MATCH(C266, 'Hub Users 226'!B:B, 0)), "")</f>
        <v>295</v>
      </c>
      <c r="J266" s="22" t="s">
        <v>239</v>
      </c>
      <c r="K266" s="23" t="s">
        <v>240</v>
      </c>
      <c r="L266" s="25">
        <v>45022.76875</v>
      </c>
      <c r="M266" s="23"/>
      <c r="N266" s="23"/>
      <c r="O266" s="23"/>
      <c r="P266" s="23"/>
      <c r="Q266" s="24"/>
      <c r="R266" s="24"/>
      <c r="S266" s="24"/>
      <c r="T266" s="24"/>
      <c r="U266" s="22" t="s">
        <v>922</v>
      </c>
      <c r="V266" s="26" t="s">
        <v>1583</v>
      </c>
      <c r="W266" s="23"/>
      <c r="X266" s="26" t="s">
        <v>1085</v>
      </c>
      <c r="Y266" s="23"/>
      <c r="Z266" s="28"/>
      <c r="AA266" s="23"/>
      <c r="AB266" s="23" t="str">
        <f>IFERROR(__xludf.DUMMYFUNCTION("IF(
ISNUMBER(MATCH(
C266,
IMPORTRANGE(""https://docs.google.com/spreadsheets/d/1yTh1ELC33JHYOeEdgIiEclxPRyh0zOKtlawDltfUay8"",""'Champions'!A:A""),
0
)),
""Outreach Conducted"",
"""")"),"")</f>
        <v/>
      </c>
      <c r="AC266" s="23"/>
      <c r="AD266" s="23"/>
      <c r="AE266" s="23"/>
      <c r="AF266" s="23"/>
      <c r="AG266" s="23"/>
      <c r="AH266" s="23"/>
      <c r="AI266" s="23"/>
      <c r="AJ266" s="23"/>
      <c r="AK266" s="23"/>
      <c r="AL266" s="23"/>
    </row>
    <row r="267" hidden="1">
      <c r="A267" s="22" t="s">
        <v>2485</v>
      </c>
      <c r="B267" s="22" t="s">
        <v>2486</v>
      </c>
      <c r="C267" s="23" t="str">
        <f t="shared" si="1"/>
        <v>Mohammed Baldiwala</v>
      </c>
      <c r="D267" s="22">
        <v>1.6822214786E10</v>
      </c>
      <c r="E267" s="29" t="s">
        <v>2487</v>
      </c>
      <c r="F267" s="22" t="s">
        <v>248</v>
      </c>
      <c r="G267" s="22">
        <v>601.0</v>
      </c>
      <c r="H267" s="22">
        <f t="array" ref="H267">IFERROR(INDEX('Hub CPC 226'!A:A, MATCH(C267, 'Hub CPC 226'!B:B, 0)), "")</f>
        <v>277</v>
      </c>
      <c r="I267" s="22">
        <f t="array" ref="I267">IFERROR(INDEX('Hub Users 226'!A:A, MATCH(C267, 'Hub Users 226'!B:B, 0)), "")</f>
        <v>296</v>
      </c>
      <c r="J267" s="22" t="s">
        <v>290</v>
      </c>
      <c r="K267" s="23" t="s">
        <v>2488</v>
      </c>
      <c r="L267" s="25">
        <v>44579.68819444445</v>
      </c>
      <c r="M267" s="23"/>
      <c r="N267" s="23"/>
      <c r="O267" s="23"/>
      <c r="P267" s="23"/>
      <c r="Q267" s="22" t="s">
        <v>2489</v>
      </c>
      <c r="R267" s="22" t="s">
        <v>2490</v>
      </c>
      <c r="S267" s="22" t="s">
        <v>2491</v>
      </c>
      <c r="T267" s="22" t="s">
        <v>465</v>
      </c>
      <c r="U267" s="22" t="s">
        <v>2492</v>
      </c>
      <c r="V267" s="26" t="s">
        <v>507</v>
      </c>
      <c r="W267" s="27" t="s">
        <v>2493</v>
      </c>
      <c r="X267" s="26" t="s">
        <v>2494</v>
      </c>
      <c r="Y267" s="23"/>
      <c r="Z267" s="28"/>
      <c r="AA267" s="23"/>
      <c r="AB267" s="23" t="str">
        <f>IFERROR(__xludf.DUMMYFUNCTION("IF(
ISNUMBER(MATCH(
C267,
IMPORTRANGE(""https://docs.google.com/spreadsheets/d/1yTh1ELC33JHYOeEdgIiEclxPRyh0zOKtlawDltfUay8"",""'Champions'!A:A""),
0
)),
""Outreach Conducted"",
"""")"),"")</f>
        <v/>
      </c>
      <c r="AC267" s="23"/>
      <c r="AD267" s="23"/>
      <c r="AE267" s="23"/>
      <c r="AF267" s="23"/>
      <c r="AG267" s="23"/>
      <c r="AH267" s="23"/>
      <c r="AI267" s="23"/>
      <c r="AJ267" s="23"/>
      <c r="AK267" s="23"/>
      <c r="AL267" s="23"/>
    </row>
    <row r="268" hidden="1">
      <c r="A268" s="22" t="s">
        <v>2495</v>
      </c>
      <c r="B268" s="22" t="s">
        <v>2496</v>
      </c>
      <c r="C268" s="23" t="str">
        <f t="shared" si="1"/>
        <v>Mark Swift</v>
      </c>
      <c r="D268" s="22">
        <v>1.6179056197E10</v>
      </c>
      <c r="E268" s="29" t="s">
        <v>2497</v>
      </c>
      <c r="F268" s="22" t="s">
        <v>248</v>
      </c>
      <c r="G268" s="22">
        <v>715.0</v>
      </c>
      <c r="H268" s="22">
        <f t="array" ref="H268">IFERROR(INDEX('Hub CPC 226'!A:A, MATCH(C268, 'Hub CPC 226'!B:B, 0)), "")</f>
        <v>278</v>
      </c>
      <c r="I268" s="22">
        <f t="array" ref="I268">IFERROR(INDEX('Hub Users 226'!A:A, MATCH(C268, 'Hub Users 226'!B:B, 0)), "")</f>
        <v>297</v>
      </c>
      <c r="J268" s="22" t="s">
        <v>239</v>
      </c>
      <c r="K268" s="23" t="s">
        <v>2498</v>
      </c>
      <c r="L268" s="25">
        <v>45011.88263888889</v>
      </c>
      <c r="M268" s="23"/>
      <c r="N268" s="23"/>
      <c r="O268" s="23"/>
      <c r="P268" s="23"/>
      <c r="Q268" s="22" t="s">
        <v>2499</v>
      </c>
      <c r="R268" s="22" t="s">
        <v>2500</v>
      </c>
      <c r="S268" s="22" t="s">
        <v>2279</v>
      </c>
      <c r="T268" s="22" t="s">
        <v>626</v>
      </c>
      <c r="U268" s="22" t="s">
        <v>2501</v>
      </c>
      <c r="V268" s="26" t="s">
        <v>475</v>
      </c>
      <c r="W268" s="47" t="s">
        <v>2502</v>
      </c>
      <c r="X268" s="26" t="s">
        <v>421</v>
      </c>
      <c r="Y268" s="23"/>
      <c r="Z268" s="28"/>
      <c r="AA268" s="23"/>
      <c r="AB268" s="23" t="str">
        <f>IFERROR(__xludf.DUMMYFUNCTION("IF(
ISNUMBER(MATCH(
C268,
IMPORTRANGE(""https://docs.google.com/spreadsheets/d/1yTh1ELC33JHYOeEdgIiEclxPRyh0zOKtlawDltfUay8"",""'Champions'!A:A""),
0
)),
""Outreach Conducted"",
"""")"),"")</f>
        <v/>
      </c>
      <c r="AC268" s="23"/>
      <c r="AD268" s="23"/>
      <c r="AE268" s="23"/>
      <c r="AF268" s="23"/>
      <c r="AG268" s="23"/>
      <c r="AH268" s="23"/>
      <c r="AI268" s="23"/>
      <c r="AJ268" s="23"/>
      <c r="AK268" s="23"/>
      <c r="AL268" s="23"/>
    </row>
    <row r="269" hidden="1">
      <c r="A269" s="22" t="s">
        <v>2503</v>
      </c>
      <c r="B269" s="22" t="s">
        <v>2504</v>
      </c>
      <c r="C269" s="23" t="str">
        <f t="shared" si="1"/>
        <v>Sahana Mukherjee</v>
      </c>
      <c r="D269" s="22">
        <v>1.3478556342E10</v>
      </c>
      <c r="E269" s="29" t="s">
        <v>2505</v>
      </c>
      <c r="F269" s="22" t="s">
        <v>399</v>
      </c>
      <c r="G269" s="22">
        <v>706.0</v>
      </c>
      <c r="H269" s="22">
        <f t="array" ref="H269">IFERROR(INDEX('Hub CPC 226'!A:A, MATCH(C269, 'Hub CPC 226'!B:B, 0)), "")</f>
        <v>279</v>
      </c>
      <c r="I269" s="22">
        <f t="array" ref="I269">IFERROR(INDEX('Hub Users 226'!A:A, MATCH(C269, 'Hub Users 226'!B:B, 0)), "")</f>
        <v>298</v>
      </c>
      <c r="J269" s="22" t="s">
        <v>260</v>
      </c>
      <c r="K269" s="23" t="s">
        <v>2506</v>
      </c>
      <c r="L269" s="25">
        <v>44990.47638888889</v>
      </c>
      <c r="M269" s="23"/>
      <c r="N269" s="23"/>
      <c r="O269" s="23"/>
      <c r="P269" s="23"/>
      <c r="Q269" s="22" t="s">
        <v>2507</v>
      </c>
      <c r="R269" s="22" t="s">
        <v>674</v>
      </c>
      <c r="S269" s="22" t="s">
        <v>2508</v>
      </c>
      <c r="T269" s="22" t="s">
        <v>241</v>
      </c>
      <c r="U269" s="22" t="s">
        <v>2509</v>
      </c>
      <c r="V269" s="23"/>
      <c r="W269" s="23"/>
      <c r="X269" s="23"/>
      <c r="Y269" s="23"/>
      <c r="Z269" s="28"/>
      <c r="AA269" s="23"/>
      <c r="AB269" s="23" t="str">
        <f>IFERROR(__xludf.DUMMYFUNCTION("IF(
ISNUMBER(MATCH(
C269,
IMPORTRANGE(""https://docs.google.com/spreadsheets/d/1yTh1ELC33JHYOeEdgIiEclxPRyh0zOKtlawDltfUay8"",""'Champions'!A:A""),
0
)),
""Outreach Conducted"",
"""")"),"")</f>
        <v/>
      </c>
      <c r="AC269" s="23"/>
      <c r="AD269" s="23"/>
      <c r="AE269" s="23"/>
      <c r="AF269" s="23"/>
      <c r="AG269" s="23"/>
      <c r="AH269" s="23"/>
      <c r="AI269" s="23"/>
      <c r="AJ269" s="23"/>
      <c r="AK269" s="23"/>
      <c r="AL269" s="23"/>
    </row>
    <row r="270" hidden="1">
      <c r="A270" s="22" t="s">
        <v>2510</v>
      </c>
      <c r="B270" s="22" t="s">
        <v>2511</v>
      </c>
      <c r="C270" s="23" t="str">
        <f t="shared" si="1"/>
        <v>Muna Hassen</v>
      </c>
      <c r="D270" s="22">
        <v>1.3012328633E10</v>
      </c>
      <c r="E270" s="29" t="s">
        <v>2512</v>
      </c>
      <c r="F270" s="22" t="s">
        <v>248</v>
      </c>
      <c r="G270" s="22">
        <v>672.0</v>
      </c>
      <c r="H270" s="22">
        <f t="array" ref="H270">IFERROR(INDEX('Hub CPC 226'!A:A, MATCH(C270, 'Hub CPC 226'!B:B, 0)), "")</f>
        <v>280</v>
      </c>
      <c r="I270" s="22">
        <f t="array" ref="I270">IFERROR(INDEX('Hub Users 226'!A:A, MATCH(C270, 'Hub Users 226'!B:B, 0)), "")</f>
        <v>299</v>
      </c>
      <c r="J270" s="22" t="s">
        <v>407</v>
      </c>
      <c r="K270" s="23" t="s">
        <v>2513</v>
      </c>
      <c r="L270" s="25">
        <v>44853.53680555556</v>
      </c>
      <c r="M270" s="23"/>
      <c r="N270" s="23"/>
      <c r="O270" s="23"/>
      <c r="P270" s="23"/>
      <c r="Q270" s="22" t="s">
        <v>2514</v>
      </c>
      <c r="R270" s="22" t="s">
        <v>2515</v>
      </c>
      <c r="S270" s="22" t="s">
        <v>380</v>
      </c>
      <c r="T270" s="22" t="s">
        <v>381</v>
      </c>
      <c r="U270" s="22" t="s">
        <v>2516</v>
      </c>
      <c r="V270" s="26" t="s">
        <v>1583</v>
      </c>
      <c r="W270" s="23"/>
      <c r="X270" s="26" t="s">
        <v>1085</v>
      </c>
      <c r="Y270" s="23"/>
      <c r="Z270" s="28"/>
      <c r="AA270" s="23"/>
      <c r="AB270" s="23" t="str">
        <f>IFERROR(__xludf.DUMMYFUNCTION("IF(
ISNUMBER(MATCH(
C270,
IMPORTRANGE(""https://docs.google.com/spreadsheets/d/1yTh1ELC33JHYOeEdgIiEclxPRyh0zOKtlawDltfUay8"",""'Champions'!A:A""),
0
)),
""Outreach Conducted"",
"""")"),"")</f>
        <v/>
      </c>
      <c r="AC270" s="23"/>
      <c r="AD270" s="23"/>
      <c r="AE270" s="23"/>
      <c r="AF270" s="23"/>
      <c r="AG270" s="23"/>
      <c r="AH270" s="23"/>
      <c r="AI270" s="23"/>
      <c r="AJ270" s="23"/>
      <c r="AK270" s="23"/>
      <c r="AL270" s="23"/>
    </row>
    <row r="271" hidden="1">
      <c r="A271" s="22" t="s">
        <v>2517</v>
      </c>
      <c r="B271" s="22" t="s">
        <v>2518</v>
      </c>
      <c r="C271" s="23" t="str">
        <f t="shared" si="1"/>
        <v>Lata Murti</v>
      </c>
      <c r="D271" s="22">
        <v>1.3233097795E10</v>
      </c>
      <c r="E271" s="29" t="s">
        <v>2519</v>
      </c>
      <c r="F271" s="22" t="s">
        <v>248</v>
      </c>
      <c r="G271" s="22">
        <v>591.0</v>
      </c>
      <c r="H271" s="22">
        <f t="array" ref="H271">IFERROR(INDEX('Hub CPC 226'!A:A, MATCH(C271, 'Hub CPC 226'!B:B, 0)), "")</f>
        <v>281</v>
      </c>
      <c r="I271" s="22">
        <f t="array" ref="I271">IFERROR(INDEX('Hub Users 226'!A:A, MATCH(C271, 'Hub Users 226'!B:B, 0)), "")</f>
        <v>300</v>
      </c>
      <c r="J271" s="22" t="s">
        <v>417</v>
      </c>
      <c r="K271" s="23" t="s">
        <v>2520</v>
      </c>
      <c r="L271" s="25">
        <v>44570.97152777778</v>
      </c>
      <c r="M271" s="23"/>
      <c r="N271" s="23"/>
      <c r="O271" s="23"/>
      <c r="P271" s="23"/>
      <c r="Q271" s="22" t="s">
        <v>2521</v>
      </c>
      <c r="R271" s="22" t="s">
        <v>2522</v>
      </c>
      <c r="S271" s="22" t="s">
        <v>2131</v>
      </c>
      <c r="T271" s="22" t="s">
        <v>252</v>
      </c>
      <c r="U271" s="22" t="s">
        <v>853</v>
      </c>
      <c r="V271" s="26" t="s">
        <v>2523</v>
      </c>
      <c r="W271" s="27" t="s">
        <v>2524</v>
      </c>
      <c r="X271" s="26" t="s">
        <v>2525</v>
      </c>
      <c r="Y271" s="28" t="s">
        <v>2526</v>
      </c>
      <c r="Z271" s="28"/>
      <c r="AA271" s="23"/>
      <c r="AB271" s="23" t="str">
        <f>IFERROR(__xludf.DUMMYFUNCTION("IF(
ISNUMBER(MATCH(
C271,
IMPORTRANGE(""https://docs.google.com/spreadsheets/d/1yTh1ELC33JHYOeEdgIiEclxPRyh0zOKtlawDltfUay8"",""'Champions'!A:A""),
0
)),
""Outreach Conducted"",
"""")"),"")</f>
        <v/>
      </c>
      <c r="AC271" s="23"/>
      <c r="AD271" s="26" t="s">
        <v>2527</v>
      </c>
      <c r="AE271" s="48">
        <v>44179.0</v>
      </c>
      <c r="AF271" s="28" t="s">
        <v>449</v>
      </c>
      <c r="AG271" s="28">
        <v>25.0</v>
      </c>
      <c r="AH271" s="23"/>
      <c r="AI271" s="23"/>
      <c r="AJ271" s="23"/>
      <c r="AK271" s="23"/>
      <c r="AL271" s="23"/>
    </row>
    <row r="272" hidden="1">
      <c r="A272" s="22" t="s">
        <v>2528</v>
      </c>
      <c r="B272" s="22" t="s">
        <v>2529</v>
      </c>
      <c r="C272" s="23" t="str">
        <f t="shared" si="1"/>
        <v>Muzammil Iqbal</v>
      </c>
      <c r="D272" s="30">
        <v>9.23053E11</v>
      </c>
      <c r="E272" s="29" t="s">
        <v>2530</v>
      </c>
      <c r="F272" s="22" t="s">
        <v>399</v>
      </c>
      <c r="G272" s="22">
        <v>579.0</v>
      </c>
      <c r="H272" s="22">
        <f t="array" ref="H272">IFERROR(INDEX('Hub CPC 226'!A:A, MATCH(C272, 'Hub CPC 226'!B:B, 0)), "")</f>
        <v>282</v>
      </c>
      <c r="I272" s="22">
        <f t="array" ref="I272">IFERROR(INDEX('Hub Users 226'!A:A, MATCH(C272, 'Hub Users 226'!B:B, 0)), "")</f>
        <v>301</v>
      </c>
      <c r="J272" s="22" t="s">
        <v>608</v>
      </c>
      <c r="K272" s="23" t="s">
        <v>2531</v>
      </c>
      <c r="L272" s="25">
        <v>44559.67361111111</v>
      </c>
      <c r="M272" s="23"/>
      <c r="N272" s="23"/>
      <c r="O272" s="23"/>
      <c r="P272" s="23"/>
      <c r="Q272" s="22" t="s">
        <v>2532</v>
      </c>
      <c r="R272" s="22" t="s">
        <v>2533</v>
      </c>
      <c r="S272" s="24"/>
      <c r="T272" s="24"/>
      <c r="U272" s="22" t="s">
        <v>2534</v>
      </c>
      <c r="V272" s="23"/>
      <c r="W272" s="23"/>
      <c r="X272" s="23"/>
      <c r="Y272" s="23"/>
      <c r="Z272" s="23"/>
      <c r="AA272" s="23"/>
      <c r="AB272" s="23" t="str">
        <f>IFERROR(__xludf.DUMMYFUNCTION("IF(
ISNUMBER(MATCH(
C272,
IMPORTRANGE(""https://docs.google.com/spreadsheets/d/1yTh1ELC33JHYOeEdgIiEclxPRyh0zOKtlawDltfUay8"",""'Champions'!A:A""),
0
)),
""Outreach Conducted"",
"""")"),"")</f>
        <v/>
      </c>
      <c r="AC272" s="23"/>
      <c r="AD272" s="23"/>
      <c r="AE272" s="23"/>
      <c r="AF272" s="23"/>
      <c r="AG272" s="23"/>
      <c r="AH272" s="23"/>
      <c r="AI272" s="23"/>
      <c r="AJ272" s="23"/>
      <c r="AK272" s="23"/>
      <c r="AL272" s="23"/>
    </row>
    <row r="273" hidden="1">
      <c r="A273" s="32" t="s">
        <v>2528</v>
      </c>
      <c r="B273" s="32" t="s">
        <v>2529</v>
      </c>
      <c r="C273" s="23" t="str">
        <f t="shared" si="1"/>
        <v>Muzammil Iqbal</v>
      </c>
      <c r="D273" s="32" t="s">
        <v>2535</v>
      </c>
      <c r="E273" s="32" t="s">
        <v>2530</v>
      </c>
      <c r="F273" s="28" t="s">
        <v>2536</v>
      </c>
      <c r="G273" s="32">
        <v>295.0</v>
      </c>
      <c r="H273" s="22">
        <f t="array" ref="H273">IFERROR(INDEX('Hub CPC 226'!A:A, MATCH(C273, 'Hub CPC 226'!B:B, 0)), "")</f>
        <v>282</v>
      </c>
      <c r="I273" s="22">
        <f t="array" ref="I273">IFERROR(INDEX('Hub Users 226'!A:A, MATCH(C273, 'Hub Users 226'!B:B, 0)), "")</f>
        <v>301</v>
      </c>
      <c r="J273" s="22"/>
      <c r="K273" s="23" t="s">
        <v>2537</v>
      </c>
      <c r="L273" s="38">
        <v>43782.50347222222</v>
      </c>
      <c r="M273" s="23"/>
      <c r="N273" s="23"/>
      <c r="O273" s="23"/>
      <c r="P273" s="23"/>
      <c r="Q273" s="32" t="s">
        <v>2538</v>
      </c>
      <c r="R273" s="32" t="s">
        <v>2539</v>
      </c>
      <c r="S273" s="24"/>
      <c r="T273" s="24"/>
      <c r="U273" s="32" t="s">
        <v>2540</v>
      </c>
      <c r="V273" s="23"/>
      <c r="W273" s="23"/>
      <c r="X273" s="23"/>
      <c r="Y273" s="23"/>
      <c r="Z273" s="23"/>
      <c r="AA273" s="23"/>
      <c r="AB273" s="23" t="str">
        <f>IFERROR(__xludf.DUMMYFUNCTION("IF(
ISNUMBER(MATCH(
C273,
IMPORTRANGE(""https://docs.google.com/spreadsheets/d/1yTh1ELC33JHYOeEdgIiEclxPRyh0zOKtlawDltfUay8"",""'Champions'!A:A""),
0
)),
""Outreach Conducted"",
"""")"),"")</f>
        <v/>
      </c>
      <c r="AC273" s="23"/>
      <c r="AD273" s="23"/>
      <c r="AE273" s="23"/>
      <c r="AF273" s="23"/>
      <c r="AG273" s="23"/>
      <c r="AH273" s="23"/>
      <c r="AI273" s="23"/>
      <c r="AJ273" s="23"/>
      <c r="AK273" s="23"/>
      <c r="AL273" s="23"/>
    </row>
    <row r="274" hidden="1">
      <c r="A274" s="32" t="s">
        <v>2528</v>
      </c>
      <c r="B274" s="32" t="s">
        <v>2529</v>
      </c>
      <c r="C274" s="23" t="str">
        <f t="shared" si="1"/>
        <v>Muzammil Iqbal</v>
      </c>
      <c r="D274" s="32" t="s">
        <v>2535</v>
      </c>
      <c r="E274" s="32" t="s">
        <v>2530</v>
      </c>
      <c r="F274" s="28" t="s">
        <v>769</v>
      </c>
      <c r="G274" s="32">
        <v>582.0</v>
      </c>
      <c r="H274" s="22">
        <f t="array" ref="H274">IFERROR(INDEX('Hub CPC 226'!A:A, MATCH(C274, 'Hub CPC 226'!B:B, 0)), "")</f>
        <v>282</v>
      </c>
      <c r="I274" s="22">
        <f t="array" ref="I274">IFERROR(INDEX('Hub Users 226'!A:A, MATCH(C274, 'Hub Users 226'!B:B, 0)), "")</f>
        <v>301</v>
      </c>
      <c r="J274" s="22"/>
      <c r="K274" s="23" t="s">
        <v>2541</v>
      </c>
      <c r="L274" s="38">
        <v>44560.669444444444</v>
      </c>
      <c r="M274" s="23"/>
      <c r="N274" s="23"/>
      <c r="O274" s="23"/>
      <c r="P274" s="23"/>
      <c r="Q274" s="32" t="s">
        <v>2542</v>
      </c>
      <c r="R274" s="32" t="s">
        <v>2543</v>
      </c>
      <c r="S274" s="24"/>
      <c r="T274" s="24"/>
      <c r="U274" s="32" t="s">
        <v>2544</v>
      </c>
      <c r="V274" s="23"/>
      <c r="W274" s="23"/>
      <c r="X274" s="23"/>
      <c r="Y274" s="23"/>
      <c r="Z274" s="23"/>
      <c r="AA274" s="23"/>
      <c r="AB274" s="23" t="str">
        <f>IFERROR(__xludf.DUMMYFUNCTION("IF(
ISNUMBER(MATCH(
C274,
IMPORTRANGE(""https://docs.google.com/spreadsheets/d/1yTh1ELC33JHYOeEdgIiEclxPRyh0zOKtlawDltfUay8"",""'Champions'!A:A""),
0
)),
""Outreach Conducted"",
"""")"),"")</f>
        <v/>
      </c>
      <c r="AC274" s="23"/>
      <c r="AD274" s="23"/>
      <c r="AE274" s="23"/>
      <c r="AF274" s="23"/>
      <c r="AG274" s="23"/>
      <c r="AH274" s="23"/>
      <c r="AI274" s="23"/>
      <c r="AJ274" s="23"/>
      <c r="AK274" s="23"/>
      <c r="AL274" s="23"/>
    </row>
    <row r="275" hidden="1">
      <c r="A275" s="22" t="s">
        <v>2545</v>
      </c>
      <c r="B275" s="22" t="s">
        <v>2546</v>
      </c>
      <c r="C275" s="23" t="str">
        <f t="shared" si="1"/>
        <v>Kelly Lynn Knarr</v>
      </c>
      <c r="D275" s="22" t="s">
        <v>2547</v>
      </c>
      <c r="E275" s="29" t="s">
        <v>2548</v>
      </c>
      <c r="F275" s="22" t="s">
        <v>248</v>
      </c>
      <c r="G275" s="22">
        <v>102.0</v>
      </c>
      <c r="H275" s="22">
        <f t="array" ref="H275">IFERROR(INDEX('Hub CPC 226'!A:A, MATCH(C275, 'Hub CPC 226'!B:B, 0)), "")</f>
        <v>283</v>
      </c>
      <c r="I275" s="22">
        <f t="array" ref="I275">IFERROR(INDEX('Hub Users 226'!A:A, MATCH(C275, 'Hub Users 226'!B:B, 0)), "")</f>
        <v>302</v>
      </c>
      <c r="J275" s="22" t="s">
        <v>240</v>
      </c>
      <c r="K275" s="23" t="s">
        <v>2549</v>
      </c>
      <c r="L275" s="25">
        <v>43475.90277777778</v>
      </c>
      <c r="M275" s="23"/>
      <c r="N275" s="23"/>
      <c r="O275" s="23"/>
      <c r="P275" s="23"/>
      <c r="Q275" s="22" t="s">
        <v>2550</v>
      </c>
      <c r="R275" s="22" t="s">
        <v>2551</v>
      </c>
      <c r="S275" s="22" t="s">
        <v>2552</v>
      </c>
      <c r="T275" s="22" t="s">
        <v>381</v>
      </c>
      <c r="U275" s="22" t="s">
        <v>2553</v>
      </c>
      <c r="V275" s="23"/>
      <c r="W275" s="23"/>
      <c r="X275" s="23"/>
      <c r="Y275" s="23"/>
      <c r="Z275" s="28"/>
      <c r="AA275" s="23"/>
      <c r="AB275" s="23" t="str">
        <f>IFERROR(__xludf.DUMMYFUNCTION("IF(
ISNUMBER(MATCH(
C275,
IMPORTRANGE(""https://docs.google.com/spreadsheets/d/1yTh1ELC33JHYOeEdgIiEclxPRyh0zOKtlawDltfUay8"",""'Champions'!A:A""),
0
)),
""Outreach Conducted"",
"""")"),"")</f>
        <v/>
      </c>
      <c r="AC275" s="23"/>
      <c r="AD275" s="23"/>
      <c r="AE275" s="23"/>
      <c r="AF275" s="23"/>
      <c r="AG275" s="23"/>
      <c r="AH275" s="23"/>
      <c r="AI275" s="23"/>
      <c r="AJ275" s="23"/>
      <c r="AK275" s="23"/>
      <c r="AL275" s="23"/>
    </row>
    <row r="276" hidden="1">
      <c r="A276" s="22" t="s">
        <v>2554</v>
      </c>
      <c r="B276" s="22" t="s">
        <v>2555</v>
      </c>
      <c r="C276" s="23" t="str">
        <f t="shared" si="1"/>
        <v>Natsumi Komatani</v>
      </c>
      <c r="D276" s="22" t="s">
        <v>2556</v>
      </c>
      <c r="E276" s="29" t="s">
        <v>2557</v>
      </c>
      <c r="F276" s="22" t="s">
        <v>248</v>
      </c>
      <c r="G276" s="22">
        <v>400.0</v>
      </c>
      <c r="H276" s="22">
        <f t="array" ref="H276">IFERROR(INDEX('Hub CPC 226'!A:A, MATCH(C276, 'Hub CPC 226'!B:B, 0)), "")</f>
        <v>284</v>
      </c>
      <c r="I276" s="22">
        <f t="array" ref="I276">IFERROR(INDEX('Hub Users 226'!A:A, MATCH(C276, 'Hub Users 226'!B:B, 0)), "")</f>
        <v>303</v>
      </c>
      <c r="J276" s="22" t="s">
        <v>290</v>
      </c>
      <c r="K276" s="23" t="s">
        <v>2558</v>
      </c>
      <c r="L276" s="25">
        <v>44200.70277777778</v>
      </c>
      <c r="M276" s="23"/>
      <c r="N276" s="23"/>
      <c r="O276" s="23"/>
      <c r="P276" s="23"/>
      <c r="Q276" s="22" t="s">
        <v>2559</v>
      </c>
      <c r="R276" s="22" t="s">
        <v>2560</v>
      </c>
      <c r="S276" s="22" t="s">
        <v>282</v>
      </c>
      <c r="T276" s="22" t="s">
        <v>252</v>
      </c>
      <c r="U276" s="22" t="s">
        <v>2561</v>
      </c>
      <c r="V276" s="26" t="s">
        <v>735</v>
      </c>
      <c r="W276" s="27" t="s">
        <v>2562</v>
      </c>
      <c r="X276" s="26" t="s">
        <v>2563</v>
      </c>
      <c r="Y276" s="23"/>
      <c r="Z276" s="28"/>
      <c r="AA276" s="23"/>
      <c r="AB276" s="23" t="str">
        <f>IFERROR(__xludf.DUMMYFUNCTION("IF(
ISNUMBER(MATCH(
C276,
IMPORTRANGE(""https://docs.google.com/spreadsheets/d/1yTh1ELC33JHYOeEdgIiEclxPRyh0zOKtlawDltfUay8"",""'Champions'!A:A""),
0
)),
""Outreach Conducted"",
"""")"),"")</f>
        <v/>
      </c>
      <c r="AC276" s="23"/>
      <c r="AD276" s="23"/>
      <c r="AE276" s="23"/>
      <c r="AF276" s="23"/>
      <c r="AG276" s="23"/>
      <c r="AH276" s="23"/>
      <c r="AI276" s="23"/>
      <c r="AJ276" s="23"/>
      <c r="AK276" s="23"/>
      <c r="AL276" s="23"/>
    </row>
    <row r="277" hidden="1">
      <c r="A277" s="22" t="s">
        <v>2564</v>
      </c>
      <c r="B277" s="22" t="s">
        <v>2565</v>
      </c>
      <c r="C277" s="23" t="str">
        <f t="shared" si="1"/>
        <v>Nadine Shahbaz</v>
      </c>
      <c r="D277" s="22" t="s">
        <v>2566</v>
      </c>
      <c r="E277" s="29" t="s">
        <v>2567</v>
      </c>
      <c r="F277" s="22" t="s">
        <v>248</v>
      </c>
      <c r="G277" s="22">
        <v>198.0</v>
      </c>
      <c r="H277" s="22">
        <f t="array" ref="H277">IFERROR(INDEX('Hub CPC 226'!A:A, MATCH(C277, 'Hub CPC 226'!B:B, 0)), "")</f>
        <v>285</v>
      </c>
      <c r="I277" s="22">
        <f t="array" ref="I277">IFERROR(INDEX('Hub Users 226'!A:A, MATCH(C277, 'Hub Users 226'!B:B, 0)), "")</f>
        <v>304</v>
      </c>
      <c r="J277" s="22" t="s">
        <v>240</v>
      </c>
      <c r="K277" s="23" t="s">
        <v>2568</v>
      </c>
      <c r="L277" s="25">
        <v>43640.40138888889</v>
      </c>
      <c r="M277" s="28">
        <v>10.0</v>
      </c>
      <c r="N277" s="28">
        <v>27.0</v>
      </c>
      <c r="O277" s="28">
        <v>66.0</v>
      </c>
      <c r="P277" s="32">
        <v>1.0</v>
      </c>
      <c r="Q277" s="22" t="s">
        <v>2569</v>
      </c>
      <c r="R277" s="22" t="s">
        <v>271</v>
      </c>
      <c r="S277" s="22" t="s">
        <v>271</v>
      </c>
      <c r="T277" s="22" t="s">
        <v>272</v>
      </c>
      <c r="U277" s="22" t="s">
        <v>2570</v>
      </c>
      <c r="V277" s="23"/>
      <c r="W277" s="23"/>
      <c r="X277" s="23"/>
      <c r="Y277" s="23"/>
      <c r="Z277" s="28"/>
      <c r="AA277" s="23"/>
      <c r="AB277" s="23" t="str">
        <f>IFERROR(__xludf.DUMMYFUNCTION("IF(
ISNUMBER(MATCH(
C277,
IMPORTRANGE(""https://docs.google.com/spreadsheets/d/1yTh1ELC33JHYOeEdgIiEclxPRyh0zOKtlawDltfUay8"",""'Champions'!A:A""),
0
)),
""Outreach Conducted"",
"""")"),"")</f>
        <v/>
      </c>
      <c r="AC277" s="23"/>
      <c r="AD277" s="23"/>
      <c r="AE277" s="23"/>
      <c r="AF277" s="23"/>
      <c r="AG277" s="23"/>
      <c r="AH277" s="23"/>
      <c r="AI277" s="23"/>
      <c r="AJ277" s="23"/>
      <c r="AK277" s="23"/>
      <c r="AL277" s="23"/>
    </row>
    <row r="278" hidden="1">
      <c r="A278" s="22" t="s">
        <v>2571</v>
      </c>
      <c r="B278" s="22" t="s">
        <v>277</v>
      </c>
      <c r="C278" s="23" t="str">
        <f t="shared" si="1"/>
        <v>Naina Mehta</v>
      </c>
      <c r="D278" s="22">
        <v>6.462171453E9</v>
      </c>
      <c r="E278" s="29" t="s">
        <v>2572</v>
      </c>
      <c r="F278" s="22" t="s">
        <v>248</v>
      </c>
      <c r="G278" s="22">
        <v>23.0</v>
      </c>
      <c r="H278" s="22">
        <f t="array" ref="H278">IFERROR(INDEX('Hub CPC 226'!A:A, MATCH(C278, 'Hub CPC 226'!B:B, 0)), "")</f>
        <v>286</v>
      </c>
      <c r="I278" s="22">
        <f t="array" ref="I278">IFERROR(INDEX('Hub Users 226'!A:A, MATCH(C278, 'Hub Users 226'!B:B, 0)), "")</f>
        <v>305</v>
      </c>
      <c r="J278" s="22"/>
      <c r="K278" s="23" t="s">
        <v>2573</v>
      </c>
      <c r="L278" s="25">
        <v>43338.743055555555</v>
      </c>
      <c r="M278" s="28">
        <v>12.0</v>
      </c>
      <c r="N278" s="28">
        <v>28.0</v>
      </c>
      <c r="O278" s="28">
        <v>73.0</v>
      </c>
      <c r="P278" s="32">
        <v>4.0</v>
      </c>
      <c r="Q278" s="22" t="s">
        <v>2574</v>
      </c>
      <c r="R278" s="22"/>
      <c r="S278" s="22" t="s">
        <v>271</v>
      </c>
      <c r="T278" s="22" t="s">
        <v>272</v>
      </c>
      <c r="U278" s="22" t="s">
        <v>2575</v>
      </c>
      <c r="V278" s="26" t="s">
        <v>242</v>
      </c>
      <c r="W278" s="35" t="s">
        <v>2576</v>
      </c>
      <c r="X278" s="26" t="s">
        <v>2577</v>
      </c>
      <c r="Y278" s="23"/>
      <c r="Z278" s="28"/>
      <c r="AA278" s="23"/>
      <c r="AB278" s="23" t="str">
        <f>IFERROR(__xludf.DUMMYFUNCTION("IF(
ISNUMBER(MATCH(
C278,
IMPORTRANGE(""https://docs.google.com/spreadsheets/d/1yTh1ELC33JHYOeEdgIiEclxPRyh0zOKtlawDltfUay8"",""'Champions'!A:A""),
0
)),
""Outreach Conducted"",
"""")"),"")</f>
        <v/>
      </c>
      <c r="AC278" s="23"/>
      <c r="AD278" s="23"/>
      <c r="AE278" s="23"/>
      <c r="AF278" s="23"/>
      <c r="AG278" s="23"/>
      <c r="AH278" s="23"/>
      <c r="AI278" s="23"/>
      <c r="AJ278" s="23"/>
      <c r="AK278" s="23"/>
      <c r="AL278" s="23"/>
    </row>
    <row r="279" hidden="1">
      <c r="A279" s="22" t="s">
        <v>2578</v>
      </c>
      <c r="B279" s="22" t="s">
        <v>2579</v>
      </c>
      <c r="C279" s="23" t="str">
        <f t="shared" si="1"/>
        <v>Nika Daniella Ankou</v>
      </c>
      <c r="D279" s="22">
        <v>2.027121531E9</v>
      </c>
      <c r="E279" s="29" t="s">
        <v>2580</v>
      </c>
      <c r="F279" s="22" t="s">
        <v>399</v>
      </c>
      <c r="G279" s="22">
        <v>39.0</v>
      </c>
      <c r="H279" s="22">
        <f t="array" ref="H279">IFERROR(INDEX('Hub CPC 226'!A:A, MATCH(C279, 'Hub CPC 226'!B:B, 0)), "")</f>
        <v>287</v>
      </c>
      <c r="I279" s="22">
        <f t="array" ref="I279">IFERROR(INDEX('Hub Users 226'!A:A, MATCH(C279, 'Hub Users 226'!B:B, 0)), "")</f>
        <v>306</v>
      </c>
      <c r="J279" s="22" t="s">
        <v>260</v>
      </c>
      <c r="K279" s="23" t="s">
        <v>2581</v>
      </c>
      <c r="L279" s="25">
        <v>43338.743055555555</v>
      </c>
      <c r="M279" s="23"/>
      <c r="N279" s="23"/>
      <c r="O279" s="23"/>
      <c r="P279" s="23"/>
      <c r="Q279" s="22" t="s">
        <v>1370</v>
      </c>
      <c r="R279" s="22"/>
      <c r="S279" s="22" t="s">
        <v>1371</v>
      </c>
      <c r="T279" s="22" t="s">
        <v>1372</v>
      </c>
      <c r="U279" s="22" t="s">
        <v>2482</v>
      </c>
      <c r="V279" s="26" t="s">
        <v>242</v>
      </c>
      <c r="W279" s="35" t="s">
        <v>931</v>
      </c>
      <c r="X279" s="26" t="s">
        <v>244</v>
      </c>
      <c r="Y279" s="23"/>
      <c r="Z279" s="23"/>
      <c r="AA279" s="23"/>
      <c r="AB279" s="23" t="str">
        <f>IFERROR(__xludf.DUMMYFUNCTION("IF(
ISNUMBER(MATCH(
C279,
IMPORTRANGE(""https://docs.google.com/spreadsheets/d/1yTh1ELC33JHYOeEdgIiEclxPRyh0zOKtlawDltfUay8"",""'Champions'!A:A""),
0
)),
""Outreach Conducted"",
"""")"),"")</f>
        <v/>
      </c>
      <c r="AC279" s="23"/>
      <c r="AD279" s="23"/>
      <c r="AE279" s="23"/>
      <c r="AF279" s="23"/>
      <c r="AG279" s="23"/>
      <c r="AH279" s="23"/>
      <c r="AI279" s="23"/>
      <c r="AJ279" s="23"/>
      <c r="AK279" s="23"/>
      <c r="AL279" s="23"/>
    </row>
    <row r="280" hidden="1">
      <c r="A280" s="32" t="s">
        <v>2582</v>
      </c>
      <c r="B280" s="32" t="s">
        <v>2583</v>
      </c>
      <c r="C280" s="23" t="str">
        <f t="shared" si="1"/>
        <v>Nasteshia Robinson</v>
      </c>
      <c r="D280" s="31"/>
      <c r="E280" s="32" t="s">
        <v>2584</v>
      </c>
      <c r="F280" s="28" t="s">
        <v>769</v>
      </c>
      <c r="G280" s="32">
        <v>674.0</v>
      </c>
      <c r="H280" s="22">
        <f t="array" ref="H280">IFERROR(INDEX('Hub CPC 226'!A:A, MATCH(C280, 'Hub CPC 226'!B:B, 0)), "")</f>
        <v>288</v>
      </c>
      <c r="I280" s="22">
        <f t="array" ref="I280">IFERROR(INDEX('Hub Users 226'!A:A, MATCH(C280, 'Hub Users 226'!B:B, 0)), "")</f>
        <v>307</v>
      </c>
      <c r="J280" s="22"/>
      <c r="K280" s="23" t="s">
        <v>2585</v>
      </c>
      <c r="L280" s="38">
        <v>44862.64722222222</v>
      </c>
      <c r="M280" s="23"/>
      <c r="N280" s="23"/>
      <c r="O280" s="23"/>
      <c r="P280" s="23"/>
      <c r="Q280" s="31"/>
      <c r="R280" s="31"/>
      <c r="S280" s="24"/>
      <c r="T280" s="24"/>
      <c r="U280" s="31"/>
      <c r="V280" s="26" t="s">
        <v>242</v>
      </c>
      <c r="W280" s="27" t="s">
        <v>2586</v>
      </c>
      <c r="X280" s="26" t="s">
        <v>629</v>
      </c>
      <c r="Y280" s="23"/>
      <c r="Z280" s="23"/>
      <c r="AA280" s="23"/>
      <c r="AB280" s="23" t="str">
        <f>IFERROR(__xludf.DUMMYFUNCTION("IF(
ISNUMBER(MATCH(
C280,
IMPORTRANGE(""https://docs.google.com/spreadsheets/d/1yTh1ELC33JHYOeEdgIiEclxPRyh0zOKtlawDltfUay8"",""'Champions'!A:A""),
0
)),
""Outreach Conducted"",
"""")"),"")</f>
        <v/>
      </c>
      <c r="AC280" s="23"/>
      <c r="AD280" s="23"/>
      <c r="AE280" s="23"/>
      <c r="AF280" s="23"/>
      <c r="AG280" s="23"/>
      <c r="AH280" s="23"/>
      <c r="AI280" s="23"/>
      <c r="AJ280" s="23"/>
      <c r="AK280" s="23"/>
      <c r="AL280" s="23"/>
    </row>
    <row r="281" hidden="1">
      <c r="A281" s="22" t="s">
        <v>2587</v>
      </c>
      <c r="B281" s="22" t="s">
        <v>2588</v>
      </c>
      <c r="C281" s="23" t="str">
        <f t="shared" si="1"/>
        <v>Natalie Oniszk-De Vincenzi</v>
      </c>
      <c r="D281" s="22">
        <v>3.10717585E9</v>
      </c>
      <c r="E281" s="29" t="s">
        <v>2589</v>
      </c>
      <c r="F281" s="22" t="s">
        <v>238</v>
      </c>
      <c r="G281" s="22">
        <v>378.0</v>
      </c>
      <c r="H281" s="22">
        <f t="array" ref="H281">IFERROR(INDEX('Hub CPC 226'!A:A, MATCH(C281, 'Hub CPC 226'!B:B, 0)), "")</f>
        <v>289</v>
      </c>
      <c r="I281" s="22">
        <f t="array" ref="I281">IFERROR(INDEX('Hub Users 226'!A:A, MATCH(C281, 'Hub Users 226'!B:B, 0)), "")</f>
        <v>308</v>
      </c>
      <c r="J281" s="22" t="s">
        <v>260</v>
      </c>
      <c r="K281" s="28" t="s">
        <v>2590</v>
      </c>
      <c r="L281" s="25">
        <v>44197.527083333334</v>
      </c>
      <c r="M281" s="23"/>
      <c r="N281" s="23"/>
      <c r="O281" s="23"/>
      <c r="P281" s="23"/>
      <c r="Q281" s="22" t="s">
        <v>2591</v>
      </c>
      <c r="R281" s="22" t="s">
        <v>974</v>
      </c>
      <c r="S281" s="22" t="s">
        <v>974</v>
      </c>
      <c r="T281" s="22" t="s">
        <v>252</v>
      </c>
      <c r="U281" s="22" t="s">
        <v>2592</v>
      </c>
      <c r="V281" s="26" t="s">
        <v>284</v>
      </c>
      <c r="W281" s="27" t="s">
        <v>2593</v>
      </c>
      <c r="X281" s="26" t="s">
        <v>1085</v>
      </c>
      <c r="Y281" s="23"/>
      <c r="Z281" s="28"/>
      <c r="AA281" s="23"/>
      <c r="AB281" s="23" t="str">
        <f>IFERROR(__xludf.DUMMYFUNCTION("IF(
ISNUMBER(MATCH(
C281,
IMPORTRANGE(""https://docs.google.com/spreadsheets/d/1yTh1ELC33JHYOeEdgIiEclxPRyh0zOKtlawDltfUay8"",""'Champions'!A:A""),
0
)),
""Outreach Conducted"",
"""")"),"")</f>
        <v/>
      </c>
      <c r="AC281" s="23"/>
      <c r="AD281" s="23"/>
      <c r="AE281" s="23"/>
      <c r="AF281" s="23"/>
      <c r="AG281" s="23"/>
      <c r="AH281" s="23"/>
      <c r="AI281" s="23"/>
      <c r="AJ281" s="23"/>
      <c r="AK281" s="23"/>
      <c r="AL281" s="23"/>
    </row>
    <row r="282" hidden="1">
      <c r="A282" s="22" t="s">
        <v>2587</v>
      </c>
      <c r="B282" s="22" t="s">
        <v>2594</v>
      </c>
      <c r="C282" s="23" t="str">
        <f t="shared" si="1"/>
        <v>Natalie Jane Miller</v>
      </c>
      <c r="D282" s="22">
        <v>7.173710914E9</v>
      </c>
      <c r="E282" s="29" t="s">
        <v>2595</v>
      </c>
      <c r="F282" s="22" t="s">
        <v>248</v>
      </c>
      <c r="G282" s="22">
        <v>18.0</v>
      </c>
      <c r="H282" s="22">
        <f t="array" ref="H282">IFERROR(INDEX('Hub CPC 226'!A:A, MATCH(C282, 'Hub CPC 226'!B:B, 0)), "")</f>
        <v>290</v>
      </c>
      <c r="I282" s="22">
        <f t="array" ref="I282">IFERROR(INDEX('Hub Users 226'!A:A, MATCH(C282, 'Hub Users 226'!B:B, 0)), "")</f>
        <v>309</v>
      </c>
      <c r="J282" s="22" t="s">
        <v>260</v>
      </c>
      <c r="K282" s="23" t="s">
        <v>2596</v>
      </c>
      <c r="L282" s="25">
        <v>43338.743055555555</v>
      </c>
      <c r="M282" s="23"/>
      <c r="N282" s="23"/>
      <c r="O282" s="23"/>
      <c r="P282" s="23"/>
      <c r="Q282" s="22" t="s">
        <v>2597</v>
      </c>
      <c r="R282" s="22"/>
      <c r="S282" s="22" t="s">
        <v>2598</v>
      </c>
      <c r="T282" s="22" t="s">
        <v>833</v>
      </c>
      <c r="U282" s="22" t="s">
        <v>2599</v>
      </c>
      <c r="V282" s="26" t="s">
        <v>2600</v>
      </c>
      <c r="W282" s="27" t="s">
        <v>2601</v>
      </c>
      <c r="X282" s="26" t="s">
        <v>2602</v>
      </c>
      <c r="Y282" s="23"/>
      <c r="Z282" s="28"/>
      <c r="AA282" s="23"/>
      <c r="AB282" s="23" t="str">
        <f>IFERROR(__xludf.DUMMYFUNCTION("IF(
ISNUMBER(MATCH(
C282,
IMPORTRANGE(""https://docs.google.com/spreadsheets/d/1yTh1ELC33JHYOeEdgIiEclxPRyh0zOKtlawDltfUay8"",""'Champions'!A:A""),
0
)),
""Outreach Conducted"",
"""")"),"")</f>
        <v/>
      </c>
      <c r="AC282" s="23"/>
      <c r="AD282" s="26" t="s">
        <v>1195</v>
      </c>
      <c r="AE282" s="23"/>
      <c r="AF282" s="23"/>
      <c r="AG282" s="23"/>
      <c r="AH282" s="23"/>
      <c r="AI282" s="23"/>
      <c r="AJ282" s="23"/>
      <c r="AK282" s="23"/>
      <c r="AL282" s="23"/>
    </row>
    <row r="283" hidden="1">
      <c r="A283" s="22" t="s">
        <v>2603</v>
      </c>
      <c r="B283" s="22" t="s">
        <v>2604</v>
      </c>
      <c r="C283" s="23" t="str">
        <f t="shared" si="1"/>
        <v>Natasha Patterson</v>
      </c>
      <c r="D283" s="22">
        <v>1.407497163E10</v>
      </c>
      <c r="E283" s="29" t="s">
        <v>2605</v>
      </c>
      <c r="F283" s="22" t="s">
        <v>248</v>
      </c>
      <c r="G283" s="22">
        <v>631.0</v>
      </c>
      <c r="H283" s="22">
        <f t="array" ref="H283">IFERROR(INDEX('Hub CPC 226'!A:A, MATCH(C283, 'Hub CPC 226'!B:B, 0)), "")</f>
        <v>291</v>
      </c>
      <c r="I283" s="22">
        <f t="array" ref="I283">IFERROR(INDEX('Hub Users 226'!A:A, MATCH(C283, 'Hub Users 226'!B:B, 0)), "")</f>
        <v>310</v>
      </c>
      <c r="J283" s="22" t="s">
        <v>107</v>
      </c>
      <c r="K283" s="23" t="s">
        <v>2606</v>
      </c>
      <c r="L283" s="25">
        <v>44631.888194444444</v>
      </c>
      <c r="M283" s="23"/>
      <c r="N283" s="23"/>
      <c r="O283" s="23"/>
      <c r="P283" s="23"/>
      <c r="Q283" s="22" t="s">
        <v>2607</v>
      </c>
      <c r="R283" s="22" t="s">
        <v>492</v>
      </c>
      <c r="S283" s="22" t="s">
        <v>492</v>
      </c>
      <c r="T283" s="22" t="s">
        <v>27</v>
      </c>
      <c r="U283" s="22" t="s">
        <v>2608</v>
      </c>
      <c r="V283" s="23"/>
      <c r="W283" s="23"/>
      <c r="X283" s="23"/>
      <c r="Y283" s="23"/>
      <c r="Z283" s="28"/>
      <c r="AA283" s="23"/>
      <c r="AB283" s="23" t="str">
        <f>IFERROR(__xludf.DUMMYFUNCTION("IF(
ISNUMBER(MATCH(
C283,
IMPORTRANGE(""https://docs.google.com/spreadsheets/d/1yTh1ELC33JHYOeEdgIiEclxPRyh0zOKtlawDltfUay8"",""'Champions'!A:A""),
0
)),
""Outreach Conducted"",
"""")"),"")</f>
        <v/>
      </c>
      <c r="AC283" s="23"/>
      <c r="AD283" s="23"/>
      <c r="AE283" s="23"/>
      <c r="AF283" s="23"/>
      <c r="AG283" s="23"/>
      <c r="AH283" s="23"/>
      <c r="AI283" s="23"/>
      <c r="AJ283" s="23"/>
      <c r="AK283" s="23"/>
      <c r="AL283" s="23"/>
    </row>
    <row r="284" hidden="1">
      <c r="A284" s="22" t="s">
        <v>2609</v>
      </c>
      <c r="B284" s="22" t="s">
        <v>687</v>
      </c>
      <c r="C284" s="23" t="str">
        <f t="shared" si="1"/>
        <v>Neeharika Curtis</v>
      </c>
      <c r="D284" s="22">
        <v>8.624320628E9</v>
      </c>
      <c r="E284" s="29" t="s">
        <v>2610</v>
      </c>
      <c r="F284" s="22" t="s">
        <v>248</v>
      </c>
      <c r="G284" s="22">
        <v>334.0</v>
      </c>
      <c r="H284" s="22">
        <f t="array" ref="H284">IFERROR(INDEX('Hub CPC 226'!A:A, MATCH(C284, 'Hub CPC 226'!B:B, 0)), "")</f>
        <v>292</v>
      </c>
      <c r="I284" s="22">
        <f t="array" ref="I284">IFERROR(INDEX('Hub Users 226'!A:A, MATCH(C284, 'Hub Users 226'!B:B, 0)), "")</f>
        <v>311</v>
      </c>
      <c r="J284" s="22" t="s">
        <v>239</v>
      </c>
      <c r="K284" s="23" t="s">
        <v>2611</v>
      </c>
      <c r="L284" s="25">
        <v>44029.334027777775</v>
      </c>
      <c r="M284" s="23"/>
      <c r="N284" s="23"/>
      <c r="O284" s="23"/>
      <c r="P284" s="23"/>
      <c r="Q284" s="22" t="s">
        <v>2612</v>
      </c>
      <c r="R284" s="22" t="s">
        <v>2613</v>
      </c>
      <c r="S284" s="22" t="s">
        <v>2614</v>
      </c>
      <c r="T284" s="22" t="s">
        <v>1939</v>
      </c>
      <c r="U284" s="22" t="s">
        <v>2615</v>
      </c>
      <c r="V284" s="23"/>
      <c r="W284" s="23"/>
      <c r="X284" s="23"/>
      <c r="Y284" s="23"/>
      <c r="Z284" s="28"/>
      <c r="AA284" s="23"/>
      <c r="AB284" s="23" t="str">
        <f>IFERROR(__xludf.DUMMYFUNCTION("IF(
ISNUMBER(MATCH(
C284,
IMPORTRANGE(""https://docs.google.com/spreadsheets/d/1yTh1ELC33JHYOeEdgIiEclxPRyh0zOKtlawDltfUay8"",""'Champions'!A:A""),
0
)),
""Outreach Conducted"",
"""")"),"")</f>
        <v/>
      </c>
      <c r="AC284" s="23"/>
      <c r="AD284" s="23"/>
      <c r="AE284" s="23"/>
      <c r="AF284" s="23"/>
      <c r="AG284" s="23"/>
      <c r="AH284" s="23"/>
      <c r="AI284" s="23"/>
      <c r="AJ284" s="23"/>
      <c r="AK284" s="23"/>
      <c r="AL284" s="23"/>
    </row>
    <row r="285" hidden="1">
      <c r="A285" s="22" t="s">
        <v>2616</v>
      </c>
      <c r="B285" s="22" t="s">
        <v>2617</v>
      </c>
      <c r="C285" s="23" t="str">
        <f t="shared" si="1"/>
        <v>Neeti Nayak</v>
      </c>
      <c r="D285" s="22" t="s">
        <v>2618</v>
      </c>
      <c r="E285" s="29" t="s">
        <v>2619</v>
      </c>
      <c r="F285" s="22" t="s">
        <v>248</v>
      </c>
      <c r="G285" s="22">
        <v>205.0</v>
      </c>
      <c r="H285" s="22">
        <f t="array" ref="H285">IFERROR(INDEX('Hub CPC 226'!A:A, MATCH(C285, 'Hub CPC 226'!B:B, 0)), "")</f>
        <v>293</v>
      </c>
      <c r="I285" s="22">
        <f t="array" ref="I285">IFERROR(INDEX('Hub Users 226'!A:A, MATCH(C285, 'Hub Users 226'!B:B, 0)), "")</f>
        <v>312</v>
      </c>
      <c r="J285" s="22" t="s">
        <v>240</v>
      </c>
      <c r="K285" s="23" t="s">
        <v>2620</v>
      </c>
      <c r="L285" s="25">
        <v>43690.23611111111</v>
      </c>
      <c r="M285" s="23"/>
      <c r="N285" s="23"/>
      <c r="O285" s="23"/>
      <c r="P285" s="23"/>
      <c r="Q285" s="22" t="s">
        <v>2621</v>
      </c>
      <c r="R285" s="22" t="s">
        <v>2622</v>
      </c>
      <c r="S285" s="22" t="s">
        <v>2623</v>
      </c>
      <c r="T285" s="22" t="s">
        <v>252</v>
      </c>
      <c r="U285" s="22" t="s">
        <v>2624</v>
      </c>
      <c r="V285" s="26" t="s">
        <v>2625</v>
      </c>
      <c r="W285" s="27" t="s">
        <v>2626</v>
      </c>
      <c r="X285" s="26" t="s">
        <v>2627</v>
      </c>
      <c r="Y285" s="23"/>
      <c r="Z285" s="28"/>
      <c r="AA285" s="23"/>
      <c r="AB285" s="23" t="str">
        <f>IFERROR(__xludf.DUMMYFUNCTION("IF(
ISNUMBER(MATCH(
C285,
IMPORTRANGE(""https://docs.google.com/spreadsheets/d/1yTh1ELC33JHYOeEdgIiEclxPRyh0zOKtlawDltfUay8"",""'Champions'!A:A""),
0
)),
""Outreach Conducted"",
"""")"),"")</f>
        <v/>
      </c>
      <c r="AC285" s="23"/>
      <c r="AD285" s="23"/>
      <c r="AE285" s="23"/>
      <c r="AF285" s="23"/>
      <c r="AG285" s="23"/>
      <c r="AH285" s="23"/>
      <c r="AI285" s="23"/>
      <c r="AJ285" s="23"/>
      <c r="AK285" s="23"/>
      <c r="AL285" s="23"/>
    </row>
    <row r="286" hidden="1">
      <c r="A286" s="22" t="s">
        <v>2628</v>
      </c>
      <c r="B286" s="22" t="s">
        <v>2629</v>
      </c>
      <c r="C286" s="23" t="str">
        <f t="shared" si="1"/>
        <v>Neha Ganjoo</v>
      </c>
      <c r="D286" s="22">
        <v>1.7045266335E10</v>
      </c>
      <c r="E286" s="29" t="s">
        <v>2630</v>
      </c>
      <c r="F286" s="22" t="s">
        <v>248</v>
      </c>
      <c r="G286" s="22">
        <v>509.0</v>
      </c>
      <c r="H286" s="22">
        <f t="array" ref="H286">IFERROR(INDEX('Hub CPC 226'!A:A, MATCH(C286, 'Hub CPC 226'!B:B, 0)), "")</f>
        <v>294</v>
      </c>
      <c r="I286" s="22">
        <f t="array" ref="I286">IFERROR(INDEX('Hub Users 226'!A:A, MATCH(C286, 'Hub Users 226'!B:B, 0)), "")</f>
        <v>313</v>
      </c>
      <c r="J286" s="22" t="s">
        <v>425</v>
      </c>
      <c r="K286" s="23" t="s">
        <v>2631</v>
      </c>
      <c r="L286" s="25">
        <v>44479.78958333333</v>
      </c>
      <c r="M286" s="23"/>
      <c r="N286" s="23"/>
      <c r="O286" s="23"/>
      <c r="P286" s="23"/>
      <c r="Q286" s="22" t="s">
        <v>2632</v>
      </c>
      <c r="R286" s="22" t="s">
        <v>2633</v>
      </c>
      <c r="S286" s="22" t="s">
        <v>2633</v>
      </c>
      <c r="T286" s="22" t="s">
        <v>241</v>
      </c>
      <c r="U286" s="22" t="s">
        <v>2634</v>
      </c>
      <c r="V286" s="26" t="s">
        <v>2635</v>
      </c>
      <c r="W286" s="27" t="s">
        <v>2636</v>
      </c>
      <c r="X286" s="26" t="s">
        <v>2637</v>
      </c>
      <c r="Y286" s="23"/>
      <c r="Z286" s="28"/>
      <c r="AA286" s="23"/>
      <c r="AB286" s="23" t="str">
        <f>IFERROR(__xludf.DUMMYFUNCTION("IF(
ISNUMBER(MATCH(
C286,
IMPORTRANGE(""https://docs.google.com/spreadsheets/d/1yTh1ELC33JHYOeEdgIiEclxPRyh0zOKtlawDltfUay8"",""'Champions'!A:A""),
0
)),
""Outreach Conducted"",
"""")"),"")</f>
        <v/>
      </c>
      <c r="AC286" s="23"/>
      <c r="AD286" s="23"/>
      <c r="AE286" s="23"/>
      <c r="AF286" s="23"/>
      <c r="AG286" s="23"/>
      <c r="AH286" s="23"/>
      <c r="AI286" s="23"/>
      <c r="AJ286" s="23"/>
      <c r="AK286" s="23"/>
      <c r="AL286" s="23"/>
    </row>
    <row r="287" hidden="1">
      <c r="A287" s="22" t="s">
        <v>2628</v>
      </c>
      <c r="B287" s="22" t="s">
        <v>2638</v>
      </c>
      <c r="C287" s="23" t="str">
        <f t="shared" si="1"/>
        <v>Neha Singla</v>
      </c>
      <c r="D287" s="22" t="s">
        <v>2639</v>
      </c>
      <c r="E287" s="29" t="s">
        <v>2640</v>
      </c>
      <c r="F287" s="22" t="s">
        <v>248</v>
      </c>
      <c r="G287" s="22">
        <v>316.0</v>
      </c>
      <c r="H287" s="22">
        <f t="array" ref="H287">IFERROR(INDEX('Hub CPC 226'!A:A, MATCH(C287, 'Hub CPC 226'!B:B, 0)), "")</f>
        <v>295</v>
      </c>
      <c r="I287" s="22">
        <f t="array" ref="I287">IFERROR(INDEX('Hub Users 226'!A:A, MATCH(C287, 'Hub Users 226'!B:B, 0)), "")</f>
        <v>314</v>
      </c>
      <c r="J287" s="22" t="s">
        <v>1235</v>
      </c>
      <c r="K287" s="23" t="s">
        <v>2641</v>
      </c>
      <c r="L287" s="25">
        <v>43913.61041666667</v>
      </c>
      <c r="M287" s="23"/>
      <c r="N287" s="23"/>
      <c r="O287" s="23"/>
      <c r="P287" s="23"/>
      <c r="Q287" s="22" t="s">
        <v>2642</v>
      </c>
      <c r="R287" s="22" t="s">
        <v>2643</v>
      </c>
      <c r="S287" s="22" t="s">
        <v>2247</v>
      </c>
      <c r="T287" s="22" t="s">
        <v>252</v>
      </c>
      <c r="U287" s="22" t="s">
        <v>2644</v>
      </c>
      <c r="V287" s="26" t="s">
        <v>475</v>
      </c>
      <c r="W287" s="27" t="s">
        <v>2645</v>
      </c>
      <c r="X287" s="26" t="s">
        <v>2241</v>
      </c>
      <c r="Y287" s="23"/>
      <c r="Z287" s="28"/>
      <c r="AA287" s="23"/>
      <c r="AB287" s="23" t="str">
        <f>IFERROR(__xludf.DUMMYFUNCTION("IF(
ISNUMBER(MATCH(
C287,
IMPORTRANGE(""https://docs.google.com/spreadsheets/d/1yTh1ELC33JHYOeEdgIiEclxPRyh0zOKtlawDltfUay8"",""'Champions'!A:A""),
0
)),
""Outreach Conducted"",
"""")"),"")</f>
        <v/>
      </c>
      <c r="AC287" s="23"/>
      <c r="AD287" s="23"/>
      <c r="AE287" s="23"/>
      <c r="AF287" s="23"/>
      <c r="AG287" s="23"/>
      <c r="AH287" s="23"/>
      <c r="AI287" s="23"/>
      <c r="AJ287" s="23"/>
      <c r="AK287" s="23"/>
      <c r="AL287" s="23"/>
    </row>
    <row r="288" hidden="1">
      <c r="A288" s="22" t="s">
        <v>2646</v>
      </c>
      <c r="B288" s="22" t="s">
        <v>2647</v>
      </c>
      <c r="C288" s="23" t="str">
        <f t="shared" si="1"/>
        <v>Nikhita Pai</v>
      </c>
      <c r="D288" s="22" t="s">
        <v>2648</v>
      </c>
      <c r="E288" s="29" t="s">
        <v>2649</v>
      </c>
      <c r="F288" s="22" t="s">
        <v>248</v>
      </c>
      <c r="G288" s="22">
        <v>290.0</v>
      </c>
      <c r="H288" s="22">
        <f t="array" ref="H288">IFERROR(INDEX('Hub CPC 226'!A:A, MATCH(C288, 'Hub CPC 226'!B:B, 0)), "")</f>
        <v>296</v>
      </c>
      <c r="I288" s="22">
        <f t="array" ref="I288">IFERROR(INDEX('Hub Users 226'!A:A, MATCH(C288, 'Hub Users 226'!B:B, 0)), "")</f>
        <v>315</v>
      </c>
      <c r="J288" s="22" t="s">
        <v>240</v>
      </c>
      <c r="K288" s="23" t="s">
        <v>2650</v>
      </c>
      <c r="L288" s="25">
        <v>43780.64722222222</v>
      </c>
      <c r="M288" s="28"/>
      <c r="N288" s="28"/>
      <c r="O288" s="28"/>
      <c r="P288" s="31"/>
      <c r="Q288" s="22" t="s">
        <v>2651</v>
      </c>
      <c r="R288" s="22" t="s">
        <v>2652</v>
      </c>
      <c r="S288" s="22" t="s">
        <v>391</v>
      </c>
      <c r="T288" s="22" t="s">
        <v>272</v>
      </c>
      <c r="U288" s="22" t="s">
        <v>2653</v>
      </c>
      <c r="V288" s="23"/>
      <c r="W288" s="23"/>
      <c r="X288" s="23"/>
      <c r="Y288" s="23"/>
      <c r="Z288" s="28"/>
      <c r="AA288" s="23"/>
      <c r="AB288" s="23" t="str">
        <f>IFERROR(__xludf.DUMMYFUNCTION("IF(
ISNUMBER(MATCH(
C288,
IMPORTRANGE(""https://docs.google.com/spreadsheets/d/1yTh1ELC33JHYOeEdgIiEclxPRyh0zOKtlawDltfUay8"",""'Champions'!A:A""),
0
)),
""Outreach Conducted"",
"""")"),"")</f>
        <v/>
      </c>
      <c r="AC288" s="23"/>
      <c r="AD288" s="23"/>
      <c r="AE288" s="23"/>
      <c r="AF288" s="23"/>
      <c r="AG288" s="23"/>
      <c r="AH288" s="23"/>
      <c r="AI288" s="23"/>
      <c r="AJ288" s="23"/>
      <c r="AK288" s="23"/>
      <c r="AL288" s="23"/>
    </row>
    <row r="289" hidden="1">
      <c r="A289" s="22" t="s">
        <v>2654</v>
      </c>
      <c r="B289" s="22" t="s">
        <v>2655</v>
      </c>
      <c r="C289" s="23" t="str">
        <f t="shared" si="1"/>
        <v>Nilesh Murthy</v>
      </c>
      <c r="D289" s="22">
        <v>4.159932804E9</v>
      </c>
      <c r="E289" s="29" t="s">
        <v>2656</v>
      </c>
      <c r="F289" s="22" t="s">
        <v>248</v>
      </c>
      <c r="G289" s="22">
        <v>354.0</v>
      </c>
      <c r="H289" s="22">
        <f t="array" ref="H289">IFERROR(INDEX('Hub CPC 226'!A:A, MATCH(C289, 'Hub CPC 226'!B:B, 0)), "")</f>
        <v>297</v>
      </c>
      <c r="I289" s="22">
        <f t="array" ref="I289">IFERROR(INDEX('Hub Users 226'!A:A, MATCH(C289, 'Hub Users 226'!B:B, 0)), "")</f>
        <v>316</v>
      </c>
      <c r="J289" s="22" t="s">
        <v>260</v>
      </c>
      <c r="K289" s="23" t="s">
        <v>2657</v>
      </c>
      <c r="L289" s="25">
        <v>44103.575</v>
      </c>
      <c r="M289" s="23"/>
      <c r="N289" s="23"/>
      <c r="O289" s="23"/>
      <c r="P289" s="23"/>
      <c r="Q289" s="22" t="s">
        <v>2658</v>
      </c>
      <c r="R289" s="22" t="s">
        <v>2659</v>
      </c>
      <c r="S289" s="22" t="s">
        <v>473</v>
      </c>
      <c r="T289" s="22" t="s">
        <v>252</v>
      </c>
      <c r="U289" s="22" t="s">
        <v>1823</v>
      </c>
      <c r="V289" s="26" t="s">
        <v>798</v>
      </c>
      <c r="W289" s="27" t="s">
        <v>2660</v>
      </c>
      <c r="X289" s="26" t="s">
        <v>2661</v>
      </c>
      <c r="Y289" s="23"/>
      <c r="Z289" s="28"/>
      <c r="AA289" s="23"/>
      <c r="AB289" s="23" t="str">
        <f>IFERROR(__xludf.DUMMYFUNCTION("IF(
ISNUMBER(MATCH(
C289,
IMPORTRANGE(""https://docs.google.com/spreadsheets/d/1yTh1ELC33JHYOeEdgIiEclxPRyh0zOKtlawDltfUay8"",""'Champions'!A:A""),
0
)),
""Outreach Conducted"",
"""")"),"")</f>
        <v/>
      </c>
      <c r="AC289" s="23"/>
      <c r="AD289" s="23"/>
      <c r="AE289" s="23"/>
      <c r="AF289" s="23"/>
      <c r="AG289" s="23"/>
      <c r="AH289" s="23"/>
      <c r="AI289" s="23"/>
      <c r="AJ289" s="23"/>
      <c r="AK289" s="23"/>
      <c r="AL289" s="23"/>
    </row>
    <row r="290" hidden="1">
      <c r="A290" s="22" t="s">
        <v>2662</v>
      </c>
      <c r="B290" s="22" t="s">
        <v>2663</v>
      </c>
      <c r="C290" s="23" t="str">
        <f t="shared" si="1"/>
        <v>Nilima Rao</v>
      </c>
      <c r="D290" s="22">
        <v>9.513371282E9</v>
      </c>
      <c r="E290" s="29" t="s">
        <v>2664</v>
      </c>
      <c r="F290" s="22" t="s">
        <v>238</v>
      </c>
      <c r="G290" s="22">
        <v>59.0</v>
      </c>
      <c r="H290" s="22">
        <f t="array" ref="H290">IFERROR(INDEX('Hub CPC 226'!A:A, MATCH(C290, 'Hub CPC 226'!B:B, 0)), "")</f>
        <v>298</v>
      </c>
      <c r="I290" s="22">
        <f t="array" ref="I290">IFERROR(INDEX('Hub Users 226'!A:A, MATCH(C290, 'Hub Users 226'!B:B, 0)), "")</f>
        <v>317</v>
      </c>
      <c r="J290" s="22" t="s">
        <v>239</v>
      </c>
      <c r="K290" s="23" t="s">
        <v>2665</v>
      </c>
      <c r="L290" s="25">
        <v>43338.743055555555</v>
      </c>
      <c r="M290" s="23"/>
      <c r="N290" s="23"/>
      <c r="O290" s="23"/>
      <c r="P290" s="23"/>
      <c r="Q290" s="22" t="s">
        <v>2666</v>
      </c>
      <c r="R290" s="22"/>
      <c r="S290" s="22" t="s">
        <v>2667</v>
      </c>
      <c r="T290" s="22" t="s">
        <v>252</v>
      </c>
      <c r="U290" s="24"/>
      <c r="V290" s="23"/>
      <c r="W290" s="23"/>
      <c r="X290" s="23"/>
      <c r="Y290" s="23"/>
      <c r="Z290" s="28"/>
      <c r="AA290" s="23"/>
      <c r="AB290" s="23" t="str">
        <f>IFERROR(__xludf.DUMMYFUNCTION("IF(
ISNUMBER(MATCH(
C290,
IMPORTRANGE(""https://docs.google.com/spreadsheets/d/1yTh1ELC33JHYOeEdgIiEclxPRyh0zOKtlawDltfUay8"",""'Champions'!A:A""),
0
)),
""Outreach Conducted"",
"""")"),"")</f>
        <v/>
      </c>
      <c r="AC290" s="23"/>
      <c r="AD290" s="23"/>
      <c r="AE290" s="23"/>
      <c r="AF290" s="23"/>
      <c r="AG290" s="23"/>
      <c r="AH290" s="23"/>
      <c r="AI290" s="23"/>
      <c r="AJ290" s="23"/>
      <c r="AK290" s="23"/>
      <c r="AL290" s="23"/>
    </row>
    <row r="291" hidden="1">
      <c r="A291" s="22" t="s">
        <v>2668</v>
      </c>
      <c r="B291" s="22" t="s">
        <v>2669</v>
      </c>
      <c r="C291" s="23" t="str">
        <f t="shared" si="1"/>
        <v>Niki Pham</v>
      </c>
      <c r="D291" s="22">
        <v>1.2817366959E10</v>
      </c>
      <c r="E291" s="29" t="s">
        <v>2670</v>
      </c>
      <c r="F291" s="22" t="s">
        <v>248</v>
      </c>
      <c r="G291" s="22">
        <v>490.0</v>
      </c>
      <c r="H291" s="22">
        <f t="array" ref="H291">IFERROR(INDEX('Hub CPC 226'!A:A, MATCH(C291, 'Hub CPC 226'!B:B, 0)), "")</f>
        <v>299</v>
      </c>
      <c r="I291" s="22">
        <f t="array" ref="I291">IFERROR(INDEX('Hub Users 226'!A:A, MATCH(C291, 'Hub Users 226'!B:B, 0)), "")</f>
        <v>318</v>
      </c>
      <c r="J291" s="22" t="s">
        <v>240</v>
      </c>
      <c r="K291" s="23" t="s">
        <v>2671</v>
      </c>
      <c r="L291" s="25">
        <v>44424.39722222222</v>
      </c>
      <c r="M291" s="23"/>
      <c r="N291" s="23"/>
      <c r="O291" s="23"/>
      <c r="P291" s="23"/>
      <c r="Q291" s="22" t="s">
        <v>2672</v>
      </c>
      <c r="R291" s="22" t="s">
        <v>2023</v>
      </c>
      <c r="S291" s="22" t="s">
        <v>2023</v>
      </c>
      <c r="T291" s="22" t="s">
        <v>465</v>
      </c>
      <c r="U291" s="22" t="s">
        <v>2673</v>
      </c>
      <c r="V291" s="26" t="s">
        <v>284</v>
      </c>
      <c r="W291" s="27" t="s">
        <v>2674</v>
      </c>
      <c r="X291" s="26" t="s">
        <v>421</v>
      </c>
      <c r="Y291" s="23"/>
      <c r="Z291" s="28"/>
      <c r="AA291" s="23"/>
      <c r="AB291" s="23" t="str">
        <f>IFERROR(__xludf.DUMMYFUNCTION("IF(
ISNUMBER(MATCH(
C291,
IMPORTRANGE(""https://docs.google.com/spreadsheets/d/1yTh1ELC33JHYOeEdgIiEclxPRyh0zOKtlawDltfUay8"",""'Champions'!A:A""),
0
)),
""Outreach Conducted"",
"""")"),"")</f>
        <v/>
      </c>
      <c r="AC291" s="23"/>
      <c r="AD291" s="23"/>
      <c r="AE291" s="23"/>
      <c r="AF291" s="23"/>
      <c r="AG291" s="23"/>
      <c r="AH291" s="23"/>
      <c r="AI291" s="23"/>
      <c r="AJ291" s="23"/>
      <c r="AK291" s="23"/>
      <c r="AL291" s="23"/>
    </row>
    <row r="292" hidden="1">
      <c r="A292" s="22" t="s">
        <v>2675</v>
      </c>
      <c r="B292" s="22" t="s">
        <v>2676</v>
      </c>
      <c r="C292" s="23" t="str">
        <f t="shared" si="1"/>
        <v>Nisha Mathew</v>
      </c>
      <c r="D292" s="22">
        <v>2.672299405E9</v>
      </c>
      <c r="E292" s="29" t="s">
        <v>2677</v>
      </c>
      <c r="F292" s="22" t="s">
        <v>248</v>
      </c>
      <c r="G292" s="22">
        <v>8.0</v>
      </c>
      <c r="H292" s="22">
        <f t="array" ref="H292">IFERROR(INDEX('Hub CPC 226'!A:A, MATCH(C292, 'Hub CPC 226'!B:B, 0)), "")</f>
        <v>300</v>
      </c>
      <c r="I292" s="22">
        <f t="array" ref="I292">IFERROR(INDEX('Hub Users 226'!A:A, MATCH(C292, 'Hub Users 226'!B:B, 0)), "")</f>
        <v>319</v>
      </c>
      <c r="J292" s="22" t="s">
        <v>260</v>
      </c>
      <c r="K292" s="23" t="s">
        <v>2678</v>
      </c>
      <c r="L292" s="25">
        <v>43338.743055555555</v>
      </c>
      <c r="M292" s="28">
        <v>8.0</v>
      </c>
      <c r="N292" s="28">
        <v>25.0</v>
      </c>
      <c r="O292" s="28">
        <v>57.0</v>
      </c>
      <c r="P292" s="32">
        <v>35.0</v>
      </c>
      <c r="Q292" s="22" t="s">
        <v>2679</v>
      </c>
      <c r="R292" s="22" t="s">
        <v>634</v>
      </c>
      <c r="S292" s="22" t="s">
        <v>294</v>
      </c>
      <c r="T292" s="22" t="s">
        <v>272</v>
      </c>
      <c r="U292" s="22" t="s">
        <v>2680</v>
      </c>
      <c r="V292" s="26" t="s">
        <v>242</v>
      </c>
      <c r="W292" s="35" t="s">
        <v>2681</v>
      </c>
      <c r="X292" s="28" t="s">
        <v>2682</v>
      </c>
      <c r="Y292" s="23"/>
      <c r="Z292" s="28"/>
      <c r="AA292" s="23"/>
      <c r="AB292" s="23" t="str">
        <f>IFERROR(__xludf.DUMMYFUNCTION("IF(
ISNUMBER(MATCH(
C292,
IMPORTRANGE(""https://docs.google.com/spreadsheets/d/1yTh1ELC33JHYOeEdgIiEclxPRyh0zOKtlawDltfUay8"",""'Champions'!A:A""),
0
)),
""Outreach Conducted"",
"""")"),"")</f>
        <v/>
      </c>
      <c r="AC292" s="23"/>
      <c r="AD292" s="23"/>
      <c r="AE292" s="23"/>
      <c r="AF292" s="23"/>
      <c r="AG292" s="23"/>
      <c r="AH292" s="23"/>
      <c r="AI292" s="23"/>
      <c r="AJ292" s="23"/>
      <c r="AK292" s="23"/>
      <c r="AL292" s="23"/>
    </row>
    <row r="293" hidden="1">
      <c r="A293" s="22" t="s">
        <v>2683</v>
      </c>
      <c r="B293" s="22" t="s">
        <v>2684</v>
      </c>
      <c r="C293" s="23" t="str">
        <f t="shared" si="1"/>
        <v>Nishika Vidanage-Lulejian</v>
      </c>
      <c r="D293" s="22">
        <v>1.6102487485E10</v>
      </c>
      <c r="E293" s="29" t="s">
        <v>2685</v>
      </c>
      <c r="F293" s="22" t="s">
        <v>248</v>
      </c>
      <c r="G293" s="22">
        <v>545.0</v>
      </c>
      <c r="H293" s="22">
        <f t="array" ref="H293">IFERROR(INDEX('Hub CPC 226'!A:A, MATCH(C293, 'Hub CPC 226'!B:B, 0)), "")</f>
        <v>301</v>
      </c>
      <c r="I293" s="22">
        <f t="array" ref="I293">IFERROR(INDEX('Hub Users 226'!A:A, MATCH(C293, 'Hub Users 226'!B:B, 0)), "")</f>
        <v>320</v>
      </c>
      <c r="J293" s="22" t="s">
        <v>417</v>
      </c>
      <c r="K293" s="23" t="s">
        <v>2686</v>
      </c>
      <c r="L293" s="25">
        <v>44509.865277777775</v>
      </c>
      <c r="M293" s="23"/>
      <c r="N293" s="23"/>
      <c r="O293" s="23"/>
      <c r="P293" s="23"/>
      <c r="Q293" s="22" t="s">
        <v>2687</v>
      </c>
      <c r="R293" s="22" t="s">
        <v>2688</v>
      </c>
      <c r="S293" s="22" t="s">
        <v>2689</v>
      </c>
      <c r="T293" s="22" t="s">
        <v>381</v>
      </c>
      <c r="U293" s="22" t="s">
        <v>2690</v>
      </c>
      <c r="V293" s="26" t="s">
        <v>326</v>
      </c>
      <c r="W293" s="27" t="s">
        <v>2691</v>
      </c>
      <c r="X293" s="26" t="s">
        <v>2692</v>
      </c>
      <c r="Y293" s="23"/>
      <c r="Z293" s="28"/>
      <c r="AA293" s="23"/>
      <c r="AB293" s="23" t="str">
        <f>IFERROR(__xludf.DUMMYFUNCTION("IF(
ISNUMBER(MATCH(
C293,
IMPORTRANGE(""https://docs.google.com/spreadsheets/d/1yTh1ELC33JHYOeEdgIiEclxPRyh0zOKtlawDltfUay8"",""'Champions'!A:A""),
0
)),
""Outreach Conducted"",
"""")"),"")</f>
        <v/>
      </c>
      <c r="AC293" s="23"/>
      <c r="AD293" s="23"/>
      <c r="AE293" s="23"/>
      <c r="AF293" s="23"/>
      <c r="AG293" s="23"/>
      <c r="AH293" s="23"/>
      <c r="AI293" s="23"/>
      <c r="AJ293" s="23"/>
      <c r="AK293" s="23"/>
      <c r="AL293" s="23"/>
    </row>
    <row r="294" hidden="1">
      <c r="A294" s="22" t="s">
        <v>2693</v>
      </c>
      <c r="B294" s="22" t="s">
        <v>2694</v>
      </c>
      <c r="C294" s="23" t="str">
        <f t="shared" si="1"/>
        <v>Ifeoma Nnamani</v>
      </c>
      <c r="D294" s="30">
        <v>2.34814E12</v>
      </c>
      <c r="E294" s="29" t="s">
        <v>2695</v>
      </c>
      <c r="F294" s="22" t="s">
        <v>248</v>
      </c>
      <c r="G294" s="22">
        <v>527.0</v>
      </c>
      <c r="H294" s="22">
        <f t="array" ref="H294">IFERROR(INDEX('Hub CPC 226'!A:A, MATCH(C294, 'Hub CPC 226'!B:B, 0)), "")</f>
        <v>302</v>
      </c>
      <c r="I294" s="22">
        <f t="array" ref="I294">IFERROR(INDEX('Hub Users 226'!A:A, MATCH(C294, 'Hub Users 226'!B:B, 0)), "")</f>
        <v>321</v>
      </c>
      <c r="J294" s="22" t="s">
        <v>302</v>
      </c>
      <c r="K294" s="23" t="s">
        <v>2696</v>
      </c>
      <c r="L294" s="25">
        <v>44496.72222222222</v>
      </c>
      <c r="M294" s="23"/>
      <c r="N294" s="23"/>
      <c r="O294" s="23"/>
      <c r="P294" s="23"/>
      <c r="Q294" s="22" t="s">
        <v>2697</v>
      </c>
      <c r="R294" s="22" t="s">
        <v>2698</v>
      </c>
      <c r="S294" s="24"/>
      <c r="T294" s="24"/>
      <c r="U294" s="22" t="s">
        <v>2699</v>
      </c>
      <c r="V294" s="26" t="s">
        <v>1583</v>
      </c>
      <c r="W294" s="23"/>
      <c r="X294" s="26" t="s">
        <v>704</v>
      </c>
      <c r="Y294" s="23"/>
      <c r="Z294" s="28"/>
      <c r="AA294" s="23"/>
      <c r="AB294" s="23" t="str">
        <f>IFERROR(__xludf.DUMMYFUNCTION("IF(
ISNUMBER(MATCH(
C294,
IMPORTRANGE(""https://docs.google.com/spreadsheets/d/1yTh1ELC33JHYOeEdgIiEclxPRyh0zOKtlawDltfUay8"",""'Champions'!A:A""),
0
)),
""Outreach Conducted"",
"""")"),"")</f>
        <v/>
      </c>
      <c r="AC294" s="23"/>
      <c r="AD294" s="23"/>
      <c r="AE294" s="23"/>
      <c r="AF294" s="23"/>
      <c r="AG294" s="23"/>
      <c r="AH294" s="23"/>
      <c r="AI294" s="23"/>
      <c r="AJ294" s="23"/>
      <c r="AK294" s="23"/>
      <c r="AL294" s="23"/>
    </row>
    <row r="295" hidden="1">
      <c r="A295" s="32" t="s">
        <v>2700</v>
      </c>
      <c r="B295" s="32" t="s">
        <v>2701</v>
      </c>
      <c r="C295" s="23" t="str">
        <f t="shared" si="1"/>
        <v>Noel Blanco</v>
      </c>
      <c r="D295" s="32">
        <v>6.39164127023E11</v>
      </c>
      <c r="E295" s="32" t="s">
        <v>2702</v>
      </c>
      <c r="F295" s="28" t="s">
        <v>769</v>
      </c>
      <c r="G295" s="32">
        <v>728.0</v>
      </c>
      <c r="H295" s="22">
        <f t="array" ref="H295">IFERROR(INDEX('Hub CPC 226'!A:A, MATCH(C295, 'Hub CPC 226'!B:B, 0)), "")</f>
        <v>303</v>
      </c>
      <c r="I295" s="22">
        <f t="array" ref="I295">IFERROR(INDEX('Hub Users 226'!A:A, MATCH(C295, 'Hub Users 226'!B:B, 0)), "")</f>
        <v>322</v>
      </c>
      <c r="J295" s="22"/>
      <c r="K295" s="23" t="s">
        <v>2703</v>
      </c>
      <c r="L295" s="37">
        <v>45076.99166666667</v>
      </c>
      <c r="M295" s="23"/>
      <c r="N295" s="23"/>
      <c r="O295" s="23"/>
      <c r="P295" s="23"/>
      <c r="Q295" s="32" t="s">
        <v>2704</v>
      </c>
      <c r="R295" s="31"/>
      <c r="S295" s="24"/>
      <c r="T295" s="24"/>
      <c r="U295" s="32" t="s">
        <v>2705</v>
      </c>
      <c r="V295" s="23"/>
      <c r="W295" s="23"/>
      <c r="X295" s="23"/>
      <c r="Y295" s="23"/>
      <c r="Z295" s="23"/>
      <c r="AA295" s="23"/>
      <c r="AB295" s="23" t="str">
        <f>IFERROR(__xludf.DUMMYFUNCTION("IF(
ISNUMBER(MATCH(
C295,
IMPORTRANGE(""https://docs.google.com/spreadsheets/d/1yTh1ELC33JHYOeEdgIiEclxPRyh0zOKtlawDltfUay8"",""'Champions'!A:A""),
0
)),
""Outreach Conducted"",
"""")"),"")</f>
        <v/>
      </c>
      <c r="AC295" s="23"/>
      <c r="AD295" s="23"/>
      <c r="AE295" s="23"/>
      <c r="AF295" s="23"/>
      <c r="AG295" s="23"/>
      <c r="AH295" s="23"/>
      <c r="AI295" s="23"/>
      <c r="AJ295" s="23"/>
      <c r="AK295" s="23"/>
      <c r="AL295" s="23"/>
    </row>
    <row r="296" hidden="1">
      <c r="A296" s="22" t="s">
        <v>2706</v>
      </c>
      <c r="B296" s="22" t="s">
        <v>2707</v>
      </c>
      <c r="C296" s="23" t="str">
        <f t="shared" si="1"/>
        <v>Namrata Ramani</v>
      </c>
      <c r="D296" s="22">
        <v>1.2016611416E10</v>
      </c>
      <c r="E296" s="29" t="s">
        <v>2708</v>
      </c>
      <c r="F296" s="22" t="s">
        <v>248</v>
      </c>
      <c r="G296" s="22">
        <v>455.0</v>
      </c>
      <c r="H296" s="22">
        <f t="array" ref="H296">IFERROR(INDEX('Hub CPC 226'!A:A, MATCH(C296, 'Hub CPC 226'!B:B, 0)), "")</f>
        <v>304</v>
      </c>
      <c r="I296" s="22">
        <f t="array" ref="I296">IFERROR(INDEX('Hub Users 226'!A:A, MATCH(C296, 'Hub Users 226'!B:B, 0)), "")</f>
        <v>323</v>
      </c>
      <c r="J296" s="22" t="s">
        <v>290</v>
      </c>
      <c r="K296" s="23" t="s">
        <v>2709</v>
      </c>
      <c r="L296" s="25">
        <v>44249.21111111111</v>
      </c>
      <c r="M296" s="23"/>
      <c r="N296" s="23"/>
      <c r="O296" s="23"/>
      <c r="P296" s="23"/>
      <c r="Q296" s="22" t="s">
        <v>2710</v>
      </c>
      <c r="R296" s="22" t="s">
        <v>2045</v>
      </c>
      <c r="S296" s="22" t="s">
        <v>2046</v>
      </c>
      <c r="T296" s="22" t="s">
        <v>241</v>
      </c>
      <c r="U296" s="22" t="s">
        <v>2711</v>
      </c>
      <c r="V296" s="26" t="s">
        <v>284</v>
      </c>
      <c r="W296" s="27" t="s">
        <v>2712</v>
      </c>
      <c r="X296" s="26" t="s">
        <v>519</v>
      </c>
      <c r="Y296" s="23"/>
      <c r="Z296" s="28"/>
      <c r="AA296" s="23"/>
      <c r="AB296" s="23" t="str">
        <f>IFERROR(__xludf.DUMMYFUNCTION("IF(
ISNUMBER(MATCH(
C296,
IMPORTRANGE(""https://docs.google.com/spreadsheets/d/1yTh1ELC33JHYOeEdgIiEclxPRyh0zOKtlawDltfUay8"",""'Champions'!A:A""),
0
)),
""Outreach Conducted"",
"""")"),"")</f>
        <v/>
      </c>
      <c r="AC296" s="23"/>
      <c r="AD296" s="23"/>
      <c r="AE296" s="23"/>
      <c r="AF296" s="23"/>
      <c r="AG296" s="23"/>
      <c r="AH296" s="23"/>
      <c r="AI296" s="23"/>
      <c r="AJ296" s="23"/>
      <c r="AK296" s="23"/>
      <c r="AL296" s="23"/>
    </row>
    <row r="297" hidden="1">
      <c r="A297" s="22" t="s">
        <v>2713</v>
      </c>
      <c r="B297" s="22" t="s">
        <v>2714</v>
      </c>
      <c r="C297" s="23" t="str">
        <f t="shared" si="1"/>
        <v>Nuoya Li</v>
      </c>
      <c r="D297" s="22">
        <v>1.9173017557E10</v>
      </c>
      <c r="E297" s="29" t="s">
        <v>2715</v>
      </c>
      <c r="F297" s="22" t="s">
        <v>248</v>
      </c>
      <c r="G297" s="22">
        <v>624.0</v>
      </c>
      <c r="H297" s="22">
        <f t="array" ref="H297">IFERROR(INDEX('Hub CPC 226'!A:A, MATCH(C297, 'Hub CPC 226'!B:B, 0)), "")</f>
        <v>305</v>
      </c>
      <c r="I297" s="22">
        <f t="array" ref="I297">IFERROR(INDEX('Hub Users 226'!A:A, MATCH(C297, 'Hub Users 226'!B:B, 0)), "")</f>
        <v>324</v>
      </c>
      <c r="J297" s="22" t="s">
        <v>107</v>
      </c>
      <c r="K297" s="23" t="s">
        <v>2716</v>
      </c>
      <c r="L297" s="25">
        <v>44604.58263888889</v>
      </c>
      <c r="M297" s="28"/>
      <c r="N297" s="28"/>
      <c r="O297" s="28"/>
      <c r="P297" s="32"/>
      <c r="Q297" s="22" t="s">
        <v>2717</v>
      </c>
      <c r="R297" s="22" t="s">
        <v>271</v>
      </c>
      <c r="S297" s="22" t="s">
        <v>271</v>
      </c>
      <c r="T297" s="22" t="s">
        <v>272</v>
      </c>
      <c r="U297" s="22" t="s">
        <v>604</v>
      </c>
      <c r="V297" s="26" t="s">
        <v>284</v>
      </c>
      <c r="W297" s="27" t="s">
        <v>2718</v>
      </c>
      <c r="X297" s="26" t="s">
        <v>619</v>
      </c>
      <c r="Y297" s="23"/>
      <c r="Z297" s="28"/>
      <c r="AA297" s="23"/>
      <c r="AB297" s="23" t="str">
        <f>IFERROR(__xludf.DUMMYFUNCTION("IF(
ISNUMBER(MATCH(
C297,
IMPORTRANGE(""https://docs.google.com/spreadsheets/d/1yTh1ELC33JHYOeEdgIiEclxPRyh0zOKtlawDltfUay8"",""'Champions'!A:A""),
0
)),
""Outreach Conducted"",
"""")"),"")</f>
        <v/>
      </c>
      <c r="AC297" s="23"/>
      <c r="AD297" s="23"/>
      <c r="AE297" s="23"/>
      <c r="AF297" s="23"/>
      <c r="AG297" s="23"/>
      <c r="AH297" s="23"/>
      <c r="AI297" s="23"/>
      <c r="AJ297" s="23"/>
      <c r="AK297" s="23"/>
      <c r="AL297" s="23"/>
    </row>
    <row r="298" hidden="1">
      <c r="A298" s="22" t="s">
        <v>2719</v>
      </c>
      <c r="B298" s="22" t="s">
        <v>2720</v>
      </c>
      <c r="C298" s="23" t="str">
        <f t="shared" si="1"/>
        <v>Nikita Catharine Viswasam</v>
      </c>
      <c r="D298" s="24"/>
      <c r="E298" s="29" t="s">
        <v>2721</v>
      </c>
      <c r="F298" s="22" t="s">
        <v>248</v>
      </c>
      <c r="G298" s="22">
        <v>293.0</v>
      </c>
      <c r="H298" s="22">
        <f t="array" ref="H298">IFERROR(INDEX('Hub CPC 226'!A:A, MATCH(C298, 'Hub CPC 226'!B:B, 0)), "")</f>
        <v>306</v>
      </c>
      <c r="I298" s="22">
        <f t="array" ref="I298">IFERROR(INDEX('Hub Users 226'!A:A, MATCH(C298, 'Hub Users 226'!B:B, 0)), "")</f>
        <v>325</v>
      </c>
      <c r="J298" s="22" t="s">
        <v>240</v>
      </c>
      <c r="K298" s="23" t="s">
        <v>2722</v>
      </c>
      <c r="L298" s="25">
        <v>43780.83472222222</v>
      </c>
      <c r="M298" s="23"/>
      <c r="N298" s="23"/>
      <c r="O298" s="23"/>
      <c r="P298" s="23"/>
      <c r="Q298" s="22" t="s">
        <v>2723</v>
      </c>
      <c r="R298" s="22" t="s">
        <v>2724</v>
      </c>
      <c r="S298" s="22" t="s">
        <v>2725</v>
      </c>
      <c r="T298" s="22" t="s">
        <v>833</v>
      </c>
      <c r="U298" s="22" t="s">
        <v>2726</v>
      </c>
      <c r="V298" s="26" t="s">
        <v>393</v>
      </c>
      <c r="W298" s="27" t="s">
        <v>2727</v>
      </c>
      <c r="X298" s="26" t="s">
        <v>519</v>
      </c>
      <c r="Y298" s="23"/>
      <c r="Z298" s="28"/>
      <c r="AA298" s="23"/>
      <c r="AB298" s="23" t="str">
        <f>IFERROR(__xludf.DUMMYFUNCTION("IF(
ISNUMBER(MATCH(
C298,
IMPORTRANGE(""https://docs.google.com/spreadsheets/d/1yTh1ELC33JHYOeEdgIiEclxPRyh0zOKtlawDltfUay8"",""'Champions'!A:A""),
0
)),
""Outreach Conducted"",
"""")"),"")</f>
        <v/>
      </c>
      <c r="AC298" s="23"/>
      <c r="AD298" s="23"/>
      <c r="AE298" s="23"/>
      <c r="AF298" s="23"/>
      <c r="AG298" s="23"/>
      <c r="AH298" s="23"/>
      <c r="AI298" s="23"/>
      <c r="AJ298" s="23"/>
      <c r="AK298" s="23"/>
      <c r="AL298" s="23"/>
    </row>
    <row r="299" hidden="1">
      <c r="A299" s="22" t="s">
        <v>2728</v>
      </c>
      <c r="B299" s="22" t="s">
        <v>2729</v>
      </c>
      <c r="C299" s="23" t="str">
        <f t="shared" si="1"/>
        <v>Odera Ekwunife</v>
      </c>
      <c r="D299" s="22">
        <v>1.6105044428E10</v>
      </c>
      <c r="E299" s="29" t="s">
        <v>2730</v>
      </c>
      <c r="F299" s="22" t="s">
        <v>238</v>
      </c>
      <c r="G299" s="22">
        <v>690.0</v>
      </c>
      <c r="H299" s="22">
        <f t="array" ref="H299">IFERROR(INDEX('Hub CPC 226'!A:A, MATCH(C299, 'Hub CPC 226'!B:B, 0)), "")</f>
        <v>307</v>
      </c>
      <c r="I299" s="22">
        <f t="array" ref="I299">IFERROR(INDEX('Hub Users 226'!A:A, MATCH(C299, 'Hub Users 226'!B:B, 0)), "")</f>
        <v>326</v>
      </c>
      <c r="J299" s="22" t="s">
        <v>260</v>
      </c>
      <c r="K299" s="23" t="s">
        <v>2731</v>
      </c>
      <c r="L299" s="25">
        <v>44943.950694444444</v>
      </c>
      <c r="M299" s="23"/>
      <c r="N299" s="23"/>
      <c r="O299" s="23"/>
      <c r="P299" s="23"/>
      <c r="Q299" s="22" t="s">
        <v>2732</v>
      </c>
      <c r="R299" s="22" t="s">
        <v>2733</v>
      </c>
      <c r="S299" s="22" t="s">
        <v>2734</v>
      </c>
      <c r="T299" s="22" t="s">
        <v>833</v>
      </c>
      <c r="U299" s="22" t="s">
        <v>2735</v>
      </c>
      <c r="V299" s="23"/>
      <c r="W299" s="23"/>
      <c r="X299" s="23"/>
      <c r="Y299" s="23"/>
      <c r="Z299" s="28"/>
      <c r="AA299" s="23"/>
      <c r="AB299" s="23" t="str">
        <f>IFERROR(__xludf.DUMMYFUNCTION("IF(
ISNUMBER(MATCH(
C299,
IMPORTRANGE(""https://docs.google.com/spreadsheets/d/1yTh1ELC33JHYOeEdgIiEclxPRyh0zOKtlawDltfUay8"",""'Champions'!A:A""),
0
)),
""Outreach Conducted"",
"""")"),"")</f>
        <v/>
      </c>
      <c r="AC299" s="23"/>
      <c r="AD299" s="23"/>
      <c r="AE299" s="23"/>
      <c r="AF299" s="23"/>
      <c r="AG299" s="23"/>
      <c r="AH299" s="23"/>
      <c r="AI299" s="23"/>
      <c r="AJ299" s="23"/>
      <c r="AK299" s="23"/>
      <c r="AL299" s="23"/>
    </row>
    <row r="300" hidden="1">
      <c r="A300" s="22" t="s">
        <v>2736</v>
      </c>
      <c r="B300" s="22" t="s">
        <v>2737</v>
      </c>
      <c r="C300" s="23" t="str">
        <f t="shared" si="1"/>
        <v>Oheneba Afriyie</v>
      </c>
      <c r="D300" s="22">
        <v>1.4847672354E10</v>
      </c>
      <c r="E300" s="29" t="s">
        <v>2738</v>
      </c>
      <c r="F300" s="22" t="s">
        <v>248</v>
      </c>
      <c r="G300" s="22">
        <v>564.0</v>
      </c>
      <c r="H300" s="22">
        <f t="array" ref="H300">IFERROR(INDEX('Hub CPC 226'!A:A, MATCH(C300, 'Hub CPC 226'!B:B, 0)), "")</f>
        <v>308</v>
      </c>
      <c r="I300" s="22">
        <f t="array" ref="I300">IFERROR(INDEX('Hub Users 226'!A:A, MATCH(C300, 'Hub Users 226'!B:B, 0)), "")</f>
        <v>327</v>
      </c>
      <c r="J300" s="22" t="s">
        <v>407</v>
      </c>
      <c r="K300" s="23" t="s">
        <v>2739</v>
      </c>
      <c r="L300" s="25">
        <v>44537.62222222222</v>
      </c>
      <c r="M300" s="23"/>
      <c r="N300" s="23"/>
      <c r="O300" s="23"/>
      <c r="P300" s="23"/>
      <c r="Q300" s="22" t="s">
        <v>2740</v>
      </c>
      <c r="R300" s="22" t="s">
        <v>2741</v>
      </c>
      <c r="S300" s="24"/>
      <c r="T300" s="24"/>
      <c r="U300" s="22" t="s">
        <v>2742</v>
      </c>
      <c r="V300" s="26" t="s">
        <v>1505</v>
      </c>
      <c r="W300" s="27" t="s">
        <v>2743</v>
      </c>
      <c r="X300" s="26" t="s">
        <v>2744</v>
      </c>
      <c r="Y300" s="23"/>
      <c r="Z300" s="28"/>
      <c r="AA300" s="23"/>
      <c r="AB300" s="23" t="str">
        <f>IFERROR(__xludf.DUMMYFUNCTION("IF(
ISNUMBER(MATCH(
C300,
IMPORTRANGE(""https://docs.google.com/spreadsheets/d/1yTh1ELC33JHYOeEdgIiEclxPRyh0zOKtlawDltfUay8"",""'Champions'!A:A""),
0
)),
""Outreach Conducted"",
"""")"),"")</f>
        <v/>
      </c>
      <c r="AC300" s="23"/>
      <c r="AD300" s="26" t="s">
        <v>2745</v>
      </c>
      <c r="AE300" s="28" t="s">
        <v>2746</v>
      </c>
      <c r="AF300" s="28" t="s">
        <v>449</v>
      </c>
      <c r="AG300" s="28" t="s">
        <v>2747</v>
      </c>
      <c r="AH300" s="23"/>
      <c r="AI300" s="23"/>
      <c r="AJ300" s="23"/>
      <c r="AK300" s="23"/>
      <c r="AL300" s="23"/>
    </row>
    <row r="301" hidden="1">
      <c r="A301" s="22" t="s">
        <v>2748</v>
      </c>
      <c r="B301" s="22" t="s">
        <v>2749</v>
      </c>
      <c r="C301" s="23" t="str">
        <f t="shared" si="1"/>
        <v>Oishee Dasgupta Dasgupta</v>
      </c>
      <c r="D301" s="22">
        <v>1.9082087839E10</v>
      </c>
      <c r="E301" s="29" t="s">
        <v>2750</v>
      </c>
      <c r="F301" s="22" t="s">
        <v>248</v>
      </c>
      <c r="G301" s="22">
        <v>635.0</v>
      </c>
      <c r="H301" s="22">
        <f t="array" ref="H301">IFERROR(INDEX('Hub CPC 226'!A:A, MATCH(C301, 'Hub CPC 226'!B:B, 0)), "")</f>
        <v>309</v>
      </c>
      <c r="I301" s="22">
        <f t="array" ref="I301">IFERROR(INDEX('Hub Users 226'!A:A, MATCH(C301, 'Hub Users 226'!B:B, 0)), "")</f>
        <v>328</v>
      </c>
      <c r="J301" s="22" t="s">
        <v>290</v>
      </c>
      <c r="K301" s="23" t="s">
        <v>2751</v>
      </c>
      <c r="L301" s="25">
        <v>44658.388194444444</v>
      </c>
      <c r="M301" s="23"/>
      <c r="N301" s="23"/>
      <c r="O301" s="23"/>
      <c r="P301" s="23"/>
      <c r="Q301" s="22" t="s">
        <v>2752</v>
      </c>
      <c r="R301" s="22" t="s">
        <v>380</v>
      </c>
      <c r="S301" s="22" t="s">
        <v>380</v>
      </c>
      <c r="T301" s="22" t="s">
        <v>381</v>
      </c>
      <c r="U301" s="22" t="s">
        <v>2753</v>
      </c>
      <c r="V301" s="26" t="s">
        <v>284</v>
      </c>
      <c r="W301" s="27" t="s">
        <v>2754</v>
      </c>
      <c r="X301" s="26" t="s">
        <v>1817</v>
      </c>
      <c r="Y301" s="23"/>
      <c r="Z301" s="28"/>
      <c r="AA301" s="23"/>
      <c r="AB301" s="23" t="str">
        <f>IFERROR(__xludf.DUMMYFUNCTION("IF(
ISNUMBER(MATCH(
C301,
IMPORTRANGE(""https://docs.google.com/spreadsheets/d/1yTh1ELC33JHYOeEdgIiEclxPRyh0zOKtlawDltfUay8"",""'Champions'!A:A""),
0
)),
""Outreach Conducted"",
"""")"),"")</f>
        <v/>
      </c>
      <c r="AC301" s="23"/>
      <c r="AD301" s="23"/>
      <c r="AE301" s="23"/>
      <c r="AF301" s="23"/>
      <c r="AG301" s="23"/>
      <c r="AH301" s="23"/>
      <c r="AI301" s="23"/>
      <c r="AJ301" s="23"/>
      <c r="AK301" s="23"/>
      <c r="AL301" s="23"/>
    </row>
    <row r="302" hidden="1">
      <c r="A302" s="22" t="s">
        <v>2755</v>
      </c>
      <c r="B302" s="22" t="s">
        <v>487</v>
      </c>
      <c r="C302" s="23" t="str">
        <f t="shared" si="1"/>
        <v>Olga Patel</v>
      </c>
      <c r="D302" s="22" t="s">
        <v>2756</v>
      </c>
      <c r="E302" s="29" t="s">
        <v>2757</v>
      </c>
      <c r="F302" s="22" t="s">
        <v>248</v>
      </c>
      <c r="G302" s="22">
        <v>397.0</v>
      </c>
      <c r="H302" s="22">
        <f t="array" ref="H302">IFERROR(INDEX('Hub CPC 226'!A:A, MATCH(C302, 'Hub CPC 226'!B:B, 0)), "")</f>
        <v>310</v>
      </c>
      <c r="I302" s="22">
        <f t="array" ref="I302">IFERROR(INDEX('Hub Users 226'!A:A, MATCH(C302, 'Hub Users 226'!B:B, 0)), "")</f>
        <v>329</v>
      </c>
      <c r="J302" s="22" t="s">
        <v>240</v>
      </c>
      <c r="K302" s="28" t="s">
        <v>2758</v>
      </c>
      <c r="L302" s="25">
        <v>44200.688888888886</v>
      </c>
      <c r="M302" s="23"/>
      <c r="N302" s="23"/>
      <c r="O302" s="23"/>
      <c r="P302" s="23"/>
      <c r="Q302" s="22" t="s">
        <v>2759</v>
      </c>
      <c r="R302" s="22" t="s">
        <v>974</v>
      </c>
      <c r="S302" s="22" t="s">
        <v>974</v>
      </c>
      <c r="T302" s="22" t="s">
        <v>252</v>
      </c>
      <c r="U302" s="22" t="s">
        <v>2312</v>
      </c>
      <c r="V302" s="26" t="s">
        <v>1691</v>
      </c>
      <c r="W302" s="27" t="s">
        <v>2760</v>
      </c>
      <c r="X302" s="26" t="s">
        <v>2761</v>
      </c>
      <c r="Y302" s="23"/>
      <c r="Z302" s="28"/>
      <c r="AA302" s="23"/>
      <c r="AB302" s="23" t="str">
        <f>IFERROR(__xludf.DUMMYFUNCTION("IF(
ISNUMBER(MATCH(
C302,
IMPORTRANGE(""https://docs.google.com/spreadsheets/d/1yTh1ELC33JHYOeEdgIiEclxPRyh0zOKtlawDltfUay8"",""'Champions'!A:A""),
0
)),
""Outreach Conducted"",
"""")"),"")</f>
        <v/>
      </c>
      <c r="AC302" s="23"/>
      <c r="AD302" s="23"/>
      <c r="AE302" s="23"/>
      <c r="AF302" s="23"/>
      <c r="AG302" s="23"/>
      <c r="AH302" s="23"/>
      <c r="AI302" s="23"/>
      <c r="AJ302" s="23"/>
      <c r="AK302" s="23"/>
      <c r="AL302" s="23"/>
    </row>
    <row r="303" hidden="1">
      <c r="A303" s="22" t="s">
        <v>2762</v>
      </c>
      <c r="B303" s="22" t="s">
        <v>2763</v>
      </c>
      <c r="C303" s="23" t="str">
        <f t="shared" si="1"/>
        <v>Otito Frances Iwuchukwu</v>
      </c>
      <c r="D303" s="22">
        <v>4.84362956E9</v>
      </c>
      <c r="E303" s="29" t="s">
        <v>2764</v>
      </c>
      <c r="F303" s="22" t="s">
        <v>248</v>
      </c>
      <c r="G303" s="22">
        <v>382.0</v>
      </c>
      <c r="H303" s="22">
        <f t="array" ref="H303">IFERROR(INDEX('Hub CPC 226'!A:A, MATCH(C303, 'Hub CPC 226'!B:B, 0)), "")</f>
        <v>311</v>
      </c>
      <c r="I303" s="22">
        <f t="array" ref="I303">IFERROR(INDEX('Hub Users 226'!A:A, MATCH(C303, 'Hub Users 226'!B:B, 0)), "")</f>
        <v>330</v>
      </c>
      <c r="J303" s="22" t="s">
        <v>240</v>
      </c>
      <c r="K303" s="23" t="s">
        <v>2765</v>
      </c>
      <c r="L303" s="25">
        <v>44200.61944444444</v>
      </c>
      <c r="M303" s="23"/>
      <c r="N303" s="23"/>
      <c r="O303" s="23"/>
      <c r="P303" s="23"/>
      <c r="Q303" s="22" t="s">
        <v>2766</v>
      </c>
      <c r="R303" s="22" t="s">
        <v>2767</v>
      </c>
      <c r="S303" s="22" t="s">
        <v>369</v>
      </c>
      <c r="T303" s="22" t="s">
        <v>241</v>
      </c>
      <c r="U303" s="22" t="s">
        <v>2768</v>
      </c>
      <c r="V303" s="26" t="s">
        <v>360</v>
      </c>
      <c r="W303" s="27" t="s">
        <v>2769</v>
      </c>
      <c r="X303" s="26" t="s">
        <v>2770</v>
      </c>
      <c r="Y303" s="23"/>
      <c r="Z303" s="28"/>
      <c r="AA303" s="23"/>
      <c r="AB303" s="23" t="str">
        <f>IFERROR(__xludf.DUMMYFUNCTION("IF(
ISNUMBER(MATCH(
C303,
IMPORTRANGE(""https://docs.google.com/spreadsheets/d/1yTh1ELC33JHYOeEdgIiEclxPRyh0zOKtlawDltfUay8"",""'Champions'!A:A""),
0
)),
""Outreach Conducted"",
"""")"),"")</f>
        <v/>
      </c>
      <c r="AC303" s="23"/>
      <c r="AD303" s="26" t="s">
        <v>448</v>
      </c>
      <c r="AE303" s="28" t="s">
        <v>705</v>
      </c>
      <c r="AF303" s="28" t="s">
        <v>449</v>
      </c>
      <c r="AG303" s="28" t="s">
        <v>706</v>
      </c>
      <c r="AH303" s="23"/>
      <c r="AI303" s="23"/>
      <c r="AJ303" s="23"/>
      <c r="AK303" s="23"/>
      <c r="AL303" s="23"/>
    </row>
    <row r="304" hidden="1">
      <c r="A304" s="22" t="s">
        <v>2771</v>
      </c>
      <c r="B304" s="22" t="s">
        <v>2772</v>
      </c>
      <c r="C304" s="23" t="str">
        <f t="shared" si="1"/>
        <v>Pamela Calvo</v>
      </c>
      <c r="D304" s="24"/>
      <c r="E304" s="29" t="s">
        <v>2773</v>
      </c>
      <c r="F304" s="22" t="s">
        <v>248</v>
      </c>
      <c r="G304" s="22">
        <v>683.0</v>
      </c>
      <c r="H304" s="22">
        <f t="array" ref="H304">IFERROR(INDEX('Hub CPC 226'!A:A, MATCH(C304, 'Hub CPC 226'!B:B, 0)), "")</f>
        <v>312</v>
      </c>
      <c r="I304" s="22">
        <f t="array" ref="I304">IFERROR(INDEX('Hub Users 226'!A:A, MATCH(C304, 'Hub Users 226'!B:B, 0)), "")</f>
        <v>331</v>
      </c>
      <c r="J304" s="22" t="s">
        <v>290</v>
      </c>
      <c r="K304" s="23" t="s">
        <v>2774</v>
      </c>
      <c r="L304" s="25">
        <v>44895.040972222225</v>
      </c>
      <c r="M304" s="23"/>
      <c r="N304" s="23"/>
      <c r="O304" s="23"/>
      <c r="P304" s="23"/>
      <c r="Q304" s="24"/>
      <c r="R304" s="22" t="s">
        <v>2775</v>
      </c>
      <c r="S304" s="24"/>
      <c r="T304" s="24"/>
      <c r="U304" s="22" t="s">
        <v>2776</v>
      </c>
      <c r="V304" s="23"/>
      <c r="W304" s="23"/>
      <c r="X304" s="23"/>
      <c r="Y304" s="23"/>
      <c r="Z304" s="28"/>
      <c r="AA304" s="23"/>
      <c r="AB304" s="23" t="str">
        <f>IFERROR(__xludf.DUMMYFUNCTION("IF(
ISNUMBER(MATCH(
C304,
IMPORTRANGE(""https://docs.google.com/spreadsheets/d/1yTh1ELC33JHYOeEdgIiEclxPRyh0zOKtlawDltfUay8"",""'Champions'!A:A""),
0
)),
""Outreach Conducted"",
"""")"),"")</f>
        <v/>
      </c>
      <c r="AC304" s="23"/>
      <c r="AD304" s="23"/>
      <c r="AE304" s="23"/>
      <c r="AF304" s="23"/>
      <c r="AG304" s="23"/>
      <c r="AH304" s="23"/>
      <c r="AI304" s="23"/>
      <c r="AJ304" s="23"/>
      <c r="AK304" s="23"/>
      <c r="AL304" s="23"/>
    </row>
    <row r="305" hidden="1">
      <c r="A305" s="22" t="s">
        <v>2777</v>
      </c>
      <c r="B305" s="22" t="s">
        <v>2778</v>
      </c>
      <c r="C305" s="23" t="str">
        <f t="shared" si="1"/>
        <v>Paola Lopez</v>
      </c>
      <c r="D305" s="22">
        <v>1.4849956689E10</v>
      </c>
      <c r="E305" s="29" t="s">
        <v>2779</v>
      </c>
      <c r="F305" s="22" t="s">
        <v>248</v>
      </c>
      <c r="G305" s="22">
        <v>572.0</v>
      </c>
      <c r="H305" s="22">
        <f t="array" ref="H305">IFERROR(INDEX('Hub CPC 226'!A:A, MATCH(C305, 'Hub CPC 226'!B:B, 0)), "")</f>
        <v>313</v>
      </c>
      <c r="I305" s="22">
        <f t="array" ref="I305">IFERROR(INDEX('Hub Users 226'!A:A, MATCH(C305, 'Hub Users 226'!B:B, 0)), "")</f>
        <v>332</v>
      </c>
      <c r="J305" s="22" t="s">
        <v>240</v>
      </c>
      <c r="K305" s="23" t="s">
        <v>2780</v>
      </c>
      <c r="L305" s="25">
        <v>44547.47986111111</v>
      </c>
      <c r="M305" s="28">
        <v>12.0</v>
      </c>
      <c r="N305" s="28">
        <v>59.0</v>
      </c>
      <c r="O305" s="28">
        <v>73.0</v>
      </c>
      <c r="P305" s="32">
        <v>4.0</v>
      </c>
      <c r="Q305" s="22" t="s">
        <v>2781</v>
      </c>
      <c r="R305" s="22" t="s">
        <v>2782</v>
      </c>
      <c r="S305" s="22" t="s">
        <v>271</v>
      </c>
      <c r="T305" s="22" t="s">
        <v>272</v>
      </c>
      <c r="U305" s="22" t="s">
        <v>2783</v>
      </c>
      <c r="V305" s="26" t="s">
        <v>284</v>
      </c>
      <c r="W305" s="27" t="s">
        <v>2784</v>
      </c>
      <c r="X305" s="26" t="s">
        <v>2785</v>
      </c>
      <c r="Y305" s="23"/>
      <c r="Z305" s="28"/>
      <c r="AA305" s="23"/>
      <c r="AB305" s="23" t="str">
        <f>IFERROR(__xludf.DUMMYFUNCTION("IF(
ISNUMBER(MATCH(
C305,
IMPORTRANGE(""https://docs.google.com/spreadsheets/d/1yTh1ELC33JHYOeEdgIiEclxPRyh0zOKtlawDltfUay8"",""'Champions'!A:A""),
0
)),
""Outreach Conducted"",
"""")"),"")</f>
        <v/>
      </c>
      <c r="AC305" s="23"/>
      <c r="AD305" s="23"/>
      <c r="AE305" s="23"/>
      <c r="AF305" s="23"/>
      <c r="AG305" s="23"/>
      <c r="AH305" s="23"/>
      <c r="AI305" s="23"/>
      <c r="AJ305" s="23"/>
      <c r="AK305" s="23"/>
      <c r="AL305" s="23"/>
    </row>
    <row r="306" hidden="1">
      <c r="A306" s="22" t="s">
        <v>2786</v>
      </c>
      <c r="B306" s="22" t="s">
        <v>2787</v>
      </c>
      <c r="C306" s="23" t="str">
        <f t="shared" si="1"/>
        <v>Shaili Parikh</v>
      </c>
      <c r="D306" s="22">
        <v>7.324070702E9</v>
      </c>
      <c r="E306" s="29" t="s">
        <v>2788</v>
      </c>
      <c r="F306" s="22" t="s">
        <v>248</v>
      </c>
      <c r="G306" s="22">
        <v>291.0</v>
      </c>
      <c r="H306" s="22">
        <f t="array" ref="H306">IFERROR(INDEX('Hub CPC 226'!A:A, MATCH(C306, 'Hub CPC 226'!B:B, 0)), "")</f>
        <v>314</v>
      </c>
      <c r="I306" s="22">
        <f t="array" ref="I306">IFERROR(INDEX('Hub Users 226'!A:A, MATCH(C306, 'Hub Users 226'!B:B, 0)), "")</f>
        <v>333</v>
      </c>
      <c r="J306" s="22" t="s">
        <v>240</v>
      </c>
      <c r="K306" s="23" t="s">
        <v>2789</v>
      </c>
      <c r="L306" s="25">
        <v>43780.677777777775</v>
      </c>
      <c r="M306" s="28">
        <v>12.0</v>
      </c>
      <c r="N306" s="28">
        <v>59.0</v>
      </c>
      <c r="O306" s="28">
        <v>73.0</v>
      </c>
      <c r="P306" s="32">
        <v>4.0</v>
      </c>
      <c r="Q306" s="22" t="s">
        <v>2790</v>
      </c>
      <c r="R306" s="22" t="s">
        <v>271</v>
      </c>
      <c r="S306" s="22" t="s">
        <v>271</v>
      </c>
      <c r="T306" s="22" t="s">
        <v>272</v>
      </c>
      <c r="U306" s="22" t="s">
        <v>2791</v>
      </c>
      <c r="V306" s="23"/>
      <c r="W306" s="23"/>
      <c r="X306" s="23"/>
      <c r="Y306" s="23"/>
      <c r="Z306" s="28"/>
      <c r="AA306" s="23"/>
      <c r="AB306" s="23" t="str">
        <f>IFERROR(__xludf.DUMMYFUNCTION("IF(
ISNUMBER(MATCH(
C306,
IMPORTRANGE(""https://docs.google.com/spreadsheets/d/1yTh1ELC33JHYOeEdgIiEclxPRyh0zOKtlawDltfUay8"",""'Champions'!A:A""),
0
)),
""Outreach Conducted"",
"""")"),"")</f>
        <v/>
      </c>
      <c r="AC306" s="23"/>
      <c r="AD306" s="23"/>
      <c r="AE306" s="23"/>
      <c r="AF306" s="23"/>
      <c r="AG306" s="23"/>
      <c r="AH306" s="23"/>
      <c r="AI306" s="23"/>
      <c r="AJ306" s="23"/>
      <c r="AK306" s="23"/>
      <c r="AL306" s="23"/>
    </row>
    <row r="307" hidden="1">
      <c r="A307" s="22" t="s">
        <v>2792</v>
      </c>
      <c r="B307" s="22" t="s">
        <v>2793</v>
      </c>
      <c r="C307" s="23" t="str">
        <f t="shared" si="1"/>
        <v>Pavan Gourisetty</v>
      </c>
      <c r="D307" s="22">
        <v>5.104566512E9</v>
      </c>
      <c r="E307" s="29" t="s">
        <v>2794</v>
      </c>
      <c r="F307" s="22" t="s">
        <v>248</v>
      </c>
      <c r="G307" s="22">
        <v>402.0</v>
      </c>
      <c r="H307" s="22">
        <f t="array" ref="H307">IFERROR(INDEX('Hub CPC 226'!A:A, MATCH(C307, 'Hub CPC 226'!B:B, 0)), "")</f>
        <v>315</v>
      </c>
      <c r="I307" s="22">
        <f t="array" ref="I307">IFERROR(INDEX('Hub Users 226'!A:A, MATCH(C307, 'Hub Users 226'!B:B, 0)), "")</f>
        <v>334</v>
      </c>
      <c r="J307" s="22" t="s">
        <v>260</v>
      </c>
      <c r="K307" s="23" t="s">
        <v>2795</v>
      </c>
      <c r="L307" s="25">
        <v>44200.7125</v>
      </c>
      <c r="M307" s="23"/>
      <c r="N307" s="23"/>
      <c r="O307" s="23"/>
      <c r="P307" s="23"/>
      <c r="Q307" s="22" t="s">
        <v>2796</v>
      </c>
      <c r="R307" s="22" t="s">
        <v>700</v>
      </c>
      <c r="S307" s="22" t="s">
        <v>1117</v>
      </c>
      <c r="T307" s="22" t="s">
        <v>252</v>
      </c>
      <c r="U307" s="45" t="s">
        <v>2797</v>
      </c>
      <c r="V307" s="26" t="s">
        <v>360</v>
      </c>
      <c r="W307" s="27" t="s">
        <v>2798</v>
      </c>
      <c r="X307" s="26" t="s">
        <v>362</v>
      </c>
      <c r="Y307" s="23"/>
      <c r="Z307" s="28"/>
      <c r="AA307" s="23"/>
      <c r="AB307" s="23" t="str">
        <f>IFERROR(__xludf.DUMMYFUNCTION("IF(
ISNUMBER(MATCH(
C307,
IMPORTRANGE(""https://docs.google.com/spreadsheets/d/1yTh1ELC33JHYOeEdgIiEclxPRyh0zOKtlawDltfUay8"",""'Champions'!A:A""),
0
)),
""Outreach Conducted"",
"""")"),"")</f>
        <v/>
      </c>
      <c r="AC307" s="23"/>
      <c r="AD307" s="23"/>
      <c r="AE307" s="23"/>
      <c r="AF307" s="23"/>
      <c r="AG307" s="23"/>
      <c r="AH307" s="23"/>
      <c r="AI307" s="23"/>
      <c r="AJ307" s="23"/>
      <c r="AK307" s="23"/>
      <c r="AL307" s="23"/>
    </row>
    <row r="308" hidden="1">
      <c r="A308" s="22" t="s">
        <v>2799</v>
      </c>
      <c r="B308" s="22" t="s">
        <v>2800</v>
      </c>
      <c r="C308" s="23" t="str">
        <f t="shared" si="1"/>
        <v>Patrick Burris</v>
      </c>
      <c r="D308" s="22">
        <v>3.306350518E9</v>
      </c>
      <c r="E308" s="29" t="s">
        <v>2801</v>
      </c>
      <c r="F308" s="22" t="s">
        <v>248</v>
      </c>
      <c r="G308" s="22">
        <v>707.0</v>
      </c>
      <c r="H308" s="22">
        <f t="array" ref="H308">IFERROR(INDEX('Hub CPC 226'!A:A, MATCH(C308, 'Hub CPC 226'!B:B, 0)), "")</f>
        <v>316</v>
      </c>
      <c r="I308" s="22">
        <f t="array" ref="I308">IFERROR(INDEX('Hub Users 226'!A:A, MATCH(C308, 'Hub Users 226'!B:B, 0)), "")</f>
        <v>335</v>
      </c>
      <c r="J308" s="22" t="s">
        <v>260</v>
      </c>
      <c r="K308" s="23" t="s">
        <v>2802</v>
      </c>
      <c r="L308" s="25">
        <v>44991.59930555556</v>
      </c>
      <c r="M308" s="23"/>
      <c r="N308" s="23"/>
      <c r="O308" s="23"/>
      <c r="P308" s="23"/>
      <c r="Q308" s="22" t="s">
        <v>2803</v>
      </c>
      <c r="R308" s="22" t="s">
        <v>2804</v>
      </c>
      <c r="S308" s="22" t="s">
        <v>2805</v>
      </c>
      <c r="T308" s="22" t="s">
        <v>1939</v>
      </c>
      <c r="U308" s="22" t="s">
        <v>2806</v>
      </c>
      <c r="V308" s="23"/>
      <c r="W308" s="23"/>
      <c r="X308" s="23"/>
      <c r="Y308" s="23"/>
      <c r="Z308" s="28"/>
      <c r="AA308" s="23"/>
      <c r="AB308" s="23" t="str">
        <f>IFERROR(__xludf.DUMMYFUNCTION("IF(
ISNUMBER(MATCH(
C308,
IMPORTRANGE(""https://docs.google.com/spreadsheets/d/1yTh1ELC33JHYOeEdgIiEclxPRyh0zOKtlawDltfUay8"",""'Champions'!A:A""),
0
)),
""Outreach Conducted"",
"""")"),"")</f>
        <v/>
      </c>
      <c r="AC308" s="23"/>
      <c r="AD308" s="23"/>
      <c r="AE308" s="23"/>
      <c r="AF308" s="23"/>
      <c r="AG308" s="23"/>
      <c r="AH308" s="23"/>
      <c r="AI308" s="23"/>
      <c r="AJ308" s="23"/>
      <c r="AK308" s="23"/>
      <c r="AL308" s="23"/>
    </row>
    <row r="309" hidden="1">
      <c r="A309" s="22" t="s">
        <v>2807</v>
      </c>
      <c r="B309" s="22" t="s">
        <v>2808</v>
      </c>
      <c r="C309" s="23" t="str">
        <f t="shared" si="1"/>
        <v>Poonam Sethi</v>
      </c>
      <c r="D309" s="22">
        <v>2.018359719E9</v>
      </c>
      <c r="E309" s="29" t="s">
        <v>2809</v>
      </c>
      <c r="F309" s="22" t="s">
        <v>248</v>
      </c>
      <c r="G309" s="22">
        <v>376.0</v>
      </c>
      <c r="H309" s="22">
        <f t="array" ref="H309">IFERROR(INDEX('Hub CPC 226'!A:A, MATCH(C309, 'Hub CPC 226'!B:B, 0)), "")</f>
        <v>317</v>
      </c>
      <c r="I309" s="22">
        <f t="array" ref="I309">IFERROR(INDEX('Hub Users 226'!A:A, MATCH(C309, 'Hub Users 226'!B:B, 0)), "")</f>
        <v>336</v>
      </c>
      <c r="J309" s="22" t="s">
        <v>260</v>
      </c>
      <c r="K309" s="23" t="s">
        <v>2810</v>
      </c>
      <c r="L309" s="25">
        <v>44197.51527777778</v>
      </c>
      <c r="M309" s="23"/>
      <c r="N309" s="23"/>
      <c r="O309" s="23"/>
      <c r="P309" s="23"/>
      <c r="Q309" s="22" t="s">
        <v>2811</v>
      </c>
      <c r="R309" s="22" t="s">
        <v>2812</v>
      </c>
      <c r="S309" s="22" t="s">
        <v>391</v>
      </c>
      <c r="T309" s="22" t="s">
        <v>241</v>
      </c>
      <c r="U309" s="22" t="s">
        <v>2813</v>
      </c>
      <c r="V309" s="23"/>
      <c r="W309" s="23"/>
      <c r="X309" s="23"/>
      <c r="Y309" s="23"/>
      <c r="Z309" s="28"/>
      <c r="AA309" s="23"/>
      <c r="AB309" s="23" t="str">
        <f>IFERROR(__xludf.DUMMYFUNCTION("IF(
ISNUMBER(MATCH(
C309,
IMPORTRANGE(""https://docs.google.com/spreadsheets/d/1yTh1ELC33JHYOeEdgIiEclxPRyh0zOKtlawDltfUay8"",""'Champions'!A:A""),
0
)),
""Outreach Conducted"",
"""")"),"")</f>
        <v/>
      </c>
      <c r="AC309" s="23"/>
      <c r="AD309" s="23"/>
      <c r="AE309" s="23"/>
      <c r="AF309" s="23"/>
      <c r="AG309" s="23"/>
      <c r="AH309" s="23"/>
      <c r="AI309" s="23"/>
      <c r="AJ309" s="23"/>
      <c r="AK309" s="23"/>
      <c r="AL309" s="23"/>
    </row>
    <row r="310" hidden="1">
      <c r="A310" s="22" t="s">
        <v>2814</v>
      </c>
      <c r="B310" s="22" t="s">
        <v>2815</v>
      </c>
      <c r="C310" s="23" t="str">
        <f t="shared" si="1"/>
        <v>Preeti Thyparampil</v>
      </c>
      <c r="D310" s="22">
        <v>6.462297315E9</v>
      </c>
      <c r="E310" s="29" t="s">
        <v>2816</v>
      </c>
      <c r="F310" s="22" t="s">
        <v>248</v>
      </c>
      <c r="G310" s="22">
        <v>46.0</v>
      </c>
      <c r="H310" s="22">
        <f t="array" ref="H310">IFERROR(INDEX('Hub CPC 226'!A:A, MATCH(C310, 'Hub CPC 226'!B:B, 0)), "")</f>
        <v>318</v>
      </c>
      <c r="I310" s="22">
        <f t="array" ref="I310">IFERROR(INDEX('Hub Users 226'!A:A, MATCH(C310, 'Hub Users 226'!B:B, 0)), "")</f>
        <v>337</v>
      </c>
      <c r="J310" s="22" t="s">
        <v>1153</v>
      </c>
      <c r="K310" s="23" t="s">
        <v>2817</v>
      </c>
      <c r="L310" s="25">
        <v>43338.743055555555</v>
      </c>
      <c r="M310" s="23"/>
      <c r="N310" s="23"/>
      <c r="O310" s="23"/>
      <c r="P310" s="23"/>
      <c r="Q310" s="22" t="s">
        <v>2818</v>
      </c>
      <c r="R310" s="22"/>
      <c r="S310" s="22" t="s">
        <v>492</v>
      </c>
      <c r="T310" s="22" t="s">
        <v>27</v>
      </c>
      <c r="U310" s="22" t="s">
        <v>2819</v>
      </c>
      <c r="V310" s="23"/>
      <c r="W310" s="23"/>
      <c r="X310" s="23"/>
      <c r="Y310" s="23"/>
      <c r="Z310" s="28"/>
      <c r="AA310" s="23"/>
      <c r="AB310" s="23" t="str">
        <f>IFERROR(__xludf.DUMMYFUNCTION("IF(
ISNUMBER(MATCH(
C310,
IMPORTRANGE(""https://docs.google.com/spreadsheets/d/1yTh1ELC33JHYOeEdgIiEclxPRyh0zOKtlawDltfUay8"",""'Champions'!A:A""),
0
)),
""Outreach Conducted"",
"""")"),"")</f>
        <v/>
      </c>
      <c r="AC310" s="23"/>
      <c r="AD310" s="26" t="s">
        <v>2820</v>
      </c>
      <c r="AE310" s="28" t="s">
        <v>2821</v>
      </c>
      <c r="AF310" s="28" t="s">
        <v>449</v>
      </c>
      <c r="AG310" s="28" t="s">
        <v>2822</v>
      </c>
      <c r="AH310" s="23"/>
      <c r="AI310" s="23"/>
      <c r="AJ310" s="23"/>
      <c r="AK310" s="23"/>
      <c r="AL310" s="23"/>
    </row>
    <row r="311" hidden="1">
      <c r="A311" s="22" t="s">
        <v>2823</v>
      </c>
      <c r="B311" s="22" t="s">
        <v>2824</v>
      </c>
      <c r="C311" s="23" t="str">
        <f t="shared" si="1"/>
        <v>Prithvi Mattur</v>
      </c>
      <c r="D311" s="22">
        <v>1.4253269906E10</v>
      </c>
      <c r="E311" s="29" t="s">
        <v>2825</v>
      </c>
      <c r="F311" s="22" t="s">
        <v>248</v>
      </c>
      <c r="G311" s="22">
        <v>593.0</v>
      </c>
      <c r="H311" s="22">
        <f t="array" ref="H311">IFERROR(INDEX('Hub CPC 226'!A:A, MATCH(C311, 'Hub CPC 226'!B:B, 0)), "")</f>
        <v>319</v>
      </c>
      <c r="I311" s="22">
        <f t="array" ref="I311">IFERROR(INDEX('Hub Users 226'!A:A, MATCH(C311, 'Hub Users 226'!B:B, 0)), "")</f>
        <v>338</v>
      </c>
      <c r="J311" s="22" t="s">
        <v>240</v>
      </c>
      <c r="K311" s="23" t="s">
        <v>2826</v>
      </c>
      <c r="L311" s="25">
        <v>44572.092361111114</v>
      </c>
      <c r="M311" s="23"/>
      <c r="N311" s="23"/>
      <c r="O311" s="23"/>
      <c r="P311" s="23"/>
      <c r="Q311" s="24"/>
      <c r="R311" s="22" t="s">
        <v>2256</v>
      </c>
      <c r="S311" s="22" t="s">
        <v>2256</v>
      </c>
      <c r="T311" s="22" t="s">
        <v>252</v>
      </c>
      <c r="U311" s="22" t="s">
        <v>2827</v>
      </c>
      <c r="V311" s="26" t="s">
        <v>884</v>
      </c>
      <c r="W311" s="27" t="s">
        <v>2828</v>
      </c>
      <c r="X311" s="26" t="s">
        <v>1537</v>
      </c>
      <c r="Y311" s="23"/>
      <c r="Z311" s="28"/>
      <c r="AA311" s="23"/>
      <c r="AB311" s="23" t="str">
        <f>IFERROR(__xludf.DUMMYFUNCTION("IF(
ISNUMBER(MATCH(
C311,
IMPORTRANGE(""https://docs.google.com/spreadsheets/d/1yTh1ELC33JHYOeEdgIiEclxPRyh0zOKtlawDltfUay8"",""'Champions'!A:A""),
0
)),
""Outreach Conducted"",
"""")"),"")</f>
        <v/>
      </c>
      <c r="AC311" s="23"/>
      <c r="AD311" s="23"/>
      <c r="AE311" s="23"/>
      <c r="AF311" s="23"/>
      <c r="AG311" s="23"/>
      <c r="AH311" s="23"/>
      <c r="AI311" s="23"/>
      <c r="AJ311" s="23"/>
      <c r="AK311" s="23"/>
      <c r="AL311" s="23"/>
    </row>
    <row r="312" hidden="1">
      <c r="A312" s="22" t="s">
        <v>2829</v>
      </c>
      <c r="B312" s="22" t="s">
        <v>2830</v>
      </c>
      <c r="C312" s="23" t="str">
        <f t="shared" si="1"/>
        <v>Pritika Kumar</v>
      </c>
      <c r="D312" s="22">
        <v>1.2127299226E10</v>
      </c>
      <c r="E312" s="29" t="s">
        <v>2831</v>
      </c>
      <c r="F312" s="22" t="s">
        <v>248</v>
      </c>
      <c r="G312" s="22">
        <v>502.0</v>
      </c>
      <c r="H312" s="22">
        <f t="array" ref="H312">IFERROR(INDEX('Hub CPC 226'!A:A, MATCH(C312, 'Hub CPC 226'!B:B, 0)), "")</f>
        <v>320</v>
      </c>
      <c r="I312" s="22">
        <f t="array" ref="I312">IFERROR(INDEX('Hub Users 226'!A:A, MATCH(C312, 'Hub Users 226'!B:B, 0)), "")</f>
        <v>339</v>
      </c>
      <c r="J312" s="22" t="s">
        <v>608</v>
      </c>
      <c r="K312" s="23" t="s">
        <v>2832</v>
      </c>
      <c r="L312" s="25">
        <v>44466.88263888889</v>
      </c>
      <c r="M312" s="23"/>
      <c r="N312" s="23"/>
      <c r="O312" s="23"/>
      <c r="P312" s="23"/>
      <c r="Q312" s="22" t="s">
        <v>2833</v>
      </c>
      <c r="R312" s="22" t="s">
        <v>2833</v>
      </c>
      <c r="S312" s="22" t="s">
        <v>2834</v>
      </c>
      <c r="T312" s="22" t="s">
        <v>2835</v>
      </c>
      <c r="U312" s="22" t="s">
        <v>2836</v>
      </c>
      <c r="V312" s="26" t="s">
        <v>2837</v>
      </c>
      <c r="W312" s="27" t="s">
        <v>2838</v>
      </c>
      <c r="X312" s="26" t="s">
        <v>2839</v>
      </c>
      <c r="Y312" s="23"/>
      <c r="Z312" s="28"/>
      <c r="AA312" s="23"/>
      <c r="AB312" s="23" t="str">
        <f>IFERROR(__xludf.DUMMYFUNCTION("IF(
ISNUMBER(MATCH(
C312,
IMPORTRANGE(""https://docs.google.com/spreadsheets/d/1yTh1ELC33JHYOeEdgIiEclxPRyh0zOKtlawDltfUay8"",""'Champions'!A:A""),
0
)),
""Outreach Conducted"",
"""")"),"")</f>
        <v/>
      </c>
      <c r="AC312" s="23"/>
      <c r="AD312" s="26" t="s">
        <v>448</v>
      </c>
      <c r="AE312" s="28" t="s">
        <v>705</v>
      </c>
      <c r="AF312" s="28" t="s">
        <v>449</v>
      </c>
      <c r="AG312" s="28" t="s">
        <v>706</v>
      </c>
      <c r="AH312" s="23"/>
      <c r="AI312" s="23"/>
      <c r="AJ312" s="23"/>
      <c r="AK312" s="23"/>
      <c r="AL312" s="23"/>
    </row>
    <row r="313" hidden="1">
      <c r="A313" s="22" t="s">
        <v>2840</v>
      </c>
      <c r="B313" s="22" t="s">
        <v>2841</v>
      </c>
      <c r="C313" s="23" t="str">
        <f t="shared" si="1"/>
        <v>Priyanka Mara</v>
      </c>
      <c r="D313" s="22">
        <v>1.3154045309E10</v>
      </c>
      <c r="E313" s="29" t="s">
        <v>2842</v>
      </c>
      <c r="F313" s="22" t="s">
        <v>248</v>
      </c>
      <c r="G313" s="22">
        <v>465.0</v>
      </c>
      <c r="H313" s="22">
        <f t="array" ref="H313">IFERROR(INDEX('Hub CPC 226'!A:A, MATCH(C313, 'Hub CPC 226'!B:B, 0)), "")</f>
        <v>321</v>
      </c>
      <c r="I313" s="22">
        <f t="array" ref="I313">IFERROR(INDEX('Hub Users 226'!A:A, MATCH(C313, 'Hub Users 226'!B:B, 0)), "")</f>
        <v>340</v>
      </c>
      <c r="J313" s="22" t="s">
        <v>260</v>
      </c>
      <c r="K313" s="23" t="s">
        <v>2843</v>
      </c>
      <c r="L313" s="25">
        <v>44277.04375</v>
      </c>
      <c r="M313" s="23"/>
      <c r="N313" s="23"/>
      <c r="O313" s="23"/>
      <c r="P313" s="23"/>
      <c r="Q313" s="22" t="s">
        <v>2844</v>
      </c>
      <c r="R313" s="22" t="s">
        <v>473</v>
      </c>
      <c r="S313" s="22" t="s">
        <v>473</v>
      </c>
      <c r="T313" s="22" t="s">
        <v>252</v>
      </c>
      <c r="U313" s="22" t="s">
        <v>2845</v>
      </c>
      <c r="V313" s="26" t="s">
        <v>798</v>
      </c>
      <c r="W313" s="27" t="s">
        <v>2846</v>
      </c>
      <c r="X313" s="26" t="s">
        <v>2847</v>
      </c>
      <c r="Y313" s="23"/>
      <c r="Z313" s="28"/>
      <c r="AA313" s="23"/>
      <c r="AB313" s="23" t="str">
        <f>IFERROR(__xludf.DUMMYFUNCTION("IF(
ISNUMBER(MATCH(
C313,
IMPORTRANGE(""https://docs.google.com/spreadsheets/d/1yTh1ELC33JHYOeEdgIiEclxPRyh0zOKtlawDltfUay8"",""'Champions'!A:A""),
0
)),
""Outreach Conducted"",
"""")"),"")</f>
        <v/>
      </c>
      <c r="AC313" s="23"/>
      <c r="AD313" s="23"/>
      <c r="AE313" s="23"/>
      <c r="AF313" s="23"/>
      <c r="AG313" s="23"/>
      <c r="AH313" s="23"/>
      <c r="AI313" s="23"/>
      <c r="AJ313" s="23"/>
      <c r="AK313" s="23"/>
      <c r="AL313" s="23"/>
    </row>
    <row r="314" hidden="1">
      <c r="A314" s="22" t="s">
        <v>2840</v>
      </c>
      <c r="B314" s="22" t="s">
        <v>2848</v>
      </c>
      <c r="C314" s="23" t="str">
        <f t="shared" si="1"/>
        <v>Priyanka Dixit</v>
      </c>
      <c r="D314" s="22" t="s">
        <v>2849</v>
      </c>
      <c r="E314" s="29" t="s">
        <v>2850</v>
      </c>
      <c r="F314" s="22" t="s">
        <v>248</v>
      </c>
      <c r="G314" s="22">
        <v>180.0</v>
      </c>
      <c r="H314" s="22">
        <f t="array" ref="H314">IFERROR(INDEX('Hub CPC 226'!A:A, MATCH(C314, 'Hub CPC 226'!B:B, 0)), "")</f>
        <v>322</v>
      </c>
      <c r="I314" s="22">
        <f t="array" ref="I314">IFERROR(INDEX('Hub Users 226'!A:A, MATCH(C314, 'Hub Users 226'!B:B, 0)), "")</f>
        <v>341</v>
      </c>
      <c r="J314" s="22" t="s">
        <v>240</v>
      </c>
      <c r="K314" s="23" t="s">
        <v>2851</v>
      </c>
      <c r="L314" s="25">
        <v>43592.26944444444</v>
      </c>
      <c r="M314" s="23"/>
      <c r="N314" s="23"/>
      <c r="O314" s="23"/>
      <c r="P314" s="23"/>
      <c r="Q314" s="22" t="s">
        <v>2852</v>
      </c>
      <c r="R314" s="22" t="s">
        <v>2853</v>
      </c>
      <c r="S314" s="22" t="s">
        <v>2854</v>
      </c>
      <c r="T314" s="22" t="s">
        <v>241</v>
      </c>
      <c r="U314" s="22" t="s">
        <v>2753</v>
      </c>
      <c r="V314" s="26" t="s">
        <v>1119</v>
      </c>
      <c r="W314" s="27" t="s">
        <v>2855</v>
      </c>
      <c r="X314" s="26" t="s">
        <v>2856</v>
      </c>
      <c r="Y314" s="23"/>
      <c r="Z314" s="28"/>
      <c r="AA314" s="23"/>
      <c r="AB314" s="23" t="str">
        <f>IFERROR(__xludf.DUMMYFUNCTION("IF(
ISNUMBER(MATCH(
C314,
IMPORTRANGE(""https://docs.google.com/spreadsheets/d/1yTh1ELC33JHYOeEdgIiEclxPRyh0zOKtlawDltfUay8"",""'Champions'!A:A""),
0
)),
""Outreach Conducted"",
"""")"),"")</f>
        <v/>
      </c>
      <c r="AC314" s="23"/>
      <c r="AD314" s="23"/>
      <c r="AE314" s="23"/>
      <c r="AF314" s="23"/>
      <c r="AG314" s="23"/>
      <c r="AH314" s="23"/>
      <c r="AI314" s="23"/>
      <c r="AJ314" s="23"/>
      <c r="AK314" s="23"/>
      <c r="AL314" s="23"/>
    </row>
    <row r="315" hidden="1">
      <c r="A315" s="22" t="s">
        <v>2857</v>
      </c>
      <c r="B315" s="22" t="s">
        <v>2858</v>
      </c>
      <c r="C315" s="23" t="str">
        <f t="shared" si="1"/>
        <v>Ping Wang</v>
      </c>
      <c r="D315" s="22">
        <v>1.4085992642E10</v>
      </c>
      <c r="E315" s="29" t="s">
        <v>2859</v>
      </c>
      <c r="F315" s="22" t="s">
        <v>248</v>
      </c>
      <c r="G315" s="22">
        <v>549.0</v>
      </c>
      <c r="H315" s="22">
        <f t="array" ref="H315">IFERROR(INDEX('Hub CPC 226'!A:A, MATCH(C315, 'Hub CPC 226'!B:B, 0)), "")</f>
        <v>323</v>
      </c>
      <c r="I315" s="22">
        <f t="array" ref="I315">IFERROR(INDEX('Hub Users 226'!A:A, MATCH(C315, 'Hub Users 226'!B:B, 0)), "")</f>
        <v>342</v>
      </c>
      <c r="J315" s="22" t="s">
        <v>290</v>
      </c>
      <c r="K315" s="23" t="s">
        <v>2860</v>
      </c>
      <c r="L315" s="25">
        <v>44510.941666666666</v>
      </c>
      <c r="M315" s="23"/>
      <c r="N315" s="23"/>
      <c r="O315" s="23"/>
      <c r="P315" s="23"/>
      <c r="Q315" s="22" t="s">
        <v>2861</v>
      </c>
      <c r="R315" s="22" t="s">
        <v>2862</v>
      </c>
      <c r="S315" s="22" t="s">
        <v>473</v>
      </c>
      <c r="T315" s="22" t="s">
        <v>252</v>
      </c>
      <c r="U315" s="22" t="s">
        <v>2863</v>
      </c>
      <c r="V315" s="26" t="s">
        <v>284</v>
      </c>
      <c r="W315" s="27" t="s">
        <v>2864</v>
      </c>
      <c r="X315" s="26" t="s">
        <v>619</v>
      </c>
      <c r="Y315" s="23"/>
      <c r="Z315" s="28"/>
      <c r="AA315" s="23"/>
      <c r="AB315" s="23" t="str">
        <f>IFERROR(__xludf.DUMMYFUNCTION("IF(
ISNUMBER(MATCH(
C315,
IMPORTRANGE(""https://docs.google.com/spreadsheets/d/1yTh1ELC33JHYOeEdgIiEclxPRyh0zOKtlawDltfUay8"",""'Champions'!A:A""),
0
)),
""Outreach Conducted"",
"""")"),"")</f>
        <v/>
      </c>
      <c r="AC315" s="23"/>
      <c r="AD315" s="23"/>
      <c r="AE315" s="23"/>
      <c r="AF315" s="23"/>
      <c r="AG315" s="23"/>
      <c r="AH315" s="23"/>
      <c r="AI315" s="23"/>
      <c r="AJ315" s="23"/>
      <c r="AK315" s="23"/>
      <c r="AL315" s="23"/>
    </row>
    <row r="316" hidden="1">
      <c r="A316" s="22" t="s">
        <v>2865</v>
      </c>
      <c r="B316" s="22" t="s">
        <v>2866</v>
      </c>
      <c r="C316" s="23" t="str">
        <f t="shared" si="1"/>
        <v>Princess Scott</v>
      </c>
      <c r="D316" s="22">
        <v>1.412352747E10</v>
      </c>
      <c r="E316" s="29" t="s">
        <v>2867</v>
      </c>
      <c r="F316" s="22" t="s">
        <v>238</v>
      </c>
      <c r="G316" s="22">
        <v>584.0</v>
      </c>
      <c r="H316" s="22">
        <f t="array" ref="H316">IFERROR(INDEX('Hub CPC 226'!A:A, MATCH(C316, 'Hub CPC 226'!B:B, 0)), "")</f>
        <v>324</v>
      </c>
      <c r="I316" s="22">
        <f t="array" ref="I316">IFERROR(INDEX('Hub Users 226'!A:A, MATCH(C316, 'Hub Users 226'!B:B, 0)), "")</f>
        <v>343</v>
      </c>
      <c r="J316" s="22" t="s">
        <v>290</v>
      </c>
      <c r="K316" s="23" t="s">
        <v>2868</v>
      </c>
      <c r="L316" s="25">
        <v>44566.60625</v>
      </c>
      <c r="M316" s="23"/>
      <c r="N316" s="23"/>
      <c r="O316" s="23"/>
      <c r="P316" s="23"/>
      <c r="Q316" s="22" t="s">
        <v>2869</v>
      </c>
      <c r="R316" s="22" t="s">
        <v>2870</v>
      </c>
      <c r="S316" s="22" t="s">
        <v>2871</v>
      </c>
      <c r="T316" s="22" t="s">
        <v>381</v>
      </c>
      <c r="U316" s="22" t="s">
        <v>2872</v>
      </c>
      <c r="V316" s="26" t="s">
        <v>284</v>
      </c>
      <c r="W316" s="27" t="s">
        <v>2873</v>
      </c>
      <c r="X316" s="26" t="s">
        <v>1923</v>
      </c>
      <c r="Y316" s="23"/>
      <c r="Z316" s="28"/>
      <c r="AA316" s="23"/>
      <c r="AB316" s="23" t="str">
        <f>IFERROR(__xludf.DUMMYFUNCTION("IF(
ISNUMBER(MATCH(
C316,
IMPORTRANGE(""https://docs.google.com/spreadsheets/d/1yTh1ELC33JHYOeEdgIiEclxPRyh0zOKtlawDltfUay8"",""'Champions'!A:A""),
0
)),
""Outreach Conducted"",
"""")"),"")</f>
        <v/>
      </c>
      <c r="AC316" s="23"/>
      <c r="AD316" s="23"/>
      <c r="AE316" s="23"/>
      <c r="AF316" s="23"/>
      <c r="AG316" s="23"/>
      <c r="AH316" s="23"/>
      <c r="AI316" s="23"/>
      <c r="AJ316" s="23"/>
      <c r="AK316" s="23"/>
      <c r="AL316" s="23"/>
    </row>
    <row r="317" hidden="1">
      <c r="A317" s="22" t="s">
        <v>2874</v>
      </c>
      <c r="B317" s="22" t="s">
        <v>2875</v>
      </c>
      <c r="C317" s="23" t="str">
        <f t="shared" si="1"/>
        <v>Quynh Giao Thi Tran</v>
      </c>
      <c r="D317" s="22">
        <v>5.623884762E9</v>
      </c>
      <c r="E317" s="29" t="s">
        <v>2876</v>
      </c>
      <c r="F317" s="22" t="s">
        <v>248</v>
      </c>
      <c r="G317" s="22">
        <v>65.0</v>
      </c>
      <c r="H317" s="22">
        <f t="array" ref="H317">IFERROR(INDEX('Hub CPC 226'!A:A, MATCH(C317, 'Hub CPC 226'!B:B, 0)), "")</f>
        <v>325</v>
      </c>
      <c r="I317" s="22">
        <f t="array" ref="I317">IFERROR(INDEX('Hub Users 226'!A:A, MATCH(C317, 'Hub Users 226'!B:B, 0)), "")</f>
        <v>344</v>
      </c>
      <c r="J317" s="22" t="s">
        <v>260</v>
      </c>
      <c r="K317" s="23" t="s">
        <v>2877</v>
      </c>
      <c r="L317" s="25">
        <v>43338.743055555555</v>
      </c>
      <c r="M317" s="23"/>
      <c r="N317" s="23"/>
      <c r="O317" s="23"/>
      <c r="P317" s="23"/>
      <c r="Q317" s="22" t="s">
        <v>2878</v>
      </c>
      <c r="R317" s="22"/>
      <c r="S317" s="22" t="s">
        <v>974</v>
      </c>
      <c r="T317" s="22" t="s">
        <v>252</v>
      </c>
      <c r="U317" s="22" t="s">
        <v>2879</v>
      </c>
      <c r="V317" s="26" t="s">
        <v>393</v>
      </c>
      <c r="W317" s="27" t="s">
        <v>2880</v>
      </c>
      <c r="X317" s="26" t="s">
        <v>781</v>
      </c>
      <c r="Y317" s="23"/>
      <c r="Z317" s="28"/>
      <c r="AA317" s="23"/>
      <c r="AB317" s="23" t="str">
        <f>IFERROR(__xludf.DUMMYFUNCTION("IF(
ISNUMBER(MATCH(
C317,
IMPORTRANGE(""https://docs.google.com/spreadsheets/d/1yTh1ELC33JHYOeEdgIiEclxPRyh0zOKtlawDltfUay8"",""'Champions'!A:A""),
0
)),
""Outreach Conducted"",
"""")"),"")</f>
        <v/>
      </c>
      <c r="AC317" s="23"/>
      <c r="AD317" s="23"/>
      <c r="AE317" s="23"/>
      <c r="AF317" s="23"/>
      <c r="AG317" s="23"/>
      <c r="AH317" s="23"/>
      <c r="AI317" s="23"/>
      <c r="AJ317" s="23"/>
      <c r="AK317" s="23"/>
      <c r="AL317" s="23"/>
    </row>
    <row r="318" hidden="1">
      <c r="A318" s="22" t="s">
        <v>2881</v>
      </c>
      <c r="B318" s="22" t="s">
        <v>2882</v>
      </c>
      <c r="C318" s="23" t="str">
        <f t="shared" si="1"/>
        <v>Rachel Dao</v>
      </c>
      <c r="D318" s="22">
        <v>1.9177567701E10</v>
      </c>
      <c r="E318" s="29" t="s">
        <v>2883</v>
      </c>
      <c r="F318" s="22" t="s">
        <v>248</v>
      </c>
      <c r="G318" s="22">
        <v>590.0</v>
      </c>
      <c r="H318" s="22">
        <f t="array" ref="H318">IFERROR(INDEX('Hub CPC 226'!A:A, MATCH(C318, 'Hub CPC 226'!B:B, 0)), "")</f>
        <v>326</v>
      </c>
      <c r="I318" s="22">
        <f t="array" ref="I318">IFERROR(INDEX('Hub Users 226'!A:A, MATCH(C318, 'Hub Users 226'!B:B, 0)), "")</f>
        <v>345</v>
      </c>
      <c r="J318" s="22" t="s">
        <v>302</v>
      </c>
      <c r="K318" s="23" t="s">
        <v>2884</v>
      </c>
      <c r="L318" s="25">
        <v>44569.95972222222</v>
      </c>
      <c r="M318" s="28"/>
      <c r="N318" s="28"/>
      <c r="O318" s="28"/>
      <c r="P318" s="31"/>
      <c r="Q318" s="22" t="s">
        <v>2885</v>
      </c>
      <c r="R318" s="22" t="s">
        <v>454</v>
      </c>
      <c r="S318" s="22" t="s">
        <v>2306</v>
      </c>
      <c r="T318" s="22" t="s">
        <v>272</v>
      </c>
      <c r="U318" s="22" t="s">
        <v>1568</v>
      </c>
      <c r="V318" s="23"/>
      <c r="W318" s="23"/>
      <c r="X318" s="23"/>
      <c r="Y318" s="23"/>
      <c r="Z318" s="28"/>
      <c r="AA318" s="23"/>
      <c r="AB318" s="23" t="str">
        <f>IFERROR(__xludf.DUMMYFUNCTION("IF(
ISNUMBER(MATCH(
C318,
IMPORTRANGE(""https://docs.google.com/spreadsheets/d/1yTh1ELC33JHYOeEdgIiEclxPRyh0zOKtlawDltfUay8"",""'Champions'!A:A""),
0
)),
""Outreach Conducted"",
"""")"),"")</f>
        <v/>
      </c>
      <c r="AC318" s="23"/>
      <c r="AD318" s="23"/>
      <c r="AE318" s="23"/>
      <c r="AF318" s="23"/>
      <c r="AG318" s="23"/>
      <c r="AH318" s="23"/>
      <c r="AI318" s="23"/>
      <c r="AJ318" s="23"/>
      <c r="AK318" s="23"/>
      <c r="AL318" s="23"/>
    </row>
    <row r="319" hidden="1">
      <c r="A319" s="22" t="s">
        <v>2886</v>
      </c>
      <c r="B319" s="22" t="s">
        <v>2887</v>
      </c>
      <c r="C319" s="23" t="str">
        <f t="shared" si="1"/>
        <v>Rajnarind Kaur</v>
      </c>
      <c r="D319" s="22" t="s">
        <v>2888</v>
      </c>
      <c r="E319" s="29" t="s">
        <v>2889</v>
      </c>
      <c r="F319" s="22" t="s">
        <v>248</v>
      </c>
      <c r="G319" s="22">
        <v>322.0</v>
      </c>
      <c r="H319" s="22">
        <f t="array" ref="H319">IFERROR(INDEX('Hub CPC 226'!A:A, MATCH(C319, 'Hub CPC 226'!B:B, 0)), "")</f>
        <v>328</v>
      </c>
      <c r="I319" s="22">
        <f t="array" ref="I319">IFERROR(INDEX('Hub Users 226'!A:A, MATCH(C319, 'Hub Users 226'!B:B, 0)), "")</f>
        <v>347</v>
      </c>
      <c r="J319" s="22" t="s">
        <v>260</v>
      </c>
      <c r="K319" s="23" t="s">
        <v>2890</v>
      </c>
      <c r="L319" s="25">
        <v>43936.06597222222</v>
      </c>
      <c r="M319" s="23"/>
      <c r="N319" s="23"/>
      <c r="O319" s="23"/>
      <c r="P319" s="23"/>
      <c r="Q319" s="22" t="s">
        <v>2891</v>
      </c>
      <c r="R319" s="22" t="s">
        <v>674</v>
      </c>
      <c r="S319" s="22" t="s">
        <v>2892</v>
      </c>
      <c r="T319" s="22" t="s">
        <v>241</v>
      </c>
      <c r="U319" s="22" t="s">
        <v>1762</v>
      </c>
      <c r="V319" s="26" t="s">
        <v>360</v>
      </c>
      <c r="W319" s="27" t="s">
        <v>2893</v>
      </c>
      <c r="X319" s="26" t="s">
        <v>2894</v>
      </c>
      <c r="Y319" s="23"/>
      <c r="Z319" s="28"/>
      <c r="AA319" s="23"/>
      <c r="AB319" s="23" t="str">
        <f>IFERROR(__xludf.DUMMYFUNCTION("IF(
ISNUMBER(MATCH(
C319,
IMPORTRANGE(""https://docs.google.com/spreadsheets/d/1yTh1ELC33JHYOeEdgIiEclxPRyh0zOKtlawDltfUay8"",""'Champions'!A:A""),
0
)),
""Outreach Conducted"",
"""")"),"")</f>
        <v/>
      </c>
      <c r="AC319" s="23"/>
      <c r="AD319" s="23"/>
      <c r="AE319" s="23"/>
      <c r="AF319" s="23"/>
      <c r="AG319" s="23"/>
      <c r="AH319" s="23"/>
      <c r="AI319" s="23"/>
      <c r="AJ319" s="23"/>
      <c r="AK319" s="23"/>
      <c r="AL319" s="23"/>
    </row>
    <row r="320" hidden="1">
      <c r="A320" s="22" t="s">
        <v>2895</v>
      </c>
      <c r="B320" s="22" t="s">
        <v>2896</v>
      </c>
      <c r="C320" s="23" t="str">
        <f t="shared" si="1"/>
        <v>Rashad Arps</v>
      </c>
      <c r="D320" s="22">
        <v>1.2146069338E10</v>
      </c>
      <c r="E320" s="29" t="s">
        <v>2897</v>
      </c>
      <c r="F320" s="22" t="s">
        <v>399</v>
      </c>
      <c r="G320" s="22">
        <v>710.0</v>
      </c>
      <c r="H320" s="22">
        <f t="array" ref="H320">IFERROR(INDEX('Hub CPC 226'!A:A, MATCH(C320, 'Hub CPC 226'!B:B, 0)), "")</f>
        <v>329</v>
      </c>
      <c r="I320" s="22">
        <f t="array" ref="I320">IFERROR(INDEX('Hub Users 226'!A:A, MATCH(C320, 'Hub Users 226'!B:B, 0)), "")</f>
        <v>348</v>
      </c>
      <c r="J320" s="22" t="s">
        <v>260</v>
      </c>
      <c r="K320" s="23" t="s">
        <v>2898</v>
      </c>
      <c r="L320" s="25">
        <v>45001.64513888889</v>
      </c>
      <c r="M320" s="23"/>
      <c r="N320" s="23"/>
      <c r="O320" s="23"/>
      <c r="P320" s="23"/>
      <c r="Q320" s="22" t="s">
        <v>2899</v>
      </c>
      <c r="R320" s="22" t="s">
        <v>2900</v>
      </c>
      <c r="S320" s="22" t="s">
        <v>2901</v>
      </c>
      <c r="T320" s="22" t="s">
        <v>465</v>
      </c>
      <c r="U320" s="22" t="s">
        <v>50</v>
      </c>
      <c r="V320" s="23"/>
      <c r="W320" s="23"/>
      <c r="X320" s="23"/>
      <c r="Y320" s="23"/>
      <c r="Z320" s="28"/>
      <c r="AA320" s="23"/>
      <c r="AB320" s="23" t="str">
        <f>IFERROR(__xludf.DUMMYFUNCTION("IF(
ISNUMBER(MATCH(
C320,
IMPORTRANGE(""https://docs.google.com/spreadsheets/d/1yTh1ELC33JHYOeEdgIiEclxPRyh0zOKtlawDltfUay8"",""'Champions'!A:A""),
0
)),
""Outreach Conducted"",
"""")"),"")</f>
        <v/>
      </c>
      <c r="AC320" s="23"/>
      <c r="AD320" s="23"/>
      <c r="AE320" s="23"/>
      <c r="AF320" s="23"/>
      <c r="AG320" s="23"/>
      <c r="AH320" s="23"/>
      <c r="AI320" s="23"/>
      <c r="AJ320" s="23"/>
      <c r="AK320" s="23"/>
      <c r="AL320" s="23"/>
    </row>
    <row r="321" hidden="1">
      <c r="A321" s="22" t="s">
        <v>2902</v>
      </c>
      <c r="B321" s="22" t="s">
        <v>2903</v>
      </c>
      <c r="C321" s="23" t="str">
        <f t="shared" si="1"/>
        <v>Renata Lozano Giral</v>
      </c>
      <c r="D321" s="22">
        <v>1.2029678993E10</v>
      </c>
      <c r="E321" s="29" t="s">
        <v>2904</v>
      </c>
      <c r="F321" s="22" t="s">
        <v>248</v>
      </c>
      <c r="G321" s="22">
        <v>537.0</v>
      </c>
      <c r="H321" s="22">
        <f t="array" ref="H321">IFERROR(INDEX('Hub CPC 226'!A:A, MATCH(C321, 'Hub CPC 226'!B:B, 0)), "")</f>
        <v>330</v>
      </c>
      <c r="I321" s="22">
        <f t="array" ref="I321">IFERROR(INDEX('Hub Users 226'!A:A, MATCH(C321, 'Hub Users 226'!B:B, 0)), "")</f>
        <v>349</v>
      </c>
      <c r="J321" s="22" t="s">
        <v>269</v>
      </c>
      <c r="K321" s="23" t="s">
        <v>2905</v>
      </c>
      <c r="L321" s="25">
        <v>44505.501388888886</v>
      </c>
      <c r="M321" s="23"/>
      <c r="N321" s="23"/>
      <c r="O321" s="23"/>
      <c r="P321" s="23"/>
      <c r="Q321" s="22" t="s">
        <v>2906</v>
      </c>
      <c r="R321" s="22" t="s">
        <v>2114</v>
      </c>
      <c r="S321" s="22" t="s">
        <v>1371</v>
      </c>
      <c r="T321" s="22" t="s">
        <v>1372</v>
      </c>
      <c r="U321" s="22" t="s">
        <v>2907</v>
      </c>
      <c r="V321" s="26" t="s">
        <v>507</v>
      </c>
      <c r="W321" s="27" t="s">
        <v>2908</v>
      </c>
      <c r="X321" s="26" t="s">
        <v>646</v>
      </c>
      <c r="Y321" s="23"/>
      <c r="Z321" s="28"/>
      <c r="AA321" s="23"/>
      <c r="AB321" s="23" t="str">
        <f>IFERROR(__xludf.DUMMYFUNCTION("IF(
ISNUMBER(MATCH(
C321,
IMPORTRANGE(""https://docs.google.com/spreadsheets/d/1yTh1ELC33JHYOeEdgIiEclxPRyh0zOKtlawDltfUay8"",""'Champions'!A:A""),
0
)),
""Outreach Conducted"",
"""")"),"")</f>
        <v/>
      </c>
      <c r="AC321" s="23"/>
      <c r="AD321" s="26" t="s">
        <v>448</v>
      </c>
      <c r="AE321" s="28" t="s">
        <v>705</v>
      </c>
      <c r="AF321" s="28" t="s">
        <v>449</v>
      </c>
      <c r="AG321" s="28" t="s">
        <v>706</v>
      </c>
      <c r="AH321" s="23"/>
      <c r="AI321" s="23"/>
      <c r="AJ321" s="23"/>
      <c r="AK321" s="23"/>
      <c r="AL321" s="23"/>
    </row>
    <row r="322" hidden="1">
      <c r="A322" s="22" t="s">
        <v>2909</v>
      </c>
      <c r="B322" s="22" t="s">
        <v>536</v>
      </c>
      <c r="C322" s="23" t="str">
        <f t="shared" si="1"/>
        <v>Vanessa Rodriguez</v>
      </c>
      <c r="D322" s="22">
        <v>1.6463512386E10</v>
      </c>
      <c r="E322" s="29" t="s">
        <v>2910</v>
      </c>
      <c r="F322" s="22" t="s">
        <v>248</v>
      </c>
      <c r="G322" s="22">
        <v>503.0</v>
      </c>
      <c r="H322" s="22">
        <f t="array" ref="H322">IFERROR(INDEX('Hub CPC 226'!A:A, MATCH(C322, 'Hub CPC 226'!B:B, 0)), "")</f>
        <v>331</v>
      </c>
      <c r="I322" s="22">
        <f t="array" ref="I322">IFERROR(INDEX('Hub Users 226'!A:A, MATCH(C322, 'Hub Users 226'!B:B, 0)), "")</f>
        <v>350</v>
      </c>
      <c r="J322" s="22" t="s">
        <v>1235</v>
      </c>
      <c r="K322" s="23" t="s">
        <v>2911</v>
      </c>
      <c r="L322" s="25">
        <v>44469.697222222225</v>
      </c>
      <c r="M322" s="23"/>
      <c r="N322" s="23"/>
      <c r="O322" s="23"/>
      <c r="P322" s="23"/>
      <c r="Q322" s="22" t="s">
        <v>2912</v>
      </c>
      <c r="R322" s="22" t="s">
        <v>2913</v>
      </c>
      <c r="S322" s="22" t="s">
        <v>2914</v>
      </c>
      <c r="T322" s="22" t="s">
        <v>841</v>
      </c>
      <c r="U322" s="22" t="s">
        <v>2915</v>
      </c>
      <c r="V322" s="26" t="s">
        <v>284</v>
      </c>
      <c r="W322" s="27" t="s">
        <v>2916</v>
      </c>
      <c r="X322" s="26" t="s">
        <v>619</v>
      </c>
      <c r="Y322" s="23"/>
      <c r="Z322" s="28"/>
      <c r="AA322" s="23"/>
      <c r="AB322" s="23" t="str">
        <f>IFERROR(__xludf.DUMMYFUNCTION("IF(
ISNUMBER(MATCH(
C322,
IMPORTRANGE(""https://docs.google.com/spreadsheets/d/1yTh1ELC33JHYOeEdgIiEclxPRyh0zOKtlawDltfUay8"",""'Champions'!A:A""),
0
)),
""Outreach Conducted"",
"""")"),"")</f>
        <v/>
      </c>
      <c r="AC322" s="23"/>
      <c r="AD322" s="23"/>
      <c r="AE322" s="23"/>
      <c r="AF322" s="23"/>
      <c r="AG322" s="23"/>
      <c r="AH322" s="23"/>
      <c r="AI322" s="23"/>
      <c r="AJ322" s="23"/>
      <c r="AK322" s="23"/>
      <c r="AL322" s="23"/>
    </row>
    <row r="323" hidden="1">
      <c r="A323" s="32" t="s">
        <v>2917</v>
      </c>
      <c r="B323" s="32" t="s">
        <v>2918</v>
      </c>
      <c r="C323" s="23" t="str">
        <f t="shared" si="1"/>
        <v>Rita Deo Barber</v>
      </c>
      <c r="D323" s="32" t="s">
        <v>2919</v>
      </c>
      <c r="E323" s="32" t="s">
        <v>2920</v>
      </c>
      <c r="F323" s="28" t="s">
        <v>769</v>
      </c>
      <c r="G323" s="32">
        <v>411.0</v>
      </c>
      <c r="H323" s="22">
        <f t="array" ref="H323">IFERROR(INDEX('Hub CPC 226'!A:A, MATCH(C323, 'Hub CPC 226'!B:B, 0)), "")</f>
        <v>332</v>
      </c>
      <c r="I323" s="22">
        <f t="array" ref="I323">IFERROR(INDEX('Hub Users 226'!A:A, MATCH(C323, 'Hub Users 226'!B:B, 0)), "")</f>
        <v>351</v>
      </c>
      <c r="J323" s="22"/>
      <c r="K323" s="28" t="s">
        <v>2921</v>
      </c>
      <c r="L323" s="37">
        <v>44200.794444444444</v>
      </c>
      <c r="M323" s="23"/>
      <c r="N323" s="23"/>
      <c r="O323" s="23"/>
      <c r="P323" s="23"/>
      <c r="Q323" s="32" t="s">
        <v>2922</v>
      </c>
      <c r="R323" s="32" t="s">
        <v>1689</v>
      </c>
      <c r="S323" s="32" t="s">
        <v>1689</v>
      </c>
      <c r="T323" s="22" t="s">
        <v>252</v>
      </c>
      <c r="U323" s="32" t="s">
        <v>1823</v>
      </c>
      <c r="V323" s="23"/>
      <c r="W323" s="23"/>
      <c r="X323" s="23"/>
      <c r="Y323" s="23"/>
      <c r="Z323" s="23"/>
      <c r="AA323" s="23"/>
      <c r="AB323" s="23" t="str">
        <f>IFERROR(__xludf.DUMMYFUNCTION("IF(
ISNUMBER(MATCH(
C323,
IMPORTRANGE(""https://docs.google.com/spreadsheets/d/1yTh1ELC33JHYOeEdgIiEclxPRyh0zOKtlawDltfUay8"",""'Champions'!A:A""),
0
)),
""Outreach Conducted"",
"""")"),"")</f>
        <v/>
      </c>
      <c r="AC323" s="23"/>
      <c r="AD323" s="23"/>
      <c r="AE323" s="23"/>
      <c r="AF323" s="23"/>
      <c r="AG323" s="23"/>
      <c r="AH323" s="23"/>
      <c r="AI323" s="23"/>
      <c r="AJ323" s="23"/>
      <c r="AK323" s="23"/>
      <c r="AL323" s="23"/>
    </row>
    <row r="324" hidden="1">
      <c r="A324" s="22" t="s">
        <v>2923</v>
      </c>
      <c r="B324" s="22" t="s">
        <v>2924</v>
      </c>
      <c r="C324" s="23" t="str">
        <f t="shared" si="1"/>
        <v>Ritika Naik</v>
      </c>
      <c r="D324" s="22" t="s">
        <v>2925</v>
      </c>
      <c r="E324" s="29" t="s">
        <v>2926</v>
      </c>
      <c r="F324" s="22" t="s">
        <v>248</v>
      </c>
      <c r="G324" s="22">
        <v>196.0</v>
      </c>
      <c r="H324" s="22">
        <f t="array" ref="H324">IFERROR(INDEX('Hub CPC 226'!A:A, MATCH(C324, 'Hub CPC 226'!B:B, 0)), "")</f>
        <v>333</v>
      </c>
      <c r="I324" s="22">
        <f t="array" ref="I324">IFERROR(INDEX('Hub Users 226'!A:A, MATCH(C324, 'Hub Users 226'!B:B, 0)), "")</f>
        <v>352</v>
      </c>
      <c r="J324" s="22" t="s">
        <v>240</v>
      </c>
      <c r="K324" s="23" t="s">
        <v>2927</v>
      </c>
      <c r="L324" s="25">
        <v>43592.274305555555</v>
      </c>
      <c r="M324" s="23"/>
      <c r="N324" s="23"/>
      <c r="O324" s="23"/>
      <c r="P324" s="23"/>
      <c r="Q324" s="22" t="s">
        <v>2928</v>
      </c>
      <c r="R324" s="22" t="s">
        <v>1895</v>
      </c>
      <c r="S324" s="22" t="s">
        <v>1895</v>
      </c>
      <c r="T324" s="22" t="s">
        <v>241</v>
      </c>
      <c r="U324" s="22" t="s">
        <v>2929</v>
      </c>
      <c r="V324" s="26" t="s">
        <v>2930</v>
      </c>
      <c r="W324" s="27" t="s">
        <v>2931</v>
      </c>
      <c r="X324" s="26" t="s">
        <v>2932</v>
      </c>
      <c r="Y324" s="23"/>
      <c r="Z324" s="28"/>
      <c r="AA324" s="23"/>
      <c r="AB324" s="23" t="str">
        <f>IFERROR(__xludf.DUMMYFUNCTION("IF(
ISNUMBER(MATCH(
C324,
IMPORTRANGE(""https://docs.google.com/spreadsheets/d/1yTh1ELC33JHYOeEdgIiEclxPRyh0zOKtlawDltfUay8"",""'Champions'!A:A""),
0
)),
""Outreach Conducted"",
"""")"),"Outreach Conducted")</f>
        <v>Outreach Conducted</v>
      </c>
      <c r="AC324" s="23"/>
      <c r="AD324" s="26" t="s">
        <v>2820</v>
      </c>
      <c r="AE324" s="28" t="s">
        <v>2933</v>
      </c>
      <c r="AF324" s="28" t="s">
        <v>449</v>
      </c>
      <c r="AG324" s="28" t="s">
        <v>2934</v>
      </c>
      <c r="AH324" s="23"/>
      <c r="AI324" s="23"/>
      <c r="AJ324" s="23"/>
      <c r="AK324" s="23"/>
      <c r="AL324" s="23"/>
    </row>
    <row r="325" hidden="1">
      <c r="A325" s="22" t="s">
        <v>2935</v>
      </c>
      <c r="B325" s="22" t="s">
        <v>2936</v>
      </c>
      <c r="C325" s="23" t="str">
        <f t="shared" si="1"/>
        <v>Kemi Shoyinka</v>
      </c>
      <c r="D325" s="22">
        <v>1.4843010057E10</v>
      </c>
      <c r="E325" s="29" t="s">
        <v>2937</v>
      </c>
      <c r="F325" s="22" t="s">
        <v>248</v>
      </c>
      <c r="G325" s="22">
        <v>574.0</v>
      </c>
      <c r="H325" s="22">
        <f t="array" ref="H325">IFERROR(INDEX('Hub CPC 226'!A:A, MATCH(C325, 'Hub CPC 226'!B:B, 0)), "")</f>
        <v>334</v>
      </c>
      <c r="I325" s="22">
        <f t="array" ref="I325">IFERROR(INDEX('Hub Users 226'!A:A, MATCH(C325, 'Hub Users 226'!B:B, 0)), "")</f>
        <v>353</v>
      </c>
      <c r="J325" s="22" t="s">
        <v>260</v>
      </c>
      <c r="K325" s="23" t="s">
        <v>2938</v>
      </c>
      <c r="L325" s="25">
        <v>44551.35555555556</v>
      </c>
      <c r="M325" s="23"/>
      <c r="N325" s="23"/>
      <c r="O325" s="23"/>
      <c r="P325" s="23"/>
      <c r="Q325" s="22" t="s">
        <v>2939</v>
      </c>
      <c r="R325" s="22" t="s">
        <v>2551</v>
      </c>
      <c r="S325" s="22" t="s">
        <v>2940</v>
      </c>
      <c r="T325" s="22" t="s">
        <v>381</v>
      </c>
      <c r="U325" s="22" t="s">
        <v>2941</v>
      </c>
      <c r="V325" s="26" t="s">
        <v>284</v>
      </c>
      <c r="W325" s="27" t="s">
        <v>2942</v>
      </c>
      <c r="X325" s="26" t="s">
        <v>457</v>
      </c>
      <c r="Y325" s="23"/>
      <c r="Z325" s="28"/>
      <c r="AA325" s="23"/>
      <c r="AB325" s="23" t="str">
        <f>IFERROR(__xludf.DUMMYFUNCTION("IF(
ISNUMBER(MATCH(
C325,
IMPORTRANGE(""https://docs.google.com/spreadsheets/d/1yTh1ELC33JHYOeEdgIiEclxPRyh0zOKtlawDltfUay8"",""'Champions'!A:A""),
0
)),
""Outreach Conducted"",
"""")"),"")</f>
        <v/>
      </c>
      <c r="AC325" s="23"/>
      <c r="AD325" s="23"/>
      <c r="AE325" s="23"/>
      <c r="AF325" s="23"/>
      <c r="AG325" s="23"/>
      <c r="AH325" s="23"/>
      <c r="AI325" s="23"/>
      <c r="AJ325" s="23"/>
      <c r="AK325" s="23"/>
      <c r="AL325" s="23"/>
    </row>
    <row r="326" hidden="1">
      <c r="A326" s="22" t="s">
        <v>2943</v>
      </c>
      <c r="B326" s="22" t="s">
        <v>2944</v>
      </c>
      <c r="C326" s="23" t="str">
        <f t="shared" si="1"/>
        <v>Romina Tome</v>
      </c>
      <c r="D326" s="22">
        <v>1.2029040493E10</v>
      </c>
      <c r="E326" s="29" t="s">
        <v>2945</v>
      </c>
      <c r="F326" s="22" t="s">
        <v>248</v>
      </c>
      <c r="G326" s="22">
        <v>477.0</v>
      </c>
      <c r="H326" s="22">
        <f t="array" ref="H326">IFERROR(INDEX('Hub CPC 226'!A:A, MATCH(C326, 'Hub CPC 226'!B:B, 0)), "")</f>
        <v>335</v>
      </c>
      <c r="I326" s="22">
        <f t="array" ref="I326">IFERROR(INDEX('Hub Users 226'!A:A, MATCH(C326, 'Hub Users 226'!B:B, 0)), "")</f>
        <v>354</v>
      </c>
      <c r="J326" s="22" t="s">
        <v>290</v>
      </c>
      <c r="K326" s="28" t="s">
        <v>2946</v>
      </c>
      <c r="L326" s="25">
        <v>44356.41180555556</v>
      </c>
      <c r="M326" s="23"/>
      <c r="N326" s="23"/>
      <c r="O326" s="23"/>
      <c r="P326" s="23"/>
      <c r="Q326" s="22" t="s">
        <v>2947</v>
      </c>
      <c r="R326" s="22" t="s">
        <v>1784</v>
      </c>
      <c r="S326" s="22" t="s">
        <v>1785</v>
      </c>
      <c r="T326" s="22" t="s">
        <v>813</v>
      </c>
      <c r="U326" s="22" t="s">
        <v>2948</v>
      </c>
      <c r="V326" s="26" t="s">
        <v>2837</v>
      </c>
      <c r="W326" s="27" t="s">
        <v>2949</v>
      </c>
      <c r="X326" s="26" t="s">
        <v>2950</v>
      </c>
      <c r="Y326" s="23"/>
      <c r="Z326" s="28"/>
      <c r="AA326" s="23"/>
      <c r="AB326" s="23" t="str">
        <f>IFERROR(__xludf.DUMMYFUNCTION("IF(
ISNUMBER(MATCH(
C326,
IMPORTRANGE(""https://docs.google.com/spreadsheets/d/1yTh1ELC33JHYOeEdgIiEclxPRyh0zOKtlawDltfUay8"",""'Champions'!A:A""),
0
)),
""Outreach Conducted"",
"""")"),"")</f>
        <v/>
      </c>
      <c r="AC326" s="23"/>
      <c r="AD326" s="23"/>
      <c r="AE326" s="23"/>
      <c r="AF326" s="23"/>
      <c r="AG326" s="23"/>
      <c r="AH326" s="23"/>
      <c r="AI326" s="23"/>
      <c r="AJ326" s="23"/>
      <c r="AK326" s="23"/>
      <c r="AL326" s="23"/>
    </row>
    <row r="327" hidden="1">
      <c r="A327" s="22" t="s">
        <v>2951</v>
      </c>
      <c r="B327" s="22" t="s">
        <v>2952</v>
      </c>
      <c r="C327" s="23" t="str">
        <f t="shared" si="1"/>
        <v>Roopa Kohli</v>
      </c>
      <c r="D327" s="22" t="s">
        <v>2953</v>
      </c>
      <c r="E327" s="29" t="s">
        <v>2954</v>
      </c>
      <c r="F327" s="22" t="s">
        <v>248</v>
      </c>
      <c r="G327" s="22">
        <v>32.0</v>
      </c>
      <c r="H327" s="22">
        <f t="array" ref="H327">IFERROR(INDEX('Hub CPC 226'!A:A, MATCH(C327, 'Hub CPC 226'!B:B, 0)), "")</f>
        <v>336</v>
      </c>
      <c r="I327" s="22">
        <f t="array" ref="I327">IFERROR(INDEX('Hub Users 226'!A:A, MATCH(C327, 'Hub Users 226'!B:B, 0)), "")</f>
        <v>355</v>
      </c>
      <c r="J327" s="22" t="s">
        <v>260</v>
      </c>
      <c r="K327" s="28" t="s">
        <v>2955</v>
      </c>
      <c r="L327" s="25">
        <v>43338.743055555555</v>
      </c>
      <c r="M327" s="23"/>
      <c r="N327" s="23"/>
      <c r="O327" s="23"/>
      <c r="P327" s="23"/>
      <c r="Q327" s="22" t="s">
        <v>2956</v>
      </c>
      <c r="R327" s="22" t="s">
        <v>700</v>
      </c>
      <c r="S327" s="22" t="s">
        <v>1912</v>
      </c>
      <c r="T327" s="22" t="s">
        <v>252</v>
      </c>
      <c r="U327" s="22" t="s">
        <v>2957</v>
      </c>
      <c r="V327" s="26" t="s">
        <v>242</v>
      </c>
      <c r="W327" s="27" t="s">
        <v>2958</v>
      </c>
      <c r="X327" s="26" t="s">
        <v>629</v>
      </c>
      <c r="Y327" s="23"/>
      <c r="Z327" s="28"/>
      <c r="AA327" s="23"/>
      <c r="AB327" s="23" t="str">
        <f>IFERROR(__xludf.DUMMYFUNCTION("IF(
ISNUMBER(MATCH(
C327,
IMPORTRANGE(""https://docs.google.com/spreadsheets/d/1yTh1ELC33JHYOeEdgIiEclxPRyh0zOKtlawDltfUay8"",""'Champions'!A:A""),
0
)),
""Outreach Conducted"",
"""")"),"")</f>
        <v/>
      </c>
      <c r="AC327" s="23"/>
      <c r="AD327" s="23"/>
      <c r="AE327" s="23"/>
      <c r="AF327" s="23"/>
      <c r="AG327" s="23"/>
      <c r="AH327" s="23"/>
      <c r="AI327" s="23"/>
      <c r="AJ327" s="23"/>
      <c r="AK327" s="23"/>
      <c r="AL327" s="23"/>
    </row>
    <row r="328" hidden="1">
      <c r="A328" s="22" t="s">
        <v>2959</v>
      </c>
      <c r="B328" s="22" t="s">
        <v>2960</v>
      </c>
      <c r="C328" s="23" t="str">
        <f t="shared" si="1"/>
        <v>Rosie Chu</v>
      </c>
      <c r="D328" s="22">
        <v>5.107893012E9</v>
      </c>
      <c r="E328" s="29" t="s">
        <v>2961</v>
      </c>
      <c r="F328" s="22" t="s">
        <v>248</v>
      </c>
      <c r="G328" s="22">
        <v>722.0</v>
      </c>
      <c r="H328" s="22">
        <f t="array" ref="H328">IFERROR(INDEX('Hub CPC 226'!A:A, MATCH(C328, 'Hub CPC 226'!B:B, 0)), "")</f>
        <v>337</v>
      </c>
      <c r="I328" s="22">
        <f t="array" ref="I328">IFERROR(INDEX('Hub Users 226'!A:A, MATCH(C328, 'Hub Users 226'!B:B, 0)), "")</f>
        <v>356</v>
      </c>
      <c r="J328" s="22" t="s">
        <v>260</v>
      </c>
      <c r="K328" s="23" t="s">
        <v>2962</v>
      </c>
      <c r="L328" s="25">
        <v>45030.88263888889</v>
      </c>
      <c r="M328" s="23"/>
      <c r="N328" s="23"/>
      <c r="O328" s="23"/>
      <c r="P328" s="23"/>
      <c r="Q328" s="22" t="s">
        <v>2963</v>
      </c>
      <c r="R328" s="22"/>
      <c r="S328" s="22" t="s">
        <v>2964</v>
      </c>
      <c r="T328" s="22" t="s">
        <v>252</v>
      </c>
      <c r="U328" s="22" t="s">
        <v>2965</v>
      </c>
      <c r="V328" s="26" t="s">
        <v>475</v>
      </c>
      <c r="W328" s="27" t="s">
        <v>2966</v>
      </c>
      <c r="X328" s="26" t="s">
        <v>704</v>
      </c>
      <c r="Y328" s="23"/>
      <c r="Z328" s="28"/>
      <c r="AA328" s="23"/>
      <c r="AB328" s="23" t="str">
        <f>IFERROR(__xludf.DUMMYFUNCTION("IF(
ISNUMBER(MATCH(
C328,
IMPORTRANGE(""https://docs.google.com/spreadsheets/d/1yTh1ELC33JHYOeEdgIiEclxPRyh0zOKtlawDltfUay8"",""'Champions'!A:A""),
0
)),
""Outreach Conducted"",
"""")"),"")</f>
        <v/>
      </c>
      <c r="AC328" s="23"/>
      <c r="AD328" s="23"/>
      <c r="AE328" s="23"/>
      <c r="AF328" s="23"/>
      <c r="AG328" s="23"/>
      <c r="AH328" s="23"/>
      <c r="AI328" s="23"/>
      <c r="AJ328" s="23"/>
      <c r="AK328" s="23"/>
      <c r="AL328" s="23"/>
    </row>
    <row r="329" hidden="1">
      <c r="A329" s="32" t="s">
        <v>2967</v>
      </c>
      <c r="B329" s="32" t="s">
        <v>2968</v>
      </c>
      <c r="C329" s="23" t="str">
        <f t="shared" si="1"/>
        <v>ROUSSOSS DEMISSE</v>
      </c>
      <c r="D329" s="32" t="s">
        <v>2969</v>
      </c>
      <c r="E329" s="32" t="s">
        <v>2970</v>
      </c>
      <c r="F329" s="28" t="s">
        <v>769</v>
      </c>
      <c r="G329" s="32">
        <v>588.0</v>
      </c>
      <c r="H329" s="22">
        <f t="array" ref="H329">IFERROR(INDEX('Hub CPC 226'!A:A, MATCH(C329, 'Hub CPC 226'!B:B, 0)), "")</f>
        <v>338</v>
      </c>
      <c r="I329" s="22">
        <f t="array" ref="I329">IFERROR(INDEX('Hub Users 226'!A:A, MATCH(C329, 'Hub Users 226'!B:B, 0)), "")</f>
        <v>357</v>
      </c>
      <c r="J329" s="22"/>
      <c r="K329" s="23" t="s">
        <v>2971</v>
      </c>
      <c r="L329" s="37">
        <v>44568.87847222222</v>
      </c>
      <c r="M329" s="23"/>
      <c r="N329" s="23"/>
      <c r="O329" s="23"/>
      <c r="P329" s="23"/>
      <c r="Q329" s="32" t="s">
        <v>2972</v>
      </c>
      <c r="R329" s="32" t="s">
        <v>2973</v>
      </c>
      <c r="S329" s="24"/>
      <c r="T329" s="24"/>
      <c r="U329" s="32" t="s">
        <v>2974</v>
      </c>
      <c r="V329" s="23"/>
      <c r="W329" s="23"/>
      <c r="X329" s="23"/>
      <c r="Y329" s="23"/>
      <c r="Z329" s="23"/>
      <c r="AA329" s="23"/>
      <c r="AB329" s="23" t="str">
        <f>IFERROR(__xludf.DUMMYFUNCTION("IF(
ISNUMBER(MATCH(
C329,
IMPORTRANGE(""https://docs.google.com/spreadsheets/d/1yTh1ELC33JHYOeEdgIiEclxPRyh0zOKtlawDltfUay8"",""'Champions'!A:A""),
0
)),
""Outreach Conducted"",
"""")"),"")</f>
        <v/>
      </c>
      <c r="AC329" s="23"/>
      <c r="AD329" s="23"/>
      <c r="AE329" s="23"/>
      <c r="AF329" s="23"/>
      <c r="AG329" s="23"/>
      <c r="AH329" s="23"/>
      <c r="AI329" s="23"/>
      <c r="AJ329" s="23"/>
      <c r="AK329" s="23"/>
      <c r="AL329" s="23"/>
    </row>
    <row r="330" hidden="1">
      <c r="A330" s="22" t="s">
        <v>2975</v>
      </c>
      <c r="B330" s="22" t="s">
        <v>2976</v>
      </c>
      <c r="C330" s="23" t="str">
        <f t="shared" si="1"/>
        <v>Ryane Montanez</v>
      </c>
      <c r="D330" s="22">
        <v>1.9178658316E10</v>
      </c>
      <c r="E330" s="29" t="s">
        <v>2977</v>
      </c>
      <c r="F330" s="22" t="s">
        <v>248</v>
      </c>
      <c r="G330" s="22">
        <v>627.0</v>
      </c>
      <c r="H330" s="22">
        <f t="array" ref="H330">IFERROR(INDEX('Hub CPC 226'!A:A, MATCH(C330, 'Hub CPC 226'!B:B, 0)), "")</f>
        <v>339</v>
      </c>
      <c r="I330" s="22">
        <f t="array" ref="I330">IFERROR(INDEX('Hub Users 226'!A:A, MATCH(C330, 'Hub Users 226'!B:B, 0)), "")</f>
        <v>358</v>
      </c>
      <c r="J330" s="22" t="s">
        <v>407</v>
      </c>
      <c r="K330" s="23" t="s">
        <v>2978</v>
      </c>
      <c r="L330" s="25">
        <v>44626.67638888889</v>
      </c>
      <c r="M330" s="28">
        <v>10.0</v>
      </c>
      <c r="N330" s="28">
        <v>26.0</v>
      </c>
      <c r="O330" s="28">
        <v>52.0</v>
      </c>
      <c r="P330" s="32">
        <v>33.0</v>
      </c>
      <c r="Q330" s="22" t="s">
        <v>2979</v>
      </c>
      <c r="R330" s="22" t="s">
        <v>634</v>
      </c>
      <c r="S330" s="22" t="s">
        <v>294</v>
      </c>
      <c r="T330" s="22" t="s">
        <v>272</v>
      </c>
      <c r="U330" s="22" t="s">
        <v>2980</v>
      </c>
      <c r="V330" s="26" t="s">
        <v>884</v>
      </c>
      <c r="W330" s="27" t="s">
        <v>2981</v>
      </c>
      <c r="X330" s="26" t="s">
        <v>2982</v>
      </c>
      <c r="Y330" s="23"/>
      <c r="Z330" s="28"/>
      <c r="AA330" s="23"/>
      <c r="AB330" s="23" t="str">
        <f>IFERROR(__xludf.DUMMYFUNCTION("IF(
ISNUMBER(MATCH(
C330,
IMPORTRANGE(""https://docs.google.com/spreadsheets/d/1yTh1ELC33JHYOeEdgIiEclxPRyh0zOKtlawDltfUay8"",""'Champions'!A:A""),
0
)),
""Outreach Conducted"",
"""")"),"")</f>
        <v/>
      </c>
      <c r="AC330" s="23"/>
      <c r="AD330" s="23"/>
      <c r="AE330" s="23"/>
      <c r="AF330" s="23"/>
      <c r="AG330" s="23"/>
      <c r="AH330" s="23"/>
      <c r="AI330" s="23"/>
      <c r="AJ330" s="23"/>
      <c r="AK330" s="23"/>
      <c r="AL330" s="23"/>
    </row>
    <row r="331" hidden="1">
      <c r="A331" s="22" t="s">
        <v>2983</v>
      </c>
      <c r="B331" s="22" t="s">
        <v>2984</v>
      </c>
      <c r="C331" s="23" t="str">
        <f t="shared" si="1"/>
        <v>Simone Lavery</v>
      </c>
      <c r="D331" s="24"/>
      <c r="E331" s="29" t="s">
        <v>2985</v>
      </c>
      <c r="F331" s="22" t="s">
        <v>238</v>
      </c>
      <c r="G331" s="22">
        <v>661.0</v>
      </c>
      <c r="H331" s="22">
        <f t="array" ref="H331">IFERROR(INDEX('Hub CPC 226'!A:A, MATCH(C331, 'Hub CPC 226'!B:B, 0)), "")</f>
        <v>340</v>
      </c>
      <c r="I331" s="22">
        <f t="array" ref="I331">IFERROR(INDEX('Hub Users 226'!A:A, MATCH(C331, 'Hub Users 226'!B:B, 0)), "")</f>
        <v>359</v>
      </c>
      <c r="J331" s="22" t="s">
        <v>290</v>
      </c>
      <c r="K331" s="23" t="s">
        <v>2986</v>
      </c>
      <c r="L331" s="25">
        <v>44780.29652777778</v>
      </c>
      <c r="M331" s="23"/>
      <c r="N331" s="23"/>
      <c r="O331" s="23"/>
      <c r="P331" s="23"/>
      <c r="Q331" s="24"/>
      <c r="R331" s="22" t="s">
        <v>2870</v>
      </c>
      <c r="S331" s="22" t="s">
        <v>2871</v>
      </c>
      <c r="T331" s="22" t="s">
        <v>381</v>
      </c>
      <c r="U331" s="22" t="s">
        <v>2987</v>
      </c>
      <c r="V331" s="23"/>
      <c r="W331" s="23"/>
      <c r="X331" s="23"/>
      <c r="Y331" s="23"/>
      <c r="Z331" s="28"/>
      <c r="AA331" s="23"/>
      <c r="AB331" s="23" t="str">
        <f>IFERROR(__xludf.DUMMYFUNCTION("IF(
ISNUMBER(MATCH(
C331,
IMPORTRANGE(""https://docs.google.com/spreadsheets/d/1yTh1ELC33JHYOeEdgIiEclxPRyh0zOKtlawDltfUay8"",""'Champions'!A:A""),
0
)),
""Outreach Conducted"",
"""")"),"")</f>
        <v/>
      </c>
      <c r="AC331" s="23"/>
      <c r="AD331" s="23"/>
      <c r="AE331" s="23"/>
      <c r="AF331" s="23"/>
      <c r="AG331" s="23"/>
      <c r="AH331" s="23"/>
      <c r="AI331" s="23"/>
      <c r="AJ331" s="23"/>
      <c r="AK331" s="23"/>
      <c r="AL331" s="23"/>
    </row>
    <row r="332" hidden="1">
      <c r="A332" s="32" t="s">
        <v>2988</v>
      </c>
      <c r="B332" s="32" t="s">
        <v>2989</v>
      </c>
      <c r="C332" s="23" t="str">
        <f t="shared" si="1"/>
        <v>Hafeeja (Hafiza) Jameela Stratton</v>
      </c>
      <c r="D332" s="32" t="s">
        <v>2990</v>
      </c>
      <c r="E332" s="32" t="s">
        <v>2991</v>
      </c>
      <c r="F332" s="28" t="s">
        <v>769</v>
      </c>
      <c r="G332" s="32">
        <v>56.0</v>
      </c>
      <c r="H332" s="22">
        <f t="array" ref="H332">IFERROR(INDEX('Hub CPC 226'!A:A, MATCH(C332, 'Hub CPC 226'!B:B, 0)), "")</f>
        <v>341</v>
      </c>
      <c r="I332" s="22">
        <f t="array" ref="I332">IFERROR(INDEX('Hub Users 226'!A:A, MATCH(C332, 'Hub Users 226'!B:B, 0)), "")</f>
        <v>360</v>
      </c>
      <c r="J332" s="22"/>
      <c r="K332" s="23" t="s">
        <v>2992</v>
      </c>
      <c r="L332" s="37">
        <v>43338.743055555555</v>
      </c>
      <c r="M332" s="23"/>
      <c r="N332" s="23"/>
      <c r="O332" s="23"/>
      <c r="P332" s="23"/>
      <c r="Q332" s="32" t="s">
        <v>2993</v>
      </c>
      <c r="R332" s="32" t="s">
        <v>282</v>
      </c>
      <c r="S332" s="32" t="s">
        <v>282</v>
      </c>
      <c r="T332" s="22" t="s">
        <v>252</v>
      </c>
      <c r="U332" s="32" t="s">
        <v>2994</v>
      </c>
      <c r="V332" s="23"/>
      <c r="W332" s="23"/>
      <c r="X332" s="23"/>
      <c r="Y332" s="23"/>
      <c r="Z332" s="23"/>
      <c r="AA332" s="23"/>
      <c r="AB332" s="23" t="str">
        <f>IFERROR(__xludf.DUMMYFUNCTION("IF(
ISNUMBER(MATCH(
C332,
IMPORTRANGE(""https://docs.google.com/spreadsheets/d/1yTh1ELC33JHYOeEdgIiEclxPRyh0zOKtlawDltfUay8"",""'Champions'!A:A""),
0
)),
""Outreach Conducted"",
"""")"),"")</f>
        <v/>
      </c>
      <c r="AC332" s="23"/>
      <c r="AD332" s="23"/>
      <c r="AE332" s="23"/>
      <c r="AF332" s="23"/>
      <c r="AG332" s="23"/>
      <c r="AH332" s="23"/>
      <c r="AI332" s="23"/>
      <c r="AJ332" s="23"/>
      <c r="AK332" s="23"/>
      <c r="AL332" s="23"/>
    </row>
    <row r="333" hidden="1">
      <c r="A333" s="32" t="s">
        <v>2995</v>
      </c>
      <c r="B333" s="32" t="s">
        <v>2996</v>
      </c>
      <c r="C333" s="23" t="str">
        <f t="shared" si="1"/>
        <v>Sam McConnell</v>
      </c>
      <c r="D333" s="32" t="s">
        <v>2997</v>
      </c>
      <c r="E333" s="32" t="s">
        <v>2998</v>
      </c>
      <c r="F333" s="28" t="s">
        <v>769</v>
      </c>
      <c r="G333" s="32">
        <v>459.0</v>
      </c>
      <c r="H333" s="22">
        <f t="array" ref="H333">IFERROR(INDEX('Hub CPC 226'!A:A, MATCH(C333, 'Hub CPC 226'!B:B, 0)), "")</f>
        <v>342</v>
      </c>
      <c r="I333" s="22">
        <f t="array" ref="I333">IFERROR(INDEX('Hub Users 226'!A:A, MATCH(C333, 'Hub Users 226'!B:B, 0)), "")</f>
        <v>361</v>
      </c>
      <c r="J333" s="22"/>
      <c r="K333" s="23" t="s">
        <v>2999</v>
      </c>
      <c r="L333" s="37">
        <v>44265.856944444444</v>
      </c>
      <c r="M333" s="23"/>
      <c r="N333" s="23"/>
      <c r="O333" s="23"/>
      <c r="P333" s="23"/>
      <c r="Q333" s="32" t="s">
        <v>3000</v>
      </c>
      <c r="R333" s="32" t="s">
        <v>974</v>
      </c>
      <c r="S333" s="32" t="s">
        <v>974</v>
      </c>
      <c r="T333" s="22" t="s">
        <v>252</v>
      </c>
      <c r="U333" s="32" t="s">
        <v>3001</v>
      </c>
      <c r="V333" s="26" t="s">
        <v>360</v>
      </c>
      <c r="W333" s="27" t="s">
        <v>3002</v>
      </c>
      <c r="X333" s="26" t="s">
        <v>1570</v>
      </c>
      <c r="Y333" s="23"/>
      <c r="Z333" s="23"/>
      <c r="AA333" s="23"/>
      <c r="AB333" s="23" t="str">
        <f>IFERROR(__xludf.DUMMYFUNCTION("IF(
ISNUMBER(MATCH(
C333,
IMPORTRANGE(""https://docs.google.com/spreadsheets/d/1yTh1ELC33JHYOeEdgIiEclxPRyh0zOKtlawDltfUay8"",""'Champions'!A:A""),
0
)),
""Outreach Conducted"",
"""")"),"")</f>
        <v/>
      </c>
      <c r="AC333" s="23"/>
      <c r="AD333" s="23"/>
      <c r="AE333" s="23"/>
      <c r="AF333" s="23"/>
      <c r="AG333" s="23"/>
      <c r="AH333" s="23"/>
      <c r="AI333" s="23"/>
      <c r="AJ333" s="23"/>
      <c r="AK333" s="23"/>
      <c r="AL333" s="23"/>
    </row>
    <row r="334" hidden="1">
      <c r="A334" s="22" t="s">
        <v>3003</v>
      </c>
      <c r="B334" s="22" t="s">
        <v>3004</v>
      </c>
      <c r="C334" s="23" t="str">
        <f t="shared" si="1"/>
        <v>Samar Deen</v>
      </c>
      <c r="D334" s="22">
        <v>1.60779342E10</v>
      </c>
      <c r="E334" s="29" t="s">
        <v>3005</v>
      </c>
      <c r="F334" s="22" t="s">
        <v>248</v>
      </c>
      <c r="G334" s="22">
        <v>505.0</v>
      </c>
      <c r="H334" s="22">
        <f t="array" ref="H334">IFERROR(INDEX('Hub CPC 226'!A:A, MATCH(C334, 'Hub CPC 226'!B:B, 0)), "")</f>
        <v>343</v>
      </c>
      <c r="I334" s="22">
        <f t="array" ref="I334">IFERROR(INDEX('Hub Users 226'!A:A, MATCH(C334, 'Hub Users 226'!B:B, 0)), "")</f>
        <v>362</v>
      </c>
      <c r="J334" s="22" t="s">
        <v>425</v>
      </c>
      <c r="K334" s="23" t="s">
        <v>3006</v>
      </c>
      <c r="L334" s="25">
        <v>44474.649305555555</v>
      </c>
      <c r="M334" s="28"/>
      <c r="N334" s="28"/>
      <c r="O334" s="28"/>
      <c r="P334" s="32">
        <v>33.0</v>
      </c>
      <c r="Q334" s="22" t="s">
        <v>3007</v>
      </c>
      <c r="R334" s="22" t="s">
        <v>454</v>
      </c>
      <c r="S334" s="22" t="s">
        <v>271</v>
      </c>
      <c r="T334" s="22" t="s">
        <v>272</v>
      </c>
      <c r="U334" s="22" t="s">
        <v>3008</v>
      </c>
      <c r="V334" s="26" t="s">
        <v>3009</v>
      </c>
      <c r="W334" s="27" t="s">
        <v>3010</v>
      </c>
      <c r="X334" s="26" t="s">
        <v>3011</v>
      </c>
      <c r="Y334" s="23"/>
      <c r="Z334" s="28"/>
      <c r="AA334" s="23"/>
      <c r="AB334" s="23" t="str">
        <f>IFERROR(__xludf.DUMMYFUNCTION("IF(
ISNUMBER(MATCH(
C334,
IMPORTRANGE(""https://docs.google.com/spreadsheets/d/1yTh1ELC33JHYOeEdgIiEclxPRyh0zOKtlawDltfUay8"",""'Champions'!A:A""),
0
)),
""Outreach Conducted"",
"""")"),"")</f>
        <v/>
      </c>
      <c r="AC334" s="23"/>
      <c r="AD334" s="26" t="s">
        <v>448</v>
      </c>
      <c r="AE334" s="28" t="s">
        <v>1924</v>
      </c>
      <c r="AF334" s="28" t="s">
        <v>449</v>
      </c>
      <c r="AG334" s="28" t="s">
        <v>706</v>
      </c>
      <c r="AH334" s="23"/>
      <c r="AI334" s="23"/>
      <c r="AJ334" s="23"/>
      <c r="AK334" s="23"/>
      <c r="AL334" s="23"/>
    </row>
    <row r="335" hidden="1">
      <c r="A335" s="22" t="s">
        <v>3012</v>
      </c>
      <c r="B335" s="22" t="s">
        <v>237</v>
      </c>
      <c r="C335" s="23" t="str">
        <f t="shared" si="1"/>
        <v>Sahabia Ahmed</v>
      </c>
      <c r="D335" s="22">
        <v>7.134491046E9</v>
      </c>
      <c r="E335" s="29" t="s">
        <v>3013</v>
      </c>
      <c r="F335" s="22" t="s">
        <v>248</v>
      </c>
      <c r="G335" s="22">
        <v>326.0</v>
      </c>
      <c r="H335" s="22" t="str">
        <f t="array" ref="H335">IFERROR(INDEX('Hub CPC 226'!A:A, MATCH(C335, 'Hub CPC 226'!B:B, 0)), "")</f>
        <v/>
      </c>
      <c r="I335" s="22">
        <f t="array" ref="I335">IFERROR(INDEX('Hub Users 226'!A:A, MATCH(C335, 'Hub Users 226'!B:B, 0)), "")</f>
        <v>363</v>
      </c>
      <c r="J335" s="22" t="s">
        <v>425</v>
      </c>
      <c r="K335" s="23" t="s">
        <v>3014</v>
      </c>
      <c r="L335" s="25">
        <v>43984.009722222225</v>
      </c>
      <c r="M335" s="23"/>
      <c r="N335" s="23"/>
      <c r="O335" s="23"/>
      <c r="P335" s="23"/>
      <c r="Q335" s="22" t="s">
        <v>3015</v>
      </c>
      <c r="R335" s="22" t="s">
        <v>2023</v>
      </c>
      <c r="S335" s="22" t="s">
        <v>2023</v>
      </c>
      <c r="T335" s="22" t="s">
        <v>465</v>
      </c>
      <c r="U335" s="22" t="s">
        <v>3016</v>
      </c>
      <c r="V335" s="26" t="s">
        <v>798</v>
      </c>
      <c r="W335" s="27" t="s">
        <v>3017</v>
      </c>
      <c r="X335" s="26" t="s">
        <v>3018</v>
      </c>
      <c r="Y335" s="23"/>
      <c r="Z335" s="28"/>
      <c r="AA335" s="23"/>
      <c r="AB335" s="23" t="str">
        <f>IFERROR(__xludf.DUMMYFUNCTION("IF(
ISNUMBER(MATCH(
C335,
IMPORTRANGE(""https://docs.google.com/spreadsheets/d/1yTh1ELC33JHYOeEdgIiEclxPRyh0zOKtlawDltfUay8"",""'Champions'!A:A""),
0
)),
""Outreach Conducted"",
"""")"),"")</f>
        <v/>
      </c>
      <c r="AC335" s="23"/>
      <c r="AD335" s="23"/>
      <c r="AE335" s="23"/>
      <c r="AF335" s="23"/>
      <c r="AG335" s="23"/>
      <c r="AH335" s="23"/>
      <c r="AI335" s="23"/>
      <c r="AJ335" s="23"/>
      <c r="AK335" s="23"/>
      <c r="AL335" s="23"/>
    </row>
    <row r="336" hidden="1">
      <c r="A336" s="22" t="s">
        <v>3019</v>
      </c>
      <c r="B336" s="22" t="s">
        <v>3020</v>
      </c>
      <c r="C336" s="23" t="str">
        <f t="shared" si="1"/>
        <v>Saima Malik</v>
      </c>
      <c r="D336" s="22">
        <v>1.2023021216E10</v>
      </c>
      <c r="E336" s="29" t="s">
        <v>3021</v>
      </c>
      <c r="F336" s="22" t="s">
        <v>248</v>
      </c>
      <c r="G336" s="22">
        <v>606.0</v>
      </c>
      <c r="H336" s="22">
        <f t="array" ref="H336">IFERROR(INDEX('Hub CPC 226'!A:A, MATCH(C336, 'Hub CPC 226'!B:B, 0)), "")</f>
        <v>345</v>
      </c>
      <c r="I336" s="22">
        <f t="array" ref="I336">IFERROR(INDEX('Hub Users 226'!A:A, MATCH(C336, 'Hub Users 226'!B:B, 0)), "")</f>
        <v>364</v>
      </c>
      <c r="J336" s="22" t="s">
        <v>302</v>
      </c>
      <c r="K336" s="23" t="s">
        <v>3022</v>
      </c>
      <c r="L336" s="25">
        <v>44584.87708333333</v>
      </c>
      <c r="M336" s="23"/>
      <c r="N336" s="23"/>
      <c r="O336" s="23"/>
      <c r="P336" s="23"/>
      <c r="Q336" s="22" t="s">
        <v>3023</v>
      </c>
      <c r="R336" s="22" t="s">
        <v>831</v>
      </c>
      <c r="S336" s="22" t="s">
        <v>3024</v>
      </c>
      <c r="T336" s="22" t="s">
        <v>833</v>
      </c>
      <c r="U336" s="22" t="s">
        <v>3025</v>
      </c>
      <c r="V336" s="26" t="s">
        <v>3026</v>
      </c>
      <c r="W336" s="27" t="s">
        <v>3027</v>
      </c>
      <c r="X336" s="26" t="s">
        <v>3028</v>
      </c>
      <c r="Y336" s="23"/>
      <c r="Z336" s="28"/>
      <c r="AA336" s="23"/>
      <c r="AB336" s="23" t="str">
        <f>IFERROR(__xludf.DUMMYFUNCTION("IF(
ISNUMBER(MATCH(
C336,
IMPORTRANGE(""https://docs.google.com/spreadsheets/d/1yTh1ELC33JHYOeEdgIiEclxPRyh0zOKtlawDltfUay8"",""'Champions'!A:A""),
0
)),
""Outreach Conducted"",
"""")"),"")</f>
        <v/>
      </c>
      <c r="AC336" s="23"/>
      <c r="AD336" s="23"/>
      <c r="AE336" s="23"/>
      <c r="AF336" s="23"/>
      <c r="AG336" s="23"/>
      <c r="AH336" s="23"/>
      <c r="AI336" s="23"/>
      <c r="AJ336" s="23"/>
      <c r="AK336" s="23"/>
      <c r="AL336" s="23"/>
    </row>
    <row r="337" hidden="1">
      <c r="A337" s="22" t="s">
        <v>3029</v>
      </c>
      <c r="B337" s="22" t="s">
        <v>3030</v>
      </c>
      <c r="C337" s="23" t="str">
        <f t="shared" si="1"/>
        <v>Sana Ahmad</v>
      </c>
      <c r="D337" s="22">
        <v>1.2679711385E10</v>
      </c>
      <c r="E337" s="29" t="s">
        <v>3031</v>
      </c>
      <c r="F337" s="22" t="s">
        <v>248</v>
      </c>
      <c r="G337" s="22">
        <v>453.0</v>
      </c>
      <c r="H337" s="22">
        <f t="array" ref="H337">IFERROR(INDEX('Hub CPC 226'!A:A, MATCH(C337, 'Hub CPC 226'!B:B, 0)), "")</f>
        <v>346</v>
      </c>
      <c r="I337" s="22">
        <f t="array" ref="I337">IFERROR(INDEX('Hub Users 226'!A:A, MATCH(C337, 'Hub Users 226'!B:B, 0)), "")</f>
        <v>365</v>
      </c>
      <c r="J337" s="22" t="s">
        <v>260</v>
      </c>
      <c r="K337" s="23" t="s">
        <v>3032</v>
      </c>
      <c r="L337" s="25">
        <v>44246.59097222222</v>
      </c>
      <c r="M337" s="23"/>
      <c r="N337" s="23"/>
      <c r="O337" s="23"/>
      <c r="P337" s="23"/>
      <c r="Q337" s="22" t="s">
        <v>3033</v>
      </c>
      <c r="R337" s="22" t="s">
        <v>3034</v>
      </c>
      <c r="S337" s="22" t="s">
        <v>1390</v>
      </c>
      <c r="T337" s="22" t="s">
        <v>241</v>
      </c>
      <c r="U337" s="22" t="s">
        <v>3035</v>
      </c>
      <c r="V337" s="26" t="s">
        <v>360</v>
      </c>
      <c r="W337" s="27" t="s">
        <v>3036</v>
      </c>
      <c r="X337" s="26" t="s">
        <v>3037</v>
      </c>
      <c r="Y337" s="23"/>
      <c r="Z337" s="28"/>
      <c r="AA337" s="23"/>
      <c r="AB337" s="23" t="str">
        <f>IFERROR(__xludf.DUMMYFUNCTION("IF(
ISNUMBER(MATCH(
C337,
IMPORTRANGE(""https://docs.google.com/spreadsheets/d/1yTh1ELC33JHYOeEdgIiEclxPRyh0zOKtlawDltfUay8"",""'Champions'!A:A""),
0
)),
""Outreach Conducted"",
"""")"),"")</f>
        <v/>
      </c>
      <c r="AC337" s="23"/>
      <c r="AD337" s="23"/>
      <c r="AE337" s="23"/>
      <c r="AF337" s="23"/>
      <c r="AG337" s="23"/>
      <c r="AH337" s="23"/>
      <c r="AI337" s="23"/>
      <c r="AJ337" s="23"/>
      <c r="AK337" s="23"/>
      <c r="AL337" s="23"/>
    </row>
    <row r="338" hidden="1">
      <c r="A338" s="22" t="s">
        <v>1122</v>
      </c>
      <c r="B338" s="22" t="s">
        <v>3038</v>
      </c>
      <c r="C338" s="23" t="str">
        <f t="shared" si="1"/>
        <v>Sandra Llontop</v>
      </c>
      <c r="D338" s="22">
        <v>1.7026017124E10</v>
      </c>
      <c r="E338" s="29" t="s">
        <v>3039</v>
      </c>
      <c r="F338" s="22" t="s">
        <v>248</v>
      </c>
      <c r="G338" s="22">
        <v>538.0</v>
      </c>
      <c r="H338" s="22">
        <f t="array" ref="H338">IFERROR(INDEX('Hub CPC 226'!A:A, MATCH(C338, 'Hub CPC 226'!B:B, 0)), "")</f>
        <v>347</v>
      </c>
      <c r="I338" s="22">
        <f t="array" ref="I338">IFERROR(INDEX('Hub Users 226'!A:A, MATCH(C338, 'Hub Users 226'!B:B, 0)), "")</f>
        <v>366</v>
      </c>
      <c r="J338" s="22" t="s">
        <v>240</v>
      </c>
      <c r="K338" s="28" t="s">
        <v>3040</v>
      </c>
      <c r="L338" s="25">
        <v>44505.59861111111</v>
      </c>
      <c r="M338" s="23"/>
      <c r="N338" s="23"/>
      <c r="O338" s="23"/>
      <c r="P338" s="23"/>
      <c r="Q338" s="22" t="s">
        <v>3041</v>
      </c>
      <c r="R338" s="22" t="s">
        <v>873</v>
      </c>
      <c r="S338" s="22" t="s">
        <v>873</v>
      </c>
      <c r="T338" s="22" t="s">
        <v>874</v>
      </c>
      <c r="U338" s="22" t="s">
        <v>3042</v>
      </c>
      <c r="V338" s="26" t="s">
        <v>284</v>
      </c>
      <c r="W338" s="27" t="s">
        <v>3043</v>
      </c>
      <c r="X338" s="26" t="s">
        <v>3044</v>
      </c>
      <c r="Y338" s="23"/>
      <c r="Z338" s="28"/>
      <c r="AA338" s="23"/>
      <c r="AB338" s="23" t="str">
        <f>IFERROR(__xludf.DUMMYFUNCTION("IF(
ISNUMBER(MATCH(
C338,
IMPORTRANGE(""https://docs.google.com/spreadsheets/d/1yTh1ELC33JHYOeEdgIiEclxPRyh0zOKtlawDltfUay8"",""'Champions'!A:A""),
0
)),
""Outreach Conducted"",
"""")"),"")</f>
        <v/>
      </c>
      <c r="AC338" s="23"/>
      <c r="AD338" s="23"/>
      <c r="AE338" s="23"/>
      <c r="AF338" s="23"/>
      <c r="AG338" s="23"/>
      <c r="AH338" s="23"/>
      <c r="AI338" s="23"/>
      <c r="AJ338" s="23"/>
      <c r="AK338" s="23"/>
      <c r="AL338" s="23"/>
    </row>
    <row r="339" hidden="1">
      <c r="A339" s="22" t="s">
        <v>3045</v>
      </c>
      <c r="B339" s="22" t="s">
        <v>3046</v>
      </c>
      <c r="C339" s="23" t="str">
        <f t="shared" si="1"/>
        <v>Fatima Ramadan Sanz</v>
      </c>
      <c r="D339" s="22">
        <v>1.2676162601E10</v>
      </c>
      <c r="E339" s="29" t="s">
        <v>3047</v>
      </c>
      <c r="F339" s="22" t="s">
        <v>399</v>
      </c>
      <c r="G339" s="22">
        <v>636.0</v>
      </c>
      <c r="H339" s="22">
        <f t="array" ref="H339">IFERROR(INDEX('Hub CPC 226'!A:A, MATCH(C339, 'Hub CPC 226'!B:B, 0)), "")</f>
        <v>348</v>
      </c>
      <c r="I339" s="22">
        <f t="array" ref="I339">IFERROR(INDEX('Hub Users 226'!A:A, MATCH(C339, 'Hub Users 226'!B:B, 0)), "")</f>
        <v>367</v>
      </c>
      <c r="J339" s="22" t="s">
        <v>417</v>
      </c>
      <c r="K339" s="23" t="s">
        <v>240</v>
      </c>
      <c r="L339" s="25">
        <v>44658.44097222222</v>
      </c>
      <c r="M339" s="28">
        <v>14.0</v>
      </c>
      <c r="N339" s="28">
        <v>11.0</v>
      </c>
      <c r="O339" s="28">
        <v>34.0</v>
      </c>
      <c r="P339" s="32">
        <v>22.0</v>
      </c>
      <c r="Q339" s="22" t="s">
        <v>3048</v>
      </c>
      <c r="R339" s="22" t="s">
        <v>3049</v>
      </c>
      <c r="S339" s="22" t="s">
        <v>271</v>
      </c>
      <c r="T339" s="22" t="s">
        <v>272</v>
      </c>
      <c r="U339" s="22" t="s">
        <v>3050</v>
      </c>
      <c r="V339" s="26" t="s">
        <v>284</v>
      </c>
      <c r="W339" s="27" t="s">
        <v>3051</v>
      </c>
      <c r="X339" s="26" t="s">
        <v>1085</v>
      </c>
      <c r="Y339" s="23"/>
      <c r="Z339" s="28"/>
      <c r="AA339" s="23"/>
      <c r="AB339" s="23" t="str">
        <f>IFERROR(__xludf.DUMMYFUNCTION("IF(
ISNUMBER(MATCH(
C339,
IMPORTRANGE(""https://docs.google.com/spreadsheets/d/1yTh1ELC33JHYOeEdgIiEclxPRyh0zOKtlawDltfUay8"",""'Champions'!A:A""),
0
)),
""Outreach Conducted"",
"""")"),"")</f>
        <v/>
      </c>
      <c r="AC339" s="23"/>
      <c r="AD339" s="23"/>
      <c r="AE339" s="23"/>
      <c r="AF339" s="23"/>
      <c r="AG339" s="23"/>
      <c r="AH339" s="23"/>
      <c r="AI339" s="23"/>
      <c r="AJ339" s="23"/>
      <c r="AK339" s="23"/>
      <c r="AL339" s="23"/>
    </row>
    <row r="340" hidden="1">
      <c r="A340" s="22" t="s">
        <v>3052</v>
      </c>
      <c r="B340" s="22" t="s">
        <v>3053</v>
      </c>
      <c r="C340" s="23" t="str">
        <f t="shared" si="1"/>
        <v>Sriramya Ayyagari</v>
      </c>
      <c r="D340" s="22" t="s">
        <v>3054</v>
      </c>
      <c r="E340" s="29" t="s">
        <v>3055</v>
      </c>
      <c r="F340" s="22" t="s">
        <v>248</v>
      </c>
      <c r="G340" s="22">
        <v>209.0</v>
      </c>
      <c r="H340" s="22">
        <f t="array" ref="H340">IFERROR(INDEX('Hub CPC 226'!A:A, MATCH(C340, 'Hub CPC 226'!B:B, 0)), "")</f>
        <v>349</v>
      </c>
      <c r="I340" s="22">
        <f t="array" ref="I340">IFERROR(INDEX('Hub Users 226'!A:A, MATCH(C340, 'Hub Users 226'!B:B, 0)), "")</f>
        <v>368</v>
      </c>
      <c r="J340" s="22" t="s">
        <v>240</v>
      </c>
      <c r="K340" s="23" t="s">
        <v>3056</v>
      </c>
      <c r="L340" s="25">
        <v>43727.731944444444</v>
      </c>
      <c r="M340" s="23"/>
      <c r="N340" s="23"/>
      <c r="O340" s="23"/>
      <c r="P340" s="23"/>
      <c r="Q340" s="22" t="s">
        <v>3057</v>
      </c>
      <c r="R340" s="22" t="s">
        <v>492</v>
      </c>
      <c r="S340" s="22" t="s">
        <v>492</v>
      </c>
      <c r="T340" s="22" t="s">
        <v>27</v>
      </c>
      <c r="U340" s="22" t="s">
        <v>3058</v>
      </c>
      <c r="V340" s="26" t="s">
        <v>2006</v>
      </c>
      <c r="W340" s="27" t="s">
        <v>3059</v>
      </c>
      <c r="X340" s="26" t="s">
        <v>3060</v>
      </c>
      <c r="Y340" s="23"/>
      <c r="Z340" s="28"/>
      <c r="AA340" s="23"/>
      <c r="AB340" s="23" t="str">
        <f>IFERROR(__xludf.DUMMYFUNCTION("IF(
ISNUMBER(MATCH(
C340,
IMPORTRANGE(""https://docs.google.com/spreadsheets/d/1yTh1ELC33JHYOeEdgIiEclxPRyh0zOKtlawDltfUay8"",""'Champions'!A:A""),
0
)),
""Outreach Conducted"",
"""")"),"")</f>
        <v/>
      </c>
      <c r="AC340" s="23"/>
      <c r="AD340" s="23"/>
      <c r="AE340" s="23"/>
      <c r="AF340" s="23"/>
      <c r="AG340" s="23"/>
      <c r="AH340" s="23"/>
      <c r="AI340" s="23"/>
      <c r="AJ340" s="23"/>
      <c r="AK340" s="23"/>
      <c r="AL340" s="23"/>
    </row>
    <row r="341" hidden="1">
      <c r="A341" s="22" t="s">
        <v>3061</v>
      </c>
      <c r="B341" s="22" t="s">
        <v>3062</v>
      </c>
      <c r="C341" s="23" t="str">
        <f t="shared" si="1"/>
        <v>Susan Boxman</v>
      </c>
      <c r="D341" s="22">
        <v>1.6103064534E10</v>
      </c>
      <c r="E341" s="29" t="s">
        <v>3063</v>
      </c>
      <c r="F341" s="22" t="s">
        <v>248</v>
      </c>
      <c r="G341" s="22">
        <v>375.0</v>
      </c>
      <c r="H341" s="22" t="str">
        <f t="array" ref="H341">IFERROR(INDEX('Hub CPC 226'!A:A, MATCH(C341, 'Hub CPC 226'!B:B, 0)), "")</f>
        <v/>
      </c>
      <c r="I341" s="22">
        <f t="array" ref="I341">IFERROR(INDEX('Hub Users 226'!A:A, MATCH(C341, 'Hub Users 226'!B:B, 0)), "")</f>
        <v>369</v>
      </c>
      <c r="J341" s="22" t="s">
        <v>302</v>
      </c>
      <c r="K341" s="23" t="s">
        <v>3064</v>
      </c>
      <c r="L341" s="25">
        <v>44194.368055555555</v>
      </c>
      <c r="M341" s="23"/>
      <c r="N341" s="23"/>
      <c r="O341" s="23"/>
      <c r="P341" s="23"/>
      <c r="Q341" s="22" t="s">
        <v>3065</v>
      </c>
      <c r="R341" s="22" t="s">
        <v>3066</v>
      </c>
      <c r="S341" s="22" t="s">
        <v>380</v>
      </c>
      <c r="T341" s="22" t="s">
        <v>381</v>
      </c>
      <c r="U341" s="22" t="s">
        <v>3067</v>
      </c>
      <c r="V341" s="26" t="s">
        <v>360</v>
      </c>
      <c r="W341" s="27" t="s">
        <v>3068</v>
      </c>
      <c r="X341" s="26" t="s">
        <v>3069</v>
      </c>
      <c r="Y341" s="23"/>
      <c r="Z341" s="28"/>
      <c r="AA341" s="23"/>
      <c r="AB341" s="23" t="str">
        <f>IFERROR(__xludf.DUMMYFUNCTION("IF(
ISNUMBER(MATCH(
C341,
IMPORTRANGE(""https://docs.google.com/spreadsheets/d/1yTh1ELC33JHYOeEdgIiEclxPRyh0zOKtlawDltfUay8"",""'Champions'!A:A""),
0
)),
""Outreach Conducted"",
"""")"),"")</f>
        <v/>
      </c>
      <c r="AC341" s="23"/>
      <c r="AD341" s="23"/>
      <c r="AE341" s="23"/>
      <c r="AF341" s="23"/>
      <c r="AG341" s="23"/>
      <c r="AH341" s="23"/>
      <c r="AI341" s="23"/>
      <c r="AJ341" s="23"/>
      <c r="AK341" s="23"/>
      <c r="AL341" s="23"/>
    </row>
    <row r="342" hidden="1">
      <c r="A342" s="22" t="s">
        <v>3070</v>
      </c>
      <c r="B342" s="22" t="s">
        <v>3071</v>
      </c>
      <c r="C342" s="23" t="str">
        <f t="shared" si="1"/>
        <v>Samantha Cadorniga</v>
      </c>
      <c r="D342" s="22" t="s">
        <v>3072</v>
      </c>
      <c r="E342" s="29" t="s">
        <v>3073</v>
      </c>
      <c r="F342" s="22" t="s">
        <v>248</v>
      </c>
      <c r="G342" s="22">
        <v>388.0</v>
      </c>
      <c r="H342" s="22">
        <f t="array" ref="H342">IFERROR(INDEX('Hub CPC 226'!A:A, MATCH(C342, 'Hub CPC 226'!B:B, 0)), "")</f>
        <v>351</v>
      </c>
      <c r="I342" s="22">
        <f t="array" ref="I342">IFERROR(INDEX('Hub Users 226'!A:A, MATCH(C342, 'Hub Users 226'!B:B, 0)), "")</f>
        <v>370</v>
      </c>
      <c r="J342" s="22" t="s">
        <v>260</v>
      </c>
      <c r="K342" s="28" t="s">
        <v>3074</v>
      </c>
      <c r="L342" s="25">
        <v>44200.645833333336</v>
      </c>
      <c r="M342" s="28">
        <v>9.0</v>
      </c>
      <c r="N342" s="28">
        <v>22.0</v>
      </c>
      <c r="O342" s="28">
        <v>41.0</v>
      </c>
      <c r="P342" s="32">
        <v>46.0</v>
      </c>
      <c r="Q342" s="22" t="s">
        <v>3075</v>
      </c>
      <c r="R342" s="22" t="s">
        <v>634</v>
      </c>
      <c r="S342" s="22" t="s">
        <v>294</v>
      </c>
      <c r="T342" s="22" t="s">
        <v>272</v>
      </c>
      <c r="U342" s="22" t="s">
        <v>3076</v>
      </c>
      <c r="V342" s="26" t="s">
        <v>284</v>
      </c>
      <c r="W342" s="27" t="s">
        <v>3077</v>
      </c>
      <c r="X342" s="26" t="s">
        <v>1085</v>
      </c>
      <c r="Y342" s="23"/>
      <c r="Z342" s="28"/>
      <c r="AA342" s="23"/>
      <c r="AB342" s="23" t="str">
        <f>IFERROR(__xludf.DUMMYFUNCTION("IF(
ISNUMBER(MATCH(
C342,
IMPORTRANGE(""https://docs.google.com/spreadsheets/d/1yTh1ELC33JHYOeEdgIiEclxPRyh0zOKtlawDltfUay8"",""'Champions'!A:A""),
0
)),
""Outreach Conducted"",
"""")"),"")</f>
        <v/>
      </c>
      <c r="AC342" s="23"/>
      <c r="AD342" s="23"/>
      <c r="AE342" s="23"/>
      <c r="AF342" s="23"/>
      <c r="AG342" s="23"/>
      <c r="AH342" s="23"/>
      <c r="AI342" s="23"/>
      <c r="AJ342" s="23"/>
      <c r="AK342" s="23"/>
      <c r="AL342" s="23"/>
    </row>
    <row r="343" hidden="1">
      <c r="A343" s="22" t="s">
        <v>3078</v>
      </c>
      <c r="B343" s="22" t="s">
        <v>3079</v>
      </c>
      <c r="C343" s="23" t="str">
        <f t="shared" si="1"/>
        <v>Scotney Young</v>
      </c>
      <c r="D343" s="22">
        <v>6.266715579E9</v>
      </c>
      <c r="E343" s="29" t="s">
        <v>3080</v>
      </c>
      <c r="F343" s="22" t="s">
        <v>248</v>
      </c>
      <c r="G343" s="22">
        <v>512.0</v>
      </c>
      <c r="H343" s="22">
        <f t="array" ref="H343">IFERROR(INDEX('Hub CPC 226'!A:A, MATCH(C343, 'Hub CPC 226'!B:B, 0)), "")</f>
        <v>352</v>
      </c>
      <c r="I343" s="22">
        <f t="array" ref="I343">IFERROR(INDEX('Hub Users 226'!A:A, MATCH(C343, 'Hub Users 226'!B:B, 0)), "")</f>
        <v>371</v>
      </c>
      <c r="J343" s="22" t="s">
        <v>425</v>
      </c>
      <c r="K343" s="23" t="s">
        <v>3081</v>
      </c>
      <c r="L343" s="25">
        <v>44483.85486111111</v>
      </c>
      <c r="M343" s="23"/>
      <c r="N343" s="23"/>
      <c r="O343" s="23"/>
      <c r="P343" s="23"/>
      <c r="Q343" s="22" t="s">
        <v>3082</v>
      </c>
      <c r="R343" s="22" t="s">
        <v>3082</v>
      </c>
      <c r="S343" s="22" t="s">
        <v>1371</v>
      </c>
      <c r="T343" s="22" t="s">
        <v>1372</v>
      </c>
      <c r="U343" s="22" t="s">
        <v>3083</v>
      </c>
      <c r="V343" s="26" t="s">
        <v>2837</v>
      </c>
      <c r="W343" s="27" t="s">
        <v>3084</v>
      </c>
      <c r="X343" s="26" t="s">
        <v>3085</v>
      </c>
      <c r="Y343" s="23"/>
      <c r="Z343" s="28"/>
      <c r="AA343" s="23"/>
      <c r="AB343" s="23" t="str">
        <f>IFERROR(__xludf.DUMMYFUNCTION("IF(
ISNUMBER(MATCH(
C343,
IMPORTRANGE(""https://docs.google.com/spreadsheets/d/1yTh1ELC33JHYOeEdgIiEclxPRyh0zOKtlawDltfUay8"",""'Champions'!A:A""),
0
)),
""Outreach Conducted"",
"""")"),"")</f>
        <v/>
      </c>
      <c r="AC343" s="23"/>
      <c r="AD343" s="26" t="s">
        <v>448</v>
      </c>
      <c r="AE343" s="28" t="s">
        <v>1924</v>
      </c>
      <c r="AF343" s="28" t="s">
        <v>449</v>
      </c>
      <c r="AG343" s="28" t="s">
        <v>706</v>
      </c>
      <c r="AH343" s="23"/>
      <c r="AI343" s="23"/>
      <c r="AJ343" s="23"/>
      <c r="AK343" s="23"/>
      <c r="AL343" s="23"/>
    </row>
    <row r="344" hidden="1">
      <c r="A344" s="22" t="s">
        <v>3086</v>
      </c>
      <c r="B344" s="22" t="s">
        <v>3087</v>
      </c>
      <c r="C344" s="23" t="str">
        <f t="shared" si="1"/>
        <v>Saloni Dudziak</v>
      </c>
      <c r="D344" s="22">
        <v>1.4158238009E10</v>
      </c>
      <c r="E344" s="29" t="s">
        <v>3088</v>
      </c>
      <c r="F344" s="22" t="s">
        <v>399</v>
      </c>
      <c r="G344" s="22">
        <v>615.0</v>
      </c>
      <c r="H344" s="22">
        <f t="array" ref="H344">IFERROR(INDEX('Hub CPC 226'!A:A, MATCH(C344, 'Hub CPC 226'!B:B, 0)), "")</f>
        <v>353</v>
      </c>
      <c r="I344" s="22">
        <f t="array" ref="I344">IFERROR(INDEX('Hub Users 226'!A:A, MATCH(C344, 'Hub Users 226'!B:B, 0)), "")</f>
        <v>372</v>
      </c>
      <c r="J344" s="22" t="s">
        <v>269</v>
      </c>
      <c r="K344" s="23" t="s">
        <v>3089</v>
      </c>
      <c r="L344" s="25">
        <v>44588.708333333336</v>
      </c>
      <c r="M344" s="23"/>
      <c r="N344" s="23"/>
      <c r="O344" s="23"/>
      <c r="P344" s="23"/>
      <c r="Q344" s="22" t="s">
        <v>1568</v>
      </c>
      <c r="R344" s="22" t="s">
        <v>2659</v>
      </c>
      <c r="S344" s="22" t="s">
        <v>473</v>
      </c>
      <c r="T344" s="22" t="s">
        <v>252</v>
      </c>
      <c r="U344" s="45" t="s">
        <v>3090</v>
      </c>
      <c r="V344" s="23"/>
      <c r="W344" s="23"/>
      <c r="X344" s="23"/>
      <c r="Y344" s="23"/>
      <c r="Z344" s="23"/>
      <c r="AA344" s="23"/>
      <c r="AB344" s="23" t="str">
        <f>IFERROR(__xludf.DUMMYFUNCTION("IF(
ISNUMBER(MATCH(
C344,
IMPORTRANGE(""https://docs.google.com/spreadsheets/d/1yTh1ELC33JHYOeEdgIiEclxPRyh0zOKtlawDltfUay8"",""'Champions'!A:A""),
0
)),
""Outreach Conducted"",
"""")"),"")</f>
        <v/>
      </c>
      <c r="AC344" s="23"/>
      <c r="AD344" s="23"/>
      <c r="AE344" s="23"/>
      <c r="AF344" s="23"/>
      <c r="AG344" s="23"/>
      <c r="AH344" s="23"/>
      <c r="AI344" s="23"/>
      <c r="AJ344" s="23"/>
      <c r="AK344" s="23"/>
      <c r="AL344" s="23"/>
    </row>
    <row r="345" hidden="1">
      <c r="A345" s="22" t="s">
        <v>3091</v>
      </c>
      <c r="B345" s="22" t="s">
        <v>2848</v>
      </c>
      <c r="C345" s="23" t="str">
        <f t="shared" si="1"/>
        <v>Seema Dixit</v>
      </c>
      <c r="D345" s="22">
        <v>5.084462632E9</v>
      </c>
      <c r="E345" s="29" t="s">
        <v>3092</v>
      </c>
      <c r="F345" s="22" t="s">
        <v>248</v>
      </c>
      <c r="G345" s="22">
        <v>19.0</v>
      </c>
      <c r="H345" s="22">
        <f t="array" ref="H345">IFERROR(INDEX('Hub CPC 226'!A:A, MATCH(C345, 'Hub CPC 226'!B:B, 0)), "")</f>
        <v>354</v>
      </c>
      <c r="I345" s="22">
        <f t="array" ref="I345">IFERROR(INDEX('Hub Users 226'!A:A, MATCH(C345, 'Hub Users 226'!B:B, 0)), "")</f>
        <v>373</v>
      </c>
      <c r="J345" s="22"/>
      <c r="K345" s="23" t="s">
        <v>3093</v>
      </c>
      <c r="L345" s="25">
        <v>43338.743055555555</v>
      </c>
      <c r="M345" s="23"/>
      <c r="N345" s="23"/>
      <c r="O345" s="23"/>
      <c r="P345" s="23"/>
      <c r="Q345" s="22" t="s">
        <v>3094</v>
      </c>
      <c r="R345" s="22"/>
      <c r="S345" s="22" t="s">
        <v>3095</v>
      </c>
      <c r="T345" s="22" t="s">
        <v>626</v>
      </c>
      <c r="U345" s="22" t="s">
        <v>3096</v>
      </c>
      <c r="V345" s="26" t="s">
        <v>3097</v>
      </c>
      <c r="W345" s="27" t="s">
        <v>3098</v>
      </c>
      <c r="X345" s="26" t="s">
        <v>3099</v>
      </c>
      <c r="Y345" s="23"/>
      <c r="Z345" s="28"/>
      <c r="AA345" s="23"/>
      <c r="AB345" s="23" t="str">
        <f>IFERROR(__xludf.DUMMYFUNCTION("IF(
ISNUMBER(MATCH(
C345,
IMPORTRANGE(""https://docs.google.com/spreadsheets/d/1yTh1ELC33JHYOeEdgIiEclxPRyh0zOKtlawDltfUay8"",""'Champions'!A:A""),
0
)),
""Outreach Conducted"",
"""")"),"")</f>
        <v/>
      </c>
      <c r="AC345" s="23"/>
      <c r="AD345" s="23"/>
      <c r="AE345" s="23"/>
      <c r="AF345" s="23"/>
      <c r="AG345" s="23"/>
      <c r="AH345" s="23"/>
      <c r="AI345" s="23"/>
      <c r="AJ345" s="23"/>
      <c r="AK345" s="23"/>
      <c r="AL345" s="23"/>
    </row>
    <row r="346" hidden="1">
      <c r="A346" s="22" t="s">
        <v>3100</v>
      </c>
      <c r="B346" s="22" t="s">
        <v>3101</v>
      </c>
      <c r="C346" s="23" t="str">
        <f t="shared" si="1"/>
        <v>Steven Flores</v>
      </c>
      <c r="D346" s="22">
        <v>1.4074037093E10</v>
      </c>
      <c r="E346" s="29" t="s">
        <v>3102</v>
      </c>
      <c r="F346" s="22" t="s">
        <v>238</v>
      </c>
      <c r="G346" s="22">
        <v>659.0</v>
      </c>
      <c r="H346" s="22">
        <f t="array" ref="H346">IFERROR(INDEX('Hub CPC 226'!A:A, MATCH(C346, 'Hub CPC 226'!B:B, 0)), "")</f>
        <v>355</v>
      </c>
      <c r="I346" s="22">
        <f t="array" ref="I346">IFERROR(INDEX('Hub Users 226'!A:A, MATCH(C346, 'Hub Users 226'!B:B, 0)), "")</f>
        <v>374</v>
      </c>
      <c r="J346" s="22" t="s">
        <v>290</v>
      </c>
      <c r="K346" s="23" t="s">
        <v>3103</v>
      </c>
      <c r="L346" s="25">
        <v>44770.68680555555</v>
      </c>
      <c r="M346" s="23"/>
      <c r="N346" s="23"/>
      <c r="O346" s="23"/>
      <c r="P346" s="23"/>
      <c r="Q346" s="22" t="s">
        <v>3104</v>
      </c>
      <c r="R346" s="22" t="s">
        <v>3105</v>
      </c>
      <c r="S346" s="22" t="s">
        <v>3106</v>
      </c>
      <c r="T346" s="22" t="s">
        <v>841</v>
      </c>
      <c r="U346" s="22" t="s">
        <v>3107</v>
      </c>
      <c r="V346" s="23"/>
      <c r="W346" s="23"/>
      <c r="X346" s="23"/>
      <c r="Y346" s="23"/>
      <c r="Z346" s="28"/>
      <c r="AA346" s="23"/>
      <c r="AB346" s="23" t="str">
        <f>IFERROR(__xludf.DUMMYFUNCTION("IF(
ISNUMBER(MATCH(
C346,
IMPORTRANGE(""https://docs.google.com/spreadsheets/d/1yTh1ELC33JHYOeEdgIiEclxPRyh0zOKtlawDltfUay8"",""'Champions'!A:A""),
0
)),
""Outreach Conducted"",
"""")"),"")</f>
        <v/>
      </c>
      <c r="AC346" s="23"/>
      <c r="AD346" s="23"/>
      <c r="AE346" s="23"/>
      <c r="AF346" s="23"/>
      <c r="AG346" s="23"/>
      <c r="AH346" s="23"/>
      <c r="AI346" s="23"/>
      <c r="AJ346" s="23"/>
      <c r="AK346" s="23"/>
      <c r="AL346" s="23"/>
    </row>
    <row r="347" hidden="1">
      <c r="A347" s="22" t="s">
        <v>3108</v>
      </c>
      <c r="B347" s="22" t="s">
        <v>3109</v>
      </c>
      <c r="C347" s="23" t="str">
        <f t="shared" si="1"/>
        <v>Stephanie Grandjacques</v>
      </c>
      <c r="D347" s="22">
        <v>1.4155703375E10</v>
      </c>
      <c r="E347" s="29" t="s">
        <v>3110</v>
      </c>
      <c r="F347" s="22" t="s">
        <v>248</v>
      </c>
      <c r="G347" s="22">
        <v>461.0</v>
      </c>
      <c r="H347" s="22">
        <f t="array" ref="H347">IFERROR(INDEX('Hub CPC 226'!A:A, MATCH(C347, 'Hub CPC 226'!B:B, 0)), "")</f>
        <v>356</v>
      </c>
      <c r="I347" s="22">
        <f t="array" ref="I347">IFERROR(INDEX('Hub Users 226'!A:A, MATCH(C347, 'Hub Users 226'!B:B, 0)), "")</f>
        <v>375</v>
      </c>
      <c r="J347" s="22" t="s">
        <v>269</v>
      </c>
      <c r="K347" s="23" t="s">
        <v>3111</v>
      </c>
      <c r="L347" s="25">
        <v>44274.02361111111</v>
      </c>
      <c r="M347" s="23"/>
      <c r="N347" s="23"/>
      <c r="O347" s="23"/>
      <c r="P347" s="23"/>
      <c r="Q347" s="22" t="s">
        <v>3112</v>
      </c>
      <c r="R347" s="22" t="s">
        <v>3113</v>
      </c>
      <c r="S347" s="22" t="s">
        <v>473</v>
      </c>
      <c r="T347" s="22" t="s">
        <v>252</v>
      </c>
      <c r="U347" s="22" t="s">
        <v>2845</v>
      </c>
      <c r="V347" s="26" t="s">
        <v>1119</v>
      </c>
      <c r="W347" s="27" t="s">
        <v>3114</v>
      </c>
      <c r="X347" s="26" t="s">
        <v>3115</v>
      </c>
      <c r="Y347" s="23"/>
      <c r="Z347" s="28"/>
      <c r="AA347" s="23"/>
      <c r="AB347" s="23" t="str">
        <f>IFERROR(__xludf.DUMMYFUNCTION("IF(
ISNUMBER(MATCH(
C347,
IMPORTRANGE(""https://docs.google.com/spreadsheets/d/1yTh1ELC33JHYOeEdgIiEclxPRyh0zOKtlawDltfUay8"",""'Champions'!A:A""),
0
)),
""Outreach Conducted"",
"""")"),"")</f>
        <v/>
      </c>
      <c r="AC347" s="23"/>
      <c r="AD347" s="23"/>
      <c r="AE347" s="23"/>
      <c r="AF347" s="23"/>
      <c r="AG347" s="23"/>
      <c r="AH347" s="23"/>
      <c r="AI347" s="23"/>
      <c r="AJ347" s="23"/>
      <c r="AK347" s="23"/>
      <c r="AL347" s="23"/>
    </row>
    <row r="348" hidden="1">
      <c r="A348" s="22" t="s">
        <v>3116</v>
      </c>
      <c r="B348" s="22" t="s">
        <v>3117</v>
      </c>
      <c r="C348" s="23" t="str">
        <f t="shared" si="1"/>
        <v>Nerissa Shamji</v>
      </c>
      <c r="D348" s="22">
        <v>7.782334468E9</v>
      </c>
      <c r="E348" s="29" t="s">
        <v>3118</v>
      </c>
      <c r="F348" s="22" t="s">
        <v>399</v>
      </c>
      <c r="G348" s="22">
        <v>178.0</v>
      </c>
      <c r="H348" s="22">
        <f t="array" ref="H348">IFERROR(INDEX('Hub CPC 226'!A:A, MATCH(C348, 'Hub CPC 226'!B:B, 0)), "")</f>
        <v>357</v>
      </c>
      <c r="I348" s="22">
        <f t="array" ref="I348">IFERROR(INDEX('Hub Users 226'!A:A, MATCH(C348, 'Hub Users 226'!B:B, 0)), "")</f>
        <v>376</v>
      </c>
      <c r="J348" s="22" t="s">
        <v>240</v>
      </c>
      <c r="K348" s="23" t="s">
        <v>3119</v>
      </c>
      <c r="L348" s="25">
        <v>43592.26944444444</v>
      </c>
      <c r="M348" s="23"/>
      <c r="N348" s="23"/>
      <c r="O348" s="23"/>
      <c r="P348" s="23"/>
      <c r="Q348" s="22" t="s">
        <v>3120</v>
      </c>
      <c r="R348" s="22" t="s">
        <v>3121</v>
      </c>
      <c r="S348" s="24"/>
      <c r="T348" s="24"/>
      <c r="U348" s="22" t="s">
        <v>3122</v>
      </c>
      <c r="V348" s="23"/>
      <c r="W348" s="23"/>
      <c r="X348" s="23"/>
      <c r="Y348" s="23"/>
      <c r="Z348" s="23"/>
      <c r="AA348" s="23"/>
      <c r="AB348" s="23" t="str">
        <f>IFERROR(__xludf.DUMMYFUNCTION("IF(
ISNUMBER(MATCH(
C348,
IMPORTRANGE(""https://docs.google.com/spreadsheets/d/1yTh1ELC33JHYOeEdgIiEclxPRyh0zOKtlawDltfUay8"",""'Champions'!A:A""),
0
)),
""Outreach Conducted"",
"""")"),"")</f>
        <v/>
      </c>
      <c r="AC348" s="23"/>
      <c r="AD348" s="23"/>
      <c r="AE348" s="23"/>
      <c r="AF348" s="23"/>
      <c r="AG348" s="23"/>
      <c r="AH348" s="23"/>
      <c r="AI348" s="23"/>
      <c r="AJ348" s="23"/>
      <c r="AK348" s="23"/>
      <c r="AL348" s="23"/>
    </row>
    <row r="349" hidden="1">
      <c r="A349" s="22" t="s">
        <v>3095</v>
      </c>
      <c r="B349" s="22" t="s">
        <v>3123</v>
      </c>
      <c r="C349" s="23" t="str">
        <f t="shared" si="1"/>
        <v>Sharon Shi</v>
      </c>
      <c r="D349" s="22">
        <v>1.4156963054E10</v>
      </c>
      <c r="E349" s="29" t="s">
        <v>3124</v>
      </c>
      <c r="F349" s="22" t="s">
        <v>248</v>
      </c>
      <c r="G349" s="22">
        <v>464.0</v>
      </c>
      <c r="H349" s="22">
        <f t="array" ref="H349">IFERROR(INDEX('Hub CPC 226'!A:A, MATCH(C349, 'Hub CPC 226'!B:B, 0)), "")</f>
        <v>358</v>
      </c>
      <c r="I349" s="22">
        <f t="array" ref="I349">IFERROR(INDEX('Hub Users 226'!A:A, MATCH(C349, 'Hub Users 226'!B:B, 0)), "")</f>
        <v>377</v>
      </c>
      <c r="J349" s="22" t="s">
        <v>260</v>
      </c>
      <c r="K349" s="23" t="s">
        <v>3125</v>
      </c>
      <c r="L349" s="25">
        <v>44275.665972222225</v>
      </c>
      <c r="M349" s="23"/>
      <c r="N349" s="23"/>
      <c r="O349" s="23"/>
      <c r="P349" s="23"/>
      <c r="Q349" s="22" t="s">
        <v>3126</v>
      </c>
      <c r="R349" s="22" t="s">
        <v>755</v>
      </c>
      <c r="S349" s="22" t="s">
        <v>692</v>
      </c>
      <c r="T349" s="22" t="s">
        <v>501</v>
      </c>
      <c r="U349" s="22" t="s">
        <v>3127</v>
      </c>
      <c r="V349" s="26" t="s">
        <v>3128</v>
      </c>
      <c r="W349" s="27" t="s">
        <v>3129</v>
      </c>
      <c r="X349" s="26" t="s">
        <v>3130</v>
      </c>
      <c r="Y349" s="23"/>
      <c r="Z349" s="28"/>
      <c r="AA349" s="23"/>
      <c r="AB349" s="23" t="str">
        <f>IFERROR(__xludf.DUMMYFUNCTION("IF(
ISNUMBER(MATCH(
C349,
IMPORTRANGE(""https://docs.google.com/spreadsheets/d/1yTh1ELC33JHYOeEdgIiEclxPRyh0zOKtlawDltfUay8"",""'Champions'!A:A""),
0
)),
""Outreach Conducted"",
"""")"),"")</f>
        <v/>
      </c>
      <c r="AC349" s="23"/>
      <c r="AD349" s="23"/>
      <c r="AE349" s="23"/>
      <c r="AF349" s="23"/>
      <c r="AG349" s="23"/>
      <c r="AH349" s="23"/>
      <c r="AI349" s="23"/>
      <c r="AJ349" s="23"/>
      <c r="AK349" s="23"/>
      <c r="AL349" s="23"/>
    </row>
    <row r="350" hidden="1">
      <c r="A350" s="22" t="s">
        <v>3131</v>
      </c>
      <c r="B350" s="22" t="s">
        <v>869</v>
      </c>
      <c r="C350" s="23" t="str">
        <f t="shared" si="1"/>
        <v>Shawn Adams</v>
      </c>
      <c r="D350" s="22">
        <v>1.5202682694E10</v>
      </c>
      <c r="E350" s="29" t="s">
        <v>3132</v>
      </c>
      <c r="F350" s="22" t="s">
        <v>248</v>
      </c>
      <c r="G350" s="22">
        <v>725.0</v>
      </c>
      <c r="H350" s="22">
        <f t="array" ref="H350">IFERROR(INDEX('Hub CPC 226'!A:A, MATCH(C350, 'Hub CPC 226'!B:B, 0)), "")</f>
        <v>359</v>
      </c>
      <c r="I350" s="22">
        <f t="array" ref="I350">IFERROR(INDEX('Hub Users 226'!A:A, MATCH(C350, 'Hub Users 226'!B:B, 0)), "")</f>
        <v>378</v>
      </c>
      <c r="J350" s="22" t="s">
        <v>290</v>
      </c>
      <c r="K350" s="23" t="s">
        <v>3133</v>
      </c>
      <c r="L350" s="25">
        <v>45044.66388888889</v>
      </c>
      <c r="M350" s="23"/>
      <c r="N350" s="23"/>
      <c r="O350" s="23"/>
      <c r="P350" s="23"/>
      <c r="Q350" s="22" t="s">
        <v>3134</v>
      </c>
      <c r="R350" s="22" t="s">
        <v>3135</v>
      </c>
      <c r="S350" s="22" t="s">
        <v>3136</v>
      </c>
      <c r="T350" s="22" t="s">
        <v>2447</v>
      </c>
      <c r="U350" s="22" t="s">
        <v>3137</v>
      </c>
      <c r="V350" s="23"/>
      <c r="W350" s="23"/>
      <c r="X350" s="23"/>
      <c r="Y350" s="23"/>
      <c r="Z350" s="28"/>
      <c r="AA350" s="23"/>
      <c r="AB350" s="23" t="str">
        <f>IFERROR(__xludf.DUMMYFUNCTION("IF(
ISNUMBER(MATCH(
C350,
IMPORTRANGE(""https://docs.google.com/spreadsheets/d/1yTh1ELC33JHYOeEdgIiEclxPRyh0zOKtlawDltfUay8"",""'Champions'!A:A""),
0
)),
""Outreach Conducted"",
"""")"),"")</f>
        <v/>
      </c>
      <c r="AC350" s="23"/>
      <c r="AD350" s="23"/>
      <c r="AE350" s="23"/>
      <c r="AF350" s="23"/>
      <c r="AG350" s="23"/>
      <c r="AH350" s="23"/>
      <c r="AI350" s="23"/>
      <c r="AJ350" s="23"/>
      <c r="AK350" s="23"/>
      <c r="AL350" s="23"/>
    </row>
    <row r="351" hidden="1">
      <c r="A351" s="22" t="s">
        <v>3138</v>
      </c>
      <c r="B351" s="22" t="s">
        <v>3139</v>
      </c>
      <c r="C351" s="23" t="str">
        <f t="shared" si="1"/>
        <v>Sher L. Pasquini</v>
      </c>
      <c r="D351" s="22">
        <v>3.107100296E9</v>
      </c>
      <c r="E351" s="29" t="s">
        <v>3140</v>
      </c>
      <c r="F351" s="22" t="s">
        <v>248</v>
      </c>
      <c r="G351" s="22">
        <v>426.0</v>
      </c>
      <c r="H351" s="22">
        <f t="array" ref="H351">IFERROR(INDEX('Hub CPC 226'!A:A, MATCH(C351, 'Hub CPC 226'!B:B, 0)), "")</f>
        <v>360</v>
      </c>
      <c r="I351" s="22">
        <f t="array" ref="I351">IFERROR(INDEX('Hub Users 226'!A:A, MATCH(C351, 'Hub Users 226'!B:B, 0)), "")</f>
        <v>379</v>
      </c>
      <c r="J351" s="22" t="s">
        <v>260</v>
      </c>
      <c r="K351" s="23" t="s">
        <v>3141</v>
      </c>
      <c r="L351" s="25">
        <v>44207.83611111111</v>
      </c>
      <c r="M351" s="23"/>
      <c r="N351" s="23"/>
      <c r="O351" s="23"/>
      <c r="P351" s="23"/>
      <c r="Q351" s="22" t="s">
        <v>3142</v>
      </c>
      <c r="R351" s="22" t="s">
        <v>3143</v>
      </c>
      <c r="S351" s="22" t="s">
        <v>3142</v>
      </c>
      <c r="T351" s="22" t="s">
        <v>252</v>
      </c>
      <c r="U351" s="22" t="s">
        <v>3144</v>
      </c>
      <c r="V351" s="23"/>
      <c r="W351" s="23"/>
      <c r="X351" s="23"/>
      <c r="Y351" s="23"/>
      <c r="Z351" s="28"/>
      <c r="AA351" s="23"/>
      <c r="AB351" s="23" t="str">
        <f>IFERROR(__xludf.DUMMYFUNCTION("IF(
ISNUMBER(MATCH(
C351,
IMPORTRANGE(""https://docs.google.com/spreadsheets/d/1yTh1ELC33JHYOeEdgIiEclxPRyh0zOKtlawDltfUay8"",""'Champions'!A:A""),
0
)),
""Outreach Conducted"",
"""")"),"")</f>
        <v/>
      </c>
      <c r="AC351" s="23"/>
      <c r="AD351" s="23"/>
      <c r="AE351" s="23"/>
      <c r="AF351" s="23"/>
      <c r="AG351" s="23"/>
      <c r="AH351" s="23"/>
      <c r="AI351" s="23"/>
      <c r="AJ351" s="23"/>
      <c r="AK351" s="23"/>
      <c r="AL351" s="23"/>
    </row>
    <row r="352" hidden="1">
      <c r="A352" s="22" t="s">
        <v>3145</v>
      </c>
      <c r="B352" s="22" t="s">
        <v>3146</v>
      </c>
      <c r="C352" s="23" t="str">
        <f t="shared" si="1"/>
        <v>Shoshana Leon</v>
      </c>
      <c r="D352" s="22">
        <v>1.6024516249E10</v>
      </c>
      <c r="E352" s="29" t="s">
        <v>3147</v>
      </c>
      <c r="F352" s="22" t="s">
        <v>248</v>
      </c>
      <c r="G352" s="22">
        <v>570.0</v>
      </c>
      <c r="H352" s="22">
        <f t="array" ref="H352">IFERROR(INDEX('Hub CPC 226'!A:A, MATCH(C352, 'Hub CPC 226'!B:B, 0)), "")</f>
        <v>361</v>
      </c>
      <c r="I352" s="22">
        <f t="array" ref="I352">IFERROR(INDEX('Hub Users 226'!A:A, MATCH(C352, 'Hub Users 226'!B:B, 0)), "")</f>
        <v>380</v>
      </c>
      <c r="J352" s="22" t="s">
        <v>1963</v>
      </c>
      <c r="K352" s="23" t="s">
        <v>3148</v>
      </c>
      <c r="L352" s="25">
        <v>44542.76388888889</v>
      </c>
      <c r="M352" s="23"/>
      <c r="N352" s="23"/>
      <c r="O352" s="23"/>
      <c r="P352" s="23"/>
      <c r="Q352" s="22" t="s">
        <v>3149</v>
      </c>
      <c r="R352" s="22" t="s">
        <v>3150</v>
      </c>
      <c r="S352" s="22" t="s">
        <v>3151</v>
      </c>
      <c r="T352" s="22" t="s">
        <v>1552</v>
      </c>
      <c r="U352" s="22" t="s">
        <v>3152</v>
      </c>
      <c r="V352" s="26" t="s">
        <v>507</v>
      </c>
      <c r="W352" s="27" t="s">
        <v>3153</v>
      </c>
      <c r="X352" s="26" t="s">
        <v>3154</v>
      </c>
      <c r="Y352" s="23"/>
      <c r="Z352" s="28"/>
      <c r="AA352" s="23"/>
      <c r="AB352" s="23" t="str">
        <f>IFERROR(__xludf.DUMMYFUNCTION("IF(
ISNUMBER(MATCH(
C352,
IMPORTRANGE(""https://docs.google.com/spreadsheets/d/1yTh1ELC33JHYOeEdgIiEclxPRyh0zOKtlawDltfUay8"",""'Champions'!A:A""),
0
)),
""Outreach Conducted"",
"""")"),"")</f>
        <v/>
      </c>
      <c r="AC352" s="23"/>
      <c r="AD352" s="23"/>
      <c r="AE352" s="23"/>
      <c r="AF352" s="23"/>
      <c r="AG352" s="23"/>
      <c r="AH352" s="23"/>
      <c r="AI352" s="23"/>
      <c r="AJ352" s="23"/>
      <c r="AK352" s="23"/>
      <c r="AL352" s="23"/>
    </row>
    <row r="353" hidden="1">
      <c r="A353" s="22" t="s">
        <v>3155</v>
      </c>
      <c r="B353" s="22" t="s">
        <v>3156</v>
      </c>
      <c r="C353" s="23" t="str">
        <f t="shared" si="1"/>
        <v>Shwetha Gopalan</v>
      </c>
      <c r="D353" s="22" t="s">
        <v>3157</v>
      </c>
      <c r="E353" s="29" t="s">
        <v>3158</v>
      </c>
      <c r="F353" s="22" t="s">
        <v>238</v>
      </c>
      <c r="G353" s="22">
        <v>111.0</v>
      </c>
      <c r="H353" s="22">
        <f t="array" ref="H353">IFERROR(INDEX('Hub CPC 226'!A:A, MATCH(C353, 'Hub CPC 226'!B:B, 0)), "")</f>
        <v>362</v>
      </c>
      <c r="I353" s="22">
        <f t="array" ref="I353">IFERROR(INDEX('Hub Users 226'!A:A, MATCH(C353, 'Hub Users 226'!B:B, 0)), "")</f>
        <v>381</v>
      </c>
      <c r="J353" s="22" t="s">
        <v>240</v>
      </c>
      <c r="K353" s="23" t="s">
        <v>3159</v>
      </c>
      <c r="L353" s="25">
        <v>43484.720138888886</v>
      </c>
      <c r="M353" s="23"/>
      <c r="N353" s="23"/>
      <c r="O353" s="23"/>
      <c r="P353" s="23"/>
      <c r="Q353" s="22" t="s">
        <v>3160</v>
      </c>
      <c r="R353" s="22" t="s">
        <v>723</v>
      </c>
      <c r="S353" s="22" t="s">
        <v>473</v>
      </c>
      <c r="T353" s="22" t="s">
        <v>252</v>
      </c>
      <c r="U353" s="22" t="s">
        <v>474</v>
      </c>
      <c r="V353" s="23"/>
      <c r="W353" s="23"/>
      <c r="X353" s="23"/>
      <c r="Y353" s="23"/>
      <c r="Z353" s="28"/>
      <c r="AA353" s="23"/>
      <c r="AB353" s="23" t="str">
        <f>IFERROR(__xludf.DUMMYFUNCTION("IF(
ISNUMBER(MATCH(
C353,
IMPORTRANGE(""https://docs.google.com/spreadsheets/d/1yTh1ELC33JHYOeEdgIiEclxPRyh0zOKtlawDltfUay8"",""'Champions'!A:A""),
0
)),
""Outreach Conducted"",
"""")"),"")</f>
        <v/>
      </c>
      <c r="AC353" s="23"/>
      <c r="AD353" s="23"/>
      <c r="AE353" s="23"/>
      <c r="AF353" s="23"/>
      <c r="AG353" s="23"/>
      <c r="AH353" s="23"/>
      <c r="AI353" s="23"/>
      <c r="AJ353" s="23"/>
      <c r="AK353" s="23"/>
      <c r="AL353" s="23"/>
    </row>
    <row r="354" hidden="1">
      <c r="A354" s="22" t="s">
        <v>3161</v>
      </c>
      <c r="B354" s="22" t="s">
        <v>3162</v>
      </c>
      <c r="C354" s="23" t="str">
        <f t="shared" si="1"/>
        <v>Simon Winograd</v>
      </c>
      <c r="D354" s="24"/>
      <c r="E354" s="29" t="s">
        <v>3163</v>
      </c>
      <c r="F354" s="22" t="s">
        <v>248</v>
      </c>
      <c r="G354" s="22">
        <v>623.0</v>
      </c>
      <c r="H354" s="22">
        <f t="array" ref="H354">IFERROR(INDEX('Hub CPC 226'!A:A, MATCH(C354, 'Hub CPC 226'!B:B, 0)), "")</f>
        <v>363</v>
      </c>
      <c r="I354" s="22">
        <f t="array" ref="I354">IFERROR(INDEX('Hub Users 226'!A:A, MATCH(C354, 'Hub Users 226'!B:B, 0)), "")</f>
        <v>382</v>
      </c>
      <c r="J354" s="22" t="s">
        <v>239</v>
      </c>
      <c r="K354" s="23" t="s">
        <v>3164</v>
      </c>
      <c r="L354" s="25">
        <v>44602.700694444444</v>
      </c>
      <c r="M354" s="23"/>
      <c r="N354" s="23"/>
      <c r="O354" s="23"/>
      <c r="P354" s="23"/>
      <c r="Q354" s="24"/>
      <c r="R354" s="22" t="s">
        <v>3165</v>
      </c>
      <c r="S354" s="24"/>
      <c r="T354" s="24"/>
      <c r="U354" s="22" t="s">
        <v>3166</v>
      </c>
      <c r="V354" s="26" t="s">
        <v>284</v>
      </c>
      <c r="W354" s="27" t="s">
        <v>3167</v>
      </c>
      <c r="X354" s="26" t="s">
        <v>362</v>
      </c>
      <c r="Y354" s="23"/>
      <c r="Z354" s="28"/>
      <c r="AA354" s="23"/>
      <c r="AB354" s="23" t="str">
        <f>IFERROR(__xludf.DUMMYFUNCTION("IF(
ISNUMBER(MATCH(
C354,
IMPORTRANGE(""https://docs.google.com/spreadsheets/d/1yTh1ELC33JHYOeEdgIiEclxPRyh0zOKtlawDltfUay8"",""'Champions'!A:A""),
0
)),
""Outreach Conducted"",
"""")"),"")</f>
        <v/>
      </c>
      <c r="AC354" s="23"/>
      <c r="AD354" s="23"/>
      <c r="AE354" s="23"/>
      <c r="AF354" s="23"/>
      <c r="AG354" s="23"/>
      <c r="AH354" s="23"/>
      <c r="AI354" s="23"/>
      <c r="AJ354" s="23"/>
      <c r="AK354" s="23"/>
      <c r="AL354" s="23"/>
    </row>
    <row r="355" hidden="1">
      <c r="A355" s="22" t="s">
        <v>3168</v>
      </c>
      <c r="B355" s="22" t="s">
        <v>3169</v>
      </c>
      <c r="C355" s="23" t="str">
        <f t="shared" si="1"/>
        <v>Swathi Koundinya</v>
      </c>
      <c r="D355" s="22">
        <v>4.083388713E9</v>
      </c>
      <c r="E355" s="29" t="s">
        <v>3170</v>
      </c>
      <c r="F355" s="22" t="s">
        <v>248</v>
      </c>
      <c r="G355" s="22">
        <v>379.0</v>
      </c>
      <c r="H355" s="22">
        <f t="array" ref="H355">IFERROR(INDEX('Hub CPC 226'!A:A, MATCH(C355, 'Hub CPC 226'!B:B, 0)), "")</f>
        <v>364</v>
      </c>
      <c r="I355" s="22">
        <f t="array" ref="I355">IFERROR(INDEX('Hub Users 226'!A:A, MATCH(C355, 'Hub Users 226'!B:B, 0)), "")</f>
        <v>383</v>
      </c>
      <c r="J355" s="22" t="s">
        <v>107</v>
      </c>
      <c r="K355" s="23" t="s">
        <v>3171</v>
      </c>
      <c r="L355" s="25">
        <v>44197.53055555555</v>
      </c>
      <c r="M355" s="23"/>
      <c r="N355" s="23"/>
      <c r="O355" s="23"/>
      <c r="P355" s="23"/>
      <c r="Q355" s="22" t="s">
        <v>3172</v>
      </c>
      <c r="R355" s="22" t="s">
        <v>3173</v>
      </c>
      <c r="S355" s="22" t="s">
        <v>3173</v>
      </c>
      <c r="T355" s="22" t="s">
        <v>252</v>
      </c>
      <c r="U355" s="22" t="s">
        <v>3174</v>
      </c>
      <c r="V355" s="26" t="s">
        <v>798</v>
      </c>
      <c r="W355" s="27" t="s">
        <v>3175</v>
      </c>
      <c r="X355" s="26" t="s">
        <v>2141</v>
      </c>
      <c r="Y355" s="23"/>
      <c r="Z355" s="28"/>
      <c r="AA355" s="23"/>
      <c r="AB355" s="23" t="str">
        <f>IFERROR(__xludf.DUMMYFUNCTION("IF(
ISNUMBER(MATCH(
C355,
IMPORTRANGE(""https://docs.google.com/spreadsheets/d/1yTh1ELC33JHYOeEdgIiEclxPRyh0zOKtlawDltfUay8"",""'Champions'!A:A""),
0
)),
""Outreach Conducted"",
"""")"),"")</f>
        <v/>
      </c>
      <c r="AC355" s="23"/>
      <c r="AD355" s="23"/>
      <c r="AE355" s="23"/>
      <c r="AF355" s="23"/>
      <c r="AG355" s="23"/>
      <c r="AH355" s="23"/>
      <c r="AI355" s="23"/>
      <c r="AJ355" s="23"/>
      <c r="AK355" s="23"/>
      <c r="AL355" s="23"/>
    </row>
    <row r="356" hidden="1">
      <c r="A356" s="22" t="s">
        <v>3176</v>
      </c>
      <c r="B356" s="22" t="s">
        <v>2451</v>
      </c>
      <c r="C356" s="23" t="str">
        <f t="shared" si="1"/>
        <v>Sunkyung Park</v>
      </c>
      <c r="D356" s="22">
        <v>8.182632274E9</v>
      </c>
      <c r="E356" s="29" t="s">
        <v>3177</v>
      </c>
      <c r="F356" s="22" t="s">
        <v>248</v>
      </c>
      <c r="G356" s="22">
        <v>364.0</v>
      </c>
      <c r="H356" s="22">
        <f t="array" ref="H356">IFERROR(INDEX('Hub CPC 226'!A:A, MATCH(C356, 'Hub CPC 226'!B:B, 0)), "")</f>
        <v>365</v>
      </c>
      <c r="I356" s="22">
        <f t="array" ref="I356">IFERROR(INDEX('Hub Users 226'!A:A, MATCH(C356, 'Hub Users 226'!B:B, 0)), "")</f>
        <v>384</v>
      </c>
      <c r="J356" s="22" t="s">
        <v>260</v>
      </c>
      <c r="K356" s="28" t="s">
        <v>3178</v>
      </c>
      <c r="L356" s="25">
        <v>44131.563888888886</v>
      </c>
      <c r="M356" s="28">
        <v>16.0</v>
      </c>
      <c r="N356" s="28">
        <v>35.0</v>
      </c>
      <c r="O356" s="28">
        <v>92.0</v>
      </c>
      <c r="P356" s="31"/>
      <c r="Q356" s="22" t="s">
        <v>3179</v>
      </c>
      <c r="R356" s="22" t="s">
        <v>272</v>
      </c>
      <c r="S356" s="22" t="s">
        <v>3180</v>
      </c>
      <c r="T356" s="22" t="s">
        <v>272</v>
      </c>
      <c r="U356" s="22" t="s">
        <v>3181</v>
      </c>
      <c r="V356" s="26" t="s">
        <v>3182</v>
      </c>
      <c r="W356" s="27" t="s">
        <v>3183</v>
      </c>
      <c r="X356" s="26" t="s">
        <v>3184</v>
      </c>
      <c r="Y356" s="23"/>
      <c r="Z356" s="28"/>
      <c r="AA356" s="23"/>
      <c r="AB356" s="23" t="str">
        <f>IFERROR(__xludf.DUMMYFUNCTION("IF(
ISNUMBER(MATCH(
C356,
IMPORTRANGE(""https://docs.google.com/spreadsheets/d/1yTh1ELC33JHYOeEdgIiEclxPRyh0zOKtlawDltfUay8"",""'Champions'!A:A""),
0
)),
""Outreach Conducted"",
"""")"),"")</f>
        <v/>
      </c>
      <c r="AC356" s="23"/>
      <c r="AD356" s="23"/>
      <c r="AE356" s="23"/>
      <c r="AF356" s="23"/>
      <c r="AG356" s="23"/>
      <c r="AH356" s="23"/>
      <c r="AI356" s="23"/>
      <c r="AJ356" s="23"/>
      <c r="AK356" s="23"/>
      <c r="AL356" s="23"/>
    </row>
    <row r="357" hidden="1">
      <c r="A357" s="22" t="s">
        <v>3185</v>
      </c>
      <c r="B357" s="22" t="s">
        <v>3186</v>
      </c>
      <c r="C357" s="23" t="str">
        <f t="shared" si="1"/>
        <v>Sloka Iyengar</v>
      </c>
      <c r="D357" s="22" t="s">
        <v>3187</v>
      </c>
      <c r="E357" s="29" t="s">
        <v>3188</v>
      </c>
      <c r="F357" s="22" t="s">
        <v>248</v>
      </c>
      <c r="G357" s="22">
        <v>310.0</v>
      </c>
      <c r="H357" s="22">
        <f t="array" ref="H357">IFERROR(INDEX('Hub CPC 226'!A:A, MATCH(C357, 'Hub CPC 226'!B:B, 0)), "")</f>
        <v>366</v>
      </c>
      <c r="I357" s="22">
        <f t="array" ref="I357">IFERROR(INDEX('Hub Users 226'!A:A, MATCH(C357, 'Hub Users 226'!B:B, 0)), "")</f>
        <v>385</v>
      </c>
      <c r="J357" s="22" t="s">
        <v>290</v>
      </c>
      <c r="K357" s="23" t="s">
        <v>3189</v>
      </c>
      <c r="L357" s="25">
        <v>43908.71944444445</v>
      </c>
      <c r="M357" s="28">
        <v>13.0</v>
      </c>
      <c r="N357" s="28">
        <v>31.0</v>
      </c>
      <c r="O357" s="28">
        <v>72.0</v>
      </c>
      <c r="P357" s="32">
        <v>10.0</v>
      </c>
      <c r="Q357" s="22" t="s">
        <v>3190</v>
      </c>
      <c r="R357" s="22" t="s">
        <v>271</v>
      </c>
      <c r="S357" s="22" t="s">
        <v>3191</v>
      </c>
      <c r="T357" s="22" t="s">
        <v>272</v>
      </c>
      <c r="U357" s="22" t="s">
        <v>3192</v>
      </c>
      <c r="V357" s="23"/>
      <c r="W357" s="23"/>
      <c r="X357" s="23"/>
      <c r="Y357" s="23"/>
      <c r="Z357" s="28"/>
      <c r="AA357" s="23"/>
      <c r="AB357" s="23" t="str">
        <f>IFERROR(__xludf.DUMMYFUNCTION("IF(
ISNUMBER(MATCH(
C357,
IMPORTRANGE(""https://docs.google.com/spreadsheets/d/1yTh1ELC33JHYOeEdgIiEclxPRyh0zOKtlawDltfUay8"",""'Champions'!A:A""),
0
)),
""Outreach Conducted"",
"""")"),"")</f>
        <v/>
      </c>
      <c r="AC357" s="23"/>
      <c r="AD357" s="23"/>
      <c r="AE357" s="23"/>
      <c r="AF357" s="23"/>
      <c r="AG357" s="23"/>
      <c r="AH357" s="23"/>
      <c r="AI357" s="23"/>
      <c r="AJ357" s="23"/>
      <c r="AK357" s="23"/>
      <c r="AL357" s="23"/>
    </row>
    <row r="358" hidden="1">
      <c r="A358" s="22" t="s">
        <v>3193</v>
      </c>
      <c r="B358" s="22" t="s">
        <v>3194</v>
      </c>
      <c r="C358" s="23" t="str">
        <f t="shared" si="1"/>
        <v>Sarah Anne Mead Lupberger</v>
      </c>
      <c r="D358" s="22">
        <v>1.3124938747E10</v>
      </c>
      <c r="E358" s="29" t="s">
        <v>3195</v>
      </c>
      <c r="F358" s="22" t="s">
        <v>248</v>
      </c>
      <c r="G358" s="22">
        <v>30.0</v>
      </c>
      <c r="H358" s="22">
        <f t="array" ref="H358">IFERROR(INDEX('Hub CPC 226'!A:A, MATCH(C358, 'Hub CPC 226'!B:B, 0)), "")</f>
        <v>367</v>
      </c>
      <c r="I358" s="22">
        <f t="array" ref="I358">IFERROR(INDEX('Hub Users 226'!A:A, MATCH(C358, 'Hub Users 226'!B:B, 0)), "")</f>
        <v>386</v>
      </c>
      <c r="J358" s="22"/>
      <c r="K358" s="28" t="s">
        <v>3196</v>
      </c>
      <c r="L358" s="25">
        <v>43338.743055555555</v>
      </c>
      <c r="M358" s="23"/>
      <c r="N358" s="23"/>
      <c r="O358" s="23"/>
      <c r="P358" s="23"/>
      <c r="Q358" s="22" t="s">
        <v>3197</v>
      </c>
      <c r="R358" s="22" t="s">
        <v>3082</v>
      </c>
      <c r="S358" s="22" t="s">
        <v>1371</v>
      </c>
      <c r="T358" s="22" t="s">
        <v>1372</v>
      </c>
      <c r="U358" s="22" t="s">
        <v>3198</v>
      </c>
      <c r="V358" s="26" t="s">
        <v>1903</v>
      </c>
      <c r="W358" s="27" t="s">
        <v>3199</v>
      </c>
      <c r="X358" s="26" t="s">
        <v>3200</v>
      </c>
      <c r="Y358" s="23"/>
      <c r="Z358" s="28"/>
      <c r="AA358" s="23"/>
      <c r="AB358" s="23" t="str">
        <f>IFERROR(__xludf.DUMMYFUNCTION("IF(
ISNUMBER(MATCH(
C358,
IMPORTRANGE(""https://docs.google.com/spreadsheets/d/1yTh1ELC33JHYOeEdgIiEclxPRyh0zOKtlawDltfUay8"",""'Champions'!A:A""),
0
)),
""Outreach Conducted"",
"""")"),"")</f>
        <v/>
      </c>
      <c r="AC358" s="23"/>
      <c r="AD358" s="23"/>
      <c r="AE358" s="23"/>
      <c r="AF358" s="23"/>
      <c r="AG358" s="23"/>
      <c r="AH358" s="23"/>
      <c r="AI358" s="23"/>
      <c r="AJ358" s="23"/>
      <c r="AK358" s="23"/>
      <c r="AL358" s="23"/>
    </row>
    <row r="359" hidden="1">
      <c r="A359" s="22" t="s">
        <v>3201</v>
      </c>
      <c r="B359" s="22" t="s">
        <v>3202</v>
      </c>
      <c r="C359" s="23" t="str">
        <f t="shared" si="1"/>
        <v>Smrithi Prem</v>
      </c>
      <c r="D359" s="22">
        <v>1.2018733741E10</v>
      </c>
      <c r="E359" s="29" t="s">
        <v>3203</v>
      </c>
      <c r="F359" s="22" t="s">
        <v>248</v>
      </c>
      <c r="G359" s="22">
        <v>452.0</v>
      </c>
      <c r="H359" s="22">
        <f t="array" ref="H359">IFERROR(INDEX('Hub CPC 226'!A:A, MATCH(C359, 'Hub CPC 226'!B:B, 0)), "")</f>
        <v>368</v>
      </c>
      <c r="I359" s="22">
        <f t="array" ref="I359">IFERROR(INDEX('Hub Users 226'!A:A, MATCH(C359, 'Hub Users 226'!B:B, 0)), "")</f>
        <v>387</v>
      </c>
      <c r="J359" s="22" t="s">
        <v>240</v>
      </c>
      <c r="K359" s="23" t="s">
        <v>3204</v>
      </c>
      <c r="L359" s="25">
        <v>44246.49375</v>
      </c>
      <c r="M359" s="23"/>
      <c r="N359" s="23"/>
      <c r="O359" s="23"/>
      <c r="P359" s="23"/>
      <c r="Q359" s="22" t="s">
        <v>3205</v>
      </c>
      <c r="R359" s="22" t="s">
        <v>1894</v>
      </c>
      <c r="S359" s="22" t="s">
        <v>1895</v>
      </c>
      <c r="T359" s="22" t="s">
        <v>241</v>
      </c>
      <c r="U359" s="22" t="s">
        <v>3206</v>
      </c>
      <c r="V359" s="26" t="s">
        <v>360</v>
      </c>
      <c r="W359" s="27" t="s">
        <v>3207</v>
      </c>
      <c r="X359" s="26" t="s">
        <v>619</v>
      </c>
      <c r="Y359" s="23"/>
      <c r="Z359" s="28"/>
      <c r="AA359" s="23"/>
      <c r="AB359" s="23" t="str">
        <f>IFERROR(__xludf.DUMMYFUNCTION("IF(
ISNUMBER(MATCH(
C359,
IMPORTRANGE(""https://docs.google.com/spreadsheets/d/1yTh1ELC33JHYOeEdgIiEclxPRyh0zOKtlawDltfUay8"",""'Champions'!A:A""),
0
)),
""Outreach Conducted"",
"""")"),"")</f>
        <v/>
      </c>
      <c r="AC359" s="23"/>
      <c r="AD359" s="23"/>
      <c r="AE359" s="23"/>
      <c r="AF359" s="23"/>
      <c r="AG359" s="23"/>
      <c r="AH359" s="23"/>
      <c r="AI359" s="23"/>
      <c r="AJ359" s="23"/>
      <c r="AK359" s="23"/>
      <c r="AL359" s="23"/>
    </row>
    <row r="360" hidden="1">
      <c r="A360" s="22" t="s">
        <v>3208</v>
      </c>
      <c r="B360" s="22" t="s">
        <v>3209</v>
      </c>
      <c r="C360" s="23" t="str">
        <f t="shared" si="1"/>
        <v>Suzette Nicole Bennett</v>
      </c>
      <c r="D360" s="22" t="s">
        <v>3210</v>
      </c>
      <c r="E360" s="29" t="s">
        <v>3211</v>
      </c>
      <c r="F360" s="22" t="s">
        <v>248</v>
      </c>
      <c r="G360" s="22">
        <v>115.0</v>
      </c>
      <c r="H360" s="22">
        <f t="array" ref="H360">IFERROR(INDEX('Hub CPC 226'!A:A, MATCH(C360, 'Hub CPC 226'!B:B, 0)), "")</f>
        <v>369</v>
      </c>
      <c r="I360" s="22">
        <f t="array" ref="I360">IFERROR(INDEX('Hub Users 226'!A:A, MATCH(C360, 'Hub Users 226'!B:B, 0)), "")</f>
        <v>388</v>
      </c>
      <c r="J360" s="22" t="s">
        <v>260</v>
      </c>
      <c r="K360" s="23" t="s">
        <v>3212</v>
      </c>
      <c r="L360" s="25">
        <v>43500.620833333334</v>
      </c>
      <c r="M360" s="23"/>
      <c r="N360" s="23"/>
      <c r="O360" s="23"/>
      <c r="P360" s="23"/>
      <c r="Q360" s="22" t="s">
        <v>3213</v>
      </c>
      <c r="R360" s="22" t="s">
        <v>380</v>
      </c>
      <c r="S360" s="22" t="s">
        <v>380</v>
      </c>
      <c r="T360" s="22" t="s">
        <v>381</v>
      </c>
      <c r="U360" s="22" t="s">
        <v>3214</v>
      </c>
      <c r="V360" s="26" t="s">
        <v>884</v>
      </c>
      <c r="W360" s="27" t="s">
        <v>3215</v>
      </c>
      <c r="X360" s="26" t="s">
        <v>3216</v>
      </c>
      <c r="Y360" s="23"/>
      <c r="Z360" s="28"/>
      <c r="AA360" s="23"/>
      <c r="AB360" s="23" t="str">
        <f>IFERROR(__xludf.DUMMYFUNCTION("IF(
ISNUMBER(MATCH(
C360,
IMPORTRANGE(""https://docs.google.com/spreadsheets/d/1yTh1ELC33JHYOeEdgIiEclxPRyh0zOKtlawDltfUay8"",""'Champions'!A:A""),
0
)),
""Outreach Conducted"",
"""")"),"")</f>
        <v/>
      </c>
      <c r="AC360" s="23"/>
      <c r="AD360" s="23"/>
      <c r="AE360" s="23"/>
      <c r="AF360" s="23"/>
      <c r="AG360" s="23"/>
      <c r="AH360" s="23"/>
      <c r="AI360" s="23"/>
      <c r="AJ360" s="23"/>
      <c r="AK360" s="23"/>
      <c r="AL360" s="23"/>
    </row>
    <row r="361" hidden="1">
      <c r="A361" s="22" t="s">
        <v>3217</v>
      </c>
      <c r="B361" s="22" t="s">
        <v>2583</v>
      </c>
      <c r="C361" s="23" t="str">
        <f t="shared" si="1"/>
        <v>Sonya Robinson</v>
      </c>
      <c r="D361" s="22">
        <v>3.3769309411E10</v>
      </c>
      <c r="E361" s="29" t="s">
        <v>3218</v>
      </c>
      <c r="F361" s="22" t="s">
        <v>399</v>
      </c>
      <c r="G361" s="22">
        <v>556.0</v>
      </c>
      <c r="H361" s="22">
        <f t="array" ref="H361">IFERROR(INDEX('Hub CPC 226'!A:A, MATCH(C361, 'Hub CPC 226'!B:B, 0)), "")</f>
        <v>370</v>
      </c>
      <c r="I361" s="22">
        <f t="array" ref="I361">IFERROR(INDEX('Hub Users 226'!A:A, MATCH(C361, 'Hub Users 226'!B:B, 0)), "")</f>
        <v>389</v>
      </c>
      <c r="J361" s="22" t="s">
        <v>290</v>
      </c>
      <c r="K361" s="23" t="s">
        <v>3219</v>
      </c>
      <c r="L361" s="25">
        <v>44528.37847222222</v>
      </c>
      <c r="M361" s="23"/>
      <c r="N361" s="23"/>
      <c r="O361" s="23"/>
      <c r="P361" s="23"/>
      <c r="Q361" s="22" t="s">
        <v>3220</v>
      </c>
      <c r="R361" s="22" t="s">
        <v>3221</v>
      </c>
      <c r="S361" s="24"/>
      <c r="T361" s="24"/>
      <c r="U361" s="22" t="s">
        <v>3222</v>
      </c>
      <c r="V361" s="23"/>
      <c r="W361" s="23"/>
      <c r="X361" s="23"/>
      <c r="Y361" s="23"/>
      <c r="Z361" s="23"/>
      <c r="AA361" s="23"/>
      <c r="AB361" s="23" t="str">
        <f>IFERROR(__xludf.DUMMYFUNCTION("IF(
ISNUMBER(MATCH(
C361,
IMPORTRANGE(""https://docs.google.com/spreadsheets/d/1yTh1ELC33JHYOeEdgIiEclxPRyh0zOKtlawDltfUay8"",""'Champions'!A:A""),
0
)),
""Outreach Conducted"",
"""")"),"")</f>
        <v/>
      </c>
      <c r="AC361" s="23"/>
      <c r="AD361" s="23"/>
      <c r="AE361" s="23"/>
      <c r="AF361" s="23"/>
      <c r="AG361" s="23"/>
      <c r="AH361" s="23"/>
      <c r="AI361" s="23"/>
      <c r="AJ361" s="23"/>
      <c r="AK361" s="23"/>
      <c r="AL361" s="23"/>
    </row>
    <row r="362" hidden="1">
      <c r="A362" s="22" t="s">
        <v>3223</v>
      </c>
      <c r="B362" s="22" t="s">
        <v>3224</v>
      </c>
      <c r="C362" s="23" t="str">
        <f t="shared" si="1"/>
        <v>Ebunoluwa Sotubo</v>
      </c>
      <c r="D362" s="22" t="s">
        <v>3225</v>
      </c>
      <c r="E362" s="29" t="s">
        <v>3226</v>
      </c>
      <c r="F362" s="22" t="s">
        <v>248</v>
      </c>
      <c r="G362" s="22">
        <v>125.0</v>
      </c>
      <c r="H362" s="22">
        <f t="array" ref="H362">IFERROR(INDEX('Hub CPC 226'!A:A, MATCH(C362, 'Hub CPC 226'!B:B, 0)), "")</f>
        <v>371</v>
      </c>
      <c r="I362" s="22">
        <f t="array" ref="I362">IFERROR(INDEX('Hub Users 226'!A:A, MATCH(C362, 'Hub Users 226'!B:B, 0)), "")</f>
        <v>390</v>
      </c>
      <c r="J362" s="22" t="s">
        <v>240</v>
      </c>
      <c r="K362" s="23" t="s">
        <v>3227</v>
      </c>
      <c r="L362" s="25">
        <v>43500.64791666667</v>
      </c>
      <c r="M362" s="23"/>
      <c r="N362" s="23"/>
      <c r="O362" s="23"/>
      <c r="P362" s="23"/>
      <c r="Q362" s="22" t="s">
        <v>3228</v>
      </c>
      <c r="R362" s="22" t="s">
        <v>3229</v>
      </c>
      <c r="S362" s="22" t="s">
        <v>692</v>
      </c>
      <c r="T362" s="22" t="s">
        <v>501</v>
      </c>
      <c r="U362" s="22" t="s">
        <v>3230</v>
      </c>
      <c r="V362" s="26" t="s">
        <v>798</v>
      </c>
      <c r="W362" s="27" t="s">
        <v>3231</v>
      </c>
      <c r="X362" s="26" t="s">
        <v>3232</v>
      </c>
      <c r="Y362" s="23"/>
      <c r="Z362" s="28"/>
      <c r="AA362" s="23"/>
      <c r="AB362" s="23" t="str">
        <f>IFERROR(__xludf.DUMMYFUNCTION("IF(
ISNUMBER(MATCH(
C362,
IMPORTRANGE(""https://docs.google.com/spreadsheets/d/1yTh1ELC33JHYOeEdgIiEclxPRyh0zOKtlawDltfUay8"",""'Champions'!A:A""),
0
)),
""Outreach Conducted"",
"""")"),"")</f>
        <v/>
      </c>
      <c r="AC362" s="23"/>
      <c r="AD362" s="26" t="s">
        <v>448</v>
      </c>
      <c r="AE362" s="28" t="s">
        <v>3233</v>
      </c>
      <c r="AF362" s="28" t="s">
        <v>449</v>
      </c>
      <c r="AG362" s="28" t="s">
        <v>3234</v>
      </c>
      <c r="AH362" s="23"/>
      <c r="AI362" s="23"/>
      <c r="AJ362" s="23"/>
      <c r="AK362" s="23"/>
      <c r="AL362" s="23"/>
    </row>
    <row r="363" hidden="1">
      <c r="A363" s="22" t="s">
        <v>3235</v>
      </c>
      <c r="B363" s="22" t="s">
        <v>3236</v>
      </c>
      <c r="C363" s="23" t="str">
        <f t="shared" si="1"/>
        <v>Madhumitha Sowndararajan</v>
      </c>
      <c r="D363" s="22" t="s">
        <v>3237</v>
      </c>
      <c r="E363" s="29" t="s">
        <v>3238</v>
      </c>
      <c r="F363" s="22" t="s">
        <v>248</v>
      </c>
      <c r="G363" s="22">
        <v>183.0</v>
      </c>
      <c r="H363" s="22">
        <f t="array" ref="H363">IFERROR(INDEX('Hub CPC 226'!A:A, MATCH(C363, 'Hub CPC 226'!B:B, 0)), "")</f>
        <v>372</v>
      </c>
      <c r="I363" s="22">
        <f t="array" ref="I363">IFERROR(INDEX('Hub Users 226'!A:A, MATCH(C363, 'Hub Users 226'!B:B, 0)), "")</f>
        <v>391</v>
      </c>
      <c r="J363" s="22" t="s">
        <v>240</v>
      </c>
      <c r="K363" s="23" t="s">
        <v>3239</v>
      </c>
      <c r="L363" s="25">
        <v>43592.270833333336</v>
      </c>
      <c r="M363" s="23"/>
      <c r="N363" s="23"/>
      <c r="O363" s="23"/>
      <c r="P363" s="23"/>
      <c r="Q363" s="22" t="s">
        <v>3240</v>
      </c>
      <c r="R363" s="22" t="s">
        <v>1851</v>
      </c>
      <c r="S363" s="22" t="s">
        <v>1349</v>
      </c>
      <c r="T363" s="22" t="s">
        <v>252</v>
      </c>
      <c r="U363" s="22" t="s">
        <v>756</v>
      </c>
      <c r="V363" s="26" t="s">
        <v>445</v>
      </c>
      <c r="W363" s="27" t="s">
        <v>3241</v>
      </c>
      <c r="X363" s="26" t="s">
        <v>3242</v>
      </c>
      <c r="Y363" s="23"/>
      <c r="Z363" s="28"/>
      <c r="AA363" s="23"/>
      <c r="AB363" s="23" t="str">
        <f>IFERROR(__xludf.DUMMYFUNCTION("IF(
ISNUMBER(MATCH(
C363,
IMPORTRANGE(""https://docs.google.com/spreadsheets/d/1yTh1ELC33JHYOeEdgIiEclxPRyh0zOKtlawDltfUay8"",""'Champions'!A:A""),
0
)),
""Outreach Conducted"",
"""")"),"")</f>
        <v/>
      </c>
      <c r="AC363" s="23"/>
      <c r="AD363" s="26" t="s">
        <v>3243</v>
      </c>
      <c r="AE363" s="28" t="s">
        <v>3244</v>
      </c>
      <c r="AF363" s="28" t="s">
        <v>449</v>
      </c>
      <c r="AG363" s="28" t="s">
        <v>3245</v>
      </c>
      <c r="AH363" s="23"/>
      <c r="AI363" s="23"/>
      <c r="AJ363" s="23"/>
      <c r="AK363" s="23"/>
      <c r="AL363" s="23"/>
    </row>
    <row r="364" hidden="1">
      <c r="A364" s="22" t="s">
        <v>1122</v>
      </c>
      <c r="B364" s="22" t="s">
        <v>3246</v>
      </c>
      <c r="C364" s="23" t="str">
        <f t="shared" si="1"/>
        <v>Sandra Sarrouf</v>
      </c>
      <c r="D364" s="22">
        <v>1.8054592055E10</v>
      </c>
      <c r="E364" s="29" t="s">
        <v>3247</v>
      </c>
      <c r="F364" s="22" t="s">
        <v>248</v>
      </c>
      <c r="G364" s="22">
        <v>629.0</v>
      </c>
      <c r="H364" s="22">
        <f t="array" ref="H364">IFERROR(INDEX('Hub CPC 226'!A:A, MATCH(C364, 'Hub CPC 226'!B:B, 0)), "")</f>
        <v>373</v>
      </c>
      <c r="I364" s="22">
        <f t="array" ref="I364">IFERROR(INDEX('Hub Users 226'!A:A, MATCH(C364, 'Hub Users 226'!B:B, 0)), "")</f>
        <v>392</v>
      </c>
      <c r="J364" s="22" t="s">
        <v>290</v>
      </c>
      <c r="K364" s="23" t="s">
        <v>3248</v>
      </c>
      <c r="L364" s="25">
        <v>44629.69305555556</v>
      </c>
      <c r="M364" s="23"/>
      <c r="N364" s="23"/>
      <c r="O364" s="23"/>
      <c r="P364" s="23"/>
      <c r="Q364" s="22" t="s">
        <v>3249</v>
      </c>
      <c r="R364" s="22" t="s">
        <v>3250</v>
      </c>
      <c r="S364" s="22" t="s">
        <v>3251</v>
      </c>
      <c r="T364" s="22" t="s">
        <v>252</v>
      </c>
      <c r="U364" s="22" t="s">
        <v>1762</v>
      </c>
      <c r="V364" s="23"/>
      <c r="W364" s="23"/>
      <c r="X364" s="23"/>
      <c r="Y364" s="23"/>
      <c r="Z364" s="28"/>
      <c r="AA364" s="23"/>
      <c r="AB364" s="23" t="str">
        <f>IFERROR(__xludf.DUMMYFUNCTION("IF(
ISNUMBER(MATCH(
C364,
IMPORTRANGE(""https://docs.google.com/spreadsheets/d/1yTh1ELC33JHYOeEdgIiEclxPRyh0zOKtlawDltfUay8"",""'Champions'!A:A""),
0
)),
""Outreach Conducted"",
"""")"),"")</f>
        <v/>
      </c>
      <c r="AC364" s="23"/>
      <c r="AD364" s="23"/>
      <c r="AE364" s="23"/>
      <c r="AF364" s="23"/>
      <c r="AG364" s="23"/>
      <c r="AH364" s="23"/>
      <c r="AI364" s="23"/>
      <c r="AJ364" s="23"/>
      <c r="AK364" s="23"/>
      <c r="AL364" s="23"/>
    </row>
    <row r="365" hidden="1">
      <c r="A365" s="22" t="s">
        <v>3252</v>
      </c>
      <c r="B365" s="22" t="s">
        <v>3253</v>
      </c>
      <c r="C365" s="23" t="str">
        <f t="shared" si="1"/>
        <v>Soraya Senosier</v>
      </c>
      <c r="D365" s="22" t="s">
        <v>3254</v>
      </c>
      <c r="E365" s="29" t="s">
        <v>3255</v>
      </c>
      <c r="F365" s="22" t="s">
        <v>248</v>
      </c>
      <c r="G365" s="22">
        <v>84.0</v>
      </c>
      <c r="H365" s="22">
        <f t="array" ref="H365">IFERROR(INDEX('Hub CPC 226'!A:A, MATCH(C365, 'Hub CPC 226'!B:B, 0)), "")</f>
        <v>374</v>
      </c>
      <c r="I365" s="22">
        <f t="array" ref="I365">IFERROR(INDEX('Hub Users 226'!A:A, MATCH(C365, 'Hub Users 226'!B:B, 0)), "")</f>
        <v>393</v>
      </c>
      <c r="J365" s="22" t="s">
        <v>240</v>
      </c>
      <c r="K365" s="23" t="s">
        <v>3256</v>
      </c>
      <c r="L365" s="25">
        <v>43354.00208333333</v>
      </c>
      <c r="M365" s="23"/>
      <c r="N365" s="23"/>
      <c r="O365" s="23"/>
      <c r="P365" s="23"/>
      <c r="Q365" s="22" t="s">
        <v>3257</v>
      </c>
      <c r="R365" s="22" t="s">
        <v>1370</v>
      </c>
      <c r="S365" s="22" t="s">
        <v>1371</v>
      </c>
      <c r="T365" s="22" t="s">
        <v>1372</v>
      </c>
      <c r="U365" s="22" t="s">
        <v>3258</v>
      </c>
      <c r="V365" s="26" t="s">
        <v>2930</v>
      </c>
      <c r="W365" s="27" t="s">
        <v>3259</v>
      </c>
      <c r="X365" s="26" t="s">
        <v>3260</v>
      </c>
      <c r="Y365" s="23"/>
      <c r="Z365" s="28"/>
      <c r="AA365" s="23"/>
      <c r="AB365" s="23" t="str">
        <f>IFERROR(__xludf.DUMMYFUNCTION("IF(
ISNUMBER(MATCH(
C365,
IMPORTRANGE(""https://docs.google.com/spreadsheets/d/1yTh1ELC33JHYOeEdgIiEclxPRyh0zOKtlawDltfUay8"",""'Champions'!A:A""),
0
)),
""Outreach Conducted"",
"""")"),"")</f>
        <v/>
      </c>
      <c r="AC365" s="23"/>
      <c r="AD365" s="23"/>
      <c r="AE365" s="23"/>
      <c r="AF365" s="23"/>
      <c r="AG365" s="23"/>
      <c r="AH365" s="23"/>
      <c r="AI365" s="23"/>
      <c r="AJ365" s="23"/>
      <c r="AK365" s="23"/>
      <c r="AL365" s="23"/>
    </row>
    <row r="366" hidden="1">
      <c r="A366" s="32" t="s">
        <v>3261</v>
      </c>
      <c r="B366" s="32" t="s">
        <v>3262</v>
      </c>
      <c r="C366" s="23" t="str">
        <f t="shared" si="1"/>
        <v>Venu GR</v>
      </c>
      <c r="D366" s="31"/>
      <c r="E366" s="32" t="s">
        <v>3263</v>
      </c>
      <c r="F366" s="28" t="s">
        <v>769</v>
      </c>
      <c r="G366" s="32">
        <v>711.0</v>
      </c>
      <c r="H366" s="22">
        <f t="array" ref="H366">IFERROR(INDEX('Hub CPC 226'!A:A, MATCH(C366, 'Hub CPC 226'!B:B, 0)), "")</f>
        <v>375</v>
      </c>
      <c r="I366" s="22">
        <f t="array" ref="I366">IFERROR(INDEX('Hub Users 226'!A:A, MATCH(C366, 'Hub Users 226'!B:B, 0)), "")</f>
        <v>394</v>
      </c>
      <c r="J366" s="22"/>
      <c r="K366" s="23" t="s">
        <v>3264</v>
      </c>
      <c r="L366" s="37">
        <v>45007.44861111111</v>
      </c>
      <c r="M366" s="23"/>
      <c r="N366" s="23"/>
      <c r="O366" s="23"/>
      <c r="P366" s="23"/>
      <c r="Q366" s="31"/>
      <c r="R366" s="32" t="s">
        <v>3265</v>
      </c>
      <c r="S366" s="24"/>
      <c r="T366" s="24"/>
      <c r="U366" s="32" t="s">
        <v>3266</v>
      </c>
      <c r="V366" s="23"/>
      <c r="W366" s="23"/>
      <c r="X366" s="23"/>
      <c r="Y366" s="23"/>
      <c r="Z366" s="23"/>
      <c r="AA366" s="23"/>
      <c r="AB366" s="23" t="str">
        <f>IFERROR(__xludf.DUMMYFUNCTION("IF(
ISNUMBER(MATCH(
C366,
IMPORTRANGE(""https://docs.google.com/spreadsheets/d/1yTh1ELC33JHYOeEdgIiEclxPRyh0zOKtlawDltfUay8"",""'Champions'!A:A""),
0
)),
""Outreach Conducted"",
"""")"),"")</f>
        <v/>
      </c>
      <c r="AC366" s="23"/>
      <c r="AD366" s="23"/>
      <c r="AE366" s="23"/>
      <c r="AF366" s="23"/>
      <c r="AG366" s="23"/>
      <c r="AH366" s="23"/>
      <c r="AI366" s="23"/>
      <c r="AJ366" s="23"/>
      <c r="AK366" s="23"/>
      <c r="AL366" s="23"/>
    </row>
    <row r="367" hidden="1">
      <c r="A367" s="22" t="s">
        <v>3061</v>
      </c>
      <c r="B367" s="22" t="s">
        <v>3267</v>
      </c>
      <c r="C367" s="23" t="str">
        <f t="shared" si="1"/>
        <v>Susan Mikhin</v>
      </c>
      <c r="D367" s="22" t="s">
        <v>3268</v>
      </c>
      <c r="E367" s="29" t="s">
        <v>3269</v>
      </c>
      <c r="F367" s="22" t="s">
        <v>248</v>
      </c>
      <c r="G367" s="22">
        <v>33.0</v>
      </c>
      <c r="H367" s="22">
        <f t="array" ref="H367">IFERROR(INDEX('Hub CPC 226'!A:A, MATCH(C367, 'Hub CPC 226'!B:B, 0)), "")</f>
        <v>376</v>
      </c>
      <c r="I367" s="22">
        <f t="array" ref="I367">IFERROR(INDEX('Hub Users 226'!A:A, MATCH(C367, 'Hub Users 226'!B:B, 0)), "")</f>
        <v>395</v>
      </c>
      <c r="J367" s="22" t="s">
        <v>260</v>
      </c>
      <c r="K367" s="28" t="s">
        <v>3270</v>
      </c>
      <c r="L367" s="25">
        <v>43338.743055555555</v>
      </c>
      <c r="M367" s="23"/>
      <c r="N367" s="23"/>
      <c r="O367" s="23"/>
      <c r="P367" s="23"/>
      <c r="Q367" s="22" t="s">
        <v>3271</v>
      </c>
      <c r="R367" s="22" t="s">
        <v>3272</v>
      </c>
      <c r="S367" s="22" t="s">
        <v>1785</v>
      </c>
      <c r="T367" s="22" t="s">
        <v>813</v>
      </c>
      <c r="U367" s="22" t="s">
        <v>3273</v>
      </c>
      <c r="V367" s="23"/>
      <c r="W367" s="23"/>
      <c r="X367" s="23"/>
      <c r="Y367" s="23"/>
      <c r="Z367" s="28"/>
      <c r="AA367" s="23"/>
      <c r="AB367" s="23" t="str">
        <f>IFERROR(__xludf.DUMMYFUNCTION("IF(
ISNUMBER(MATCH(
C367,
IMPORTRANGE(""https://docs.google.com/spreadsheets/d/1yTh1ELC33JHYOeEdgIiEclxPRyh0zOKtlawDltfUay8"",""'Champions'!A:A""),
0
)),
""Outreach Conducted"",
"""")"),"")</f>
        <v/>
      </c>
      <c r="AC367" s="23"/>
      <c r="AD367" s="23"/>
      <c r="AE367" s="23"/>
      <c r="AF367" s="23"/>
      <c r="AG367" s="23"/>
      <c r="AH367" s="23"/>
      <c r="AI367" s="23"/>
      <c r="AJ367" s="23"/>
      <c r="AK367" s="23"/>
      <c r="AL367" s="23"/>
    </row>
    <row r="368" hidden="1">
      <c r="A368" s="22" t="s">
        <v>3274</v>
      </c>
      <c r="B368" s="22" t="s">
        <v>3275</v>
      </c>
      <c r="C368" s="23" t="str">
        <f t="shared" si="1"/>
        <v>Sumeyya Ashraf Khan</v>
      </c>
      <c r="D368" s="22" t="s">
        <v>3276</v>
      </c>
      <c r="E368" s="29" t="s">
        <v>3277</v>
      </c>
      <c r="F368" s="22" t="s">
        <v>248</v>
      </c>
      <c r="G368" s="22">
        <v>122.0</v>
      </c>
      <c r="H368" s="22">
        <f t="array" ref="H368">IFERROR(INDEX('Hub CPC 226'!A:A, MATCH(C368, 'Hub CPC 226'!B:B, 0)), "")</f>
        <v>377</v>
      </c>
      <c r="I368" s="22">
        <f t="array" ref="I368">IFERROR(INDEX('Hub Users 226'!A:A, MATCH(C368, 'Hub Users 226'!B:B, 0)), "")</f>
        <v>396</v>
      </c>
      <c r="J368" s="22" t="s">
        <v>240</v>
      </c>
      <c r="K368" s="23" t="s">
        <v>3278</v>
      </c>
      <c r="L368" s="25">
        <v>43500.63958333333</v>
      </c>
      <c r="M368" s="23"/>
      <c r="N368" s="23"/>
      <c r="O368" s="23"/>
      <c r="P368" s="23"/>
      <c r="Q368" s="22" t="s">
        <v>3279</v>
      </c>
      <c r="R368" s="22" t="s">
        <v>723</v>
      </c>
      <c r="S368" s="22" t="s">
        <v>473</v>
      </c>
      <c r="T368" s="22" t="s">
        <v>252</v>
      </c>
      <c r="U368" s="22" t="s">
        <v>702</v>
      </c>
      <c r="V368" s="26" t="s">
        <v>360</v>
      </c>
      <c r="W368" s="27" t="s">
        <v>3280</v>
      </c>
      <c r="X368" s="26" t="s">
        <v>421</v>
      </c>
      <c r="Y368" s="23"/>
      <c r="Z368" s="28"/>
      <c r="AA368" s="23"/>
      <c r="AB368" s="23" t="str">
        <f>IFERROR(__xludf.DUMMYFUNCTION("IF(
ISNUMBER(MATCH(
C368,
IMPORTRANGE(""https://docs.google.com/spreadsheets/d/1yTh1ELC33JHYOeEdgIiEclxPRyh0zOKtlawDltfUay8"",""'Champions'!A:A""),
0
)),
""Outreach Conducted"",
"""")"),"")</f>
        <v/>
      </c>
      <c r="AC368" s="23"/>
      <c r="AD368" s="23"/>
      <c r="AE368" s="23"/>
      <c r="AF368" s="23"/>
      <c r="AG368" s="23"/>
      <c r="AH368" s="23"/>
      <c r="AI368" s="23"/>
      <c r="AJ368" s="23"/>
      <c r="AK368" s="23"/>
      <c r="AL368" s="23"/>
    </row>
    <row r="369" hidden="1">
      <c r="A369" s="22" t="s">
        <v>3281</v>
      </c>
      <c r="B369" s="22" t="s">
        <v>277</v>
      </c>
      <c r="C369" s="23" t="str">
        <f t="shared" si="1"/>
        <v>Sunaina Mehta</v>
      </c>
      <c r="D369" s="22" t="s">
        <v>3282</v>
      </c>
      <c r="E369" s="29" t="s">
        <v>3283</v>
      </c>
      <c r="F369" s="22" t="s">
        <v>248</v>
      </c>
      <c r="G369" s="22">
        <v>165.0</v>
      </c>
      <c r="H369" s="22">
        <f t="array" ref="H369">IFERROR(INDEX('Hub CPC 226'!A:A, MATCH(C369, 'Hub CPC 226'!B:B, 0)), "")</f>
        <v>378</v>
      </c>
      <c r="I369" s="22">
        <f t="array" ref="I369">IFERROR(INDEX('Hub Users 226'!A:A, MATCH(C369, 'Hub Users 226'!B:B, 0)), "")</f>
        <v>397</v>
      </c>
      <c r="J369" s="22" t="s">
        <v>240</v>
      </c>
      <c r="K369" s="28" t="s">
        <v>3284</v>
      </c>
      <c r="L369" s="25">
        <v>43592.26597222222</v>
      </c>
      <c r="M369" s="23"/>
      <c r="N369" s="23"/>
      <c r="O369" s="23"/>
      <c r="P369" s="23"/>
      <c r="Q369" s="22" t="s">
        <v>3285</v>
      </c>
      <c r="R369" s="22" t="s">
        <v>251</v>
      </c>
      <c r="S369" s="22" t="s">
        <v>573</v>
      </c>
      <c r="T369" s="22" t="s">
        <v>252</v>
      </c>
      <c r="U369" s="24"/>
      <c r="V369" s="26" t="s">
        <v>3286</v>
      </c>
      <c r="W369" s="27" t="s">
        <v>3287</v>
      </c>
      <c r="X369" s="26" t="s">
        <v>3288</v>
      </c>
      <c r="Y369" s="23"/>
      <c r="Z369" s="28"/>
      <c r="AA369" s="23"/>
      <c r="AB369" s="23" t="str">
        <f>IFERROR(__xludf.DUMMYFUNCTION("IF(
ISNUMBER(MATCH(
C369,
IMPORTRANGE(""https://docs.google.com/spreadsheets/d/1yTh1ELC33JHYOeEdgIiEclxPRyh0zOKtlawDltfUay8"",""'Champions'!A:A""),
0
)),
""Outreach Conducted"",
"""")"),"")</f>
        <v/>
      </c>
      <c r="AC369" s="23"/>
      <c r="AD369" s="26" t="s">
        <v>1195</v>
      </c>
      <c r="AE369" s="23"/>
      <c r="AF369" s="23"/>
      <c r="AG369" s="23"/>
      <c r="AH369" s="23"/>
      <c r="AI369" s="23"/>
      <c r="AJ369" s="23"/>
      <c r="AK369" s="23"/>
      <c r="AL369" s="23"/>
    </row>
    <row r="370" hidden="1">
      <c r="A370" s="22" t="s">
        <v>3289</v>
      </c>
      <c r="B370" s="22" t="s">
        <v>3290</v>
      </c>
      <c r="C370" s="23" t="str">
        <f t="shared" si="1"/>
        <v>Susanna Margareta Sabahi</v>
      </c>
      <c r="D370" s="24"/>
      <c r="E370" s="29" t="s">
        <v>3291</v>
      </c>
      <c r="F370" s="22" t="s">
        <v>248</v>
      </c>
      <c r="G370" s="22">
        <v>167.0</v>
      </c>
      <c r="H370" s="22">
        <f t="array" ref="H370">IFERROR(INDEX('Hub CPC 226'!A:A, MATCH(C370, 'Hub CPC 226'!B:B, 0)), "")</f>
        <v>379</v>
      </c>
      <c r="I370" s="22">
        <f t="array" ref="I370">IFERROR(INDEX('Hub Users 226'!A:A, MATCH(C370, 'Hub Users 226'!B:B, 0)), "")</f>
        <v>398</v>
      </c>
      <c r="J370" s="22" t="s">
        <v>240</v>
      </c>
      <c r="K370" s="23" t="s">
        <v>3292</v>
      </c>
      <c r="L370" s="25">
        <v>43592.26597222222</v>
      </c>
      <c r="M370" s="23"/>
      <c r="N370" s="23"/>
      <c r="O370" s="23"/>
      <c r="P370" s="23"/>
      <c r="Q370" s="22" t="s">
        <v>3293</v>
      </c>
      <c r="R370" s="22" t="s">
        <v>473</v>
      </c>
      <c r="S370" s="22" t="s">
        <v>473</v>
      </c>
      <c r="T370" s="22" t="s">
        <v>252</v>
      </c>
      <c r="U370" s="22" t="s">
        <v>3294</v>
      </c>
      <c r="V370" s="23"/>
      <c r="W370" s="23"/>
      <c r="X370" s="23"/>
      <c r="Y370" s="23"/>
      <c r="Z370" s="28"/>
      <c r="AA370" s="23"/>
      <c r="AB370" s="23" t="str">
        <f>IFERROR(__xludf.DUMMYFUNCTION("IF(
ISNUMBER(MATCH(
C370,
IMPORTRANGE(""https://docs.google.com/spreadsheets/d/1yTh1ELC33JHYOeEdgIiEclxPRyh0zOKtlawDltfUay8"",""'Champions'!A:A""),
0
)),
""Outreach Conducted"",
"""")"),"")</f>
        <v/>
      </c>
      <c r="AC370" s="23"/>
      <c r="AD370" s="23"/>
      <c r="AE370" s="23"/>
      <c r="AF370" s="23"/>
      <c r="AG370" s="23"/>
      <c r="AH370" s="23"/>
      <c r="AI370" s="23"/>
      <c r="AJ370" s="23"/>
      <c r="AK370" s="23"/>
      <c r="AL370" s="23"/>
    </row>
    <row r="371" hidden="1">
      <c r="A371" s="22" t="s">
        <v>3061</v>
      </c>
      <c r="B371" s="22" t="s">
        <v>3295</v>
      </c>
      <c r="C371" s="23" t="str">
        <f t="shared" si="1"/>
        <v>Susan Simpkins</v>
      </c>
      <c r="D371" s="22">
        <v>9.375542455E9</v>
      </c>
      <c r="E371" s="29" t="s">
        <v>3296</v>
      </c>
      <c r="F371" s="22" t="s">
        <v>238</v>
      </c>
      <c r="G371" s="22">
        <v>166.0</v>
      </c>
      <c r="H371" s="22">
        <f t="array" ref="H371">IFERROR(INDEX('Hub CPC 226'!A:A, MATCH(C371, 'Hub CPC 226'!B:B, 0)), "")</f>
        <v>380</v>
      </c>
      <c r="I371" s="22">
        <f t="array" ref="I371">IFERROR(INDEX('Hub Users 226'!A:A, MATCH(C371, 'Hub Users 226'!B:B, 0)), "")</f>
        <v>399</v>
      </c>
      <c r="J371" s="22" t="s">
        <v>240</v>
      </c>
      <c r="K371" s="23" t="s">
        <v>3297</v>
      </c>
      <c r="L371" s="25">
        <v>43592.26597222222</v>
      </c>
      <c r="M371" s="23"/>
      <c r="N371" s="23"/>
      <c r="O371" s="23"/>
      <c r="P371" s="23"/>
      <c r="Q371" s="22" t="s">
        <v>3298</v>
      </c>
      <c r="R371" s="22" t="s">
        <v>3299</v>
      </c>
      <c r="S371" s="22" t="s">
        <v>3300</v>
      </c>
      <c r="T371" s="22" t="s">
        <v>252</v>
      </c>
      <c r="U371" s="22" t="s">
        <v>3301</v>
      </c>
      <c r="V371" s="23"/>
      <c r="W371" s="23"/>
      <c r="X371" s="23"/>
      <c r="Y371" s="23"/>
      <c r="Z371" s="28"/>
      <c r="AA371" s="23"/>
      <c r="AB371" s="23" t="str">
        <f>IFERROR(__xludf.DUMMYFUNCTION("IF(
ISNUMBER(MATCH(
C371,
IMPORTRANGE(""https://docs.google.com/spreadsheets/d/1yTh1ELC33JHYOeEdgIiEclxPRyh0zOKtlawDltfUay8"",""'Champions'!A:A""),
0
)),
""Outreach Conducted"",
"""")"),"")</f>
        <v/>
      </c>
      <c r="AC371" s="23"/>
      <c r="AD371" s="23"/>
      <c r="AE371" s="23"/>
      <c r="AF371" s="23"/>
      <c r="AG371" s="23"/>
      <c r="AH371" s="23"/>
      <c r="AI371" s="23"/>
      <c r="AJ371" s="23"/>
      <c r="AK371" s="23"/>
      <c r="AL371" s="23"/>
    </row>
    <row r="372" hidden="1">
      <c r="A372" s="22" t="s">
        <v>3061</v>
      </c>
      <c r="B372" s="22" t="s">
        <v>3302</v>
      </c>
      <c r="C372" s="23" t="str">
        <f t="shared" si="1"/>
        <v>Susan Philipose</v>
      </c>
      <c r="D372" s="22" t="s">
        <v>3303</v>
      </c>
      <c r="E372" s="29" t="s">
        <v>3304</v>
      </c>
      <c r="F372" s="22" t="s">
        <v>248</v>
      </c>
      <c r="G372" s="22">
        <v>356.0</v>
      </c>
      <c r="H372" s="22">
        <f t="array" ref="H372">IFERROR(INDEX('Hub CPC 226'!A:A, MATCH(C372, 'Hub CPC 226'!B:B, 0)), "")</f>
        <v>381</v>
      </c>
      <c r="I372" s="22">
        <f t="array" ref="I372">IFERROR(INDEX('Hub Users 226'!A:A, MATCH(C372, 'Hub Users 226'!B:B, 0)), "")</f>
        <v>400</v>
      </c>
      <c r="J372" s="22" t="s">
        <v>425</v>
      </c>
      <c r="K372" s="28" t="s">
        <v>3305</v>
      </c>
      <c r="L372" s="25">
        <v>44109.521527777775</v>
      </c>
      <c r="M372" s="28"/>
      <c r="N372" s="28"/>
      <c r="O372" s="28"/>
      <c r="P372" s="31"/>
      <c r="Q372" s="22" t="s">
        <v>1172</v>
      </c>
      <c r="R372" s="22" t="s">
        <v>3306</v>
      </c>
      <c r="S372" s="22" t="s">
        <v>1173</v>
      </c>
      <c r="T372" s="22" t="s">
        <v>272</v>
      </c>
      <c r="U372" s="22" t="s">
        <v>3307</v>
      </c>
      <c r="V372" s="26" t="s">
        <v>296</v>
      </c>
      <c r="W372" s="27" t="s">
        <v>3308</v>
      </c>
      <c r="X372" s="26" t="s">
        <v>3309</v>
      </c>
      <c r="Y372" s="23"/>
      <c r="Z372" s="28"/>
      <c r="AA372" s="23"/>
      <c r="AB372" s="23" t="str">
        <f>IFERROR(__xludf.DUMMYFUNCTION("IF(
ISNUMBER(MATCH(
C372,
IMPORTRANGE(""https://docs.google.com/spreadsheets/d/1yTh1ELC33JHYOeEdgIiEclxPRyh0zOKtlawDltfUay8"",""'Champions'!A:A""),
0
)),
""Outreach Conducted"",
"""")"),"")</f>
        <v/>
      </c>
      <c r="AC372" s="23"/>
      <c r="AD372" s="26" t="s">
        <v>843</v>
      </c>
      <c r="AE372" s="28" t="s">
        <v>844</v>
      </c>
      <c r="AF372" s="28" t="s">
        <v>449</v>
      </c>
      <c r="AG372" s="28" t="s">
        <v>3310</v>
      </c>
      <c r="AH372" s="23"/>
      <c r="AI372" s="23"/>
      <c r="AJ372" s="23"/>
      <c r="AK372" s="23"/>
      <c r="AL372" s="23"/>
    </row>
    <row r="373" hidden="1">
      <c r="A373" s="22" t="s">
        <v>3311</v>
      </c>
      <c r="B373" s="22" t="s">
        <v>3312</v>
      </c>
      <c r="C373" s="23" t="str">
        <f t="shared" si="1"/>
        <v>Syed Hussain</v>
      </c>
      <c r="D373" s="22">
        <v>5.16395303E9</v>
      </c>
      <c r="E373" s="29" t="s">
        <v>3313</v>
      </c>
      <c r="F373" s="22" t="s">
        <v>248</v>
      </c>
      <c r="G373" s="22">
        <v>353.0</v>
      </c>
      <c r="H373" s="22">
        <f t="array" ref="H373">IFERROR(INDEX('Hub CPC 226'!A:A, MATCH(C373, 'Hub CPC 226'!B:B, 0)), "")</f>
        <v>382</v>
      </c>
      <c r="I373" s="22">
        <f t="array" ref="I373">IFERROR(INDEX('Hub Users 226'!A:A, MATCH(C373, 'Hub Users 226'!B:B, 0)), "")</f>
        <v>401</v>
      </c>
      <c r="J373" s="22" t="s">
        <v>239</v>
      </c>
      <c r="K373" s="23" t="s">
        <v>3314</v>
      </c>
      <c r="L373" s="25">
        <v>44102.60208333333</v>
      </c>
      <c r="M373" s="23"/>
      <c r="N373" s="23"/>
      <c r="O373" s="23"/>
      <c r="P373" s="23"/>
      <c r="Q373" s="22" t="s">
        <v>3315</v>
      </c>
      <c r="R373" s="22" t="s">
        <v>251</v>
      </c>
      <c r="S373" s="22" t="s">
        <v>251</v>
      </c>
      <c r="T373" s="22" t="s">
        <v>252</v>
      </c>
      <c r="U373" s="22" t="s">
        <v>3316</v>
      </c>
      <c r="V373" s="26" t="s">
        <v>360</v>
      </c>
      <c r="W373" s="27" t="s">
        <v>3317</v>
      </c>
      <c r="X373" s="26" t="s">
        <v>1651</v>
      </c>
      <c r="Y373" s="23"/>
      <c r="Z373" s="28"/>
      <c r="AA373" s="23"/>
      <c r="AB373" s="23" t="str">
        <f>IFERROR(__xludf.DUMMYFUNCTION("IF(
ISNUMBER(MATCH(
C373,
IMPORTRANGE(""https://docs.google.com/spreadsheets/d/1yTh1ELC33JHYOeEdgIiEclxPRyh0zOKtlawDltfUay8"",""'Champions'!A:A""),
0
)),
""Outreach Conducted"",
"""")"),"")</f>
        <v/>
      </c>
      <c r="AC373" s="23"/>
      <c r="AD373" s="23"/>
      <c r="AE373" s="23"/>
      <c r="AF373" s="23"/>
      <c r="AG373" s="23"/>
      <c r="AH373" s="23"/>
      <c r="AI373" s="23"/>
      <c r="AJ373" s="23"/>
      <c r="AK373" s="23"/>
      <c r="AL373" s="23"/>
    </row>
    <row r="374" hidden="1">
      <c r="A374" s="22" t="s">
        <v>3108</v>
      </c>
      <c r="B374" s="22" t="s">
        <v>3318</v>
      </c>
      <c r="C374" s="23" t="str">
        <f t="shared" si="1"/>
        <v>Stephanie Zhou</v>
      </c>
      <c r="D374" s="22">
        <v>5.10915302E9</v>
      </c>
      <c r="E374" s="29" t="s">
        <v>3319</v>
      </c>
      <c r="F374" s="22" t="s">
        <v>248</v>
      </c>
      <c r="G374" s="22">
        <v>337.0</v>
      </c>
      <c r="H374" s="22">
        <f t="array" ref="H374">IFERROR(INDEX('Hub CPC 226'!A:A, MATCH(C374, 'Hub CPC 226'!B:B, 0)), "")</f>
        <v>383</v>
      </c>
      <c r="I374" s="22">
        <f t="array" ref="I374">IFERROR(INDEX('Hub Users 226'!A:A, MATCH(C374, 'Hub Users 226'!B:B, 0)), "")</f>
        <v>402</v>
      </c>
      <c r="J374" s="22" t="s">
        <v>407</v>
      </c>
      <c r="K374" s="23" t="s">
        <v>3320</v>
      </c>
      <c r="L374" s="25">
        <v>44040.98819444444</v>
      </c>
      <c r="M374" s="23"/>
      <c r="N374" s="23"/>
      <c r="O374" s="23"/>
      <c r="P374" s="23"/>
      <c r="Q374" s="22" t="s">
        <v>3321</v>
      </c>
      <c r="R374" s="22" t="s">
        <v>1990</v>
      </c>
      <c r="S374" s="22" t="s">
        <v>1056</v>
      </c>
      <c r="T374" s="22" t="s">
        <v>252</v>
      </c>
      <c r="U374" s="22" t="s">
        <v>3322</v>
      </c>
      <c r="V374" s="26" t="s">
        <v>360</v>
      </c>
      <c r="W374" s="27" t="s">
        <v>3323</v>
      </c>
      <c r="X374" s="26" t="s">
        <v>3324</v>
      </c>
      <c r="Y374" s="23"/>
      <c r="Z374" s="28"/>
      <c r="AA374" s="23"/>
      <c r="AB374" s="23" t="str">
        <f>IFERROR(__xludf.DUMMYFUNCTION("IF(
ISNUMBER(MATCH(
C374,
IMPORTRANGE(""https://docs.google.com/spreadsheets/d/1yTh1ELC33JHYOeEdgIiEclxPRyh0zOKtlawDltfUay8"",""'Champions'!A:A""),
0
)),
""Outreach Conducted"",
"""")"),"")</f>
        <v/>
      </c>
      <c r="AC374" s="23"/>
      <c r="AD374" s="23"/>
      <c r="AE374" s="23"/>
      <c r="AF374" s="23"/>
      <c r="AG374" s="23"/>
      <c r="AH374" s="23"/>
      <c r="AI374" s="23"/>
      <c r="AJ374" s="23"/>
      <c r="AK374" s="23"/>
      <c r="AL374" s="23"/>
    </row>
    <row r="375" hidden="1">
      <c r="A375" s="22" t="s">
        <v>3325</v>
      </c>
      <c r="B375" s="22" t="s">
        <v>3326</v>
      </c>
      <c r="C375" s="23" t="str">
        <f t="shared" si="1"/>
        <v>Oluwatomisin (Tomi) Adesokan</v>
      </c>
      <c r="D375" s="22" t="s">
        <v>3327</v>
      </c>
      <c r="E375" s="29" t="s">
        <v>3328</v>
      </c>
      <c r="F375" s="22" t="s">
        <v>248</v>
      </c>
      <c r="G375" s="22">
        <v>201.0</v>
      </c>
      <c r="H375" s="22">
        <f t="array" ref="H375">IFERROR(INDEX('Hub CPC 226'!A:A, MATCH(C375, 'Hub CPC 226'!B:B, 0)), "")</f>
        <v>384</v>
      </c>
      <c r="I375" s="22">
        <f t="array" ref="I375">IFERROR(INDEX('Hub Users 226'!A:A, MATCH(C375, 'Hub Users 226'!B:B, 0)), "")</f>
        <v>403</v>
      </c>
      <c r="J375" s="22" t="s">
        <v>240</v>
      </c>
      <c r="K375" s="23" t="s">
        <v>3329</v>
      </c>
      <c r="L375" s="25">
        <v>43655.38055555556</v>
      </c>
      <c r="M375" s="23"/>
      <c r="N375" s="23"/>
      <c r="O375" s="23"/>
      <c r="P375" s="23"/>
      <c r="Q375" s="22" t="s">
        <v>3330</v>
      </c>
      <c r="R375" s="22" t="s">
        <v>3331</v>
      </c>
      <c r="S375" s="22" t="s">
        <v>369</v>
      </c>
      <c r="T375" s="22" t="s">
        <v>241</v>
      </c>
      <c r="U375" s="22" t="s">
        <v>3332</v>
      </c>
      <c r="V375" s="26" t="s">
        <v>3333</v>
      </c>
      <c r="W375" s="27" t="s">
        <v>3334</v>
      </c>
      <c r="X375" s="26" t="s">
        <v>3335</v>
      </c>
      <c r="Y375" s="23"/>
      <c r="Z375" s="28"/>
      <c r="AA375" s="23"/>
      <c r="AB375" s="23" t="str">
        <f>IFERROR(__xludf.DUMMYFUNCTION("IF(
ISNUMBER(MATCH(
C375,
IMPORTRANGE(""https://docs.google.com/spreadsheets/d/1yTh1ELC33JHYOeEdgIiEclxPRyh0zOKtlawDltfUay8"",""'Champions'!A:A""),
0
)),
""Outreach Conducted"",
"""")"),"")</f>
        <v/>
      </c>
      <c r="AC375" s="23"/>
      <c r="AD375" s="23"/>
      <c r="AE375" s="23"/>
      <c r="AF375" s="23"/>
      <c r="AG375" s="23"/>
      <c r="AH375" s="23"/>
      <c r="AI375" s="23"/>
      <c r="AJ375" s="23"/>
      <c r="AK375" s="23"/>
      <c r="AL375" s="23"/>
    </row>
    <row r="376" hidden="1">
      <c r="A376" s="22" t="s">
        <v>3336</v>
      </c>
      <c r="B376" s="22" t="s">
        <v>2778</v>
      </c>
      <c r="C376" s="23" t="str">
        <f t="shared" si="1"/>
        <v>Tania Lopez</v>
      </c>
      <c r="D376" s="22">
        <v>6.469773567E9</v>
      </c>
      <c r="E376" s="29" t="s">
        <v>3337</v>
      </c>
      <c r="F376" s="22" t="s">
        <v>238</v>
      </c>
      <c r="G376" s="22">
        <v>42.0</v>
      </c>
      <c r="H376" s="22">
        <f t="array" ref="H376">IFERROR(INDEX('Hub CPC 226'!A:A, MATCH(C376, 'Hub CPC 226'!B:B, 0)), "")</f>
        <v>385</v>
      </c>
      <c r="I376" s="22">
        <f t="array" ref="I376">IFERROR(INDEX('Hub Users 226'!A:A, MATCH(C376, 'Hub Users 226'!B:B, 0)), "")</f>
        <v>404</v>
      </c>
      <c r="J376" s="22" t="s">
        <v>608</v>
      </c>
      <c r="K376" s="23" t="s">
        <v>3338</v>
      </c>
      <c r="L376" s="25">
        <v>43338.743055555555</v>
      </c>
      <c r="M376" s="28">
        <v>13.0</v>
      </c>
      <c r="N376" s="28">
        <v>31.0</v>
      </c>
      <c r="O376" s="28">
        <v>72.0</v>
      </c>
      <c r="P376" s="31"/>
      <c r="Q376" s="22" t="s">
        <v>3339</v>
      </c>
      <c r="R376" s="22"/>
      <c r="S376" s="22" t="s">
        <v>271</v>
      </c>
      <c r="T376" s="22" t="s">
        <v>272</v>
      </c>
      <c r="U376" s="22" t="s">
        <v>3340</v>
      </c>
      <c r="V376" s="26" t="s">
        <v>3341</v>
      </c>
      <c r="W376" s="27" t="s">
        <v>3342</v>
      </c>
      <c r="X376" s="26" t="s">
        <v>3343</v>
      </c>
      <c r="Y376" s="23"/>
      <c r="Z376" s="28"/>
      <c r="AA376" s="23"/>
      <c r="AB376" s="23" t="str">
        <f>IFERROR(__xludf.DUMMYFUNCTION("IF(
ISNUMBER(MATCH(
C376,
IMPORTRANGE(""https://docs.google.com/spreadsheets/d/1yTh1ELC33JHYOeEdgIiEclxPRyh0zOKtlawDltfUay8"",""'Champions'!A:A""),
0
)),
""Outreach Conducted"",
"""")"),"")</f>
        <v/>
      </c>
      <c r="AC376" s="23"/>
      <c r="AD376" s="23"/>
      <c r="AE376" s="23"/>
      <c r="AF376" s="23"/>
      <c r="AG376" s="23"/>
      <c r="AH376" s="23"/>
      <c r="AI376" s="23"/>
      <c r="AJ376" s="23"/>
      <c r="AK376" s="23"/>
      <c r="AL376" s="23"/>
    </row>
    <row r="377" hidden="1">
      <c r="A377" s="22" t="s">
        <v>3344</v>
      </c>
      <c r="B377" s="22" t="s">
        <v>3345</v>
      </c>
      <c r="C377" s="23" t="str">
        <f t="shared" si="1"/>
        <v>Tanusree Munshi</v>
      </c>
      <c r="D377" s="22" t="s">
        <v>3346</v>
      </c>
      <c r="E377" s="29" t="s">
        <v>3347</v>
      </c>
      <c r="F377" s="22" t="s">
        <v>238</v>
      </c>
      <c r="G377" s="22">
        <v>170.0</v>
      </c>
      <c r="H377" s="22">
        <f t="array" ref="H377">IFERROR(INDEX('Hub CPC 226'!A:A, MATCH(C377, 'Hub CPC 226'!B:B, 0)), "")</f>
        <v>386</v>
      </c>
      <c r="I377" s="22">
        <f t="array" ref="I377">IFERROR(INDEX('Hub Users 226'!A:A, MATCH(C377, 'Hub Users 226'!B:B, 0)), "")</f>
        <v>405</v>
      </c>
      <c r="J377" s="22" t="s">
        <v>240</v>
      </c>
      <c r="K377" s="23" t="s">
        <v>3348</v>
      </c>
      <c r="L377" s="25">
        <v>43592.26666666667</v>
      </c>
      <c r="M377" s="23"/>
      <c r="N377" s="23"/>
      <c r="O377" s="23"/>
      <c r="P377" s="23"/>
      <c r="Q377" s="22" t="s">
        <v>3349</v>
      </c>
      <c r="R377" s="22" t="s">
        <v>1851</v>
      </c>
      <c r="S377" s="22" t="s">
        <v>1349</v>
      </c>
      <c r="T377" s="22" t="s">
        <v>252</v>
      </c>
      <c r="U377" s="22" t="s">
        <v>3230</v>
      </c>
      <c r="V377" s="26" t="s">
        <v>393</v>
      </c>
      <c r="W377" s="27" t="s">
        <v>3350</v>
      </c>
      <c r="X377" s="26" t="s">
        <v>619</v>
      </c>
      <c r="Y377" s="23"/>
      <c r="Z377" s="28"/>
      <c r="AA377" s="23"/>
      <c r="AB377" s="23" t="str">
        <f>IFERROR(__xludf.DUMMYFUNCTION("IF(
ISNUMBER(MATCH(
C377,
IMPORTRANGE(""https://docs.google.com/spreadsheets/d/1yTh1ELC33JHYOeEdgIiEclxPRyh0zOKtlawDltfUay8"",""'Champions'!A:A""),
0
)),
""Outreach Conducted"",
"""")"),"")</f>
        <v/>
      </c>
      <c r="AC377" s="23"/>
      <c r="AD377" s="23"/>
      <c r="AE377" s="23"/>
      <c r="AF377" s="23"/>
      <c r="AG377" s="23"/>
      <c r="AH377" s="23"/>
      <c r="AI377" s="23"/>
      <c r="AJ377" s="23"/>
      <c r="AK377" s="23"/>
      <c r="AL377" s="23"/>
    </row>
    <row r="378" hidden="1">
      <c r="A378" s="22" t="s">
        <v>3351</v>
      </c>
      <c r="B378" s="22" t="s">
        <v>3352</v>
      </c>
      <c r="C378" s="23" t="str">
        <f t="shared" si="1"/>
        <v>Tanya Toko</v>
      </c>
      <c r="D378" s="22" t="s">
        <v>3353</v>
      </c>
      <c r="E378" s="29" t="s">
        <v>3354</v>
      </c>
      <c r="F378" s="22" t="s">
        <v>248</v>
      </c>
      <c r="G378" s="22">
        <v>336.0</v>
      </c>
      <c r="H378" s="22">
        <f t="array" ref="H378">IFERROR(INDEX('Hub CPC 226'!A:A, MATCH(C378, 'Hub CPC 226'!B:B, 0)), "")</f>
        <v>387</v>
      </c>
      <c r="I378" s="22">
        <f t="array" ref="I378">IFERROR(INDEX('Hub Users 226'!A:A, MATCH(C378, 'Hub Users 226'!B:B, 0)), "")</f>
        <v>406</v>
      </c>
      <c r="J378" s="22" t="s">
        <v>407</v>
      </c>
      <c r="K378" s="28" t="s">
        <v>3355</v>
      </c>
      <c r="L378" s="25">
        <v>44039.850694444445</v>
      </c>
      <c r="M378" s="23"/>
      <c r="N378" s="23"/>
      <c r="O378" s="23"/>
      <c r="P378" s="23"/>
      <c r="Q378" s="22" t="s">
        <v>3356</v>
      </c>
      <c r="R378" s="22" t="s">
        <v>3357</v>
      </c>
      <c r="S378" s="22" t="s">
        <v>974</v>
      </c>
      <c r="T378" s="22" t="s">
        <v>252</v>
      </c>
      <c r="U378" s="22" t="s">
        <v>3358</v>
      </c>
      <c r="V378" s="26" t="s">
        <v>3359</v>
      </c>
      <c r="W378" s="27" t="s">
        <v>3360</v>
      </c>
      <c r="X378" s="26" t="s">
        <v>3361</v>
      </c>
      <c r="Y378" s="23"/>
      <c r="Z378" s="28"/>
      <c r="AA378" s="23"/>
      <c r="AB378" s="23" t="str">
        <f>IFERROR(__xludf.DUMMYFUNCTION("IF(
ISNUMBER(MATCH(
C378,
IMPORTRANGE(""https://docs.google.com/spreadsheets/d/1yTh1ELC33JHYOeEdgIiEclxPRyh0zOKtlawDltfUay8"",""'Champions'!A:A""),
0
)),
""Outreach Conducted"",
"""")"),"")</f>
        <v/>
      </c>
      <c r="AC378" s="23"/>
      <c r="AD378" s="26" t="s">
        <v>3362</v>
      </c>
      <c r="AE378" s="28" t="s">
        <v>3363</v>
      </c>
      <c r="AF378" s="28" t="s">
        <v>449</v>
      </c>
      <c r="AG378" s="28" t="s">
        <v>3364</v>
      </c>
      <c r="AH378" s="23"/>
      <c r="AI378" s="23"/>
      <c r="AJ378" s="23"/>
      <c r="AK378" s="23"/>
      <c r="AL378" s="23"/>
    </row>
    <row r="379" hidden="1">
      <c r="A379" s="22" t="s">
        <v>3365</v>
      </c>
      <c r="B379" s="22" t="s">
        <v>3366</v>
      </c>
      <c r="C379" s="23" t="str">
        <f t="shared" si="1"/>
        <v>Tara Shajan</v>
      </c>
      <c r="D379" s="22">
        <v>1.3474014231E10</v>
      </c>
      <c r="E379" s="29" t="s">
        <v>3367</v>
      </c>
      <c r="F379" s="22" t="s">
        <v>248</v>
      </c>
      <c r="G379" s="22">
        <v>501.0</v>
      </c>
      <c r="H379" s="22">
        <f t="array" ref="H379">IFERROR(INDEX('Hub CPC 226'!A:A, MATCH(C379, 'Hub CPC 226'!B:B, 0)), "")</f>
        <v>388</v>
      </c>
      <c r="I379" s="22">
        <f t="array" ref="I379">IFERROR(INDEX('Hub Users 226'!A:A, MATCH(C379, 'Hub Users 226'!B:B, 0)), "")</f>
        <v>407</v>
      </c>
      <c r="J379" s="22" t="s">
        <v>1235</v>
      </c>
      <c r="K379" s="23" t="s">
        <v>3368</v>
      </c>
      <c r="L379" s="25">
        <v>44461.39166666667</v>
      </c>
      <c r="M379" s="28">
        <v>3.0</v>
      </c>
      <c r="N379" s="28">
        <v>7.0</v>
      </c>
      <c r="O379" s="28">
        <v>19.0</v>
      </c>
      <c r="P379" s="31"/>
      <c r="Q379" s="22" t="s">
        <v>3369</v>
      </c>
      <c r="R379" s="22" t="s">
        <v>3370</v>
      </c>
      <c r="S379" s="22" t="s">
        <v>3371</v>
      </c>
      <c r="T379" s="22" t="s">
        <v>272</v>
      </c>
      <c r="U379" s="22" t="s">
        <v>3372</v>
      </c>
      <c r="V379" s="26" t="s">
        <v>284</v>
      </c>
      <c r="W379" s="27" t="s">
        <v>3373</v>
      </c>
      <c r="X379" s="26" t="s">
        <v>362</v>
      </c>
      <c r="Y379" s="23"/>
      <c r="Z379" s="28"/>
      <c r="AA379" s="23"/>
      <c r="AB379" s="23" t="str">
        <f>IFERROR(__xludf.DUMMYFUNCTION("IF(
ISNUMBER(MATCH(
C379,
IMPORTRANGE(""https://docs.google.com/spreadsheets/d/1yTh1ELC33JHYOeEdgIiEclxPRyh0zOKtlawDltfUay8"",""'Champions'!A:A""),
0
)),
""Outreach Conducted"",
"""")"),"")</f>
        <v/>
      </c>
      <c r="AC379" s="23"/>
      <c r="AD379" s="23"/>
      <c r="AE379" s="23"/>
      <c r="AF379" s="23"/>
      <c r="AG379" s="23"/>
      <c r="AH379" s="23"/>
      <c r="AI379" s="23"/>
      <c r="AJ379" s="23"/>
      <c r="AK379" s="23"/>
      <c r="AL379" s="23"/>
    </row>
    <row r="380" hidden="1">
      <c r="A380" s="22" t="s">
        <v>3374</v>
      </c>
      <c r="B380" s="22" t="s">
        <v>3375</v>
      </c>
      <c r="C380" s="23" t="str">
        <f t="shared" si="1"/>
        <v>Tatiana Nechaeva</v>
      </c>
      <c r="D380" s="22">
        <v>6.178405477E9</v>
      </c>
      <c r="E380" s="29" t="s">
        <v>3376</v>
      </c>
      <c r="F380" s="22" t="s">
        <v>248</v>
      </c>
      <c r="G380" s="22">
        <v>10.0</v>
      </c>
      <c r="H380" s="22">
        <f t="array" ref="H380">IFERROR(INDEX('Hub CPC 226'!A:A, MATCH(C380, 'Hub CPC 226'!B:B, 0)), "")</f>
        <v>389</v>
      </c>
      <c r="I380" s="22">
        <f t="array" ref="I380">IFERROR(INDEX('Hub Users 226'!A:A, MATCH(C380, 'Hub Users 226'!B:B, 0)), "")</f>
        <v>408</v>
      </c>
      <c r="J380" s="22" t="s">
        <v>1153</v>
      </c>
      <c r="K380" s="23" t="s">
        <v>3377</v>
      </c>
      <c r="L380" s="25">
        <v>43338.743055555555</v>
      </c>
      <c r="M380" s="23"/>
      <c r="N380" s="23"/>
      <c r="O380" s="23"/>
      <c r="P380" s="23"/>
      <c r="Q380" s="22" t="s">
        <v>3378</v>
      </c>
      <c r="R380" s="22"/>
      <c r="S380" s="22" t="s">
        <v>3379</v>
      </c>
      <c r="T380" s="22" t="s">
        <v>626</v>
      </c>
      <c r="U380" s="22" t="s">
        <v>3380</v>
      </c>
      <c r="V380" s="26" t="s">
        <v>3381</v>
      </c>
      <c r="W380" s="27" t="s">
        <v>3382</v>
      </c>
      <c r="X380" s="26" t="s">
        <v>3383</v>
      </c>
      <c r="Y380" s="23"/>
      <c r="Z380" s="28"/>
      <c r="AA380" s="23"/>
      <c r="AB380" s="23" t="str">
        <f>IFERROR(__xludf.DUMMYFUNCTION("IF(
ISNUMBER(MATCH(
C380,
IMPORTRANGE(""https://docs.google.com/spreadsheets/d/1yTh1ELC33JHYOeEdgIiEclxPRyh0zOKtlawDltfUay8"",""'Champions'!A:A""),
0
)),
""Outreach Conducted"",
"""")"),"")</f>
        <v/>
      </c>
      <c r="AC380" s="23"/>
      <c r="AD380" s="26" t="s">
        <v>3384</v>
      </c>
      <c r="AE380" s="28" t="s">
        <v>3385</v>
      </c>
      <c r="AF380" s="28" t="s">
        <v>449</v>
      </c>
      <c r="AG380" s="28" t="s">
        <v>3386</v>
      </c>
      <c r="AH380" s="23"/>
      <c r="AI380" s="23"/>
      <c r="AJ380" s="23"/>
      <c r="AK380" s="23"/>
      <c r="AL380" s="23"/>
    </row>
    <row r="381" hidden="1">
      <c r="A381" s="22" t="s">
        <v>3387</v>
      </c>
      <c r="B381" s="22" t="s">
        <v>3388</v>
      </c>
      <c r="C381" s="23" t="str">
        <f t="shared" si="1"/>
        <v>Tiffany Soojung Park</v>
      </c>
      <c r="D381" s="22" t="s">
        <v>3389</v>
      </c>
      <c r="E381" s="29" t="s">
        <v>3390</v>
      </c>
      <c r="F381" s="22" t="s">
        <v>248</v>
      </c>
      <c r="G381" s="22">
        <v>116.0</v>
      </c>
      <c r="H381" s="22">
        <f t="array" ref="H381">IFERROR(INDEX('Hub CPC 226'!A:A, MATCH(C381, 'Hub CPC 226'!B:B, 0)), "")</f>
        <v>391</v>
      </c>
      <c r="I381" s="22">
        <f t="array" ref="I381">IFERROR(INDEX('Hub Users 226'!A:A, MATCH(C381, 'Hub Users 226'!B:B, 0)), "")</f>
        <v>410</v>
      </c>
      <c r="J381" s="22" t="s">
        <v>240</v>
      </c>
      <c r="K381" s="23" t="s">
        <v>3391</v>
      </c>
      <c r="L381" s="25">
        <v>43500.62430555555</v>
      </c>
      <c r="M381" s="23"/>
      <c r="N381" s="23"/>
      <c r="O381" s="23"/>
      <c r="P381" s="23"/>
      <c r="Q381" s="22" t="s">
        <v>3392</v>
      </c>
      <c r="R381" s="22" t="s">
        <v>974</v>
      </c>
      <c r="S381" s="22" t="s">
        <v>974</v>
      </c>
      <c r="T381" s="22" t="s">
        <v>252</v>
      </c>
      <c r="U381" s="22" t="s">
        <v>3393</v>
      </c>
      <c r="V381" s="26" t="s">
        <v>284</v>
      </c>
      <c r="W381" s="27" t="s">
        <v>3394</v>
      </c>
      <c r="X381" s="26" t="s">
        <v>619</v>
      </c>
      <c r="Y381" s="23"/>
      <c r="Z381" s="28"/>
      <c r="AA381" s="23"/>
      <c r="AB381" s="23" t="str">
        <f>IFERROR(__xludf.DUMMYFUNCTION("IF(
ISNUMBER(MATCH(
C381,
IMPORTRANGE(""https://docs.google.com/spreadsheets/d/1yTh1ELC33JHYOeEdgIiEclxPRyh0zOKtlawDltfUay8"",""'Champions'!A:A""),
0
)),
""Outreach Conducted"",
"""")"),"")</f>
        <v/>
      </c>
      <c r="AC381" s="23"/>
      <c r="AD381" s="23"/>
      <c r="AE381" s="23"/>
      <c r="AF381" s="23"/>
      <c r="AG381" s="23"/>
      <c r="AH381" s="23"/>
      <c r="AI381" s="23"/>
      <c r="AJ381" s="23"/>
      <c r="AK381" s="23"/>
      <c r="AL381" s="23"/>
    </row>
    <row r="382" hidden="1">
      <c r="A382" s="22" t="s">
        <v>3387</v>
      </c>
      <c r="B382" s="22" t="s">
        <v>3395</v>
      </c>
      <c r="C382" s="23" t="str">
        <f t="shared" si="1"/>
        <v>Tiffany Suarez</v>
      </c>
      <c r="D382" s="22" t="s">
        <v>3396</v>
      </c>
      <c r="E382" s="29" t="s">
        <v>3397</v>
      </c>
      <c r="F382" s="22" t="s">
        <v>248</v>
      </c>
      <c r="G382" s="22">
        <v>31.0</v>
      </c>
      <c r="H382" s="22">
        <f t="array" ref="H382">IFERROR(INDEX('Hub CPC 226'!A:A, MATCH(C382, 'Hub CPC 226'!B:B, 0)), "")</f>
        <v>392</v>
      </c>
      <c r="I382" s="22">
        <f t="array" ref="I382">IFERROR(INDEX('Hub Users 226'!A:A, MATCH(C382, 'Hub Users 226'!B:B, 0)), "")</f>
        <v>411</v>
      </c>
      <c r="J382" s="22" t="s">
        <v>290</v>
      </c>
      <c r="K382" s="23" t="s">
        <v>3398</v>
      </c>
      <c r="L382" s="25">
        <v>43338.743055555555</v>
      </c>
      <c r="M382" s="23"/>
      <c r="N382" s="23"/>
      <c r="O382" s="23"/>
      <c r="P382" s="23"/>
      <c r="Q382" s="22" t="s">
        <v>3399</v>
      </c>
      <c r="R382" s="22" t="s">
        <v>3400</v>
      </c>
      <c r="S382" s="22" t="s">
        <v>3401</v>
      </c>
      <c r="T382" s="22" t="s">
        <v>241</v>
      </c>
      <c r="U382" s="22" t="s">
        <v>3402</v>
      </c>
      <c r="V382" s="26" t="s">
        <v>242</v>
      </c>
      <c r="W382" s="27" t="s">
        <v>3403</v>
      </c>
      <c r="X382" s="26" t="s">
        <v>244</v>
      </c>
      <c r="Y382" s="23"/>
      <c r="Z382" s="28"/>
      <c r="AA382" s="23"/>
      <c r="AB382" s="23" t="str">
        <f>IFERROR(__xludf.DUMMYFUNCTION("IF(
ISNUMBER(MATCH(
C382,
IMPORTRANGE(""https://docs.google.com/spreadsheets/d/1yTh1ELC33JHYOeEdgIiEclxPRyh0zOKtlawDltfUay8"",""'Champions'!A:A""),
0
)),
""Outreach Conducted"",
"""")"),"")</f>
        <v/>
      </c>
      <c r="AC382" s="23"/>
      <c r="AD382" s="23"/>
      <c r="AE382" s="23"/>
      <c r="AF382" s="23"/>
      <c r="AG382" s="23"/>
      <c r="AH382" s="23"/>
      <c r="AI382" s="23"/>
      <c r="AJ382" s="23"/>
      <c r="AK382" s="23"/>
      <c r="AL382" s="23"/>
    </row>
    <row r="383" hidden="1">
      <c r="A383" s="22" t="s">
        <v>3404</v>
      </c>
      <c r="B383" s="22" t="s">
        <v>3405</v>
      </c>
      <c r="C383" s="23" t="str">
        <f t="shared" si="1"/>
        <v>Timothy Edingfield</v>
      </c>
      <c r="D383" s="22">
        <v>5.412178175E9</v>
      </c>
      <c r="E383" s="29" t="s">
        <v>3406</v>
      </c>
      <c r="F383" s="22" t="s">
        <v>238</v>
      </c>
      <c r="G383" s="22">
        <v>419.0</v>
      </c>
      <c r="H383" s="22">
        <f t="array" ref="H383">IFERROR(INDEX('Hub CPC 226'!A:A, MATCH(C383, 'Hub CPC 226'!B:B, 0)), "")</f>
        <v>393</v>
      </c>
      <c r="I383" s="22">
        <f t="array" ref="I383">IFERROR(INDEX('Hub Users 226'!A:A, MATCH(C383, 'Hub Users 226'!B:B, 0)), "")</f>
        <v>412</v>
      </c>
      <c r="J383" s="22" t="s">
        <v>290</v>
      </c>
      <c r="K383" s="23" t="s">
        <v>3407</v>
      </c>
      <c r="L383" s="25">
        <v>44201.83611111111</v>
      </c>
      <c r="M383" s="23"/>
      <c r="N383" s="23"/>
      <c r="O383" s="23"/>
      <c r="P383" s="23"/>
      <c r="Q383" s="22" t="s">
        <v>3408</v>
      </c>
      <c r="R383" s="22" t="s">
        <v>3409</v>
      </c>
      <c r="S383" s="22" t="s">
        <v>3410</v>
      </c>
      <c r="T383" s="22" t="s">
        <v>2447</v>
      </c>
      <c r="U383" s="22" t="s">
        <v>3411</v>
      </c>
      <c r="V383" s="23"/>
      <c r="W383" s="23"/>
      <c r="X383" s="23"/>
      <c r="Y383" s="23"/>
      <c r="Z383" s="28"/>
      <c r="AA383" s="23"/>
      <c r="AB383" s="23" t="str">
        <f>IFERROR(__xludf.DUMMYFUNCTION("IF(
ISNUMBER(MATCH(
C383,
IMPORTRANGE(""https://docs.google.com/spreadsheets/d/1yTh1ELC33JHYOeEdgIiEclxPRyh0zOKtlawDltfUay8"",""'Champions'!A:A""),
0
)),
""Outreach Conducted"",
"""")"),"")</f>
        <v/>
      </c>
      <c r="AC383" s="23"/>
      <c r="AD383" s="23"/>
      <c r="AE383" s="23"/>
      <c r="AF383" s="23"/>
      <c r="AG383" s="23"/>
      <c r="AH383" s="23"/>
      <c r="AI383" s="23"/>
      <c r="AJ383" s="23"/>
      <c r="AK383" s="23"/>
      <c r="AL383" s="23"/>
    </row>
    <row r="384" hidden="1">
      <c r="A384" s="22" t="s">
        <v>3412</v>
      </c>
      <c r="B384" s="22" t="s">
        <v>3413</v>
      </c>
      <c r="C384" s="23" t="str">
        <f t="shared" si="1"/>
        <v>Trupti Kotadia</v>
      </c>
      <c r="D384" s="22" t="s">
        <v>3414</v>
      </c>
      <c r="E384" s="29" t="s">
        <v>3415</v>
      </c>
      <c r="F384" s="22" t="s">
        <v>238</v>
      </c>
      <c r="G384" s="22">
        <v>330.0</v>
      </c>
      <c r="H384" s="22">
        <f t="array" ref="H384">IFERROR(INDEX('Hub CPC 226'!A:A, MATCH(C384, 'Hub CPC 226'!B:B, 0)), "")</f>
        <v>394</v>
      </c>
      <c r="I384" s="22">
        <f t="array" ref="I384">IFERROR(INDEX('Hub Users 226'!A:A, MATCH(C384, 'Hub Users 226'!B:B, 0)), "")</f>
        <v>413</v>
      </c>
      <c r="J384" s="22" t="s">
        <v>240</v>
      </c>
      <c r="K384" s="23" t="s">
        <v>3416</v>
      </c>
      <c r="L384" s="25">
        <v>44007.68194444444</v>
      </c>
      <c r="M384" s="28">
        <v>10.0</v>
      </c>
      <c r="N384" s="28">
        <v>27.0</v>
      </c>
      <c r="O384" s="28">
        <v>65.0</v>
      </c>
      <c r="P384" s="32">
        <v>1.0</v>
      </c>
      <c r="Q384" s="22" t="s">
        <v>3417</v>
      </c>
      <c r="R384" s="22" t="s">
        <v>454</v>
      </c>
      <c r="S384" s="22" t="s">
        <v>271</v>
      </c>
      <c r="T384" s="22" t="s">
        <v>272</v>
      </c>
      <c r="U384" s="22" t="s">
        <v>1165</v>
      </c>
      <c r="V384" s="23"/>
      <c r="W384" s="23"/>
      <c r="X384" s="23"/>
      <c r="Y384" s="23"/>
      <c r="Z384" s="28"/>
      <c r="AA384" s="23"/>
      <c r="AB384" s="23" t="str">
        <f>IFERROR(__xludf.DUMMYFUNCTION("IF(
ISNUMBER(MATCH(
C384,
IMPORTRANGE(""https://docs.google.com/spreadsheets/d/1yTh1ELC33JHYOeEdgIiEclxPRyh0zOKtlawDltfUay8"",""'Champions'!A:A""),
0
)),
""Outreach Conducted"",
"""")"),"")</f>
        <v/>
      </c>
      <c r="AC384" s="23"/>
      <c r="AD384" s="23"/>
      <c r="AE384" s="23"/>
      <c r="AF384" s="23"/>
      <c r="AG384" s="23"/>
      <c r="AH384" s="23"/>
      <c r="AI384" s="23"/>
      <c r="AJ384" s="23"/>
      <c r="AK384" s="23"/>
      <c r="AL384" s="23"/>
    </row>
    <row r="385" hidden="1">
      <c r="A385" s="22" t="s">
        <v>3418</v>
      </c>
      <c r="B385" s="22" t="s">
        <v>3419</v>
      </c>
      <c r="C385" s="23" t="str">
        <f t="shared" si="1"/>
        <v>Tracy Pullman</v>
      </c>
      <c r="D385" s="22">
        <v>1.4083937375E10</v>
      </c>
      <c r="E385" s="29" t="s">
        <v>3420</v>
      </c>
      <c r="F385" s="22" t="s">
        <v>248</v>
      </c>
      <c r="G385" s="22">
        <v>442.0</v>
      </c>
      <c r="H385" s="22">
        <f t="array" ref="H385">IFERROR(INDEX('Hub CPC 226'!A:A, MATCH(C385, 'Hub CPC 226'!B:B, 0)), "")</f>
        <v>395</v>
      </c>
      <c r="I385" s="22">
        <f t="array" ref="I385">IFERROR(INDEX('Hub Users 226'!A:A, MATCH(C385, 'Hub Users 226'!B:B, 0)), "")</f>
        <v>414</v>
      </c>
      <c r="J385" s="22" t="s">
        <v>260</v>
      </c>
      <c r="K385" s="23" t="s">
        <v>3421</v>
      </c>
      <c r="L385" s="25">
        <v>44232.575694444444</v>
      </c>
      <c r="M385" s="23"/>
      <c r="N385" s="23"/>
      <c r="O385" s="23"/>
      <c r="P385" s="23"/>
      <c r="Q385" s="22" t="s">
        <v>3422</v>
      </c>
      <c r="R385" s="22" t="s">
        <v>1688</v>
      </c>
      <c r="S385" s="22" t="s">
        <v>1689</v>
      </c>
      <c r="T385" s="22" t="s">
        <v>252</v>
      </c>
      <c r="U385" s="22" t="s">
        <v>3423</v>
      </c>
      <c r="V385" s="26" t="s">
        <v>3424</v>
      </c>
      <c r="W385" s="27" t="s">
        <v>3425</v>
      </c>
      <c r="X385" s="26" t="s">
        <v>3426</v>
      </c>
      <c r="Y385" s="23"/>
      <c r="Z385" s="28"/>
      <c r="AA385" s="23"/>
      <c r="AB385" s="23" t="str">
        <f>IFERROR(__xludf.DUMMYFUNCTION("IF(
ISNUMBER(MATCH(
C385,
IMPORTRANGE(""https://docs.google.com/spreadsheets/d/1yTh1ELC33JHYOeEdgIiEclxPRyh0zOKtlawDltfUay8"",""'Champions'!A:A""),
0
)),
""Outreach Conducted"",
"""")"),"")</f>
        <v/>
      </c>
      <c r="AC385" s="23"/>
      <c r="AD385" s="23"/>
      <c r="AE385" s="23"/>
      <c r="AF385" s="23"/>
      <c r="AG385" s="23"/>
      <c r="AH385" s="23"/>
      <c r="AI385" s="23"/>
      <c r="AJ385" s="23"/>
      <c r="AK385" s="23"/>
      <c r="AL385" s="23"/>
    </row>
    <row r="386" hidden="1">
      <c r="A386" s="22" t="s">
        <v>3427</v>
      </c>
      <c r="B386" s="22" t="s">
        <v>3428</v>
      </c>
      <c r="C386" s="23" t="str">
        <f t="shared" si="1"/>
        <v>Rashi Tripathi</v>
      </c>
      <c r="D386" s="22">
        <v>6.094703815E9</v>
      </c>
      <c r="E386" s="29" t="s">
        <v>3429</v>
      </c>
      <c r="F386" s="22" t="s">
        <v>248</v>
      </c>
      <c r="G386" s="22">
        <v>267.0</v>
      </c>
      <c r="H386" s="22">
        <f t="array" ref="H386">IFERROR(INDEX('Hub CPC 226'!A:A, MATCH(C386, 'Hub CPC 226'!B:B, 0)), "")</f>
        <v>396</v>
      </c>
      <c r="I386" s="22">
        <f t="array" ref="I386">IFERROR(INDEX('Hub Users 226'!A:A, MATCH(C386, 'Hub Users 226'!B:B, 0)), "")</f>
        <v>415</v>
      </c>
      <c r="J386" s="22" t="s">
        <v>260</v>
      </c>
      <c r="K386" s="28" t="s">
        <v>3430</v>
      </c>
      <c r="L386" s="25">
        <v>43777.45277777778</v>
      </c>
      <c r="M386" s="23"/>
      <c r="N386" s="23"/>
      <c r="O386" s="23"/>
      <c r="P386" s="23"/>
      <c r="Q386" s="22" t="s">
        <v>3431</v>
      </c>
      <c r="R386" s="22" t="s">
        <v>3432</v>
      </c>
      <c r="S386" s="22" t="s">
        <v>3433</v>
      </c>
      <c r="T386" s="22" t="s">
        <v>241</v>
      </c>
      <c r="U386" s="22" t="s">
        <v>1083</v>
      </c>
      <c r="V386" s="23"/>
      <c r="W386" s="23"/>
      <c r="X386" s="23"/>
      <c r="Y386" s="23"/>
      <c r="Z386" s="28"/>
      <c r="AA386" s="23"/>
      <c r="AB386" s="23" t="str">
        <f>IFERROR(__xludf.DUMMYFUNCTION("IF(
ISNUMBER(MATCH(
C386,
IMPORTRANGE(""https://docs.google.com/spreadsheets/d/1yTh1ELC33JHYOeEdgIiEclxPRyh0zOKtlawDltfUay8"",""'Champions'!A:A""),
0
)),
""Outreach Conducted"",
"""")"),"")</f>
        <v/>
      </c>
      <c r="AC386" s="23"/>
      <c r="AD386" s="23"/>
      <c r="AE386" s="23"/>
      <c r="AF386" s="23"/>
      <c r="AG386" s="23"/>
      <c r="AH386" s="23"/>
      <c r="AI386" s="23"/>
      <c r="AJ386" s="23"/>
      <c r="AK386" s="23"/>
      <c r="AL386" s="23"/>
    </row>
    <row r="387" hidden="1">
      <c r="A387" s="22" t="s">
        <v>3434</v>
      </c>
      <c r="B387" s="22" t="s">
        <v>487</v>
      </c>
      <c r="C387" s="23" t="str">
        <f t="shared" si="1"/>
        <v>Tulsi Patel</v>
      </c>
      <c r="D387" s="22">
        <v>1.3175997852E10</v>
      </c>
      <c r="E387" s="29" t="s">
        <v>3435</v>
      </c>
      <c r="F387" s="22" t="s">
        <v>248</v>
      </c>
      <c r="G387" s="22">
        <v>515.0</v>
      </c>
      <c r="H387" s="22">
        <f t="array" ref="H387">IFERROR(INDEX('Hub CPC 226'!A:A, MATCH(C387, 'Hub CPC 226'!B:B, 0)), "")</f>
        <v>397</v>
      </c>
      <c r="I387" s="22">
        <f t="array" ref="I387">IFERROR(INDEX('Hub Users 226'!A:A, MATCH(C387, 'Hub Users 226'!B:B, 0)), "")</f>
        <v>416</v>
      </c>
      <c r="J387" s="22" t="s">
        <v>239</v>
      </c>
      <c r="K387" s="23" t="s">
        <v>3436</v>
      </c>
      <c r="L387" s="25">
        <v>44485.89236111111</v>
      </c>
      <c r="M387" s="23"/>
      <c r="N387" s="23"/>
      <c r="O387" s="23"/>
      <c r="P387" s="23"/>
      <c r="Q387" s="22" t="s">
        <v>3437</v>
      </c>
      <c r="R387" s="22" t="s">
        <v>492</v>
      </c>
      <c r="S387" s="22" t="s">
        <v>3438</v>
      </c>
      <c r="T387" s="22" t="s">
        <v>1359</v>
      </c>
      <c r="U387" s="22" t="s">
        <v>3439</v>
      </c>
      <c r="V387" s="23"/>
      <c r="W387" s="23"/>
      <c r="X387" s="23"/>
      <c r="Y387" s="23"/>
      <c r="Z387" s="28"/>
      <c r="AA387" s="23"/>
      <c r="AB387" s="23" t="str">
        <f>IFERROR(__xludf.DUMMYFUNCTION("IF(
ISNUMBER(MATCH(
C387,
IMPORTRANGE(""https://docs.google.com/spreadsheets/d/1yTh1ELC33JHYOeEdgIiEclxPRyh0zOKtlawDltfUay8"",""'Champions'!A:A""),
0
)),
""Outreach Conducted"",
"""")"),"")</f>
        <v/>
      </c>
      <c r="AC387" s="23"/>
      <c r="AD387" s="23"/>
      <c r="AE387" s="23"/>
      <c r="AF387" s="23"/>
      <c r="AG387" s="23"/>
      <c r="AH387" s="23"/>
      <c r="AI387" s="23"/>
      <c r="AJ387" s="23"/>
      <c r="AK387" s="23"/>
      <c r="AL387" s="23"/>
    </row>
    <row r="388" hidden="1">
      <c r="A388" s="22" t="s">
        <v>3440</v>
      </c>
      <c r="B388" s="22" t="s">
        <v>3441</v>
      </c>
      <c r="C388" s="23" t="str">
        <f t="shared" si="1"/>
        <v>Valentina Sanabria</v>
      </c>
      <c r="D388" s="22">
        <v>9.51489251E9</v>
      </c>
      <c r="E388" s="29" t="s">
        <v>3442</v>
      </c>
      <c r="F388" s="22" t="s">
        <v>399</v>
      </c>
      <c r="G388" s="22">
        <v>712.0</v>
      </c>
      <c r="H388" s="22">
        <f t="array" ref="H388">IFERROR(INDEX('Hub CPC 226'!A:A, MATCH(C388, 'Hub CPC 226'!B:B, 0)), "")</f>
        <v>398</v>
      </c>
      <c r="I388" s="22">
        <f t="array" ref="I388">IFERROR(INDEX('Hub Users 226'!A:A, MATCH(C388, 'Hub Users 226'!B:B, 0)), "")</f>
        <v>417</v>
      </c>
      <c r="J388" s="22" t="s">
        <v>239</v>
      </c>
      <c r="K388" s="23" t="s">
        <v>3443</v>
      </c>
      <c r="L388" s="25">
        <v>45007.59097222222</v>
      </c>
      <c r="M388" s="23"/>
      <c r="N388" s="23"/>
      <c r="O388" s="23"/>
      <c r="P388" s="23"/>
      <c r="Q388" s="22" t="s">
        <v>3444</v>
      </c>
      <c r="R388" s="22" t="s">
        <v>700</v>
      </c>
      <c r="S388" s="22" t="s">
        <v>1247</v>
      </c>
      <c r="T388" s="22" t="s">
        <v>252</v>
      </c>
      <c r="U388" s="22" t="s">
        <v>3445</v>
      </c>
      <c r="V388" s="23"/>
      <c r="W388" s="23"/>
      <c r="X388" s="23"/>
      <c r="Y388" s="23"/>
      <c r="Z388" s="28"/>
      <c r="AA388" s="23"/>
      <c r="AB388" s="23" t="str">
        <f>IFERROR(__xludf.DUMMYFUNCTION("IF(
ISNUMBER(MATCH(
C388,
IMPORTRANGE(""https://docs.google.com/spreadsheets/d/1yTh1ELC33JHYOeEdgIiEclxPRyh0zOKtlawDltfUay8"",""'Champions'!A:A""),
0
)),
""Outreach Conducted"",
"""")"),"")</f>
        <v/>
      </c>
      <c r="AC388" s="23"/>
      <c r="AD388" s="23"/>
      <c r="AE388" s="23"/>
      <c r="AF388" s="23"/>
      <c r="AG388" s="23"/>
      <c r="AH388" s="23"/>
      <c r="AI388" s="23"/>
      <c r="AJ388" s="23"/>
      <c r="AK388" s="23"/>
      <c r="AL388" s="23"/>
    </row>
    <row r="389" hidden="1">
      <c r="A389" s="22" t="s">
        <v>3446</v>
      </c>
      <c r="B389" s="22" t="s">
        <v>3447</v>
      </c>
      <c r="C389" s="23" t="str">
        <f t="shared" si="1"/>
        <v>Vanessa Torres Soares Ferreira</v>
      </c>
      <c r="D389" s="22">
        <v>8.482034379E9</v>
      </c>
      <c r="E389" s="29" t="s">
        <v>3448</v>
      </c>
      <c r="F389" s="22" t="s">
        <v>399</v>
      </c>
      <c r="G389" s="22">
        <v>370.0</v>
      </c>
      <c r="H389" s="22">
        <f t="array" ref="H389">IFERROR(INDEX('Hub CPC 226'!A:A, MATCH(C389, 'Hub CPC 226'!B:B, 0)), "")</f>
        <v>399</v>
      </c>
      <c r="I389" s="22">
        <f t="array" ref="I389">IFERROR(INDEX('Hub Users 226'!A:A, MATCH(C389, 'Hub Users 226'!B:B, 0)), "")</f>
        <v>418</v>
      </c>
      <c r="J389" s="22" t="s">
        <v>260</v>
      </c>
      <c r="K389" s="23" t="s">
        <v>3449</v>
      </c>
      <c r="L389" s="25">
        <v>44160.65138888889</v>
      </c>
      <c r="M389" s="23"/>
      <c r="N389" s="23"/>
      <c r="O389" s="23"/>
      <c r="P389" s="23"/>
      <c r="Q389" s="22" t="s">
        <v>3450</v>
      </c>
      <c r="R389" s="22" t="s">
        <v>3451</v>
      </c>
      <c r="S389" s="22" t="s">
        <v>1518</v>
      </c>
      <c r="T389" s="22" t="s">
        <v>241</v>
      </c>
      <c r="U389" s="22" t="s">
        <v>3452</v>
      </c>
      <c r="V389" s="23"/>
      <c r="W389" s="23"/>
      <c r="X389" s="23"/>
      <c r="Y389" s="23"/>
      <c r="Z389" s="23"/>
      <c r="AA389" s="23"/>
      <c r="AB389" s="23" t="str">
        <f>IFERROR(__xludf.DUMMYFUNCTION("IF(
ISNUMBER(MATCH(
C389,
IMPORTRANGE(""https://docs.google.com/spreadsheets/d/1yTh1ELC33JHYOeEdgIiEclxPRyh0zOKtlawDltfUay8"",""'Champions'!A:A""),
0
)),
""Outreach Conducted"",
"""")"),"")</f>
        <v/>
      </c>
      <c r="AC389" s="23"/>
      <c r="AD389" s="23"/>
      <c r="AE389" s="23"/>
      <c r="AF389" s="23"/>
      <c r="AG389" s="23"/>
      <c r="AH389" s="23"/>
      <c r="AI389" s="23"/>
      <c r="AJ389" s="23"/>
      <c r="AK389" s="23"/>
      <c r="AL389" s="23"/>
    </row>
    <row r="390" hidden="1">
      <c r="A390" s="22" t="s">
        <v>3453</v>
      </c>
      <c r="B390" s="22" t="s">
        <v>1757</v>
      </c>
      <c r="C390" s="23" t="str">
        <f t="shared" si="1"/>
        <v>Vrunda Shah</v>
      </c>
      <c r="D390" s="22">
        <v>1.5105995788E10</v>
      </c>
      <c r="E390" s="29" t="s">
        <v>3454</v>
      </c>
      <c r="F390" s="22" t="s">
        <v>399</v>
      </c>
      <c r="G390" s="22">
        <v>427.0</v>
      </c>
      <c r="H390" s="22">
        <f t="array" ref="H390">IFERROR(INDEX('Hub CPC 226'!A:A, MATCH(C390, 'Hub CPC 226'!B:B, 0)), "")</f>
        <v>400</v>
      </c>
      <c r="I390" s="22">
        <f t="array" ref="I390">IFERROR(INDEX('Hub Users 226'!A:A, MATCH(C390, 'Hub Users 226'!B:B, 0)), "")</f>
        <v>419</v>
      </c>
      <c r="J390" s="22" t="s">
        <v>239</v>
      </c>
      <c r="K390" s="23" t="s">
        <v>3455</v>
      </c>
      <c r="L390" s="25">
        <v>44215.40972222222</v>
      </c>
      <c r="M390" s="23"/>
      <c r="N390" s="23"/>
      <c r="O390" s="23"/>
      <c r="P390" s="23"/>
      <c r="Q390" s="22" t="s">
        <v>3456</v>
      </c>
      <c r="R390" s="22" t="s">
        <v>1851</v>
      </c>
      <c r="S390" s="22" t="s">
        <v>1349</v>
      </c>
      <c r="T390" s="22" t="s">
        <v>252</v>
      </c>
      <c r="U390" s="22" t="s">
        <v>3457</v>
      </c>
      <c r="V390" s="23"/>
      <c r="W390" s="23"/>
      <c r="X390" s="23"/>
      <c r="Y390" s="23"/>
      <c r="Z390" s="23"/>
      <c r="AA390" s="23"/>
      <c r="AB390" s="23" t="str">
        <f>IFERROR(__xludf.DUMMYFUNCTION("IF(
ISNUMBER(MATCH(
C390,
IMPORTRANGE(""https://docs.google.com/spreadsheets/d/1yTh1ELC33JHYOeEdgIiEclxPRyh0zOKtlawDltfUay8"",""'Champions'!A:A""),
0
)),
""Outreach Conducted"",
"""")"),"")</f>
        <v/>
      </c>
      <c r="AC390" s="23"/>
      <c r="AD390" s="23"/>
      <c r="AE390" s="23"/>
      <c r="AF390" s="23"/>
      <c r="AG390" s="23"/>
      <c r="AH390" s="23"/>
      <c r="AI390" s="23"/>
      <c r="AJ390" s="23"/>
      <c r="AK390" s="23"/>
      <c r="AL390" s="23"/>
    </row>
    <row r="391" hidden="1">
      <c r="A391" s="22" t="s">
        <v>2909</v>
      </c>
      <c r="B391" s="22" t="s">
        <v>3458</v>
      </c>
      <c r="C391" s="23" t="str">
        <f t="shared" si="1"/>
        <v>Vanessa Ballenas</v>
      </c>
      <c r="D391" s="22">
        <v>1.6073514135E10</v>
      </c>
      <c r="E391" s="29" t="s">
        <v>3459</v>
      </c>
      <c r="F391" s="22" t="s">
        <v>248</v>
      </c>
      <c r="G391" s="22">
        <v>649.0</v>
      </c>
      <c r="H391" s="22">
        <f t="array" ref="H391">IFERROR(INDEX('Hub CPC 226'!A:A, MATCH(C391, 'Hub CPC 226'!B:B, 0)), "")</f>
        <v>401</v>
      </c>
      <c r="I391" s="22">
        <f t="array" ref="I391">IFERROR(INDEX('Hub Users 226'!A:A, MATCH(C391, 'Hub Users 226'!B:B, 0)), "")</f>
        <v>420</v>
      </c>
      <c r="J391" s="22" t="s">
        <v>1235</v>
      </c>
      <c r="K391" s="23" t="s">
        <v>3460</v>
      </c>
      <c r="L391" s="25">
        <v>44680.580555555556</v>
      </c>
      <c r="M391" s="28"/>
      <c r="N391" s="28"/>
      <c r="O391" s="28"/>
      <c r="P391" s="31"/>
      <c r="Q391" s="22" t="s">
        <v>3459</v>
      </c>
      <c r="R391" s="22" t="s">
        <v>3461</v>
      </c>
      <c r="S391" s="22" t="s">
        <v>3462</v>
      </c>
      <c r="T391" s="22" t="s">
        <v>272</v>
      </c>
      <c r="U391" s="22" t="s">
        <v>3463</v>
      </c>
      <c r="V391" s="26" t="s">
        <v>284</v>
      </c>
      <c r="W391" s="27" t="s">
        <v>3464</v>
      </c>
      <c r="X391" s="26" t="s">
        <v>457</v>
      </c>
      <c r="Y391" s="23"/>
      <c r="Z391" s="28"/>
      <c r="AA391" s="23"/>
      <c r="AB391" s="23" t="str">
        <f>IFERROR(__xludf.DUMMYFUNCTION("IF(
ISNUMBER(MATCH(
C391,
IMPORTRANGE(""https://docs.google.com/spreadsheets/d/1yTh1ELC33JHYOeEdgIiEclxPRyh0zOKtlawDltfUay8"",""'Champions'!A:A""),
0
)),
""Outreach Conducted"",
"""")"),"")</f>
        <v/>
      </c>
      <c r="AC391" s="23"/>
      <c r="AD391" s="23"/>
      <c r="AE391" s="23"/>
      <c r="AF391" s="23"/>
      <c r="AG391" s="23"/>
      <c r="AH391" s="23"/>
      <c r="AI391" s="23"/>
      <c r="AJ391" s="23"/>
      <c r="AK391" s="23"/>
      <c r="AL391" s="23"/>
    </row>
    <row r="392" hidden="1">
      <c r="A392" s="22" t="s">
        <v>3465</v>
      </c>
      <c r="B392" s="22" t="s">
        <v>3466</v>
      </c>
      <c r="C392" s="23" t="str">
        <f t="shared" si="1"/>
        <v>Violeta Furculita</v>
      </c>
      <c r="D392" s="22" t="s">
        <v>3467</v>
      </c>
      <c r="E392" s="29" t="s">
        <v>3468</v>
      </c>
      <c r="F392" s="22" t="s">
        <v>248</v>
      </c>
      <c r="G392" s="22">
        <v>52.0</v>
      </c>
      <c r="H392" s="22">
        <f t="array" ref="H392">IFERROR(INDEX('Hub CPC 226'!A:A, MATCH(C392, 'Hub CPC 226'!B:B, 0)), "")</f>
        <v>403</v>
      </c>
      <c r="I392" s="22">
        <f t="array" ref="I392">IFERROR(INDEX('Hub Users 226'!A:A, MATCH(C392, 'Hub Users 226'!B:B, 0)), "")</f>
        <v>422</v>
      </c>
      <c r="J392" s="22" t="s">
        <v>260</v>
      </c>
      <c r="K392" s="28" t="s">
        <v>3469</v>
      </c>
      <c r="L392" s="25">
        <v>43338.743055555555</v>
      </c>
      <c r="M392" s="28">
        <v>10.0</v>
      </c>
      <c r="N392" s="28">
        <v>26.0</v>
      </c>
      <c r="O392" s="28">
        <v>57.0</v>
      </c>
      <c r="P392" s="32">
        <v>35.0</v>
      </c>
      <c r="Q392" s="22" t="s">
        <v>3470</v>
      </c>
      <c r="R392" s="22"/>
      <c r="S392" s="22" t="s">
        <v>294</v>
      </c>
      <c r="T392" s="22" t="s">
        <v>272</v>
      </c>
      <c r="U392" s="22" t="s">
        <v>3471</v>
      </c>
      <c r="V392" s="23"/>
      <c r="W392" s="23"/>
      <c r="X392" s="23"/>
      <c r="Y392" s="23"/>
      <c r="Z392" s="28"/>
      <c r="AA392" s="23"/>
      <c r="AB392" s="23" t="str">
        <f>IFERROR(__xludf.DUMMYFUNCTION("IF(
ISNUMBER(MATCH(
C392,
IMPORTRANGE(""https://docs.google.com/spreadsheets/d/1yTh1ELC33JHYOeEdgIiEclxPRyh0zOKtlawDltfUay8"",""'Champions'!A:A""),
0
)),
""Outreach Conducted"",
"""")"),"")</f>
        <v/>
      </c>
      <c r="AC392" s="23"/>
      <c r="AD392" s="23"/>
      <c r="AE392" s="23"/>
      <c r="AF392" s="23"/>
      <c r="AG392" s="23"/>
      <c r="AH392" s="23"/>
      <c r="AI392" s="23"/>
      <c r="AJ392" s="23"/>
      <c r="AK392" s="23"/>
      <c r="AL392" s="23"/>
    </row>
    <row r="393" hidden="1">
      <c r="A393" s="22" t="s">
        <v>3472</v>
      </c>
      <c r="B393" s="22" t="s">
        <v>3473</v>
      </c>
      <c r="C393" s="23" t="str">
        <f t="shared" si="1"/>
        <v>Vaidehi Gajjar</v>
      </c>
      <c r="D393" s="22">
        <v>8.036733346E9</v>
      </c>
      <c r="E393" s="29" t="s">
        <v>3474</v>
      </c>
      <c r="F393" s="22" t="s">
        <v>248</v>
      </c>
      <c r="G393" s="22">
        <v>321.0</v>
      </c>
      <c r="H393" s="22">
        <f t="array" ref="H393">IFERROR(INDEX('Hub CPC 226'!A:A, MATCH(C393, 'Hub CPC 226'!B:B, 0)), "")</f>
        <v>404</v>
      </c>
      <c r="I393" s="22">
        <f t="array" ref="I393">IFERROR(INDEX('Hub Users 226'!A:A, MATCH(C393, 'Hub Users 226'!B:B, 0)), "")</f>
        <v>423</v>
      </c>
      <c r="J393" s="22" t="s">
        <v>425</v>
      </c>
      <c r="K393" s="23" t="s">
        <v>3475</v>
      </c>
      <c r="L393" s="25">
        <v>43927.49236111111</v>
      </c>
      <c r="M393" s="23"/>
      <c r="N393" s="23"/>
      <c r="O393" s="23"/>
      <c r="P393" s="23"/>
      <c r="Q393" s="22" t="s">
        <v>3476</v>
      </c>
      <c r="R393" s="22" t="s">
        <v>3477</v>
      </c>
      <c r="S393" s="22" t="s">
        <v>3478</v>
      </c>
      <c r="T393" s="22" t="s">
        <v>3479</v>
      </c>
      <c r="U393" s="22" t="s">
        <v>3480</v>
      </c>
      <c r="V393" s="23"/>
      <c r="W393" s="23"/>
      <c r="X393" s="23"/>
      <c r="Y393" s="23"/>
      <c r="Z393" s="28"/>
      <c r="AA393" s="23"/>
      <c r="AB393" s="23" t="str">
        <f>IFERROR(__xludf.DUMMYFUNCTION("IF(
ISNUMBER(MATCH(
C393,
IMPORTRANGE(""https://docs.google.com/spreadsheets/d/1yTh1ELC33JHYOeEdgIiEclxPRyh0zOKtlawDltfUay8"",""'Champions'!A:A""),
0
)),
""Outreach Conducted"",
"""")"),"")</f>
        <v/>
      </c>
      <c r="AC393" s="23"/>
      <c r="AD393" s="23"/>
      <c r="AE393" s="23"/>
      <c r="AF393" s="23"/>
      <c r="AG393" s="23"/>
      <c r="AH393" s="23"/>
      <c r="AI393" s="23"/>
      <c r="AJ393" s="23"/>
      <c r="AK393" s="23"/>
      <c r="AL393" s="23"/>
    </row>
    <row r="394" hidden="1">
      <c r="A394" s="22" t="s">
        <v>3481</v>
      </c>
      <c r="B394" s="22" t="s">
        <v>3482</v>
      </c>
      <c r="C394" s="23" t="str">
        <f t="shared" si="1"/>
        <v>Vi Bui</v>
      </c>
      <c r="D394" s="22" t="s">
        <v>3483</v>
      </c>
      <c r="E394" s="29" t="s">
        <v>3484</v>
      </c>
      <c r="F394" s="22" t="s">
        <v>248</v>
      </c>
      <c r="G394" s="22">
        <v>88.0</v>
      </c>
      <c r="H394" s="22">
        <f t="array" ref="H394">IFERROR(INDEX('Hub CPC 226'!A:A, MATCH(C394, 'Hub CPC 226'!B:B, 0)), "")</f>
        <v>405</v>
      </c>
      <c r="I394" s="22">
        <f t="array" ref="I394">IFERROR(INDEX('Hub Users 226'!A:A, MATCH(C394, 'Hub Users 226'!B:B, 0)), "")</f>
        <v>424</v>
      </c>
      <c r="J394" s="22" t="s">
        <v>240</v>
      </c>
      <c r="K394" s="23" t="s">
        <v>3485</v>
      </c>
      <c r="L394" s="25">
        <v>43354.01666666667</v>
      </c>
      <c r="M394" s="23"/>
      <c r="N394" s="23"/>
      <c r="O394" s="23"/>
      <c r="P394" s="23"/>
      <c r="Q394" s="24"/>
      <c r="R394" s="24"/>
      <c r="S394" s="24"/>
      <c r="T394" s="24"/>
      <c r="U394" s="22" t="s">
        <v>3486</v>
      </c>
      <c r="V394" s="23"/>
      <c r="W394" s="23"/>
      <c r="X394" s="23"/>
      <c r="Y394" s="23"/>
      <c r="Z394" s="28"/>
      <c r="AA394" s="23"/>
      <c r="AB394" s="23" t="str">
        <f>IFERROR(__xludf.DUMMYFUNCTION("IF(
ISNUMBER(MATCH(
C394,
IMPORTRANGE(""https://docs.google.com/spreadsheets/d/1yTh1ELC33JHYOeEdgIiEclxPRyh0zOKtlawDltfUay8"",""'Champions'!A:A""),
0
)),
""Outreach Conducted"",
"""")"),"")</f>
        <v/>
      </c>
      <c r="AC394" s="23"/>
      <c r="AD394" s="23"/>
      <c r="AE394" s="23"/>
      <c r="AF394" s="23"/>
      <c r="AG394" s="23"/>
      <c r="AH394" s="23"/>
      <c r="AI394" s="23"/>
      <c r="AJ394" s="23"/>
      <c r="AK394" s="23"/>
      <c r="AL394" s="23"/>
    </row>
    <row r="395" hidden="1">
      <c r="A395" s="22" t="s">
        <v>3487</v>
      </c>
      <c r="B395" s="22" t="s">
        <v>3488</v>
      </c>
      <c r="C395" s="23" t="str">
        <f t="shared" si="1"/>
        <v>Vicki Pollack</v>
      </c>
      <c r="D395" s="22" t="s">
        <v>3489</v>
      </c>
      <c r="E395" s="29" t="s">
        <v>3490</v>
      </c>
      <c r="F395" s="22" t="s">
        <v>399</v>
      </c>
      <c r="G395" s="22">
        <v>104.0</v>
      </c>
      <c r="H395" s="22">
        <f t="array" ref="H395">IFERROR(INDEX('Hub CPC 226'!A:A, MATCH(C395, 'Hub CPC 226'!B:B, 0)), "")</f>
        <v>406</v>
      </c>
      <c r="I395" s="22">
        <f t="array" ref="I395">IFERROR(INDEX('Hub Users 226'!A:A, MATCH(C395, 'Hub Users 226'!B:B, 0)), "")</f>
        <v>425</v>
      </c>
      <c r="J395" s="22" t="s">
        <v>260</v>
      </c>
      <c r="K395" s="23" t="s">
        <v>3491</v>
      </c>
      <c r="L395" s="25">
        <v>43479.83263888889</v>
      </c>
      <c r="M395" s="28">
        <v>1.0</v>
      </c>
      <c r="N395" s="28">
        <v>1.0</v>
      </c>
      <c r="O395" s="28">
        <v>4.0</v>
      </c>
      <c r="P395" s="31"/>
      <c r="Q395" s="22" t="s">
        <v>3492</v>
      </c>
      <c r="R395" s="22" t="s">
        <v>3493</v>
      </c>
      <c r="S395" s="22" t="s">
        <v>2004</v>
      </c>
      <c r="T395" s="22" t="s">
        <v>272</v>
      </c>
      <c r="U395" s="22" t="s">
        <v>3494</v>
      </c>
      <c r="V395" s="23"/>
      <c r="W395" s="23"/>
      <c r="X395" s="23"/>
      <c r="Y395" s="23"/>
      <c r="Z395" s="23"/>
      <c r="AA395" s="23"/>
      <c r="AB395" s="23" t="str">
        <f>IFERROR(__xludf.DUMMYFUNCTION("IF(
ISNUMBER(MATCH(
C395,
IMPORTRANGE(""https://docs.google.com/spreadsheets/d/1yTh1ELC33JHYOeEdgIiEclxPRyh0zOKtlawDltfUay8"",""'Champions'!A:A""),
0
)),
""Outreach Conducted"",
"""")"),"")</f>
        <v/>
      </c>
      <c r="AC395" s="23"/>
      <c r="AD395" s="23"/>
      <c r="AE395" s="23"/>
      <c r="AF395" s="23"/>
      <c r="AG395" s="23"/>
      <c r="AH395" s="23"/>
      <c r="AI395" s="23"/>
      <c r="AJ395" s="23"/>
      <c r="AK395" s="23"/>
      <c r="AL395" s="23"/>
    </row>
    <row r="396" hidden="1">
      <c r="A396" s="22" t="s">
        <v>3487</v>
      </c>
      <c r="B396" s="22" t="s">
        <v>3495</v>
      </c>
      <c r="C396" s="23" t="str">
        <f t="shared" si="1"/>
        <v>Vicki Teman</v>
      </c>
      <c r="D396" s="22">
        <v>9.179748253E9</v>
      </c>
      <c r="E396" s="29" t="s">
        <v>3496</v>
      </c>
      <c r="F396" s="22" t="s">
        <v>248</v>
      </c>
      <c r="G396" s="22">
        <v>277.0</v>
      </c>
      <c r="H396" s="22">
        <f t="array" ref="H396">IFERROR(INDEX('Hub CPC 226'!A:A, MATCH(C396, 'Hub CPC 226'!B:B, 0)), "")</f>
        <v>407</v>
      </c>
      <c r="I396" s="22">
        <f t="array" ref="I396">IFERROR(INDEX('Hub Users 226'!A:A, MATCH(C396, 'Hub Users 226'!B:B, 0)), "")</f>
        <v>426</v>
      </c>
      <c r="J396" s="22" t="s">
        <v>240</v>
      </c>
      <c r="K396" s="23" t="s">
        <v>3497</v>
      </c>
      <c r="L396" s="25">
        <v>43777.45277777778</v>
      </c>
      <c r="M396" s="28">
        <v>12.0</v>
      </c>
      <c r="N396" s="28">
        <v>28.0</v>
      </c>
      <c r="O396" s="28">
        <v>73.0</v>
      </c>
      <c r="P396" s="32">
        <v>5.0</v>
      </c>
      <c r="Q396" s="22" t="s">
        <v>3498</v>
      </c>
      <c r="R396" s="22" t="s">
        <v>271</v>
      </c>
      <c r="S396" s="22" t="s">
        <v>271</v>
      </c>
      <c r="T396" s="22" t="s">
        <v>272</v>
      </c>
      <c r="U396" s="22" t="s">
        <v>2031</v>
      </c>
      <c r="V396" s="26" t="s">
        <v>1560</v>
      </c>
      <c r="W396" s="27" t="s">
        <v>3499</v>
      </c>
      <c r="X396" s="26" t="s">
        <v>3500</v>
      </c>
      <c r="Y396" s="23"/>
      <c r="Z396" s="28"/>
      <c r="AA396" s="23"/>
      <c r="AB396" s="23" t="str">
        <f>IFERROR(__xludf.DUMMYFUNCTION("IF(
ISNUMBER(MATCH(
C396,
IMPORTRANGE(""https://docs.google.com/spreadsheets/d/1yTh1ELC33JHYOeEdgIiEclxPRyh0zOKtlawDltfUay8"",""'Champions'!A:A""),
0
)),
""Outreach Conducted"",
"""")"),"")</f>
        <v/>
      </c>
      <c r="AC396" s="23"/>
      <c r="AD396" s="26" t="s">
        <v>3501</v>
      </c>
      <c r="AE396" s="28" t="s">
        <v>3502</v>
      </c>
      <c r="AF396" s="28" t="s">
        <v>449</v>
      </c>
      <c r="AG396" s="28" t="s">
        <v>3386</v>
      </c>
      <c r="AH396" s="23"/>
      <c r="AI396" s="23"/>
      <c r="AJ396" s="23"/>
      <c r="AK396" s="23"/>
      <c r="AL396" s="23"/>
    </row>
    <row r="397" hidden="1">
      <c r="A397" s="22" t="s">
        <v>3503</v>
      </c>
      <c r="B397" s="22" t="s">
        <v>3504</v>
      </c>
      <c r="C397" s="23" t="str">
        <f t="shared" si="1"/>
        <v>Vignesh Sundar</v>
      </c>
      <c r="D397" s="22">
        <v>4.129443505E9</v>
      </c>
      <c r="E397" s="29" t="s">
        <v>3505</v>
      </c>
      <c r="F397" s="22" t="s">
        <v>248</v>
      </c>
      <c r="G397" s="22">
        <v>723.0</v>
      </c>
      <c r="H397" s="22">
        <f t="array" ref="H397">IFERROR(INDEX('Hub CPC 226'!A:A, MATCH(C397, 'Hub CPC 226'!B:B, 0)), "")</f>
        <v>408</v>
      </c>
      <c r="I397" s="22">
        <f t="array" ref="I397">IFERROR(INDEX('Hub Users 226'!A:A, MATCH(C397, 'Hub Users 226'!B:B, 0)), "")</f>
        <v>427</v>
      </c>
      <c r="J397" s="22" t="s">
        <v>260</v>
      </c>
      <c r="K397" s="23" t="s">
        <v>3506</v>
      </c>
      <c r="L397" s="25">
        <v>45030.89166666667</v>
      </c>
      <c r="M397" s="23"/>
      <c r="N397" s="23"/>
      <c r="O397" s="23"/>
      <c r="P397" s="23"/>
      <c r="Q397" s="22" t="s">
        <v>3507</v>
      </c>
      <c r="R397" s="22" t="s">
        <v>700</v>
      </c>
      <c r="S397" s="22" t="s">
        <v>1349</v>
      </c>
      <c r="T397" s="22" t="s">
        <v>252</v>
      </c>
      <c r="U397" s="22" t="s">
        <v>3508</v>
      </c>
      <c r="V397" s="26" t="s">
        <v>475</v>
      </c>
      <c r="W397" s="27" t="s">
        <v>3509</v>
      </c>
      <c r="X397" s="26" t="s">
        <v>704</v>
      </c>
      <c r="Y397" s="23"/>
      <c r="Z397" s="28"/>
      <c r="AA397" s="23"/>
      <c r="AB397" s="23" t="str">
        <f>IFERROR(__xludf.DUMMYFUNCTION("IF(
ISNUMBER(MATCH(
C397,
IMPORTRANGE(""https://docs.google.com/spreadsheets/d/1yTh1ELC33JHYOeEdgIiEclxPRyh0zOKtlawDltfUay8"",""'Champions'!A:A""),
0
)),
""Outreach Conducted"",
"""")"),"")</f>
        <v/>
      </c>
      <c r="AC397" s="23"/>
      <c r="AD397" s="23"/>
      <c r="AE397" s="23"/>
      <c r="AF397" s="23"/>
      <c r="AG397" s="23"/>
      <c r="AH397" s="23"/>
      <c r="AI397" s="23"/>
      <c r="AJ397" s="23"/>
      <c r="AK397" s="23"/>
      <c r="AL397" s="23"/>
    </row>
    <row r="398" hidden="1">
      <c r="A398" s="22" t="s">
        <v>3510</v>
      </c>
      <c r="B398" s="22" t="s">
        <v>3511</v>
      </c>
      <c r="C398" s="23" t="str">
        <f t="shared" si="1"/>
        <v>Suze Vilsaint</v>
      </c>
      <c r="D398" s="22">
        <v>8.454599911E9</v>
      </c>
      <c r="E398" s="29" t="s">
        <v>3512</v>
      </c>
      <c r="F398" s="22" t="s">
        <v>248</v>
      </c>
      <c r="G398" s="22">
        <v>413.0</v>
      </c>
      <c r="H398" s="22">
        <f t="array" ref="H398">IFERROR(INDEX('Hub CPC 226'!A:A, MATCH(C398, 'Hub CPC 226'!B:B, 0)), "")</f>
        <v>409</v>
      </c>
      <c r="I398" s="22">
        <f t="array" ref="I398">IFERROR(INDEX('Hub Users 226'!A:A, MATCH(C398, 'Hub Users 226'!B:B, 0)), "")</f>
        <v>428</v>
      </c>
      <c r="J398" s="22" t="s">
        <v>290</v>
      </c>
      <c r="K398" s="28" t="s">
        <v>3513</v>
      </c>
      <c r="L398" s="25">
        <v>44200.8</v>
      </c>
      <c r="M398" s="28">
        <v>17.0</v>
      </c>
      <c r="N398" s="28">
        <v>38.0</v>
      </c>
      <c r="O398" s="28">
        <v>97.0</v>
      </c>
      <c r="P398" s="31"/>
      <c r="Q398" s="22" t="s">
        <v>3514</v>
      </c>
      <c r="R398" s="22" t="s">
        <v>3515</v>
      </c>
      <c r="S398" s="22" t="s">
        <v>3516</v>
      </c>
      <c r="T398" s="22" t="s">
        <v>272</v>
      </c>
      <c r="U398" s="22" t="s">
        <v>3517</v>
      </c>
      <c r="V398" s="26" t="s">
        <v>360</v>
      </c>
      <c r="W398" s="27" t="s">
        <v>3518</v>
      </c>
      <c r="X398" s="26" t="s">
        <v>619</v>
      </c>
      <c r="Y398" s="23"/>
      <c r="Z398" s="28"/>
      <c r="AA398" s="23"/>
      <c r="AB398" s="23" t="str">
        <f>IFERROR(__xludf.DUMMYFUNCTION("IF(
ISNUMBER(MATCH(
C398,
IMPORTRANGE(""https://docs.google.com/spreadsheets/d/1yTh1ELC33JHYOeEdgIiEclxPRyh0zOKtlawDltfUay8"",""'Champions'!A:A""),
0
)),
""Outreach Conducted"",
"""")"),"")</f>
        <v/>
      </c>
      <c r="AC398" s="23"/>
      <c r="AD398" s="23"/>
      <c r="AE398" s="23"/>
      <c r="AF398" s="23"/>
      <c r="AG398" s="23"/>
      <c r="AH398" s="23"/>
      <c r="AI398" s="23"/>
      <c r="AJ398" s="23"/>
      <c r="AK398" s="23"/>
      <c r="AL398" s="23"/>
    </row>
    <row r="399" hidden="1">
      <c r="A399" s="22" t="s">
        <v>3519</v>
      </c>
      <c r="B399" s="22" t="s">
        <v>3520</v>
      </c>
      <c r="C399" s="23" t="str">
        <f t="shared" si="1"/>
        <v>Srishti Viyulie</v>
      </c>
      <c r="D399" s="22" t="s">
        <v>3521</v>
      </c>
      <c r="E399" s="29" t="s">
        <v>3522</v>
      </c>
      <c r="F399" s="22" t="s">
        <v>399</v>
      </c>
      <c r="G399" s="22">
        <v>100.0</v>
      </c>
      <c r="H399" s="22">
        <f t="array" ref="H399">IFERROR(INDEX('Hub CPC 226'!A:A, MATCH(C399, 'Hub CPC 226'!B:B, 0)), "")</f>
        <v>410</v>
      </c>
      <c r="I399" s="22">
        <f t="array" ref="I399">IFERROR(INDEX('Hub Users 226'!A:A, MATCH(C399, 'Hub Users 226'!B:B, 0)), "")</f>
        <v>429</v>
      </c>
      <c r="J399" s="22" t="s">
        <v>240</v>
      </c>
      <c r="K399" s="23" t="s">
        <v>3523</v>
      </c>
      <c r="L399" s="25">
        <v>43445.39861111111</v>
      </c>
      <c r="M399" s="23"/>
      <c r="N399" s="23"/>
      <c r="O399" s="23"/>
      <c r="P399" s="23"/>
      <c r="Q399" s="22" t="s">
        <v>3524</v>
      </c>
      <c r="R399" s="22" t="s">
        <v>2892</v>
      </c>
      <c r="S399" s="22" t="s">
        <v>2892</v>
      </c>
      <c r="T399" s="22" t="s">
        <v>241</v>
      </c>
      <c r="U399" s="22" t="s">
        <v>747</v>
      </c>
      <c r="V399" s="23"/>
      <c r="W399" s="23"/>
      <c r="X399" s="23"/>
      <c r="Y399" s="23"/>
      <c r="Z399" s="23"/>
      <c r="AA399" s="23"/>
      <c r="AB399" s="23" t="str">
        <f>IFERROR(__xludf.DUMMYFUNCTION("IF(
ISNUMBER(MATCH(
C399,
IMPORTRANGE(""https://docs.google.com/spreadsheets/d/1yTh1ELC33JHYOeEdgIiEclxPRyh0zOKtlawDltfUay8"",""'Champions'!A:A""),
0
)),
""Outreach Conducted"",
"""")"),"")</f>
        <v/>
      </c>
      <c r="AC399" s="23"/>
      <c r="AD399" s="23"/>
      <c r="AE399" s="23"/>
      <c r="AF399" s="23"/>
      <c r="AG399" s="23"/>
      <c r="AH399" s="23"/>
      <c r="AI399" s="23"/>
      <c r="AJ399" s="23"/>
      <c r="AK399" s="23"/>
      <c r="AL399" s="23"/>
    </row>
    <row r="400" hidden="1">
      <c r="A400" s="22" t="s">
        <v>3525</v>
      </c>
      <c r="B400" s="22" t="s">
        <v>3526</v>
      </c>
      <c r="C400" s="23" t="str">
        <f t="shared" si="1"/>
        <v>Vatsala Sarathy</v>
      </c>
      <c r="D400" s="22">
        <v>1.6505756193E10</v>
      </c>
      <c r="E400" s="29" t="s">
        <v>3527</v>
      </c>
      <c r="F400" s="22" t="s">
        <v>248</v>
      </c>
      <c r="G400" s="22">
        <v>532.0</v>
      </c>
      <c r="H400" s="22">
        <f t="array" ref="H400">IFERROR(INDEX('Hub CPC 226'!A:A, MATCH(C400, 'Hub CPC 226'!B:B, 0)), "")</f>
        <v>411</v>
      </c>
      <c r="I400" s="22">
        <f t="array" ref="I400">IFERROR(INDEX('Hub Users 226'!A:A, MATCH(C400, 'Hub Users 226'!B:B, 0)), "")</f>
        <v>430</v>
      </c>
      <c r="J400" s="22" t="s">
        <v>407</v>
      </c>
      <c r="K400" s="23" t="s">
        <v>3528</v>
      </c>
      <c r="L400" s="25">
        <v>44499.45972222222</v>
      </c>
      <c r="M400" s="23"/>
      <c r="N400" s="23"/>
      <c r="O400" s="23"/>
      <c r="P400" s="23"/>
      <c r="Q400" s="22" t="s">
        <v>3529</v>
      </c>
      <c r="R400" s="22" t="s">
        <v>3530</v>
      </c>
      <c r="S400" s="22" t="s">
        <v>3531</v>
      </c>
      <c r="T400" s="22" t="s">
        <v>252</v>
      </c>
      <c r="U400" s="22" t="s">
        <v>591</v>
      </c>
      <c r="V400" s="26" t="s">
        <v>3532</v>
      </c>
      <c r="W400" s="27" t="s">
        <v>3533</v>
      </c>
      <c r="X400" s="26" t="s">
        <v>3534</v>
      </c>
      <c r="Y400" s="23"/>
      <c r="Z400" s="28"/>
      <c r="AA400" s="23"/>
      <c r="AB400" s="23" t="str">
        <f>IFERROR(__xludf.DUMMYFUNCTION("IF(
ISNUMBER(MATCH(
C400,
IMPORTRANGE(""https://docs.google.com/spreadsheets/d/1yTh1ELC33JHYOeEdgIiEclxPRyh0zOKtlawDltfUay8"",""'Champions'!A:A""),
0
)),
""Outreach Conducted"",
"""")"),"")</f>
        <v/>
      </c>
      <c r="AC400" s="23"/>
      <c r="AD400" s="23"/>
      <c r="AE400" s="23"/>
      <c r="AF400" s="23"/>
      <c r="AG400" s="23"/>
      <c r="AH400" s="23"/>
      <c r="AI400" s="23"/>
      <c r="AJ400" s="23"/>
      <c r="AK400" s="23"/>
      <c r="AL400" s="23"/>
    </row>
    <row r="401" hidden="1">
      <c r="A401" s="22" t="s">
        <v>3535</v>
      </c>
      <c r="B401" s="22" t="s">
        <v>3536</v>
      </c>
      <c r="C401" s="23" t="str">
        <f t="shared" si="1"/>
        <v>Prasanna Vijayanathan</v>
      </c>
      <c r="D401" s="22">
        <v>1.2149343151E10</v>
      </c>
      <c r="E401" s="29" t="s">
        <v>3537</v>
      </c>
      <c r="F401" s="22" t="s">
        <v>248</v>
      </c>
      <c r="G401" s="22">
        <v>633.0</v>
      </c>
      <c r="H401" s="22">
        <f t="array" ref="H401">IFERROR(INDEX('Hub CPC 226'!A:A, MATCH(C401, 'Hub CPC 226'!B:B, 0)), "")</f>
        <v>412</v>
      </c>
      <c r="I401" s="22">
        <f t="array" ref="I401">IFERROR(INDEX('Hub Users 226'!A:A, MATCH(C401, 'Hub Users 226'!B:B, 0)), "")</f>
        <v>431</v>
      </c>
      <c r="J401" s="22" t="s">
        <v>239</v>
      </c>
      <c r="K401" s="23" t="s">
        <v>3538</v>
      </c>
      <c r="L401" s="25">
        <v>44637.541666666664</v>
      </c>
      <c r="M401" s="23"/>
      <c r="N401" s="23"/>
      <c r="O401" s="23"/>
      <c r="P401" s="23"/>
      <c r="Q401" s="22" t="s">
        <v>3539</v>
      </c>
      <c r="R401" s="22" t="s">
        <v>3540</v>
      </c>
      <c r="S401" s="22" t="s">
        <v>3541</v>
      </c>
      <c r="T401" s="22" t="s">
        <v>252</v>
      </c>
      <c r="U401" s="22" t="s">
        <v>1475</v>
      </c>
      <c r="V401" s="26" t="s">
        <v>3542</v>
      </c>
      <c r="W401" s="27" t="s">
        <v>3543</v>
      </c>
      <c r="X401" s="26" t="s">
        <v>3544</v>
      </c>
      <c r="Y401" s="23"/>
      <c r="Z401" s="28"/>
      <c r="AA401" s="23"/>
      <c r="AB401" s="23" t="str">
        <f>IFERROR(__xludf.DUMMYFUNCTION("IF(
ISNUMBER(MATCH(
C401,
IMPORTRANGE(""https://docs.google.com/spreadsheets/d/1yTh1ELC33JHYOeEdgIiEclxPRyh0zOKtlawDltfUay8"",""'Champions'!A:A""),
0
)),
""Outreach Conducted"",
"""")"),"")</f>
        <v/>
      </c>
      <c r="AC401" s="23"/>
      <c r="AD401" s="23"/>
      <c r="AE401" s="23"/>
      <c r="AF401" s="23"/>
      <c r="AG401" s="23"/>
      <c r="AH401" s="23"/>
      <c r="AI401" s="23"/>
      <c r="AJ401" s="23"/>
      <c r="AK401" s="23"/>
      <c r="AL401" s="23"/>
    </row>
    <row r="402" hidden="1">
      <c r="A402" s="22" t="s">
        <v>3545</v>
      </c>
      <c r="B402" s="22" t="s">
        <v>3546</v>
      </c>
      <c r="C402" s="23" t="str">
        <f t="shared" si="1"/>
        <v>Waad Massoud</v>
      </c>
      <c r="D402" s="22" t="s">
        <v>3547</v>
      </c>
      <c r="E402" s="29" t="s">
        <v>3548</v>
      </c>
      <c r="F402" s="22" t="s">
        <v>248</v>
      </c>
      <c r="G402" s="22">
        <v>97.0</v>
      </c>
      <c r="H402" s="22">
        <f t="array" ref="H402">IFERROR(INDEX('Hub CPC 226'!A:A, MATCH(C402, 'Hub CPC 226'!B:B, 0)), "")</f>
        <v>413</v>
      </c>
      <c r="I402" s="22">
        <f t="array" ref="I402">IFERROR(INDEX('Hub Users 226'!A:A, MATCH(C402, 'Hub Users 226'!B:B, 0)), "")</f>
        <v>432</v>
      </c>
      <c r="J402" s="22" t="s">
        <v>240</v>
      </c>
      <c r="K402" s="28" t="s">
        <v>3549</v>
      </c>
      <c r="L402" s="25">
        <v>43438.48055555556</v>
      </c>
      <c r="M402" s="23"/>
      <c r="N402" s="23"/>
      <c r="O402" s="23"/>
      <c r="P402" s="23"/>
      <c r="Q402" s="22" t="s">
        <v>3550</v>
      </c>
      <c r="R402" s="22" t="s">
        <v>3551</v>
      </c>
      <c r="S402" s="24"/>
      <c r="T402" s="24"/>
      <c r="U402" s="24"/>
      <c r="V402" s="26" t="s">
        <v>284</v>
      </c>
      <c r="W402" s="27" t="s">
        <v>3552</v>
      </c>
      <c r="X402" s="26" t="s">
        <v>1085</v>
      </c>
      <c r="Y402" s="23"/>
      <c r="Z402" s="28"/>
      <c r="AA402" s="23"/>
      <c r="AB402" s="23" t="str">
        <f>IFERROR(__xludf.DUMMYFUNCTION("IF(
ISNUMBER(MATCH(
C402,
IMPORTRANGE(""https://docs.google.com/spreadsheets/d/1yTh1ELC33JHYOeEdgIiEclxPRyh0zOKtlawDltfUay8"",""'Champions'!A:A""),
0
)),
""Outreach Conducted"",
"""")"),"")</f>
        <v/>
      </c>
      <c r="AC402" s="23"/>
      <c r="AD402" s="23"/>
      <c r="AE402" s="23"/>
      <c r="AF402" s="23"/>
      <c r="AG402" s="23"/>
      <c r="AH402" s="23"/>
      <c r="AI402" s="23"/>
      <c r="AJ402" s="23"/>
      <c r="AK402" s="23"/>
      <c r="AL402" s="23"/>
    </row>
    <row r="403" hidden="1">
      <c r="A403" s="22" t="s">
        <v>3553</v>
      </c>
      <c r="B403" s="22" t="s">
        <v>3554</v>
      </c>
      <c r="C403" s="23" t="str">
        <f t="shared" si="1"/>
        <v>Robert Wadams</v>
      </c>
      <c r="D403" s="22">
        <v>1.6096106801E10</v>
      </c>
      <c r="E403" s="29" t="s">
        <v>3555</v>
      </c>
      <c r="F403" s="22" t="s">
        <v>248</v>
      </c>
      <c r="G403" s="22">
        <v>701.0</v>
      </c>
      <c r="H403" s="22">
        <f t="array" ref="H403">IFERROR(INDEX('Hub CPC 226'!A:A, MATCH(C403, 'Hub CPC 226'!B:B, 0)), "")</f>
        <v>414</v>
      </c>
      <c r="I403" s="22">
        <f t="array" ref="I403">IFERROR(INDEX('Hub Users 226'!A:A, MATCH(C403, 'Hub Users 226'!B:B, 0)), "")</f>
        <v>433</v>
      </c>
      <c r="J403" s="22" t="s">
        <v>260</v>
      </c>
      <c r="K403" s="23" t="s">
        <v>3556</v>
      </c>
      <c r="L403" s="25">
        <v>44975.78194444445</v>
      </c>
      <c r="M403" s="23"/>
      <c r="N403" s="23"/>
      <c r="O403" s="23"/>
      <c r="P403" s="23"/>
      <c r="Q403" s="22" t="s">
        <v>3557</v>
      </c>
      <c r="R403" s="22" t="s">
        <v>2853</v>
      </c>
      <c r="S403" s="22" t="s">
        <v>2854</v>
      </c>
      <c r="T403" s="22" t="s">
        <v>241</v>
      </c>
      <c r="U403" s="22" t="s">
        <v>3558</v>
      </c>
      <c r="V403" s="26" t="s">
        <v>475</v>
      </c>
      <c r="W403" s="27" t="s">
        <v>3559</v>
      </c>
      <c r="X403" s="26" t="s">
        <v>1085</v>
      </c>
      <c r="Y403" s="23"/>
      <c r="Z403" s="28"/>
      <c r="AA403" s="23"/>
      <c r="AB403" s="23" t="str">
        <f>IFERROR(__xludf.DUMMYFUNCTION("IF(
ISNUMBER(MATCH(
C403,
IMPORTRANGE(""https://docs.google.com/spreadsheets/d/1yTh1ELC33JHYOeEdgIiEclxPRyh0zOKtlawDltfUay8"",""'Champions'!A:A""),
0
)),
""Outreach Conducted"",
"""")"),"")</f>
        <v/>
      </c>
      <c r="AC403" s="23"/>
      <c r="AD403" s="23"/>
      <c r="AE403" s="23"/>
      <c r="AF403" s="23"/>
      <c r="AG403" s="23"/>
      <c r="AH403" s="23"/>
      <c r="AI403" s="23"/>
      <c r="AJ403" s="23"/>
      <c r="AK403" s="23"/>
      <c r="AL403" s="23"/>
    </row>
    <row r="404" hidden="1">
      <c r="A404" s="22" t="s">
        <v>1497</v>
      </c>
      <c r="B404" s="22" t="s">
        <v>3560</v>
      </c>
      <c r="C404" s="23" t="str">
        <f t="shared" si="1"/>
        <v>Frank Weber</v>
      </c>
      <c r="D404" s="22">
        <v>1.9164792022E10</v>
      </c>
      <c r="E404" s="29" t="s">
        <v>3561</v>
      </c>
      <c r="F404" s="22" t="s">
        <v>248</v>
      </c>
      <c r="G404" s="22">
        <v>613.0</v>
      </c>
      <c r="H404" s="22">
        <f t="array" ref="H404">IFERROR(INDEX('Hub CPC 226'!A:A, MATCH(C404, 'Hub CPC 226'!B:B, 0)), "")</f>
        <v>415</v>
      </c>
      <c r="I404" s="22">
        <f t="array" ref="I404">IFERROR(INDEX('Hub Users 226'!A:A, MATCH(C404, 'Hub Users 226'!B:B, 0)), "")</f>
        <v>434</v>
      </c>
      <c r="J404" s="22" t="s">
        <v>302</v>
      </c>
      <c r="K404" s="23" t="s">
        <v>3562</v>
      </c>
      <c r="L404" s="25">
        <v>44586.94097222222</v>
      </c>
      <c r="M404" s="23"/>
      <c r="N404" s="23"/>
      <c r="O404" s="23"/>
      <c r="P404" s="23"/>
      <c r="Q404" s="22" t="s">
        <v>3563</v>
      </c>
      <c r="R404" s="22" t="s">
        <v>3564</v>
      </c>
      <c r="S404" s="22" t="s">
        <v>3565</v>
      </c>
      <c r="T404" s="22" t="s">
        <v>252</v>
      </c>
      <c r="U404" s="22" t="s">
        <v>3566</v>
      </c>
      <c r="V404" s="26" t="s">
        <v>884</v>
      </c>
      <c r="W404" s="27" t="s">
        <v>3567</v>
      </c>
      <c r="X404" s="26" t="s">
        <v>3568</v>
      </c>
      <c r="Y404" s="23"/>
      <c r="Z404" s="28"/>
      <c r="AA404" s="23"/>
      <c r="AB404" s="23" t="str">
        <f>IFERROR(__xludf.DUMMYFUNCTION("IF(
ISNUMBER(MATCH(
C404,
IMPORTRANGE(""https://docs.google.com/spreadsheets/d/1yTh1ELC33JHYOeEdgIiEclxPRyh0zOKtlawDltfUay8"",""'Champions'!A:A""),
0
)),
""Outreach Conducted"",
"""")"),"")</f>
        <v/>
      </c>
      <c r="AC404" s="23"/>
      <c r="AD404" s="23"/>
      <c r="AE404" s="23"/>
      <c r="AF404" s="23"/>
      <c r="AG404" s="23"/>
      <c r="AH404" s="23"/>
      <c r="AI404" s="23"/>
      <c r="AJ404" s="23"/>
      <c r="AK404" s="23"/>
      <c r="AL404" s="23"/>
    </row>
    <row r="405" hidden="1">
      <c r="A405" s="22" t="s">
        <v>3569</v>
      </c>
      <c r="B405" s="22" t="s">
        <v>1741</v>
      </c>
      <c r="C405" s="23" t="str">
        <f t="shared" si="1"/>
        <v>Weina Chen</v>
      </c>
      <c r="D405" s="22">
        <v>4.252692144E9</v>
      </c>
      <c r="E405" s="29" t="s">
        <v>3570</v>
      </c>
      <c r="F405" s="22" t="s">
        <v>248</v>
      </c>
      <c r="G405" s="22">
        <v>25.0</v>
      </c>
      <c r="H405" s="22">
        <f t="array" ref="H405">IFERROR(INDEX('Hub CPC 226'!A:A, MATCH(C405, 'Hub CPC 226'!B:B, 0)), "")</f>
        <v>416</v>
      </c>
      <c r="I405" s="22">
        <f t="array" ref="I405">IFERROR(INDEX('Hub Users 226'!A:A, MATCH(C405, 'Hub Users 226'!B:B, 0)), "")</f>
        <v>435</v>
      </c>
      <c r="J405" s="22"/>
      <c r="K405" s="28" t="s">
        <v>3571</v>
      </c>
      <c r="L405" s="25">
        <v>43338.743055555555</v>
      </c>
      <c r="M405" s="23"/>
      <c r="N405" s="23"/>
      <c r="O405" s="23"/>
      <c r="P405" s="23"/>
      <c r="Q405" s="22" t="s">
        <v>3572</v>
      </c>
      <c r="R405" s="22" t="s">
        <v>473</v>
      </c>
      <c r="S405" s="22" t="s">
        <v>473</v>
      </c>
      <c r="T405" s="22" t="s">
        <v>252</v>
      </c>
      <c r="U405" s="22" t="s">
        <v>3573</v>
      </c>
      <c r="V405" s="26" t="s">
        <v>3574</v>
      </c>
      <c r="W405" s="27" t="s">
        <v>3575</v>
      </c>
      <c r="X405" s="26" t="s">
        <v>3576</v>
      </c>
      <c r="Y405" s="23"/>
      <c r="Z405" s="28"/>
      <c r="AA405" s="23"/>
      <c r="AB405" s="23" t="str">
        <f>IFERROR(__xludf.DUMMYFUNCTION("IF(
ISNUMBER(MATCH(
C405,
IMPORTRANGE(""https://docs.google.com/spreadsheets/d/1yTh1ELC33JHYOeEdgIiEclxPRyh0zOKtlawDltfUay8"",""'Champions'!A:A""),
0
)),
""Outreach Conducted"",
"""")"),"")</f>
        <v/>
      </c>
      <c r="AC405" s="23"/>
      <c r="AD405" s="23"/>
      <c r="AE405" s="23"/>
      <c r="AF405" s="23"/>
      <c r="AG405" s="23"/>
      <c r="AH405" s="23"/>
      <c r="AI405" s="23"/>
      <c r="AJ405" s="23"/>
      <c r="AK405" s="23"/>
      <c r="AL405" s="23"/>
    </row>
    <row r="406" hidden="1">
      <c r="A406" s="22" t="s">
        <v>3577</v>
      </c>
      <c r="B406" s="22" t="s">
        <v>3578</v>
      </c>
      <c r="C406" s="23" t="str">
        <f t="shared" si="1"/>
        <v>Wendy Velasquez Ebanks</v>
      </c>
      <c r="D406" s="22">
        <v>1.2405437445E10</v>
      </c>
      <c r="E406" s="29" t="s">
        <v>3579</v>
      </c>
      <c r="F406" s="22" t="s">
        <v>248</v>
      </c>
      <c r="G406" s="22">
        <v>583.0</v>
      </c>
      <c r="H406" s="22">
        <f t="array" ref="H406">IFERROR(INDEX('Hub CPC 226'!A:A, MATCH(C406, 'Hub CPC 226'!B:B, 0)), "")</f>
        <v>417</v>
      </c>
      <c r="I406" s="22">
        <f t="array" ref="I406">IFERROR(INDEX('Hub Users 226'!A:A, MATCH(C406, 'Hub Users 226'!B:B, 0)), "")</f>
        <v>436</v>
      </c>
      <c r="J406" s="22" t="s">
        <v>407</v>
      </c>
      <c r="K406" s="28" t="s">
        <v>3580</v>
      </c>
      <c r="L406" s="25">
        <v>44565.75347222222</v>
      </c>
      <c r="M406" s="23"/>
      <c r="N406" s="23"/>
      <c r="O406" s="23"/>
      <c r="P406" s="23"/>
      <c r="Q406" s="22" t="s">
        <v>3581</v>
      </c>
      <c r="R406" s="22" t="s">
        <v>831</v>
      </c>
      <c r="S406" s="22" t="s">
        <v>3582</v>
      </c>
      <c r="T406" s="22" t="s">
        <v>465</v>
      </c>
      <c r="U406" s="22" t="s">
        <v>3583</v>
      </c>
      <c r="V406" s="26" t="s">
        <v>3584</v>
      </c>
      <c r="W406" s="27" t="s">
        <v>3585</v>
      </c>
      <c r="X406" s="26" t="s">
        <v>3586</v>
      </c>
      <c r="Y406" s="23"/>
      <c r="Z406" s="28"/>
      <c r="AA406" s="23"/>
      <c r="AB406" s="23" t="str">
        <f>IFERROR(__xludf.DUMMYFUNCTION("IF(
ISNUMBER(MATCH(
C406,
IMPORTRANGE(""https://docs.google.com/spreadsheets/d/1yTh1ELC33JHYOeEdgIiEclxPRyh0zOKtlawDltfUay8"",""'Champions'!A:A""),
0
)),
""Outreach Conducted"",
"""")"),"")</f>
        <v/>
      </c>
      <c r="AC406" s="23"/>
      <c r="AD406" s="23"/>
      <c r="AE406" s="23"/>
      <c r="AF406" s="23"/>
      <c r="AG406" s="23"/>
      <c r="AH406" s="23"/>
      <c r="AI406" s="23"/>
      <c r="AJ406" s="23"/>
      <c r="AK406" s="23"/>
      <c r="AL406" s="23"/>
    </row>
    <row r="407" hidden="1">
      <c r="A407" s="22" t="s">
        <v>1197</v>
      </c>
      <c r="B407" s="22" t="s">
        <v>3587</v>
      </c>
      <c r="C407" s="23" t="str">
        <f t="shared" si="1"/>
        <v>Weston Uribe</v>
      </c>
      <c r="D407" s="22">
        <v>1.2096887483E10</v>
      </c>
      <c r="E407" s="29" t="s">
        <v>3588</v>
      </c>
      <c r="F407" s="22" t="s">
        <v>248</v>
      </c>
      <c r="G407" s="22">
        <v>466.0</v>
      </c>
      <c r="H407" s="22">
        <f t="array" ref="H407">IFERROR(INDEX('Hub CPC 226'!A:A, MATCH(C407, 'Hub CPC 226'!B:B, 0)), "")</f>
        <v>418</v>
      </c>
      <c r="I407" s="22">
        <f t="array" ref="I407">IFERROR(INDEX('Hub Users 226'!A:A, MATCH(C407, 'Hub Users 226'!B:B, 0)), "")</f>
        <v>437</v>
      </c>
      <c r="J407" s="22" t="s">
        <v>260</v>
      </c>
      <c r="K407" s="23" t="s">
        <v>3589</v>
      </c>
      <c r="L407" s="25">
        <v>44279.58125</v>
      </c>
      <c r="M407" s="23"/>
      <c r="N407" s="23"/>
      <c r="O407" s="23"/>
      <c r="P407" s="23"/>
      <c r="Q407" s="22" t="s">
        <v>3590</v>
      </c>
      <c r="R407" s="22" t="s">
        <v>947</v>
      </c>
      <c r="S407" s="22" t="s">
        <v>948</v>
      </c>
      <c r="T407" s="22" t="s">
        <v>1525</v>
      </c>
      <c r="U407" s="22" t="s">
        <v>3591</v>
      </c>
      <c r="V407" s="26" t="s">
        <v>360</v>
      </c>
      <c r="W407" s="27" t="s">
        <v>3592</v>
      </c>
      <c r="X407" s="26" t="s">
        <v>629</v>
      </c>
      <c r="Y407" s="23"/>
      <c r="Z407" s="28"/>
      <c r="AA407" s="23"/>
      <c r="AB407" s="23" t="str">
        <f>IFERROR(__xludf.DUMMYFUNCTION("IF(
ISNUMBER(MATCH(
C407,
IMPORTRANGE(""https://docs.google.com/spreadsheets/d/1yTh1ELC33JHYOeEdgIiEclxPRyh0zOKtlawDltfUay8"",""'Champions'!A:A""),
0
)),
""Outreach Conducted"",
"""")"),"")</f>
        <v/>
      </c>
      <c r="AC407" s="23"/>
      <c r="AD407" s="23"/>
      <c r="AE407" s="23"/>
      <c r="AF407" s="23"/>
      <c r="AG407" s="23"/>
      <c r="AH407" s="23"/>
      <c r="AI407" s="23"/>
      <c r="AJ407" s="23"/>
      <c r="AK407" s="23"/>
      <c r="AL407" s="23"/>
    </row>
    <row r="408" hidden="1">
      <c r="A408" s="22" t="s">
        <v>2084</v>
      </c>
      <c r="B408" s="22" t="s">
        <v>1763</v>
      </c>
      <c r="C408" s="23" t="str">
        <f t="shared" si="1"/>
        <v>Wilson Antoine</v>
      </c>
      <c r="D408" s="22">
        <v>1.2014077869E10</v>
      </c>
      <c r="E408" s="29" t="s">
        <v>3593</v>
      </c>
      <c r="F408" s="22" t="s">
        <v>248</v>
      </c>
      <c r="G408" s="22">
        <v>634.0</v>
      </c>
      <c r="H408" s="22">
        <f t="array" ref="H408">IFERROR(INDEX('Hub CPC 226'!A:A, MATCH(C408, 'Hub CPC 226'!B:B, 0)), "")</f>
        <v>419</v>
      </c>
      <c r="I408" s="22">
        <f t="array" ref="I408">IFERROR(INDEX('Hub Users 226'!A:A, MATCH(C408, 'Hub Users 226'!B:B, 0)), "")</f>
        <v>438</v>
      </c>
      <c r="J408" s="22" t="s">
        <v>302</v>
      </c>
      <c r="K408" s="23" t="s">
        <v>3594</v>
      </c>
      <c r="L408" s="25">
        <v>44646.524305555555</v>
      </c>
      <c r="M408" s="23"/>
      <c r="N408" s="23"/>
      <c r="O408" s="23"/>
      <c r="P408" s="23"/>
      <c r="Q408" s="22" t="s">
        <v>3595</v>
      </c>
      <c r="R408" s="22" t="s">
        <v>3596</v>
      </c>
      <c r="S408" s="22" t="s">
        <v>3597</v>
      </c>
      <c r="T408" s="22" t="s">
        <v>241</v>
      </c>
      <c r="U408" s="22" t="s">
        <v>3598</v>
      </c>
      <c r="V408" s="26" t="s">
        <v>1807</v>
      </c>
      <c r="W408" s="27" t="s">
        <v>3599</v>
      </c>
      <c r="X408" s="26" t="s">
        <v>3600</v>
      </c>
      <c r="Y408" s="23"/>
      <c r="Z408" s="28"/>
      <c r="AA408" s="23"/>
      <c r="AB408" s="23" t="str">
        <f>IFERROR(__xludf.DUMMYFUNCTION("IF(
ISNUMBER(MATCH(
C408,
IMPORTRANGE(""https://docs.google.com/spreadsheets/d/1yTh1ELC33JHYOeEdgIiEclxPRyh0zOKtlawDltfUay8"",""'Champions'!A:A""),
0
)),
""Outreach Conducted"",
"""")"),"")</f>
        <v/>
      </c>
      <c r="AC408" s="23"/>
      <c r="AD408" s="23"/>
      <c r="AE408" s="23"/>
      <c r="AF408" s="23"/>
      <c r="AG408" s="23"/>
      <c r="AH408" s="23"/>
      <c r="AI408" s="23"/>
      <c r="AJ408" s="23"/>
      <c r="AK408" s="23"/>
      <c r="AL408" s="23"/>
    </row>
    <row r="409" hidden="1">
      <c r="A409" s="22" t="s">
        <v>3577</v>
      </c>
      <c r="B409" s="22" t="s">
        <v>3601</v>
      </c>
      <c r="C409" s="23" t="str">
        <f t="shared" si="1"/>
        <v>Wendy Hennessy</v>
      </c>
      <c r="D409" s="22" t="s">
        <v>3602</v>
      </c>
      <c r="E409" s="29" t="s">
        <v>3603</v>
      </c>
      <c r="F409" s="22" t="s">
        <v>399</v>
      </c>
      <c r="G409" s="22">
        <v>174.0</v>
      </c>
      <c r="H409" s="22">
        <f t="array" ref="H409">IFERROR(INDEX('Hub CPC 226'!A:A, MATCH(C409, 'Hub CPC 226'!B:B, 0)), "")</f>
        <v>420</v>
      </c>
      <c r="I409" s="22">
        <f t="array" ref="I409">IFERROR(INDEX('Hub Users 226'!A:A, MATCH(C409, 'Hub Users 226'!B:B, 0)), "")</f>
        <v>439</v>
      </c>
      <c r="J409" s="22" t="s">
        <v>240</v>
      </c>
      <c r="K409" s="23" t="s">
        <v>3604</v>
      </c>
      <c r="L409" s="25">
        <v>43592.26736111111</v>
      </c>
      <c r="M409" s="28">
        <v>19.0</v>
      </c>
      <c r="N409" s="28">
        <v>41.0</v>
      </c>
      <c r="O409" s="28">
        <v>103.0</v>
      </c>
      <c r="P409" s="31"/>
      <c r="Q409" s="22" t="s">
        <v>3605</v>
      </c>
      <c r="R409" s="22" t="s">
        <v>3606</v>
      </c>
      <c r="S409" s="22" t="s">
        <v>3607</v>
      </c>
      <c r="T409" s="22" t="s">
        <v>272</v>
      </c>
      <c r="U409" s="22" t="s">
        <v>3608</v>
      </c>
      <c r="V409" s="23"/>
      <c r="W409" s="23"/>
      <c r="X409" s="23"/>
      <c r="Y409" s="23"/>
      <c r="Z409" s="23"/>
      <c r="AA409" s="23"/>
      <c r="AB409" s="23" t="str">
        <f>IFERROR(__xludf.DUMMYFUNCTION("IF(
ISNUMBER(MATCH(
C409,
IMPORTRANGE(""https://docs.google.com/spreadsheets/d/1yTh1ELC33JHYOeEdgIiEclxPRyh0zOKtlawDltfUay8"",""'Champions'!A:A""),
0
)),
""Outreach Conducted"",
"""")"),"")</f>
        <v/>
      </c>
      <c r="AC409" s="23"/>
      <c r="AD409" s="23"/>
      <c r="AE409" s="23"/>
      <c r="AF409" s="23"/>
      <c r="AG409" s="23"/>
      <c r="AH409" s="23"/>
      <c r="AI409" s="23"/>
      <c r="AJ409" s="23"/>
      <c r="AK409" s="23"/>
      <c r="AL409" s="23"/>
    </row>
    <row r="410" hidden="1">
      <c r="A410" s="22" t="s">
        <v>3609</v>
      </c>
      <c r="B410" s="22" t="s">
        <v>3610</v>
      </c>
      <c r="C410" s="23" t="str">
        <f t="shared" si="1"/>
        <v>Wilfredo Rosado</v>
      </c>
      <c r="D410" s="22">
        <v>9.176937037E9</v>
      </c>
      <c r="E410" s="29" t="s">
        <v>3611</v>
      </c>
      <c r="F410" s="22" t="s">
        <v>248</v>
      </c>
      <c r="G410" s="22">
        <v>642.0</v>
      </c>
      <c r="H410" s="22">
        <f t="array" ref="H410">IFERROR(INDEX('Hub CPC 226'!A:A, MATCH(C410, 'Hub CPC 226'!B:B, 0)), "")</f>
        <v>421</v>
      </c>
      <c r="I410" s="22">
        <f t="array" ref="I410">IFERROR(INDEX('Hub Users 226'!A:A, MATCH(C410, 'Hub Users 226'!B:B, 0)), "")</f>
        <v>440</v>
      </c>
      <c r="J410" s="22" t="s">
        <v>260</v>
      </c>
      <c r="K410" s="23" t="s">
        <v>3612</v>
      </c>
      <c r="L410" s="25">
        <v>44678.56597222222</v>
      </c>
      <c r="M410" s="23"/>
      <c r="N410" s="23"/>
      <c r="O410" s="23"/>
      <c r="P410" s="23"/>
      <c r="Q410" s="24"/>
      <c r="R410" s="24"/>
      <c r="S410" s="24"/>
      <c r="T410" s="24"/>
      <c r="U410" s="24"/>
      <c r="V410" s="23"/>
      <c r="W410" s="23"/>
      <c r="X410" s="23"/>
      <c r="Y410" s="23"/>
      <c r="Z410" s="28"/>
      <c r="AA410" s="23"/>
      <c r="AB410" s="23" t="str">
        <f>IFERROR(__xludf.DUMMYFUNCTION("IF(
ISNUMBER(MATCH(
C410,
IMPORTRANGE(""https://docs.google.com/spreadsheets/d/1yTh1ELC33JHYOeEdgIiEclxPRyh0zOKtlawDltfUay8"",""'Champions'!A:A""),
0
)),
""Outreach Conducted"",
"""")"),"")</f>
        <v/>
      </c>
      <c r="AC410" s="23"/>
      <c r="AD410" s="23"/>
      <c r="AE410" s="23"/>
      <c r="AF410" s="23"/>
      <c r="AG410" s="23"/>
      <c r="AH410" s="23"/>
      <c r="AI410" s="23"/>
      <c r="AJ410" s="23"/>
      <c r="AK410" s="23"/>
      <c r="AL410" s="23"/>
    </row>
    <row r="411" hidden="1">
      <c r="A411" s="22" t="s">
        <v>3613</v>
      </c>
      <c r="B411" s="22" t="s">
        <v>3614</v>
      </c>
      <c r="C411" s="23" t="str">
        <f t="shared" si="1"/>
        <v>Yann Rousseau</v>
      </c>
      <c r="D411" s="22">
        <v>1.9542780515E10</v>
      </c>
      <c r="E411" s="29" t="s">
        <v>3615</v>
      </c>
      <c r="F411" s="22" t="s">
        <v>248</v>
      </c>
      <c r="G411" s="22">
        <v>655.0</v>
      </c>
      <c r="H411" s="22">
        <f t="array" ref="H411">IFERROR(INDEX('Hub CPC 226'!A:A, MATCH(C411, 'Hub CPC 226'!B:B, 0)), "")</f>
        <v>422</v>
      </c>
      <c r="I411" s="22">
        <f t="array" ref="I411">IFERROR(INDEX('Hub Users 226'!A:A, MATCH(C411, 'Hub Users 226'!B:B, 0)), "")</f>
        <v>441</v>
      </c>
      <c r="J411" s="22" t="s">
        <v>260</v>
      </c>
      <c r="K411" s="23" t="s">
        <v>3616</v>
      </c>
      <c r="L411" s="25">
        <v>44726.51111111111</v>
      </c>
      <c r="M411" s="28">
        <v>12.0</v>
      </c>
      <c r="N411" s="28">
        <v>28.0</v>
      </c>
      <c r="O411" s="28">
        <v>73.0</v>
      </c>
      <c r="P411" s="32">
        <v>4.0</v>
      </c>
      <c r="Q411" s="22" t="s">
        <v>3617</v>
      </c>
      <c r="R411" s="22" t="s">
        <v>454</v>
      </c>
      <c r="S411" s="22" t="s">
        <v>271</v>
      </c>
      <c r="T411" s="22" t="s">
        <v>272</v>
      </c>
      <c r="U411" s="22" t="s">
        <v>3618</v>
      </c>
      <c r="V411" s="26" t="s">
        <v>1583</v>
      </c>
      <c r="W411" s="23"/>
      <c r="X411" s="26" t="s">
        <v>3619</v>
      </c>
      <c r="Y411" s="23"/>
      <c r="Z411" s="28"/>
      <c r="AA411" s="23"/>
      <c r="AB411" s="23" t="str">
        <f>IFERROR(__xludf.DUMMYFUNCTION("IF(
ISNUMBER(MATCH(
C411,
IMPORTRANGE(""https://docs.google.com/spreadsheets/d/1yTh1ELC33JHYOeEdgIiEclxPRyh0zOKtlawDltfUay8"",""'Champions'!A:A""),
0
)),
""Outreach Conducted"",
"""")"),"")</f>
        <v/>
      </c>
      <c r="AC411" s="23"/>
      <c r="AD411" s="23"/>
      <c r="AE411" s="23"/>
      <c r="AF411" s="23"/>
      <c r="AG411" s="23"/>
      <c r="AH411" s="23"/>
      <c r="AI411" s="23"/>
      <c r="AJ411" s="23"/>
      <c r="AK411" s="23"/>
      <c r="AL411" s="23"/>
    </row>
    <row r="412" hidden="1">
      <c r="A412" s="22" t="s">
        <v>3620</v>
      </c>
      <c r="B412" s="22" t="s">
        <v>3621</v>
      </c>
      <c r="C412" s="23" t="str">
        <f t="shared" si="1"/>
        <v>Yada Treesukosol</v>
      </c>
      <c r="D412" s="22" t="s">
        <v>3622</v>
      </c>
      <c r="E412" s="29" t="s">
        <v>3623</v>
      </c>
      <c r="F412" s="22" t="s">
        <v>248</v>
      </c>
      <c r="G412" s="22">
        <v>404.0</v>
      </c>
      <c r="H412" s="22">
        <f t="array" ref="H412">IFERROR(INDEX('Hub CPC 226'!A:A, MATCH(C412, 'Hub CPC 226'!B:B, 0)), "")</f>
        <v>423</v>
      </c>
      <c r="I412" s="22">
        <f t="array" ref="I412">IFERROR(INDEX('Hub Users 226'!A:A, MATCH(C412, 'Hub Users 226'!B:B, 0)), "")</f>
        <v>442</v>
      </c>
      <c r="J412" s="22" t="s">
        <v>407</v>
      </c>
      <c r="K412" s="23" t="s">
        <v>3624</v>
      </c>
      <c r="L412" s="25">
        <v>44200.76180555556</v>
      </c>
      <c r="M412" s="23"/>
      <c r="N412" s="23"/>
      <c r="O412" s="23"/>
      <c r="P412" s="23"/>
      <c r="Q412" s="22" t="s">
        <v>3625</v>
      </c>
      <c r="R412" s="22" t="s">
        <v>3626</v>
      </c>
      <c r="S412" s="22" t="s">
        <v>3626</v>
      </c>
      <c r="T412" s="22" t="s">
        <v>252</v>
      </c>
      <c r="U412" s="22" t="s">
        <v>3627</v>
      </c>
      <c r="V412" s="26" t="s">
        <v>3424</v>
      </c>
      <c r="W412" s="27" t="s">
        <v>3628</v>
      </c>
      <c r="X412" s="26" t="s">
        <v>3629</v>
      </c>
      <c r="Y412" s="23"/>
      <c r="Z412" s="28"/>
      <c r="AA412" s="23"/>
      <c r="AB412" s="23" t="str">
        <f>IFERROR(__xludf.DUMMYFUNCTION("IF(
ISNUMBER(MATCH(
C412,
IMPORTRANGE(""https://docs.google.com/spreadsheets/d/1yTh1ELC33JHYOeEdgIiEclxPRyh0zOKtlawDltfUay8"",""'Champions'!A:A""),
0
)),
""Outreach Conducted"",
"""")"),"")</f>
        <v/>
      </c>
      <c r="AC412" s="23"/>
      <c r="AD412" s="23"/>
      <c r="AE412" s="23"/>
      <c r="AF412" s="23"/>
      <c r="AG412" s="23"/>
      <c r="AH412" s="23"/>
      <c r="AI412" s="23"/>
      <c r="AJ412" s="23"/>
      <c r="AK412" s="23"/>
      <c r="AL412" s="23"/>
    </row>
    <row r="413" hidden="1">
      <c r="A413" s="22" t="s">
        <v>3630</v>
      </c>
      <c r="B413" s="22" t="s">
        <v>3631</v>
      </c>
      <c r="C413" s="23" t="str">
        <f t="shared" si="1"/>
        <v>Yadhira Del Carmen Arroyo Cruz</v>
      </c>
      <c r="D413" s="22" t="s">
        <v>3632</v>
      </c>
      <c r="E413" s="29" t="s">
        <v>3633</v>
      </c>
      <c r="F413" s="22" t="s">
        <v>238</v>
      </c>
      <c r="G413" s="22">
        <v>204.0</v>
      </c>
      <c r="H413" s="22">
        <f t="array" ref="H413">IFERROR(INDEX('Hub CPC 226'!A:A, MATCH(C413, 'Hub CPC 226'!B:B, 0)), "")</f>
        <v>424</v>
      </c>
      <c r="I413" s="22">
        <f t="array" ref="I413">IFERROR(INDEX('Hub Users 226'!A:A, MATCH(C413, 'Hub Users 226'!B:B, 0)), "")</f>
        <v>443</v>
      </c>
      <c r="J413" s="22" t="s">
        <v>240</v>
      </c>
      <c r="K413" s="23" t="s">
        <v>3634</v>
      </c>
      <c r="L413" s="25">
        <v>43690.23263888889</v>
      </c>
      <c r="M413" s="23"/>
      <c r="N413" s="23"/>
      <c r="O413" s="23"/>
      <c r="P413" s="23"/>
      <c r="Q413" s="22" t="s">
        <v>3635</v>
      </c>
      <c r="R413" s="22" t="s">
        <v>3636</v>
      </c>
      <c r="S413" s="22" t="s">
        <v>2892</v>
      </c>
      <c r="T413" s="22" t="s">
        <v>241</v>
      </c>
      <c r="U413" s="22" t="s">
        <v>3637</v>
      </c>
      <c r="V413" s="26" t="s">
        <v>393</v>
      </c>
      <c r="W413" s="27" t="s">
        <v>3638</v>
      </c>
      <c r="X413" s="26" t="s">
        <v>519</v>
      </c>
      <c r="Y413" s="23"/>
      <c r="Z413" s="28"/>
      <c r="AA413" s="23"/>
      <c r="AB413" s="23" t="str">
        <f>IFERROR(__xludf.DUMMYFUNCTION("IF(
ISNUMBER(MATCH(
C413,
IMPORTRANGE(""https://docs.google.com/spreadsheets/d/1yTh1ELC33JHYOeEdgIiEclxPRyh0zOKtlawDltfUay8"",""'Champions'!A:A""),
0
)),
""Outreach Conducted"",
"""")"),"")</f>
        <v/>
      </c>
      <c r="AC413" s="23"/>
      <c r="AD413" s="23"/>
      <c r="AE413" s="23"/>
      <c r="AF413" s="23"/>
      <c r="AG413" s="23"/>
      <c r="AH413" s="23"/>
      <c r="AI413" s="23"/>
      <c r="AJ413" s="23"/>
      <c r="AK413" s="23"/>
      <c r="AL413" s="23"/>
    </row>
    <row r="414" hidden="1">
      <c r="A414" s="22" t="s">
        <v>3639</v>
      </c>
      <c r="B414" s="22" t="s">
        <v>3640</v>
      </c>
      <c r="C414" s="23" t="str">
        <f t="shared" si="1"/>
        <v>Yagna Pathak</v>
      </c>
      <c r="D414" s="24"/>
      <c r="E414" s="29" t="s">
        <v>3641</v>
      </c>
      <c r="F414" s="22" t="s">
        <v>399</v>
      </c>
      <c r="G414" s="22">
        <v>481.0</v>
      </c>
      <c r="H414" s="22">
        <f t="array" ref="H414">IFERROR(INDEX('Hub CPC 226'!A:A, MATCH(C414, 'Hub CPC 226'!B:B, 0)), "")</f>
        <v>425</v>
      </c>
      <c r="I414" s="22">
        <f t="array" ref="I414">IFERROR(INDEX('Hub Users 226'!A:A, MATCH(C414, 'Hub Users 226'!B:B, 0)), "")</f>
        <v>444</v>
      </c>
      <c r="J414" s="22" t="s">
        <v>425</v>
      </c>
      <c r="K414" s="23" t="s">
        <v>240</v>
      </c>
      <c r="L414" s="25">
        <v>44368.60555555556</v>
      </c>
      <c r="M414" s="23"/>
      <c r="N414" s="23"/>
      <c r="O414" s="23"/>
      <c r="P414" s="23"/>
      <c r="Q414" s="24"/>
      <c r="R414" s="24"/>
      <c r="S414" s="24"/>
      <c r="T414" s="24"/>
      <c r="U414" s="24"/>
      <c r="V414" s="23"/>
      <c r="W414" s="23"/>
      <c r="X414" s="23"/>
      <c r="Y414" s="23"/>
      <c r="Z414" s="23"/>
      <c r="AA414" s="23"/>
      <c r="AB414" s="23" t="str">
        <f>IFERROR(__xludf.DUMMYFUNCTION("IF(
ISNUMBER(MATCH(
C414,
IMPORTRANGE(""https://docs.google.com/spreadsheets/d/1yTh1ELC33JHYOeEdgIiEclxPRyh0zOKtlawDltfUay8"",""'Champions'!A:A""),
0
)),
""Outreach Conducted"",
"""")"),"")</f>
        <v/>
      </c>
      <c r="AC414" s="23"/>
      <c r="AD414" s="23"/>
      <c r="AE414" s="23"/>
      <c r="AF414" s="23"/>
      <c r="AG414" s="23"/>
      <c r="AH414" s="23"/>
      <c r="AI414" s="23"/>
      <c r="AJ414" s="23"/>
      <c r="AK414" s="23"/>
      <c r="AL414" s="23"/>
    </row>
    <row r="415" hidden="1">
      <c r="A415" s="22" t="s">
        <v>3642</v>
      </c>
      <c r="B415" s="22" t="s">
        <v>3643</v>
      </c>
      <c r="C415" s="23" t="str">
        <f t="shared" si="1"/>
        <v>Yan Guan</v>
      </c>
      <c r="D415" s="22" t="s">
        <v>3644</v>
      </c>
      <c r="E415" s="29" t="s">
        <v>3645</v>
      </c>
      <c r="F415" s="22" t="s">
        <v>248</v>
      </c>
      <c r="G415" s="22">
        <v>96.0</v>
      </c>
      <c r="H415" s="22">
        <f t="array" ref="H415">IFERROR(INDEX('Hub CPC 226'!A:A, MATCH(C415, 'Hub CPC 226'!B:B, 0)), "")</f>
        <v>426</v>
      </c>
      <c r="I415" s="22">
        <f t="array" ref="I415">IFERROR(INDEX('Hub Users 226'!A:A, MATCH(C415, 'Hub Users 226'!B:B, 0)), "")</f>
        <v>445</v>
      </c>
      <c r="J415" s="22" t="s">
        <v>240</v>
      </c>
      <c r="K415" s="23" t="s">
        <v>3646</v>
      </c>
      <c r="L415" s="25">
        <v>43397.79513888889</v>
      </c>
      <c r="M415" s="23"/>
      <c r="N415" s="23"/>
      <c r="O415" s="23"/>
      <c r="P415" s="23"/>
      <c r="Q415" s="22" t="s">
        <v>3647</v>
      </c>
      <c r="R415" s="22" t="s">
        <v>1688</v>
      </c>
      <c r="S415" s="22" t="s">
        <v>1689</v>
      </c>
      <c r="T415" s="22" t="s">
        <v>252</v>
      </c>
      <c r="U415" s="22" t="s">
        <v>3648</v>
      </c>
      <c r="V415" s="26" t="s">
        <v>284</v>
      </c>
      <c r="W415" s="27" t="s">
        <v>3649</v>
      </c>
      <c r="X415" s="26" t="s">
        <v>2125</v>
      </c>
      <c r="Y415" s="23"/>
      <c r="Z415" s="28"/>
      <c r="AA415" s="23"/>
      <c r="AB415" s="23" t="str">
        <f>IFERROR(__xludf.DUMMYFUNCTION("IF(
ISNUMBER(MATCH(
C415,
IMPORTRANGE(""https://docs.google.com/spreadsheets/d/1yTh1ELC33JHYOeEdgIiEclxPRyh0zOKtlawDltfUay8"",""'Champions'!A:A""),
0
)),
""Outreach Conducted"",
"""")"),"")</f>
        <v/>
      </c>
      <c r="AC415" s="23"/>
      <c r="AD415" s="23"/>
      <c r="AE415" s="23"/>
      <c r="AF415" s="23"/>
      <c r="AG415" s="23"/>
      <c r="AH415" s="23"/>
      <c r="AI415" s="23"/>
      <c r="AJ415" s="23"/>
      <c r="AK415" s="23"/>
      <c r="AL415" s="23"/>
    </row>
    <row r="416" hidden="1">
      <c r="A416" s="22" t="s">
        <v>3650</v>
      </c>
      <c r="B416" s="22" t="s">
        <v>1078</v>
      </c>
      <c r="C416" s="23" t="str">
        <f t="shared" si="1"/>
        <v>Yeji Lee</v>
      </c>
      <c r="D416" s="22">
        <v>1.6282289262E10</v>
      </c>
      <c r="E416" s="29" t="s">
        <v>3651</v>
      </c>
      <c r="F416" s="22" t="s">
        <v>238</v>
      </c>
      <c r="G416" s="22">
        <v>475.0</v>
      </c>
      <c r="H416" s="22">
        <f t="array" ref="H416">IFERROR(INDEX('Hub CPC 226'!A:A, MATCH(C416, 'Hub CPC 226'!B:B, 0)), "")</f>
        <v>427</v>
      </c>
      <c r="I416" s="22">
        <f t="array" ref="I416">IFERROR(INDEX('Hub Users 226'!A:A, MATCH(C416, 'Hub Users 226'!B:B, 0)), "")</f>
        <v>446</v>
      </c>
      <c r="J416" s="22" t="s">
        <v>240</v>
      </c>
      <c r="K416" s="23" t="s">
        <v>3652</v>
      </c>
      <c r="L416" s="25">
        <v>44349.81736111111</v>
      </c>
      <c r="M416" s="23"/>
      <c r="N416" s="23"/>
      <c r="O416" s="23"/>
      <c r="P416" s="23"/>
      <c r="Q416" s="22" t="s">
        <v>3653</v>
      </c>
      <c r="R416" s="22" t="s">
        <v>2643</v>
      </c>
      <c r="S416" s="22" t="s">
        <v>2247</v>
      </c>
      <c r="T416" s="22" t="s">
        <v>252</v>
      </c>
      <c r="U416" s="22" t="s">
        <v>3654</v>
      </c>
      <c r="V416" s="26" t="s">
        <v>284</v>
      </c>
      <c r="W416" s="27" t="s">
        <v>3655</v>
      </c>
      <c r="X416" s="26" t="s">
        <v>619</v>
      </c>
      <c r="Y416" s="23"/>
      <c r="Z416" s="28"/>
      <c r="AA416" s="23"/>
      <c r="AB416" s="23" t="str">
        <f>IFERROR(__xludf.DUMMYFUNCTION("IF(
ISNUMBER(MATCH(
C416,
IMPORTRANGE(""https://docs.google.com/spreadsheets/d/1yTh1ELC33JHYOeEdgIiEclxPRyh0zOKtlawDltfUay8"",""'Champions'!A:A""),
0
)),
""Outreach Conducted"",
"""")"),"")</f>
        <v/>
      </c>
      <c r="AC416" s="23"/>
      <c r="AD416" s="23"/>
      <c r="AE416" s="23"/>
      <c r="AF416" s="23"/>
      <c r="AG416" s="23"/>
      <c r="AH416" s="23"/>
      <c r="AI416" s="23"/>
      <c r="AJ416" s="23"/>
      <c r="AK416" s="23"/>
      <c r="AL416" s="23"/>
    </row>
    <row r="417" hidden="1">
      <c r="A417" s="22" t="s">
        <v>3656</v>
      </c>
      <c r="B417" s="22" t="s">
        <v>3657</v>
      </c>
      <c r="C417" s="23" t="str">
        <f t="shared" si="1"/>
        <v>Yodit Haile</v>
      </c>
      <c r="D417" s="22">
        <v>1.6135010752E10</v>
      </c>
      <c r="E417" s="29" t="s">
        <v>3658</v>
      </c>
      <c r="F417" s="22" t="s">
        <v>248</v>
      </c>
      <c r="G417" s="22">
        <v>522.0</v>
      </c>
      <c r="H417" s="22">
        <f t="array" ref="H417">IFERROR(INDEX('Hub CPC 226'!A:A, MATCH(C417, 'Hub CPC 226'!B:B, 0)), "")</f>
        <v>428</v>
      </c>
      <c r="I417" s="22">
        <f t="array" ref="I417">IFERROR(INDEX('Hub Users 226'!A:A, MATCH(C417, 'Hub Users 226'!B:B, 0)), "")</f>
        <v>447</v>
      </c>
      <c r="J417" s="22" t="s">
        <v>425</v>
      </c>
      <c r="K417" s="23" t="s">
        <v>3659</v>
      </c>
      <c r="L417" s="25">
        <v>44491.43472222222</v>
      </c>
      <c r="M417" s="23"/>
      <c r="N417" s="23"/>
      <c r="O417" s="23"/>
      <c r="P417" s="23"/>
      <c r="Q417" s="22" t="s">
        <v>3660</v>
      </c>
      <c r="R417" s="22" t="s">
        <v>3661</v>
      </c>
      <c r="S417" s="22" t="s">
        <v>3661</v>
      </c>
      <c r="T417" s="22" t="s">
        <v>3662</v>
      </c>
      <c r="U417" s="22" t="s">
        <v>3663</v>
      </c>
      <c r="V417" s="26" t="s">
        <v>284</v>
      </c>
      <c r="W417" s="27" t="s">
        <v>3664</v>
      </c>
      <c r="X417" s="26" t="s">
        <v>619</v>
      </c>
      <c r="Y417" s="23"/>
      <c r="Z417" s="28"/>
      <c r="AA417" s="23"/>
      <c r="AB417" s="23" t="str">
        <f>IFERROR(__xludf.DUMMYFUNCTION("IF(
ISNUMBER(MATCH(
C417,
IMPORTRANGE(""https://docs.google.com/spreadsheets/d/1yTh1ELC33JHYOeEdgIiEclxPRyh0zOKtlawDltfUay8"",""'Champions'!A:A""),
0
)),
""Outreach Conducted"",
"""")"),"")</f>
        <v/>
      </c>
      <c r="AC417" s="23"/>
      <c r="AD417" s="23"/>
      <c r="AE417" s="23"/>
      <c r="AF417" s="23"/>
      <c r="AG417" s="23"/>
      <c r="AH417" s="23"/>
      <c r="AI417" s="23"/>
      <c r="AJ417" s="23"/>
      <c r="AK417" s="23"/>
      <c r="AL417" s="23"/>
    </row>
    <row r="418" hidden="1">
      <c r="A418" s="22" t="s">
        <v>3665</v>
      </c>
      <c r="B418" s="22" t="s">
        <v>3666</v>
      </c>
      <c r="C418" s="23" t="str">
        <f t="shared" si="1"/>
        <v>Archana Srinivasan</v>
      </c>
      <c r="D418" s="22" t="s">
        <v>3667</v>
      </c>
      <c r="E418" s="29" t="s">
        <v>3668</v>
      </c>
      <c r="F418" s="22" t="s">
        <v>399</v>
      </c>
      <c r="G418" s="22">
        <v>730.0</v>
      </c>
      <c r="H418" s="22">
        <f t="array" ref="H418">IFERROR(INDEX('Hub CPC 226'!A:A, MATCH(C418, 'Hub CPC 226'!B:B, 0)), "")</f>
        <v>436</v>
      </c>
      <c r="I418" s="22">
        <f t="array" ref="I418">IFERROR(INDEX('Hub Users 226'!A:A, MATCH(C418, 'Hub Users 226'!B:B, 0)), "")</f>
        <v>1720</v>
      </c>
      <c r="J418" s="22" t="s">
        <v>239</v>
      </c>
      <c r="K418" s="23" t="s">
        <v>3669</v>
      </c>
      <c r="L418" s="25">
        <v>45135.55486111111</v>
      </c>
      <c r="M418" s="28">
        <v>7.0</v>
      </c>
      <c r="N418" s="28">
        <v>59.0</v>
      </c>
      <c r="O418" s="28">
        <v>37.0</v>
      </c>
      <c r="P418" s="32">
        <v>26.0</v>
      </c>
      <c r="Q418" s="22" t="s">
        <v>3670</v>
      </c>
      <c r="R418" s="22"/>
      <c r="S418" s="22" t="s">
        <v>1164</v>
      </c>
      <c r="T418" s="22" t="s">
        <v>272</v>
      </c>
      <c r="U418" s="22" t="s">
        <v>3671</v>
      </c>
      <c r="V418" s="23"/>
      <c r="W418" s="23"/>
      <c r="X418" s="23"/>
      <c r="Y418" s="23"/>
      <c r="Z418" s="28"/>
      <c r="AA418" s="23"/>
      <c r="AB418" s="23" t="str">
        <f>IFERROR(__xludf.DUMMYFUNCTION("IF(
ISNUMBER(MATCH(
C418,
IMPORTRANGE(""https://docs.google.com/spreadsheets/d/1yTh1ELC33JHYOeEdgIiEclxPRyh0zOKtlawDltfUay8"",""'Champions'!A:A""),
0
)),
""Outreach Conducted"",
"""")"),"")</f>
        <v/>
      </c>
      <c r="AC418" s="23"/>
      <c r="AD418" s="23"/>
      <c r="AE418" s="23"/>
      <c r="AF418" s="23"/>
      <c r="AG418" s="23"/>
      <c r="AH418" s="23"/>
      <c r="AI418" s="23"/>
      <c r="AJ418" s="23"/>
      <c r="AK418" s="23"/>
      <c r="AL418" s="23"/>
    </row>
    <row r="419" hidden="1">
      <c r="A419" s="22" t="s">
        <v>941</v>
      </c>
      <c r="B419" s="22" t="s">
        <v>3672</v>
      </c>
      <c r="C419" s="23" t="str">
        <f t="shared" si="1"/>
        <v>Christina Thomas</v>
      </c>
      <c r="D419" s="22" t="s">
        <v>3673</v>
      </c>
      <c r="E419" s="29" t="s">
        <v>3674</v>
      </c>
      <c r="F419" s="22" t="s">
        <v>248</v>
      </c>
      <c r="G419" s="22">
        <v>731.0</v>
      </c>
      <c r="H419" s="22">
        <f t="array" ref="H419">IFERROR(INDEX('Hub CPC 226'!A:A, MATCH(C419, 'Hub CPC 226'!B:B, 0)), "")</f>
        <v>437</v>
      </c>
      <c r="I419" s="22">
        <f t="array" ref="I419">IFERROR(INDEX('Hub Users 226'!A:A, MATCH(C419, 'Hub Users 226'!B:B, 0)), "")</f>
        <v>1721</v>
      </c>
      <c r="J419" s="22" t="s">
        <v>407</v>
      </c>
      <c r="K419" s="23" t="s">
        <v>3675</v>
      </c>
      <c r="L419" s="25">
        <v>45139.87569444445</v>
      </c>
      <c r="M419" s="23"/>
      <c r="N419" s="23"/>
      <c r="O419" s="23"/>
      <c r="P419" s="23"/>
      <c r="Q419" s="22" t="s">
        <v>3676</v>
      </c>
      <c r="R419" s="22"/>
      <c r="S419" s="22" t="s">
        <v>3677</v>
      </c>
      <c r="T419" s="22" t="s">
        <v>841</v>
      </c>
      <c r="U419" s="22" t="s">
        <v>3678</v>
      </c>
      <c r="V419" s="26" t="s">
        <v>1374</v>
      </c>
      <c r="W419" s="27" t="s">
        <v>3679</v>
      </c>
      <c r="X419" s="26" t="s">
        <v>519</v>
      </c>
      <c r="Y419" s="23"/>
      <c r="Z419" s="28"/>
      <c r="AA419" s="23"/>
      <c r="AB419" s="23" t="str">
        <f>IFERROR(__xludf.DUMMYFUNCTION("IF(
ISNUMBER(MATCH(
C419,
IMPORTRANGE(""https://docs.google.com/spreadsheets/d/1yTh1ELC33JHYOeEdgIiEclxPRyh0zOKtlawDltfUay8"",""'Champions'!A:A""),
0
)),
""Outreach Conducted"",
"""")"),"")</f>
        <v/>
      </c>
      <c r="AC419" s="23"/>
      <c r="AD419" s="23"/>
      <c r="AE419" s="23"/>
      <c r="AF419" s="23"/>
      <c r="AG419" s="23"/>
      <c r="AH419" s="23"/>
      <c r="AI419" s="23"/>
      <c r="AJ419" s="23"/>
      <c r="AK419" s="23"/>
      <c r="AL419" s="23"/>
    </row>
    <row r="420" hidden="1">
      <c r="A420" s="22" t="s">
        <v>3680</v>
      </c>
      <c r="B420" s="22" t="s">
        <v>3681</v>
      </c>
      <c r="C420" s="23" t="str">
        <f t="shared" si="1"/>
        <v>Megan Leasher</v>
      </c>
      <c r="D420" s="22" t="s">
        <v>3682</v>
      </c>
      <c r="E420" s="29" t="s">
        <v>3683</v>
      </c>
      <c r="F420" s="22" t="s">
        <v>248</v>
      </c>
      <c r="G420" s="22">
        <v>733.0</v>
      </c>
      <c r="H420" s="22">
        <f t="array" ref="H420">IFERROR(INDEX('Hub CPC 226'!A:A, MATCH(C420, 'Hub CPC 226'!B:B, 0)), "")</f>
        <v>439</v>
      </c>
      <c r="I420" s="22">
        <f t="array" ref="I420">IFERROR(INDEX('Hub Users 226'!A:A, MATCH(C420, 'Hub Users 226'!B:B, 0)), "")</f>
        <v>1726</v>
      </c>
      <c r="J420" s="22" t="s">
        <v>1235</v>
      </c>
      <c r="K420" s="28" t="s">
        <v>3684</v>
      </c>
      <c r="L420" s="25">
        <v>45175.87152777778</v>
      </c>
      <c r="M420" s="23"/>
      <c r="N420" s="23"/>
      <c r="O420" s="23"/>
      <c r="P420" s="23"/>
      <c r="Q420" s="22" t="s">
        <v>3685</v>
      </c>
      <c r="R420" s="22" t="s">
        <v>3686</v>
      </c>
      <c r="S420" s="22" t="s">
        <v>3687</v>
      </c>
      <c r="T420" s="22" t="s">
        <v>3688</v>
      </c>
      <c r="U420" s="22" t="s">
        <v>3689</v>
      </c>
      <c r="V420" s="23"/>
      <c r="W420" s="23"/>
      <c r="X420" s="23"/>
      <c r="Y420" s="23"/>
      <c r="Z420" s="28"/>
      <c r="AA420" s="23"/>
      <c r="AB420" s="23" t="str">
        <f>IFERROR(__xludf.DUMMYFUNCTION("IF(
ISNUMBER(MATCH(
C420,
IMPORTRANGE(""https://docs.google.com/spreadsheets/d/1yTh1ELC33JHYOeEdgIiEclxPRyh0zOKtlawDltfUay8"",""'Champions'!A:A""),
0
)),
""Outreach Conducted"",
"""")"),"")</f>
        <v/>
      </c>
      <c r="AC420" s="23"/>
      <c r="AD420" s="23"/>
      <c r="AE420" s="23"/>
      <c r="AF420" s="23"/>
      <c r="AG420" s="23"/>
      <c r="AH420" s="23"/>
      <c r="AI420" s="23"/>
      <c r="AJ420" s="23"/>
      <c r="AK420" s="23"/>
      <c r="AL420" s="23"/>
    </row>
    <row r="421">
      <c r="A421" s="22" t="s">
        <v>3690</v>
      </c>
      <c r="B421" s="22" t="s">
        <v>3691</v>
      </c>
      <c r="C421" s="23" t="str">
        <f t="shared" si="1"/>
        <v>Kevin Godfrey</v>
      </c>
      <c r="D421" s="22">
        <v>9.292879273E9</v>
      </c>
      <c r="E421" s="29" t="s">
        <v>3692</v>
      </c>
      <c r="F421" s="22" t="s">
        <v>248</v>
      </c>
      <c r="G421" s="22">
        <v>735.0</v>
      </c>
      <c r="H421" s="22">
        <f t="array" ref="H421">IFERROR(INDEX('Hub CPC 226'!A:A, MATCH(A421, 'Hub CPC 226'!B:B, 0)), "")</f>
        <v>444</v>
      </c>
      <c r="I421" s="22">
        <f t="array" ref="I421">IFERROR(INDEX('Hub Users 226'!A:A, MATCH(C421, 'Hub Users 226'!B:B, 0)), "")</f>
        <v>1738</v>
      </c>
      <c r="J421" s="22" t="s">
        <v>260</v>
      </c>
      <c r="K421" s="23" t="s">
        <v>3693</v>
      </c>
      <c r="L421" s="25">
        <v>45177.75902777778</v>
      </c>
      <c r="M421" s="28">
        <v>16.0</v>
      </c>
      <c r="N421" s="28">
        <v>36.0</v>
      </c>
      <c r="O421" s="28">
        <v>83.0</v>
      </c>
      <c r="P421" s="32">
        <v>12.0</v>
      </c>
      <c r="Q421" s="22" t="s">
        <v>3694</v>
      </c>
      <c r="R421" s="22"/>
      <c r="S421" s="22" t="s">
        <v>859</v>
      </c>
      <c r="T421" s="22" t="s">
        <v>272</v>
      </c>
      <c r="U421" s="22" t="s">
        <v>3695</v>
      </c>
      <c r="V421" s="23"/>
      <c r="W421" s="23"/>
      <c r="X421" s="23"/>
      <c r="Y421" s="23"/>
      <c r="Z421" s="28"/>
      <c r="AA421" s="23"/>
      <c r="AB421" s="23" t="str">
        <f>IFERROR(__xludf.DUMMYFUNCTION("IF(
ISNUMBER(MATCH(
C421,
IMPORTRANGE(""https://docs.google.com/spreadsheets/d/1yTh1ELC33JHYOeEdgIiEclxPRyh0zOKtlawDltfUay8"",""'Champions'!A:A""),
0
)),
""Outreach Conducted"",
"""")"),"Outreach Conducted")</f>
        <v>Outreach Conducted</v>
      </c>
      <c r="AC421" s="23"/>
      <c r="AD421" s="23"/>
      <c r="AE421" s="23"/>
      <c r="AF421" s="23"/>
      <c r="AG421" s="23"/>
      <c r="AH421" s="23"/>
      <c r="AI421" s="23"/>
      <c r="AJ421" s="23"/>
      <c r="AK421" s="23"/>
      <c r="AL421" s="23"/>
    </row>
    <row r="422" hidden="1">
      <c r="A422" s="22" t="s">
        <v>846</v>
      </c>
      <c r="B422" s="22" t="s">
        <v>3696</v>
      </c>
      <c r="C422" s="23" t="str">
        <f t="shared" si="1"/>
        <v>Carlos Abad</v>
      </c>
      <c r="D422" s="22">
        <v>5.1984118749E10</v>
      </c>
      <c r="E422" s="29" t="s">
        <v>3697</v>
      </c>
      <c r="F422" s="22" t="s">
        <v>248</v>
      </c>
      <c r="G422" s="22">
        <v>736.0</v>
      </c>
      <c r="H422" s="22">
        <f t="array" ref="H422">IFERROR(INDEX('Hub CPC 226'!A:A, MATCH(A422, 'Hub CPC 226'!B:B, 0)), "")</f>
        <v>445</v>
      </c>
      <c r="I422" s="22">
        <f t="array" ref="I422">IFERROR(INDEX('Hub Users 226'!A:A, MATCH(C422, 'Hub Users 226'!B:B, 0)), "")</f>
        <v>1739</v>
      </c>
      <c r="J422" s="22" t="s">
        <v>1235</v>
      </c>
      <c r="K422" s="23" t="s">
        <v>3698</v>
      </c>
      <c r="L422" s="25">
        <v>45189.001388888886</v>
      </c>
      <c r="M422" s="23"/>
      <c r="N422" s="23"/>
      <c r="O422" s="23"/>
      <c r="P422" s="23"/>
      <c r="Q422" s="24"/>
      <c r="R422" s="24"/>
      <c r="S422" s="24"/>
      <c r="T422" s="24"/>
      <c r="U422" s="22" t="s">
        <v>3699</v>
      </c>
      <c r="V422" s="26" t="s">
        <v>1374</v>
      </c>
      <c r="W422" s="27" t="s">
        <v>3700</v>
      </c>
      <c r="X422" s="26" t="s">
        <v>477</v>
      </c>
      <c r="Y422" s="23"/>
      <c r="Z422" s="28"/>
      <c r="AA422" s="23"/>
      <c r="AB422" s="23" t="str">
        <f>IFERROR(__xludf.DUMMYFUNCTION("IF(
ISNUMBER(MATCH(
C422,
IMPORTRANGE(""https://docs.google.com/spreadsheets/d/1yTh1ELC33JHYOeEdgIiEclxPRyh0zOKtlawDltfUay8"",""'Champions'!A:A""),
0
)),
""Outreach Conducted"",
"""")"),"")</f>
        <v/>
      </c>
      <c r="AC422" s="23"/>
      <c r="AD422" s="23"/>
      <c r="AE422" s="23"/>
      <c r="AF422" s="23"/>
      <c r="AG422" s="23"/>
      <c r="AH422" s="23"/>
      <c r="AI422" s="23"/>
      <c r="AJ422" s="23"/>
      <c r="AK422" s="23"/>
      <c r="AL422" s="23"/>
    </row>
    <row r="423" hidden="1">
      <c r="A423" s="22" t="s">
        <v>2840</v>
      </c>
      <c r="B423" s="22" t="s">
        <v>3701</v>
      </c>
      <c r="C423" s="23" t="str">
        <f t="shared" si="1"/>
        <v>Priyanka Prasad</v>
      </c>
      <c r="D423" s="22">
        <v>1.6159742819E10</v>
      </c>
      <c r="E423" s="29" t="s">
        <v>3702</v>
      </c>
      <c r="F423" s="22" t="s">
        <v>248</v>
      </c>
      <c r="G423" s="22">
        <v>737.0</v>
      </c>
      <c r="H423" s="22">
        <f t="array" ref="H423">IFERROR(INDEX('Hub CPC 226'!A:A, MATCH(C423, 'Hub CPC 226'!B:B, 0)), "")</f>
        <v>448</v>
      </c>
      <c r="I423" s="22">
        <f t="array" ref="I423">IFERROR(INDEX('Hub Users 226'!A:A, MATCH(C423, 'Hub Users 226'!B:B, 0)), "")</f>
        <v>1744</v>
      </c>
      <c r="J423" s="22" t="s">
        <v>107</v>
      </c>
      <c r="K423" s="23" t="s">
        <v>3703</v>
      </c>
      <c r="L423" s="25">
        <v>45190.395833333336</v>
      </c>
      <c r="M423" s="23"/>
      <c r="N423" s="23"/>
      <c r="O423" s="23"/>
      <c r="P423" s="23"/>
      <c r="Q423" s="22" t="s">
        <v>3704</v>
      </c>
      <c r="R423" s="22" t="s">
        <v>3705</v>
      </c>
      <c r="S423" s="49" t="s">
        <v>3706</v>
      </c>
      <c r="T423" s="22" t="s">
        <v>1939</v>
      </c>
      <c r="U423" s="22" t="s">
        <v>3707</v>
      </c>
      <c r="V423" s="26" t="s">
        <v>1374</v>
      </c>
      <c r="W423" s="27" t="s">
        <v>3708</v>
      </c>
      <c r="X423" s="26" t="s">
        <v>704</v>
      </c>
      <c r="Y423" s="23"/>
      <c r="Z423" s="28"/>
      <c r="AA423" s="23"/>
      <c r="AB423" s="23" t="str">
        <f>IFERROR(__xludf.DUMMYFUNCTION("IF(
ISNUMBER(MATCH(
C423,
IMPORTRANGE(""https://docs.google.com/spreadsheets/d/1yTh1ELC33JHYOeEdgIiEclxPRyh0zOKtlawDltfUay8"",""'Champions'!A:A""),
0
)),
""Outreach Conducted"",
"""")"),"")</f>
        <v/>
      </c>
      <c r="AC423" s="23"/>
      <c r="AD423" s="23"/>
      <c r="AE423" s="23"/>
      <c r="AF423" s="23"/>
      <c r="AG423" s="23"/>
      <c r="AH423" s="23"/>
      <c r="AI423" s="23"/>
      <c r="AJ423" s="23"/>
      <c r="AK423" s="23"/>
      <c r="AL423" s="23"/>
    </row>
    <row r="424" hidden="1">
      <c r="A424" s="22" t="s">
        <v>3709</v>
      </c>
      <c r="B424" s="22" t="s">
        <v>3710</v>
      </c>
      <c r="C424" s="23" t="str">
        <f t="shared" si="1"/>
        <v>Steve Walker</v>
      </c>
      <c r="D424" s="22" t="s">
        <v>3711</v>
      </c>
      <c r="E424" s="29" t="s">
        <v>3712</v>
      </c>
      <c r="F424" s="22" t="s">
        <v>248</v>
      </c>
      <c r="G424" s="22">
        <v>739.0</v>
      </c>
      <c r="H424" s="22">
        <f t="array" ref="H424">IFERROR(INDEX('Hub CPC 226'!A:A, MATCH(A424, 'Hub CPC 226'!B:B, 0)), "")</f>
        <v>450</v>
      </c>
      <c r="I424" s="22">
        <f t="array" ref="I424">IFERROR(INDEX('Hub Users 226'!A:A, MATCH(C424, 'Hub Users 226'!B:B, 0)), "")</f>
        <v>1747</v>
      </c>
      <c r="J424" s="22" t="s">
        <v>290</v>
      </c>
      <c r="K424" s="28" t="s">
        <v>3713</v>
      </c>
      <c r="L424" s="25">
        <v>45196.69027777778</v>
      </c>
      <c r="M424" s="23"/>
      <c r="N424" s="23"/>
      <c r="O424" s="23"/>
      <c r="P424" s="23"/>
      <c r="Q424" s="22" t="s">
        <v>3714</v>
      </c>
      <c r="R424" s="22"/>
      <c r="S424" s="22" t="s">
        <v>3106</v>
      </c>
      <c r="T424" s="22" t="s">
        <v>841</v>
      </c>
      <c r="U424" s="22" t="s">
        <v>533</v>
      </c>
      <c r="V424" s="23"/>
      <c r="W424" s="23"/>
      <c r="X424" s="23"/>
      <c r="Y424" s="23"/>
      <c r="Z424" s="23"/>
      <c r="AA424" s="23"/>
      <c r="AB424" s="23" t="str">
        <f>IFERROR(__xludf.DUMMYFUNCTION("IF(
ISNUMBER(MATCH(
C424,
IMPORTRANGE(""https://docs.google.com/spreadsheets/d/1yTh1ELC33JHYOeEdgIiEclxPRyh0zOKtlawDltfUay8"",""'Champions'!A:A""),
0
)),
""Outreach Conducted"",
"""")"),"")</f>
        <v/>
      </c>
      <c r="AC424" s="23"/>
      <c r="AD424" s="23"/>
      <c r="AE424" s="23"/>
      <c r="AF424" s="23"/>
      <c r="AG424" s="23"/>
      <c r="AH424" s="23"/>
      <c r="AI424" s="23"/>
      <c r="AJ424" s="23"/>
      <c r="AK424" s="23"/>
      <c r="AL424" s="23"/>
    </row>
    <row r="425" hidden="1">
      <c r="A425" s="22" t="s">
        <v>3715</v>
      </c>
      <c r="B425" s="22" t="s">
        <v>3716</v>
      </c>
      <c r="C425" s="23" t="str">
        <f t="shared" si="1"/>
        <v>June Chung</v>
      </c>
      <c r="D425" s="22">
        <v>1.224392207E10</v>
      </c>
      <c r="E425" s="29" t="s">
        <v>3717</v>
      </c>
      <c r="F425" s="22" t="s">
        <v>248</v>
      </c>
      <c r="G425" s="22">
        <v>738.0</v>
      </c>
      <c r="H425" s="22" t="str">
        <f t="array" ref="H425">IFERROR(INDEX('Hub CPC 226'!A:A, MATCH(C425, 'Hub CPC 226'!B:B, 0)), "")</f>
        <v/>
      </c>
      <c r="I425" s="22">
        <v>1755.0</v>
      </c>
      <c r="J425" s="22" t="s">
        <v>290</v>
      </c>
      <c r="K425" s="23" t="s">
        <v>3718</v>
      </c>
      <c r="L425" s="25">
        <v>45195.705555555556</v>
      </c>
      <c r="M425" s="28">
        <v>10.0</v>
      </c>
      <c r="N425" s="28">
        <v>25.0</v>
      </c>
      <c r="O425" s="28">
        <v>44.0</v>
      </c>
      <c r="P425" s="32">
        <v>35.0</v>
      </c>
      <c r="Q425" s="22" t="s">
        <v>3719</v>
      </c>
      <c r="R425" s="22" t="s">
        <v>2782</v>
      </c>
      <c r="S425" s="22" t="s">
        <v>271</v>
      </c>
      <c r="T425" s="22" t="s">
        <v>272</v>
      </c>
      <c r="U425" s="22" t="s">
        <v>3720</v>
      </c>
      <c r="V425" s="23"/>
      <c r="W425" s="23"/>
      <c r="X425" s="23"/>
      <c r="Y425" s="23"/>
      <c r="Z425" s="23"/>
      <c r="AA425" s="23"/>
      <c r="AB425" s="23" t="str">
        <f>IFERROR(__xludf.DUMMYFUNCTION("IF(
ISNUMBER(MATCH(
C425,
IMPORTRANGE(""https://docs.google.com/spreadsheets/d/1yTh1ELC33JHYOeEdgIiEclxPRyh0zOKtlawDltfUay8"",""'Champions'!A:A""),
0
)),
""Outreach Conducted"",
"""")"),"")</f>
        <v/>
      </c>
      <c r="AC425" s="23"/>
      <c r="AD425" s="23"/>
      <c r="AE425" s="23"/>
      <c r="AF425" s="23"/>
      <c r="AG425" s="23"/>
      <c r="AH425" s="23"/>
      <c r="AI425" s="23"/>
      <c r="AJ425" s="23"/>
      <c r="AK425" s="23"/>
      <c r="AL425" s="23"/>
    </row>
    <row r="426" hidden="1">
      <c r="A426" s="22" t="s">
        <v>3721</v>
      </c>
      <c r="B426" s="22" t="s">
        <v>3722</v>
      </c>
      <c r="C426" s="23" t="str">
        <f t="shared" si="1"/>
        <v>Dessie Hristov</v>
      </c>
      <c r="D426" s="22">
        <v>2.015005909E9</v>
      </c>
      <c r="E426" s="29" t="s">
        <v>3723</v>
      </c>
      <c r="F426" s="22" t="s">
        <v>248</v>
      </c>
      <c r="G426" s="22">
        <v>740.0</v>
      </c>
      <c r="H426" s="22">
        <f t="array" ref="H426">IFERROR(INDEX('Hub CPC 226'!A:A, MATCH(A426, 'Hub CPC 226'!B:B, 0)), "")</f>
        <v>455</v>
      </c>
      <c r="I426" s="22">
        <f t="array" ref="I426">IFERROR(INDEX('Hub Users 226'!A:A, MATCH(C426, 'Hub Users 226'!B:B, 0)), "")</f>
        <v>1788</v>
      </c>
      <c r="J426" s="22" t="s">
        <v>260</v>
      </c>
      <c r="K426" s="23" t="s">
        <v>3724</v>
      </c>
      <c r="L426" s="25">
        <v>45226.025</v>
      </c>
      <c r="M426" s="23"/>
      <c r="N426" s="23"/>
      <c r="O426" s="23"/>
      <c r="P426" s="23"/>
      <c r="Q426" s="22" t="s">
        <v>3725</v>
      </c>
      <c r="R426" s="22"/>
      <c r="S426" s="22" t="s">
        <v>3726</v>
      </c>
      <c r="T426" s="22" t="s">
        <v>841</v>
      </c>
      <c r="U426" s="22" t="s">
        <v>3727</v>
      </c>
      <c r="V426" s="23"/>
      <c r="W426" s="23"/>
      <c r="X426" s="23"/>
      <c r="Y426" s="23"/>
      <c r="Z426" s="23"/>
      <c r="AA426" s="23"/>
      <c r="AB426" s="23" t="str">
        <f>IFERROR(__xludf.DUMMYFUNCTION("IF(
ISNUMBER(MATCH(
C426,
IMPORTRANGE(""https://docs.google.com/spreadsheets/d/1yTh1ELC33JHYOeEdgIiEclxPRyh0zOKtlawDltfUay8"",""'Champions'!A:A""),
0
)),
""Outreach Conducted"",
"""")"),"")</f>
        <v/>
      </c>
      <c r="AC426" s="23"/>
      <c r="AD426" s="23"/>
      <c r="AE426" s="23"/>
      <c r="AF426" s="23"/>
      <c r="AG426" s="23"/>
      <c r="AH426" s="23"/>
      <c r="AI426" s="23"/>
      <c r="AJ426" s="23"/>
      <c r="AK426" s="23"/>
      <c r="AL426" s="23"/>
    </row>
    <row r="427" hidden="1">
      <c r="A427" s="22" t="s">
        <v>3728</v>
      </c>
      <c r="B427" s="22" t="s">
        <v>3729</v>
      </c>
      <c r="C427" s="23" t="str">
        <f t="shared" si="1"/>
        <v>Jonathan Pinque</v>
      </c>
      <c r="D427" s="22">
        <v>8.504502533E9</v>
      </c>
      <c r="E427" s="29" t="s">
        <v>3730</v>
      </c>
      <c r="F427" s="22" t="s">
        <v>248</v>
      </c>
      <c r="G427" s="22">
        <v>752.0</v>
      </c>
      <c r="H427" s="22" t="str">
        <f t="array" ref="H427">IFERROR(INDEX('Hub CPC 226'!A:A, MATCH(C427, 'Hub CPC 226'!B:B, 0)), "")</f>
        <v/>
      </c>
      <c r="I427" s="22">
        <f t="array" ref="I427">IFERROR(INDEX('Hub Users 226'!A:A, MATCH(C427, 'Hub Users 226'!B:B, 0)), "")</f>
        <v>1868</v>
      </c>
      <c r="J427" s="22" t="s">
        <v>239</v>
      </c>
      <c r="K427" s="23" t="s">
        <v>240</v>
      </c>
      <c r="L427" s="25">
        <v>45376.65902777778</v>
      </c>
      <c r="M427" s="28">
        <v>16.0</v>
      </c>
      <c r="N427" s="28">
        <v>36.0</v>
      </c>
      <c r="O427" s="28">
        <v>89.0</v>
      </c>
      <c r="P427" s="31"/>
      <c r="Q427" s="22" t="s">
        <v>3731</v>
      </c>
      <c r="R427" s="22"/>
      <c r="S427" s="22" t="s">
        <v>3732</v>
      </c>
      <c r="T427" s="22" t="s">
        <v>272</v>
      </c>
      <c r="U427" s="22" t="s">
        <v>3733</v>
      </c>
      <c r="V427" s="26" t="s">
        <v>1374</v>
      </c>
      <c r="W427" s="27" t="s">
        <v>3734</v>
      </c>
      <c r="X427" s="26" t="s">
        <v>477</v>
      </c>
      <c r="Y427" s="23"/>
      <c r="Z427" s="28"/>
      <c r="AA427" s="23"/>
      <c r="AB427" s="23" t="str">
        <f>IFERROR(__xludf.DUMMYFUNCTION("IF(
ISNUMBER(MATCH(
C427,
IMPORTRANGE(""https://docs.google.com/spreadsheets/d/1yTh1ELC33JHYOeEdgIiEclxPRyh0zOKtlawDltfUay8"",""'Champions'!A:A""),
0
)),
""Outreach Conducted"",
"""")"),"")</f>
        <v/>
      </c>
      <c r="AC427" s="23"/>
      <c r="AD427" s="23"/>
      <c r="AE427" s="23"/>
      <c r="AF427" s="23"/>
      <c r="AG427" s="23"/>
      <c r="AH427" s="23"/>
      <c r="AI427" s="23"/>
      <c r="AJ427" s="23"/>
      <c r="AK427" s="23"/>
      <c r="AL427" s="23"/>
    </row>
    <row r="428" hidden="1">
      <c r="A428" s="22" t="s">
        <v>3735</v>
      </c>
      <c r="B428" s="22" t="s">
        <v>3736</v>
      </c>
      <c r="C428" s="23" t="str">
        <f t="shared" si="1"/>
        <v>Gary Blinth</v>
      </c>
      <c r="D428" s="22" t="s">
        <v>3737</v>
      </c>
      <c r="E428" s="29" t="s">
        <v>3738</v>
      </c>
      <c r="F428" s="22" t="s">
        <v>248</v>
      </c>
      <c r="G428" s="22">
        <v>741.0</v>
      </c>
      <c r="H428" s="22">
        <f t="array" ref="H428">IFERROR(INDEX('Hub CPC 226'!A:A, MATCH(C428, 'Hub CPC 226'!B:B, 0)), "")</f>
        <v>460</v>
      </c>
      <c r="I428" s="22">
        <f t="array" ref="I428">IFERROR(INDEX('Hub Users 226'!A:A, MATCH(C428, 'Hub Users 226'!B:B, 0)), "")</f>
        <v>1874</v>
      </c>
      <c r="J428" s="22" t="s">
        <v>608</v>
      </c>
      <c r="K428" s="23" t="s">
        <v>3739</v>
      </c>
      <c r="L428" s="25">
        <v>45273.09097222222</v>
      </c>
      <c r="M428" s="23"/>
      <c r="N428" s="23"/>
      <c r="O428" s="23"/>
      <c r="P428" s="23"/>
      <c r="Q428" s="22" t="s">
        <v>3740</v>
      </c>
      <c r="R428" s="22"/>
      <c r="S428" s="22" t="s">
        <v>3741</v>
      </c>
      <c r="T428" s="22" t="s">
        <v>3742</v>
      </c>
      <c r="U428" s="22" t="s">
        <v>3743</v>
      </c>
      <c r="V428" s="23"/>
      <c r="W428" s="23"/>
      <c r="X428" s="23"/>
      <c r="Y428" s="23"/>
      <c r="Z428" s="23"/>
      <c r="AA428" s="23"/>
      <c r="AB428" s="23" t="str">
        <f>IFERROR(__xludf.DUMMYFUNCTION("IF(
ISNUMBER(MATCH(
C428,
IMPORTRANGE(""https://docs.google.com/spreadsheets/d/1yTh1ELC33JHYOeEdgIiEclxPRyh0zOKtlawDltfUay8"",""'Champions'!A:A""),
0
)),
""Outreach Conducted"",
"""")"),"")</f>
        <v/>
      </c>
      <c r="AC428" s="23"/>
      <c r="AD428" s="23"/>
      <c r="AE428" s="23"/>
      <c r="AF428" s="23"/>
      <c r="AG428" s="23"/>
      <c r="AH428" s="23"/>
      <c r="AI428" s="23"/>
      <c r="AJ428" s="23"/>
      <c r="AK428" s="23"/>
      <c r="AL428" s="23"/>
    </row>
    <row r="429" hidden="1">
      <c r="A429" s="22" t="s">
        <v>3744</v>
      </c>
      <c r="B429" s="22" t="s">
        <v>3745</v>
      </c>
      <c r="C429" s="23" t="str">
        <f t="shared" si="1"/>
        <v>Reina Teeger</v>
      </c>
      <c r="D429" s="22">
        <v>1.5164561006E10</v>
      </c>
      <c r="E429" s="29" t="s">
        <v>3746</v>
      </c>
      <c r="F429" s="22" t="s">
        <v>399</v>
      </c>
      <c r="G429" s="22">
        <v>748.0</v>
      </c>
      <c r="H429" s="22">
        <f t="array" ref="H429">IFERROR(INDEX('Hub CPC 226'!A:A, MATCH(C429, 'Hub CPC 226'!B:B, 0)), "")</f>
        <v>461</v>
      </c>
      <c r="I429" s="22">
        <f t="array" ref="I429">IFERROR(INDEX('Hub Users 226'!A:A, MATCH(C429, 'Hub Users 226'!B:B, 0)), "")</f>
        <v>1875</v>
      </c>
      <c r="J429" s="22" t="s">
        <v>608</v>
      </c>
      <c r="K429" s="23" t="s">
        <v>3747</v>
      </c>
      <c r="L429" s="25">
        <v>45317.90625</v>
      </c>
      <c r="M429" s="28">
        <v>3.0</v>
      </c>
      <c r="N429" s="28">
        <v>7.0</v>
      </c>
      <c r="O429" s="28">
        <v>16.0</v>
      </c>
      <c r="P429" s="31"/>
      <c r="Q429" s="22" t="s">
        <v>3748</v>
      </c>
      <c r="R429" s="22"/>
      <c r="S429" s="22" t="s">
        <v>3749</v>
      </c>
      <c r="T429" s="22" t="s">
        <v>272</v>
      </c>
      <c r="U429" s="22" t="s">
        <v>3750</v>
      </c>
      <c r="V429" s="26" t="s">
        <v>1374</v>
      </c>
      <c r="W429" s="27" t="s">
        <v>3751</v>
      </c>
      <c r="X429" s="26" t="s">
        <v>477</v>
      </c>
      <c r="Y429" s="23"/>
      <c r="Z429" s="28"/>
      <c r="AA429" s="23"/>
      <c r="AB429" s="23" t="str">
        <f>IFERROR(__xludf.DUMMYFUNCTION("IF(
ISNUMBER(MATCH(
C429,
IMPORTRANGE(""https://docs.google.com/spreadsheets/d/1yTh1ELC33JHYOeEdgIiEclxPRyh0zOKtlawDltfUay8"",""'Champions'!A:A""),
0
)),
""Outreach Conducted"",
"""")"),"")</f>
        <v/>
      </c>
      <c r="AC429" s="23"/>
      <c r="AD429" s="26" t="s">
        <v>594</v>
      </c>
      <c r="AE429" s="28" t="s">
        <v>3752</v>
      </c>
      <c r="AF429" s="28" t="s">
        <v>449</v>
      </c>
      <c r="AG429" s="28" t="s">
        <v>596</v>
      </c>
      <c r="AH429" s="23"/>
      <c r="AI429" s="23"/>
      <c r="AJ429" s="23"/>
      <c r="AK429" s="23"/>
      <c r="AL429" s="23"/>
    </row>
    <row r="430" hidden="1">
      <c r="A430" s="22" t="s">
        <v>3387</v>
      </c>
      <c r="B430" s="22" t="s">
        <v>3753</v>
      </c>
      <c r="C430" s="23" t="str">
        <f t="shared" si="1"/>
        <v>Tiffany Ribadeneyra</v>
      </c>
      <c r="D430" s="24"/>
      <c r="E430" s="29" t="s">
        <v>3754</v>
      </c>
      <c r="F430" s="22" t="s">
        <v>399</v>
      </c>
      <c r="G430" s="22">
        <v>743.0</v>
      </c>
      <c r="H430" s="22">
        <f t="array" ref="H430">IFERROR(INDEX('Hub CPC 226'!A:A, MATCH(C430, 'Hub CPC 226'!B:B, 0)), "")</f>
        <v>464</v>
      </c>
      <c r="I430" s="22">
        <f t="array" ref="I430">IFERROR(INDEX('Hub Users 226'!A:A, MATCH(C430, 'Hub Users 226'!B:B, 0)), "")</f>
        <v>1892</v>
      </c>
      <c r="J430" s="22" t="s">
        <v>239</v>
      </c>
      <c r="K430" s="23" t="s">
        <v>3755</v>
      </c>
      <c r="L430" s="25">
        <v>45295.717361111114</v>
      </c>
      <c r="M430" s="28">
        <v>3.0</v>
      </c>
      <c r="N430" s="28">
        <v>7.0</v>
      </c>
      <c r="O430" s="28">
        <v>13.0</v>
      </c>
      <c r="P430" s="31"/>
      <c r="Q430" s="22" t="s">
        <v>3756</v>
      </c>
      <c r="R430" s="22" t="s">
        <v>271</v>
      </c>
      <c r="S430" s="22" t="s">
        <v>3757</v>
      </c>
      <c r="T430" s="22" t="s">
        <v>272</v>
      </c>
      <c r="U430" s="24"/>
      <c r="V430" s="23"/>
      <c r="W430" s="23"/>
      <c r="X430" s="23"/>
      <c r="Y430" s="23"/>
      <c r="Z430" s="28"/>
      <c r="AA430" s="23"/>
      <c r="AB430" s="23" t="str">
        <f>IFERROR(__xludf.DUMMYFUNCTION("IF(
ISNUMBER(MATCH(
C430,
IMPORTRANGE(""https://docs.google.com/spreadsheets/d/1yTh1ELC33JHYOeEdgIiEclxPRyh0zOKtlawDltfUay8"",""'Champions'!A:A""),
0
)),
""Outreach Conducted"",
"""")"),"")</f>
        <v/>
      </c>
      <c r="AC430" s="23"/>
      <c r="AD430" s="23"/>
      <c r="AE430" s="23"/>
      <c r="AF430" s="23"/>
      <c r="AG430" s="23"/>
      <c r="AH430" s="23"/>
      <c r="AI430" s="23"/>
      <c r="AJ430" s="23"/>
      <c r="AK430" s="23"/>
      <c r="AL430" s="23"/>
    </row>
    <row r="431" hidden="1">
      <c r="A431" s="22" t="s">
        <v>3758</v>
      </c>
      <c r="B431" s="22" t="s">
        <v>3759</v>
      </c>
      <c r="C431" s="23" t="str">
        <f t="shared" si="1"/>
        <v>Dr. Unnatti Jain</v>
      </c>
      <c r="D431" s="22">
        <v>2.026157739E9</v>
      </c>
      <c r="E431" s="29" t="s">
        <v>3760</v>
      </c>
      <c r="F431" s="22" t="s">
        <v>248</v>
      </c>
      <c r="G431" s="22">
        <v>742.0</v>
      </c>
      <c r="H431" s="22">
        <f t="array" ref="H431">IFERROR(INDEX('Hub CPC 226'!A:A, MATCH(C431, 'Hub CPC 226'!B:B, 0)), "")</f>
        <v>466</v>
      </c>
      <c r="I431" s="22">
        <f t="array" ref="I431">IFERROR(INDEX('Hub Users 226'!A:A, MATCH(C431, 'Hub Users 226'!B:B, 0)), "")</f>
        <v>1895</v>
      </c>
      <c r="J431" s="22" t="s">
        <v>260</v>
      </c>
      <c r="K431" s="23" t="s">
        <v>3761</v>
      </c>
      <c r="L431" s="25">
        <v>45295.70763888889</v>
      </c>
      <c r="M431" s="23"/>
      <c r="N431" s="23"/>
      <c r="O431" s="23"/>
      <c r="P431" s="23"/>
      <c r="Q431" s="22" t="s">
        <v>3762</v>
      </c>
      <c r="R431" s="22"/>
      <c r="S431" s="22" t="s">
        <v>3763</v>
      </c>
      <c r="T431" s="22" t="s">
        <v>813</v>
      </c>
      <c r="U431" s="22" t="s">
        <v>3764</v>
      </c>
      <c r="V431" s="23"/>
      <c r="W431" s="23"/>
      <c r="X431" s="23"/>
      <c r="Y431" s="23"/>
      <c r="Z431" s="23"/>
      <c r="AA431" s="23"/>
      <c r="AB431" s="23" t="str">
        <f>IFERROR(__xludf.DUMMYFUNCTION("IF(
ISNUMBER(MATCH(
C431,
IMPORTRANGE(""https://docs.google.com/spreadsheets/d/1yTh1ELC33JHYOeEdgIiEclxPRyh0zOKtlawDltfUay8"",""'Champions'!A:A""),
0
)),
""Outreach Conducted"",
"""")"),"")</f>
        <v/>
      </c>
      <c r="AC431" s="23"/>
      <c r="AD431" s="23"/>
      <c r="AE431" s="23"/>
      <c r="AF431" s="23"/>
      <c r="AG431" s="23"/>
      <c r="AH431" s="23"/>
      <c r="AI431" s="23"/>
      <c r="AJ431" s="23"/>
      <c r="AK431" s="23"/>
      <c r="AL431" s="23"/>
    </row>
    <row r="432" hidden="1">
      <c r="A432" s="22" t="s">
        <v>3765</v>
      </c>
      <c r="B432" s="22" t="s">
        <v>3766</v>
      </c>
      <c r="C432" s="23" t="str">
        <f t="shared" si="1"/>
        <v>Arun Saxena</v>
      </c>
      <c r="D432" s="22">
        <v>9.620215647E9</v>
      </c>
      <c r="E432" s="29" t="s">
        <v>3767</v>
      </c>
      <c r="F432" s="22" t="s">
        <v>248</v>
      </c>
      <c r="G432" s="22">
        <v>746.0</v>
      </c>
      <c r="H432" s="22">
        <f t="array" ref="H432">IFERROR(INDEX('Hub CPC 226'!A:A, MATCH(A432, 'Hub CPC 226'!B:B, 0)), "")</f>
        <v>467</v>
      </c>
      <c r="I432" s="22">
        <f t="array" ref="I432">IFERROR(INDEX('Hub Users 226'!A:A, MATCH(C432, 'Hub Users 226'!B:B, 0)), "")</f>
        <v>1913</v>
      </c>
      <c r="J432" s="22" t="s">
        <v>240</v>
      </c>
      <c r="K432" s="23" t="s">
        <v>3768</v>
      </c>
      <c r="L432" s="25">
        <v>45317.89097222222</v>
      </c>
      <c r="M432" s="23"/>
      <c r="N432" s="23"/>
      <c r="O432" s="23"/>
      <c r="P432" s="23"/>
      <c r="Q432" s="24"/>
      <c r="R432" s="31"/>
      <c r="S432" s="24"/>
      <c r="T432" s="24"/>
      <c r="U432" s="24"/>
      <c r="V432" s="23"/>
      <c r="W432" s="23"/>
      <c r="X432" s="23"/>
      <c r="Y432" s="23"/>
      <c r="Z432" s="23"/>
      <c r="AA432" s="23"/>
      <c r="AB432" s="23" t="str">
        <f>IFERROR(__xludf.DUMMYFUNCTION("IF(
ISNUMBER(MATCH(
C432,
IMPORTRANGE(""https://docs.google.com/spreadsheets/d/1yTh1ELC33JHYOeEdgIiEclxPRyh0zOKtlawDltfUay8"",""'Champions'!A:A""),
0
)),
""Outreach Conducted"",
"""")"),"")</f>
        <v/>
      </c>
      <c r="AC432" s="23"/>
      <c r="AD432" s="23"/>
      <c r="AE432" s="23"/>
      <c r="AF432" s="23"/>
      <c r="AG432" s="23"/>
      <c r="AH432" s="23"/>
      <c r="AI432" s="23"/>
      <c r="AJ432" s="23"/>
      <c r="AK432" s="23"/>
      <c r="AL432" s="23"/>
    </row>
    <row r="433" hidden="1">
      <c r="A433" s="22" t="s">
        <v>3769</v>
      </c>
      <c r="B433" s="22" t="s">
        <v>3770</v>
      </c>
      <c r="C433" s="23" t="str">
        <f t="shared" si="1"/>
        <v>Krista Lundgren</v>
      </c>
      <c r="D433" s="22">
        <v>8.604286709E9</v>
      </c>
      <c r="E433" s="29" t="s">
        <v>3771</v>
      </c>
      <c r="F433" s="22" t="s">
        <v>248</v>
      </c>
      <c r="G433" s="22">
        <v>747.0</v>
      </c>
      <c r="H433" s="22">
        <f t="array" ref="H433">IFERROR(INDEX('Hub CPC 226'!A:A, MATCH(C433, 'Hub CPC 226'!B:B, 0)), "")</f>
        <v>468</v>
      </c>
      <c r="I433" s="22">
        <f t="array" ref="I433">IFERROR(INDEX('Hub Users 226'!A:A, MATCH(C433, 'Hub Users 226'!B:B, 0)), "")</f>
        <v>1922</v>
      </c>
      <c r="J433" s="22" t="s">
        <v>290</v>
      </c>
      <c r="K433" s="23" t="s">
        <v>3772</v>
      </c>
      <c r="L433" s="25">
        <v>45317.89791666667</v>
      </c>
      <c r="M433" s="23"/>
      <c r="N433" s="23"/>
      <c r="O433" s="23"/>
      <c r="P433" s="23"/>
      <c r="Q433" s="22" t="s">
        <v>3773</v>
      </c>
      <c r="R433" s="22"/>
      <c r="S433" s="22" t="s">
        <v>3774</v>
      </c>
      <c r="T433" s="22" t="s">
        <v>626</v>
      </c>
      <c r="U433" s="22" t="s">
        <v>3775</v>
      </c>
      <c r="V433" s="23"/>
      <c r="W433" s="23"/>
      <c r="X433" s="23"/>
      <c r="Y433" s="23"/>
      <c r="Z433" s="23"/>
      <c r="AA433" s="23"/>
      <c r="AB433" s="23" t="str">
        <f>IFERROR(__xludf.DUMMYFUNCTION("IF(
ISNUMBER(MATCH(
C433,
IMPORTRANGE(""https://docs.google.com/spreadsheets/d/1yTh1ELC33JHYOeEdgIiEclxPRyh0zOKtlawDltfUay8"",""'Champions'!A:A""),
0
)),
""Outreach Conducted"",
"""")"),"")</f>
        <v/>
      </c>
      <c r="AC433" s="23"/>
      <c r="AD433" s="23"/>
      <c r="AE433" s="23"/>
      <c r="AF433" s="23"/>
      <c r="AG433" s="23"/>
      <c r="AH433" s="23"/>
      <c r="AI433" s="23"/>
      <c r="AJ433" s="23"/>
      <c r="AK433" s="23"/>
      <c r="AL433" s="23"/>
    </row>
    <row r="434" hidden="1">
      <c r="A434" s="22" t="s">
        <v>3776</v>
      </c>
      <c r="B434" s="22" t="s">
        <v>3777</v>
      </c>
      <c r="C434" s="23" t="str">
        <f t="shared" si="1"/>
        <v>Lady Freire</v>
      </c>
      <c r="D434" s="22">
        <v>8.056313306E9</v>
      </c>
      <c r="E434" s="29" t="s">
        <v>3778</v>
      </c>
      <c r="F434" s="22" t="s">
        <v>238</v>
      </c>
      <c r="G434" s="22">
        <v>751.0</v>
      </c>
      <c r="H434" s="22">
        <f t="array" ref="H434">IFERROR(INDEX('Hub CPC 226'!A:A, MATCH(C434, 'Hub CPC 226'!B:B, 0)), "")</f>
        <v>469</v>
      </c>
      <c r="I434" s="22">
        <f t="array" ref="I434">IFERROR(INDEX('Hub Users 226'!A:A, MATCH(C434, 'Hub Users 226'!B:B, 0)), "")</f>
        <v>1929</v>
      </c>
      <c r="J434" s="22" t="s">
        <v>260</v>
      </c>
      <c r="K434" s="23" t="s">
        <v>3779</v>
      </c>
      <c r="L434" s="25">
        <v>45370.00555555556</v>
      </c>
      <c r="M434" s="23"/>
      <c r="N434" s="23"/>
      <c r="O434" s="23"/>
      <c r="P434" s="23"/>
      <c r="Q434" s="24"/>
      <c r="R434" s="24"/>
      <c r="S434" s="22" t="s">
        <v>3780</v>
      </c>
      <c r="T434" s="22" t="s">
        <v>252</v>
      </c>
      <c r="U434" s="22" t="s">
        <v>3781</v>
      </c>
      <c r="V434" s="26" t="s">
        <v>1374</v>
      </c>
      <c r="W434" s="27" t="s">
        <v>3782</v>
      </c>
      <c r="X434" s="26" t="s">
        <v>704</v>
      </c>
      <c r="Y434" s="23"/>
      <c r="Z434" s="28"/>
      <c r="AA434" s="23"/>
      <c r="AB434" s="23" t="str">
        <f>IFERROR(__xludf.DUMMYFUNCTION("IF(
ISNUMBER(MATCH(
C434,
IMPORTRANGE(""https://docs.google.com/spreadsheets/d/1yTh1ELC33JHYOeEdgIiEclxPRyh0zOKtlawDltfUay8"",""'Champions'!A:A""),
0
)),
""Outreach Conducted"",
"""")"),"")</f>
        <v/>
      </c>
      <c r="AC434" s="23"/>
      <c r="AD434" s="23"/>
      <c r="AE434" s="23"/>
      <c r="AF434" s="23"/>
      <c r="AG434" s="23"/>
      <c r="AH434" s="23"/>
      <c r="AI434" s="23"/>
      <c r="AJ434" s="23"/>
      <c r="AK434" s="23"/>
      <c r="AL434" s="23"/>
    </row>
    <row r="435" hidden="1">
      <c r="A435" s="22" t="s">
        <v>3783</v>
      </c>
      <c r="B435" s="22" t="s">
        <v>3784</v>
      </c>
      <c r="C435" s="23" t="str">
        <f t="shared" si="1"/>
        <v>Jing Yuan</v>
      </c>
      <c r="D435" s="22">
        <v>1.6098658046E10</v>
      </c>
      <c r="E435" s="29" t="s">
        <v>3785</v>
      </c>
      <c r="F435" s="22" t="s">
        <v>399</v>
      </c>
      <c r="G435" s="22">
        <v>754.0</v>
      </c>
      <c r="H435" s="22">
        <f t="array" ref="H435">IFERROR(INDEX('Hub CPC 226'!A:A, MATCH(C435, 'Hub CPC 226'!B:B, 0)), "")</f>
        <v>471</v>
      </c>
      <c r="I435" s="22">
        <f t="array" ref="I435">IFERROR(INDEX('Hub Users 226'!A:A, MATCH(C435, 'Hub Users 226'!B:B, 0)), "")</f>
        <v>1931</v>
      </c>
      <c r="J435" s="22" t="s">
        <v>260</v>
      </c>
      <c r="K435" s="23" t="s">
        <v>240</v>
      </c>
      <c r="L435" s="25">
        <v>45381.82013888889</v>
      </c>
      <c r="M435" s="23"/>
      <c r="N435" s="23"/>
      <c r="O435" s="23"/>
      <c r="P435" s="23"/>
      <c r="Q435" s="22" t="s">
        <v>3786</v>
      </c>
      <c r="S435" s="22" t="s">
        <v>3787</v>
      </c>
      <c r="T435" s="22" t="s">
        <v>241</v>
      </c>
      <c r="U435" s="22" t="s">
        <v>1027</v>
      </c>
      <c r="V435" s="23"/>
      <c r="W435" s="23"/>
      <c r="X435" s="23"/>
      <c r="Y435" s="23"/>
      <c r="Z435" s="28"/>
      <c r="AA435" s="23"/>
      <c r="AB435" s="23" t="str">
        <f>IFERROR(__xludf.DUMMYFUNCTION("IF(
ISNUMBER(MATCH(
C435,
IMPORTRANGE(""https://docs.google.com/spreadsheets/d/1yTh1ELC33JHYOeEdgIiEclxPRyh0zOKtlawDltfUay8"",""'Champions'!A:A""),
0
)),
""Outreach Conducted"",
"""")"),"")</f>
        <v/>
      </c>
      <c r="AC435" s="23"/>
      <c r="AD435" s="23"/>
      <c r="AE435" s="23"/>
      <c r="AF435" s="23"/>
      <c r="AG435" s="23"/>
      <c r="AH435" s="23"/>
      <c r="AI435" s="23"/>
      <c r="AJ435" s="23"/>
      <c r="AK435" s="23"/>
      <c r="AL435" s="23"/>
    </row>
    <row r="436" hidden="1">
      <c r="A436" s="22" t="s">
        <v>2308</v>
      </c>
      <c r="B436" s="22" t="s">
        <v>3788</v>
      </c>
      <c r="C436" s="23" t="str">
        <f t="shared" si="1"/>
        <v>Maria Silva</v>
      </c>
      <c r="D436" s="22">
        <v>3.474187547E9</v>
      </c>
      <c r="E436" s="29" t="s">
        <v>3789</v>
      </c>
      <c r="F436" s="22" t="s">
        <v>399</v>
      </c>
      <c r="G436" s="22">
        <v>750.0</v>
      </c>
      <c r="H436" s="22" t="str">
        <f t="array" ref="H436">IFERROR(INDEX('Hub CPC 226'!A:A, MATCH(C436, 'Hub CPC 226'!B:B, 0)), "")</f>
        <v/>
      </c>
      <c r="I436" s="22">
        <f t="array" ref="I436">IFERROR(INDEX('Hub Users 226'!A:A, MATCH(C436, 'Hub Users 226'!B:B, 0)), "")</f>
        <v>1938</v>
      </c>
      <c r="J436" s="22" t="s">
        <v>290</v>
      </c>
      <c r="K436" s="23" t="s">
        <v>240</v>
      </c>
      <c r="L436" s="25">
        <v>45369.99930555555</v>
      </c>
      <c r="M436" s="28">
        <v>5.0</v>
      </c>
      <c r="N436" s="28">
        <v>10.0</v>
      </c>
      <c r="O436" s="28">
        <v>31.0</v>
      </c>
      <c r="P436" s="32">
        <v>28.0</v>
      </c>
      <c r="Q436" s="22" t="s">
        <v>3790</v>
      </c>
      <c r="R436" s="22"/>
      <c r="S436" s="22" t="s">
        <v>3791</v>
      </c>
      <c r="T436" s="22" t="s">
        <v>272</v>
      </c>
      <c r="U436" s="22" t="s">
        <v>3792</v>
      </c>
      <c r="V436" s="23"/>
      <c r="W436" s="23"/>
      <c r="X436" s="23"/>
      <c r="Y436" s="23"/>
      <c r="Z436" s="28"/>
      <c r="AA436" s="23"/>
      <c r="AB436" s="23" t="str">
        <f>IFERROR(__xludf.DUMMYFUNCTION("IF(
ISNUMBER(MATCH(
C436,
IMPORTRANGE(""https://docs.google.com/spreadsheets/d/1yTh1ELC33JHYOeEdgIiEclxPRyh0zOKtlawDltfUay8"",""'Champions'!A:A""),
0
)),
""Outreach Conducted"",
"""")"),"")</f>
        <v/>
      </c>
      <c r="AC436" s="23"/>
      <c r="AD436" s="23"/>
      <c r="AE436" s="23"/>
      <c r="AF436" s="23"/>
      <c r="AG436" s="23"/>
      <c r="AH436" s="23"/>
      <c r="AI436" s="23"/>
      <c r="AJ436" s="23"/>
      <c r="AK436" s="23"/>
      <c r="AL436" s="23"/>
    </row>
    <row r="437" hidden="1">
      <c r="A437" s="22" t="s">
        <v>3793</v>
      </c>
      <c r="B437" s="22" t="s">
        <v>3794</v>
      </c>
      <c r="C437" s="23" t="str">
        <f t="shared" si="1"/>
        <v>Christopher (Chris) Herrera</v>
      </c>
      <c r="D437" s="22" t="s">
        <v>3795</v>
      </c>
      <c r="E437" s="29" t="s">
        <v>3796</v>
      </c>
      <c r="F437" s="22" t="s">
        <v>248</v>
      </c>
      <c r="G437" s="22">
        <v>749.0</v>
      </c>
      <c r="H437" s="22">
        <f t="array" ref="H437">IFERROR(INDEX('Hub CPC 226'!A:A, MATCH("Chris", 'Hub CPC 226'!B:B, 0)), "")</f>
        <v>473</v>
      </c>
      <c r="I437" s="22">
        <f t="array" ref="I437">IFERROR(INDEX('Hub Users 226'!A:A, MATCH("Christopher Herrera", 'Hub Users 226'!B:B, 0)), "")</f>
        <v>1939</v>
      </c>
      <c r="J437" s="22" t="s">
        <v>260</v>
      </c>
      <c r="K437" s="23" t="s">
        <v>3797</v>
      </c>
      <c r="L437" s="25">
        <v>45369.9875</v>
      </c>
      <c r="M437" s="23"/>
      <c r="N437" s="23"/>
      <c r="O437" s="23"/>
      <c r="P437" s="23"/>
      <c r="Q437" s="22" t="s">
        <v>3798</v>
      </c>
      <c r="R437" s="22"/>
      <c r="S437" s="22" t="s">
        <v>3799</v>
      </c>
      <c r="T437" s="22" t="s">
        <v>381</v>
      </c>
      <c r="U437" s="22" t="s">
        <v>922</v>
      </c>
      <c r="V437" s="26" t="s">
        <v>1374</v>
      </c>
      <c r="W437" s="27" t="s">
        <v>3800</v>
      </c>
      <c r="X437" s="26" t="s">
        <v>704</v>
      </c>
      <c r="Y437" s="23"/>
      <c r="Z437" s="28"/>
      <c r="AA437" s="23"/>
      <c r="AB437" s="23" t="str">
        <f>IFERROR(__xludf.DUMMYFUNCTION("IF(
ISNUMBER(MATCH(
C437,
IMPORTRANGE(""https://docs.google.com/spreadsheets/d/1yTh1ELC33JHYOeEdgIiEclxPRyh0zOKtlawDltfUay8"",""'Champions'!A:A""),
0
)),
""Outreach Conducted"",
"""")"),"")</f>
        <v/>
      </c>
      <c r="AC437" s="23"/>
      <c r="AD437" s="23"/>
      <c r="AE437" s="23"/>
      <c r="AF437" s="23"/>
      <c r="AG437" s="23"/>
      <c r="AH437" s="23"/>
      <c r="AI437" s="23"/>
      <c r="AJ437" s="23"/>
      <c r="AK437" s="23"/>
      <c r="AL437" s="23"/>
    </row>
    <row r="438" hidden="1">
      <c r="A438" s="22" t="s">
        <v>1788</v>
      </c>
      <c r="B438" s="22" t="s">
        <v>3801</v>
      </c>
      <c r="C438" s="23" t="str">
        <f t="shared" si="1"/>
        <v>John McFarland</v>
      </c>
      <c r="D438" s="22" t="s">
        <v>3802</v>
      </c>
      <c r="E438" s="29" t="s">
        <v>3803</v>
      </c>
      <c r="F438" s="22" t="s">
        <v>248</v>
      </c>
      <c r="G438" s="22">
        <v>755.0</v>
      </c>
      <c r="H438" s="22">
        <f t="array" ref="H438">IFERROR(INDEX('Hub CPC 226'!A:A, MATCH(C438, 'Hub CPC 226'!B:B, 0)), "")</f>
        <v>475</v>
      </c>
      <c r="I438" s="22">
        <f t="array" ref="I438">IFERROR(INDEX('Hub Users 226'!A:A, MATCH(C438, 'Hub Users 226'!B:B, 0)), "")</f>
        <v>1941</v>
      </c>
      <c r="J438" s="22" t="s">
        <v>260</v>
      </c>
      <c r="K438" s="23" t="s">
        <v>3804</v>
      </c>
      <c r="L438" s="25">
        <v>45385.611805555556</v>
      </c>
      <c r="M438" s="23"/>
      <c r="N438" s="23"/>
      <c r="O438" s="23"/>
      <c r="P438" s="23"/>
      <c r="Q438" s="22" t="s">
        <v>3805</v>
      </c>
      <c r="S438" s="22" t="s">
        <v>2403</v>
      </c>
      <c r="T438" s="22" t="s">
        <v>3742</v>
      </c>
      <c r="U438" s="22" t="s">
        <v>3806</v>
      </c>
      <c r="V438" s="26" t="s">
        <v>1374</v>
      </c>
      <c r="W438" s="27" t="s">
        <v>3807</v>
      </c>
      <c r="X438" s="26" t="s">
        <v>704</v>
      </c>
      <c r="Y438" s="23"/>
      <c r="Z438" s="28"/>
      <c r="AA438" s="23"/>
      <c r="AB438" s="23" t="str">
        <f>IFERROR(__xludf.DUMMYFUNCTION("IF(
ISNUMBER(MATCH(
C438,
IMPORTRANGE(""https://docs.google.com/spreadsheets/d/1yTh1ELC33JHYOeEdgIiEclxPRyh0zOKtlawDltfUay8"",""'Champions'!A:A""),
0
)),
""Outreach Conducted"",
"""")"),"")</f>
        <v/>
      </c>
      <c r="AC438" s="23"/>
      <c r="AD438" s="23"/>
      <c r="AE438" s="23"/>
      <c r="AF438" s="23"/>
      <c r="AG438" s="23"/>
      <c r="AH438" s="23"/>
      <c r="AI438" s="23"/>
      <c r="AJ438" s="23"/>
      <c r="AK438" s="23"/>
      <c r="AL438" s="23"/>
    </row>
    <row r="439" hidden="1">
      <c r="A439" s="22" t="s">
        <v>3808</v>
      </c>
      <c r="B439" s="22" t="s">
        <v>3809</v>
      </c>
      <c r="C439" s="23" t="str">
        <f t="shared" si="1"/>
        <v>YAZMIN PARIAMACHI</v>
      </c>
      <c r="D439" s="24"/>
      <c r="E439" s="29" t="s">
        <v>3810</v>
      </c>
      <c r="F439" s="22" t="s">
        <v>399</v>
      </c>
      <c r="G439" s="22">
        <v>758.0</v>
      </c>
      <c r="H439" s="22">
        <f t="array" ref="H439">IFERROR(INDEX('Hub CPC 226'!A:A, MATCH(C439, 'Hub CPC 226'!B:B, 0)), "")</f>
        <v>489</v>
      </c>
      <c r="I439" s="22">
        <f t="array" ref="I439">IFERROR(INDEX('Hub Users 226'!A:A, MATCH(C439, 'Hub Users 226'!B:B, 0)), "")</f>
        <v>2081</v>
      </c>
      <c r="J439" s="22" t="s">
        <v>407</v>
      </c>
      <c r="K439" s="23" t="s">
        <v>240</v>
      </c>
      <c r="L439" s="25">
        <v>45524.54305555556</v>
      </c>
      <c r="M439" s="23"/>
      <c r="N439" s="23"/>
      <c r="O439" s="23"/>
      <c r="P439" s="23"/>
      <c r="Q439" s="24"/>
      <c r="R439" s="22" t="s">
        <v>3811</v>
      </c>
      <c r="S439" s="24"/>
      <c r="T439" s="24"/>
      <c r="U439" s="22" t="s">
        <v>3812</v>
      </c>
      <c r="V439" s="26" t="s">
        <v>3813</v>
      </c>
      <c r="W439" s="27" t="s">
        <v>3814</v>
      </c>
      <c r="X439" s="26" t="s">
        <v>704</v>
      </c>
      <c r="Y439" s="23"/>
      <c r="Z439" s="28"/>
      <c r="AA439" s="23"/>
      <c r="AB439" s="23" t="str">
        <f>IFERROR(__xludf.DUMMYFUNCTION("IF(
ISNUMBER(MATCH(
C439,
IMPORTRANGE(""https://docs.google.com/spreadsheets/d/1yTh1ELC33JHYOeEdgIiEclxPRyh0zOKtlawDltfUay8"",""'Champions'!A:A""),
0
)),
""Outreach Conducted"",
"""")"),"")</f>
        <v/>
      </c>
      <c r="AC439" s="23"/>
      <c r="AD439" s="23"/>
      <c r="AE439" s="23"/>
      <c r="AF439" s="23"/>
      <c r="AG439" s="23"/>
      <c r="AH439" s="23"/>
      <c r="AI439" s="23"/>
      <c r="AJ439" s="23"/>
      <c r="AK439" s="23"/>
      <c r="AL439" s="23"/>
    </row>
    <row r="440" hidden="1">
      <c r="A440" s="22" t="s">
        <v>3815</v>
      </c>
      <c r="B440" s="22" t="s">
        <v>3816</v>
      </c>
      <c r="C440" s="23" t="str">
        <f t="shared" si="1"/>
        <v>Isabel Flores Mendoza</v>
      </c>
      <c r="D440" s="24"/>
      <c r="E440" s="29" t="s">
        <v>3817</v>
      </c>
      <c r="F440" s="22" t="s">
        <v>399</v>
      </c>
      <c r="G440" s="22">
        <v>757.0</v>
      </c>
      <c r="H440" s="22">
        <f t="array" ref="H440">IFERROR(INDEX('Hub CPC 226'!A:A, MATCH(C440, 'Hub CPC 226'!B:B, 0)), "")</f>
        <v>490</v>
      </c>
      <c r="I440" s="22">
        <f t="array" ref="I440">IFERROR(INDEX('Hub Users 226'!A:A, MATCH(C440, 'Hub Users 226'!B:B, 0)), "")</f>
        <v>2205</v>
      </c>
      <c r="J440" s="22" t="s">
        <v>260</v>
      </c>
      <c r="K440" s="23" t="s">
        <v>240</v>
      </c>
      <c r="L440" s="25">
        <v>45523.01597222222</v>
      </c>
      <c r="M440" s="23"/>
      <c r="N440" s="23"/>
      <c r="O440" s="23"/>
      <c r="P440" s="23"/>
      <c r="Q440" s="24"/>
      <c r="R440" s="22" t="s">
        <v>3818</v>
      </c>
      <c r="S440" s="22"/>
      <c r="T440" s="22"/>
      <c r="U440" s="22" t="s">
        <v>3819</v>
      </c>
      <c r="V440" s="23"/>
      <c r="W440" s="23"/>
      <c r="X440" s="23"/>
      <c r="Y440" s="23"/>
      <c r="Z440" s="28"/>
      <c r="AA440" s="23"/>
      <c r="AB440" s="23" t="str">
        <f>IFERROR(__xludf.DUMMYFUNCTION("IF(
ISNUMBER(MATCH(
C440,
IMPORTRANGE(""https://docs.google.com/spreadsheets/d/1yTh1ELC33JHYOeEdgIiEclxPRyh0zOKtlawDltfUay8"",""'Champions'!A:A""),
0
)),
""Outreach Conducted"",
"""")"),"")</f>
        <v/>
      </c>
      <c r="AC440" s="23"/>
      <c r="AD440" s="23"/>
      <c r="AE440" s="23"/>
      <c r="AF440" s="23"/>
      <c r="AG440" s="23"/>
      <c r="AH440" s="23"/>
      <c r="AI440" s="23"/>
      <c r="AJ440" s="23"/>
      <c r="AK440" s="23"/>
      <c r="AL440" s="23"/>
    </row>
    <row r="441" hidden="1">
      <c r="A441" s="22" t="s">
        <v>3820</v>
      </c>
      <c r="B441" s="22" t="s">
        <v>3821</v>
      </c>
      <c r="C441" s="23" t="str">
        <f t="shared" si="1"/>
        <v>Jimena Montane Azpiri</v>
      </c>
      <c r="D441" s="24"/>
      <c r="E441" s="29" t="s">
        <v>3822</v>
      </c>
      <c r="F441" s="22" t="s">
        <v>248</v>
      </c>
      <c r="G441" s="22">
        <v>699.0</v>
      </c>
      <c r="H441" s="22" t="str">
        <f t="array" ref="H441">IFERROR(INDEX('Hub CPC 226'!A:A, MATCH(C441, 'Hub CPC 226'!B:B, 0)), "")</f>
        <v/>
      </c>
      <c r="I441" s="22">
        <f t="array" ref="I441">IFERROR(INDEX('Hub Users 226'!A:A, MATCH(C441, 'Hub Users 226'!B:B, 0)), "")</f>
        <v>2242</v>
      </c>
      <c r="J441" s="22" t="s">
        <v>260</v>
      </c>
      <c r="K441" s="23" t="s">
        <v>3823</v>
      </c>
      <c r="L441" s="25">
        <v>44964.75902777778</v>
      </c>
      <c r="M441" s="23"/>
      <c r="N441" s="23"/>
      <c r="O441" s="23"/>
      <c r="P441" s="23"/>
      <c r="Q441" s="24"/>
      <c r="R441" s="22" t="s">
        <v>3824</v>
      </c>
      <c r="S441" s="24"/>
      <c r="T441" s="24"/>
      <c r="U441" s="22" t="s">
        <v>3825</v>
      </c>
      <c r="V441" s="26" t="s">
        <v>475</v>
      </c>
      <c r="W441" s="27" t="s">
        <v>3826</v>
      </c>
      <c r="X441" s="26" t="s">
        <v>1085</v>
      </c>
      <c r="Y441" s="23"/>
      <c r="Z441" s="28"/>
      <c r="AA441" s="23"/>
      <c r="AB441" s="23" t="str">
        <f>IFERROR(__xludf.DUMMYFUNCTION("IF(
ISNUMBER(MATCH(
C441,
IMPORTRANGE(""https://docs.google.com/spreadsheets/d/1yTh1ELC33JHYOeEdgIiEclxPRyh0zOKtlawDltfUay8"",""'Champions'!A:A""),
0
)),
""Outreach Conducted"",
"""")"),"")</f>
        <v/>
      </c>
      <c r="AC441" s="23"/>
      <c r="AD441" s="23"/>
      <c r="AE441" s="23"/>
      <c r="AF441" s="23"/>
      <c r="AG441" s="23"/>
      <c r="AH441" s="23"/>
      <c r="AI441" s="23"/>
      <c r="AJ441" s="23"/>
      <c r="AK441" s="23"/>
      <c r="AL441" s="23"/>
    </row>
    <row r="442" hidden="1">
      <c r="A442" s="22" t="s">
        <v>3827</v>
      </c>
      <c r="B442" s="22" t="s">
        <v>3821</v>
      </c>
      <c r="C442" s="23" t="str">
        <f t="shared" si="1"/>
        <v>Fernanda Montane Azpiri</v>
      </c>
      <c r="D442" s="24"/>
      <c r="E442" s="29" t="s">
        <v>3828</v>
      </c>
      <c r="F442" s="22" t="s">
        <v>248</v>
      </c>
      <c r="G442" s="22">
        <v>753.0</v>
      </c>
      <c r="H442" s="22" t="str">
        <f t="array" ref="H442">IFERROR(INDEX('Hub CPC 226'!A:A, MATCH(C442, 'Hub CPC 226'!B:B, 0)), "")</f>
        <v/>
      </c>
      <c r="I442" s="22">
        <f t="array" ref="I442">IFERROR(INDEX('Hub Users 226'!A:A, MATCH(C442, 'Hub Users 226'!B:B, 0)), "")</f>
        <v>2381</v>
      </c>
      <c r="J442" s="22" t="s">
        <v>107</v>
      </c>
      <c r="K442" s="23" t="s">
        <v>240</v>
      </c>
      <c r="L442" s="25">
        <v>45380.50486111111</v>
      </c>
      <c r="M442" s="23"/>
      <c r="N442" s="23"/>
      <c r="O442" s="23"/>
      <c r="P442" s="23"/>
      <c r="Q442" s="24"/>
      <c r="R442" s="22" t="s">
        <v>3824</v>
      </c>
      <c r="S442" s="24"/>
      <c r="T442" s="24"/>
      <c r="U442" s="22" t="s">
        <v>3829</v>
      </c>
      <c r="V442" s="26" t="s">
        <v>3830</v>
      </c>
      <c r="W442" s="27" t="s">
        <v>3831</v>
      </c>
      <c r="X442" s="26" t="s">
        <v>1845</v>
      </c>
      <c r="Y442" s="23"/>
      <c r="Z442" s="28"/>
      <c r="AA442" s="23"/>
      <c r="AB442" s="23" t="str">
        <f>IFERROR(__xludf.DUMMYFUNCTION("IF(
ISNUMBER(MATCH(
C442,
IMPORTRANGE(""https://docs.google.com/spreadsheets/d/1yTh1ELC33JHYOeEdgIiEclxPRyh0zOKtlawDltfUay8"",""'Champions'!A:A""),
0
)),
""Outreach Conducted"",
"""")"),"")</f>
        <v/>
      </c>
      <c r="AC442" s="23"/>
      <c r="AD442" s="23"/>
      <c r="AE442" s="23"/>
      <c r="AF442" s="23"/>
      <c r="AG442" s="23"/>
      <c r="AH442" s="23"/>
      <c r="AI442" s="23"/>
      <c r="AJ442" s="23"/>
      <c r="AK442" s="23"/>
      <c r="AL442" s="23"/>
    </row>
    <row r="443" hidden="1">
      <c r="A443" s="22" t="s">
        <v>3832</v>
      </c>
      <c r="B443" s="22" t="s">
        <v>3833</v>
      </c>
      <c r="C443" s="23" t="str">
        <f t="shared" si="1"/>
        <v>Sonia J Jimenez Mercado</v>
      </c>
      <c r="D443" s="24"/>
      <c r="E443" s="29" t="s">
        <v>3834</v>
      </c>
      <c r="F443" s="22" t="s">
        <v>248</v>
      </c>
      <c r="G443" s="22">
        <v>756.0</v>
      </c>
      <c r="H443" s="22">
        <f t="array" ref="H443">IFERROR(INDEX('Hub CPC 226'!A:A, MATCH(C443, 'Hub CPC 226'!B:B, 0)), "")</f>
        <v>502</v>
      </c>
      <c r="I443" s="22">
        <f t="array" ref="I443">IFERROR(INDEX('Hub Users 226'!A:A, MATCH(C443, 'Hub Users 226'!B:B, 0)), "")</f>
        <v>2400</v>
      </c>
      <c r="J443" s="22" t="s">
        <v>107</v>
      </c>
      <c r="K443" s="23" t="s">
        <v>240</v>
      </c>
      <c r="L443" s="25">
        <v>45519.60902777778</v>
      </c>
      <c r="M443" s="23"/>
      <c r="N443" s="23"/>
      <c r="O443" s="23"/>
      <c r="P443" s="23"/>
      <c r="Q443" s="24"/>
      <c r="R443" s="22" t="s">
        <v>3835</v>
      </c>
      <c r="S443" s="24"/>
      <c r="T443" s="24"/>
      <c r="U443" s="22" t="s">
        <v>3836</v>
      </c>
      <c r="V443" s="23"/>
      <c r="W443" s="23"/>
      <c r="X443" s="23"/>
      <c r="Y443" s="23"/>
      <c r="Z443" s="28"/>
      <c r="AA443" s="23"/>
      <c r="AB443" s="23" t="str">
        <f>IFERROR(__xludf.DUMMYFUNCTION("IF(
ISNUMBER(MATCH(
C443,
IMPORTRANGE(""https://docs.google.com/spreadsheets/d/1yTh1ELC33JHYOeEdgIiEclxPRyh0zOKtlawDltfUay8"",""'Champions'!A:A""),
0
)),
""Outreach Conducted"",
"""")"),"")</f>
        <v/>
      </c>
      <c r="AC443" s="23"/>
      <c r="AD443" s="23"/>
      <c r="AE443" s="23"/>
      <c r="AF443" s="23"/>
      <c r="AG443" s="23"/>
      <c r="AH443" s="23"/>
      <c r="AI443" s="23"/>
      <c r="AJ443" s="23"/>
      <c r="AK443" s="23"/>
      <c r="AL443" s="23"/>
    </row>
    <row r="444" hidden="1">
      <c r="A444" s="22" t="s">
        <v>3837</v>
      </c>
      <c r="B444" s="22" t="s">
        <v>3838</v>
      </c>
      <c r="C444" s="23" t="str">
        <f t="shared" si="1"/>
        <v>Shashikala Giridhar Krishnan</v>
      </c>
      <c r="D444" s="22">
        <v>1.2036069727E10</v>
      </c>
      <c r="E444" s="29" t="s">
        <v>3839</v>
      </c>
      <c r="F444" s="22" t="s">
        <v>399</v>
      </c>
      <c r="G444" s="22">
        <v>745.0</v>
      </c>
      <c r="H444" s="22">
        <f t="array" ref="H444">IFERROR(INDEX('Hub CPC 226'!A:A, MATCH(C444, 'Hub CPC 226'!B:B, 0)), "")</f>
        <v>503</v>
      </c>
      <c r="I444" s="22">
        <f t="array" ref="I444">IFERROR(INDEX('Hub Users 226'!A:A, MATCH(C444, 'Hub Users 226'!B:B, 0)), "")</f>
        <v>2401</v>
      </c>
      <c r="J444" s="22" t="s">
        <v>239</v>
      </c>
      <c r="K444" s="23" t="s">
        <v>240</v>
      </c>
      <c r="L444" s="25">
        <v>45311.94652777778</v>
      </c>
      <c r="M444" s="23"/>
      <c r="N444" s="23"/>
      <c r="O444" s="23"/>
      <c r="P444" s="23"/>
      <c r="Q444" s="22" t="s">
        <v>3840</v>
      </c>
      <c r="R444" s="22" t="s">
        <v>251</v>
      </c>
      <c r="S444" s="22" t="s">
        <v>251</v>
      </c>
      <c r="T444" s="22" t="s">
        <v>252</v>
      </c>
      <c r="U444" s="22" t="s">
        <v>3841</v>
      </c>
      <c r="V444" s="23"/>
      <c r="W444" s="23"/>
      <c r="X444" s="23"/>
      <c r="Y444" s="23"/>
      <c r="Z444" s="28"/>
      <c r="AA444" s="23"/>
      <c r="AB444" s="23" t="str">
        <f>IFERROR(__xludf.DUMMYFUNCTION("IF(
ISNUMBER(MATCH(
C444,
IMPORTRANGE(""https://docs.google.com/spreadsheets/d/1yTh1ELC33JHYOeEdgIiEclxPRyh0zOKtlawDltfUay8"",""'Champions'!A:A""),
0
)),
""Outreach Conducted"",
"""")"),"")</f>
        <v/>
      </c>
      <c r="AC444" s="23"/>
      <c r="AD444" s="23"/>
      <c r="AE444" s="23"/>
      <c r="AF444" s="23"/>
      <c r="AG444" s="23"/>
      <c r="AH444" s="23"/>
      <c r="AI444" s="23"/>
      <c r="AJ444" s="23"/>
      <c r="AK444" s="23"/>
      <c r="AL444" s="23"/>
    </row>
    <row r="445" hidden="1">
      <c r="A445" s="22" t="s">
        <v>3842</v>
      </c>
      <c r="B445" s="22" t="s">
        <v>3843</v>
      </c>
      <c r="C445" s="23" t="str">
        <f t="shared" si="1"/>
        <v>Debasmita Ray</v>
      </c>
      <c r="D445" s="22">
        <v>1.5102588701E10</v>
      </c>
      <c r="E445" s="29" t="s">
        <v>3844</v>
      </c>
      <c r="F445" s="22" t="s">
        <v>248</v>
      </c>
      <c r="G445" s="22">
        <v>744.0</v>
      </c>
      <c r="H445" s="22">
        <f t="array" ref="H445">IFERROR(INDEX('Hub CPC 226'!A:A, MATCH(C445, 'Hub CPC 226'!B:B, 0)), "")</f>
        <v>504</v>
      </c>
      <c r="I445" s="22">
        <f t="array" ref="I445">IFERROR(INDEX('Hub Users 226'!A:A, MATCH(C445, 'Hub Users 226'!B:B, 0)), "")</f>
        <v>2402</v>
      </c>
      <c r="J445" s="22" t="s">
        <v>239</v>
      </c>
      <c r="K445" s="23" t="s">
        <v>3845</v>
      </c>
      <c r="L445" s="25">
        <v>45301.86388888889</v>
      </c>
      <c r="M445" s="23"/>
      <c r="N445" s="23"/>
      <c r="O445" s="23"/>
      <c r="P445" s="23"/>
      <c r="Q445" s="22" t="s">
        <v>3846</v>
      </c>
      <c r="R445" s="22" t="s">
        <v>3847</v>
      </c>
      <c r="S445" s="22" t="s">
        <v>3847</v>
      </c>
      <c r="T445" s="22" t="s">
        <v>252</v>
      </c>
      <c r="U445" s="22" t="s">
        <v>3848</v>
      </c>
      <c r="V445" s="23"/>
      <c r="W445" s="23"/>
      <c r="X445" s="23"/>
      <c r="Y445" s="23"/>
      <c r="Z445" s="23"/>
      <c r="AA445" s="23"/>
      <c r="AB445" s="23" t="str">
        <f>IFERROR(__xludf.DUMMYFUNCTION("IF(
ISNUMBER(MATCH(
C445,
IMPORTRANGE(""https://docs.google.com/spreadsheets/d/1yTh1ELC33JHYOeEdgIiEclxPRyh0zOKtlawDltfUay8"",""'Champions'!A:A""),
0
)),
""Outreach Conducted"",
"""")"),"")</f>
        <v/>
      </c>
      <c r="AC445" s="23"/>
      <c r="AD445" s="23"/>
      <c r="AE445" s="23"/>
      <c r="AF445" s="23"/>
      <c r="AG445" s="23"/>
      <c r="AH445" s="23"/>
      <c r="AI445" s="23"/>
      <c r="AJ445" s="23"/>
      <c r="AK445" s="23"/>
      <c r="AL445" s="23"/>
    </row>
    <row r="446" hidden="1">
      <c r="A446" s="22" t="s">
        <v>3849</v>
      </c>
      <c r="B446" s="22" t="s">
        <v>3850</v>
      </c>
      <c r="C446" s="23" t="str">
        <f t="shared" si="1"/>
        <v>Ranjini Sankaranarayanan</v>
      </c>
      <c r="D446" s="22">
        <v>1.6055920914E10</v>
      </c>
      <c r="E446" s="29" t="s">
        <v>3851</v>
      </c>
      <c r="F446" s="22" t="s">
        <v>248</v>
      </c>
      <c r="G446" s="22">
        <v>734.0</v>
      </c>
      <c r="H446" s="22">
        <f t="array" ref="H446">IFERROR(INDEX('Hub CPC 226'!A:A, MATCH(C446, 'Hub CPC 226'!B:B, 0)), "")</f>
        <v>505</v>
      </c>
      <c r="I446" s="22">
        <f t="array" ref="I446">IFERROR(INDEX('Hub Users 226'!A:A, MATCH(C446, 'Hub Users 226'!B:B, 0)), "")</f>
        <v>2403</v>
      </c>
      <c r="J446" s="22" t="s">
        <v>260</v>
      </c>
      <c r="K446" s="23" t="s">
        <v>3852</v>
      </c>
      <c r="L446" s="25">
        <v>45176.87708333333</v>
      </c>
      <c r="M446" s="23"/>
      <c r="N446" s="23"/>
      <c r="O446" s="23"/>
      <c r="P446" s="23"/>
      <c r="Q446" s="22" t="s">
        <v>3853</v>
      </c>
      <c r="R446" s="22" t="s">
        <v>3854</v>
      </c>
      <c r="S446" s="22" t="s">
        <v>3855</v>
      </c>
      <c r="T446" s="22" t="s">
        <v>3742</v>
      </c>
      <c r="U446" s="22" t="s">
        <v>3856</v>
      </c>
      <c r="V446" s="26" t="s">
        <v>1374</v>
      </c>
      <c r="W446" s="27" t="s">
        <v>3857</v>
      </c>
      <c r="X446" s="26" t="s">
        <v>704</v>
      </c>
      <c r="Y446" s="23"/>
      <c r="Z446" s="28"/>
      <c r="AA446" s="23"/>
      <c r="AB446" s="23" t="str">
        <f>IFERROR(__xludf.DUMMYFUNCTION("IF(
ISNUMBER(MATCH(
C446,
IMPORTRANGE(""https://docs.google.com/spreadsheets/d/1yTh1ELC33JHYOeEdgIiEclxPRyh0zOKtlawDltfUay8"",""'Champions'!A:A""),
0
)),
""Outreach Conducted"",
"""")"),"")</f>
        <v/>
      </c>
      <c r="AC446" s="23"/>
      <c r="AD446" s="23"/>
      <c r="AE446" s="23"/>
      <c r="AF446" s="23"/>
      <c r="AG446" s="23"/>
      <c r="AH446" s="23"/>
      <c r="AI446" s="23"/>
      <c r="AJ446" s="23"/>
      <c r="AK446" s="23"/>
      <c r="AL446" s="23"/>
    </row>
    <row r="447" hidden="1">
      <c r="A447" s="32" t="s">
        <v>3858</v>
      </c>
      <c r="B447" s="32" t="s">
        <v>3859</v>
      </c>
      <c r="C447" s="23" t="str">
        <f t="shared" si="1"/>
        <v>Palki Kaur Patpatia</v>
      </c>
      <c r="D447" s="31"/>
      <c r="E447" s="32" t="s">
        <v>3860</v>
      </c>
      <c r="F447" s="28" t="s">
        <v>2536</v>
      </c>
      <c r="G447" s="32">
        <v>727.0</v>
      </c>
      <c r="H447" s="22">
        <f t="array" ref="H447">IFERROR(INDEX('Hub CPC 226'!A:A, MATCH(C447, 'Hub CPC 226'!B:B, 0)), "")</f>
        <v>506</v>
      </c>
      <c r="I447" s="22">
        <f t="array" ref="I447">IFERROR(INDEX('Hub Users 226'!A:A, MATCH(C447, 'Hub Users 226'!B:B, 0)), "")</f>
        <v>2404</v>
      </c>
      <c r="J447" s="22"/>
      <c r="K447" s="23" t="s">
        <v>3861</v>
      </c>
      <c r="L447" s="37">
        <v>45057.72222222222</v>
      </c>
      <c r="M447" s="23"/>
      <c r="N447" s="23"/>
      <c r="O447" s="23"/>
      <c r="P447" s="23"/>
      <c r="Q447" s="31"/>
      <c r="R447" s="32" t="s">
        <v>3862</v>
      </c>
      <c r="S447" s="24"/>
      <c r="T447" s="24"/>
      <c r="U447" s="32" t="s">
        <v>3863</v>
      </c>
      <c r="V447" s="23"/>
      <c r="W447" s="23"/>
      <c r="X447" s="23"/>
      <c r="Y447" s="23"/>
      <c r="Z447" s="23"/>
      <c r="AA447" s="23"/>
      <c r="AB447" s="23" t="str">
        <f>IFERROR(__xludf.DUMMYFUNCTION("IF(
ISNUMBER(MATCH(
C447,
IMPORTRANGE(""https://docs.google.com/spreadsheets/d/1yTh1ELC33JHYOeEdgIiEclxPRyh0zOKtlawDltfUay8"",""'Champions'!A:A""),
0
)),
""Outreach Conducted"",
"""")"),"")</f>
        <v/>
      </c>
      <c r="AC447" s="23"/>
      <c r="AD447" s="23"/>
      <c r="AE447" s="23"/>
      <c r="AF447" s="23"/>
      <c r="AG447" s="23"/>
      <c r="AH447" s="23"/>
      <c r="AI447" s="23"/>
      <c r="AJ447" s="23"/>
      <c r="AK447" s="23"/>
      <c r="AL447" s="23"/>
    </row>
    <row r="448" hidden="1">
      <c r="A448" s="32" t="s">
        <v>3864</v>
      </c>
      <c r="B448" s="32" t="s">
        <v>3865</v>
      </c>
      <c r="C448" s="23" t="str">
        <f t="shared" si="1"/>
        <v>Marco Jaramillo</v>
      </c>
      <c r="D448" s="31"/>
      <c r="E448" s="32" t="s">
        <v>3866</v>
      </c>
      <c r="F448" s="28" t="s">
        <v>769</v>
      </c>
      <c r="G448" s="32">
        <v>708.0</v>
      </c>
      <c r="H448" s="22">
        <f t="array" ref="H448">IFERROR(INDEX('Hub CPC 226'!A:A, MATCH(C448, 'Hub CPC 226'!B:B, 0)), "")</f>
        <v>507</v>
      </c>
      <c r="I448" s="22">
        <f t="array" ref="I448">IFERROR(INDEX('Hub Users 226'!A:A, MATCH(C448, 'Hub Users 226'!B:B, 0)), "")</f>
        <v>2405</v>
      </c>
      <c r="J448" s="22"/>
      <c r="K448" s="23" t="s">
        <v>3867</v>
      </c>
      <c r="L448" s="37">
        <v>44996.51944444444</v>
      </c>
      <c r="M448" s="23"/>
      <c r="N448" s="23"/>
      <c r="O448" s="23"/>
      <c r="P448" s="23"/>
      <c r="Q448" s="31"/>
      <c r="R448" s="32" t="s">
        <v>3868</v>
      </c>
      <c r="S448" s="24"/>
      <c r="T448" s="24"/>
      <c r="U448" s="32" t="s">
        <v>3166</v>
      </c>
      <c r="V448" s="23"/>
      <c r="W448" s="23"/>
      <c r="X448" s="23"/>
      <c r="Y448" s="23"/>
      <c r="Z448" s="23"/>
      <c r="AA448" s="23"/>
      <c r="AB448" s="23" t="str">
        <f>IFERROR(__xludf.DUMMYFUNCTION("IF(
ISNUMBER(MATCH(
C448,
IMPORTRANGE(""https://docs.google.com/spreadsheets/d/1yTh1ELC33JHYOeEdgIiEclxPRyh0zOKtlawDltfUay8"",""'Champions'!A:A""),
0
)),
""Outreach Conducted"",
"""")"),"")</f>
        <v/>
      </c>
      <c r="AC448" s="23"/>
      <c r="AD448" s="23"/>
      <c r="AE448" s="23"/>
      <c r="AF448" s="23"/>
      <c r="AG448" s="23"/>
      <c r="AH448" s="23"/>
      <c r="AI448" s="23"/>
      <c r="AJ448" s="23"/>
      <c r="AK448" s="23"/>
      <c r="AL448" s="23"/>
    </row>
    <row r="449" hidden="1">
      <c r="A449" s="32" t="s">
        <v>3869</v>
      </c>
      <c r="B449" s="32" t="s">
        <v>3870</v>
      </c>
      <c r="C449" s="23" t="str">
        <f t="shared" si="1"/>
        <v>Ayca Sezgin</v>
      </c>
      <c r="D449" s="32" t="s">
        <v>3871</v>
      </c>
      <c r="E449" s="32" t="s">
        <v>3872</v>
      </c>
      <c r="F449" s="28" t="s">
        <v>2536</v>
      </c>
      <c r="G449" s="32">
        <v>704.0</v>
      </c>
      <c r="H449" s="22">
        <f t="array" ref="H449">IFERROR(INDEX('Hub CPC 226'!A:A, MATCH(C449, 'Hub CPC 226'!B:B, 0)), "")</f>
        <v>508</v>
      </c>
      <c r="I449" s="22">
        <f t="array" ref="I449">IFERROR(INDEX('Hub Users 226'!A:A, MATCH(C449, 'Hub Users 226'!B:B, 0)), "")</f>
        <v>2406</v>
      </c>
      <c r="J449" s="22"/>
      <c r="K449" s="23" t="s">
        <v>3873</v>
      </c>
      <c r="L449" s="37">
        <v>44988.66736111111</v>
      </c>
      <c r="M449" s="23"/>
      <c r="N449" s="23"/>
      <c r="O449" s="23"/>
      <c r="P449" s="23"/>
      <c r="Q449" s="32" t="s">
        <v>3874</v>
      </c>
      <c r="R449" s="32" t="s">
        <v>3875</v>
      </c>
      <c r="S449" s="32" t="s">
        <v>3876</v>
      </c>
      <c r="T449" s="22" t="s">
        <v>626</v>
      </c>
      <c r="U449" s="32" t="s">
        <v>3877</v>
      </c>
      <c r="V449" s="23"/>
      <c r="W449" s="23"/>
      <c r="X449" s="23"/>
      <c r="Y449" s="23"/>
      <c r="Z449" s="23"/>
      <c r="AA449" s="23"/>
      <c r="AB449" s="23" t="str">
        <f>IFERROR(__xludf.DUMMYFUNCTION("IF(
ISNUMBER(MATCH(
C449,
IMPORTRANGE(""https://docs.google.com/spreadsheets/d/1yTh1ELC33JHYOeEdgIiEclxPRyh0zOKtlawDltfUay8"",""'Champions'!A:A""),
0
)),
""Outreach Conducted"",
"""")"),"")</f>
        <v/>
      </c>
      <c r="AC449" s="23"/>
      <c r="AD449" s="23"/>
      <c r="AE449" s="23"/>
      <c r="AF449" s="23"/>
      <c r="AG449" s="23"/>
      <c r="AH449" s="23"/>
      <c r="AI449" s="23"/>
      <c r="AJ449" s="23"/>
      <c r="AK449" s="23"/>
      <c r="AL449" s="23"/>
    </row>
    <row r="450" hidden="1">
      <c r="A450" s="32" t="s">
        <v>3878</v>
      </c>
      <c r="B450" s="32" t="s">
        <v>3879</v>
      </c>
      <c r="C450" s="23" t="str">
        <f t="shared" si="1"/>
        <v>Omar Ghorab</v>
      </c>
      <c r="D450" s="31"/>
      <c r="E450" s="32" t="s">
        <v>3880</v>
      </c>
      <c r="F450" s="28" t="s">
        <v>769</v>
      </c>
      <c r="G450" s="32">
        <v>678.0</v>
      </c>
      <c r="H450" s="22">
        <f t="array" ref="H450">IFERROR(INDEX('Hub CPC 226'!A:A, MATCH(C450, 'Hub CPC 226'!B:B, 0)), "")</f>
        <v>509</v>
      </c>
      <c r="I450" s="22">
        <f t="array" ref="I450">IFERROR(INDEX('Hub Users 226'!A:A, MATCH(C450, 'Hub Users 226'!B:B, 0)), "")</f>
        <v>2407</v>
      </c>
      <c r="J450" s="22"/>
      <c r="K450" s="23" t="s">
        <v>3881</v>
      </c>
      <c r="L450" s="37">
        <v>44869.73263888889</v>
      </c>
      <c r="M450" s="23"/>
      <c r="N450" s="23"/>
      <c r="O450" s="23"/>
      <c r="P450" s="23"/>
      <c r="Q450" s="31"/>
      <c r="R450" s="32" t="s">
        <v>3882</v>
      </c>
      <c r="S450" s="22" t="s">
        <v>3787</v>
      </c>
      <c r="T450" s="22" t="s">
        <v>241</v>
      </c>
      <c r="U450" s="32" t="s">
        <v>3883</v>
      </c>
      <c r="V450" s="23"/>
      <c r="W450" s="23"/>
      <c r="X450" s="23"/>
      <c r="Y450" s="23"/>
      <c r="Z450" s="23"/>
      <c r="AA450" s="23"/>
      <c r="AB450" s="23" t="str">
        <f>IFERROR(__xludf.DUMMYFUNCTION("IF(
ISNUMBER(MATCH(
C450,
IMPORTRANGE(""https://docs.google.com/spreadsheets/d/1yTh1ELC33JHYOeEdgIiEclxPRyh0zOKtlawDltfUay8"",""'Champions'!A:A""),
0
)),
""Outreach Conducted"",
"""")"),"")</f>
        <v/>
      </c>
      <c r="AC450" s="23"/>
      <c r="AD450" s="23"/>
      <c r="AE450" s="23"/>
      <c r="AF450" s="23"/>
      <c r="AG450" s="23"/>
      <c r="AH450" s="23"/>
      <c r="AI450" s="23"/>
      <c r="AJ450" s="23"/>
      <c r="AK450" s="23"/>
      <c r="AL450" s="23"/>
    </row>
    <row r="451" hidden="1">
      <c r="A451" s="32" t="s">
        <v>3884</v>
      </c>
      <c r="B451" s="32" t="s">
        <v>3885</v>
      </c>
      <c r="C451" s="23" t="str">
        <f t="shared" si="1"/>
        <v>Tina Loarte-Rodriguez</v>
      </c>
      <c r="D451" s="32" t="s">
        <v>3886</v>
      </c>
      <c r="E451" s="32" t="s">
        <v>3887</v>
      </c>
      <c r="F451" s="28" t="s">
        <v>769</v>
      </c>
      <c r="G451" s="32">
        <v>673.0</v>
      </c>
      <c r="H451" s="22">
        <f t="array" ref="H451">IFERROR(INDEX('Hub CPC 226'!A:A, MATCH(C451, 'Hub CPC 226'!B:B, 0)), "")</f>
        <v>510</v>
      </c>
      <c r="I451" s="22">
        <f t="array" ref="I451">IFERROR(INDEX('Hub Users 226'!A:A, MATCH(C451, 'Hub Users 226'!B:B, 0)), "")</f>
        <v>2408</v>
      </c>
      <c r="J451" s="22"/>
      <c r="K451" s="28" t="s">
        <v>3888</v>
      </c>
      <c r="L451" s="38">
        <v>44858.75902777778</v>
      </c>
      <c r="M451" s="23"/>
      <c r="N451" s="23"/>
      <c r="O451" s="23"/>
      <c r="P451" s="23"/>
      <c r="Q451" s="32" t="s">
        <v>3889</v>
      </c>
      <c r="R451" s="32" t="s">
        <v>3890</v>
      </c>
      <c r="S451" s="22" t="s">
        <v>3891</v>
      </c>
      <c r="T451" s="22" t="s">
        <v>1777</v>
      </c>
      <c r="U451" s="32" t="s">
        <v>3892</v>
      </c>
      <c r="V451" s="23"/>
      <c r="W451" s="23"/>
      <c r="X451" s="23"/>
      <c r="Y451" s="23"/>
      <c r="Z451" s="23"/>
      <c r="AA451" s="23"/>
      <c r="AB451" s="23" t="str">
        <f>IFERROR(__xludf.DUMMYFUNCTION("IF(
ISNUMBER(MATCH(
C451,
IMPORTRANGE(""https://docs.google.com/spreadsheets/d/1yTh1ELC33JHYOeEdgIiEclxPRyh0zOKtlawDltfUay8"",""'Champions'!A:A""),
0
)),
""Outreach Conducted"",
"""")"),"")</f>
        <v/>
      </c>
      <c r="AC451" s="23"/>
      <c r="AD451" s="23"/>
      <c r="AE451" s="23"/>
      <c r="AF451" s="23"/>
      <c r="AG451" s="23"/>
      <c r="AH451" s="23"/>
      <c r="AI451" s="23"/>
      <c r="AJ451" s="23"/>
      <c r="AK451" s="23"/>
      <c r="AL451" s="23"/>
    </row>
    <row r="452" hidden="1">
      <c r="A452" s="32" t="s">
        <v>3893</v>
      </c>
      <c r="B452" s="32" t="s">
        <v>3894</v>
      </c>
      <c r="C452" s="23" t="str">
        <f t="shared" si="1"/>
        <v>Kristina King</v>
      </c>
      <c r="D452" s="32" t="s">
        <v>3895</v>
      </c>
      <c r="E452" s="32" t="s">
        <v>3896</v>
      </c>
      <c r="F452" s="28" t="s">
        <v>769</v>
      </c>
      <c r="G452" s="32">
        <v>632.0</v>
      </c>
      <c r="H452" s="22">
        <f t="array" ref="H452">IFERROR(INDEX('Hub CPC 226'!A:A, MATCH(C452, 'Hub CPC 226'!B:B, 0)), "")</f>
        <v>511</v>
      </c>
      <c r="I452" s="22">
        <f t="array" ref="I452">IFERROR(INDEX('Hub Users 226'!A:A, MATCH(C452, 'Hub Users 226'!B:B, 0)), "")</f>
        <v>2409</v>
      </c>
      <c r="J452" s="22"/>
      <c r="K452" s="23" t="s">
        <v>3897</v>
      </c>
      <c r="L452" s="37">
        <v>44632.81458333333</v>
      </c>
      <c r="M452" s="23"/>
      <c r="N452" s="23"/>
      <c r="O452" s="23"/>
      <c r="P452" s="23"/>
      <c r="Q452" s="32" t="s">
        <v>3898</v>
      </c>
      <c r="R452" s="32" t="s">
        <v>2455</v>
      </c>
      <c r="S452" s="22" t="s">
        <v>1439</v>
      </c>
      <c r="T452" s="22" t="s">
        <v>252</v>
      </c>
      <c r="U452" s="32" t="s">
        <v>853</v>
      </c>
      <c r="V452" s="23"/>
      <c r="W452" s="23"/>
      <c r="X452" s="23"/>
      <c r="Y452" s="23"/>
      <c r="Z452" s="23"/>
      <c r="AA452" s="23"/>
      <c r="AB452" s="23" t="str">
        <f>IFERROR(__xludf.DUMMYFUNCTION("IF(
ISNUMBER(MATCH(
C452,
IMPORTRANGE(""https://docs.google.com/spreadsheets/d/1yTh1ELC33JHYOeEdgIiEclxPRyh0zOKtlawDltfUay8"",""'Champions'!A:A""),
0
)),
""Outreach Conducted"",
"""")"),"")</f>
        <v/>
      </c>
      <c r="AC452" s="23"/>
      <c r="AD452" s="23"/>
      <c r="AE452" s="23"/>
      <c r="AF452" s="23"/>
      <c r="AG452" s="23"/>
      <c r="AH452" s="23"/>
      <c r="AI452" s="23"/>
      <c r="AJ452" s="23"/>
      <c r="AK452" s="23"/>
      <c r="AL452" s="23"/>
    </row>
    <row r="453" hidden="1">
      <c r="A453" s="32" t="s">
        <v>3899</v>
      </c>
      <c r="B453" s="32" t="s">
        <v>3900</v>
      </c>
      <c r="C453" s="23" t="str">
        <f t="shared" si="1"/>
        <v>Chermain Jennings</v>
      </c>
      <c r="D453" s="32" t="s">
        <v>3901</v>
      </c>
      <c r="E453" s="32" t="s">
        <v>3902</v>
      </c>
      <c r="F453" s="28" t="s">
        <v>769</v>
      </c>
      <c r="G453" s="32">
        <v>622.0</v>
      </c>
      <c r="H453" s="22">
        <f t="array" ref="H453">IFERROR(INDEX('Hub CPC 226'!A:A, MATCH(C453, 'Hub CPC 226'!B:B, 0)), "")</f>
        <v>512</v>
      </c>
      <c r="I453" s="22">
        <f t="array" ref="I453">IFERROR(INDEX('Hub Users 226'!A:A, MATCH(C453, 'Hub Users 226'!B:B, 0)), "")</f>
        <v>2410</v>
      </c>
      <c r="J453" s="22"/>
      <c r="K453" s="23" t="s">
        <v>3903</v>
      </c>
      <c r="L453" s="37">
        <v>44600.854166666664</v>
      </c>
      <c r="M453" s="23"/>
      <c r="N453" s="23"/>
      <c r="O453" s="23"/>
      <c r="P453" s="23"/>
      <c r="Q453" s="32" t="s">
        <v>3904</v>
      </c>
      <c r="R453" s="32" t="s">
        <v>3905</v>
      </c>
      <c r="S453" s="22" t="s">
        <v>3906</v>
      </c>
      <c r="T453" s="22" t="s">
        <v>1450</v>
      </c>
      <c r="U453" s="32" t="s">
        <v>3907</v>
      </c>
      <c r="V453" s="23"/>
      <c r="W453" s="23"/>
      <c r="X453" s="23"/>
      <c r="Y453" s="23"/>
      <c r="Z453" s="23"/>
      <c r="AA453" s="23"/>
      <c r="AB453" s="23" t="str">
        <f>IFERROR(__xludf.DUMMYFUNCTION("IF(
ISNUMBER(MATCH(
C453,
IMPORTRANGE(""https://docs.google.com/spreadsheets/d/1yTh1ELC33JHYOeEdgIiEclxPRyh0zOKtlawDltfUay8"",""'Champions'!A:A""),
0
)),
""Outreach Conducted"",
"""")"),"")</f>
        <v/>
      </c>
      <c r="AC453" s="23"/>
      <c r="AD453" s="23"/>
      <c r="AE453" s="23"/>
      <c r="AF453" s="23"/>
      <c r="AG453" s="23"/>
      <c r="AH453" s="23"/>
      <c r="AI453" s="23"/>
      <c r="AJ453" s="23"/>
      <c r="AK453" s="23"/>
      <c r="AL453" s="23"/>
    </row>
    <row r="454" hidden="1">
      <c r="A454" s="32" t="s">
        <v>3908</v>
      </c>
      <c r="B454" s="32" t="s">
        <v>3909</v>
      </c>
      <c r="C454" s="23" t="str">
        <f t="shared" si="1"/>
        <v>Sandhya Jain-Patel</v>
      </c>
      <c r="D454" s="32" t="s">
        <v>3910</v>
      </c>
      <c r="E454" s="32" t="s">
        <v>3911</v>
      </c>
      <c r="F454" s="28" t="s">
        <v>769</v>
      </c>
      <c r="G454" s="32">
        <v>608.0</v>
      </c>
      <c r="H454" s="22">
        <f t="array" ref="H454">IFERROR(INDEX('Hub CPC 226'!A:A, MATCH(C454, 'Hub CPC 226'!B:B, 0)), "")</f>
        <v>513</v>
      </c>
      <c r="I454" s="22">
        <f t="array" ref="I454">IFERROR(INDEX('Hub Users 226'!A:A, MATCH(C454, 'Hub Users 226'!B:B, 0)), "")</f>
        <v>2411</v>
      </c>
      <c r="J454" s="22"/>
      <c r="K454" s="23" t="s">
        <v>3912</v>
      </c>
      <c r="L454" s="37">
        <v>44585.48819444444</v>
      </c>
      <c r="M454" s="28">
        <v>7.0</v>
      </c>
      <c r="N454" s="28">
        <v>18.0</v>
      </c>
      <c r="O454" s="28">
        <v>50.0</v>
      </c>
      <c r="P454" s="32">
        <v>34.0</v>
      </c>
      <c r="Q454" s="32" t="s">
        <v>3913</v>
      </c>
      <c r="R454" s="32" t="s">
        <v>294</v>
      </c>
      <c r="S454" s="32" t="s">
        <v>294</v>
      </c>
      <c r="T454" s="22" t="s">
        <v>272</v>
      </c>
      <c r="U454" s="32" t="s">
        <v>3914</v>
      </c>
      <c r="V454" s="26" t="s">
        <v>284</v>
      </c>
      <c r="W454" s="27" t="s">
        <v>3915</v>
      </c>
      <c r="X454" s="26" t="s">
        <v>619</v>
      </c>
      <c r="Y454" s="23"/>
      <c r="Z454" s="23"/>
      <c r="AA454" s="23"/>
      <c r="AB454" s="23" t="str">
        <f>IFERROR(__xludf.DUMMYFUNCTION("IF(
ISNUMBER(MATCH(
C454,
IMPORTRANGE(""https://docs.google.com/spreadsheets/d/1yTh1ELC33JHYOeEdgIiEclxPRyh0zOKtlawDltfUay8"",""'Champions'!A:A""),
0
)),
""Outreach Conducted"",
"""")"),"")</f>
        <v/>
      </c>
      <c r="AC454" s="23"/>
      <c r="AD454" s="23"/>
      <c r="AE454" s="23"/>
      <c r="AF454" s="23"/>
      <c r="AG454" s="23"/>
      <c r="AH454" s="23"/>
      <c r="AI454" s="23"/>
      <c r="AJ454" s="23"/>
      <c r="AK454" s="23"/>
      <c r="AL454" s="23"/>
    </row>
    <row r="455" hidden="1">
      <c r="A455" s="32" t="s">
        <v>3916</v>
      </c>
      <c r="B455" s="32" t="s">
        <v>3917</v>
      </c>
      <c r="C455" s="23" t="str">
        <f t="shared" si="1"/>
        <v>GWENDOLYN MURPH</v>
      </c>
      <c r="D455" s="32" t="s">
        <v>3918</v>
      </c>
      <c r="E455" s="32" t="s">
        <v>3919</v>
      </c>
      <c r="F455" s="28" t="s">
        <v>769</v>
      </c>
      <c r="G455" s="32">
        <v>602.0</v>
      </c>
      <c r="H455" s="22">
        <f t="array" ref="H455">IFERROR(INDEX('Hub CPC 226'!A:A, MATCH(C455, 'Hub CPC 226'!B:B, 0)), "")</f>
        <v>514</v>
      </c>
      <c r="I455" s="22">
        <f t="array" ref="I455">IFERROR(INDEX('Hub Users 226'!A:A, MATCH(C455, 'Hub Users 226'!B:B, 0)), "")</f>
        <v>2412</v>
      </c>
      <c r="J455" s="22"/>
      <c r="K455" s="23" t="s">
        <v>3920</v>
      </c>
      <c r="L455" s="37">
        <v>44579.74513888889</v>
      </c>
      <c r="M455" s="28">
        <v>7.0</v>
      </c>
      <c r="N455" s="28">
        <v>25.0</v>
      </c>
      <c r="O455" s="28">
        <v>56.0</v>
      </c>
      <c r="P455" s="32">
        <v>36.0</v>
      </c>
      <c r="Q455" s="32" t="s">
        <v>3921</v>
      </c>
      <c r="R455" s="32" t="s">
        <v>3922</v>
      </c>
      <c r="S455" s="32" t="s">
        <v>294</v>
      </c>
      <c r="T455" s="22" t="s">
        <v>272</v>
      </c>
      <c r="U455" s="32" t="s">
        <v>3923</v>
      </c>
      <c r="V455" s="23"/>
      <c r="W455" s="23"/>
      <c r="X455" s="23"/>
      <c r="Y455" s="23"/>
      <c r="Z455" s="23"/>
      <c r="AA455" s="23"/>
      <c r="AB455" s="23" t="str">
        <f>IFERROR(__xludf.DUMMYFUNCTION("IF(
ISNUMBER(MATCH(
C455,
IMPORTRANGE(""https://docs.google.com/spreadsheets/d/1yTh1ELC33JHYOeEdgIiEclxPRyh0zOKtlawDltfUay8"",""'Champions'!A:A""),
0
)),
""Outreach Conducted"",
"""")"),"")</f>
        <v/>
      </c>
      <c r="AC455" s="23"/>
      <c r="AD455" s="23"/>
      <c r="AE455" s="23"/>
      <c r="AF455" s="23"/>
      <c r="AG455" s="23"/>
      <c r="AH455" s="23"/>
      <c r="AI455" s="23"/>
      <c r="AJ455" s="23"/>
      <c r="AK455" s="23"/>
      <c r="AL455" s="23"/>
    </row>
    <row r="456" hidden="1">
      <c r="A456" s="32" t="s">
        <v>3924</v>
      </c>
      <c r="B456" s="32" t="s">
        <v>2010</v>
      </c>
      <c r="C456" s="23" t="str">
        <f t="shared" si="1"/>
        <v>Luna Martinez</v>
      </c>
      <c r="D456" s="32" t="s">
        <v>3925</v>
      </c>
      <c r="E456" s="32" t="s">
        <v>3926</v>
      </c>
      <c r="F456" s="28" t="s">
        <v>769</v>
      </c>
      <c r="G456" s="32">
        <v>585.0</v>
      </c>
      <c r="H456" s="22">
        <f t="array" ref="H456">IFERROR(INDEX('Hub CPC 226'!A:A, MATCH(C456, 'Hub CPC 226'!B:B, 0)), "")</f>
        <v>515</v>
      </c>
      <c r="I456" s="22">
        <f t="array" ref="I456">IFERROR(INDEX('Hub Users 226'!A:A, MATCH(C456, 'Hub Users 226'!B:B, 0)), "")</f>
        <v>2413</v>
      </c>
      <c r="J456" s="22"/>
      <c r="K456" s="28" t="s">
        <v>3927</v>
      </c>
      <c r="L456" s="37">
        <v>44567.14027777778</v>
      </c>
      <c r="M456" s="28">
        <v>13.0</v>
      </c>
      <c r="N456" s="28">
        <v>30.0</v>
      </c>
      <c r="O456" s="28">
        <v>70.0</v>
      </c>
      <c r="P456" s="32">
        <v>9.0</v>
      </c>
      <c r="Q456" s="32" t="s">
        <v>3928</v>
      </c>
      <c r="R456" s="32" t="s">
        <v>293</v>
      </c>
      <c r="S456" s="22" t="s">
        <v>294</v>
      </c>
      <c r="T456" s="22" t="s">
        <v>272</v>
      </c>
      <c r="U456" s="32" t="s">
        <v>3929</v>
      </c>
      <c r="V456" s="26" t="s">
        <v>284</v>
      </c>
      <c r="W456" s="27" t="s">
        <v>3930</v>
      </c>
      <c r="X456" s="26" t="s">
        <v>3931</v>
      </c>
      <c r="Y456" s="23"/>
      <c r="Z456" s="23"/>
      <c r="AA456" s="23"/>
      <c r="AB456" s="23" t="str">
        <f>IFERROR(__xludf.DUMMYFUNCTION("IF(
ISNUMBER(MATCH(
C456,
IMPORTRANGE(""https://docs.google.com/spreadsheets/d/1yTh1ELC33JHYOeEdgIiEclxPRyh0zOKtlawDltfUay8"",""'Champions'!A:A""),
0
)),
""Outreach Conducted"",
"""")"),"")</f>
        <v/>
      </c>
      <c r="AC456" s="23"/>
      <c r="AD456" s="23"/>
      <c r="AE456" s="23"/>
      <c r="AF456" s="23"/>
      <c r="AG456" s="23"/>
      <c r="AH456" s="23"/>
      <c r="AI456" s="23"/>
      <c r="AJ456" s="23"/>
      <c r="AK456" s="23"/>
      <c r="AL456" s="23"/>
    </row>
    <row r="457" hidden="1">
      <c r="A457" s="32" t="s">
        <v>3932</v>
      </c>
      <c r="B457" s="32" t="s">
        <v>3933</v>
      </c>
      <c r="C457" s="23" t="str">
        <f t="shared" si="1"/>
        <v>Andy Bolanos</v>
      </c>
      <c r="D457" s="32" t="s">
        <v>3934</v>
      </c>
      <c r="E457" s="32" t="s">
        <v>3935</v>
      </c>
      <c r="F457" s="28" t="s">
        <v>769</v>
      </c>
      <c r="G457" s="32">
        <v>550.0</v>
      </c>
      <c r="H457" s="22">
        <f t="array" ref="H457">IFERROR(INDEX('Hub CPC 226'!A:A, MATCH(C457, 'Hub CPC 226'!B:B, 0)), "")</f>
        <v>516</v>
      </c>
      <c r="I457" s="22">
        <f t="array" ref="I457">IFERROR(INDEX('Hub Users 226'!A:A, MATCH(C457, 'Hub Users 226'!B:B, 0)), "")</f>
        <v>2414</v>
      </c>
      <c r="J457" s="22"/>
      <c r="K457" s="28" t="s">
        <v>3936</v>
      </c>
      <c r="L457" s="38">
        <v>44515.47638888889</v>
      </c>
      <c r="M457" s="28">
        <v>6.0</v>
      </c>
      <c r="N457" s="28">
        <v>13.0</v>
      </c>
      <c r="O457" s="28">
        <v>39.0</v>
      </c>
      <c r="P457" s="32">
        <v>25.0</v>
      </c>
      <c r="Q457" s="32" t="s">
        <v>3937</v>
      </c>
      <c r="R457" s="32" t="s">
        <v>1172</v>
      </c>
      <c r="S457" s="32" t="s">
        <v>1173</v>
      </c>
      <c r="T457" s="22" t="s">
        <v>272</v>
      </c>
      <c r="U457" s="32" t="s">
        <v>3938</v>
      </c>
      <c r="V457" s="26" t="s">
        <v>284</v>
      </c>
      <c r="W457" s="27" t="s">
        <v>3939</v>
      </c>
      <c r="X457" s="26" t="s">
        <v>619</v>
      </c>
      <c r="Y457" s="23"/>
      <c r="Z457" s="23"/>
      <c r="AA457" s="23"/>
      <c r="AB457" s="23" t="str">
        <f>IFERROR(__xludf.DUMMYFUNCTION("IF(
ISNUMBER(MATCH(
C457,
IMPORTRANGE(""https://docs.google.com/spreadsheets/d/1yTh1ELC33JHYOeEdgIiEclxPRyh0zOKtlawDltfUay8"",""'Champions'!A:A""),
0
)),
""Outreach Conducted"",
"""")"),"")</f>
        <v/>
      </c>
      <c r="AC457" s="23"/>
      <c r="AD457" s="23"/>
      <c r="AE457" s="23"/>
      <c r="AF457" s="23"/>
      <c r="AG457" s="23"/>
      <c r="AH457" s="23"/>
      <c r="AI457" s="23"/>
      <c r="AJ457" s="23"/>
      <c r="AK457" s="23"/>
      <c r="AL457" s="23"/>
    </row>
    <row r="458" hidden="1">
      <c r="A458" s="32" t="s">
        <v>3940</v>
      </c>
      <c r="B458" s="32" t="s">
        <v>3941</v>
      </c>
      <c r="C458" s="23" t="str">
        <f t="shared" si="1"/>
        <v>Maria G Burn (D)</v>
      </c>
      <c r="D458" s="32" t="s">
        <v>3942</v>
      </c>
      <c r="E458" s="32" t="s">
        <v>3943</v>
      </c>
      <c r="F458" s="28" t="s">
        <v>30</v>
      </c>
      <c r="G458" s="32">
        <v>535.0</v>
      </c>
      <c r="H458" s="22">
        <f t="array" ref="H458">IFERROR(INDEX('Hub CPC 226'!A:A, MATCH(C458, 'Hub CPC 226'!B:B, 0)), "")</f>
        <v>517</v>
      </c>
      <c r="I458" s="22">
        <f t="array" ref="I458">IFERROR(INDEX('Hub Users 226'!A:A, MATCH(C458, 'Hub Users 226'!B:B, 0)), "")</f>
        <v>2415</v>
      </c>
      <c r="J458" s="22"/>
      <c r="K458" s="23" t="s">
        <v>3944</v>
      </c>
      <c r="L458" s="37">
        <v>44504.60625</v>
      </c>
      <c r="M458" s="23"/>
      <c r="N458" s="23"/>
      <c r="O458" s="23"/>
      <c r="P458" s="23"/>
      <c r="Q458" s="32" t="s">
        <v>3945</v>
      </c>
      <c r="R458" s="32" t="s">
        <v>3946</v>
      </c>
      <c r="S458" s="32" t="s">
        <v>3947</v>
      </c>
      <c r="T458" s="22" t="s">
        <v>3688</v>
      </c>
      <c r="U458" s="32" t="s">
        <v>3948</v>
      </c>
      <c r="V458" s="23"/>
      <c r="W458" s="23"/>
      <c r="X458" s="23"/>
      <c r="Y458" s="23"/>
      <c r="Z458" s="23"/>
      <c r="AA458" s="23"/>
      <c r="AB458" s="23" t="str">
        <f>IFERROR(__xludf.DUMMYFUNCTION("IF(
ISNUMBER(MATCH(
C458,
IMPORTRANGE(""https://docs.google.com/spreadsheets/d/1yTh1ELC33JHYOeEdgIiEclxPRyh0zOKtlawDltfUay8"",""'Champions'!A:A""),
0
)),
""Outreach Conducted"",
"""")"),"")</f>
        <v/>
      </c>
      <c r="AC458" s="23"/>
      <c r="AD458" s="23"/>
      <c r="AE458" s="23"/>
      <c r="AF458" s="23"/>
      <c r="AG458" s="23"/>
      <c r="AH458" s="23"/>
      <c r="AI458" s="23"/>
      <c r="AJ458" s="23"/>
      <c r="AK458" s="23"/>
      <c r="AL458" s="23"/>
    </row>
    <row r="459" hidden="1">
      <c r="A459" s="32" t="s">
        <v>3949</v>
      </c>
      <c r="B459" s="32" t="s">
        <v>3949</v>
      </c>
      <c r="C459" s="23" t="str">
        <f t="shared" si="1"/>
        <v>XIONG XIONG</v>
      </c>
      <c r="D459" s="32" t="s">
        <v>3950</v>
      </c>
      <c r="E459" s="32" t="s">
        <v>3951</v>
      </c>
      <c r="F459" s="28" t="s">
        <v>769</v>
      </c>
      <c r="G459" s="32">
        <v>528.0</v>
      </c>
      <c r="H459" s="22">
        <f t="array" ref="H459">IFERROR(INDEX('Hub CPC 226'!A:A, MATCH(C459, 'Hub CPC 226'!B:B, 0)), "")</f>
        <v>518</v>
      </c>
      <c r="I459" s="22">
        <f t="array" ref="I459">IFERROR(INDEX('Hub Users 226'!A:A, MATCH(C459, 'Hub Users 226'!B:B, 0)), "")</f>
        <v>2416</v>
      </c>
      <c r="J459" s="22"/>
      <c r="K459" s="28" t="s">
        <v>3952</v>
      </c>
      <c r="L459" s="38">
        <v>44498.479166666664</v>
      </c>
      <c r="M459" s="28">
        <v>6.0</v>
      </c>
      <c r="N459" s="28">
        <v>16.0</v>
      </c>
      <c r="O459" s="28">
        <v>40.0</v>
      </c>
      <c r="P459" s="32">
        <v>20.0</v>
      </c>
      <c r="Q459" s="32" t="s">
        <v>3953</v>
      </c>
      <c r="R459" s="32" t="s">
        <v>3954</v>
      </c>
      <c r="S459" s="22" t="s">
        <v>1173</v>
      </c>
      <c r="T459" s="22" t="s">
        <v>272</v>
      </c>
      <c r="U459" s="32" t="s">
        <v>3955</v>
      </c>
      <c r="V459" s="26" t="s">
        <v>284</v>
      </c>
      <c r="W459" s="27" t="s">
        <v>3956</v>
      </c>
      <c r="X459" s="26" t="s">
        <v>619</v>
      </c>
      <c r="Y459" s="23"/>
      <c r="Z459" s="23"/>
      <c r="AA459" s="23"/>
      <c r="AB459" s="23" t="str">
        <f>IFERROR(__xludf.DUMMYFUNCTION("IF(
ISNUMBER(MATCH(
C459,
IMPORTRANGE(""https://docs.google.com/spreadsheets/d/1yTh1ELC33JHYOeEdgIiEclxPRyh0zOKtlawDltfUay8"",""'Champions'!A:A""),
0
)),
""Outreach Conducted"",
"""")"),"")</f>
        <v/>
      </c>
      <c r="AC459" s="23"/>
      <c r="AD459" s="23"/>
      <c r="AE459" s="23"/>
      <c r="AF459" s="23"/>
      <c r="AG459" s="23"/>
      <c r="AH459" s="23"/>
      <c r="AI459" s="23"/>
      <c r="AJ459" s="23"/>
      <c r="AK459" s="23"/>
      <c r="AL459" s="23"/>
    </row>
    <row r="460" hidden="1">
      <c r="A460" s="32" t="s">
        <v>3957</v>
      </c>
      <c r="B460" s="32" t="s">
        <v>3958</v>
      </c>
      <c r="C460" s="23" t="str">
        <f t="shared" si="1"/>
        <v>SANTOSH KC</v>
      </c>
      <c r="D460" s="32" t="s">
        <v>3959</v>
      </c>
      <c r="E460" s="32" t="s">
        <v>3960</v>
      </c>
      <c r="F460" s="28" t="s">
        <v>769</v>
      </c>
      <c r="G460" s="32">
        <v>526.0</v>
      </c>
      <c r="H460" s="22">
        <f t="array" ref="H460">IFERROR(INDEX('Hub CPC 226'!A:A, MATCH(C460, 'Hub CPC 226'!B:B, 0)), "")</f>
        <v>519</v>
      </c>
      <c r="I460" s="22">
        <f t="array" ref="I460">IFERROR(INDEX('Hub Users 226'!A:A, MATCH(C460, 'Hub Users 226'!B:B, 0)), "")</f>
        <v>2417</v>
      </c>
      <c r="J460" s="22"/>
      <c r="K460" s="23" t="s">
        <v>3961</v>
      </c>
      <c r="L460" s="38">
        <v>44494.600694444445</v>
      </c>
      <c r="M460" s="28">
        <v>6.0</v>
      </c>
      <c r="N460" s="28">
        <v>14.0</v>
      </c>
      <c r="O460" s="28">
        <v>27.0</v>
      </c>
      <c r="P460" s="32">
        <v>24.0</v>
      </c>
      <c r="Q460" s="32" t="s">
        <v>3962</v>
      </c>
      <c r="R460" s="32" t="s">
        <v>2155</v>
      </c>
      <c r="S460" s="22" t="s">
        <v>1173</v>
      </c>
      <c r="T460" s="22" t="s">
        <v>272</v>
      </c>
      <c r="U460" s="32" t="s">
        <v>3963</v>
      </c>
      <c r="V460" s="23"/>
      <c r="W460" s="23"/>
      <c r="X460" s="23"/>
      <c r="Y460" s="23"/>
      <c r="Z460" s="23"/>
      <c r="AA460" s="23"/>
      <c r="AB460" s="23" t="str">
        <f>IFERROR(__xludf.DUMMYFUNCTION("IF(
ISNUMBER(MATCH(
C460,
IMPORTRANGE(""https://docs.google.com/spreadsheets/d/1yTh1ELC33JHYOeEdgIiEclxPRyh0zOKtlawDltfUay8"",""'Champions'!A:A""),
0
)),
""Outreach Conducted"",
"""")"),"")</f>
        <v/>
      </c>
      <c r="AC460" s="23"/>
      <c r="AD460" s="23"/>
      <c r="AE460" s="23"/>
      <c r="AF460" s="23"/>
      <c r="AG460" s="23"/>
      <c r="AH460" s="23"/>
      <c r="AI460" s="23"/>
      <c r="AJ460" s="23"/>
      <c r="AK460" s="23"/>
      <c r="AL460" s="23"/>
    </row>
    <row r="461" hidden="1">
      <c r="A461" s="32" t="s">
        <v>3964</v>
      </c>
      <c r="B461" s="32" t="s">
        <v>2858</v>
      </c>
      <c r="C461" s="23" t="str">
        <f t="shared" si="1"/>
        <v>Johnny Wang</v>
      </c>
      <c r="D461" s="32" t="s">
        <v>3965</v>
      </c>
      <c r="E461" s="32" t="s">
        <v>3966</v>
      </c>
      <c r="F461" s="28" t="s">
        <v>769</v>
      </c>
      <c r="G461" s="32">
        <v>525.0</v>
      </c>
      <c r="H461" s="22">
        <f t="array" ref="H461">IFERROR(INDEX('Hub CPC 226'!A:A, MATCH(C461, 'Hub CPC 226'!B:B, 0)), "")</f>
        <v>520</v>
      </c>
      <c r="I461" s="22">
        <f t="array" ref="I461">IFERROR(INDEX('Hub Users 226'!A:A, MATCH(C461, 'Hub Users 226'!B:B, 0)), "")</f>
        <v>2418</v>
      </c>
      <c r="J461" s="22"/>
      <c r="K461" s="28" t="s">
        <v>3967</v>
      </c>
      <c r="L461" s="38">
        <v>44494.55069444444</v>
      </c>
      <c r="M461" s="28">
        <v>6.0</v>
      </c>
      <c r="N461" s="28">
        <v>16.0</v>
      </c>
      <c r="O461" s="28">
        <v>40.0</v>
      </c>
      <c r="P461" s="32">
        <v>20.0</v>
      </c>
      <c r="Q461" s="32" t="s">
        <v>3968</v>
      </c>
      <c r="R461" s="32" t="s">
        <v>3968</v>
      </c>
      <c r="S461" s="22" t="s">
        <v>1173</v>
      </c>
      <c r="T461" s="22" t="s">
        <v>272</v>
      </c>
      <c r="U461" s="32" t="s">
        <v>3969</v>
      </c>
      <c r="V461" s="26" t="s">
        <v>284</v>
      </c>
      <c r="W461" s="27" t="s">
        <v>3970</v>
      </c>
      <c r="X461" s="26" t="s">
        <v>619</v>
      </c>
      <c r="Y461" s="23"/>
      <c r="Z461" s="23"/>
      <c r="AA461" s="23"/>
      <c r="AB461" s="23" t="str">
        <f>IFERROR(__xludf.DUMMYFUNCTION("IF(
ISNUMBER(MATCH(
C461,
IMPORTRANGE(""https://docs.google.com/spreadsheets/d/1yTh1ELC33JHYOeEdgIiEclxPRyh0zOKtlawDltfUay8"",""'Champions'!A:A""),
0
)),
""Outreach Conducted"",
"""")"),"")</f>
        <v/>
      </c>
      <c r="AC461" s="23"/>
      <c r="AD461" s="23"/>
      <c r="AE461" s="23"/>
      <c r="AF461" s="23"/>
      <c r="AG461" s="23"/>
      <c r="AH461" s="23"/>
      <c r="AI461" s="23"/>
      <c r="AJ461" s="23"/>
      <c r="AK461" s="23"/>
      <c r="AL461" s="23"/>
    </row>
    <row r="462" hidden="1">
      <c r="A462" s="32" t="s">
        <v>3971</v>
      </c>
      <c r="B462" s="32" t="s">
        <v>3972</v>
      </c>
      <c r="C462" s="23" t="str">
        <f t="shared" si="1"/>
        <v>DAVID LOAIZA</v>
      </c>
      <c r="D462" s="32" t="s">
        <v>3973</v>
      </c>
      <c r="E462" s="32" t="s">
        <v>3974</v>
      </c>
      <c r="F462" s="28" t="s">
        <v>769</v>
      </c>
      <c r="G462" s="32">
        <v>524.0</v>
      </c>
      <c r="H462" s="22">
        <f t="array" ref="H462">IFERROR(INDEX('Hub CPC 226'!A:A, MATCH(C462, 'Hub CPC 226'!B:B, 0)), "")</f>
        <v>521</v>
      </c>
      <c r="I462" s="22">
        <f t="array" ref="I462">IFERROR(INDEX('Hub Users 226'!A:A, MATCH(C462, 'Hub Users 226'!B:B, 0)), "")</f>
        <v>2419</v>
      </c>
      <c r="J462" s="22"/>
      <c r="K462" s="28" t="s">
        <v>3975</v>
      </c>
      <c r="L462" s="38">
        <v>44494.46527777778</v>
      </c>
      <c r="M462" s="28">
        <v>6.0</v>
      </c>
      <c r="N462" s="28">
        <v>16.0</v>
      </c>
      <c r="O462" s="28">
        <v>40.0</v>
      </c>
      <c r="P462" s="32">
        <v>20.0</v>
      </c>
      <c r="Q462" s="32" t="s">
        <v>3976</v>
      </c>
      <c r="R462" s="32" t="s">
        <v>3977</v>
      </c>
      <c r="S462" s="22" t="s">
        <v>1173</v>
      </c>
      <c r="T462" s="22" t="s">
        <v>272</v>
      </c>
      <c r="U462" s="32" t="s">
        <v>3955</v>
      </c>
      <c r="V462" s="26" t="s">
        <v>284</v>
      </c>
      <c r="W462" s="27" t="s">
        <v>3978</v>
      </c>
      <c r="X462" s="26" t="s">
        <v>619</v>
      </c>
      <c r="Y462" s="23"/>
      <c r="Z462" s="23"/>
      <c r="AA462" s="23"/>
      <c r="AB462" s="23" t="str">
        <f>IFERROR(__xludf.DUMMYFUNCTION("IF(
ISNUMBER(MATCH(
C462,
IMPORTRANGE(""https://docs.google.com/spreadsheets/d/1yTh1ELC33JHYOeEdgIiEclxPRyh0zOKtlawDltfUay8"",""'Champions'!A:A""),
0
)),
""Outreach Conducted"",
"""")"),"")</f>
        <v/>
      </c>
      <c r="AC462" s="23"/>
      <c r="AD462" s="23"/>
      <c r="AE462" s="23"/>
      <c r="AF462" s="23"/>
      <c r="AG462" s="23"/>
      <c r="AH462" s="23"/>
      <c r="AI462" s="23"/>
      <c r="AJ462" s="23"/>
      <c r="AK462" s="23"/>
      <c r="AL462" s="23"/>
    </row>
    <row r="463" hidden="1">
      <c r="A463" s="32" t="s">
        <v>3979</v>
      </c>
      <c r="B463" s="32" t="s">
        <v>3980</v>
      </c>
      <c r="C463" s="23" t="str">
        <f t="shared" si="1"/>
        <v>Kenya Medina</v>
      </c>
      <c r="D463" s="32" t="s">
        <v>3981</v>
      </c>
      <c r="E463" s="32" t="s">
        <v>3982</v>
      </c>
      <c r="F463" s="28" t="s">
        <v>769</v>
      </c>
      <c r="G463" s="32">
        <v>519.0</v>
      </c>
      <c r="H463" s="22">
        <f t="array" ref="H463">IFERROR(INDEX('Hub CPC 226'!A:A, MATCH(C463, 'Hub CPC 226'!B:B, 0)), "")</f>
        <v>522</v>
      </c>
      <c r="I463" s="22">
        <f t="array" ref="I463">IFERROR(INDEX('Hub Users 226'!A:A, MATCH(C463, 'Hub Users 226'!B:B, 0)), "")</f>
        <v>2420</v>
      </c>
      <c r="J463" s="22"/>
      <c r="K463" s="23" t="s">
        <v>3983</v>
      </c>
      <c r="L463" s="38">
        <v>44488.90138888889</v>
      </c>
      <c r="M463" s="28">
        <v>14.0</v>
      </c>
      <c r="N463" s="28">
        <v>13.0</v>
      </c>
      <c r="O463" s="28">
        <v>34.0</v>
      </c>
      <c r="P463" s="32">
        <v>25.0</v>
      </c>
      <c r="Q463" s="32" t="s">
        <v>3984</v>
      </c>
      <c r="R463" s="32" t="s">
        <v>271</v>
      </c>
      <c r="S463" s="22" t="s">
        <v>1173</v>
      </c>
      <c r="T463" s="22" t="s">
        <v>272</v>
      </c>
      <c r="U463" s="32" t="s">
        <v>3985</v>
      </c>
      <c r="V463" s="26" t="s">
        <v>284</v>
      </c>
      <c r="W463" s="27" t="s">
        <v>3986</v>
      </c>
      <c r="X463" s="26" t="s">
        <v>619</v>
      </c>
      <c r="Y463" s="23"/>
      <c r="Z463" s="23"/>
      <c r="AA463" s="23"/>
      <c r="AB463" s="23" t="str">
        <f>IFERROR(__xludf.DUMMYFUNCTION("IF(
ISNUMBER(MATCH(
C463,
IMPORTRANGE(""https://docs.google.com/spreadsheets/d/1yTh1ELC33JHYOeEdgIiEclxPRyh0zOKtlawDltfUay8"",""'Champions'!A:A""),
0
)),
""Outreach Conducted"",
"""")"),"")</f>
        <v/>
      </c>
      <c r="AC463" s="23"/>
      <c r="AD463" s="23"/>
      <c r="AE463" s="23"/>
      <c r="AF463" s="23"/>
      <c r="AG463" s="23"/>
      <c r="AH463" s="23"/>
      <c r="AI463" s="23"/>
      <c r="AJ463" s="23"/>
      <c r="AK463" s="23"/>
      <c r="AL463" s="23"/>
    </row>
    <row r="464" hidden="1">
      <c r="A464" s="32" t="s">
        <v>3987</v>
      </c>
      <c r="B464" s="32" t="s">
        <v>3988</v>
      </c>
      <c r="C464" s="23" t="str">
        <f t="shared" si="1"/>
        <v>Melanie Nunez</v>
      </c>
      <c r="D464" s="32" t="s">
        <v>3989</v>
      </c>
      <c r="E464" s="32" t="s">
        <v>3990</v>
      </c>
      <c r="F464" s="28" t="s">
        <v>2536</v>
      </c>
      <c r="G464" s="32">
        <v>499.0</v>
      </c>
      <c r="H464" s="22">
        <f t="array" ref="H464">IFERROR(INDEX('Hub CPC 226'!A:A, MATCH(C464, 'Hub CPC 226'!B:B, 0)), "")</f>
        <v>523</v>
      </c>
      <c r="I464" s="22">
        <f t="array" ref="I464">IFERROR(INDEX('Hub Users 226'!A:A, MATCH(C464, 'Hub Users 226'!B:B, 0)), "")</f>
        <v>2422</v>
      </c>
      <c r="J464" s="22"/>
      <c r="K464" s="23" t="s">
        <v>3991</v>
      </c>
      <c r="L464" s="37">
        <v>44456.525</v>
      </c>
      <c r="M464" s="23"/>
      <c r="N464" s="23"/>
      <c r="O464" s="23"/>
      <c r="P464" s="23"/>
      <c r="Q464" s="32" t="s">
        <v>3992</v>
      </c>
      <c r="R464" s="32" t="s">
        <v>3993</v>
      </c>
      <c r="S464" s="32" t="s">
        <v>3994</v>
      </c>
      <c r="T464" s="22" t="s">
        <v>252</v>
      </c>
      <c r="U464" s="32" t="s">
        <v>3995</v>
      </c>
      <c r="V464" s="23"/>
      <c r="W464" s="23"/>
      <c r="X464" s="23"/>
      <c r="Y464" s="23"/>
      <c r="Z464" s="23"/>
      <c r="AA464" s="23"/>
      <c r="AB464" s="23" t="str">
        <f>IFERROR(__xludf.DUMMYFUNCTION("IF(
ISNUMBER(MATCH(
C464,
IMPORTRANGE(""https://docs.google.com/spreadsheets/d/1yTh1ELC33JHYOeEdgIiEclxPRyh0zOKtlawDltfUay8"",""'Champions'!A:A""),
0
)),
""Outreach Conducted"",
"""")"),"")</f>
        <v/>
      </c>
      <c r="AC464" s="23"/>
      <c r="AD464" s="23"/>
      <c r="AE464" s="23"/>
      <c r="AF464" s="23"/>
      <c r="AG464" s="23"/>
      <c r="AH464" s="23"/>
      <c r="AI464" s="23"/>
      <c r="AJ464" s="23"/>
      <c r="AK464" s="23"/>
      <c r="AL464" s="23"/>
    </row>
    <row r="465" hidden="1">
      <c r="A465" s="32" t="s">
        <v>3996</v>
      </c>
      <c r="B465" s="32" t="s">
        <v>3997</v>
      </c>
      <c r="C465" s="23" t="str">
        <f t="shared" si="1"/>
        <v>Brian Blackwell</v>
      </c>
      <c r="D465" s="32" t="s">
        <v>3998</v>
      </c>
      <c r="E465" s="32" t="s">
        <v>3999</v>
      </c>
      <c r="F465" s="28" t="s">
        <v>769</v>
      </c>
      <c r="G465" s="32">
        <v>494.0</v>
      </c>
      <c r="H465" s="22">
        <f t="array" ref="H465">IFERROR(INDEX('Hub CPC 226'!A:A, MATCH(C465, 'Hub CPC 226'!B:B, 0)), "")</f>
        <v>524</v>
      </c>
      <c r="I465" s="22">
        <f t="array" ref="I465">IFERROR(INDEX('Hub Users 226'!A:A, MATCH(C465, 'Hub Users 226'!B:B, 0)), "")</f>
        <v>2423</v>
      </c>
      <c r="J465" s="22"/>
      <c r="K465" s="23" t="s">
        <v>4000</v>
      </c>
      <c r="L465" s="37">
        <v>44438.44861111111</v>
      </c>
      <c r="M465" s="23"/>
      <c r="N465" s="23"/>
      <c r="O465" s="23"/>
      <c r="P465" s="23"/>
      <c r="Q465" s="32" t="s">
        <v>4001</v>
      </c>
      <c r="R465" s="32" t="s">
        <v>4002</v>
      </c>
      <c r="S465" s="32" t="s">
        <v>4003</v>
      </c>
      <c r="T465" s="22" t="s">
        <v>381</v>
      </c>
      <c r="U465" s="32" t="s">
        <v>4004</v>
      </c>
      <c r="V465" s="26" t="s">
        <v>284</v>
      </c>
      <c r="W465" s="27" t="s">
        <v>4005</v>
      </c>
      <c r="X465" s="26" t="s">
        <v>421</v>
      </c>
      <c r="Y465" s="23"/>
      <c r="Z465" s="28"/>
      <c r="AA465" s="23"/>
      <c r="AB465" s="23" t="str">
        <f>IFERROR(__xludf.DUMMYFUNCTION("IF(
ISNUMBER(MATCH(
C465,
IMPORTRANGE(""https://docs.google.com/spreadsheets/d/1yTh1ELC33JHYOeEdgIiEclxPRyh0zOKtlawDltfUay8"",""'Champions'!A:A""),
0
)),
""Outreach Conducted"",
"""")"),"")</f>
        <v/>
      </c>
      <c r="AC465" s="23"/>
      <c r="AD465" s="23"/>
      <c r="AE465" s="23"/>
      <c r="AF465" s="23"/>
      <c r="AG465" s="23"/>
      <c r="AH465" s="23"/>
      <c r="AI465" s="23"/>
      <c r="AJ465" s="23"/>
      <c r="AK465" s="23"/>
      <c r="AL465" s="23"/>
    </row>
    <row r="466" hidden="1">
      <c r="A466" s="32" t="s">
        <v>2074</v>
      </c>
      <c r="B466" s="32" t="s">
        <v>4006</v>
      </c>
      <c r="C466" s="23" t="str">
        <f t="shared" si="1"/>
        <v>Lauren Wegner</v>
      </c>
      <c r="D466" s="32" t="s">
        <v>4007</v>
      </c>
      <c r="E466" s="32" t="s">
        <v>4008</v>
      </c>
      <c r="F466" s="28" t="s">
        <v>769</v>
      </c>
      <c r="G466" s="32">
        <v>478.0</v>
      </c>
      <c r="H466" s="22">
        <f t="array" ref="H466">IFERROR(INDEX('Hub CPC 226'!A:A, MATCH(C466, 'Hub CPC 226'!B:B, 0)), "")</f>
        <v>525</v>
      </c>
      <c r="I466" s="22">
        <f t="array" ref="I466">IFERROR(INDEX('Hub Users 226'!A:A, MATCH(C466, 'Hub Users 226'!B:B, 0)), "")</f>
        <v>2424</v>
      </c>
      <c r="J466" s="22"/>
      <c r="K466" s="23" t="s">
        <v>4009</v>
      </c>
      <c r="L466" s="37">
        <v>44357.79583333333</v>
      </c>
      <c r="M466" s="23"/>
      <c r="N466" s="23"/>
      <c r="O466" s="23"/>
      <c r="P466" s="23"/>
      <c r="Q466" s="32" t="s">
        <v>4010</v>
      </c>
      <c r="R466" s="32" t="s">
        <v>1372</v>
      </c>
      <c r="S466" s="22" t="s">
        <v>1371</v>
      </c>
      <c r="T466" s="22" t="s">
        <v>1372</v>
      </c>
      <c r="U466" s="32" t="s">
        <v>4011</v>
      </c>
      <c r="V466" s="23"/>
      <c r="W466" s="23"/>
      <c r="X466" s="23"/>
      <c r="Y466" s="23"/>
      <c r="Z466" s="23"/>
      <c r="AA466" s="23"/>
      <c r="AB466" s="23" t="str">
        <f>IFERROR(__xludf.DUMMYFUNCTION("IF(
ISNUMBER(MATCH(
C466,
IMPORTRANGE(""https://docs.google.com/spreadsheets/d/1yTh1ELC33JHYOeEdgIiEclxPRyh0zOKtlawDltfUay8"",""'Champions'!A:A""),
0
)),
""Outreach Conducted"",
"""")"),"")</f>
        <v/>
      </c>
      <c r="AC466" s="23"/>
      <c r="AD466" s="23"/>
      <c r="AE466" s="23"/>
      <c r="AF466" s="23"/>
      <c r="AG466" s="23"/>
      <c r="AH466" s="23"/>
      <c r="AI466" s="23"/>
      <c r="AJ466" s="23"/>
      <c r="AK466" s="23"/>
      <c r="AL466" s="23"/>
    </row>
    <row r="467" hidden="1">
      <c r="A467" s="32" t="s">
        <v>3735</v>
      </c>
      <c r="B467" s="32" t="s">
        <v>4012</v>
      </c>
      <c r="C467" s="23" t="str">
        <f t="shared" si="1"/>
        <v>Gary Ballensweig</v>
      </c>
      <c r="D467" s="32" t="s">
        <v>4013</v>
      </c>
      <c r="E467" s="32" t="s">
        <v>4014</v>
      </c>
      <c r="F467" s="28" t="s">
        <v>769</v>
      </c>
      <c r="G467" s="32">
        <v>472.0</v>
      </c>
      <c r="H467" s="22">
        <f t="array" ref="H467">IFERROR(INDEX('Hub CPC 226'!A:A, MATCH(C467, 'Hub CPC 226'!B:B, 0)), "")</f>
        <v>526</v>
      </c>
      <c r="I467" s="22">
        <f t="array" ref="I467">IFERROR(INDEX('Hub Users 226'!A:A, MATCH(C467, 'Hub Users 226'!B:B, 0)), "")</f>
        <v>2425</v>
      </c>
      <c r="J467" s="22"/>
      <c r="K467" s="23" t="s">
        <v>4015</v>
      </c>
      <c r="L467" s="37">
        <v>44326.540972222225</v>
      </c>
      <c r="M467" s="28">
        <v>3.0</v>
      </c>
      <c r="N467" s="28">
        <v>7.0</v>
      </c>
      <c r="O467" s="28">
        <v>15.0</v>
      </c>
      <c r="P467" s="31"/>
      <c r="Q467" s="32" t="s">
        <v>4016</v>
      </c>
      <c r="R467" s="32" t="s">
        <v>4017</v>
      </c>
      <c r="S467" s="32" t="s">
        <v>4018</v>
      </c>
      <c r="T467" s="22" t="s">
        <v>272</v>
      </c>
      <c r="U467" s="32" t="s">
        <v>4019</v>
      </c>
      <c r="V467" s="23"/>
      <c r="W467" s="23"/>
      <c r="X467" s="23"/>
      <c r="Y467" s="23"/>
      <c r="Z467" s="23"/>
      <c r="AA467" s="23"/>
      <c r="AB467" s="23" t="str">
        <f>IFERROR(__xludf.DUMMYFUNCTION("IF(
ISNUMBER(MATCH(
C467,
IMPORTRANGE(""https://docs.google.com/spreadsheets/d/1yTh1ELC33JHYOeEdgIiEclxPRyh0zOKtlawDltfUay8"",""'Champions'!A:A""),
0
)),
""Outreach Conducted"",
"""")"),"")</f>
        <v/>
      </c>
      <c r="AC467" s="23"/>
      <c r="AD467" s="23"/>
      <c r="AE467" s="23"/>
      <c r="AF467" s="23"/>
      <c r="AG467" s="23"/>
      <c r="AH467" s="23"/>
      <c r="AI467" s="23"/>
      <c r="AJ467" s="23"/>
      <c r="AK467" s="23"/>
      <c r="AL467" s="23"/>
    </row>
    <row r="468" hidden="1">
      <c r="A468" s="32" t="s">
        <v>4020</v>
      </c>
      <c r="B468" s="32" t="s">
        <v>4021</v>
      </c>
      <c r="C468" s="23" t="str">
        <f t="shared" si="1"/>
        <v>Ammarah Shaikh</v>
      </c>
      <c r="D468" s="32" t="s">
        <v>4022</v>
      </c>
      <c r="E468" s="32" t="s">
        <v>4023</v>
      </c>
      <c r="F468" s="28" t="s">
        <v>769</v>
      </c>
      <c r="G468" s="32">
        <v>463.0</v>
      </c>
      <c r="H468" s="22">
        <f t="array" ref="H468">IFERROR(INDEX('Hub CPC 226'!A:A, MATCH(C468, 'Hub CPC 226'!B:B, 0)), "")</f>
        <v>527</v>
      </c>
      <c r="I468" s="22">
        <f t="array" ref="I468">IFERROR(INDEX('Hub Users 226'!A:A, MATCH(C468, 'Hub Users 226'!B:B, 0)), "")</f>
        <v>2426</v>
      </c>
      <c r="J468" s="22"/>
      <c r="K468" s="23" t="s">
        <v>4024</v>
      </c>
      <c r="L468" s="37">
        <v>44274.72638888889</v>
      </c>
      <c r="M468" s="23"/>
      <c r="N468" s="23"/>
      <c r="O468" s="23"/>
      <c r="P468" s="23"/>
      <c r="Q468" s="32" t="s">
        <v>4025</v>
      </c>
      <c r="R468" s="32" t="s">
        <v>4026</v>
      </c>
      <c r="S468" s="32" t="s">
        <v>1439</v>
      </c>
      <c r="T468" s="22" t="s">
        <v>252</v>
      </c>
      <c r="U468" s="32" t="s">
        <v>4027</v>
      </c>
      <c r="V468" s="26" t="s">
        <v>360</v>
      </c>
      <c r="W468" s="27" t="s">
        <v>4028</v>
      </c>
      <c r="X468" s="26" t="s">
        <v>2141</v>
      </c>
      <c r="Y468" s="23"/>
      <c r="Z468" s="28"/>
      <c r="AA468" s="23"/>
      <c r="AB468" s="23" t="str">
        <f>IFERROR(__xludf.DUMMYFUNCTION("IF(
ISNUMBER(MATCH(
C468,
IMPORTRANGE(""https://docs.google.com/spreadsheets/d/1yTh1ELC33JHYOeEdgIiEclxPRyh0zOKtlawDltfUay8"",""'Champions'!A:A""),
0
)),
""Outreach Conducted"",
"""")"),"")</f>
        <v/>
      </c>
      <c r="AC468" s="23"/>
      <c r="AD468" s="23"/>
      <c r="AE468" s="23"/>
      <c r="AF468" s="23"/>
      <c r="AG468" s="23"/>
      <c r="AH468" s="23"/>
      <c r="AI468" s="23"/>
      <c r="AJ468" s="23"/>
      <c r="AK468" s="23"/>
      <c r="AL468" s="23"/>
    </row>
    <row r="469" hidden="1">
      <c r="A469" s="32" t="s">
        <v>4029</v>
      </c>
      <c r="B469" s="32" t="s">
        <v>4030</v>
      </c>
      <c r="C469" s="23" t="str">
        <f t="shared" si="1"/>
        <v>Behraam Baqai</v>
      </c>
      <c r="D469" s="32" t="s">
        <v>4031</v>
      </c>
      <c r="E469" s="32" t="s">
        <v>4032</v>
      </c>
      <c r="F469" s="28" t="s">
        <v>769</v>
      </c>
      <c r="G469" s="32">
        <v>462.0</v>
      </c>
      <c r="H469" s="22">
        <f t="array" ref="H469">IFERROR(INDEX('Hub CPC 226'!A:A, MATCH(C469, 'Hub CPC 226'!B:B, 0)), "")</f>
        <v>528</v>
      </c>
      <c r="I469" s="22">
        <f t="array" ref="I469">IFERROR(INDEX('Hub Users 226'!A:A, MATCH(C469, 'Hub Users 226'!B:B, 0)), "")</f>
        <v>2427</v>
      </c>
      <c r="J469" s="22"/>
      <c r="K469" s="23" t="s">
        <v>4033</v>
      </c>
      <c r="L469" s="37">
        <v>44274.7125</v>
      </c>
      <c r="M469" s="23"/>
      <c r="N469" s="23"/>
      <c r="O469" s="23"/>
      <c r="P469" s="23"/>
      <c r="Q469" s="32" t="s">
        <v>4034</v>
      </c>
      <c r="R469" s="32" t="s">
        <v>2455</v>
      </c>
      <c r="S469" s="32" t="s">
        <v>1439</v>
      </c>
      <c r="T469" s="22" t="s">
        <v>252</v>
      </c>
      <c r="U469" s="32" t="s">
        <v>4035</v>
      </c>
      <c r="V469" s="26" t="s">
        <v>360</v>
      </c>
      <c r="W469" s="27" t="s">
        <v>4036</v>
      </c>
      <c r="X469" s="26" t="s">
        <v>421</v>
      </c>
      <c r="Y469" s="23"/>
      <c r="Z469" s="23"/>
      <c r="AA469" s="23"/>
      <c r="AB469" s="23" t="str">
        <f>IFERROR(__xludf.DUMMYFUNCTION("IF(
ISNUMBER(MATCH(
C469,
IMPORTRANGE(""https://docs.google.com/spreadsheets/d/1yTh1ELC33JHYOeEdgIiEclxPRyh0zOKtlawDltfUay8"",""'Champions'!A:A""),
0
)),
""Outreach Conducted"",
"""")"),"")</f>
        <v/>
      </c>
      <c r="AC469" s="23"/>
      <c r="AD469" s="23"/>
      <c r="AE469" s="23"/>
      <c r="AF469" s="23"/>
      <c r="AG469" s="23"/>
      <c r="AH469" s="23"/>
      <c r="AI469" s="23"/>
      <c r="AJ469" s="23"/>
      <c r="AK469" s="23"/>
      <c r="AL469" s="23"/>
    </row>
    <row r="470" hidden="1">
      <c r="A470" s="32" t="s">
        <v>2485</v>
      </c>
      <c r="B470" s="32" t="s">
        <v>4037</v>
      </c>
      <c r="C470" s="23" t="str">
        <f t="shared" si="1"/>
        <v>Mohammed Jamal</v>
      </c>
      <c r="D470" s="32" t="s">
        <v>4038</v>
      </c>
      <c r="E470" s="32" t="s">
        <v>4039</v>
      </c>
      <c r="F470" s="28" t="s">
        <v>769</v>
      </c>
      <c r="G470" s="32">
        <v>460.0</v>
      </c>
      <c r="H470" s="22">
        <f t="array" ref="H470">IFERROR(INDEX('Hub CPC 226'!A:A, MATCH(C470, 'Hub CPC 226'!B:B, 0)), "")</f>
        <v>529</v>
      </c>
      <c r="I470" s="22">
        <f t="array" ref="I470">IFERROR(INDEX('Hub Users 226'!A:A, MATCH(C470, 'Hub Users 226'!B:B, 0)), "")</f>
        <v>2428</v>
      </c>
      <c r="J470" s="22"/>
      <c r="K470" s="23" t="s">
        <v>4040</v>
      </c>
      <c r="L470" s="37">
        <v>44273.81041666667</v>
      </c>
      <c r="M470" s="23"/>
      <c r="N470" s="23"/>
      <c r="O470" s="23"/>
      <c r="P470" s="23"/>
      <c r="Q470" s="32" t="s">
        <v>4041</v>
      </c>
      <c r="R470" s="32" t="s">
        <v>2022</v>
      </c>
      <c r="S470" s="32" t="s">
        <v>2023</v>
      </c>
      <c r="T470" s="22" t="s">
        <v>465</v>
      </c>
      <c r="U470" s="32" t="s">
        <v>4042</v>
      </c>
      <c r="V470" s="23"/>
      <c r="W470" s="23"/>
      <c r="X470" s="23"/>
      <c r="Y470" s="23"/>
      <c r="Z470" s="23"/>
      <c r="AA470" s="23"/>
      <c r="AB470" s="23" t="str">
        <f>IFERROR(__xludf.DUMMYFUNCTION("IF(
ISNUMBER(MATCH(
C470,
IMPORTRANGE(""https://docs.google.com/spreadsheets/d/1yTh1ELC33JHYOeEdgIiEclxPRyh0zOKtlawDltfUay8"",""'Champions'!A:A""),
0
)),
""Outreach Conducted"",
"""")"),"")</f>
        <v/>
      </c>
      <c r="AC470" s="23"/>
      <c r="AD470" s="23"/>
      <c r="AE470" s="23"/>
      <c r="AF470" s="23"/>
      <c r="AG470" s="23"/>
      <c r="AH470" s="23"/>
      <c r="AI470" s="23"/>
      <c r="AJ470" s="23"/>
      <c r="AK470" s="23"/>
      <c r="AL470" s="23"/>
    </row>
    <row r="471" hidden="1">
      <c r="A471" s="32" t="s">
        <v>1045</v>
      </c>
      <c r="B471" s="32" t="s">
        <v>4043</v>
      </c>
      <c r="C471" s="23" t="str">
        <f t="shared" si="1"/>
        <v>Danielle Flood</v>
      </c>
      <c r="D471" s="32" t="s">
        <v>4044</v>
      </c>
      <c r="E471" s="32" t="s">
        <v>4045</v>
      </c>
      <c r="F471" s="28" t="s">
        <v>769</v>
      </c>
      <c r="G471" s="32">
        <v>454.0</v>
      </c>
      <c r="H471" s="22">
        <f t="array" ref="H471">IFERROR(INDEX('Hub CPC 226'!A:A, MATCH(C471, 'Hub CPC 226'!B:B, 0)), "")</f>
        <v>530</v>
      </c>
      <c r="I471" s="22">
        <f t="array" ref="I471">IFERROR(INDEX('Hub Users 226'!A:A, MATCH(C471, 'Hub Users 226'!B:B, 0)), "")</f>
        <v>2429</v>
      </c>
      <c r="J471" s="22"/>
      <c r="K471" s="23" t="s">
        <v>4046</v>
      </c>
      <c r="L471" s="37">
        <v>44246.864583333336</v>
      </c>
      <c r="M471" s="23"/>
      <c r="N471" s="23"/>
      <c r="O471" s="23"/>
      <c r="P471" s="23"/>
      <c r="Q471" s="32" t="s">
        <v>4047</v>
      </c>
      <c r="R471" s="32" t="s">
        <v>4048</v>
      </c>
      <c r="S471" s="32" t="s">
        <v>4048</v>
      </c>
      <c r="T471" s="22" t="s">
        <v>241</v>
      </c>
      <c r="U471" s="32" t="s">
        <v>4049</v>
      </c>
      <c r="V471" s="26" t="s">
        <v>360</v>
      </c>
      <c r="W471" s="27" t="s">
        <v>4050</v>
      </c>
      <c r="X471" s="26" t="s">
        <v>619</v>
      </c>
      <c r="Y471" s="23"/>
      <c r="Z471" s="23"/>
      <c r="AA471" s="23"/>
      <c r="AB471" s="23" t="str">
        <f>IFERROR(__xludf.DUMMYFUNCTION("IF(
ISNUMBER(MATCH(
C471,
IMPORTRANGE(""https://docs.google.com/spreadsheets/d/1yTh1ELC33JHYOeEdgIiEclxPRyh0zOKtlawDltfUay8"",""'Champions'!A:A""),
0
)),
""Outreach Conducted"",
"""")"),"")</f>
        <v/>
      </c>
      <c r="AC471" s="23"/>
      <c r="AD471" s="23"/>
      <c r="AE471" s="23"/>
      <c r="AF471" s="23"/>
      <c r="AG471" s="23"/>
      <c r="AH471" s="23"/>
      <c r="AI471" s="23"/>
      <c r="AJ471" s="23"/>
      <c r="AK471" s="23"/>
      <c r="AL471" s="23"/>
    </row>
    <row r="472" hidden="1">
      <c r="A472" s="32" t="s">
        <v>925</v>
      </c>
      <c r="B472" s="32" t="s">
        <v>4051</v>
      </c>
      <c r="C472" s="23" t="str">
        <f t="shared" si="1"/>
        <v>Jennifer Ranfla</v>
      </c>
      <c r="D472" s="32" t="s">
        <v>4052</v>
      </c>
      <c r="E472" s="32" t="s">
        <v>4053</v>
      </c>
      <c r="F472" s="28" t="s">
        <v>769</v>
      </c>
      <c r="G472" s="32">
        <v>441.0</v>
      </c>
      <c r="H472" s="22">
        <f t="array" ref="H472">IFERROR(INDEX('Hub CPC 226'!A:A, MATCH(C472, 'Hub CPC 226'!B:B, 0)), "")</f>
        <v>531</v>
      </c>
      <c r="I472" s="22">
        <f t="array" ref="I472">IFERROR(INDEX('Hub Users 226'!A:A, MATCH(C472, 'Hub Users 226'!B:B, 0)), "")</f>
        <v>2430</v>
      </c>
      <c r="J472" s="22"/>
      <c r="K472" s="28" t="s">
        <v>4054</v>
      </c>
      <c r="L472" s="37">
        <v>44231.59097222222</v>
      </c>
      <c r="M472" s="28">
        <v>13.0</v>
      </c>
      <c r="N472" s="28">
        <v>30.0</v>
      </c>
      <c r="O472" s="28">
        <v>71.0</v>
      </c>
      <c r="P472" s="32">
        <v>7.0</v>
      </c>
      <c r="Q472" s="32" t="s">
        <v>4055</v>
      </c>
      <c r="R472" s="32" t="s">
        <v>334</v>
      </c>
      <c r="S472" s="32" t="s">
        <v>271</v>
      </c>
      <c r="T472" s="22" t="s">
        <v>272</v>
      </c>
      <c r="U472" s="32" t="s">
        <v>4056</v>
      </c>
      <c r="V472" s="23"/>
      <c r="W472" s="23"/>
      <c r="X472" s="23"/>
      <c r="Y472" s="23"/>
      <c r="Z472" s="23"/>
      <c r="AA472" s="23"/>
      <c r="AB472" s="23" t="str">
        <f>IFERROR(__xludf.DUMMYFUNCTION("IF(
ISNUMBER(MATCH(
C472,
IMPORTRANGE(""https://docs.google.com/spreadsheets/d/1yTh1ELC33JHYOeEdgIiEclxPRyh0zOKtlawDltfUay8"",""'Champions'!A:A""),
0
)),
""Outreach Conducted"",
"""")"),"")</f>
        <v/>
      </c>
      <c r="AC472" s="23"/>
      <c r="AD472" s="23"/>
      <c r="AE472" s="23"/>
      <c r="AF472" s="23"/>
      <c r="AG472" s="23"/>
      <c r="AH472" s="23"/>
      <c r="AI472" s="23"/>
      <c r="AJ472" s="23"/>
      <c r="AK472" s="23"/>
      <c r="AL472" s="23"/>
    </row>
    <row r="473" hidden="1">
      <c r="A473" s="32" t="s">
        <v>4057</v>
      </c>
      <c r="B473" s="32" t="s">
        <v>4058</v>
      </c>
      <c r="C473" s="23" t="str">
        <f t="shared" si="1"/>
        <v>Susmita De</v>
      </c>
      <c r="D473" s="32" t="s">
        <v>4059</v>
      </c>
      <c r="E473" s="32" t="s">
        <v>4060</v>
      </c>
      <c r="F473" s="28" t="s">
        <v>769</v>
      </c>
      <c r="G473" s="32">
        <v>440.0</v>
      </c>
      <c r="H473" s="22">
        <f t="array" ref="H473">IFERROR(INDEX('Hub CPC 226'!A:A, MATCH(C473, 'Hub CPC 226'!B:B, 0)), "")</f>
        <v>532</v>
      </c>
      <c r="I473" s="22">
        <f t="array" ref="I473">IFERROR(INDEX('Hub Users 226'!A:A, MATCH(C473, 'Hub Users 226'!B:B, 0)), "")</f>
        <v>2431</v>
      </c>
      <c r="J473" s="22"/>
      <c r="K473" s="23" t="s">
        <v>4061</v>
      </c>
      <c r="L473" s="37">
        <v>44228.85555555556</v>
      </c>
      <c r="M473" s="28">
        <v>8.0</v>
      </c>
      <c r="N473" s="28">
        <v>25.0</v>
      </c>
      <c r="O473" s="28">
        <v>57.0</v>
      </c>
      <c r="P473" s="32">
        <v>35.0</v>
      </c>
      <c r="Q473" s="32" t="s">
        <v>4062</v>
      </c>
      <c r="R473" s="32" t="s">
        <v>634</v>
      </c>
      <c r="S473" s="32" t="s">
        <v>294</v>
      </c>
      <c r="T473" s="22" t="s">
        <v>272</v>
      </c>
      <c r="U473" s="32" t="s">
        <v>4063</v>
      </c>
      <c r="V473" s="23"/>
      <c r="W473" s="23"/>
      <c r="X473" s="23"/>
      <c r="Y473" s="23"/>
      <c r="Z473" s="23"/>
      <c r="AA473" s="23"/>
      <c r="AB473" s="23" t="str">
        <f>IFERROR(__xludf.DUMMYFUNCTION("IF(
ISNUMBER(MATCH(
C473,
IMPORTRANGE(""https://docs.google.com/spreadsheets/d/1yTh1ELC33JHYOeEdgIiEclxPRyh0zOKtlawDltfUay8"",""'Champions'!A:A""),
0
)),
""Outreach Conducted"",
"""")"),"")</f>
        <v/>
      </c>
      <c r="AC473" s="23"/>
      <c r="AD473" s="23"/>
      <c r="AE473" s="23"/>
      <c r="AF473" s="23"/>
      <c r="AG473" s="23"/>
      <c r="AH473" s="23"/>
      <c r="AI473" s="23"/>
      <c r="AJ473" s="23"/>
      <c r="AK473" s="23"/>
      <c r="AL473" s="23"/>
    </row>
    <row r="474" hidden="1">
      <c r="A474" s="32" t="s">
        <v>4064</v>
      </c>
      <c r="B474" s="32" t="s">
        <v>4065</v>
      </c>
      <c r="C474" s="23" t="str">
        <f t="shared" si="1"/>
        <v>Ines Anous</v>
      </c>
      <c r="D474" s="32" t="s">
        <v>4066</v>
      </c>
      <c r="E474" s="32" t="s">
        <v>4067</v>
      </c>
      <c r="F474" s="28" t="s">
        <v>769</v>
      </c>
      <c r="G474" s="32">
        <v>435.0</v>
      </c>
      <c r="H474" s="22">
        <f t="array" ref="H474">IFERROR(INDEX('Hub CPC 226'!A:A, MATCH(C474, 'Hub CPC 226'!B:B, 0)), "")</f>
        <v>533</v>
      </c>
      <c r="I474" s="22">
        <f t="array" ref="I474">IFERROR(INDEX('Hub Users 226'!A:A, MATCH(C474, 'Hub Users 226'!B:B, 0)), "")</f>
        <v>2432</v>
      </c>
      <c r="J474" s="22"/>
      <c r="K474" s="23" t="s">
        <v>4068</v>
      </c>
      <c r="L474" s="37">
        <v>44221.47083333333</v>
      </c>
      <c r="M474" s="28">
        <v>10.0</v>
      </c>
      <c r="N474" s="28">
        <v>26.0</v>
      </c>
      <c r="O474" s="28">
        <v>64.0</v>
      </c>
      <c r="P474" s="32">
        <v>47.0</v>
      </c>
      <c r="Q474" s="32" t="s">
        <v>4069</v>
      </c>
      <c r="R474" s="32" t="s">
        <v>4070</v>
      </c>
      <c r="S474" s="32" t="s">
        <v>294</v>
      </c>
      <c r="T474" s="22" t="s">
        <v>272</v>
      </c>
      <c r="U474" s="32" t="s">
        <v>4071</v>
      </c>
      <c r="V474" s="23"/>
      <c r="W474" s="23"/>
      <c r="X474" s="23"/>
      <c r="Y474" s="23"/>
      <c r="Z474" s="23"/>
      <c r="AA474" s="23"/>
      <c r="AB474" s="23" t="str">
        <f>IFERROR(__xludf.DUMMYFUNCTION("IF(
ISNUMBER(MATCH(
C474,
IMPORTRANGE(""https://docs.google.com/spreadsheets/d/1yTh1ELC33JHYOeEdgIiEclxPRyh0zOKtlawDltfUay8"",""'Champions'!A:A""),
0
)),
""Outreach Conducted"",
"""")"),"")</f>
        <v/>
      </c>
      <c r="AC474" s="23"/>
      <c r="AD474" s="23"/>
      <c r="AE474" s="23"/>
      <c r="AF474" s="23"/>
      <c r="AG474" s="23"/>
      <c r="AH474" s="23"/>
      <c r="AI474" s="23"/>
      <c r="AJ474" s="23"/>
      <c r="AK474" s="23"/>
      <c r="AL474" s="23"/>
    </row>
    <row r="475" hidden="1">
      <c r="A475" s="32" t="s">
        <v>4072</v>
      </c>
      <c r="B475" s="32" t="s">
        <v>4073</v>
      </c>
      <c r="C475" s="23" t="str">
        <f t="shared" si="1"/>
        <v>Rea Loretta</v>
      </c>
      <c r="D475" s="32">
        <v>3.104630485E9</v>
      </c>
      <c r="E475" s="32" t="s">
        <v>4074</v>
      </c>
      <c r="F475" s="28" t="s">
        <v>769</v>
      </c>
      <c r="G475" s="32">
        <v>431.0</v>
      </c>
      <c r="H475" s="22">
        <f t="array" ref="H475">IFERROR(INDEX('Hub CPC 226'!A:A, MATCH(C475, 'Hub CPC 226'!B:B, 0)), "")</f>
        <v>534</v>
      </c>
      <c r="I475" s="22">
        <f t="array" ref="I475">IFERROR(INDEX('Hub Users 226'!A:A, MATCH(C475, 'Hub Users 226'!B:B, 0)), "")</f>
        <v>2433</v>
      </c>
      <c r="J475" s="22"/>
      <c r="K475" s="28" t="s">
        <v>4075</v>
      </c>
      <c r="L475" s="37">
        <v>44215.54722222222</v>
      </c>
      <c r="M475" s="23"/>
      <c r="N475" s="23"/>
      <c r="O475" s="23"/>
      <c r="P475" s="23"/>
      <c r="Q475" s="32" t="s">
        <v>4076</v>
      </c>
      <c r="R475" s="32" t="s">
        <v>473</v>
      </c>
      <c r="S475" s="32" t="s">
        <v>473</v>
      </c>
      <c r="T475" s="22" t="s">
        <v>252</v>
      </c>
      <c r="U475" s="32" t="s">
        <v>4077</v>
      </c>
      <c r="V475" s="23"/>
      <c r="W475" s="23"/>
      <c r="X475" s="23"/>
      <c r="Y475" s="23"/>
      <c r="Z475" s="23"/>
      <c r="AA475" s="23"/>
      <c r="AB475" s="23" t="str">
        <f>IFERROR(__xludf.DUMMYFUNCTION("IF(
ISNUMBER(MATCH(
C475,
IMPORTRANGE(""https://docs.google.com/spreadsheets/d/1yTh1ELC33JHYOeEdgIiEclxPRyh0zOKtlawDltfUay8"",""'Champions'!A:A""),
0
)),
""Outreach Conducted"",
"""")"),"")</f>
        <v/>
      </c>
      <c r="AC475" s="23"/>
      <c r="AD475" s="23"/>
      <c r="AE475" s="23"/>
      <c r="AF475" s="23"/>
      <c r="AG475" s="23"/>
      <c r="AH475" s="23"/>
      <c r="AI475" s="23"/>
      <c r="AJ475" s="23"/>
      <c r="AK475" s="23"/>
      <c r="AL475" s="23"/>
    </row>
    <row r="476" hidden="1">
      <c r="A476" s="32" t="s">
        <v>4078</v>
      </c>
      <c r="B476" s="32" t="s">
        <v>4079</v>
      </c>
      <c r="C476" s="23" t="str">
        <f t="shared" si="1"/>
        <v>Jane Cardwell</v>
      </c>
      <c r="D476" s="32">
        <v>5.5962577E8</v>
      </c>
      <c r="E476" s="32" t="s">
        <v>4080</v>
      </c>
      <c r="F476" s="28" t="s">
        <v>769</v>
      </c>
      <c r="G476" s="32">
        <v>430.0</v>
      </c>
      <c r="H476" s="22">
        <f t="array" ref="H476">IFERROR(INDEX('Hub CPC 226'!A:A, MATCH(C476, 'Hub CPC 226'!B:B, 0)), "")</f>
        <v>535</v>
      </c>
      <c r="I476" s="22">
        <f t="array" ref="I476">IFERROR(INDEX('Hub Users 226'!A:A, MATCH(C476, 'Hub Users 226'!B:B, 0)), "")</f>
        <v>2434</v>
      </c>
      <c r="J476" s="22"/>
      <c r="K476" s="23" t="s">
        <v>4081</v>
      </c>
      <c r="L476" s="37">
        <v>44215.54305555556</v>
      </c>
      <c r="M476" s="23"/>
      <c r="N476" s="23"/>
      <c r="O476" s="23"/>
      <c r="P476" s="23"/>
      <c r="Q476" s="32" t="s">
        <v>4082</v>
      </c>
      <c r="R476" s="32" t="s">
        <v>700</v>
      </c>
      <c r="S476" s="22" t="s">
        <v>4083</v>
      </c>
      <c r="T476" s="22" t="s">
        <v>252</v>
      </c>
      <c r="U476" s="32" t="s">
        <v>4084</v>
      </c>
      <c r="V476" s="23"/>
      <c r="W476" s="23"/>
      <c r="X476" s="23"/>
      <c r="Y476" s="23"/>
      <c r="Z476" s="23"/>
      <c r="AA476" s="23"/>
      <c r="AB476" s="23" t="str">
        <f>IFERROR(__xludf.DUMMYFUNCTION("IF(
ISNUMBER(MATCH(
C476,
IMPORTRANGE(""https://docs.google.com/spreadsheets/d/1yTh1ELC33JHYOeEdgIiEclxPRyh0zOKtlawDltfUay8"",""'Champions'!A:A""),
0
)),
""Outreach Conducted"",
"""")"),"")</f>
        <v/>
      </c>
      <c r="AC476" s="23"/>
      <c r="AD476" s="23"/>
      <c r="AE476" s="23"/>
      <c r="AF476" s="23"/>
      <c r="AG476" s="23"/>
      <c r="AH476" s="23"/>
      <c r="AI476" s="23"/>
      <c r="AJ476" s="23"/>
      <c r="AK476" s="23"/>
      <c r="AL476" s="23"/>
    </row>
    <row r="477" hidden="1">
      <c r="A477" s="32" t="s">
        <v>4085</v>
      </c>
      <c r="B477" s="32" t="s">
        <v>4086</v>
      </c>
      <c r="C477" s="23" t="str">
        <f t="shared" si="1"/>
        <v>Aasheesh Tandon</v>
      </c>
      <c r="D477" s="32">
        <v>9.196332925E9</v>
      </c>
      <c r="E477" s="32" t="s">
        <v>4087</v>
      </c>
      <c r="F477" s="28" t="s">
        <v>769</v>
      </c>
      <c r="G477" s="32">
        <v>429.0</v>
      </c>
      <c r="H477" s="22">
        <f t="array" ref="H477">IFERROR(INDEX('Hub CPC 226'!A:A, MATCH(C477, 'Hub CPC 226'!B:B, 0)), "")</f>
        <v>536</v>
      </c>
      <c r="I477" s="22">
        <f t="array" ref="I477">IFERROR(INDEX('Hub Users 226'!A:A, MATCH(C477, 'Hub Users 226'!B:B, 0)), "")</f>
        <v>2435</v>
      </c>
      <c r="J477" s="22"/>
      <c r="K477" s="23" t="s">
        <v>4088</v>
      </c>
      <c r="L477" s="37">
        <v>44215.53888888889</v>
      </c>
      <c r="M477" s="23"/>
      <c r="N477" s="23"/>
      <c r="O477" s="23"/>
      <c r="P477" s="23"/>
      <c r="Q477" s="32" t="s">
        <v>4089</v>
      </c>
      <c r="R477" s="31"/>
      <c r="S477" s="22" t="s">
        <v>2256</v>
      </c>
      <c r="T477" s="22" t="s">
        <v>252</v>
      </c>
      <c r="U477" s="32" t="s">
        <v>4090</v>
      </c>
      <c r="V477" s="23"/>
      <c r="W477" s="23"/>
      <c r="X477" s="23"/>
      <c r="Y477" s="23"/>
      <c r="Z477" s="23"/>
      <c r="AA477" s="23"/>
      <c r="AB477" s="23" t="str">
        <f>IFERROR(__xludf.DUMMYFUNCTION("IF(
ISNUMBER(MATCH(
C477,
IMPORTRANGE(""https://docs.google.com/spreadsheets/d/1yTh1ELC33JHYOeEdgIiEclxPRyh0zOKtlawDltfUay8"",""'Champions'!A:A""),
0
)),
""Outreach Conducted"",
"""")"),"")</f>
        <v/>
      </c>
      <c r="AC477" s="23"/>
      <c r="AD477" s="23"/>
      <c r="AE477" s="23"/>
      <c r="AF477" s="23"/>
      <c r="AG477" s="23"/>
      <c r="AH477" s="23"/>
      <c r="AI477" s="23"/>
      <c r="AJ477" s="23"/>
      <c r="AK477" s="23"/>
      <c r="AL477" s="23"/>
    </row>
    <row r="478" hidden="1">
      <c r="A478" s="32" t="s">
        <v>4091</v>
      </c>
      <c r="B478" s="32" t="s">
        <v>4092</v>
      </c>
      <c r="C478" s="23" t="str">
        <f t="shared" si="1"/>
        <v>Margaret Weiss</v>
      </c>
      <c r="D478" s="32">
        <v>7.325091664E9</v>
      </c>
      <c r="E478" s="32" t="s">
        <v>4093</v>
      </c>
      <c r="F478" s="28" t="s">
        <v>769</v>
      </c>
      <c r="G478" s="32">
        <v>428.0</v>
      </c>
      <c r="H478" s="22">
        <f t="array" ref="H478">IFERROR(INDEX('Hub CPC 226'!A:A, MATCH(C478, 'Hub CPC 226'!B:B, 0)), "")</f>
        <v>537</v>
      </c>
      <c r="I478" s="22">
        <f t="array" ref="I478">IFERROR(INDEX('Hub Users 226'!A:A, MATCH(C478, 'Hub Users 226'!B:B, 0)), "")</f>
        <v>2436</v>
      </c>
      <c r="J478" s="22"/>
      <c r="K478" s="23" t="s">
        <v>4094</v>
      </c>
      <c r="L478" s="37">
        <v>44215.535416666666</v>
      </c>
      <c r="M478" s="23"/>
      <c r="N478" s="23"/>
      <c r="O478" s="23"/>
      <c r="P478" s="23"/>
      <c r="Q478" s="32" t="s">
        <v>4095</v>
      </c>
      <c r="R478" s="31"/>
      <c r="S478" s="22" t="s">
        <v>4096</v>
      </c>
      <c r="T478" s="22" t="s">
        <v>241</v>
      </c>
      <c r="U478" s="32" t="s">
        <v>4097</v>
      </c>
      <c r="V478" s="23"/>
      <c r="W478" s="23"/>
      <c r="X478" s="23"/>
      <c r="Y478" s="23"/>
      <c r="Z478" s="23"/>
      <c r="AA478" s="23"/>
      <c r="AB478" s="23" t="str">
        <f>IFERROR(__xludf.DUMMYFUNCTION("IF(
ISNUMBER(MATCH(
C478,
IMPORTRANGE(""https://docs.google.com/spreadsheets/d/1yTh1ELC33JHYOeEdgIiEclxPRyh0zOKtlawDltfUay8"",""'Champions'!A:A""),
0
)),
""Outreach Conducted"",
"""")"),"")</f>
        <v/>
      </c>
      <c r="AC478" s="23"/>
      <c r="AD478" s="23"/>
      <c r="AE478" s="23"/>
      <c r="AF478" s="23"/>
      <c r="AG478" s="23"/>
      <c r="AH478" s="23"/>
      <c r="AI478" s="23"/>
      <c r="AJ478" s="23"/>
      <c r="AK478" s="23"/>
      <c r="AL478" s="23"/>
    </row>
    <row r="479" hidden="1">
      <c r="A479" s="32" t="s">
        <v>4098</v>
      </c>
      <c r="B479" s="32" t="s">
        <v>4099</v>
      </c>
      <c r="C479" s="23" t="str">
        <f t="shared" si="1"/>
        <v>Marinna Bernal</v>
      </c>
      <c r="D479" s="32">
        <v>7.602347487E9</v>
      </c>
      <c r="E479" s="32" t="s">
        <v>4100</v>
      </c>
      <c r="F479" s="28" t="s">
        <v>769</v>
      </c>
      <c r="G479" s="32">
        <v>425.0</v>
      </c>
      <c r="H479" s="22">
        <f t="array" ref="H479">IFERROR(INDEX('Hub CPC 226'!A:A, MATCH(C479, 'Hub CPC 226'!B:B, 0)), "")</f>
        <v>538</v>
      </c>
      <c r="I479" s="22">
        <f t="array" ref="I479">IFERROR(INDEX('Hub Users 226'!A:A, MATCH(C479, 'Hub Users 226'!B:B, 0)), "")</f>
        <v>2437</v>
      </c>
      <c r="J479" s="22"/>
      <c r="K479" s="23" t="s">
        <v>4101</v>
      </c>
      <c r="L479" s="37">
        <v>44207.83125</v>
      </c>
      <c r="M479" s="23"/>
      <c r="N479" s="23"/>
      <c r="O479" s="23"/>
      <c r="P479" s="23"/>
      <c r="Q479" s="32" t="s">
        <v>4102</v>
      </c>
      <c r="R479" s="32" t="s">
        <v>700</v>
      </c>
      <c r="S479" s="22" t="s">
        <v>4103</v>
      </c>
      <c r="T479" s="22" t="s">
        <v>252</v>
      </c>
      <c r="U479" s="32" t="s">
        <v>4104</v>
      </c>
      <c r="V479" s="23"/>
      <c r="W479" s="23"/>
      <c r="X479" s="23"/>
      <c r="Y479" s="23"/>
      <c r="Z479" s="23"/>
      <c r="AA479" s="23"/>
      <c r="AB479" s="23" t="str">
        <f>IFERROR(__xludf.DUMMYFUNCTION("IF(
ISNUMBER(MATCH(
C479,
IMPORTRANGE(""https://docs.google.com/spreadsheets/d/1yTh1ELC33JHYOeEdgIiEclxPRyh0zOKtlawDltfUay8"",""'Champions'!A:A""),
0
)),
""Outreach Conducted"",
"""")"),"")</f>
        <v/>
      </c>
      <c r="AC479" s="23"/>
      <c r="AD479" s="23"/>
      <c r="AE479" s="23"/>
      <c r="AF479" s="23"/>
      <c r="AG479" s="23"/>
      <c r="AH479" s="23"/>
      <c r="AI479" s="23"/>
      <c r="AJ479" s="23"/>
      <c r="AK479" s="23"/>
      <c r="AL479" s="23"/>
    </row>
    <row r="480" hidden="1">
      <c r="A480" s="32" t="s">
        <v>4105</v>
      </c>
      <c r="B480" s="32" t="s">
        <v>4106</v>
      </c>
      <c r="C480" s="23" t="str">
        <f t="shared" si="1"/>
        <v>Vira Egli</v>
      </c>
      <c r="D480" s="32">
        <v>2.133106026E9</v>
      </c>
      <c r="E480" s="32" t="s">
        <v>4107</v>
      </c>
      <c r="F480" s="28" t="s">
        <v>769</v>
      </c>
      <c r="G480" s="32">
        <v>424.0</v>
      </c>
      <c r="H480" s="22">
        <f t="array" ref="H480">IFERROR(INDEX('Hub CPC 226'!A:A, MATCH(C480, 'Hub CPC 226'!B:B, 0)), "")</f>
        <v>539</v>
      </c>
      <c r="I480" s="22">
        <f t="array" ref="I480">IFERROR(INDEX('Hub Users 226'!A:A, MATCH(C480, 'Hub Users 226'!B:B, 0)), "")</f>
        <v>2438</v>
      </c>
      <c r="J480" s="22"/>
      <c r="K480" s="23" t="s">
        <v>4108</v>
      </c>
      <c r="L480" s="37">
        <v>44207.82708333333</v>
      </c>
      <c r="M480" s="23"/>
      <c r="N480" s="23"/>
      <c r="O480" s="23"/>
      <c r="P480" s="23"/>
      <c r="Q480" s="32" t="s">
        <v>4109</v>
      </c>
      <c r="R480" s="32" t="s">
        <v>4110</v>
      </c>
      <c r="S480" s="22" t="s">
        <v>1746</v>
      </c>
      <c r="T480" s="22" t="s">
        <v>252</v>
      </c>
      <c r="U480" s="32" t="s">
        <v>4111</v>
      </c>
      <c r="V480" s="23"/>
      <c r="W480" s="23"/>
      <c r="X480" s="23"/>
      <c r="Y480" s="23"/>
      <c r="Z480" s="23"/>
      <c r="AA480" s="23"/>
      <c r="AB480" s="23" t="str">
        <f>IFERROR(__xludf.DUMMYFUNCTION("IF(
ISNUMBER(MATCH(
C480,
IMPORTRANGE(""https://docs.google.com/spreadsheets/d/1yTh1ELC33JHYOeEdgIiEclxPRyh0zOKtlawDltfUay8"",""'Champions'!A:A""),
0
)),
""Outreach Conducted"",
"""")"),"")</f>
        <v/>
      </c>
      <c r="AC480" s="23"/>
      <c r="AD480" s="23"/>
      <c r="AE480" s="23"/>
      <c r="AF480" s="23"/>
      <c r="AG480" s="23"/>
      <c r="AH480" s="23"/>
      <c r="AI480" s="23"/>
      <c r="AJ480" s="23"/>
      <c r="AK480" s="23"/>
      <c r="AL480" s="23"/>
    </row>
    <row r="481" hidden="1">
      <c r="A481" s="32" t="s">
        <v>4112</v>
      </c>
      <c r="B481" s="32" t="s">
        <v>4113</v>
      </c>
      <c r="C481" s="23" t="str">
        <f t="shared" si="1"/>
        <v>Deepika Narul</v>
      </c>
      <c r="D481" s="32">
        <v>6.692462499E9</v>
      </c>
      <c r="E481" s="32" t="s">
        <v>4114</v>
      </c>
      <c r="F481" s="28" t="s">
        <v>769</v>
      </c>
      <c r="G481" s="32">
        <v>422.0</v>
      </c>
      <c r="H481" s="22">
        <f t="array" ref="H481">IFERROR(INDEX('Hub CPC 226'!A:A, MATCH(C481, 'Hub CPC 226'!B:B, 0)), "")</f>
        <v>540</v>
      </c>
      <c r="I481" s="22">
        <f t="array" ref="I481">IFERROR(INDEX('Hub Users 226'!A:A, MATCH(C481, 'Hub Users 226'!B:B, 0)), "")</f>
        <v>2439</v>
      </c>
      <c r="J481" s="22"/>
      <c r="K481" s="23" t="s">
        <v>4115</v>
      </c>
      <c r="L481" s="37">
        <v>44207.81597222222</v>
      </c>
      <c r="M481" s="23"/>
      <c r="N481" s="23"/>
      <c r="O481" s="23"/>
      <c r="P481" s="23"/>
      <c r="Q481" s="32" t="s">
        <v>4116</v>
      </c>
      <c r="R481" s="32" t="s">
        <v>2470</v>
      </c>
      <c r="S481" s="32" t="s">
        <v>2470</v>
      </c>
      <c r="T481" s="22" t="s">
        <v>252</v>
      </c>
      <c r="U481" s="32" t="s">
        <v>3439</v>
      </c>
      <c r="V481" s="23"/>
      <c r="W481" s="23"/>
      <c r="X481" s="23"/>
      <c r="Y481" s="23"/>
      <c r="Z481" s="23"/>
      <c r="AA481" s="23"/>
      <c r="AB481" s="23" t="str">
        <f>IFERROR(__xludf.DUMMYFUNCTION("IF(
ISNUMBER(MATCH(
C481,
IMPORTRANGE(""https://docs.google.com/spreadsheets/d/1yTh1ELC33JHYOeEdgIiEclxPRyh0zOKtlawDltfUay8"",""'Champions'!A:A""),
0
)),
""Outreach Conducted"",
"""")"),"")</f>
        <v/>
      </c>
      <c r="AC481" s="23"/>
      <c r="AD481" s="23"/>
      <c r="AE481" s="23"/>
      <c r="AF481" s="23"/>
      <c r="AG481" s="23"/>
      <c r="AH481" s="23"/>
      <c r="AI481" s="23"/>
      <c r="AJ481" s="23"/>
      <c r="AK481" s="23"/>
      <c r="AL481" s="23"/>
    </row>
    <row r="482" hidden="1">
      <c r="A482" s="32" t="s">
        <v>4117</v>
      </c>
      <c r="B482" s="32" t="s">
        <v>4118</v>
      </c>
      <c r="C482" s="23" t="str">
        <f t="shared" si="1"/>
        <v>Veronica Oglesby</v>
      </c>
      <c r="D482" s="32">
        <v>6.617174454E9</v>
      </c>
      <c r="E482" s="32" t="s">
        <v>4119</v>
      </c>
      <c r="F482" s="28" t="s">
        <v>769</v>
      </c>
      <c r="G482" s="32">
        <v>421.0</v>
      </c>
      <c r="H482" s="22">
        <f t="array" ref="H482">IFERROR(INDEX('Hub CPC 226'!A:A, MATCH(C482, 'Hub CPC 226'!B:B, 0)), "")</f>
        <v>541</v>
      </c>
      <c r="I482" s="22">
        <f t="array" ref="I482">IFERROR(INDEX('Hub Users 226'!A:A, MATCH(C482, 'Hub Users 226'!B:B, 0)), "")</f>
        <v>2440</v>
      </c>
      <c r="J482" s="22"/>
      <c r="K482" s="23" t="s">
        <v>4120</v>
      </c>
      <c r="L482" s="37">
        <v>44201.847916666666</v>
      </c>
      <c r="M482" s="23"/>
      <c r="N482" s="23"/>
      <c r="O482" s="23"/>
      <c r="P482" s="23"/>
      <c r="Q482" s="32" t="s">
        <v>4121</v>
      </c>
      <c r="R482" s="31"/>
      <c r="S482" s="22" t="s">
        <v>4122</v>
      </c>
      <c r="T482" s="22" t="s">
        <v>252</v>
      </c>
      <c r="U482" s="32" t="s">
        <v>3166</v>
      </c>
      <c r="V482" s="23"/>
      <c r="W482" s="23"/>
      <c r="X482" s="23"/>
      <c r="Y482" s="23"/>
      <c r="Z482" s="23"/>
      <c r="AA482" s="23"/>
      <c r="AB482" s="23" t="str">
        <f>IFERROR(__xludf.DUMMYFUNCTION("IF(
ISNUMBER(MATCH(
C482,
IMPORTRANGE(""https://docs.google.com/spreadsheets/d/1yTh1ELC33JHYOeEdgIiEclxPRyh0zOKtlawDltfUay8"",""'Champions'!A:A""),
0
)),
""Outreach Conducted"",
"""")"),"")</f>
        <v/>
      </c>
      <c r="AC482" s="23"/>
      <c r="AD482" s="23"/>
      <c r="AE482" s="23"/>
      <c r="AF482" s="23"/>
      <c r="AG482" s="23"/>
      <c r="AH482" s="23"/>
      <c r="AI482" s="23"/>
      <c r="AJ482" s="23"/>
      <c r="AK482" s="23"/>
      <c r="AL482" s="23"/>
    </row>
    <row r="483" hidden="1">
      <c r="A483" s="32" t="s">
        <v>3987</v>
      </c>
      <c r="B483" s="32" t="s">
        <v>4123</v>
      </c>
      <c r="C483" s="23" t="str">
        <f t="shared" si="1"/>
        <v>Melanie May Rome</v>
      </c>
      <c r="D483" s="32">
        <v>8.187080313E9</v>
      </c>
      <c r="E483" s="32" t="s">
        <v>4124</v>
      </c>
      <c r="F483" s="28" t="s">
        <v>769</v>
      </c>
      <c r="G483" s="32">
        <v>420.0</v>
      </c>
      <c r="H483" s="22">
        <f t="array" ref="H483">IFERROR(INDEX('Hub CPC 226'!A:A, MATCH(C483, 'Hub CPC 226'!B:B, 0)), "")</f>
        <v>542</v>
      </c>
      <c r="I483" s="22">
        <f t="array" ref="I483">IFERROR(INDEX('Hub Users 226'!A:A, MATCH(C483, 'Hub Users 226'!B:B, 0)), "")</f>
        <v>2441</v>
      </c>
      <c r="J483" s="22"/>
      <c r="K483" s="23" t="s">
        <v>4125</v>
      </c>
      <c r="L483" s="37">
        <v>44201.84166666667</v>
      </c>
      <c r="M483" s="23"/>
      <c r="N483" s="23"/>
      <c r="O483" s="23"/>
      <c r="P483" s="23"/>
      <c r="Q483" s="32" t="s">
        <v>4126</v>
      </c>
      <c r="R483" s="32" t="s">
        <v>4127</v>
      </c>
      <c r="S483" s="32" t="s">
        <v>4128</v>
      </c>
      <c r="T483" s="22" t="s">
        <v>252</v>
      </c>
      <c r="U483" s="32" t="s">
        <v>1762</v>
      </c>
      <c r="V483" s="23"/>
      <c r="W483" s="23"/>
      <c r="X483" s="23"/>
      <c r="Y483" s="23"/>
      <c r="Z483" s="23"/>
      <c r="AA483" s="23"/>
      <c r="AB483" s="23" t="str">
        <f>IFERROR(__xludf.DUMMYFUNCTION("IF(
ISNUMBER(MATCH(
C483,
IMPORTRANGE(""https://docs.google.com/spreadsheets/d/1yTh1ELC33JHYOeEdgIiEclxPRyh0zOKtlawDltfUay8"",""'Champions'!A:A""),
0
)),
""Outreach Conducted"",
"""")"),"")</f>
        <v/>
      </c>
      <c r="AC483" s="23"/>
      <c r="AD483" s="23"/>
      <c r="AE483" s="23"/>
      <c r="AF483" s="23"/>
      <c r="AG483" s="23"/>
      <c r="AH483" s="23"/>
      <c r="AI483" s="23"/>
      <c r="AJ483" s="23"/>
      <c r="AK483" s="23"/>
      <c r="AL483" s="23"/>
    </row>
    <row r="484" hidden="1">
      <c r="A484" s="32" t="s">
        <v>4129</v>
      </c>
      <c r="B484" s="32" t="s">
        <v>4130</v>
      </c>
      <c r="C484" s="23" t="str">
        <f t="shared" si="1"/>
        <v>Surbhi Mahamwal</v>
      </c>
      <c r="D484" s="32">
        <v>8.482197648E9</v>
      </c>
      <c r="E484" s="32" t="s">
        <v>4131</v>
      </c>
      <c r="F484" s="28" t="s">
        <v>769</v>
      </c>
      <c r="G484" s="32">
        <v>418.0</v>
      </c>
      <c r="H484" s="22">
        <f t="array" ref="H484">IFERROR(INDEX('Hub CPC 226'!A:A, MATCH(C484, 'Hub CPC 226'!B:B, 0)), "")</f>
        <v>543</v>
      </c>
      <c r="I484" s="22">
        <f t="array" ref="I484">IFERROR(INDEX('Hub Users 226'!A:A, MATCH(C484, 'Hub Users 226'!B:B, 0)), "")</f>
        <v>2442</v>
      </c>
      <c r="J484" s="22"/>
      <c r="K484" s="23" t="s">
        <v>4132</v>
      </c>
      <c r="L484" s="37">
        <v>44201.830555555556</v>
      </c>
      <c r="M484" s="28"/>
      <c r="N484" s="28"/>
      <c r="O484" s="28"/>
      <c r="P484" s="31"/>
      <c r="Q484" s="32" t="s">
        <v>4133</v>
      </c>
      <c r="R484" s="32" t="s">
        <v>454</v>
      </c>
      <c r="S484" s="22" t="s">
        <v>294</v>
      </c>
      <c r="T484" s="22" t="s">
        <v>272</v>
      </c>
      <c r="U484" s="32" t="s">
        <v>4134</v>
      </c>
      <c r="V484" s="23"/>
      <c r="W484" s="23"/>
      <c r="X484" s="23"/>
      <c r="Y484" s="23"/>
      <c r="Z484" s="23"/>
      <c r="AA484" s="23"/>
      <c r="AB484" s="23" t="str">
        <f>IFERROR(__xludf.DUMMYFUNCTION("IF(
ISNUMBER(MATCH(
C484,
IMPORTRANGE(""https://docs.google.com/spreadsheets/d/1yTh1ELC33JHYOeEdgIiEclxPRyh0zOKtlawDltfUay8"",""'Champions'!A:A""),
0
)),
""Outreach Conducted"",
"""")"),"")</f>
        <v/>
      </c>
      <c r="AC484" s="23"/>
      <c r="AD484" s="23"/>
      <c r="AE484" s="23"/>
      <c r="AF484" s="23"/>
      <c r="AG484" s="23"/>
      <c r="AH484" s="23"/>
      <c r="AI484" s="23"/>
      <c r="AJ484" s="23"/>
      <c r="AK484" s="23"/>
      <c r="AL484" s="23"/>
    </row>
    <row r="485" hidden="1">
      <c r="A485" s="32" t="s">
        <v>4135</v>
      </c>
      <c r="B485" s="32" t="s">
        <v>4136</v>
      </c>
      <c r="C485" s="23" t="str">
        <f t="shared" si="1"/>
        <v>Kathy Fountaine</v>
      </c>
      <c r="D485" s="32" t="s">
        <v>4137</v>
      </c>
      <c r="E485" s="32" t="s">
        <v>4138</v>
      </c>
      <c r="F485" s="28" t="s">
        <v>769</v>
      </c>
      <c r="G485" s="32">
        <v>417.0</v>
      </c>
      <c r="H485" s="22">
        <f t="array" ref="H485">IFERROR(INDEX('Hub CPC 226'!A:A, MATCH(C485, 'Hub CPC 226'!B:B, 0)), "")</f>
        <v>544</v>
      </c>
      <c r="I485" s="22">
        <f t="array" ref="I485">IFERROR(INDEX('Hub Users 226'!A:A, MATCH(C485, 'Hub Users 226'!B:B, 0)), "")</f>
        <v>2443</v>
      </c>
      <c r="J485" s="22"/>
      <c r="K485" s="23" t="s">
        <v>4139</v>
      </c>
      <c r="L485" s="37">
        <v>44201.82361111111</v>
      </c>
      <c r="M485" s="28">
        <v>8.0</v>
      </c>
      <c r="N485" s="28">
        <v>22.0</v>
      </c>
      <c r="O485" s="28">
        <v>41.0</v>
      </c>
      <c r="P485" s="32">
        <v>46.0</v>
      </c>
      <c r="Q485" s="32" t="s">
        <v>4140</v>
      </c>
      <c r="R485" s="31"/>
      <c r="S485" s="22" t="s">
        <v>294</v>
      </c>
      <c r="T485" s="22" t="s">
        <v>272</v>
      </c>
      <c r="U485" s="32" t="s">
        <v>4141</v>
      </c>
      <c r="V485" s="23"/>
      <c r="W485" s="23"/>
      <c r="X485" s="23"/>
      <c r="Y485" s="23"/>
      <c r="Z485" s="23"/>
      <c r="AA485" s="23"/>
      <c r="AB485" s="23" t="str">
        <f>IFERROR(__xludf.DUMMYFUNCTION("IF(
ISNUMBER(MATCH(
C485,
IMPORTRANGE(""https://docs.google.com/spreadsheets/d/1yTh1ELC33JHYOeEdgIiEclxPRyh0zOKtlawDltfUay8"",""'Champions'!A:A""),
0
)),
""Outreach Conducted"",
"""")"),"")</f>
        <v/>
      </c>
      <c r="AC485" s="23"/>
      <c r="AD485" s="23"/>
      <c r="AE485" s="23"/>
      <c r="AF485" s="23"/>
      <c r="AG485" s="23"/>
      <c r="AH485" s="23"/>
      <c r="AI485" s="23"/>
      <c r="AJ485" s="23"/>
      <c r="AK485" s="23"/>
      <c r="AL485" s="23"/>
    </row>
    <row r="486" hidden="1">
      <c r="A486" s="32" t="s">
        <v>4142</v>
      </c>
      <c r="B486" s="32" t="s">
        <v>4143</v>
      </c>
      <c r="C486" s="23" t="str">
        <f t="shared" si="1"/>
        <v>Josef Farrar</v>
      </c>
      <c r="D486" s="32" t="s">
        <v>4144</v>
      </c>
      <c r="E486" s="32" t="s">
        <v>4145</v>
      </c>
      <c r="F486" s="28" t="s">
        <v>769</v>
      </c>
      <c r="G486" s="32">
        <v>415.0</v>
      </c>
      <c r="H486" s="22">
        <f t="array" ref="H486">IFERROR(INDEX('Hub CPC 226'!A:A, MATCH(C486, 'Hub CPC 226'!B:B, 0)), "")</f>
        <v>545</v>
      </c>
      <c r="I486" s="22">
        <f t="array" ref="I486">IFERROR(INDEX('Hub Users 226'!A:A, MATCH(C486, 'Hub Users 226'!B:B, 0)), "")</f>
        <v>2444</v>
      </c>
      <c r="J486" s="22"/>
      <c r="K486" s="28" t="s">
        <v>4146</v>
      </c>
      <c r="L486" s="37">
        <v>44200.81458333333</v>
      </c>
      <c r="M486" s="23"/>
      <c r="N486" s="23"/>
      <c r="O486" s="23"/>
      <c r="P486" s="23"/>
      <c r="Q486" s="32" t="s">
        <v>4147</v>
      </c>
      <c r="R486" s="32" t="s">
        <v>4148</v>
      </c>
      <c r="S486" s="32" t="s">
        <v>4149</v>
      </c>
      <c r="T486" s="22" t="s">
        <v>252</v>
      </c>
      <c r="U486" s="32" t="s">
        <v>4150</v>
      </c>
      <c r="V486" s="23"/>
      <c r="W486" s="23"/>
      <c r="X486" s="23"/>
      <c r="Y486" s="23"/>
      <c r="Z486" s="23"/>
      <c r="AA486" s="23"/>
      <c r="AB486" s="23" t="str">
        <f>IFERROR(__xludf.DUMMYFUNCTION("IF(
ISNUMBER(MATCH(
C486,
IMPORTRANGE(""https://docs.google.com/spreadsheets/d/1yTh1ELC33JHYOeEdgIiEclxPRyh0zOKtlawDltfUay8"",""'Champions'!A:A""),
0
)),
""Outreach Conducted"",
"""")"),"")</f>
        <v/>
      </c>
      <c r="AC486" s="23"/>
      <c r="AD486" s="23"/>
      <c r="AE486" s="23"/>
      <c r="AF486" s="23"/>
      <c r="AG486" s="23"/>
      <c r="AH486" s="23"/>
      <c r="AI486" s="23"/>
      <c r="AJ486" s="23"/>
      <c r="AK486" s="23"/>
      <c r="AL486" s="23"/>
    </row>
    <row r="487" hidden="1">
      <c r="A487" s="32" t="s">
        <v>4151</v>
      </c>
      <c r="B487" s="32" t="s">
        <v>4152</v>
      </c>
      <c r="C487" s="23" t="str">
        <f t="shared" si="1"/>
        <v>Ebona Mais</v>
      </c>
      <c r="D487" s="32">
        <v>5.165891669E9</v>
      </c>
      <c r="E487" s="32" t="s">
        <v>4153</v>
      </c>
      <c r="F487" s="28" t="s">
        <v>769</v>
      </c>
      <c r="G487" s="32">
        <v>412.0</v>
      </c>
      <c r="H487" s="22">
        <f t="array" ref="H487">IFERROR(INDEX('Hub CPC 226'!A:A, MATCH(C487, 'Hub CPC 226'!B:B, 0)), "")</f>
        <v>546</v>
      </c>
      <c r="I487" s="22">
        <f t="array" ref="I487">IFERROR(INDEX('Hub Users 226'!A:A, MATCH(C487, 'Hub Users 226'!B:B, 0)), "")</f>
        <v>2445</v>
      </c>
      <c r="J487" s="22"/>
      <c r="K487" s="23" t="s">
        <v>4154</v>
      </c>
      <c r="L487" s="37">
        <v>44200.79652777778</v>
      </c>
      <c r="M487" s="28"/>
      <c r="N487" s="28"/>
      <c r="O487" s="28"/>
      <c r="P487" s="31"/>
      <c r="Q487" s="32" t="s">
        <v>294</v>
      </c>
      <c r="R487" s="32" t="s">
        <v>294</v>
      </c>
      <c r="S487" s="22" t="s">
        <v>294</v>
      </c>
      <c r="T487" s="22" t="s">
        <v>272</v>
      </c>
      <c r="U487" s="32" t="s">
        <v>533</v>
      </c>
      <c r="V487" s="23"/>
      <c r="W487" s="23"/>
      <c r="X487" s="23"/>
      <c r="Y487" s="23"/>
      <c r="Z487" s="23"/>
      <c r="AA487" s="23"/>
      <c r="AB487" s="23" t="str">
        <f>IFERROR(__xludf.DUMMYFUNCTION("IF(
ISNUMBER(MATCH(
C487,
IMPORTRANGE(""https://docs.google.com/spreadsheets/d/1yTh1ELC33JHYOeEdgIiEclxPRyh0zOKtlawDltfUay8"",""'Champions'!A:A""),
0
)),
""Outreach Conducted"",
"""")"),"")</f>
        <v/>
      </c>
      <c r="AC487" s="23"/>
      <c r="AD487" s="23"/>
      <c r="AE487" s="23"/>
      <c r="AF487" s="23"/>
      <c r="AG487" s="23"/>
      <c r="AH487" s="23"/>
      <c r="AI487" s="23"/>
      <c r="AJ487" s="23"/>
      <c r="AK487" s="23"/>
      <c r="AL487" s="23"/>
    </row>
    <row r="488" hidden="1">
      <c r="A488" s="32" t="s">
        <v>237</v>
      </c>
      <c r="B488" s="32" t="s">
        <v>4155</v>
      </c>
      <c r="C488" s="23" t="str">
        <f t="shared" si="1"/>
        <v>Ahmed Abdelaziz Abowasa</v>
      </c>
      <c r="D488" s="32">
        <v>2.01061808576E11</v>
      </c>
      <c r="E488" s="32" t="s">
        <v>4156</v>
      </c>
      <c r="F488" s="28" t="s">
        <v>769</v>
      </c>
      <c r="G488" s="32">
        <v>410.0</v>
      </c>
      <c r="H488" s="22">
        <f t="array" ref="H488">IFERROR(INDEX('Hub CPC 226'!A:A, MATCH(C488, 'Hub CPC 226'!B:B, 0)), "")</f>
        <v>547</v>
      </c>
      <c r="I488" s="22">
        <f t="array" ref="I488">IFERROR(INDEX('Hub Users 226'!A:A, MATCH(C488, 'Hub Users 226'!B:B, 0)), "")</f>
        <v>2446</v>
      </c>
      <c r="J488" s="22"/>
      <c r="K488" s="23" t="s">
        <v>4157</v>
      </c>
      <c r="L488" s="37">
        <v>44200.791666666664</v>
      </c>
      <c r="M488" s="23"/>
      <c r="N488" s="23"/>
      <c r="O488" s="23"/>
      <c r="P488" s="23"/>
      <c r="Q488" s="32" t="s">
        <v>4158</v>
      </c>
      <c r="R488" s="32" t="s">
        <v>4159</v>
      </c>
      <c r="S488" s="24"/>
      <c r="T488" s="24"/>
      <c r="U488" s="32" t="s">
        <v>4160</v>
      </c>
      <c r="V488" s="23"/>
      <c r="W488" s="23"/>
      <c r="X488" s="23"/>
      <c r="Y488" s="23"/>
      <c r="Z488" s="23"/>
      <c r="AA488" s="23"/>
      <c r="AB488" s="23" t="str">
        <f>IFERROR(__xludf.DUMMYFUNCTION("IF(
ISNUMBER(MATCH(
C488,
IMPORTRANGE(""https://docs.google.com/spreadsheets/d/1yTh1ELC33JHYOeEdgIiEclxPRyh0zOKtlawDltfUay8"",""'Champions'!A:A""),
0
)),
""Outreach Conducted"",
"""")"),"")</f>
        <v/>
      </c>
      <c r="AC488" s="23"/>
      <c r="AD488" s="23"/>
      <c r="AE488" s="23"/>
      <c r="AF488" s="23"/>
      <c r="AG488" s="23"/>
      <c r="AH488" s="23"/>
      <c r="AI488" s="23"/>
      <c r="AJ488" s="23"/>
      <c r="AK488" s="23"/>
      <c r="AL488" s="23"/>
    </row>
    <row r="489" hidden="1">
      <c r="A489" s="32" t="s">
        <v>4161</v>
      </c>
      <c r="B489" s="32" t="s">
        <v>4162</v>
      </c>
      <c r="C489" s="23" t="str">
        <f t="shared" si="1"/>
        <v>Jeffrey Meyerson</v>
      </c>
      <c r="D489" s="32">
        <v>5.122170273E9</v>
      </c>
      <c r="E489" s="32" t="s">
        <v>4163</v>
      </c>
      <c r="F489" s="28" t="s">
        <v>2536</v>
      </c>
      <c r="G489" s="32">
        <v>409.0</v>
      </c>
      <c r="H489" s="22">
        <f t="array" ref="H489">IFERROR(INDEX('Hub CPC 226'!A:A, MATCH(C489, 'Hub CPC 226'!B:B, 0)), "")</f>
        <v>548</v>
      </c>
      <c r="I489" s="22">
        <f t="array" ref="I489">IFERROR(INDEX('Hub Users 226'!A:A, MATCH(C489, 'Hub Users 226'!B:B, 0)), "")</f>
        <v>2447</v>
      </c>
      <c r="J489" s="22"/>
      <c r="K489" s="23" t="s">
        <v>4164</v>
      </c>
      <c r="L489" s="37">
        <v>44200.788194444445</v>
      </c>
      <c r="M489" s="23"/>
      <c r="N489" s="23"/>
      <c r="O489" s="23"/>
      <c r="P489" s="23"/>
      <c r="Q489" s="32" t="s">
        <v>4165</v>
      </c>
      <c r="R489" s="32" t="s">
        <v>723</v>
      </c>
      <c r="S489" s="22" t="s">
        <v>473</v>
      </c>
      <c r="T489" s="22" t="s">
        <v>252</v>
      </c>
      <c r="U489" s="32" t="s">
        <v>4166</v>
      </c>
      <c r="V489" s="23"/>
      <c r="W489" s="23"/>
      <c r="X489" s="23"/>
      <c r="Y489" s="23"/>
      <c r="Z489" s="23"/>
      <c r="AA489" s="23"/>
      <c r="AB489" s="23" t="str">
        <f>IFERROR(__xludf.DUMMYFUNCTION("IF(
ISNUMBER(MATCH(
C489,
IMPORTRANGE(""https://docs.google.com/spreadsheets/d/1yTh1ELC33JHYOeEdgIiEclxPRyh0zOKtlawDltfUay8"",""'Champions'!A:A""),
0
)),
""Outreach Conducted"",
"""")"),"")</f>
        <v/>
      </c>
      <c r="AC489" s="23"/>
      <c r="AD489" s="23"/>
      <c r="AE489" s="23"/>
      <c r="AF489" s="23"/>
      <c r="AG489" s="23"/>
      <c r="AH489" s="23"/>
      <c r="AI489" s="23"/>
      <c r="AJ489" s="23"/>
      <c r="AK489" s="23"/>
      <c r="AL489" s="23"/>
    </row>
    <row r="490" hidden="1">
      <c r="A490" s="32" t="s">
        <v>4167</v>
      </c>
      <c r="B490" s="32" t="s">
        <v>4168</v>
      </c>
      <c r="C490" s="23" t="str">
        <f t="shared" si="1"/>
        <v>Danella Abdul-Barr</v>
      </c>
      <c r="D490" s="32">
        <v>6.787631925E9</v>
      </c>
      <c r="E490" s="32" t="s">
        <v>4169</v>
      </c>
      <c r="F490" s="28" t="s">
        <v>769</v>
      </c>
      <c r="G490" s="32">
        <v>406.0</v>
      </c>
      <c r="H490" s="22">
        <f t="array" ref="H490">IFERROR(INDEX('Hub CPC 226'!A:A, MATCH(C490, 'Hub CPC 226'!B:B, 0)), "")</f>
        <v>549</v>
      </c>
      <c r="I490" s="22">
        <f t="array" ref="I490">IFERROR(INDEX('Hub Users 226'!A:A, MATCH(C490, 'Hub Users 226'!B:B, 0)), "")</f>
        <v>2448</v>
      </c>
      <c r="J490" s="22"/>
      <c r="K490" s="23" t="s">
        <v>4170</v>
      </c>
      <c r="L490" s="37">
        <v>44200.77569444444</v>
      </c>
      <c r="M490" s="23"/>
      <c r="N490" s="23"/>
      <c r="O490" s="23"/>
      <c r="P490" s="23"/>
      <c r="Q490" s="32" t="s">
        <v>4171</v>
      </c>
      <c r="R490" s="32" t="s">
        <v>380</v>
      </c>
      <c r="S490" s="32" t="s">
        <v>380</v>
      </c>
      <c r="T490" s="22" t="s">
        <v>381</v>
      </c>
      <c r="U490" s="32" t="s">
        <v>4172</v>
      </c>
      <c r="V490" s="23"/>
      <c r="W490" s="23"/>
      <c r="X490" s="23"/>
      <c r="Y490" s="23"/>
      <c r="Z490" s="23"/>
      <c r="AA490" s="23"/>
      <c r="AB490" s="23" t="str">
        <f>IFERROR(__xludf.DUMMYFUNCTION("IF(
ISNUMBER(MATCH(
C490,
IMPORTRANGE(""https://docs.google.com/spreadsheets/d/1yTh1ELC33JHYOeEdgIiEclxPRyh0zOKtlawDltfUay8"",""'Champions'!A:A""),
0
)),
""Outreach Conducted"",
"""")"),"")</f>
        <v/>
      </c>
      <c r="AC490" s="23"/>
      <c r="AD490" s="23"/>
      <c r="AE490" s="23"/>
      <c r="AF490" s="23"/>
      <c r="AG490" s="23"/>
      <c r="AH490" s="23"/>
      <c r="AI490" s="23"/>
      <c r="AJ490" s="23"/>
      <c r="AK490" s="23"/>
      <c r="AL490" s="23"/>
    </row>
    <row r="491" hidden="1">
      <c r="A491" s="32" t="s">
        <v>4173</v>
      </c>
      <c r="B491" s="32" t="s">
        <v>4174</v>
      </c>
      <c r="C491" s="23" t="str">
        <f t="shared" si="1"/>
        <v>Irma Corzo</v>
      </c>
      <c r="D491" s="32" t="s">
        <v>4175</v>
      </c>
      <c r="E491" s="32" t="s">
        <v>4176</v>
      </c>
      <c r="F491" s="28" t="s">
        <v>769</v>
      </c>
      <c r="G491" s="32">
        <v>403.0</v>
      </c>
      <c r="H491" s="22">
        <f t="array" ref="H491">IFERROR(INDEX('Hub CPC 226'!A:A, MATCH(C491, 'Hub CPC 226'!B:B, 0)), "")</f>
        <v>550</v>
      </c>
      <c r="I491" s="22">
        <f t="array" ref="I491">IFERROR(INDEX('Hub Users 226'!A:A, MATCH(C491, 'Hub Users 226'!B:B, 0)), "")</f>
        <v>2449</v>
      </c>
      <c r="J491" s="22"/>
      <c r="K491" s="23" t="s">
        <v>4177</v>
      </c>
      <c r="L491" s="37">
        <v>44200.75625</v>
      </c>
      <c r="M491" s="23"/>
      <c r="N491" s="23"/>
      <c r="O491" s="23"/>
      <c r="P491" s="23"/>
      <c r="Q491" s="32" t="s">
        <v>4178</v>
      </c>
      <c r="R491" s="32" t="s">
        <v>4179</v>
      </c>
      <c r="S491" s="22" t="s">
        <v>4179</v>
      </c>
      <c r="T491" s="22" t="s">
        <v>252</v>
      </c>
      <c r="U491" s="32" t="s">
        <v>4180</v>
      </c>
      <c r="V491" s="23"/>
      <c r="W491" s="23"/>
      <c r="X491" s="23"/>
      <c r="Y491" s="23"/>
      <c r="Z491" s="23"/>
      <c r="AA491" s="23"/>
      <c r="AB491" s="23" t="str">
        <f>IFERROR(__xludf.DUMMYFUNCTION("IF(
ISNUMBER(MATCH(
C491,
IMPORTRANGE(""https://docs.google.com/spreadsheets/d/1yTh1ELC33JHYOeEdgIiEclxPRyh0zOKtlawDltfUay8"",""'Champions'!A:A""),
0
)),
""Outreach Conducted"",
"""")"),"")</f>
        <v/>
      </c>
      <c r="AC491" s="23"/>
      <c r="AD491" s="23"/>
      <c r="AE491" s="23"/>
      <c r="AF491" s="23"/>
      <c r="AG491" s="23"/>
      <c r="AH491" s="23"/>
      <c r="AI491" s="23"/>
      <c r="AJ491" s="23"/>
      <c r="AK491" s="23"/>
      <c r="AL491" s="23"/>
    </row>
    <row r="492" hidden="1">
      <c r="A492" s="32" t="s">
        <v>4181</v>
      </c>
      <c r="B492" s="32" t="s">
        <v>4182</v>
      </c>
      <c r="C492" s="23" t="str">
        <f t="shared" si="1"/>
        <v>Adam Colton Lorts</v>
      </c>
      <c r="D492" s="32">
        <v>6.505217281E9</v>
      </c>
      <c r="E492" s="32" t="s">
        <v>4183</v>
      </c>
      <c r="F492" s="28" t="s">
        <v>769</v>
      </c>
      <c r="G492" s="32">
        <v>398.0</v>
      </c>
      <c r="H492" s="22">
        <f t="array" ref="H492">IFERROR(INDEX('Hub CPC 226'!A:A, MATCH(C492, 'Hub CPC 226'!B:B, 0)), "")</f>
        <v>551</v>
      </c>
      <c r="I492" s="22">
        <f t="array" ref="I492">IFERROR(INDEX('Hub Users 226'!A:A, MATCH(C492, 'Hub Users 226'!B:B, 0)), "")</f>
        <v>2450</v>
      </c>
      <c r="J492" s="22"/>
      <c r="K492" s="23" t="s">
        <v>4184</v>
      </c>
      <c r="L492" s="37">
        <v>44200.69305555556</v>
      </c>
      <c r="M492" s="23"/>
      <c r="N492" s="23"/>
      <c r="O492" s="23"/>
      <c r="P492" s="23"/>
      <c r="Q492" s="32" t="s">
        <v>4185</v>
      </c>
      <c r="R492" s="32" t="s">
        <v>473</v>
      </c>
      <c r="S492" s="32" t="s">
        <v>473</v>
      </c>
      <c r="T492" s="22" t="s">
        <v>252</v>
      </c>
      <c r="U492" s="32" t="s">
        <v>604</v>
      </c>
      <c r="V492" s="23"/>
      <c r="W492" s="23"/>
      <c r="X492" s="23"/>
      <c r="Y492" s="23"/>
      <c r="Z492" s="23"/>
      <c r="AA492" s="23"/>
      <c r="AB492" s="23" t="str">
        <f>IFERROR(__xludf.DUMMYFUNCTION("IF(
ISNUMBER(MATCH(
C492,
IMPORTRANGE(""https://docs.google.com/spreadsheets/d/1yTh1ELC33JHYOeEdgIiEclxPRyh0zOKtlawDltfUay8"",""'Champions'!A:A""),
0
)),
""Outreach Conducted"",
"""")"),"")</f>
        <v/>
      </c>
      <c r="AC492" s="23"/>
      <c r="AD492" s="23"/>
      <c r="AE492" s="23"/>
      <c r="AF492" s="23"/>
      <c r="AG492" s="23"/>
      <c r="AH492" s="23"/>
      <c r="AI492" s="23"/>
      <c r="AJ492" s="23"/>
      <c r="AK492" s="23"/>
      <c r="AL492" s="23"/>
    </row>
    <row r="493" hidden="1">
      <c r="A493" s="32" t="s">
        <v>4186</v>
      </c>
      <c r="B493" s="32" t="s">
        <v>4187</v>
      </c>
      <c r="C493" s="23" t="str">
        <f t="shared" si="1"/>
        <v>Zachary Murphy</v>
      </c>
      <c r="D493" s="32">
        <v>6.072459183E9</v>
      </c>
      <c r="E493" s="32" t="s">
        <v>4188</v>
      </c>
      <c r="F493" s="28" t="s">
        <v>769</v>
      </c>
      <c r="G493" s="32">
        <v>396.0</v>
      </c>
      <c r="H493" s="22">
        <f t="array" ref="H493">IFERROR(INDEX('Hub CPC 226'!A:A, MATCH(C493, 'Hub CPC 226'!B:B, 0)), "")</f>
        <v>552</v>
      </c>
      <c r="I493" s="22">
        <f t="array" ref="I493">IFERROR(INDEX('Hub Users 226'!A:A, MATCH(C493, 'Hub Users 226'!B:B, 0)), "")</f>
        <v>2451</v>
      </c>
      <c r="J493" s="22"/>
      <c r="K493" s="23" t="s">
        <v>4189</v>
      </c>
      <c r="L493" s="37">
        <v>44200.68263888889</v>
      </c>
      <c r="M493" s="28">
        <v>25.0</v>
      </c>
      <c r="N493" s="28">
        <v>56.0</v>
      </c>
      <c r="O493" s="28">
        <v>137.0</v>
      </c>
      <c r="P493" s="31"/>
      <c r="Q493" s="32" t="s">
        <v>4190</v>
      </c>
      <c r="R493" s="32" t="s">
        <v>1598</v>
      </c>
      <c r="S493" s="32" t="s">
        <v>1599</v>
      </c>
      <c r="T493" s="22" t="s">
        <v>272</v>
      </c>
      <c r="U493" s="32" t="s">
        <v>4191</v>
      </c>
      <c r="V493" s="23"/>
      <c r="W493" s="23"/>
      <c r="X493" s="23"/>
      <c r="Y493" s="23"/>
      <c r="Z493" s="23"/>
      <c r="AA493" s="23"/>
      <c r="AB493" s="23" t="str">
        <f>IFERROR(__xludf.DUMMYFUNCTION("IF(
ISNUMBER(MATCH(
C493,
IMPORTRANGE(""https://docs.google.com/spreadsheets/d/1yTh1ELC33JHYOeEdgIiEclxPRyh0zOKtlawDltfUay8"",""'Champions'!A:A""),
0
)),
""Outreach Conducted"",
"""")"),"")</f>
        <v/>
      </c>
      <c r="AC493" s="23"/>
      <c r="AD493" s="23"/>
      <c r="AE493" s="23"/>
      <c r="AF493" s="23"/>
      <c r="AG493" s="23"/>
      <c r="AH493" s="23"/>
      <c r="AI493" s="23"/>
      <c r="AJ493" s="23"/>
      <c r="AK493" s="23"/>
      <c r="AL493" s="23"/>
    </row>
    <row r="494" hidden="1">
      <c r="A494" s="22" t="s">
        <v>567</v>
      </c>
      <c r="B494" s="22" t="s">
        <v>4192</v>
      </c>
      <c r="C494" s="23" t="str">
        <f t="shared" si="1"/>
        <v>Anna Mullins</v>
      </c>
      <c r="D494" s="22">
        <v>7.274590211E9</v>
      </c>
      <c r="E494" s="29" t="s">
        <v>4193</v>
      </c>
      <c r="F494" s="22" t="s">
        <v>248</v>
      </c>
      <c r="G494" s="22">
        <v>395.0</v>
      </c>
      <c r="H494" s="22">
        <f t="array" ref="H494">IFERROR(INDEX('Hub CPC 226'!A:A, MATCH(C494, 'Hub CPC 226'!B:B, 0)), "")</f>
        <v>553</v>
      </c>
      <c r="I494" s="22">
        <f t="array" ref="I494">IFERROR(INDEX('Hub Users 226'!A:A, MATCH(C494, 'Hub Users 226'!B:B, 0)), "")</f>
        <v>2452</v>
      </c>
      <c r="J494" s="22" t="s">
        <v>260</v>
      </c>
      <c r="K494" s="23" t="s">
        <v>4194</v>
      </c>
      <c r="L494" s="25">
        <v>44200.67847222222</v>
      </c>
      <c r="M494" s="23"/>
      <c r="N494" s="23"/>
      <c r="O494" s="23"/>
      <c r="P494" s="23"/>
      <c r="Q494" s="22" t="s">
        <v>571</v>
      </c>
      <c r="R494" s="22" t="s">
        <v>572</v>
      </c>
      <c r="S494" s="22" t="s">
        <v>573</v>
      </c>
      <c r="T494" s="22" t="s">
        <v>252</v>
      </c>
      <c r="U494" s="22" t="s">
        <v>4195</v>
      </c>
      <c r="V494" s="23"/>
      <c r="W494" s="23"/>
      <c r="X494" s="23"/>
      <c r="Y494" s="23"/>
      <c r="Z494" s="28"/>
      <c r="AA494" s="23"/>
      <c r="AB494" s="23" t="str">
        <f>IFERROR(__xludf.DUMMYFUNCTION("IF(
ISNUMBER(MATCH(
C494,
IMPORTRANGE(""https://docs.google.com/spreadsheets/d/1yTh1ELC33JHYOeEdgIiEclxPRyh0zOKtlawDltfUay8"",""'Champions'!A:A""),
0
)),
""Outreach Conducted"",
"""")"),"")</f>
        <v/>
      </c>
      <c r="AC494" s="23"/>
      <c r="AD494" s="23"/>
      <c r="AE494" s="23"/>
      <c r="AF494" s="23"/>
      <c r="AG494" s="23"/>
      <c r="AH494" s="23"/>
      <c r="AI494" s="23"/>
      <c r="AJ494" s="23"/>
      <c r="AK494" s="23"/>
      <c r="AL494" s="23"/>
    </row>
    <row r="495" hidden="1">
      <c r="A495" s="32" t="s">
        <v>4196</v>
      </c>
      <c r="B495" s="32" t="s">
        <v>4197</v>
      </c>
      <c r="C495" s="23" t="str">
        <f t="shared" si="1"/>
        <v>Rebecca Natalie Parke</v>
      </c>
      <c r="D495" s="32" t="s">
        <v>4198</v>
      </c>
      <c r="E495" s="32" t="s">
        <v>4199</v>
      </c>
      <c r="F495" s="28" t="s">
        <v>769</v>
      </c>
      <c r="G495" s="32">
        <v>393.0</v>
      </c>
      <c r="H495" s="22">
        <f t="array" ref="H495">IFERROR(INDEX('Hub CPC 226'!A:A, MATCH(C495, 'Hub CPC 226'!B:B, 0)), "")</f>
        <v>554</v>
      </c>
      <c r="I495" s="22">
        <f t="array" ref="I495">IFERROR(INDEX('Hub Users 226'!A:A, MATCH(C495, 'Hub Users 226'!B:B, 0)), "")</f>
        <v>2453</v>
      </c>
      <c r="J495" s="22"/>
      <c r="K495" s="28" t="s">
        <v>4200</v>
      </c>
      <c r="L495" s="37">
        <v>44200.666666666664</v>
      </c>
      <c r="M495" s="23"/>
      <c r="N495" s="23"/>
      <c r="O495" s="23"/>
      <c r="P495" s="23"/>
      <c r="Q495" s="32" t="s">
        <v>272</v>
      </c>
      <c r="R495" s="32" t="s">
        <v>2551</v>
      </c>
      <c r="S495" s="22" t="s">
        <v>4201</v>
      </c>
      <c r="T495" s="22" t="s">
        <v>381</v>
      </c>
      <c r="U495" s="32" t="s">
        <v>4202</v>
      </c>
      <c r="V495" s="23"/>
      <c r="W495" s="23"/>
      <c r="X495" s="23"/>
      <c r="Y495" s="23"/>
      <c r="Z495" s="23"/>
      <c r="AA495" s="23"/>
      <c r="AB495" s="23" t="str">
        <f>IFERROR(__xludf.DUMMYFUNCTION("IF(
ISNUMBER(MATCH(
C495,
IMPORTRANGE(""https://docs.google.com/spreadsheets/d/1yTh1ELC33JHYOeEdgIiEclxPRyh0zOKtlawDltfUay8"",""'Champions'!A:A""),
0
)),
""Outreach Conducted"",
"""")"),"")</f>
        <v/>
      </c>
      <c r="AC495" s="23"/>
      <c r="AD495" s="23"/>
      <c r="AE495" s="23"/>
      <c r="AF495" s="23"/>
      <c r="AG495" s="23"/>
      <c r="AH495" s="23"/>
      <c r="AI495" s="23"/>
      <c r="AJ495" s="23"/>
      <c r="AK495" s="23"/>
      <c r="AL495" s="23"/>
    </row>
    <row r="496" hidden="1">
      <c r="A496" s="32" t="s">
        <v>4203</v>
      </c>
      <c r="B496" s="32" t="s">
        <v>4204</v>
      </c>
      <c r="C496" s="23" t="str">
        <f t="shared" si="1"/>
        <v>Kevin Mang Kuate Fodouop</v>
      </c>
      <c r="D496" s="32">
        <v>4.159678606E9</v>
      </c>
      <c r="E496" s="32" t="s">
        <v>4205</v>
      </c>
      <c r="F496" s="28" t="s">
        <v>769</v>
      </c>
      <c r="G496" s="32">
        <v>392.0</v>
      </c>
      <c r="H496" s="22">
        <f t="array" ref="H496">IFERROR(INDEX('Hub CPC 226'!A:A, MATCH(C496, 'Hub CPC 226'!B:B, 0)), "")</f>
        <v>555</v>
      </c>
      <c r="I496" s="22">
        <f t="array" ref="I496">IFERROR(INDEX('Hub Users 226'!A:A, MATCH(C496, 'Hub Users 226'!B:B, 0)), "")</f>
        <v>2454</v>
      </c>
      <c r="J496" s="22"/>
      <c r="K496" s="23" t="s">
        <v>4206</v>
      </c>
      <c r="L496" s="37">
        <v>44200.663194444445</v>
      </c>
      <c r="M496" s="28"/>
      <c r="N496" s="28"/>
      <c r="O496" s="28"/>
      <c r="P496" s="31"/>
      <c r="Q496" s="32" t="s">
        <v>271</v>
      </c>
      <c r="R496" s="32" t="s">
        <v>271</v>
      </c>
      <c r="S496" s="32" t="s">
        <v>271</v>
      </c>
      <c r="T496" s="22" t="s">
        <v>272</v>
      </c>
      <c r="U496" s="50" t="s">
        <v>4207</v>
      </c>
      <c r="V496" s="23"/>
      <c r="W496" s="23"/>
      <c r="X496" s="23"/>
      <c r="Y496" s="23"/>
      <c r="Z496" s="23"/>
      <c r="AA496" s="23"/>
      <c r="AB496" s="23" t="str">
        <f>IFERROR(__xludf.DUMMYFUNCTION("IF(
ISNUMBER(MATCH(
C496,
IMPORTRANGE(""https://docs.google.com/spreadsheets/d/1yTh1ELC33JHYOeEdgIiEclxPRyh0zOKtlawDltfUay8"",""'Champions'!A:A""),
0
)),
""Outreach Conducted"",
"""")"),"")</f>
        <v/>
      </c>
      <c r="AC496" s="23"/>
      <c r="AD496" s="23"/>
      <c r="AE496" s="23"/>
      <c r="AF496" s="23"/>
      <c r="AG496" s="23"/>
      <c r="AH496" s="23"/>
      <c r="AI496" s="23"/>
      <c r="AJ496" s="23"/>
      <c r="AK496" s="23"/>
      <c r="AL496" s="23"/>
    </row>
    <row r="497" hidden="1">
      <c r="A497" s="32" t="s">
        <v>4208</v>
      </c>
      <c r="B497" s="32" t="s">
        <v>4209</v>
      </c>
      <c r="C497" s="23" t="str">
        <f t="shared" si="1"/>
        <v>Ariel Sabrina Brigmann</v>
      </c>
      <c r="D497" s="32">
        <v>6.618574913E9</v>
      </c>
      <c r="E497" s="32" t="s">
        <v>4210</v>
      </c>
      <c r="F497" s="28" t="s">
        <v>769</v>
      </c>
      <c r="G497" s="32">
        <v>390.0</v>
      </c>
      <c r="H497" s="22">
        <f t="array" ref="H497">IFERROR(INDEX('Hub CPC 226'!A:A, MATCH(C497, 'Hub CPC 226'!B:B, 0)), "")</f>
        <v>556</v>
      </c>
      <c r="I497" s="22">
        <f t="array" ref="I497">IFERROR(INDEX('Hub Users 226'!A:A, MATCH(C497, 'Hub Users 226'!B:B, 0)), "")</f>
        <v>2455</v>
      </c>
      <c r="J497" s="22"/>
      <c r="K497" s="23" t="s">
        <v>4211</v>
      </c>
      <c r="L497" s="37">
        <v>44200.654861111114</v>
      </c>
      <c r="M497" s="23"/>
      <c r="N497" s="23"/>
      <c r="O497" s="23"/>
      <c r="P497" s="23"/>
      <c r="Q497" s="32" t="s">
        <v>4212</v>
      </c>
      <c r="R497" s="32" t="s">
        <v>4213</v>
      </c>
      <c r="S497" s="22" t="s">
        <v>3142</v>
      </c>
      <c r="T497" s="22" t="s">
        <v>252</v>
      </c>
      <c r="U497" s="32" t="s">
        <v>4214</v>
      </c>
      <c r="V497" s="26" t="s">
        <v>360</v>
      </c>
      <c r="W497" s="27" t="s">
        <v>4215</v>
      </c>
      <c r="X497" s="26" t="s">
        <v>2141</v>
      </c>
      <c r="Y497" s="23"/>
      <c r="Z497" s="23"/>
      <c r="AA497" s="23"/>
      <c r="AB497" s="23" t="str">
        <f>IFERROR(__xludf.DUMMYFUNCTION("IF(
ISNUMBER(MATCH(
C497,
IMPORTRANGE(""https://docs.google.com/spreadsheets/d/1yTh1ELC33JHYOeEdgIiEclxPRyh0zOKtlawDltfUay8"",""'Champions'!A:A""),
0
)),
""Outreach Conducted"",
"""")"),"")</f>
        <v/>
      </c>
      <c r="AC497" s="23"/>
      <c r="AD497" s="23"/>
      <c r="AE497" s="23"/>
      <c r="AF497" s="23"/>
      <c r="AG497" s="23"/>
      <c r="AH497" s="23"/>
      <c r="AI497" s="23"/>
      <c r="AJ497" s="23"/>
      <c r="AK497" s="23"/>
      <c r="AL497" s="23"/>
    </row>
    <row r="498" hidden="1">
      <c r="A498" s="32" t="s">
        <v>4216</v>
      </c>
      <c r="B498" s="32" t="s">
        <v>4217</v>
      </c>
      <c r="C498" s="23" t="str">
        <f t="shared" si="1"/>
        <v>Daineroy Allen</v>
      </c>
      <c r="D498" s="32">
        <v>1.8763314348E10</v>
      </c>
      <c r="E498" s="32" t="s">
        <v>4218</v>
      </c>
      <c r="F498" s="28" t="s">
        <v>769</v>
      </c>
      <c r="G498" s="32">
        <v>389.0</v>
      </c>
      <c r="H498" s="22">
        <f t="array" ref="H498">IFERROR(INDEX('Hub CPC 226'!A:A, MATCH(C498, 'Hub CPC 226'!B:B, 0)), "")</f>
        <v>557</v>
      </c>
      <c r="I498" s="22">
        <f t="array" ref="I498">IFERROR(INDEX('Hub Users 226'!A:A, MATCH(C498, 'Hub Users 226'!B:B, 0)), "")</f>
        <v>2456</v>
      </c>
      <c r="J498" s="22"/>
      <c r="K498" s="23" t="s">
        <v>4219</v>
      </c>
      <c r="L498" s="37">
        <v>44200.65</v>
      </c>
      <c r="M498" s="28"/>
      <c r="N498" s="28"/>
      <c r="O498" s="28"/>
      <c r="P498" s="31"/>
      <c r="Q498" s="32" t="s">
        <v>4220</v>
      </c>
      <c r="R498" s="32" t="s">
        <v>3791</v>
      </c>
      <c r="S498" s="32" t="s">
        <v>3791</v>
      </c>
      <c r="T498" s="22" t="s">
        <v>272</v>
      </c>
      <c r="U498" s="32" t="s">
        <v>4221</v>
      </c>
      <c r="V498" s="23"/>
      <c r="W498" s="23"/>
      <c r="X498" s="23"/>
      <c r="Y498" s="23"/>
      <c r="Z498" s="23"/>
      <c r="AA498" s="23"/>
      <c r="AB498" s="23" t="str">
        <f>IFERROR(__xludf.DUMMYFUNCTION("IF(
ISNUMBER(MATCH(
C498,
IMPORTRANGE(""https://docs.google.com/spreadsheets/d/1yTh1ELC33JHYOeEdgIiEclxPRyh0zOKtlawDltfUay8"",""'Champions'!A:A""),
0
)),
""Outreach Conducted"",
"""")"),"")</f>
        <v/>
      </c>
      <c r="AC498" s="23"/>
      <c r="AD498" s="23"/>
      <c r="AE498" s="23"/>
      <c r="AF498" s="23"/>
      <c r="AG498" s="23"/>
      <c r="AH498" s="23"/>
      <c r="AI498" s="23"/>
      <c r="AJ498" s="23"/>
      <c r="AK498" s="23"/>
      <c r="AL498" s="23"/>
    </row>
    <row r="499" hidden="1">
      <c r="A499" s="32" t="s">
        <v>4222</v>
      </c>
      <c r="B499" s="32" t="s">
        <v>4223</v>
      </c>
      <c r="C499" s="23" t="str">
        <f t="shared" si="1"/>
        <v>Jared Zlotnick</v>
      </c>
      <c r="D499" s="32">
        <v>9.73768486E9</v>
      </c>
      <c r="E499" s="32" t="s">
        <v>4224</v>
      </c>
      <c r="F499" s="28" t="s">
        <v>769</v>
      </c>
      <c r="G499" s="32">
        <v>386.0</v>
      </c>
      <c r="H499" s="22">
        <f t="array" ref="H499">IFERROR(INDEX('Hub CPC 226'!A:A, MATCH(C499, 'Hub CPC 226'!B:B, 0)), "")</f>
        <v>558</v>
      </c>
      <c r="I499" s="22">
        <f t="array" ref="I499">IFERROR(INDEX('Hub Users 226'!A:A, MATCH(C499, 'Hub Users 226'!B:B, 0)), "")</f>
        <v>2457</v>
      </c>
      <c r="J499" s="22"/>
      <c r="K499" s="23" t="s">
        <v>4225</v>
      </c>
      <c r="L499" s="37">
        <v>44200.63888888889</v>
      </c>
      <c r="M499" s="28">
        <v>10.0</v>
      </c>
      <c r="N499" s="28">
        <v>27.0</v>
      </c>
      <c r="O499" s="28">
        <v>65.0</v>
      </c>
      <c r="P499" s="32">
        <v>1.0</v>
      </c>
      <c r="Q499" s="32" t="s">
        <v>4226</v>
      </c>
      <c r="R499" s="32" t="s">
        <v>4227</v>
      </c>
      <c r="S499" s="32" t="s">
        <v>271</v>
      </c>
      <c r="T499" s="22" t="s">
        <v>272</v>
      </c>
      <c r="U499" s="32" t="s">
        <v>533</v>
      </c>
      <c r="V499" s="23"/>
      <c r="W499" s="23"/>
      <c r="X499" s="23"/>
      <c r="Y499" s="23"/>
      <c r="Z499" s="23"/>
      <c r="AA499" s="23"/>
      <c r="AB499" s="23" t="str">
        <f>IFERROR(__xludf.DUMMYFUNCTION("IF(
ISNUMBER(MATCH(
C499,
IMPORTRANGE(""https://docs.google.com/spreadsheets/d/1yTh1ELC33JHYOeEdgIiEclxPRyh0zOKtlawDltfUay8"",""'Champions'!A:A""),
0
)),
""Outreach Conducted"",
"""")"),"")</f>
        <v/>
      </c>
      <c r="AC499" s="23"/>
      <c r="AD499" s="23"/>
      <c r="AE499" s="23"/>
      <c r="AF499" s="23"/>
      <c r="AG499" s="23"/>
      <c r="AH499" s="23"/>
      <c r="AI499" s="23"/>
      <c r="AJ499" s="23"/>
      <c r="AK499" s="23"/>
      <c r="AL499" s="23"/>
    </row>
    <row r="500" hidden="1">
      <c r="A500" s="32" t="s">
        <v>4228</v>
      </c>
      <c r="B500" s="32" t="s">
        <v>4229</v>
      </c>
      <c r="C500" s="23" t="str">
        <f t="shared" si="1"/>
        <v>Ehab Amin</v>
      </c>
      <c r="D500" s="32">
        <v>9.177890978E9</v>
      </c>
      <c r="E500" s="32" t="s">
        <v>4230</v>
      </c>
      <c r="F500" s="28" t="s">
        <v>769</v>
      </c>
      <c r="G500" s="32">
        <v>385.0</v>
      </c>
      <c r="H500" s="22">
        <f t="array" ref="H500">IFERROR(INDEX('Hub CPC 226'!A:A, MATCH(C500, 'Hub CPC 226'!B:B, 0)), "")</f>
        <v>559</v>
      </c>
      <c r="I500" s="22">
        <f t="array" ref="I500">IFERROR(INDEX('Hub Users 226'!A:A, MATCH(C500, 'Hub Users 226'!B:B, 0)), "")</f>
        <v>2458</v>
      </c>
      <c r="J500" s="22"/>
      <c r="K500" s="23" t="s">
        <v>4231</v>
      </c>
      <c r="L500" s="37">
        <v>44200.634722222225</v>
      </c>
      <c r="M500" s="23"/>
      <c r="N500" s="23"/>
      <c r="O500" s="23"/>
      <c r="P500" s="23"/>
      <c r="Q500" s="32" t="s">
        <v>4232</v>
      </c>
      <c r="R500" s="32" t="s">
        <v>4233</v>
      </c>
      <c r="S500" s="32" t="s">
        <v>4234</v>
      </c>
      <c r="T500" s="22" t="s">
        <v>381</v>
      </c>
      <c r="U500" s="32" t="s">
        <v>4235</v>
      </c>
      <c r="V500" s="23"/>
      <c r="W500" s="23"/>
      <c r="X500" s="23"/>
      <c r="Y500" s="23"/>
      <c r="Z500" s="23"/>
      <c r="AA500" s="23"/>
      <c r="AB500" s="23" t="str">
        <f>IFERROR(__xludf.DUMMYFUNCTION("IF(
ISNUMBER(MATCH(
C500,
IMPORTRANGE(""https://docs.google.com/spreadsheets/d/1yTh1ELC33JHYOeEdgIiEclxPRyh0zOKtlawDltfUay8"",""'Champions'!A:A""),
0
)),
""Outreach Conducted"",
"""")"),"")</f>
        <v/>
      </c>
      <c r="AC500" s="23"/>
      <c r="AD500" s="23"/>
      <c r="AE500" s="23"/>
      <c r="AF500" s="23"/>
      <c r="AG500" s="23"/>
      <c r="AH500" s="23"/>
      <c r="AI500" s="23"/>
      <c r="AJ500" s="23"/>
      <c r="AK500" s="23"/>
      <c r="AL500" s="23"/>
    </row>
    <row r="501" hidden="1">
      <c r="A501" s="32" t="s">
        <v>1824</v>
      </c>
      <c r="B501" s="32" t="s">
        <v>4236</v>
      </c>
      <c r="C501" s="23" t="str">
        <f t="shared" si="1"/>
        <v>Janelle Zwiren</v>
      </c>
      <c r="D501" s="32">
        <v>6.096513378E9</v>
      </c>
      <c r="E501" s="32" t="s">
        <v>4237</v>
      </c>
      <c r="F501" s="28" t="s">
        <v>2536</v>
      </c>
      <c r="G501" s="32">
        <v>384.0</v>
      </c>
      <c r="H501" s="22">
        <f t="array" ref="H501">IFERROR(INDEX('Hub CPC 226'!A:A, MATCH(C501, 'Hub CPC 226'!B:B, 0)), "")</f>
        <v>560</v>
      </c>
      <c r="I501" s="22">
        <f t="array" ref="I501">IFERROR(INDEX('Hub Users 226'!A:A, MATCH(C501, 'Hub Users 226'!B:B, 0)), "")</f>
        <v>2459</v>
      </c>
      <c r="J501" s="22"/>
      <c r="K501" s="28" t="s">
        <v>4238</v>
      </c>
      <c r="L501" s="37">
        <v>44200.62708333333</v>
      </c>
      <c r="M501" s="23"/>
      <c r="N501" s="23"/>
      <c r="O501" s="23"/>
      <c r="P501" s="23"/>
      <c r="Q501" s="32" t="s">
        <v>4239</v>
      </c>
      <c r="R501" s="32" t="s">
        <v>4240</v>
      </c>
      <c r="S501" s="22" t="s">
        <v>4241</v>
      </c>
      <c r="T501" s="22" t="s">
        <v>241</v>
      </c>
      <c r="U501" s="32" t="s">
        <v>4242</v>
      </c>
      <c r="V501" s="23"/>
      <c r="W501" s="23"/>
      <c r="X501" s="23"/>
      <c r="Y501" s="23"/>
      <c r="Z501" s="23"/>
      <c r="AA501" s="23"/>
      <c r="AB501" s="23" t="str">
        <f>IFERROR(__xludf.DUMMYFUNCTION("IF(
ISNUMBER(MATCH(
C501,
IMPORTRANGE(""https://docs.google.com/spreadsheets/d/1yTh1ELC33JHYOeEdgIiEclxPRyh0zOKtlawDltfUay8"",""'Champions'!A:A""),
0
)),
""Outreach Conducted"",
"""")"),"")</f>
        <v/>
      </c>
      <c r="AC501" s="23"/>
      <c r="AD501" s="23"/>
      <c r="AE501" s="23"/>
      <c r="AF501" s="23"/>
      <c r="AG501" s="23"/>
      <c r="AH501" s="23"/>
      <c r="AI501" s="23"/>
      <c r="AJ501" s="23"/>
      <c r="AK501" s="23"/>
      <c r="AL501" s="23"/>
    </row>
    <row r="502" hidden="1">
      <c r="A502" s="32" t="s">
        <v>4243</v>
      </c>
      <c r="B502" s="32" t="s">
        <v>4244</v>
      </c>
      <c r="C502" s="23" t="str">
        <f t="shared" si="1"/>
        <v>Nicolla Martin</v>
      </c>
      <c r="D502" s="32">
        <v>3.47776925E9</v>
      </c>
      <c r="E502" s="32" t="s">
        <v>4245</v>
      </c>
      <c r="F502" s="28" t="s">
        <v>2536</v>
      </c>
      <c r="G502" s="32">
        <v>383.0</v>
      </c>
      <c r="H502" s="22">
        <f t="array" ref="H502">IFERROR(INDEX('Hub CPC 226'!A:A, MATCH(C502, 'Hub CPC 226'!B:B, 0)), "")</f>
        <v>561</v>
      </c>
      <c r="I502" s="22">
        <f t="array" ref="I502">IFERROR(INDEX('Hub Users 226'!A:A, MATCH(C502, 'Hub Users 226'!B:B, 0)), "")</f>
        <v>2460</v>
      </c>
      <c r="J502" s="22"/>
      <c r="K502" s="23" t="s">
        <v>4246</v>
      </c>
      <c r="L502" s="37">
        <v>44200.62291666667</v>
      </c>
      <c r="M502" s="28">
        <v>5.0</v>
      </c>
      <c r="N502" s="28">
        <v>14.0</v>
      </c>
      <c r="O502" s="28">
        <v>33.0</v>
      </c>
      <c r="P502" s="32">
        <v>27.0</v>
      </c>
      <c r="Q502" s="32" t="s">
        <v>4247</v>
      </c>
      <c r="R502" s="32" t="s">
        <v>2155</v>
      </c>
      <c r="S502" s="22" t="s">
        <v>1173</v>
      </c>
      <c r="T502" s="22" t="s">
        <v>272</v>
      </c>
      <c r="U502" s="32" t="s">
        <v>4248</v>
      </c>
      <c r="V502" s="23"/>
      <c r="W502" s="23"/>
      <c r="X502" s="23"/>
      <c r="Y502" s="23"/>
      <c r="Z502" s="23"/>
      <c r="AA502" s="23"/>
      <c r="AB502" s="23" t="str">
        <f>IFERROR(__xludf.DUMMYFUNCTION("IF(
ISNUMBER(MATCH(
C502,
IMPORTRANGE(""https://docs.google.com/spreadsheets/d/1yTh1ELC33JHYOeEdgIiEclxPRyh0zOKtlawDltfUay8"",""'Champions'!A:A""),
0
)),
""Outreach Conducted"",
"""")"),"")</f>
        <v/>
      </c>
      <c r="AC502" s="23"/>
      <c r="AD502" s="23"/>
      <c r="AE502" s="23"/>
      <c r="AF502" s="23"/>
      <c r="AG502" s="23"/>
      <c r="AH502" s="23"/>
      <c r="AI502" s="23"/>
      <c r="AJ502" s="23"/>
      <c r="AK502" s="23"/>
      <c r="AL502" s="23"/>
    </row>
    <row r="503" hidden="1">
      <c r="A503" s="32" t="s">
        <v>4249</v>
      </c>
      <c r="B503" s="32" t="s">
        <v>4250</v>
      </c>
      <c r="C503" s="23" t="str">
        <f t="shared" si="1"/>
        <v>Farah Anita Minwalla</v>
      </c>
      <c r="D503" s="32" t="s">
        <v>4251</v>
      </c>
      <c r="E503" s="32" t="s">
        <v>4252</v>
      </c>
      <c r="F503" s="28" t="s">
        <v>769</v>
      </c>
      <c r="G503" s="32">
        <v>380.0</v>
      </c>
      <c r="H503" s="22">
        <f t="array" ref="H503">IFERROR(INDEX('Hub CPC 226'!A:A, MATCH(C503, 'Hub CPC 226'!B:B, 0)), "")</f>
        <v>562</v>
      </c>
      <c r="I503" s="22">
        <f t="array" ref="I503">IFERROR(INDEX('Hub Users 226'!A:A, MATCH(C503, 'Hub Users 226'!B:B, 0)), "")</f>
        <v>2461</v>
      </c>
      <c r="J503" s="22"/>
      <c r="K503" s="23" t="s">
        <v>4253</v>
      </c>
      <c r="L503" s="37">
        <v>44197.53402777778</v>
      </c>
      <c r="M503" s="23"/>
      <c r="N503" s="23"/>
      <c r="O503" s="23"/>
      <c r="P503" s="23"/>
      <c r="Q503" s="32" t="s">
        <v>4254</v>
      </c>
      <c r="R503" s="32" t="s">
        <v>4255</v>
      </c>
      <c r="S503" s="24"/>
      <c r="T503" s="24"/>
      <c r="U503" s="32" t="s">
        <v>4256</v>
      </c>
      <c r="V503" s="23"/>
      <c r="W503" s="23"/>
      <c r="X503" s="23"/>
      <c r="Y503" s="23"/>
      <c r="Z503" s="23"/>
      <c r="AA503" s="23"/>
      <c r="AB503" s="23" t="str">
        <f>IFERROR(__xludf.DUMMYFUNCTION("IF(
ISNUMBER(MATCH(
C503,
IMPORTRANGE(""https://docs.google.com/spreadsheets/d/1yTh1ELC33JHYOeEdgIiEclxPRyh0zOKtlawDltfUay8"",""'Champions'!A:A""),
0
)),
""Outreach Conducted"",
"""")"),"")</f>
        <v/>
      </c>
      <c r="AC503" s="23"/>
      <c r="AD503" s="23"/>
      <c r="AE503" s="23"/>
      <c r="AF503" s="23"/>
      <c r="AG503" s="23"/>
      <c r="AH503" s="23"/>
      <c r="AI503" s="23"/>
      <c r="AJ503" s="23"/>
      <c r="AK503" s="23"/>
      <c r="AL503" s="23"/>
    </row>
    <row r="504" hidden="1">
      <c r="A504" s="32" t="s">
        <v>3108</v>
      </c>
      <c r="B504" s="32" t="s">
        <v>847</v>
      </c>
      <c r="C504" s="23" t="str">
        <f t="shared" si="1"/>
        <v>Stephanie Guzman</v>
      </c>
      <c r="D504" s="32">
        <v>6.314697841E9</v>
      </c>
      <c r="E504" s="32" t="s">
        <v>4257</v>
      </c>
      <c r="F504" s="28" t="s">
        <v>2536</v>
      </c>
      <c r="G504" s="32">
        <v>377.0</v>
      </c>
      <c r="H504" s="22">
        <f t="array" ref="H504">IFERROR(INDEX('Hub CPC 226'!A:A, MATCH(C504, 'Hub CPC 226'!B:B, 0)), "")</f>
        <v>563</v>
      </c>
      <c r="I504" s="22">
        <f t="array" ref="I504">IFERROR(INDEX('Hub Users 226'!A:A, MATCH(C504, 'Hub Users 226'!B:B, 0)), "")</f>
        <v>2462</v>
      </c>
      <c r="J504" s="22"/>
      <c r="K504" s="23" t="s">
        <v>4258</v>
      </c>
      <c r="L504" s="37">
        <v>44197.52222222222</v>
      </c>
      <c r="M504" s="28">
        <v>2.0</v>
      </c>
      <c r="N504" s="28">
        <v>4.0</v>
      </c>
      <c r="O504" s="28">
        <v>6.0</v>
      </c>
      <c r="P504" s="31"/>
      <c r="Q504" s="32" t="s">
        <v>4259</v>
      </c>
      <c r="R504" s="32" t="s">
        <v>4260</v>
      </c>
      <c r="S504" s="22" t="s">
        <v>2004</v>
      </c>
      <c r="T504" s="22" t="s">
        <v>272</v>
      </c>
      <c r="U504" s="32" t="s">
        <v>4261</v>
      </c>
      <c r="V504" s="23"/>
      <c r="W504" s="23"/>
      <c r="X504" s="23"/>
      <c r="Y504" s="23"/>
      <c r="Z504" s="23"/>
      <c r="AA504" s="23"/>
      <c r="AB504" s="23" t="str">
        <f>IFERROR(__xludf.DUMMYFUNCTION("IF(
ISNUMBER(MATCH(
C504,
IMPORTRANGE(""https://docs.google.com/spreadsheets/d/1yTh1ELC33JHYOeEdgIiEclxPRyh0zOKtlawDltfUay8"",""'Champions'!A:A""),
0
)),
""Outreach Conducted"",
"""")"),"")</f>
        <v/>
      </c>
      <c r="AC504" s="23"/>
      <c r="AD504" s="23"/>
      <c r="AE504" s="23"/>
      <c r="AF504" s="23"/>
      <c r="AG504" s="23"/>
      <c r="AH504" s="23"/>
      <c r="AI504" s="23"/>
      <c r="AJ504" s="23"/>
      <c r="AK504" s="23"/>
      <c r="AL504" s="23"/>
    </row>
    <row r="505" hidden="1">
      <c r="A505" s="32" t="s">
        <v>3672</v>
      </c>
      <c r="B505" s="32" t="s">
        <v>4262</v>
      </c>
      <c r="C505" s="23" t="str">
        <f t="shared" si="1"/>
        <v>Thomas Bosket</v>
      </c>
      <c r="D505" s="32" t="s">
        <v>4263</v>
      </c>
      <c r="E505" s="32" t="s">
        <v>4264</v>
      </c>
      <c r="F505" s="28" t="s">
        <v>769</v>
      </c>
      <c r="G505" s="32">
        <v>368.0</v>
      </c>
      <c r="H505" s="22">
        <f t="array" ref="H505">IFERROR(INDEX('Hub CPC 226'!A:A, MATCH(C505, 'Hub CPC 226'!B:B, 0)), "")</f>
        <v>564</v>
      </c>
      <c r="I505" s="22">
        <f t="array" ref="I505">IFERROR(INDEX('Hub Users 226'!A:A, MATCH(C505, 'Hub Users 226'!B:B, 0)), "")</f>
        <v>2463</v>
      </c>
      <c r="J505" s="22"/>
      <c r="K505" s="23" t="s">
        <v>4265</v>
      </c>
      <c r="L505" s="38">
        <v>44160.643055555556</v>
      </c>
      <c r="M505" s="28"/>
      <c r="N505" s="28"/>
      <c r="O505" s="28"/>
      <c r="P505" s="31"/>
      <c r="Q505" s="32" t="s">
        <v>4266</v>
      </c>
      <c r="R505" s="32" t="s">
        <v>4267</v>
      </c>
      <c r="S505" s="32" t="s">
        <v>4268</v>
      </c>
      <c r="T505" s="22" t="s">
        <v>272</v>
      </c>
      <c r="U505" s="32" t="s">
        <v>4269</v>
      </c>
      <c r="V505" s="23"/>
      <c r="W505" s="23"/>
      <c r="X505" s="23"/>
      <c r="Y505" s="23"/>
      <c r="Z505" s="23"/>
      <c r="AA505" s="23"/>
      <c r="AB505" s="23" t="str">
        <f>IFERROR(__xludf.DUMMYFUNCTION("IF(
ISNUMBER(MATCH(
C505,
IMPORTRANGE(""https://docs.google.com/spreadsheets/d/1yTh1ELC33JHYOeEdgIiEclxPRyh0zOKtlawDltfUay8"",""'Champions'!A:A""),
0
)),
""Outreach Conducted"",
"""")"),"")</f>
        <v/>
      </c>
      <c r="AC505" s="23"/>
      <c r="AD505" s="23"/>
      <c r="AE505" s="23"/>
      <c r="AF505" s="23"/>
      <c r="AG505" s="23"/>
      <c r="AH505" s="23"/>
      <c r="AI505" s="23"/>
      <c r="AJ505" s="23"/>
      <c r="AK505" s="23"/>
      <c r="AL505" s="23"/>
    </row>
    <row r="506" hidden="1">
      <c r="A506" s="32" t="s">
        <v>265</v>
      </c>
      <c r="B506" s="32" t="s">
        <v>4270</v>
      </c>
      <c r="C506" s="23" t="str">
        <f t="shared" si="1"/>
        <v>Andres Duran</v>
      </c>
      <c r="D506" s="32">
        <v>5.624496176E9</v>
      </c>
      <c r="E506" s="32" t="s">
        <v>4271</v>
      </c>
      <c r="F506" s="28" t="s">
        <v>769</v>
      </c>
      <c r="G506" s="32">
        <v>367.0</v>
      </c>
      <c r="H506" s="22">
        <f t="array" ref="H506">IFERROR(INDEX('Hub CPC 226'!A:A, MATCH(C506, 'Hub CPC 226'!B:B, 0)), "")</f>
        <v>565</v>
      </c>
      <c r="I506" s="22">
        <f t="array" ref="I506">IFERROR(INDEX('Hub Users 226'!A:A, MATCH(C506, 'Hub Users 226'!B:B, 0)), "")</f>
        <v>2464</v>
      </c>
      <c r="J506" s="22"/>
      <c r="K506" s="28" t="s">
        <v>4272</v>
      </c>
      <c r="L506" s="38">
        <v>44151.59444444445</v>
      </c>
      <c r="M506" s="23"/>
      <c r="N506" s="23"/>
      <c r="O506" s="23"/>
      <c r="P506" s="23"/>
      <c r="Q506" s="32" t="s">
        <v>4273</v>
      </c>
      <c r="R506" s="31"/>
      <c r="S506" s="22" t="s">
        <v>3626</v>
      </c>
      <c r="T506" s="22" t="s">
        <v>252</v>
      </c>
      <c r="U506" s="31"/>
      <c r="V506" s="23"/>
      <c r="W506" s="23"/>
      <c r="X506" s="23"/>
      <c r="Y506" s="23"/>
      <c r="Z506" s="23"/>
      <c r="AA506" s="23"/>
      <c r="AB506" s="23" t="str">
        <f>IFERROR(__xludf.DUMMYFUNCTION("IF(
ISNUMBER(MATCH(
C506,
IMPORTRANGE(""https://docs.google.com/spreadsheets/d/1yTh1ELC33JHYOeEdgIiEclxPRyh0zOKtlawDltfUay8"",""'Champions'!A:A""),
0
)),
""Outreach Conducted"",
"""")"),"")</f>
        <v/>
      </c>
      <c r="AC506" s="23"/>
      <c r="AD506" s="23"/>
      <c r="AE506" s="23"/>
      <c r="AF506" s="23"/>
      <c r="AG506" s="23"/>
      <c r="AH506" s="23"/>
      <c r="AI506" s="23"/>
      <c r="AJ506" s="23"/>
      <c r="AK506" s="23"/>
      <c r="AL506" s="23"/>
    </row>
    <row r="507" hidden="1">
      <c r="A507" s="32" t="s">
        <v>4274</v>
      </c>
      <c r="B507" s="32" t="s">
        <v>4275</v>
      </c>
      <c r="C507" s="23" t="str">
        <f t="shared" si="1"/>
        <v>Savanna Louise Brown</v>
      </c>
      <c r="D507" s="32">
        <v>2.156945019E9</v>
      </c>
      <c r="E507" s="32" t="s">
        <v>4276</v>
      </c>
      <c r="F507" s="28" t="s">
        <v>769</v>
      </c>
      <c r="G507" s="32">
        <v>360.0</v>
      </c>
      <c r="H507" s="22">
        <f t="array" ref="H507">IFERROR(INDEX('Hub CPC 226'!A:A, MATCH(C507, 'Hub CPC 226'!B:B, 0)), "")</f>
        <v>567</v>
      </c>
      <c r="I507" s="22">
        <f t="array" ref="I507">IFERROR(INDEX('Hub Users 226'!A:A, MATCH(C507, 'Hub Users 226'!B:B, 0)), "")</f>
        <v>2466</v>
      </c>
      <c r="J507" s="22"/>
      <c r="K507" s="23" t="s">
        <v>4277</v>
      </c>
      <c r="L507" s="38">
        <v>44116.51180555556</v>
      </c>
      <c r="M507" s="23"/>
      <c r="N507" s="23"/>
      <c r="O507" s="23"/>
      <c r="P507" s="23"/>
      <c r="Q507" s="32" t="s">
        <v>4278</v>
      </c>
      <c r="R507" s="32" t="s">
        <v>4279</v>
      </c>
      <c r="S507" s="32" t="s">
        <v>2298</v>
      </c>
      <c r="T507" s="22" t="s">
        <v>381</v>
      </c>
      <c r="U507" s="32" t="s">
        <v>4280</v>
      </c>
      <c r="V507" s="23"/>
      <c r="W507" s="23"/>
      <c r="X507" s="23"/>
      <c r="Y507" s="23"/>
      <c r="Z507" s="23"/>
      <c r="AA507" s="23"/>
      <c r="AB507" s="23" t="str">
        <f>IFERROR(__xludf.DUMMYFUNCTION("IF(
ISNUMBER(MATCH(
C507,
IMPORTRANGE(""https://docs.google.com/spreadsheets/d/1yTh1ELC33JHYOeEdgIiEclxPRyh0zOKtlawDltfUay8"",""'Champions'!A:A""),
0
)),
""Outreach Conducted"",
"""")"),"")</f>
        <v/>
      </c>
      <c r="AC507" s="23"/>
      <c r="AD507" s="23"/>
      <c r="AE507" s="23"/>
      <c r="AF507" s="23"/>
      <c r="AG507" s="23"/>
      <c r="AH507" s="23"/>
      <c r="AI507" s="23"/>
      <c r="AJ507" s="23"/>
      <c r="AK507" s="23"/>
      <c r="AL507" s="23"/>
    </row>
    <row r="508" hidden="1">
      <c r="A508" s="32" t="s">
        <v>4281</v>
      </c>
      <c r="B508" s="32" t="s">
        <v>4282</v>
      </c>
      <c r="C508" s="23" t="str">
        <f t="shared" si="1"/>
        <v>Ashley Wu</v>
      </c>
      <c r="D508" s="32">
        <v>7.326184105E9</v>
      </c>
      <c r="E508" s="32" t="s">
        <v>4283</v>
      </c>
      <c r="F508" s="28" t="s">
        <v>769</v>
      </c>
      <c r="G508" s="32">
        <v>358.0</v>
      </c>
      <c r="H508" s="22">
        <f t="array" ref="H508">IFERROR(INDEX('Hub CPC 226'!A:A, MATCH(C508, 'Hub CPC 226'!B:B, 0)), "")</f>
        <v>568</v>
      </c>
      <c r="I508" s="22">
        <f t="array" ref="I508">IFERROR(INDEX('Hub Users 226'!A:A, MATCH(C508, 'Hub Users 226'!B:B, 0)), "")</f>
        <v>2467</v>
      </c>
      <c r="J508" s="22"/>
      <c r="K508" s="23" t="s">
        <v>4284</v>
      </c>
      <c r="L508" s="38">
        <v>44116.50763888889</v>
      </c>
      <c r="M508" s="28">
        <v>13.0</v>
      </c>
      <c r="N508" s="28">
        <v>30.0</v>
      </c>
      <c r="O508" s="28">
        <v>70.0</v>
      </c>
      <c r="P508" s="32">
        <v>9.0</v>
      </c>
      <c r="Q508" s="32" t="s">
        <v>4285</v>
      </c>
      <c r="R508" s="32" t="s">
        <v>4227</v>
      </c>
      <c r="S508" s="32" t="s">
        <v>4227</v>
      </c>
      <c r="T508" s="22" t="s">
        <v>272</v>
      </c>
      <c r="U508" s="32" t="s">
        <v>4286</v>
      </c>
      <c r="V508" s="26" t="s">
        <v>360</v>
      </c>
      <c r="W508" s="27" t="s">
        <v>4287</v>
      </c>
      <c r="X508" s="26" t="s">
        <v>619</v>
      </c>
      <c r="Y508" s="23"/>
      <c r="Z508" s="23"/>
      <c r="AA508" s="23"/>
      <c r="AB508" s="23" t="str">
        <f>IFERROR(__xludf.DUMMYFUNCTION("IF(
ISNUMBER(MATCH(
C508,
IMPORTRANGE(""https://docs.google.com/spreadsheets/d/1yTh1ELC33JHYOeEdgIiEclxPRyh0zOKtlawDltfUay8"",""'Champions'!A:A""),
0
)),
""Outreach Conducted"",
"""")"),"")</f>
        <v/>
      </c>
      <c r="AC508" s="23"/>
      <c r="AD508" s="23"/>
      <c r="AE508" s="23"/>
      <c r="AF508" s="23"/>
      <c r="AG508" s="23"/>
      <c r="AH508" s="23"/>
      <c r="AI508" s="23"/>
      <c r="AJ508" s="23"/>
      <c r="AK508" s="23"/>
      <c r="AL508" s="23"/>
    </row>
    <row r="509" hidden="1">
      <c r="A509" s="32" t="s">
        <v>4288</v>
      </c>
      <c r="B509" s="32" t="s">
        <v>4289</v>
      </c>
      <c r="C509" s="23" t="str">
        <f t="shared" si="1"/>
        <v>Olabode (Bode) Ogundare</v>
      </c>
      <c r="D509" s="32">
        <v>7.322079679E9</v>
      </c>
      <c r="E509" s="32" t="s">
        <v>4290</v>
      </c>
      <c r="F509" s="28" t="s">
        <v>769</v>
      </c>
      <c r="G509" s="32">
        <v>351.0</v>
      </c>
      <c r="H509" s="22">
        <f t="array" ref="H509">IFERROR(INDEX('Hub CPC 226'!A:A, MATCH(C509, 'Hub CPC 226'!B:B, 0)), "")</f>
        <v>569</v>
      </c>
      <c r="I509" s="22">
        <f t="array" ref="I509">IFERROR(INDEX('Hub Users 226'!A:A, MATCH(C509, 'Hub Users 226'!B:B, 0)), "")</f>
        <v>2468</v>
      </c>
      <c r="J509" s="22"/>
      <c r="K509" s="23" t="s">
        <v>4291</v>
      </c>
      <c r="L509" s="37">
        <v>44095.71597222222</v>
      </c>
      <c r="M509" s="23"/>
      <c r="N509" s="23"/>
      <c r="O509" s="23"/>
      <c r="P509" s="23"/>
      <c r="Q509" s="32" t="s">
        <v>4292</v>
      </c>
      <c r="R509" s="32" t="s">
        <v>2114</v>
      </c>
      <c r="S509" s="22" t="s">
        <v>1371</v>
      </c>
      <c r="T509" s="22" t="s">
        <v>1372</v>
      </c>
      <c r="U509" s="32" t="s">
        <v>4293</v>
      </c>
      <c r="V509" s="23"/>
      <c r="W509" s="23"/>
      <c r="X509" s="23"/>
      <c r="Y509" s="23"/>
      <c r="Z509" s="23"/>
      <c r="AA509" s="23"/>
      <c r="AB509" s="23" t="str">
        <f>IFERROR(__xludf.DUMMYFUNCTION("IF(
ISNUMBER(MATCH(
C509,
IMPORTRANGE(""https://docs.google.com/spreadsheets/d/1yTh1ELC33JHYOeEdgIiEclxPRyh0zOKtlawDltfUay8"",""'Champions'!A:A""),
0
)),
""Outreach Conducted"",
"""")"),"")</f>
        <v/>
      </c>
      <c r="AC509" s="23"/>
      <c r="AD509" s="23"/>
      <c r="AE509" s="23"/>
      <c r="AF509" s="23"/>
      <c r="AG509" s="23"/>
      <c r="AH509" s="23"/>
      <c r="AI509" s="23"/>
      <c r="AJ509" s="23"/>
      <c r="AK509" s="23"/>
      <c r="AL509" s="23"/>
    </row>
    <row r="510" hidden="1">
      <c r="A510" s="32" t="s">
        <v>2881</v>
      </c>
      <c r="B510" s="32" t="s">
        <v>4294</v>
      </c>
      <c r="C510" s="23" t="str">
        <f t="shared" si="1"/>
        <v>Rachel Schochet</v>
      </c>
      <c r="D510" s="32">
        <v>4.156081244E9</v>
      </c>
      <c r="E510" s="32" t="s">
        <v>4295</v>
      </c>
      <c r="F510" s="28" t="s">
        <v>769</v>
      </c>
      <c r="G510" s="32">
        <v>349.0</v>
      </c>
      <c r="H510" s="22">
        <f t="array" ref="H510">IFERROR(INDEX('Hub CPC 226'!A:A, MATCH(C510, 'Hub CPC 226'!B:B, 0)), "")</f>
        <v>570</v>
      </c>
      <c r="I510" s="22">
        <f t="array" ref="I510">IFERROR(INDEX('Hub Users 226'!A:A, MATCH(C510, 'Hub Users 226'!B:B, 0)), "")</f>
        <v>2469</v>
      </c>
      <c r="J510" s="22"/>
      <c r="K510" s="23" t="s">
        <v>4296</v>
      </c>
      <c r="L510" s="37">
        <v>44085.51666666667</v>
      </c>
      <c r="M510" s="23"/>
      <c r="N510" s="23"/>
      <c r="O510" s="23"/>
      <c r="P510" s="23"/>
      <c r="Q510" s="32" t="s">
        <v>4297</v>
      </c>
      <c r="R510" s="32" t="s">
        <v>4298</v>
      </c>
      <c r="S510" s="32" t="s">
        <v>4299</v>
      </c>
      <c r="T510" s="22" t="s">
        <v>252</v>
      </c>
      <c r="U510" s="32" t="s">
        <v>1823</v>
      </c>
      <c r="V510" s="26" t="s">
        <v>360</v>
      </c>
      <c r="W510" s="27" t="s">
        <v>4300</v>
      </c>
      <c r="X510" s="26" t="s">
        <v>629</v>
      </c>
      <c r="Y510" s="23"/>
      <c r="Z510" s="23"/>
      <c r="AA510" s="23"/>
      <c r="AB510" s="23" t="str">
        <f>IFERROR(__xludf.DUMMYFUNCTION("IF(
ISNUMBER(MATCH(
C510,
IMPORTRANGE(""https://docs.google.com/spreadsheets/d/1yTh1ELC33JHYOeEdgIiEclxPRyh0zOKtlawDltfUay8"",""'Champions'!A:A""),
0
)),
""Outreach Conducted"",
"""")"),"")</f>
        <v/>
      </c>
      <c r="AC510" s="23"/>
      <c r="AD510" s="23"/>
      <c r="AE510" s="23"/>
      <c r="AF510" s="23"/>
      <c r="AG510" s="23"/>
      <c r="AH510" s="23"/>
      <c r="AI510" s="23"/>
      <c r="AJ510" s="23"/>
      <c r="AK510" s="23"/>
      <c r="AL510" s="23"/>
    </row>
    <row r="511" hidden="1">
      <c r="A511" s="32" t="s">
        <v>4301</v>
      </c>
      <c r="B511" s="32" t="s">
        <v>4302</v>
      </c>
      <c r="C511" s="23" t="str">
        <f t="shared" si="1"/>
        <v>Raufu Riliwan Ganiyu</v>
      </c>
      <c r="D511" s="32">
        <v>7.013987587E9</v>
      </c>
      <c r="E511" s="32" t="s">
        <v>4303</v>
      </c>
      <c r="F511" s="28" t="s">
        <v>769</v>
      </c>
      <c r="G511" s="32">
        <v>348.0</v>
      </c>
      <c r="H511" s="22">
        <f t="array" ref="H511">IFERROR(INDEX('Hub CPC 226'!A:A, MATCH(C511, 'Hub CPC 226'!B:B, 0)), "")</f>
        <v>571</v>
      </c>
      <c r="I511" s="22">
        <f t="array" ref="I511">IFERROR(INDEX('Hub Users 226'!A:A, MATCH(C511, 'Hub Users 226'!B:B, 0)), "")</f>
        <v>2470</v>
      </c>
      <c r="J511" s="22"/>
      <c r="K511" s="23" t="s">
        <v>4304</v>
      </c>
      <c r="L511" s="37">
        <v>44085.51388888889</v>
      </c>
      <c r="M511" s="23"/>
      <c r="N511" s="23"/>
      <c r="O511" s="23"/>
      <c r="P511" s="23"/>
      <c r="Q511" s="32" t="s">
        <v>4305</v>
      </c>
      <c r="R511" s="32" t="s">
        <v>4306</v>
      </c>
      <c r="S511" s="24"/>
      <c r="T511" s="24"/>
      <c r="U511" s="32" t="s">
        <v>4307</v>
      </c>
      <c r="V511" s="23"/>
      <c r="W511" s="23"/>
      <c r="X511" s="23"/>
      <c r="Y511" s="23"/>
      <c r="Z511" s="23"/>
      <c r="AA511" s="23"/>
      <c r="AB511" s="23" t="str">
        <f>IFERROR(__xludf.DUMMYFUNCTION("IF(
ISNUMBER(MATCH(
C511,
IMPORTRANGE(""https://docs.google.com/spreadsheets/d/1yTh1ELC33JHYOeEdgIiEclxPRyh0zOKtlawDltfUay8"",""'Champions'!A:A""),
0
)),
""Outreach Conducted"",
"""")"),"")</f>
        <v/>
      </c>
      <c r="AC511" s="23"/>
      <c r="AD511" s="23"/>
      <c r="AE511" s="23"/>
      <c r="AF511" s="23"/>
      <c r="AG511" s="23"/>
      <c r="AH511" s="23"/>
      <c r="AI511" s="23"/>
      <c r="AJ511" s="23"/>
      <c r="AK511" s="23"/>
      <c r="AL511" s="23"/>
    </row>
    <row r="512" hidden="1">
      <c r="A512" s="32" t="s">
        <v>4308</v>
      </c>
      <c r="B512" s="32" t="s">
        <v>4309</v>
      </c>
      <c r="C512" s="23" t="str">
        <f t="shared" si="1"/>
        <v>Leana Huynh</v>
      </c>
      <c r="D512" s="32">
        <v>6.262516152E9</v>
      </c>
      <c r="E512" s="32" t="s">
        <v>4310</v>
      </c>
      <c r="F512" s="28" t="s">
        <v>769</v>
      </c>
      <c r="G512" s="32">
        <v>347.0</v>
      </c>
      <c r="H512" s="22">
        <f t="array" ref="H512">IFERROR(INDEX('Hub CPC 226'!A:A, MATCH(C512, 'Hub CPC 226'!B:B, 0)), "")</f>
        <v>572</v>
      </c>
      <c r="I512" s="22">
        <f t="array" ref="I512">IFERROR(INDEX('Hub Users 226'!A:A, MATCH(C512, 'Hub Users 226'!B:B, 0)), "")</f>
        <v>2471</v>
      </c>
      <c r="J512" s="22"/>
      <c r="K512" s="23" t="s">
        <v>4311</v>
      </c>
      <c r="L512" s="37">
        <v>44077.53194444445</v>
      </c>
      <c r="M512" s="23"/>
      <c r="N512" s="23"/>
      <c r="O512" s="23"/>
      <c r="P512" s="23"/>
      <c r="Q512" s="32" t="s">
        <v>4312</v>
      </c>
      <c r="R512" s="32" t="s">
        <v>974</v>
      </c>
      <c r="S512" s="32" t="s">
        <v>974</v>
      </c>
      <c r="T512" s="22" t="s">
        <v>252</v>
      </c>
      <c r="U512" s="32" t="s">
        <v>3166</v>
      </c>
      <c r="V512" s="23"/>
      <c r="W512" s="23"/>
      <c r="X512" s="23"/>
      <c r="Y512" s="23"/>
      <c r="Z512" s="23"/>
      <c r="AA512" s="23"/>
      <c r="AB512" s="23" t="str">
        <f>IFERROR(__xludf.DUMMYFUNCTION("IF(
ISNUMBER(MATCH(
C512,
IMPORTRANGE(""https://docs.google.com/spreadsheets/d/1yTh1ELC33JHYOeEdgIiEclxPRyh0zOKtlawDltfUay8"",""'Champions'!A:A""),
0
)),
""Outreach Conducted"",
"""")"),"")</f>
        <v/>
      </c>
      <c r="AC512" s="23"/>
      <c r="AD512" s="23"/>
      <c r="AE512" s="23"/>
      <c r="AF512" s="23"/>
      <c r="AG512" s="23"/>
      <c r="AH512" s="23"/>
      <c r="AI512" s="23"/>
      <c r="AJ512" s="23"/>
      <c r="AK512" s="23"/>
      <c r="AL512" s="23"/>
    </row>
    <row r="513" hidden="1">
      <c r="A513" s="32" t="s">
        <v>4313</v>
      </c>
      <c r="B513" s="32" t="s">
        <v>4314</v>
      </c>
      <c r="C513" s="23" t="str">
        <f t="shared" si="1"/>
        <v>Maanas Bukkuri</v>
      </c>
      <c r="D513" s="32">
        <v>5.625415414E9</v>
      </c>
      <c r="E513" s="32" t="s">
        <v>4315</v>
      </c>
      <c r="F513" s="28" t="s">
        <v>769</v>
      </c>
      <c r="G513" s="32">
        <v>345.0</v>
      </c>
      <c r="H513" s="22">
        <f t="array" ref="H513">IFERROR(INDEX('Hub CPC 226'!A:A, MATCH(C513, 'Hub CPC 226'!B:B, 0)), "")</f>
        <v>573</v>
      </c>
      <c r="I513" s="22">
        <f t="array" ref="I513">IFERROR(INDEX('Hub Users 226'!A:A, MATCH(C513, 'Hub Users 226'!B:B, 0)), "")</f>
        <v>2472</v>
      </c>
      <c r="J513" s="22"/>
      <c r="K513" s="23" t="s">
        <v>4316</v>
      </c>
      <c r="L513" s="37">
        <v>44067.78680555556</v>
      </c>
      <c r="M513" s="23"/>
      <c r="N513" s="23"/>
      <c r="O513" s="23"/>
      <c r="P513" s="23"/>
      <c r="Q513" s="32" t="s">
        <v>4317</v>
      </c>
      <c r="R513" s="32" t="s">
        <v>1247</v>
      </c>
      <c r="S513" s="32" t="s">
        <v>1247</v>
      </c>
      <c r="T513" s="22" t="s">
        <v>252</v>
      </c>
      <c r="U513" s="32" t="s">
        <v>4318</v>
      </c>
      <c r="V513" s="23"/>
      <c r="W513" s="23"/>
      <c r="X513" s="23"/>
      <c r="Y513" s="23"/>
      <c r="Z513" s="23"/>
      <c r="AA513" s="23"/>
      <c r="AB513" s="23" t="str">
        <f>IFERROR(__xludf.DUMMYFUNCTION("IF(
ISNUMBER(MATCH(
C513,
IMPORTRANGE(""https://docs.google.com/spreadsheets/d/1yTh1ELC33JHYOeEdgIiEclxPRyh0zOKtlawDltfUay8"",""'Champions'!A:A""),
0
)),
""Outreach Conducted"",
"""")"),"")</f>
        <v/>
      </c>
      <c r="AC513" s="23"/>
      <c r="AD513" s="23"/>
      <c r="AE513" s="23"/>
      <c r="AF513" s="23"/>
      <c r="AG513" s="23"/>
      <c r="AH513" s="23"/>
      <c r="AI513" s="23"/>
      <c r="AJ513" s="23"/>
      <c r="AK513" s="23"/>
      <c r="AL513" s="23"/>
    </row>
    <row r="514" hidden="1">
      <c r="A514" s="32" t="s">
        <v>597</v>
      </c>
      <c r="B514" s="32" t="s">
        <v>4319</v>
      </c>
      <c r="C514" s="23" t="str">
        <f t="shared" si="1"/>
        <v>April Ta'Sha Swayzer</v>
      </c>
      <c r="D514" s="32">
        <v>4.086488922E9</v>
      </c>
      <c r="E514" s="32" t="s">
        <v>4320</v>
      </c>
      <c r="F514" s="28" t="s">
        <v>769</v>
      </c>
      <c r="G514" s="32">
        <v>343.0</v>
      </c>
      <c r="H514" s="22">
        <f t="array" ref="H514">IFERROR(INDEX('Hub CPC 226'!A:A, MATCH(C514, 'Hub CPC 226'!B:B, 0)), "")</f>
        <v>575</v>
      </c>
      <c r="I514" s="22">
        <f t="array" ref="I514">IFERROR(INDEX('Hub Users 226'!A:A, MATCH(C514, 'Hub Users 226'!B:B, 0)), "")</f>
        <v>2474</v>
      </c>
      <c r="J514" s="22"/>
      <c r="K514" s="23" t="s">
        <v>4321</v>
      </c>
      <c r="L514" s="37">
        <v>44062.81319444445</v>
      </c>
      <c r="M514" s="23"/>
      <c r="N514" s="23"/>
      <c r="O514" s="23"/>
      <c r="P514" s="23"/>
      <c r="Q514" s="32" t="s">
        <v>1688</v>
      </c>
      <c r="R514" s="32" t="s">
        <v>4322</v>
      </c>
      <c r="S514" s="22" t="s">
        <v>1689</v>
      </c>
      <c r="T514" s="22" t="s">
        <v>252</v>
      </c>
      <c r="U514" s="32" t="s">
        <v>4323</v>
      </c>
      <c r="V514" s="23"/>
      <c r="W514" s="23"/>
      <c r="X514" s="23"/>
      <c r="Y514" s="23"/>
      <c r="Z514" s="23"/>
      <c r="AA514" s="23"/>
      <c r="AB514" s="23" t="str">
        <f>IFERROR(__xludf.DUMMYFUNCTION("IF(
ISNUMBER(MATCH(
C514,
IMPORTRANGE(""https://docs.google.com/spreadsheets/d/1yTh1ELC33JHYOeEdgIiEclxPRyh0zOKtlawDltfUay8"",""'Champions'!A:A""),
0
)),
""Outreach Conducted"",
"""")"),"")</f>
        <v/>
      </c>
      <c r="AC514" s="23"/>
      <c r="AD514" s="23"/>
      <c r="AE514" s="23"/>
      <c r="AF514" s="23"/>
      <c r="AG514" s="23"/>
      <c r="AH514" s="23"/>
      <c r="AI514" s="23"/>
      <c r="AJ514" s="23"/>
      <c r="AK514" s="23"/>
      <c r="AL514" s="23"/>
    </row>
    <row r="515" hidden="1">
      <c r="A515" s="32" t="s">
        <v>4324</v>
      </c>
      <c r="B515" s="32" t="s">
        <v>4325</v>
      </c>
      <c r="C515" s="23" t="str">
        <f t="shared" si="1"/>
        <v>Mel Reyes</v>
      </c>
      <c r="D515" s="32">
        <v>4.15663503E9</v>
      </c>
      <c r="E515" s="32" t="s">
        <v>4326</v>
      </c>
      <c r="F515" s="28" t="s">
        <v>769</v>
      </c>
      <c r="G515" s="32">
        <v>341.0</v>
      </c>
      <c r="H515" s="22">
        <f t="array" ref="H515">IFERROR(INDEX('Hub CPC 226'!A:A, MATCH(C515, 'Hub CPC 226'!B:B, 0)), "")</f>
        <v>576</v>
      </c>
      <c r="I515" s="22">
        <f t="array" ref="I515">IFERROR(INDEX('Hub Users 226'!A:A, MATCH(C515, 'Hub Users 226'!B:B, 0)), "")</f>
        <v>2475</v>
      </c>
      <c r="J515" s="22"/>
      <c r="K515" s="23" t="s">
        <v>4327</v>
      </c>
      <c r="L515" s="37">
        <v>44050.68958333333</v>
      </c>
      <c r="M515" s="23"/>
      <c r="N515" s="23"/>
      <c r="O515" s="23"/>
      <c r="P515" s="23"/>
      <c r="Q515" s="32" t="s">
        <v>4328</v>
      </c>
      <c r="R515" s="32" t="s">
        <v>4329</v>
      </c>
      <c r="S515" s="32" t="s">
        <v>4330</v>
      </c>
      <c r="T515" s="22" t="s">
        <v>252</v>
      </c>
      <c r="U515" s="32" t="s">
        <v>4331</v>
      </c>
      <c r="V515" s="23"/>
      <c r="W515" s="23"/>
      <c r="X515" s="23"/>
      <c r="Y515" s="23"/>
      <c r="Z515" s="23"/>
      <c r="AA515" s="23"/>
      <c r="AB515" s="23" t="str">
        <f>IFERROR(__xludf.DUMMYFUNCTION("IF(
ISNUMBER(MATCH(
C515,
IMPORTRANGE(""https://docs.google.com/spreadsheets/d/1yTh1ELC33JHYOeEdgIiEclxPRyh0zOKtlawDltfUay8"",""'Champions'!A:A""),
0
)),
""Outreach Conducted"",
"""")"),"")</f>
        <v/>
      </c>
      <c r="AC515" s="23"/>
      <c r="AD515" s="23"/>
      <c r="AE515" s="23"/>
      <c r="AF515" s="23"/>
      <c r="AG515" s="23"/>
      <c r="AH515" s="23"/>
      <c r="AI515" s="23"/>
      <c r="AJ515" s="23"/>
      <c r="AK515" s="23"/>
      <c r="AL515" s="23"/>
    </row>
    <row r="516" hidden="1">
      <c r="A516" s="32" t="s">
        <v>4332</v>
      </c>
      <c r="B516" s="32" t="s">
        <v>2960</v>
      </c>
      <c r="C516" s="23" t="str">
        <f t="shared" si="1"/>
        <v>Lily Chu</v>
      </c>
      <c r="D516" s="32" t="s">
        <v>4333</v>
      </c>
      <c r="E516" s="32" t="s">
        <v>4334</v>
      </c>
      <c r="F516" s="28" t="s">
        <v>769</v>
      </c>
      <c r="G516" s="32">
        <v>340.0</v>
      </c>
      <c r="H516" s="22">
        <f t="array" ref="H516">IFERROR(INDEX('Hub CPC 226'!A:A, MATCH(C516, 'Hub CPC 226'!B:B, 0)), "")</f>
        <v>577</v>
      </c>
      <c r="I516" s="22">
        <f t="array" ref="I516">IFERROR(INDEX('Hub Users 226'!A:A, MATCH(C516, 'Hub Users 226'!B:B, 0)), "")</f>
        <v>2476</v>
      </c>
      <c r="J516" s="22"/>
      <c r="K516" s="23" t="s">
        <v>4335</v>
      </c>
      <c r="L516" s="37">
        <v>44050.11388888889</v>
      </c>
      <c r="M516" s="23"/>
      <c r="N516" s="23"/>
      <c r="O516" s="23"/>
      <c r="P516" s="23"/>
      <c r="Q516" s="32" t="s">
        <v>4336</v>
      </c>
      <c r="R516" s="32" t="s">
        <v>4337</v>
      </c>
      <c r="S516" s="32" t="s">
        <v>1290</v>
      </c>
      <c r="T516" s="22" t="s">
        <v>252</v>
      </c>
      <c r="U516" s="32" t="s">
        <v>4338</v>
      </c>
      <c r="V516" s="26" t="s">
        <v>360</v>
      </c>
      <c r="W516" s="27" t="s">
        <v>4339</v>
      </c>
      <c r="X516" s="26" t="s">
        <v>619</v>
      </c>
      <c r="Y516" s="23"/>
      <c r="Z516" s="23"/>
      <c r="AA516" s="23"/>
      <c r="AB516" s="23" t="str">
        <f>IFERROR(__xludf.DUMMYFUNCTION("IF(
ISNUMBER(MATCH(
C516,
IMPORTRANGE(""https://docs.google.com/spreadsheets/d/1yTh1ELC33JHYOeEdgIiEclxPRyh0zOKtlawDltfUay8"",""'Champions'!A:A""),
0
)),
""Outreach Conducted"",
"""")"),"")</f>
        <v/>
      </c>
      <c r="AC516" s="23"/>
      <c r="AD516" s="23"/>
      <c r="AE516" s="23"/>
      <c r="AF516" s="23"/>
      <c r="AG516" s="23"/>
      <c r="AH516" s="23"/>
      <c r="AI516" s="23"/>
      <c r="AJ516" s="23"/>
      <c r="AK516" s="23"/>
      <c r="AL516" s="23"/>
    </row>
    <row r="517" hidden="1">
      <c r="A517" s="32" t="s">
        <v>4340</v>
      </c>
      <c r="B517" s="32" t="s">
        <v>4341</v>
      </c>
      <c r="C517" s="23" t="str">
        <f t="shared" si="1"/>
        <v>Indraneel Rakshit</v>
      </c>
      <c r="D517" s="32">
        <v>9.086551711E9</v>
      </c>
      <c r="E517" s="32" t="s">
        <v>4342</v>
      </c>
      <c r="F517" s="28" t="s">
        <v>769</v>
      </c>
      <c r="G517" s="32">
        <v>339.0</v>
      </c>
      <c r="H517" s="22">
        <f t="array" ref="H517">IFERROR(INDEX('Hub CPC 226'!A:A, MATCH(C517, 'Hub CPC 226'!B:B, 0)), "")</f>
        <v>578</v>
      </c>
      <c r="I517" s="22">
        <f t="array" ref="I517">IFERROR(INDEX('Hub Users 226'!A:A, MATCH(C517, 'Hub Users 226'!B:B, 0)), "")</f>
        <v>2477</v>
      </c>
      <c r="J517" s="22"/>
      <c r="K517" s="23" t="s">
        <v>4343</v>
      </c>
      <c r="L517" s="37">
        <v>44045.61944444444</v>
      </c>
      <c r="M517" s="23"/>
      <c r="N517" s="23"/>
      <c r="O517" s="23"/>
      <c r="P517" s="23"/>
      <c r="Q517" s="32" t="s">
        <v>4344</v>
      </c>
      <c r="R517" s="32" t="s">
        <v>674</v>
      </c>
      <c r="S517" s="22" t="s">
        <v>1625</v>
      </c>
      <c r="T517" s="22" t="s">
        <v>241</v>
      </c>
      <c r="U517" s="32" t="s">
        <v>604</v>
      </c>
      <c r="V517" s="23"/>
      <c r="W517" s="23"/>
      <c r="X517" s="23"/>
      <c r="Y517" s="23"/>
      <c r="Z517" s="23"/>
      <c r="AA517" s="23"/>
      <c r="AB517" s="23" t="str">
        <f>IFERROR(__xludf.DUMMYFUNCTION("IF(
ISNUMBER(MATCH(
C517,
IMPORTRANGE(""https://docs.google.com/spreadsheets/d/1yTh1ELC33JHYOeEdgIiEclxPRyh0zOKtlawDltfUay8"",""'Champions'!A:A""),
0
)),
""Outreach Conducted"",
"""")"),"")</f>
        <v/>
      </c>
      <c r="AC517" s="23"/>
      <c r="AD517" s="23"/>
      <c r="AE517" s="23"/>
      <c r="AF517" s="23"/>
      <c r="AG517" s="23"/>
      <c r="AH517" s="23"/>
      <c r="AI517" s="23"/>
      <c r="AJ517" s="23"/>
      <c r="AK517" s="23"/>
      <c r="AL517" s="23"/>
    </row>
    <row r="518" hidden="1">
      <c r="A518" s="32" t="s">
        <v>4345</v>
      </c>
      <c r="B518" s="32" t="s">
        <v>4346</v>
      </c>
      <c r="C518" s="23" t="str">
        <f t="shared" si="1"/>
        <v>Craig Alan Humphreys</v>
      </c>
      <c r="D518" s="32" t="s">
        <v>4347</v>
      </c>
      <c r="E518" s="32" t="s">
        <v>4348</v>
      </c>
      <c r="F518" s="28" t="s">
        <v>769</v>
      </c>
      <c r="G518" s="32">
        <v>338.0</v>
      </c>
      <c r="H518" s="22">
        <f t="array" ref="H518">IFERROR(INDEX('Hub CPC 226'!A:A, MATCH(C518, 'Hub CPC 226'!B:B, 0)), "")</f>
        <v>579</v>
      </c>
      <c r="I518" s="22">
        <f t="array" ref="I518">IFERROR(INDEX('Hub Users 226'!A:A, MATCH(C518, 'Hub Users 226'!B:B, 0)), "")</f>
        <v>2478</v>
      </c>
      <c r="J518" s="22"/>
      <c r="K518" s="23" t="s">
        <v>4349</v>
      </c>
      <c r="L518" s="37">
        <v>44044.83888888889</v>
      </c>
      <c r="M518" s="23"/>
      <c r="N518" s="23"/>
      <c r="O518" s="23"/>
      <c r="P518" s="23"/>
      <c r="Q518" s="32" t="s">
        <v>4350</v>
      </c>
      <c r="R518" s="32" t="s">
        <v>4351</v>
      </c>
      <c r="S518" s="32" t="s">
        <v>873</v>
      </c>
      <c r="T518" s="22" t="s">
        <v>874</v>
      </c>
      <c r="U518" s="32" t="s">
        <v>4352</v>
      </c>
      <c r="V518" s="23"/>
      <c r="W518" s="23"/>
      <c r="X518" s="23"/>
      <c r="Y518" s="23"/>
      <c r="Z518" s="23"/>
      <c r="AA518" s="23"/>
      <c r="AB518" s="23" t="str">
        <f>IFERROR(__xludf.DUMMYFUNCTION("IF(
ISNUMBER(MATCH(
C518,
IMPORTRANGE(""https://docs.google.com/spreadsheets/d/1yTh1ELC33JHYOeEdgIiEclxPRyh0zOKtlawDltfUay8"",""'Champions'!A:A""),
0
)),
""Outreach Conducted"",
"""")"),"")</f>
        <v/>
      </c>
      <c r="AC518" s="23"/>
      <c r="AD518" s="23"/>
      <c r="AE518" s="23"/>
      <c r="AF518" s="23"/>
      <c r="AG518" s="23"/>
      <c r="AH518" s="23"/>
      <c r="AI518" s="23"/>
      <c r="AJ518" s="23"/>
      <c r="AK518" s="23"/>
      <c r="AL518" s="23"/>
    </row>
    <row r="519" hidden="1">
      <c r="A519" s="32" t="s">
        <v>4353</v>
      </c>
      <c r="B519" s="32" t="s">
        <v>4354</v>
      </c>
      <c r="C519" s="23" t="str">
        <f t="shared" si="1"/>
        <v>Ben Kuson Junya</v>
      </c>
      <c r="D519" s="32">
        <v>8.157136001E9</v>
      </c>
      <c r="E519" s="32" t="s">
        <v>4355</v>
      </c>
      <c r="F519" s="28" t="s">
        <v>769</v>
      </c>
      <c r="G519" s="32">
        <v>335.0</v>
      </c>
      <c r="H519" s="22">
        <f t="array" ref="H519">IFERROR(INDEX('Hub CPC 226'!A:A, MATCH(C519, 'Hub CPC 226'!B:B, 0)), "")</f>
        <v>580</v>
      </c>
      <c r="I519" s="22">
        <f t="array" ref="I519">IFERROR(INDEX('Hub Users 226'!A:A, MATCH(C519, 'Hub Users 226'!B:B, 0)), "")</f>
        <v>2479</v>
      </c>
      <c r="J519" s="22"/>
      <c r="K519" s="23" t="s">
        <v>4356</v>
      </c>
      <c r="L519" s="37">
        <v>44039.521527777775</v>
      </c>
      <c r="M519" s="23"/>
      <c r="N519" s="23"/>
      <c r="O519" s="23"/>
      <c r="P519" s="23"/>
      <c r="Q519" s="32" t="s">
        <v>4357</v>
      </c>
      <c r="R519" s="32" t="s">
        <v>4358</v>
      </c>
      <c r="S519" s="32" t="s">
        <v>4359</v>
      </c>
      <c r="T519" s="22" t="s">
        <v>252</v>
      </c>
      <c r="U519" s="32" t="s">
        <v>4360</v>
      </c>
      <c r="V519" s="23"/>
      <c r="W519" s="23"/>
      <c r="X519" s="23"/>
      <c r="Y519" s="23"/>
      <c r="Z519" s="23"/>
      <c r="AA519" s="23"/>
      <c r="AB519" s="23" t="str">
        <f>IFERROR(__xludf.DUMMYFUNCTION("IF(
ISNUMBER(MATCH(
C519,
IMPORTRANGE(""https://docs.google.com/spreadsheets/d/1yTh1ELC33JHYOeEdgIiEclxPRyh0zOKtlawDltfUay8"",""'Champions'!A:A""),
0
)),
""Outreach Conducted"",
"""")"),"")</f>
        <v/>
      </c>
      <c r="AC519" s="23"/>
      <c r="AD519" s="23"/>
      <c r="AE519" s="23"/>
      <c r="AF519" s="23"/>
      <c r="AG519" s="23"/>
      <c r="AH519" s="23"/>
      <c r="AI519" s="23"/>
      <c r="AJ519" s="23"/>
      <c r="AK519" s="23"/>
      <c r="AL519" s="23"/>
    </row>
    <row r="520" hidden="1">
      <c r="A520" s="32" t="s">
        <v>4361</v>
      </c>
      <c r="B520" s="32" t="s">
        <v>4362</v>
      </c>
      <c r="C520" s="23" t="str">
        <f t="shared" si="1"/>
        <v>Ryan Claire Hirsch</v>
      </c>
      <c r="D520" s="32">
        <v>4.158452362E9</v>
      </c>
      <c r="E520" s="32" t="s">
        <v>4363</v>
      </c>
      <c r="F520" s="28" t="s">
        <v>769</v>
      </c>
      <c r="G520" s="32">
        <v>325.0</v>
      </c>
      <c r="H520" s="22">
        <f t="array" ref="H520">IFERROR(INDEX('Hub CPC 226'!A:A, MATCH(C520, 'Hub CPC 226'!B:B, 0)), "")</f>
        <v>581</v>
      </c>
      <c r="I520" s="22">
        <f t="array" ref="I520">IFERROR(INDEX('Hub Users 226'!A:A, MATCH(C520, 'Hub Users 226'!B:B, 0)), "")</f>
        <v>2480</v>
      </c>
      <c r="J520" s="22"/>
      <c r="K520" s="28" t="s">
        <v>4364</v>
      </c>
      <c r="L520" s="37">
        <v>43982.700694444444</v>
      </c>
      <c r="M520" s="23"/>
      <c r="N520" s="23"/>
      <c r="O520" s="23"/>
      <c r="P520" s="23"/>
      <c r="Q520" s="32" t="s">
        <v>4365</v>
      </c>
      <c r="R520" s="32" t="s">
        <v>4366</v>
      </c>
      <c r="S520" s="32" t="s">
        <v>4366</v>
      </c>
      <c r="T520" s="22" t="s">
        <v>252</v>
      </c>
      <c r="U520" s="32" t="s">
        <v>4367</v>
      </c>
      <c r="V520" s="23"/>
      <c r="W520" s="23"/>
      <c r="X520" s="23"/>
      <c r="Y520" s="23"/>
      <c r="Z520" s="23"/>
      <c r="AA520" s="23"/>
      <c r="AB520" s="23" t="str">
        <f>IFERROR(__xludf.DUMMYFUNCTION("IF(
ISNUMBER(MATCH(
C520,
IMPORTRANGE(""https://docs.google.com/spreadsheets/d/1yTh1ELC33JHYOeEdgIiEclxPRyh0zOKtlawDltfUay8"",""'Champions'!A:A""),
0
)),
""Outreach Conducted"",
"""")"),"")</f>
        <v/>
      </c>
      <c r="AC520" s="23"/>
      <c r="AD520" s="23"/>
      <c r="AE520" s="23"/>
      <c r="AF520" s="23"/>
      <c r="AG520" s="23"/>
      <c r="AH520" s="23"/>
      <c r="AI520" s="23"/>
      <c r="AJ520" s="23"/>
      <c r="AK520" s="23"/>
      <c r="AL520" s="23"/>
    </row>
    <row r="521" hidden="1">
      <c r="A521" s="32" t="s">
        <v>4368</v>
      </c>
      <c r="B521" s="32" t="s">
        <v>4369</v>
      </c>
      <c r="C521" s="23" t="str">
        <f t="shared" si="1"/>
        <v>Lourdes Duarte Davila</v>
      </c>
      <c r="D521" s="32">
        <v>9.082942009E9</v>
      </c>
      <c r="E521" s="32" t="s">
        <v>4370</v>
      </c>
      <c r="F521" s="28" t="s">
        <v>769</v>
      </c>
      <c r="G521" s="32">
        <v>320.0</v>
      </c>
      <c r="H521" s="22">
        <f t="array" ref="H521">IFERROR(INDEX('Hub CPC 226'!A:A, MATCH(C521, 'Hub CPC 226'!B:B, 0)), "")</f>
        <v>582</v>
      </c>
      <c r="I521" s="22">
        <f t="array" ref="I521">IFERROR(INDEX('Hub Users 226'!A:A, MATCH(C521, 'Hub Users 226'!B:B, 0)), "")</f>
        <v>2481</v>
      </c>
      <c r="J521" s="22"/>
      <c r="K521" s="23" t="s">
        <v>4371</v>
      </c>
      <c r="L521" s="37">
        <v>43918.731944444444</v>
      </c>
      <c r="M521" s="23"/>
      <c r="N521" s="23"/>
      <c r="O521" s="23"/>
      <c r="P521" s="23"/>
      <c r="Q521" s="32" t="s">
        <v>4372</v>
      </c>
      <c r="R521" s="32" t="s">
        <v>4373</v>
      </c>
      <c r="S521" s="24"/>
      <c r="T521" s="22" t="s">
        <v>241</v>
      </c>
      <c r="U521" s="32" t="s">
        <v>4374</v>
      </c>
      <c r="V521" s="23"/>
      <c r="W521" s="23"/>
      <c r="X521" s="23"/>
      <c r="Y521" s="23"/>
      <c r="Z521" s="23"/>
      <c r="AA521" s="23"/>
      <c r="AB521" s="23" t="str">
        <f>IFERROR(__xludf.DUMMYFUNCTION("IF(
ISNUMBER(MATCH(
C521,
IMPORTRANGE(""https://docs.google.com/spreadsheets/d/1yTh1ELC33JHYOeEdgIiEclxPRyh0zOKtlawDltfUay8"",""'Champions'!A:A""),
0
)),
""Outreach Conducted"",
"""")"),"")</f>
        <v/>
      </c>
      <c r="AC521" s="23"/>
      <c r="AD521" s="23"/>
      <c r="AE521" s="23"/>
      <c r="AF521" s="23"/>
      <c r="AG521" s="23"/>
      <c r="AH521" s="23"/>
      <c r="AI521" s="23"/>
      <c r="AJ521" s="23"/>
      <c r="AK521" s="23"/>
      <c r="AL521" s="23"/>
    </row>
    <row r="522" hidden="1">
      <c r="A522" s="32" t="s">
        <v>4375</v>
      </c>
      <c r="B522" s="32" t="s">
        <v>4376</v>
      </c>
      <c r="C522" s="23" t="str">
        <f t="shared" si="1"/>
        <v>Sharlene Alexander Bleier</v>
      </c>
      <c r="D522" s="32">
        <v>6.312199164E9</v>
      </c>
      <c r="E522" s="32" t="s">
        <v>4377</v>
      </c>
      <c r="F522" s="28" t="s">
        <v>769</v>
      </c>
      <c r="G522" s="32">
        <v>318.0</v>
      </c>
      <c r="H522" s="22">
        <f t="array" ref="H522">IFERROR(INDEX('Hub CPC 226'!A:A, MATCH(C522, 'Hub CPC 226'!B:B, 0)), "")</f>
        <v>583</v>
      </c>
      <c r="I522" s="22">
        <f t="array" ref="I522">IFERROR(INDEX('Hub Users 226'!A:A, MATCH(C522, 'Hub Users 226'!B:B, 0)), "")</f>
        <v>2482</v>
      </c>
      <c r="J522" s="22"/>
      <c r="K522" s="23" t="s">
        <v>4378</v>
      </c>
      <c r="L522" s="37">
        <v>43914.67291666667</v>
      </c>
      <c r="M522" s="28"/>
      <c r="N522" s="28"/>
      <c r="O522" s="28"/>
      <c r="P522" s="31"/>
      <c r="Q522" s="32" t="s">
        <v>4379</v>
      </c>
      <c r="R522" s="32" t="s">
        <v>4380</v>
      </c>
      <c r="S522" s="32" t="s">
        <v>2004</v>
      </c>
      <c r="T522" s="22" t="s">
        <v>272</v>
      </c>
      <c r="U522" s="32" t="s">
        <v>4381</v>
      </c>
      <c r="V522" s="23"/>
      <c r="W522" s="23"/>
      <c r="X522" s="23"/>
      <c r="Y522" s="23"/>
      <c r="Z522" s="23"/>
      <c r="AA522" s="23"/>
      <c r="AB522" s="23" t="str">
        <f>IFERROR(__xludf.DUMMYFUNCTION("IF(
ISNUMBER(MATCH(
C522,
IMPORTRANGE(""https://docs.google.com/spreadsheets/d/1yTh1ELC33JHYOeEdgIiEclxPRyh0zOKtlawDltfUay8"",""'Champions'!A:A""),
0
)),
""Outreach Conducted"",
"""")"),"")</f>
        <v/>
      </c>
      <c r="AC522" s="23"/>
      <c r="AD522" s="23"/>
      <c r="AE522" s="23"/>
      <c r="AF522" s="23"/>
      <c r="AG522" s="23"/>
      <c r="AH522" s="23"/>
      <c r="AI522" s="23"/>
      <c r="AJ522" s="23"/>
      <c r="AK522" s="23"/>
      <c r="AL522" s="23"/>
    </row>
    <row r="523" hidden="1">
      <c r="A523" s="32" t="s">
        <v>4382</v>
      </c>
      <c r="B523" s="32" t="s">
        <v>4383</v>
      </c>
      <c r="C523" s="23" t="str">
        <f t="shared" si="1"/>
        <v>Rana Arshed Hafiz</v>
      </c>
      <c r="D523" s="32" t="s">
        <v>4384</v>
      </c>
      <c r="E523" s="32" t="s">
        <v>4385</v>
      </c>
      <c r="F523" s="28" t="s">
        <v>769</v>
      </c>
      <c r="G523" s="32">
        <v>317.0</v>
      </c>
      <c r="H523" s="22">
        <f t="array" ref="H523">IFERROR(INDEX('Hub CPC 226'!A:A, MATCH(C523, 'Hub CPC 226'!B:B, 0)), "")</f>
        <v>584</v>
      </c>
      <c r="I523" s="22">
        <f t="array" ref="I523">IFERROR(INDEX('Hub Users 226'!A:A, MATCH(C523, 'Hub Users 226'!B:B, 0)), "")</f>
        <v>2483</v>
      </c>
      <c r="J523" s="22"/>
      <c r="K523" s="23" t="s">
        <v>4386</v>
      </c>
      <c r="L523" s="37">
        <v>43914.527083333334</v>
      </c>
      <c r="M523" s="23"/>
      <c r="N523" s="23"/>
      <c r="O523" s="23"/>
      <c r="P523" s="23"/>
      <c r="Q523" s="32" t="s">
        <v>4387</v>
      </c>
      <c r="R523" s="32" t="s">
        <v>1777</v>
      </c>
      <c r="S523" s="22" t="s">
        <v>4388</v>
      </c>
      <c r="T523" s="22" t="s">
        <v>1777</v>
      </c>
      <c r="U523" s="32" t="s">
        <v>4389</v>
      </c>
      <c r="V523" s="23"/>
      <c r="W523" s="23"/>
      <c r="X523" s="23"/>
      <c r="Y523" s="23"/>
      <c r="Z523" s="23"/>
      <c r="AA523" s="23"/>
      <c r="AB523" s="23" t="str">
        <f>IFERROR(__xludf.DUMMYFUNCTION("IF(
ISNUMBER(MATCH(
C523,
IMPORTRANGE(""https://docs.google.com/spreadsheets/d/1yTh1ELC33JHYOeEdgIiEclxPRyh0zOKtlawDltfUay8"",""'Champions'!A:A""),
0
)),
""Outreach Conducted"",
"""")"),"")</f>
        <v/>
      </c>
      <c r="AC523" s="23"/>
      <c r="AD523" s="23"/>
      <c r="AE523" s="23"/>
      <c r="AF523" s="23"/>
      <c r="AG523" s="23"/>
      <c r="AH523" s="23"/>
      <c r="AI523" s="23"/>
      <c r="AJ523" s="23"/>
      <c r="AK523" s="23"/>
      <c r="AL523" s="23"/>
    </row>
    <row r="524" hidden="1">
      <c r="A524" s="32" t="s">
        <v>4390</v>
      </c>
      <c r="B524" s="32" t="s">
        <v>4391</v>
      </c>
      <c r="C524" s="23" t="str">
        <f t="shared" si="1"/>
        <v>Ibrahim AlRajhi</v>
      </c>
      <c r="D524" s="32">
        <v>9.71585854966E11</v>
      </c>
      <c r="E524" s="32" t="s">
        <v>4392</v>
      </c>
      <c r="F524" s="28" t="s">
        <v>769</v>
      </c>
      <c r="G524" s="32">
        <v>314.0</v>
      </c>
      <c r="H524" s="22">
        <f t="array" ref="H524">IFERROR(INDEX('Hub CPC 226'!A:A, MATCH(C524, 'Hub CPC 226'!B:B, 0)), "")</f>
        <v>585</v>
      </c>
      <c r="I524" s="22">
        <f t="array" ref="I524">IFERROR(INDEX('Hub Users 226'!A:A, MATCH(C524, 'Hub Users 226'!B:B, 0)), "")</f>
        <v>2484</v>
      </c>
      <c r="J524" s="22"/>
      <c r="K524" s="23" t="s">
        <v>4393</v>
      </c>
      <c r="L524" s="37">
        <v>43913.174305555556</v>
      </c>
      <c r="M524" s="23"/>
      <c r="N524" s="23"/>
      <c r="O524" s="23"/>
      <c r="P524" s="23"/>
      <c r="Q524" s="32" t="s">
        <v>4394</v>
      </c>
      <c r="R524" s="32" t="s">
        <v>2216</v>
      </c>
      <c r="S524" s="24"/>
      <c r="T524" s="24"/>
      <c r="U524" s="32" t="s">
        <v>4395</v>
      </c>
      <c r="V524" s="23"/>
      <c r="W524" s="23"/>
      <c r="X524" s="23"/>
      <c r="Y524" s="23"/>
      <c r="Z524" s="23"/>
      <c r="AA524" s="23"/>
      <c r="AB524" s="23" t="str">
        <f>IFERROR(__xludf.DUMMYFUNCTION("IF(
ISNUMBER(MATCH(
C524,
IMPORTRANGE(""https://docs.google.com/spreadsheets/d/1yTh1ELC33JHYOeEdgIiEclxPRyh0zOKtlawDltfUay8"",""'Champions'!A:A""),
0
)),
""Outreach Conducted"",
"""")"),"")</f>
        <v/>
      </c>
      <c r="AC524" s="23"/>
      <c r="AD524" s="23"/>
      <c r="AE524" s="23"/>
      <c r="AF524" s="23"/>
      <c r="AG524" s="23"/>
      <c r="AH524" s="23"/>
      <c r="AI524" s="23"/>
      <c r="AJ524" s="23"/>
      <c r="AK524" s="23"/>
      <c r="AL524" s="23"/>
    </row>
    <row r="525" hidden="1">
      <c r="A525" s="32" t="s">
        <v>4396</v>
      </c>
      <c r="B525" s="32" t="s">
        <v>4397</v>
      </c>
      <c r="C525" s="23" t="str">
        <f t="shared" si="1"/>
        <v>Pelumi Adeleke</v>
      </c>
      <c r="D525" s="32">
        <v>3.123584933E9</v>
      </c>
      <c r="E525" s="32" t="s">
        <v>4398</v>
      </c>
      <c r="F525" s="28" t="s">
        <v>769</v>
      </c>
      <c r="G525" s="32">
        <v>287.0</v>
      </c>
      <c r="H525" s="22">
        <f t="array" ref="H525">IFERROR(INDEX('Hub CPC 226'!A:A, MATCH(C525, 'Hub CPC 226'!B:B, 0)), "")</f>
        <v>590</v>
      </c>
      <c r="I525" s="22">
        <f t="array" ref="I525">IFERROR(INDEX('Hub Users 226'!A:A, MATCH(C525, 'Hub Users 226'!B:B, 0)), "")</f>
        <v>2489</v>
      </c>
      <c r="J525" s="22"/>
      <c r="K525" s="28" t="s">
        <v>4399</v>
      </c>
      <c r="L525" s="37">
        <v>43777.45277777778</v>
      </c>
      <c r="M525" s="23"/>
      <c r="N525" s="23"/>
      <c r="O525" s="23"/>
      <c r="P525" s="23"/>
      <c r="Q525" s="32" t="s">
        <v>4400</v>
      </c>
      <c r="R525" s="32" t="s">
        <v>2023</v>
      </c>
      <c r="S525" s="32" t="s">
        <v>2023</v>
      </c>
      <c r="T525" s="22" t="s">
        <v>465</v>
      </c>
      <c r="U525" s="32" t="s">
        <v>2624</v>
      </c>
      <c r="V525" s="23"/>
      <c r="W525" s="23"/>
      <c r="X525" s="23"/>
      <c r="Y525" s="23"/>
      <c r="Z525" s="23"/>
      <c r="AA525" s="23"/>
      <c r="AB525" s="23" t="str">
        <f>IFERROR(__xludf.DUMMYFUNCTION("IF(
ISNUMBER(MATCH(
C525,
IMPORTRANGE(""https://docs.google.com/spreadsheets/d/1yTh1ELC33JHYOeEdgIiEclxPRyh0zOKtlawDltfUay8"",""'Champions'!A:A""),
0
)),
""Outreach Conducted"",
"""")"),"")</f>
        <v/>
      </c>
      <c r="AC525" s="23"/>
      <c r="AD525" s="23"/>
      <c r="AE525" s="23"/>
      <c r="AF525" s="23"/>
      <c r="AG525" s="23"/>
      <c r="AH525" s="23"/>
      <c r="AI525" s="23"/>
      <c r="AJ525" s="23"/>
      <c r="AK525" s="23"/>
      <c r="AL525" s="23"/>
    </row>
    <row r="526" hidden="1">
      <c r="A526" s="32" t="s">
        <v>4401</v>
      </c>
      <c r="B526" s="32" t="s">
        <v>4402</v>
      </c>
      <c r="C526" s="23" t="str">
        <f t="shared" si="1"/>
        <v>Maryam Rezakhani</v>
      </c>
      <c r="D526" s="32">
        <v>9.71553756413E11</v>
      </c>
      <c r="E526" s="32" t="s">
        <v>4403</v>
      </c>
      <c r="F526" s="28" t="s">
        <v>769</v>
      </c>
      <c r="G526" s="32">
        <v>284.0</v>
      </c>
      <c r="H526" s="22">
        <f t="array" ref="H526">IFERROR(INDEX('Hub CPC 226'!A:A, MATCH(C526, 'Hub CPC 226'!B:B, 0)), "")</f>
        <v>591</v>
      </c>
      <c r="I526" s="22">
        <f t="array" ref="I526">IFERROR(INDEX('Hub Users 226'!A:A, MATCH(C526, 'Hub Users 226'!B:B, 0)), "")</f>
        <v>2490</v>
      </c>
      <c r="J526" s="22"/>
      <c r="K526" s="23" t="s">
        <v>4404</v>
      </c>
      <c r="L526" s="37">
        <v>43777.45277777778</v>
      </c>
      <c r="M526" s="23"/>
      <c r="N526" s="23"/>
      <c r="O526" s="23"/>
      <c r="P526" s="23"/>
      <c r="Q526" s="32" t="s">
        <v>4405</v>
      </c>
      <c r="R526" s="32" t="s">
        <v>4406</v>
      </c>
      <c r="S526" s="24"/>
      <c r="T526" s="24"/>
      <c r="U526" s="32" t="s">
        <v>4407</v>
      </c>
      <c r="V526" s="23"/>
      <c r="W526" s="23"/>
      <c r="X526" s="23"/>
      <c r="Y526" s="23"/>
      <c r="Z526" s="23"/>
      <c r="AA526" s="23"/>
      <c r="AB526" s="23" t="str">
        <f>IFERROR(__xludf.DUMMYFUNCTION("IF(
ISNUMBER(MATCH(
C526,
IMPORTRANGE(""https://docs.google.com/spreadsheets/d/1yTh1ELC33JHYOeEdgIiEclxPRyh0zOKtlawDltfUay8"",""'Champions'!A:A""),
0
)),
""Outreach Conducted"",
"""")"),"")</f>
        <v/>
      </c>
      <c r="AC526" s="23"/>
      <c r="AD526" s="23"/>
      <c r="AE526" s="23"/>
      <c r="AF526" s="23"/>
      <c r="AG526" s="23"/>
      <c r="AH526" s="23"/>
      <c r="AI526" s="23"/>
      <c r="AJ526" s="23"/>
      <c r="AK526" s="23"/>
      <c r="AL526" s="23"/>
    </row>
    <row r="527" hidden="1">
      <c r="A527" s="32" t="s">
        <v>4408</v>
      </c>
      <c r="B527" s="32" t="s">
        <v>2617</v>
      </c>
      <c r="C527" s="23" t="str">
        <f t="shared" si="1"/>
        <v>Pragyansmita Nayak</v>
      </c>
      <c r="D527" s="32">
        <v>7.032163719E9</v>
      </c>
      <c r="E527" s="32" t="s">
        <v>4409</v>
      </c>
      <c r="F527" s="28" t="s">
        <v>769</v>
      </c>
      <c r="G527" s="32">
        <v>283.0</v>
      </c>
      <c r="H527" s="22">
        <f t="array" ref="H527">IFERROR(INDEX('Hub CPC 226'!A:A, MATCH(C527, 'Hub CPC 226'!B:B, 0)), "")</f>
        <v>592</v>
      </c>
      <c r="I527" s="22">
        <f t="array" ref="I527">IFERROR(INDEX('Hub Users 226'!A:A, MATCH(C527, 'Hub Users 226'!B:B, 0)), "")</f>
        <v>2491</v>
      </c>
      <c r="J527" s="22"/>
      <c r="K527" s="23" t="s">
        <v>4410</v>
      </c>
      <c r="L527" s="37">
        <v>43777.45277777778</v>
      </c>
      <c r="M527" s="23"/>
      <c r="N527" s="23"/>
      <c r="O527" s="23"/>
      <c r="P527" s="23"/>
      <c r="Q527" s="32" t="s">
        <v>4411</v>
      </c>
      <c r="R527" s="32" t="s">
        <v>2114</v>
      </c>
      <c r="S527" s="32" t="s">
        <v>1371</v>
      </c>
      <c r="T527" s="22" t="s">
        <v>1372</v>
      </c>
      <c r="U527" s="32" t="s">
        <v>4412</v>
      </c>
      <c r="V527" s="23"/>
      <c r="W527" s="23"/>
      <c r="X527" s="23"/>
      <c r="Y527" s="23"/>
      <c r="Z527" s="23"/>
      <c r="AA527" s="23"/>
      <c r="AB527" s="23" t="str">
        <f>IFERROR(__xludf.DUMMYFUNCTION("IF(
ISNUMBER(MATCH(
C527,
IMPORTRANGE(""https://docs.google.com/spreadsheets/d/1yTh1ELC33JHYOeEdgIiEclxPRyh0zOKtlawDltfUay8"",""'Champions'!A:A""),
0
)),
""Outreach Conducted"",
"""")"),"")</f>
        <v/>
      </c>
      <c r="AC527" s="23"/>
      <c r="AD527" s="23"/>
      <c r="AE527" s="23"/>
      <c r="AF527" s="23"/>
      <c r="AG527" s="23"/>
      <c r="AH527" s="23"/>
      <c r="AI527" s="23"/>
      <c r="AJ527" s="23"/>
      <c r="AK527" s="23"/>
      <c r="AL527" s="23"/>
    </row>
    <row r="528" hidden="1">
      <c r="A528" s="32" t="s">
        <v>4413</v>
      </c>
      <c r="B528" s="32" t="s">
        <v>4414</v>
      </c>
      <c r="C528" s="23" t="str">
        <f t="shared" si="1"/>
        <v>Selene Ceja</v>
      </c>
      <c r="D528" s="32">
        <v>48104.0</v>
      </c>
      <c r="E528" s="32" t="s">
        <v>4415</v>
      </c>
      <c r="F528" s="28" t="s">
        <v>769</v>
      </c>
      <c r="G528" s="32">
        <v>282.0</v>
      </c>
      <c r="H528" s="22">
        <f t="array" ref="H528">IFERROR(INDEX('Hub CPC 226'!A:A, MATCH(C528, 'Hub CPC 226'!B:B, 0)), "")</f>
        <v>593</v>
      </c>
      <c r="I528" s="22">
        <f t="array" ref="I528">IFERROR(INDEX('Hub Users 226'!A:A, MATCH(C528, 'Hub Users 226'!B:B, 0)), "")</f>
        <v>2492</v>
      </c>
      <c r="J528" s="22"/>
      <c r="K528" s="23" t="s">
        <v>4416</v>
      </c>
      <c r="L528" s="37">
        <v>43777.45277777778</v>
      </c>
      <c r="M528" s="23"/>
      <c r="N528" s="23"/>
      <c r="O528" s="23"/>
      <c r="P528" s="23"/>
      <c r="Q528" s="32" t="s">
        <v>4417</v>
      </c>
      <c r="R528" s="32" t="s">
        <v>4418</v>
      </c>
      <c r="S528" s="22" t="s">
        <v>4419</v>
      </c>
      <c r="T528" s="22" t="s">
        <v>4420</v>
      </c>
      <c r="U528" s="32" t="s">
        <v>135</v>
      </c>
      <c r="V528" s="23"/>
      <c r="W528" s="23"/>
      <c r="X528" s="23"/>
      <c r="Y528" s="23"/>
      <c r="Z528" s="23"/>
      <c r="AA528" s="23"/>
      <c r="AB528" s="23" t="str">
        <f>IFERROR(__xludf.DUMMYFUNCTION("IF(
ISNUMBER(MATCH(
C528,
IMPORTRANGE(""https://docs.google.com/spreadsheets/d/1yTh1ELC33JHYOeEdgIiEclxPRyh0zOKtlawDltfUay8"",""'Champions'!A:A""),
0
)),
""Outreach Conducted"",
"""")"),"")</f>
        <v/>
      </c>
      <c r="AC528" s="23"/>
      <c r="AD528" s="23"/>
      <c r="AE528" s="23"/>
      <c r="AF528" s="23"/>
      <c r="AG528" s="23"/>
      <c r="AH528" s="23"/>
      <c r="AI528" s="23"/>
      <c r="AJ528" s="23"/>
      <c r="AK528" s="23"/>
      <c r="AL528" s="23"/>
    </row>
    <row r="529" hidden="1">
      <c r="A529" s="32" t="s">
        <v>4421</v>
      </c>
      <c r="B529" s="32" t="s">
        <v>4422</v>
      </c>
      <c r="C529" s="23" t="str">
        <f t="shared" si="1"/>
        <v>Valeria Andrea Flores Montoya</v>
      </c>
      <c r="D529" s="32">
        <v>9.083324204E9</v>
      </c>
      <c r="E529" s="32" t="s">
        <v>4423</v>
      </c>
      <c r="F529" s="28" t="s">
        <v>769</v>
      </c>
      <c r="G529" s="32">
        <v>281.0</v>
      </c>
      <c r="H529" s="22">
        <f t="array" ref="H529">IFERROR(INDEX('Hub CPC 226'!A:A, MATCH(C529, 'Hub CPC 226'!B:B, 0)), "")</f>
        <v>594</v>
      </c>
      <c r="I529" s="22">
        <f t="array" ref="I529">IFERROR(INDEX('Hub Users 226'!A:A, MATCH(C529, 'Hub Users 226'!B:B, 0)), "")</f>
        <v>2493</v>
      </c>
      <c r="J529" s="22"/>
      <c r="K529" s="28" t="s">
        <v>4424</v>
      </c>
      <c r="L529" s="37">
        <v>43777.45277777778</v>
      </c>
      <c r="M529" s="23"/>
      <c r="N529" s="23"/>
      <c r="O529" s="23"/>
      <c r="P529" s="23"/>
      <c r="Q529" s="32" t="s">
        <v>4425</v>
      </c>
      <c r="R529" s="32" t="s">
        <v>4426</v>
      </c>
      <c r="S529" s="32" t="s">
        <v>4427</v>
      </c>
      <c r="T529" s="22" t="s">
        <v>241</v>
      </c>
      <c r="U529" s="32" t="s">
        <v>4428</v>
      </c>
      <c r="V529" s="23"/>
      <c r="W529" s="23"/>
      <c r="X529" s="23"/>
      <c r="Y529" s="23"/>
      <c r="Z529" s="23"/>
      <c r="AA529" s="23"/>
      <c r="AB529" s="23" t="str">
        <f>IFERROR(__xludf.DUMMYFUNCTION("IF(
ISNUMBER(MATCH(
C529,
IMPORTRANGE(""https://docs.google.com/spreadsheets/d/1yTh1ELC33JHYOeEdgIiEclxPRyh0zOKtlawDltfUay8"",""'Champions'!A:A""),
0
)),
""Outreach Conducted"",
"""")"),"")</f>
        <v/>
      </c>
      <c r="AC529" s="23"/>
      <c r="AD529" s="23"/>
      <c r="AE529" s="23"/>
      <c r="AF529" s="23"/>
      <c r="AG529" s="23"/>
      <c r="AH529" s="23"/>
      <c r="AI529" s="23"/>
      <c r="AJ529" s="23"/>
      <c r="AK529" s="23"/>
      <c r="AL529" s="23"/>
    </row>
    <row r="530">
      <c r="A530" s="32" t="s">
        <v>4429</v>
      </c>
      <c r="B530" s="32" t="s">
        <v>4430</v>
      </c>
      <c r="C530" s="23" t="str">
        <f t="shared" si="1"/>
        <v>Angie Isbel Miguel</v>
      </c>
      <c r="D530" s="32">
        <v>6.469727246E9</v>
      </c>
      <c r="E530" s="32" t="s">
        <v>4431</v>
      </c>
      <c r="F530" s="28" t="s">
        <v>2536</v>
      </c>
      <c r="G530" s="32">
        <v>276.0</v>
      </c>
      <c r="H530" s="22">
        <f t="array" ref="H530">IFERROR(INDEX('Hub CPC 226'!A:A, MATCH(C530, 'Hub CPC 226'!B:B, 0)), "")</f>
        <v>595</v>
      </c>
      <c r="I530" s="22">
        <f t="array" ref="I530">IFERROR(INDEX('Hub Users 226'!A:A, MATCH(C530, 'Hub Users 226'!B:B, 0)), "")</f>
        <v>2494</v>
      </c>
      <c r="J530" s="22"/>
      <c r="K530" s="23" t="s">
        <v>4432</v>
      </c>
      <c r="L530" s="37">
        <v>43777.45277777778</v>
      </c>
      <c r="M530" s="28">
        <v>15.0</v>
      </c>
      <c r="N530" s="28">
        <v>32.0</v>
      </c>
      <c r="O530" s="28">
        <v>79.0</v>
      </c>
      <c r="P530" s="32">
        <v>17.0</v>
      </c>
      <c r="Q530" s="32" t="s">
        <v>4433</v>
      </c>
      <c r="R530" s="32" t="s">
        <v>4434</v>
      </c>
      <c r="S530" s="22" t="s">
        <v>859</v>
      </c>
      <c r="T530" s="22" t="s">
        <v>272</v>
      </c>
      <c r="U530" s="32" t="s">
        <v>4435</v>
      </c>
      <c r="V530" s="23"/>
      <c r="W530" s="23"/>
      <c r="X530" s="23"/>
      <c r="Y530" s="23"/>
      <c r="Z530" s="23"/>
      <c r="AA530" s="23"/>
      <c r="AB530" s="23" t="str">
        <f>IFERROR(__xludf.DUMMYFUNCTION("IF(
ISNUMBER(MATCH(
C530,
IMPORTRANGE(""https://docs.google.com/spreadsheets/d/1yTh1ELC33JHYOeEdgIiEclxPRyh0zOKtlawDltfUay8"",""'Champions'!A:A""),
0
)),
""Outreach Conducted"",
"""")"),"")</f>
        <v/>
      </c>
      <c r="AC530" s="23"/>
      <c r="AD530" s="23"/>
      <c r="AE530" s="23"/>
      <c r="AF530" s="23"/>
      <c r="AG530" s="23"/>
      <c r="AH530" s="23"/>
      <c r="AI530" s="23"/>
      <c r="AJ530" s="23"/>
      <c r="AK530" s="23"/>
      <c r="AL530" s="23"/>
    </row>
    <row r="531" hidden="1">
      <c r="A531" s="32" t="s">
        <v>4436</v>
      </c>
      <c r="B531" s="32" t="s">
        <v>4437</v>
      </c>
      <c r="C531" s="23" t="str">
        <f t="shared" si="1"/>
        <v>Shanell Mosley</v>
      </c>
      <c r="D531" s="32">
        <v>5.089824792E9</v>
      </c>
      <c r="E531" s="32" t="s">
        <v>4438</v>
      </c>
      <c r="F531" s="28" t="s">
        <v>769</v>
      </c>
      <c r="G531" s="32">
        <v>273.0</v>
      </c>
      <c r="H531" s="22">
        <f t="array" ref="H531">IFERROR(INDEX('Hub CPC 226'!A:A, MATCH(C531, 'Hub CPC 226'!B:B, 0)), "")</f>
        <v>596</v>
      </c>
      <c r="I531" s="22">
        <f t="array" ref="I531">IFERROR(INDEX('Hub Users 226'!A:A, MATCH(C531, 'Hub Users 226'!B:B, 0)), "")</f>
        <v>2495</v>
      </c>
      <c r="J531" s="22"/>
      <c r="K531" s="23" t="s">
        <v>4439</v>
      </c>
      <c r="L531" s="37">
        <v>43777.45277777778</v>
      </c>
      <c r="M531" s="23"/>
      <c r="N531" s="23"/>
      <c r="O531" s="23"/>
      <c r="P531" s="23"/>
      <c r="Q531" s="32" t="s">
        <v>4440</v>
      </c>
      <c r="R531" s="32" t="s">
        <v>4441</v>
      </c>
      <c r="S531" s="22" t="s">
        <v>4442</v>
      </c>
      <c r="T531" s="22" t="s">
        <v>241</v>
      </c>
      <c r="U531" s="32" t="s">
        <v>4443</v>
      </c>
      <c r="V531" s="23"/>
      <c r="W531" s="23"/>
      <c r="X531" s="23"/>
      <c r="Y531" s="23"/>
      <c r="Z531" s="23"/>
      <c r="AA531" s="23"/>
      <c r="AB531" s="23" t="str">
        <f>IFERROR(__xludf.DUMMYFUNCTION("IF(
ISNUMBER(MATCH(
C531,
IMPORTRANGE(""https://docs.google.com/spreadsheets/d/1yTh1ELC33JHYOeEdgIiEclxPRyh0zOKtlawDltfUay8"",""'Champions'!A:A""),
0
)),
""Outreach Conducted"",
"""")"),"")</f>
        <v/>
      </c>
      <c r="AC531" s="23"/>
      <c r="AD531" s="26" t="s">
        <v>4444</v>
      </c>
      <c r="AE531" s="23"/>
      <c r="AF531" s="28" t="s">
        <v>449</v>
      </c>
      <c r="AG531" s="28">
        <v>25.0</v>
      </c>
      <c r="AH531" s="23"/>
      <c r="AI531" s="23"/>
      <c r="AJ531" s="23"/>
      <c r="AK531" s="23"/>
      <c r="AL531" s="23"/>
    </row>
    <row r="532" hidden="1">
      <c r="A532" s="32" t="s">
        <v>1045</v>
      </c>
      <c r="B532" s="32" t="s">
        <v>4445</v>
      </c>
      <c r="C532" s="23" t="str">
        <f t="shared" si="1"/>
        <v>Danielle Weinstein</v>
      </c>
      <c r="D532" s="32">
        <v>6.143152316E9</v>
      </c>
      <c r="E532" s="32" t="s">
        <v>4446</v>
      </c>
      <c r="F532" s="28" t="s">
        <v>769</v>
      </c>
      <c r="G532" s="32">
        <v>265.0</v>
      </c>
      <c r="H532" s="22">
        <f t="array" ref="H532">IFERROR(INDEX('Hub CPC 226'!A:A, MATCH(C532, 'Hub CPC 226'!B:B, 0)), "")</f>
        <v>597</v>
      </c>
      <c r="I532" s="22">
        <f t="array" ref="I532">IFERROR(INDEX('Hub Users 226'!A:A, MATCH(C532, 'Hub Users 226'!B:B, 0)), "")</f>
        <v>2496</v>
      </c>
      <c r="J532" s="22"/>
      <c r="K532" s="23" t="s">
        <v>4447</v>
      </c>
      <c r="L532" s="37">
        <v>43777.45277777778</v>
      </c>
      <c r="M532" s="28">
        <v>12.0</v>
      </c>
      <c r="N532" s="28">
        <v>28.0</v>
      </c>
      <c r="O532" s="28">
        <v>74.0</v>
      </c>
      <c r="P532" s="32">
        <v>2.0</v>
      </c>
      <c r="Q532" s="32" t="s">
        <v>4448</v>
      </c>
      <c r="R532" s="32" t="s">
        <v>334</v>
      </c>
      <c r="S532" s="32" t="s">
        <v>271</v>
      </c>
      <c r="T532" s="22" t="s">
        <v>272</v>
      </c>
      <c r="U532" s="32" t="s">
        <v>4449</v>
      </c>
      <c r="V532" s="23"/>
      <c r="W532" s="23"/>
      <c r="X532" s="23"/>
      <c r="Y532" s="23"/>
      <c r="Z532" s="23"/>
      <c r="AA532" s="23"/>
      <c r="AB532" s="23" t="str">
        <f>IFERROR(__xludf.DUMMYFUNCTION("IF(
ISNUMBER(MATCH(
C532,
IMPORTRANGE(""https://docs.google.com/spreadsheets/d/1yTh1ELC33JHYOeEdgIiEclxPRyh0zOKtlawDltfUay8"",""'Champions'!A:A""),
0
)),
""Outreach Conducted"",
"""")"),"")</f>
        <v/>
      </c>
      <c r="AC532" s="23"/>
      <c r="AD532" s="23"/>
      <c r="AE532" s="23"/>
      <c r="AF532" s="23"/>
      <c r="AG532" s="23"/>
      <c r="AH532" s="23"/>
      <c r="AI532" s="23"/>
      <c r="AJ532" s="23"/>
      <c r="AK532" s="23"/>
      <c r="AL532" s="23"/>
    </row>
    <row r="533" hidden="1">
      <c r="A533" s="32" t="s">
        <v>4450</v>
      </c>
      <c r="B533" s="32" t="s">
        <v>4451</v>
      </c>
      <c r="C533" s="23" t="str">
        <f t="shared" si="1"/>
        <v>Suraiya Khatun</v>
      </c>
      <c r="D533" s="32" t="s">
        <v>4452</v>
      </c>
      <c r="E533" s="32" t="s">
        <v>4453</v>
      </c>
      <c r="F533" s="28" t="s">
        <v>769</v>
      </c>
      <c r="G533" s="32">
        <v>200.0</v>
      </c>
      <c r="H533" s="22">
        <f t="array" ref="H533">IFERROR(INDEX('Hub CPC 226'!A:A, MATCH(C533, 'Hub CPC 226'!B:B, 0)), "")</f>
        <v>598</v>
      </c>
      <c r="I533" s="22">
        <f t="array" ref="I533">IFERROR(INDEX('Hub Users 226'!A:A, MATCH(C533, 'Hub Users 226'!B:B, 0)), "")</f>
        <v>2497</v>
      </c>
      <c r="J533" s="22"/>
      <c r="K533" s="23" t="s">
        <v>4454</v>
      </c>
      <c r="L533" s="37">
        <v>43647.521527777775</v>
      </c>
      <c r="M533" s="28">
        <v>14.0</v>
      </c>
      <c r="N533" s="28">
        <v>59.0</v>
      </c>
      <c r="O533" s="28">
        <v>36.0</v>
      </c>
      <c r="P533" s="32">
        <v>22.0</v>
      </c>
      <c r="Q533" s="32" t="s">
        <v>4455</v>
      </c>
      <c r="R533" s="32" t="s">
        <v>4456</v>
      </c>
      <c r="S533" s="22" t="s">
        <v>1173</v>
      </c>
      <c r="T533" s="22" t="s">
        <v>272</v>
      </c>
      <c r="U533" s="32" t="s">
        <v>4457</v>
      </c>
      <c r="V533" s="26" t="s">
        <v>393</v>
      </c>
      <c r="W533" s="27" t="s">
        <v>4458</v>
      </c>
      <c r="X533" s="26" t="s">
        <v>519</v>
      </c>
      <c r="Y533" s="23"/>
      <c r="Z533" s="23"/>
      <c r="AA533" s="23"/>
      <c r="AB533" s="23" t="str">
        <f>IFERROR(__xludf.DUMMYFUNCTION("IF(
ISNUMBER(MATCH(
C533,
IMPORTRANGE(""https://docs.google.com/spreadsheets/d/1yTh1ELC33JHYOeEdgIiEclxPRyh0zOKtlawDltfUay8"",""'Champions'!A:A""),
0
)),
""Outreach Conducted"",
"""")"),"")</f>
        <v/>
      </c>
      <c r="AC533" s="23"/>
      <c r="AD533" s="23"/>
      <c r="AE533" s="23"/>
      <c r="AF533" s="23"/>
      <c r="AG533" s="23"/>
      <c r="AH533" s="23"/>
      <c r="AI533" s="23"/>
      <c r="AJ533" s="23"/>
      <c r="AK533" s="23"/>
      <c r="AL533" s="23"/>
    </row>
    <row r="534" hidden="1">
      <c r="A534" s="32" t="s">
        <v>4459</v>
      </c>
      <c r="B534" s="32" t="s">
        <v>487</v>
      </c>
      <c r="C534" s="23" t="str">
        <f t="shared" si="1"/>
        <v>Renna Patel</v>
      </c>
      <c r="D534" s="32" t="s">
        <v>4460</v>
      </c>
      <c r="E534" s="32" t="s">
        <v>4461</v>
      </c>
      <c r="F534" s="28" t="s">
        <v>769</v>
      </c>
      <c r="G534" s="32">
        <v>195.0</v>
      </c>
      <c r="H534" s="22">
        <f t="array" ref="H534">IFERROR(INDEX('Hub CPC 226'!A:A, MATCH(C534, 'Hub CPC 226'!B:B, 0)), "")</f>
        <v>599</v>
      </c>
      <c r="I534" s="22">
        <f t="array" ref="I534">IFERROR(INDEX('Hub Users 226'!A:A, MATCH(C534, 'Hub Users 226'!B:B, 0)), "")</f>
        <v>2498</v>
      </c>
      <c r="J534" s="22"/>
      <c r="K534" s="23" t="s">
        <v>4462</v>
      </c>
      <c r="L534" s="37">
        <v>43592.274305555555</v>
      </c>
      <c r="M534" s="23"/>
      <c r="N534" s="23"/>
      <c r="O534" s="23"/>
      <c r="P534" s="23"/>
      <c r="Q534" s="32" t="s">
        <v>4463</v>
      </c>
      <c r="R534" s="32" t="s">
        <v>241</v>
      </c>
      <c r="S534" s="22" t="s">
        <v>1895</v>
      </c>
      <c r="T534" s="22" t="s">
        <v>241</v>
      </c>
      <c r="U534" s="32" t="s">
        <v>4464</v>
      </c>
      <c r="V534" s="23"/>
      <c r="W534" s="23"/>
      <c r="X534" s="23"/>
      <c r="Y534" s="23"/>
      <c r="Z534" s="23"/>
      <c r="AA534" s="23"/>
      <c r="AB534" s="23" t="str">
        <f>IFERROR(__xludf.DUMMYFUNCTION("IF(
ISNUMBER(MATCH(
C534,
IMPORTRANGE(""https://docs.google.com/spreadsheets/d/1yTh1ELC33JHYOeEdgIiEclxPRyh0zOKtlawDltfUay8"",""'Champions'!A:A""),
0
)),
""Outreach Conducted"",
"""")"),"")</f>
        <v/>
      </c>
      <c r="AC534" s="23"/>
      <c r="AD534" s="23"/>
      <c r="AE534" s="23"/>
      <c r="AF534" s="23"/>
      <c r="AG534" s="23"/>
      <c r="AH534" s="23"/>
      <c r="AI534" s="23"/>
      <c r="AJ534" s="23"/>
      <c r="AK534" s="23"/>
      <c r="AL534" s="23"/>
    </row>
    <row r="535" hidden="1">
      <c r="A535" s="32" t="s">
        <v>4465</v>
      </c>
      <c r="B535" s="32" t="s">
        <v>4466</v>
      </c>
      <c r="C535" s="23" t="str">
        <f t="shared" si="1"/>
        <v>Renee Lyn Frey</v>
      </c>
      <c r="D535" s="32" t="s">
        <v>4467</v>
      </c>
      <c r="E535" s="32" t="s">
        <v>4468</v>
      </c>
      <c r="F535" s="28" t="s">
        <v>769</v>
      </c>
      <c r="G535" s="32">
        <v>194.0</v>
      </c>
      <c r="H535" s="22">
        <f t="array" ref="H535">IFERROR(INDEX('Hub CPC 226'!A:A, MATCH(C535, 'Hub CPC 226'!B:B, 0)), "")</f>
        <v>600</v>
      </c>
      <c r="I535" s="22">
        <f t="array" ref="I535">IFERROR(INDEX('Hub Users 226'!A:A, MATCH(C535, 'Hub Users 226'!B:B, 0)), "")</f>
        <v>2499</v>
      </c>
      <c r="J535" s="22"/>
      <c r="K535" s="23" t="s">
        <v>4469</v>
      </c>
      <c r="L535" s="37">
        <v>43592.27361111111</v>
      </c>
      <c r="M535" s="23"/>
      <c r="N535" s="23"/>
      <c r="O535" s="23"/>
      <c r="P535" s="23"/>
      <c r="Q535" s="32" t="s">
        <v>4470</v>
      </c>
      <c r="R535" s="32" t="s">
        <v>4471</v>
      </c>
      <c r="S535" s="22" t="s">
        <v>4472</v>
      </c>
      <c r="T535" s="22" t="s">
        <v>381</v>
      </c>
      <c r="U535" s="32" t="s">
        <v>4473</v>
      </c>
      <c r="V535" s="23"/>
      <c r="W535" s="23"/>
      <c r="X535" s="23"/>
      <c r="Y535" s="23"/>
      <c r="Z535" s="23"/>
      <c r="AA535" s="23"/>
      <c r="AB535" s="23" t="str">
        <f>IFERROR(__xludf.DUMMYFUNCTION("IF(
ISNUMBER(MATCH(
C535,
IMPORTRANGE(""https://docs.google.com/spreadsheets/d/1yTh1ELC33JHYOeEdgIiEclxPRyh0zOKtlawDltfUay8"",""'Champions'!A:A""),
0
)),
""Outreach Conducted"",
"""")"),"")</f>
        <v/>
      </c>
      <c r="AC535" s="23"/>
      <c r="AD535" s="23"/>
      <c r="AE535" s="23"/>
      <c r="AF535" s="23"/>
      <c r="AG535" s="23"/>
      <c r="AH535" s="23"/>
      <c r="AI535" s="23"/>
      <c r="AJ535" s="23"/>
      <c r="AK535" s="23"/>
      <c r="AL535" s="23"/>
    </row>
    <row r="536" hidden="1">
      <c r="A536" s="32" t="s">
        <v>4474</v>
      </c>
      <c r="B536" s="32" t="s">
        <v>4475</v>
      </c>
      <c r="C536" s="23" t="str">
        <f t="shared" si="1"/>
        <v>Mital Desai</v>
      </c>
      <c r="D536" s="32" t="s">
        <v>4476</v>
      </c>
      <c r="E536" s="32" t="s">
        <v>4477</v>
      </c>
      <c r="F536" s="28" t="s">
        <v>2536</v>
      </c>
      <c r="G536" s="32">
        <v>193.0</v>
      </c>
      <c r="H536" s="22">
        <f t="array" ref="H536">IFERROR(INDEX('Hub CPC 226'!A:A, MATCH(C536, 'Hub CPC 226'!B:B, 0)), "")</f>
        <v>601</v>
      </c>
      <c r="I536" s="22">
        <f t="array" ref="I536">IFERROR(INDEX('Hub Users 226'!A:A, MATCH(C536, 'Hub Users 226'!B:B, 0)), "")</f>
        <v>2500</v>
      </c>
      <c r="J536" s="22"/>
      <c r="K536" s="23" t="s">
        <v>4478</v>
      </c>
      <c r="L536" s="37">
        <v>43592.27222222222</v>
      </c>
      <c r="M536" s="23"/>
      <c r="N536" s="23"/>
      <c r="O536" s="23"/>
      <c r="P536" s="23"/>
      <c r="Q536" s="32" t="s">
        <v>4479</v>
      </c>
      <c r="R536" s="32" t="s">
        <v>4480</v>
      </c>
      <c r="S536" s="22" t="s">
        <v>4481</v>
      </c>
      <c r="T536" s="22" t="s">
        <v>381</v>
      </c>
      <c r="U536" s="32" t="s">
        <v>4482</v>
      </c>
      <c r="V536" s="23"/>
      <c r="W536" s="23"/>
      <c r="X536" s="23"/>
      <c r="Y536" s="23"/>
      <c r="Z536" s="23"/>
      <c r="AA536" s="23"/>
      <c r="AB536" s="23" t="str">
        <f>IFERROR(__xludf.DUMMYFUNCTION("IF(
ISNUMBER(MATCH(
C536,
IMPORTRANGE(""https://docs.google.com/spreadsheets/d/1yTh1ELC33JHYOeEdgIiEclxPRyh0zOKtlawDltfUay8"",""'Champions'!A:A""),
0
)),
""Outreach Conducted"",
"""")"),"")</f>
        <v/>
      </c>
      <c r="AC536" s="23"/>
      <c r="AD536" s="23"/>
      <c r="AE536" s="23"/>
      <c r="AF536" s="23"/>
      <c r="AG536" s="23"/>
      <c r="AH536" s="23"/>
      <c r="AI536" s="23"/>
      <c r="AJ536" s="23"/>
      <c r="AK536" s="23"/>
      <c r="AL536" s="23"/>
    </row>
    <row r="537" hidden="1">
      <c r="A537" s="32" t="s">
        <v>4483</v>
      </c>
      <c r="B537" s="32" t="s">
        <v>4484</v>
      </c>
      <c r="C537" s="23" t="str">
        <f t="shared" si="1"/>
        <v>Michelle Castillo</v>
      </c>
      <c r="D537" s="32" t="s">
        <v>4485</v>
      </c>
      <c r="E537" s="32" t="s">
        <v>4486</v>
      </c>
      <c r="F537" s="28" t="s">
        <v>769</v>
      </c>
      <c r="G537" s="32">
        <v>191.0</v>
      </c>
      <c r="H537" s="22">
        <f t="array" ref="H537">IFERROR(INDEX('Hub CPC 226'!A:A, MATCH(C537, 'Hub CPC 226'!B:B, 0)), "")</f>
        <v>602</v>
      </c>
      <c r="I537" s="22">
        <f t="array" ref="I537">IFERROR(INDEX('Hub Users 226'!A:A, MATCH(C537, 'Hub Users 226'!B:B, 0)), "")</f>
        <v>2501</v>
      </c>
      <c r="J537" s="22"/>
      <c r="K537" s="23" t="s">
        <v>4487</v>
      </c>
      <c r="L537" s="37">
        <v>43592.27222222222</v>
      </c>
      <c r="M537" s="23"/>
      <c r="N537" s="23"/>
      <c r="O537" s="23"/>
      <c r="P537" s="23"/>
      <c r="Q537" s="32" t="s">
        <v>4488</v>
      </c>
      <c r="R537" s="32" t="s">
        <v>4489</v>
      </c>
      <c r="S537" s="32" t="s">
        <v>4490</v>
      </c>
      <c r="T537" s="22" t="s">
        <v>241</v>
      </c>
      <c r="U537" s="32" t="s">
        <v>4491</v>
      </c>
      <c r="V537" s="26" t="s">
        <v>284</v>
      </c>
      <c r="W537" s="27" t="s">
        <v>4492</v>
      </c>
      <c r="X537" s="26" t="s">
        <v>477</v>
      </c>
      <c r="Y537" s="23"/>
      <c r="Z537" s="23"/>
      <c r="AA537" s="23"/>
      <c r="AB537" s="23" t="str">
        <f>IFERROR(__xludf.DUMMYFUNCTION("IF(
ISNUMBER(MATCH(
C537,
IMPORTRANGE(""https://docs.google.com/spreadsheets/d/1yTh1ELC33JHYOeEdgIiEclxPRyh0zOKtlawDltfUay8"",""'Champions'!A:A""),
0
)),
""Outreach Conducted"",
"""")"),"")</f>
        <v/>
      </c>
      <c r="AC537" s="23"/>
      <c r="AD537" s="23"/>
      <c r="AE537" s="23"/>
      <c r="AF537" s="23"/>
      <c r="AG537" s="23"/>
      <c r="AH537" s="23"/>
      <c r="AI537" s="23"/>
      <c r="AJ537" s="23"/>
      <c r="AK537" s="23"/>
      <c r="AL537" s="23"/>
    </row>
    <row r="538" hidden="1">
      <c r="A538" s="32" t="s">
        <v>4493</v>
      </c>
      <c r="B538" s="32" t="s">
        <v>4494</v>
      </c>
      <c r="C538" s="23" t="str">
        <f t="shared" si="1"/>
        <v>Meredith McCracken</v>
      </c>
      <c r="D538" s="32" t="s">
        <v>4495</v>
      </c>
      <c r="E538" s="32" t="s">
        <v>4496</v>
      </c>
      <c r="F538" s="28" t="s">
        <v>769</v>
      </c>
      <c r="G538" s="32">
        <v>190.0</v>
      </c>
      <c r="H538" s="22">
        <f t="array" ref="H538">IFERROR(INDEX('Hub CPC 226'!A:A, MATCH(C538, 'Hub CPC 226'!B:B, 0)), "")</f>
        <v>603</v>
      </c>
      <c r="I538" s="22">
        <f t="array" ref="I538">IFERROR(INDEX('Hub Users 226'!A:A, MATCH(C538, 'Hub Users 226'!B:B, 0)), "")</f>
        <v>2502</v>
      </c>
      <c r="J538" s="22"/>
      <c r="K538" s="23" t="s">
        <v>4497</v>
      </c>
      <c r="L538" s="37">
        <v>43592.271527777775</v>
      </c>
      <c r="M538" s="23"/>
      <c r="N538" s="23"/>
      <c r="O538" s="23"/>
      <c r="P538" s="23"/>
      <c r="Q538" s="32" t="s">
        <v>4498</v>
      </c>
      <c r="R538" s="32" t="s">
        <v>4499</v>
      </c>
      <c r="S538" s="32" t="s">
        <v>4500</v>
      </c>
      <c r="T538" s="22" t="s">
        <v>381</v>
      </c>
      <c r="U538" s="32" t="s">
        <v>4501</v>
      </c>
      <c r="V538" s="23"/>
      <c r="W538" s="23"/>
      <c r="X538" s="23"/>
      <c r="Y538" s="23"/>
      <c r="Z538" s="23"/>
      <c r="AA538" s="23"/>
      <c r="AB538" s="23" t="str">
        <f>IFERROR(__xludf.DUMMYFUNCTION("IF(
ISNUMBER(MATCH(
C538,
IMPORTRANGE(""https://docs.google.com/spreadsheets/d/1yTh1ELC33JHYOeEdgIiEclxPRyh0zOKtlawDltfUay8"",""'Champions'!A:A""),
0
)),
""Outreach Conducted"",
"""")"),"")</f>
        <v/>
      </c>
      <c r="AC538" s="23"/>
      <c r="AD538" s="23"/>
      <c r="AE538" s="23"/>
      <c r="AF538" s="23"/>
      <c r="AG538" s="23"/>
      <c r="AH538" s="23"/>
      <c r="AI538" s="23"/>
      <c r="AJ538" s="23"/>
      <c r="AK538" s="23"/>
      <c r="AL538" s="23"/>
    </row>
    <row r="539" hidden="1">
      <c r="A539" s="32" t="s">
        <v>4502</v>
      </c>
      <c r="B539" s="32" t="s">
        <v>4503</v>
      </c>
      <c r="C539" s="23" t="str">
        <f t="shared" si="1"/>
        <v>Maydelli Mendoza</v>
      </c>
      <c r="D539" s="32">
        <v>3.109560375E9</v>
      </c>
      <c r="E539" s="32" t="s">
        <v>4504</v>
      </c>
      <c r="F539" s="28" t="s">
        <v>769</v>
      </c>
      <c r="G539" s="32">
        <v>188.0</v>
      </c>
      <c r="H539" s="22">
        <f t="array" ref="H539">IFERROR(INDEX('Hub CPC 226'!A:A, MATCH(C539, 'Hub CPC 226'!B:B, 0)), "")</f>
        <v>604</v>
      </c>
      <c r="I539" s="22">
        <f t="array" ref="I539">IFERROR(INDEX('Hub Users 226'!A:A, MATCH(C539, 'Hub Users 226'!B:B, 0)), "")</f>
        <v>2503</v>
      </c>
      <c r="J539" s="22"/>
      <c r="K539" s="23" t="s">
        <v>4505</v>
      </c>
      <c r="L539" s="37">
        <v>43592.271527777775</v>
      </c>
      <c r="M539" s="23"/>
      <c r="N539" s="23"/>
      <c r="O539" s="23"/>
      <c r="P539" s="23"/>
      <c r="Q539" s="32" t="s">
        <v>4506</v>
      </c>
      <c r="R539" s="32" t="s">
        <v>4507</v>
      </c>
      <c r="S539" s="32" t="s">
        <v>4508</v>
      </c>
      <c r="T539" s="22" t="s">
        <v>252</v>
      </c>
      <c r="U539" s="31"/>
      <c r="V539" s="23"/>
      <c r="W539" s="23"/>
      <c r="X539" s="23"/>
      <c r="Y539" s="23"/>
      <c r="Z539" s="23"/>
      <c r="AA539" s="23"/>
      <c r="AB539" s="23" t="str">
        <f>IFERROR(__xludf.DUMMYFUNCTION("IF(
ISNUMBER(MATCH(
C539,
IMPORTRANGE(""https://docs.google.com/spreadsheets/d/1yTh1ELC33JHYOeEdgIiEclxPRyh0zOKtlawDltfUay8"",""'Champions'!A:A""),
0
)),
""Outreach Conducted"",
"""")"),"")</f>
        <v/>
      </c>
      <c r="AC539" s="23"/>
      <c r="AD539" s="23"/>
      <c r="AE539" s="23"/>
      <c r="AF539" s="23"/>
      <c r="AG539" s="23"/>
      <c r="AH539" s="23"/>
      <c r="AI539" s="23"/>
      <c r="AJ539" s="23"/>
      <c r="AK539" s="23"/>
      <c r="AL539" s="23"/>
    </row>
    <row r="540" hidden="1">
      <c r="A540" s="32" t="s">
        <v>2308</v>
      </c>
      <c r="B540" s="32" t="s">
        <v>4509</v>
      </c>
      <c r="C540" s="23" t="str">
        <f t="shared" si="1"/>
        <v>Maria Dicino</v>
      </c>
      <c r="D540" s="32" t="s">
        <v>4510</v>
      </c>
      <c r="E540" s="32" t="s">
        <v>4511</v>
      </c>
      <c r="F540" s="28" t="s">
        <v>769</v>
      </c>
      <c r="G540" s="32">
        <v>186.0</v>
      </c>
      <c r="H540" s="22">
        <f t="array" ref="H540">IFERROR(INDEX('Hub CPC 226'!A:A, MATCH(C540, 'Hub CPC 226'!B:B, 0)), "")</f>
        <v>605</v>
      </c>
      <c r="I540" s="22">
        <f t="array" ref="I540">IFERROR(INDEX('Hub Users 226'!A:A, MATCH(C540, 'Hub Users 226'!B:B, 0)), "")</f>
        <v>2504</v>
      </c>
      <c r="J540" s="22"/>
      <c r="K540" s="23" t="s">
        <v>4512</v>
      </c>
      <c r="L540" s="37">
        <v>43592.270833333336</v>
      </c>
      <c r="M540" s="23"/>
      <c r="N540" s="23"/>
      <c r="O540" s="23"/>
      <c r="P540" s="23"/>
      <c r="Q540" s="32" t="s">
        <v>4513</v>
      </c>
      <c r="R540" s="32" t="s">
        <v>241</v>
      </c>
      <c r="S540" s="22" t="s">
        <v>3787</v>
      </c>
      <c r="T540" s="22" t="s">
        <v>241</v>
      </c>
      <c r="U540" s="32" t="s">
        <v>4514</v>
      </c>
      <c r="V540" s="23"/>
      <c r="W540" s="23"/>
      <c r="X540" s="23"/>
      <c r="Y540" s="23"/>
      <c r="Z540" s="23"/>
      <c r="AA540" s="23"/>
      <c r="AB540" s="23" t="str">
        <f>IFERROR(__xludf.DUMMYFUNCTION("IF(
ISNUMBER(MATCH(
C540,
IMPORTRANGE(""https://docs.google.com/spreadsheets/d/1yTh1ELC33JHYOeEdgIiEclxPRyh0zOKtlawDltfUay8"",""'Champions'!A:A""),
0
)),
""Outreach Conducted"",
"""")"),"")</f>
        <v/>
      </c>
      <c r="AC540" s="23"/>
      <c r="AD540" s="23"/>
      <c r="AE540" s="23"/>
      <c r="AF540" s="23"/>
      <c r="AG540" s="23"/>
      <c r="AH540" s="23"/>
      <c r="AI540" s="23"/>
      <c r="AJ540" s="23"/>
      <c r="AK540" s="23"/>
      <c r="AL540" s="23"/>
    </row>
    <row r="541" hidden="1">
      <c r="A541" s="32" t="s">
        <v>4515</v>
      </c>
      <c r="B541" s="32" t="s">
        <v>4516</v>
      </c>
      <c r="C541" s="23" t="str">
        <f t="shared" si="1"/>
        <v>Magdalene Clare Nitschke</v>
      </c>
      <c r="D541" s="32" t="s">
        <v>4517</v>
      </c>
      <c r="E541" s="32" t="s">
        <v>4518</v>
      </c>
      <c r="F541" s="28" t="s">
        <v>769</v>
      </c>
      <c r="G541" s="32">
        <v>185.0</v>
      </c>
      <c r="H541" s="22">
        <f t="array" ref="H541">IFERROR(INDEX('Hub CPC 226'!A:A, MATCH(C541, 'Hub CPC 226'!B:B, 0)), "")</f>
        <v>606</v>
      </c>
      <c r="I541" s="22">
        <f t="array" ref="I541">IFERROR(INDEX('Hub Users 226'!A:A, MATCH(C541, 'Hub Users 226'!B:B, 0)), "")</f>
        <v>2505</v>
      </c>
      <c r="J541" s="22"/>
      <c r="K541" s="23" t="s">
        <v>4519</v>
      </c>
      <c r="L541" s="37">
        <v>43592.270833333336</v>
      </c>
      <c r="M541" s="23"/>
      <c r="N541" s="23"/>
      <c r="O541" s="23"/>
      <c r="P541" s="23"/>
      <c r="Q541" s="32" t="s">
        <v>4520</v>
      </c>
      <c r="R541" s="32" t="s">
        <v>974</v>
      </c>
      <c r="S541" s="32" t="s">
        <v>974</v>
      </c>
      <c r="T541" s="22" t="s">
        <v>252</v>
      </c>
      <c r="U541" s="32" t="s">
        <v>4521</v>
      </c>
      <c r="V541" s="23"/>
      <c r="W541" s="23"/>
      <c r="X541" s="23"/>
      <c r="Y541" s="23"/>
      <c r="Z541" s="23"/>
      <c r="AA541" s="23"/>
      <c r="AB541" s="23" t="str">
        <f>IFERROR(__xludf.DUMMYFUNCTION("IF(
ISNUMBER(MATCH(
C541,
IMPORTRANGE(""https://docs.google.com/spreadsheets/d/1yTh1ELC33JHYOeEdgIiEclxPRyh0zOKtlawDltfUay8"",""'Champions'!A:A""),
0
)),
""Outreach Conducted"",
"""")"),"")</f>
        <v/>
      </c>
      <c r="AC541" s="23"/>
      <c r="AD541" s="23"/>
      <c r="AE541" s="23"/>
      <c r="AF541" s="23"/>
      <c r="AG541" s="23"/>
      <c r="AH541" s="23"/>
      <c r="AI541" s="23"/>
      <c r="AJ541" s="23"/>
      <c r="AK541" s="23"/>
      <c r="AL541" s="23"/>
    </row>
    <row r="542" hidden="1">
      <c r="A542" s="32" t="s">
        <v>4522</v>
      </c>
      <c r="B542" s="32" t="s">
        <v>4523</v>
      </c>
      <c r="C542" s="23" t="str">
        <f t="shared" si="1"/>
        <v>Madiana Hedayet</v>
      </c>
      <c r="D542" s="32">
        <v>1.5103628349E10</v>
      </c>
      <c r="E542" s="32" t="s">
        <v>4524</v>
      </c>
      <c r="F542" s="28" t="s">
        <v>769</v>
      </c>
      <c r="G542" s="32">
        <v>184.0</v>
      </c>
      <c r="H542" s="22">
        <f t="array" ref="H542">IFERROR(INDEX('Hub CPC 226'!A:A, MATCH(C542, 'Hub CPC 226'!B:B, 0)), "")</f>
        <v>607</v>
      </c>
      <c r="I542" s="22">
        <f t="array" ref="I542">IFERROR(INDEX('Hub Users 226'!A:A, MATCH(C542, 'Hub Users 226'!B:B, 0)), "")</f>
        <v>2506</v>
      </c>
      <c r="J542" s="22"/>
      <c r="K542" s="23" t="s">
        <v>4525</v>
      </c>
      <c r="L542" s="37">
        <v>43592.270833333336</v>
      </c>
      <c r="M542" s="23"/>
      <c r="N542" s="23"/>
      <c r="O542" s="23"/>
      <c r="P542" s="23"/>
      <c r="Q542" s="32" t="s">
        <v>4526</v>
      </c>
      <c r="R542" s="32" t="s">
        <v>252</v>
      </c>
      <c r="S542" s="22" t="s">
        <v>4527</v>
      </c>
      <c r="T542" s="22" t="s">
        <v>252</v>
      </c>
      <c r="U542" s="32" t="s">
        <v>4528</v>
      </c>
      <c r="V542" s="23"/>
      <c r="W542" s="23"/>
      <c r="X542" s="23"/>
      <c r="Y542" s="23"/>
      <c r="Z542" s="23"/>
      <c r="AA542" s="23"/>
      <c r="AB542" s="23" t="str">
        <f>IFERROR(__xludf.DUMMYFUNCTION("IF(
ISNUMBER(MATCH(
C542,
IMPORTRANGE(""https://docs.google.com/spreadsheets/d/1yTh1ELC33JHYOeEdgIiEclxPRyh0zOKtlawDltfUay8"",""'Champions'!A:A""),
0
)),
""Outreach Conducted"",
"""")"),"")</f>
        <v/>
      </c>
      <c r="AC542" s="23"/>
      <c r="AD542" s="23"/>
      <c r="AE542" s="23"/>
      <c r="AF542" s="23"/>
      <c r="AG542" s="23"/>
      <c r="AH542" s="23"/>
      <c r="AI542" s="23"/>
      <c r="AJ542" s="23"/>
      <c r="AK542" s="23"/>
      <c r="AL542" s="23"/>
    </row>
    <row r="543" hidden="1">
      <c r="A543" s="32" t="s">
        <v>4529</v>
      </c>
      <c r="B543" s="32" t="s">
        <v>4530</v>
      </c>
      <c r="C543" s="23" t="str">
        <f t="shared" si="1"/>
        <v>Madeleine Lilly Oldaker</v>
      </c>
      <c r="D543" s="32">
        <v>6.315606521E9</v>
      </c>
      <c r="E543" s="32" t="s">
        <v>4531</v>
      </c>
      <c r="F543" s="28" t="s">
        <v>769</v>
      </c>
      <c r="G543" s="32">
        <v>182.0</v>
      </c>
      <c r="H543" s="22">
        <f t="array" ref="H543">IFERROR(INDEX('Hub CPC 226'!A:A, MATCH(C543, 'Hub CPC 226'!B:B, 0)), "")</f>
        <v>608</v>
      </c>
      <c r="I543" s="22">
        <f t="array" ref="I543">IFERROR(INDEX('Hub Users 226'!A:A, MATCH(C543, 'Hub Users 226'!B:B, 0)), "")</f>
        <v>2507</v>
      </c>
      <c r="J543" s="22"/>
      <c r="K543" s="23" t="s">
        <v>4532</v>
      </c>
      <c r="L543" s="37">
        <v>43592.270833333336</v>
      </c>
      <c r="M543" s="28">
        <v>2.0</v>
      </c>
      <c r="N543" s="28">
        <v>8.0</v>
      </c>
      <c r="O543" s="28">
        <v>9.0</v>
      </c>
      <c r="P543" s="31"/>
      <c r="Q543" s="32" t="s">
        <v>4533</v>
      </c>
      <c r="R543" s="32" t="s">
        <v>4534</v>
      </c>
      <c r="S543" s="32" t="s">
        <v>4534</v>
      </c>
      <c r="T543" s="22" t="s">
        <v>272</v>
      </c>
      <c r="U543" s="32" t="s">
        <v>4535</v>
      </c>
      <c r="V543" s="23"/>
      <c r="W543" s="23"/>
      <c r="X543" s="23"/>
      <c r="Y543" s="23"/>
      <c r="Z543" s="23"/>
      <c r="AA543" s="23"/>
      <c r="AB543" s="23" t="str">
        <f>IFERROR(__xludf.DUMMYFUNCTION("IF(
ISNUMBER(MATCH(
C543,
IMPORTRANGE(""https://docs.google.com/spreadsheets/d/1yTh1ELC33JHYOeEdgIiEclxPRyh0zOKtlawDltfUay8"",""'Champions'!A:A""),
0
)),
""Outreach Conducted"",
"""")"),"")</f>
        <v/>
      </c>
      <c r="AC543" s="23"/>
      <c r="AD543" s="23"/>
      <c r="AE543" s="23"/>
      <c r="AF543" s="23"/>
      <c r="AG543" s="23"/>
      <c r="AH543" s="23"/>
      <c r="AI543" s="23"/>
      <c r="AJ543" s="23"/>
      <c r="AK543" s="23"/>
      <c r="AL543" s="23"/>
    </row>
    <row r="544" hidden="1">
      <c r="A544" s="32" t="s">
        <v>4536</v>
      </c>
      <c r="B544" s="32" t="s">
        <v>4537</v>
      </c>
      <c r="C544" s="23" t="str">
        <f t="shared" si="1"/>
        <v>Lynette Monica Sandoval Corning</v>
      </c>
      <c r="D544" s="32" t="s">
        <v>4538</v>
      </c>
      <c r="E544" s="32" t="s">
        <v>4539</v>
      </c>
      <c r="F544" s="28" t="s">
        <v>769</v>
      </c>
      <c r="G544" s="32">
        <v>181.0</v>
      </c>
      <c r="H544" s="22">
        <f t="array" ref="H544">IFERROR(INDEX('Hub CPC 226'!A:A, MATCH(C544, 'Hub CPC 226'!B:B, 0)), "")</f>
        <v>609</v>
      </c>
      <c r="I544" s="22">
        <f t="array" ref="I544">IFERROR(INDEX('Hub Users 226'!A:A, MATCH(C544, 'Hub Users 226'!B:B, 0)), "")</f>
        <v>2508</v>
      </c>
      <c r="J544" s="22"/>
      <c r="K544" s="23" t="s">
        <v>4540</v>
      </c>
      <c r="L544" s="37">
        <v>43592.27013888889</v>
      </c>
      <c r="M544" s="23"/>
      <c r="N544" s="23"/>
      <c r="O544" s="23"/>
      <c r="P544" s="23"/>
      <c r="Q544" s="32" t="s">
        <v>4541</v>
      </c>
      <c r="R544" s="32" t="s">
        <v>4542</v>
      </c>
      <c r="S544" s="22" t="s">
        <v>4543</v>
      </c>
      <c r="T544" s="22" t="s">
        <v>252</v>
      </c>
      <c r="U544" s="32" t="s">
        <v>4544</v>
      </c>
      <c r="V544" s="23"/>
      <c r="W544" s="23"/>
      <c r="X544" s="23"/>
      <c r="Y544" s="23"/>
      <c r="Z544" s="23"/>
      <c r="AA544" s="23"/>
      <c r="AB544" s="23" t="str">
        <f>IFERROR(__xludf.DUMMYFUNCTION("IF(
ISNUMBER(MATCH(
C544,
IMPORTRANGE(""https://docs.google.com/spreadsheets/d/1yTh1ELC33JHYOeEdgIiEclxPRyh0zOKtlawDltfUay8"",""'Champions'!A:A""),
0
)),
""Outreach Conducted"",
"""")"),"")</f>
        <v/>
      </c>
      <c r="AC544" s="23"/>
      <c r="AD544" s="23"/>
      <c r="AE544" s="23"/>
      <c r="AF544" s="23"/>
      <c r="AG544" s="23"/>
      <c r="AH544" s="23"/>
      <c r="AI544" s="23"/>
      <c r="AJ544" s="23"/>
      <c r="AK544" s="23"/>
      <c r="AL544" s="23"/>
    </row>
    <row r="545" hidden="1">
      <c r="A545" s="32" t="s">
        <v>2771</v>
      </c>
      <c r="B545" s="32" t="s">
        <v>4545</v>
      </c>
      <c r="C545" s="23" t="str">
        <f t="shared" si="1"/>
        <v>Pamela Lynn Stroupe</v>
      </c>
      <c r="D545" s="32">
        <v>8.183245307E9</v>
      </c>
      <c r="E545" s="32" t="s">
        <v>4546</v>
      </c>
      <c r="F545" s="28" t="s">
        <v>769</v>
      </c>
      <c r="G545" s="32">
        <v>179.0</v>
      </c>
      <c r="H545" s="22">
        <f t="array" ref="H545">IFERROR(INDEX('Hub CPC 226'!A:A, MATCH(C545, 'Hub CPC 226'!B:B, 0)), "")</f>
        <v>610</v>
      </c>
      <c r="I545" s="22">
        <f t="array" ref="I545">IFERROR(INDEX('Hub Users 226'!A:A, MATCH(C545, 'Hub Users 226'!B:B, 0)), "")</f>
        <v>2509</v>
      </c>
      <c r="J545" s="22"/>
      <c r="K545" s="23" t="s">
        <v>4547</v>
      </c>
      <c r="L545" s="37">
        <v>43592.26944444444</v>
      </c>
      <c r="M545" s="23"/>
      <c r="N545" s="23"/>
      <c r="O545" s="23"/>
      <c r="P545" s="23"/>
      <c r="Q545" s="32" t="s">
        <v>4548</v>
      </c>
      <c r="R545" s="32" t="s">
        <v>4549</v>
      </c>
      <c r="S545" s="32" t="s">
        <v>4549</v>
      </c>
      <c r="T545" s="22" t="s">
        <v>252</v>
      </c>
      <c r="U545" s="32" t="s">
        <v>4550</v>
      </c>
      <c r="V545" s="23"/>
      <c r="W545" s="23"/>
      <c r="X545" s="23"/>
      <c r="Y545" s="23"/>
      <c r="Z545" s="23"/>
      <c r="AA545" s="23"/>
      <c r="AB545" s="23" t="str">
        <f>IFERROR(__xludf.DUMMYFUNCTION("IF(
ISNUMBER(MATCH(
C545,
IMPORTRANGE(""https://docs.google.com/spreadsheets/d/1yTh1ELC33JHYOeEdgIiEclxPRyh0zOKtlawDltfUay8"",""'Champions'!A:A""),
0
)),
""Outreach Conducted"",
"""")"),"")</f>
        <v/>
      </c>
      <c r="AC545" s="23"/>
      <c r="AD545" s="23"/>
      <c r="AE545" s="23"/>
      <c r="AF545" s="23"/>
      <c r="AG545" s="23"/>
      <c r="AH545" s="23"/>
      <c r="AI545" s="23"/>
      <c r="AJ545" s="23"/>
      <c r="AK545" s="23"/>
      <c r="AL545" s="23"/>
    </row>
    <row r="546" hidden="1">
      <c r="A546" s="32" t="s">
        <v>3070</v>
      </c>
      <c r="B546" s="32" t="s">
        <v>4551</v>
      </c>
      <c r="C546" s="23" t="str">
        <f t="shared" si="1"/>
        <v>Samantha Electa Williams</v>
      </c>
      <c r="D546" s="32">
        <v>9.174964697E9</v>
      </c>
      <c r="E546" s="32" t="s">
        <v>4552</v>
      </c>
      <c r="F546" s="28" t="s">
        <v>769</v>
      </c>
      <c r="G546" s="32">
        <v>177.0</v>
      </c>
      <c r="H546" s="22">
        <f t="array" ref="H546">IFERROR(INDEX('Hub CPC 226'!A:A, MATCH(C546, 'Hub CPC 226'!B:B, 0)), "")</f>
        <v>611</v>
      </c>
      <c r="I546" s="22">
        <f t="array" ref="I546">IFERROR(INDEX('Hub Users 226'!A:A, MATCH(C546, 'Hub Users 226'!B:B, 0)), "")</f>
        <v>2510</v>
      </c>
      <c r="J546" s="22"/>
      <c r="K546" s="23" t="s">
        <v>4553</v>
      </c>
      <c r="L546" s="37">
        <v>43592.26875</v>
      </c>
      <c r="M546" s="28">
        <v>14.0</v>
      </c>
      <c r="N546" s="28">
        <v>59.0</v>
      </c>
      <c r="O546" s="28">
        <v>36.0</v>
      </c>
      <c r="P546" s="32">
        <v>22.0</v>
      </c>
      <c r="Q546" s="32" t="s">
        <v>4554</v>
      </c>
      <c r="R546" s="32" t="s">
        <v>293</v>
      </c>
      <c r="S546" s="22" t="s">
        <v>1173</v>
      </c>
      <c r="T546" s="22" t="s">
        <v>272</v>
      </c>
      <c r="U546" s="32" t="s">
        <v>4555</v>
      </c>
      <c r="V546" s="23"/>
      <c r="W546" s="23"/>
      <c r="X546" s="23"/>
      <c r="Y546" s="23"/>
      <c r="Z546" s="23"/>
      <c r="AA546" s="23"/>
      <c r="AB546" s="23" t="str">
        <f>IFERROR(__xludf.DUMMYFUNCTION("IF(
ISNUMBER(MATCH(
C546,
IMPORTRANGE(""https://docs.google.com/spreadsheets/d/1yTh1ELC33JHYOeEdgIiEclxPRyh0zOKtlawDltfUay8"",""'Champions'!A:A""),
0
)),
""Outreach Conducted"",
"""")"),"")</f>
        <v/>
      </c>
      <c r="AC546" s="23"/>
      <c r="AD546" s="23"/>
      <c r="AE546" s="23"/>
      <c r="AF546" s="23"/>
      <c r="AG546" s="23"/>
      <c r="AH546" s="23"/>
      <c r="AI546" s="23"/>
      <c r="AJ546" s="23"/>
      <c r="AK546" s="23"/>
      <c r="AL546" s="23"/>
    </row>
    <row r="547" hidden="1">
      <c r="A547" s="32" t="s">
        <v>4556</v>
      </c>
      <c r="B547" s="32" t="s">
        <v>4557</v>
      </c>
      <c r="C547" s="23" t="str">
        <f t="shared" si="1"/>
        <v>Saudia Ganie</v>
      </c>
      <c r="D547" s="32" t="s">
        <v>4558</v>
      </c>
      <c r="E547" s="32" t="s">
        <v>4559</v>
      </c>
      <c r="F547" s="28" t="s">
        <v>769</v>
      </c>
      <c r="G547" s="32">
        <v>176.0</v>
      </c>
      <c r="H547" s="22">
        <f t="array" ref="H547">IFERROR(INDEX('Hub CPC 226'!A:A, MATCH(C547, 'Hub CPC 226'!B:B, 0)), "")</f>
        <v>612</v>
      </c>
      <c r="I547" s="22">
        <f t="array" ref="I547">IFERROR(INDEX('Hub Users 226'!A:A, MATCH(C547, 'Hub Users 226'!B:B, 0)), "")</f>
        <v>2511</v>
      </c>
      <c r="J547" s="22"/>
      <c r="K547" s="28" t="s">
        <v>4560</v>
      </c>
      <c r="L547" s="37">
        <v>43592.26875</v>
      </c>
      <c r="M547" s="23"/>
      <c r="N547" s="23"/>
      <c r="O547" s="23"/>
      <c r="P547" s="23"/>
      <c r="Q547" s="32" t="s">
        <v>4561</v>
      </c>
      <c r="R547" s="31"/>
      <c r="S547" s="24"/>
      <c r="T547" s="24"/>
      <c r="U547" s="32" t="s">
        <v>4562</v>
      </c>
      <c r="V547" s="23"/>
      <c r="W547" s="23"/>
      <c r="X547" s="23"/>
      <c r="Y547" s="23"/>
      <c r="Z547" s="23"/>
      <c r="AA547" s="23"/>
      <c r="AB547" s="23" t="str">
        <f>IFERROR(__xludf.DUMMYFUNCTION("IF(
ISNUMBER(MATCH(
C547,
IMPORTRANGE(""https://docs.google.com/spreadsheets/d/1yTh1ELC33JHYOeEdgIiEclxPRyh0zOKtlawDltfUay8"",""'Champions'!A:A""),
0
)),
""Outreach Conducted"",
"""")"),"")</f>
        <v/>
      </c>
      <c r="AC547" s="23"/>
      <c r="AD547" s="23"/>
      <c r="AE547" s="23"/>
      <c r="AF547" s="23"/>
      <c r="AG547" s="23"/>
      <c r="AH547" s="23"/>
      <c r="AI547" s="23"/>
      <c r="AJ547" s="23"/>
      <c r="AK547" s="23"/>
      <c r="AL547" s="23"/>
    </row>
    <row r="548" hidden="1">
      <c r="A548" s="32" t="s">
        <v>4563</v>
      </c>
      <c r="B548" s="32" t="s">
        <v>4564</v>
      </c>
      <c r="C548" s="23" t="str">
        <f t="shared" si="1"/>
        <v>Shella Leahy</v>
      </c>
      <c r="D548" s="32">
        <v>3.106263029E9</v>
      </c>
      <c r="E548" s="32" t="s">
        <v>4565</v>
      </c>
      <c r="F548" s="28" t="s">
        <v>769</v>
      </c>
      <c r="G548" s="32">
        <v>175.0</v>
      </c>
      <c r="H548" s="22">
        <f t="array" ref="H548">IFERROR(INDEX('Hub CPC 226'!A:A, MATCH(C548, 'Hub CPC 226'!B:B, 0)), "")</f>
        <v>613</v>
      </c>
      <c r="I548" s="22">
        <f t="array" ref="I548">IFERROR(INDEX('Hub Users 226'!A:A, MATCH(C548, 'Hub Users 226'!B:B, 0)), "")</f>
        <v>2512</v>
      </c>
      <c r="J548" s="22"/>
      <c r="K548" s="28" t="s">
        <v>4566</v>
      </c>
      <c r="L548" s="37">
        <v>43592.268055555556</v>
      </c>
      <c r="M548" s="23"/>
      <c r="N548" s="23"/>
      <c r="O548" s="23"/>
      <c r="P548" s="23"/>
      <c r="Q548" s="32" t="s">
        <v>4567</v>
      </c>
      <c r="R548" s="32" t="s">
        <v>4568</v>
      </c>
      <c r="S548" s="32" t="s">
        <v>4359</v>
      </c>
      <c r="T548" s="22" t="s">
        <v>252</v>
      </c>
      <c r="U548" s="32" t="s">
        <v>4569</v>
      </c>
      <c r="V548" s="23"/>
      <c r="W548" s="23"/>
      <c r="X548" s="23"/>
      <c r="Y548" s="23"/>
      <c r="Z548" s="23"/>
      <c r="AA548" s="23"/>
      <c r="AB548" s="23" t="str">
        <f>IFERROR(__xludf.DUMMYFUNCTION("IF(
ISNUMBER(MATCH(
C548,
IMPORTRANGE(""https://docs.google.com/spreadsheets/d/1yTh1ELC33JHYOeEdgIiEclxPRyh0zOKtlawDltfUay8"",""'Champions'!A:A""),
0
)),
""Outreach Conducted"",
"""")"),"")</f>
        <v/>
      </c>
      <c r="AC548" s="23"/>
      <c r="AD548" s="23"/>
      <c r="AE548" s="23"/>
      <c r="AF548" s="23"/>
      <c r="AG548" s="23"/>
      <c r="AH548" s="23"/>
      <c r="AI548" s="23"/>
      <c r="AJ548" s="23"/>
      <c r="AK548" s="23"/>
      <c r="AL548" s="23"/>
    </row>
    <row r="549" hidden="1">
      <c r="A549" s="32" t="s">
        <v>2909</v>
      </c>
      <c r="B549" s="32" t="s">
        <v>3924</v>
      </c>
      <c r="C549" s="23" t="str">
        <f t="shared" si="1"/>
        <v>Vanessa Luna</v>
      </c>
      <c r="D549" s="32">
        <v>9.148824345E9</v>
      </c>
      <c r="E549" s="32" t="s">
        <v>4570</v>
      </c>
      <c r="F549" s="28" t="s">
        <v>769</v>
      </c>
      <c r="G549" s="32">
        <v>173.0</v>
      </c>
      <c r="H549" s="22">
        <f t="array" ref="H549">IFERROR(INDEX('Hub CPC 226'!A:A, MATCH(C549, 'Hub CPC 226'!B:B, 0)), "")</f>
        <v>614</v>
      </c>
      <c r="I549" s="22">
        <f t="array" ref="I549">IFERROR(INDEX('Hub Users 226'!A:A, MATCH(C549, 'Hub Users 226'!B:B, 0)), "")</f>
        <v>2513</v>
      </c>
      <c r="J549" s="22"/>
      <c r="K549" s="23" t="s">
        <v>4571</v>
      </c>
      <c r="L549" s="37">
        <v>43592.26736111111</v>
      </c>
      <c r="M549" s="28">
        <v>7.0</v>
      </c>
      <c r="N549" s="28">
        <v>26.0</v>
      </c>
      <c r="O549" s="28">
        <v>57.0</v>
      </c>
      <c r="P549" s="32">
        <v>35.0</v>
      </c>
      <c r="Q549" s="32" t="s">
        <v>4572</v>
      </c>
      <c r="R549" s="32" t="s">
        <v>4227</v>
      </c>
      <c r="S549" s="22" t="s">
        <v>4573</v>
      </c>
      <c r="T549" s="22" t="s">
        <v>272</v>
      </c>
      <c r="U549" s="32" t="s">
        <v>4574</v>
      </c>
      <c r="V549" s="23"/>
      <c r="W549" s="23"/>
      <c r="X549" s="23"/>
      <c r="Y549" s="23"/>
      <c r="Z549" s="23"/>
      <c r="AA549" s="23"/>
      <c r="AB549" s="23" t="str">
        <f>IFERROR(__xludf.DUMMYFUNCTION("IF(
ISNUMBER(MATCH(
C549,
IMPORTRANGE(""https://docs.google.com/spreadsheets/d/1yTh1ELC33JHYOeEdgIiEclxPRyh0zOKtlawDltfUay8"",""'Champions'!A:A""),
0
)),
""Outreach Conducted"",
"""")"),"")</f>
        <v/>
      </c>
      <c r="AC549" s="23"/>
      <c r="AD549" s="23"/>
      <c r="AE549" s="23"/>
      <c r="AF549" s="23"/>
      <c r="AG549" s="23"/>
      <c r="AH549" s="23"/>
      <c r="AI549" s="23"/>
      <c r="AJ549" s="23"/>
      <c r="AK549" s="23"/>
      <c r="AL549" s="23"/>
    </row>
    <row r="550" hidden="1">
      <c r="A550" s="32" t="s">
        <v>4575</v>
      </c>
      <c r="B550" s="32" t="s">
        <v>4576</v>
      </c>
      <c r="C550" s="23" t="str">
        <f t="shared" si="1"/>
        <v>Tasha Butler</v>
      </c>
      <c r="D550" s="32">
        <v>7.18490785E9</v>
      </c>
      <c r="E550" s="32" t="s">
        <v>4577</v>
      </c>
      <c r="F550" s="28" t="s">
        <v>769</v>
      </c>
      <c r="G550" s="32">
        <v>171.0</v>
      </c>
      <c r="H550" s="22">
        <f t="array" ref="H550">IFERROR(INDEX('Hub CPC 226'!A:A, MATCH(C550, 'Hub CPC 226'!B:B, 0)), "")</f>
        <v>615</v>
      </c>
      <c r="I550" s="22">
        <f t="array" ref="I550">IFERROR(INDEX('Hub Users 226'!A:A, MATCH(C550, 'Hub Users 226'!B:B, 0)), "")</f>
        <v>2514</v>
      </c>
      <c r="J550" s="22"/>
      <c r="K550" s="23" t="s">
        <v>4578</v>
      </c>
      <c r="L550" s="37">
        <v>43592.26666666667</v>
      </c>
      <c r="M550" s="28"/>
      <c r="N550" s="28"/>
      <c r="O550" s="28"/>
      <c r="P550" s="31"/>
      <c r="Q550" s="32" t="s">
        <v>4579</v>
      </c>
      <c r="R550" s="31"/>
      <c r="S550" s="32" t="s">
        <v>4580</v>
      </c>
      <c r="T550" s="22" t="s">
        <v>272</v>
      </c>
      <c r="U550" s="32" t="s">
        <v>4581</v>
      </c>
      <c r="V550" s="23"/>
      <c r="W550" s="23"/>
      <c r="X550" s="23"/>
      <c r="Y550" s="23"/>
      <c r="Z550" s="23"/>
      <c r="AA550" s="23"/>
      <c r="AB550" s="23" t="str">
        <f>IFERROR(__xludf.DUMMYFUNCTION("IF(
ISNUMBER(MATCH(
C550,
IMPORTRANGE(""https://docs.google.com/spreadsheets/d/1yTh1ELC33JHYOeEdgIiEclxPRyh0zOKtlawDltfUay8"",""'Champions'!A:A""),
0
)),
""Outreach Conducted"",
"""")"),"")</f>
        <v/>
      </c>
      <c r="AC550" s="23"/>
      <c r="AD550" s="23"/>
      <c r="AE550" s="23"/>
      <c r="AF550" s="23"/>
      <c r="AG550" s="23"/>
      <c r="AH550" s="23"/>
      <c r="AI550" s="23"/>
      <c r="AJ550" s="23"/>
      <c r="AK550" s="23"/>
      <c r="AL550" s="23"/>
    </row>
    <row r="551" hidden="1">
      <c r="A551" s="32" t="s">
        <v>4582</v>
      </c>
      <c r="B551" s="32" t="s">
        <v>4583</v>
      </c>
      <c r="C551" s="23" t="str">
        <f t="shared" si="1"/>
        <v>Tamara Dattolo</v>
      </c>
      <c r="D551" s="32">
        <v>9.738978869E9</v>
      </c>
      <c r="E551" s="32" t="s">
        <v>4584</v>
      </c>
      <c r="F551" s="28" t="s">
        <v>769</v>
      </c>
      <c r="G551" s="32">
        <v>169.0</v>
      </c>
      <c r="H551" s="22">
        <f t="array" ref="H551">IFERROR(INDEX('Hub CPC 226'!A:A, MATCH(C551, 'Hub CPC 226'!B:B, 0)), "")</f>
        <v>616</v>
      </c>
      <c r="I551" s="22">
        <f t="array" ref="I551">IFERROR(INDEX('Hub Users 226'!A:A, MATCH(C551, 'Hub Users 226'!B:B, 0)), "")</f>
        <v>2515</v>
      </c>
      <c r="J551" s="22"/>
      <c r="K551" s="23" t="s">
        <v>4585</v>
      </c>
      <c r="L551" s="37">
        <v>43592.26666666667</v>
      </c>
      <c r="M551" s="23"/>
      <c r="N551" s="23"/>
      <c r="O551" s="23"/>
      <c r="P551" s="23"/>
      <c r="Q551" s="32" t="s">
        <v>4586</v>
      </c>
      <c r="R551" s="32" t="s">
        <v>4587</v>
      </c>
      <c r="S551" s="22" t="s">
        <v>4588</v>
      </c>
      <c r="T551" s="22" t="s">
        <v>241</v>
      </c>
      <c r="U551" s="32" t="s">
        <v>4589</v>
      </c>
      <c r="V551" s="23"/>
      <c r="W551" s="23"/>
      <c r="X551" s="23"/>
      <c r="Y551" s="23"/>
      <c r="Z551" s="23"/>
      <c r="AA551" s="23"/>
      <c r="AB551" s="23" t="str">
        <f>IFERROR(__xludf.DUMMYFUNCTION("IF(
ISNUMBER(MATCH(
C551,
IMPORTRANGE(""https://docs.google.com/spreadsheets/d/1yTh1ELC33JHYOeEdgIiEclxPRyh0zOKtlawDltfUay8"",""'Champions'!A:A""),
0
)),
""Outreach Conducted"",
"""")"),"")</f>
        <v/>
      </c>
      <c r="AC551" s="23"/>
      <c r="AD551" s="23"/>
      <c r="AE551" s="23"/>
      <c r="AF551" s="23"/>
      <c r="AG551" s="23"/>
      <c r="AH551" s="23"/>
      <c r="AI551" s="23"/>
      <c r="AJ551" s="23"/>
      <c r="AK551" s="23"/>
      <c r="AL551" s="23"/>
    </row>
    <row r="552" hidden="1">
      <c r="A552" s="32" t="s">
        <v>4590</v>
      </c>
      <c r="B552" s="32" t="s">
        <v>4591</v>
      </c>
      <c r="C552" s="23" t="str">
        <f t="shared" si="1"/>
        <v>Tahsin Loqman</v>
      </c>
      <c r="D552" s="32">
        <v>5.164913069E9</v>
      </c>
      <c r="E552" s="32" t="s">
        <v>4592</v>
      </c>
      <c r="F552" s="28" t="s">
        <v>769</v>
      </c>
      <c r="G552" s="32">
        <v>168.0</v>
      </c>
      <c r="H552" s="22">
        <f t="array" ref="H552">IFERROR(INDEX('Hub CPC 226'!A:A, MATCH(C552, 'Hub CPC 226'!B:B, 0)), "")</f>
        <v>617</v>
      </c>
      <c r="I552" s="22">
        <f t="array" ref="I552">IFERROR(INDEX('Hub Users 226'!A:A, MATCH(C552, 'Hub Users 226'!B:B, 0)), "")</f>
        <v>2516</v>
      </c>
      <c r="J552" s="22"/>
      <c r="K552" s="23" t="s">
        <v>4593</v>
      </c>
      <c r="L552" s="37">
        <v>43592.26666666667</v>
      </c>
      <c r="M552" s="28">
        <v>24.0</v>
      </c>
      <c r="N552" s="28">
        <v>54.0</v>
      </c>
      <c r="O552" s="28">
        <v>130.0</v>
      </c>
      <c r="P552" s="31"/>
      <c r="Q552" s="32" t="s">
        <v>4594</v>
      </c>
      <c r="R552" s="32" t="s">
        <v>4595</v>
      </c>
      <c r="S552" s="32" t="s">
        <v>2197</v>
      </c>
      <c r="T552" s="22" t="s">
        <v>272</v>
      </c>
      <c r="U552" s="32" t="s">
        <v>4596</v>
      </c>
      <c r="V552" s="23"/>
      <c r="W552" s="23"/>
      <c r="X552" s="23"/>
      <c r="Y552" s="23"/>
      <c r="Z552" s="23"/>
      <c r="AA552" s="23"/>
      <c r="AB552" s="23" t="str">
        <f>IFERROR(__xludf.DUMMYFUNCTION("IF(
ISNUMBER(MATCH(
C552,
IMPORTRANGE(""https://docs.google.com/spreadsheets/d/1yTh1ELC33JHYOeEdgIiEclxPRyh0zOKtlawDltfUay8"",""'Champions'!A:A""),
0
)),
""Outreach Conducted"",
"""")"),"")</f>
        <v/>
      </c>
      <c r="AC552" s="23"/>
      <c r="AD552" s="23"/>
      <c r="AE552" s="23"/>
      <c r="AF552" s="23"/>
      <c r="AG552" s="23"/>
      <c r="AH552" s="23"/>
      <c r="AI552" s="23"/>
      <c r="AJ552" s="23"/>
      <c r="AK552" s="23"/>
      <c r="AL552" s="23"/>
    </row>
    <row r="553" hidden="1">
      <c r="A553" s="32" t="s">
        <v>4597</v>
      </c>
      <c r="B553" s="32" t="s">
        <v>4598</v>
      </c>
      <c r="C553" s="23" t="str">
        <f t="shared" si="1"/>
        <v>Lola Adeyemo</v>
      </c>
      <c r="D553" s="32">
        <v>6.198840702E9</v>
      </c>
      <c r="E553" s="32" t="s">
        <v>4599</v>
      </c>
      <c r="F553" s="28" t="s">
        <v>769</v>
      </c>
      <c r="G553" s="32">
        <v>164.0</v>
      </c>
      <c r="H553" s="22">
        <f t="array" ref="H553">IFERROR(INDEX('Hub CPC 226'!A:A, MATCH(C553, 'Hub CPC 226'!B:B, 0)), "")</f>
        <v>618</v>
      </c>
      <c r="I553" s="22">
        <f t="array" ref="I553">IFERROR(INDEX('Hub Users 226'!A:A, MATCH(C553, 'Hub Users 226'!B:B, 0)), "")</f>
        <v>2517</v>
      </c>
      <c r="J553" s="22"/>
      <c r="K553" s="23" t="s">
        <v>4600</v>
      </c>
      <c r="L553" s="37">
        <v>43590.64097222222</v>
      </c>
      <c r="M553" s="23"/>
      <c r="N553" s="23"/>
      <c r="O553" s="23"/>
      <c r="P553" s="23"/>
      <c r="Q553" s="32" t="s">
        <v>316</v>
      </c>
      <c r="R553" s="32" t="s">
        <v>316</v>
      </c>
      <c r="S553" s="32" t="s">
        <v>251</v>
      </c>
      <c r="T553" s="22" t="s">
        <v>252</v>
      </c>
      <c r="U553" s="32" t="s">
        <v>4601</v>
      </c>
      <c r="V553" s="23"/>
      <c r="W553" s="23"/>
      <c r="X553" s="23"/>
      <c r="Y553" s="23"/>
      <c r="Z553" s="23"/>
      <c r="AA553" s="23"/>
      <c r="AB553" s="23" t="str">
        <f>IFERROR(__xludf.DUMMYFUNCTION("IF(
ISNUMBER(MATCH(
C553,
IMPORTRANGE(""https://docs.google.com/spreadsheets/d/1yTh1ELC33JHYOeEdgIiEclxPRyh0zOKtlawDltfUay8"",""'Champions'!A:A""),
0
)),
""Outreach Conducted"",
"""")"),"")</f>
        <v/>
      </c>
      <c r="AC553" s="23"/>
      <c r="AD553" s="23"/>
      <c r="AE553" s="23"/>
      <c r="AF553" s="23"/>
      <c r="AG553" s="23"/>
      <c r="AH553" s="23"/>
      <c r="AI553" s="23"/>
      <c r="AJ553" s="23"/>
      <c r="AK553" s="23"/>
      <c r="AL553" s="23"/>
    </row>
    <row r="554" hidden="1">
      <c r="A554" s="32" t="s">
        <v>4602</v>
      </c>
      <c r="B554" s="32" t="s">
        <v>4603</v>
      </c>
      <c r="C554" s="23" t="str">
        <f t="shared" si="1"/>
        <v>Lina Nader Saddouq</v>
      </c>
      <c r="D554" s="32" t="s">
        <v>4604</v>
      </c>
      <c r="E554" s="32" t="s">
        <v>4605</v>
      </c>
      <c r="F554" s="28" t="s">
        <v>769</v>
      </c>
      <c r="G554" s="32">
        <v>163.0</v>
      </c>
      <c r="H554" s="22">
        <f t="array" ref="H554">IFERROR(INDEX('Hub CPC 226'!A:A, MATCH(C554, 'Hub CPC 226'!B:B, 0)), "")</f>
        <v>619</v>
      </c>
      <c r="I554" s="22">
        <f t="array" ref="I554">IFERROR(INDEX('Hub Users 226'!A:A, MATCH(C554, 'Hub Users 226'!B:B, 0)), "")</f>
        <v>2518</v>
      </c>
      <c r="J554" s="22"/>
      <c r="K554" s="23" t="s">
        <v>4606</v>
      </c>
      <c r="L554" s="37">
        <v>43590.64097222222</v>
      </c>
      <c r="M554" s="23"/>
      <c r="N554" s="23"/>
      <c r="O554" s="23"/>
      <c r="P554" s="23"/>
      <c r="Q554" s="32" t="s">
        <v>4607</v>
      </c>
      <c r="R554" s="32" t="s">
        <v>4608</v>
      </c>
      <c r="S554" s="32" t="s">
        <v>4609</v>
      </c>
      <c r="T554" s="22" t="s">
        <v>252</v>
      </c>
      <c r="U554" s="32" t="s">
        <v>4610</v>
      </c>
      <c r="V554" s="23"/>
      <c r="W554" s="23"/>
      <c r="X554" s="23"/>
      <c r="Y554" s="23"/>
      <c r="Z554" s="23"/>
      <c r="AA554" s="23"/>
      <c r="AB554" s="23" t="str">
        <f>IFERROR(__xludf.DUMMYFUNCTION("IF(
ISNUMBER(MATCH(
C554,
IMPORTRANGE(""https://docs.google.com/spreadsheets/d/1yTh1ELC33JHYOeEdgIiEclxPRyh0zOKtlawDltfUay8"",""'Champions'!A:A""),
0
)),
""Outreach Conducted"",
"""")"),"")</f>
        <v/>
      </c>
      <c r="AC554" s="23"/>
      <c r="AD554" s="23"/>
      <c r="AE554" s="23"/>
      <c r="AF554" s="23"/>
      <c r="AG554" s="23"/>
      <c r="AH554" s="23"/>
      <c r="AI554" s="23"/>
      <c r="AJ554" s="23"/>
      <c r="AK554" s="23"/>
      <c r="AL554" s="23"/>
    </row>
    <row r="555" hidden="1">
      <c r="A555" s="32" t="s">
        <v>4611</v>
      </c>
      <c r="B555" s="32" t="s">
        <v>4612</v>
      </c>
      <c r="C555" s="23" t="str">
        <f t="shared" si="1"/>
        <v>Lee Ann Manning Chan</v>
      </c>
      <c r="D555" s="32" t="s">
        <v>4613</v>
      </c>
      <c r="E555" s="32" t="s">
        <v>4614</v>
      </c>
      <c r="F555" s="28" t="s">
        <v>769</v>
      </c>
      <c r="G555" s="32">
        <v>161.0</v>
      </c>
      <c r="H555" s="22">
        <f t="array" ref="H555">IFERROR(INDEX('Hub CPC 226'!A:A, MATCH(C555, 'Hub CPC 226'!B:B, 0)), "")</f>
        <v>620</v>
      </c>
      <c r="I555" s="22">
        <f t="array" ref="I555">IFERROR(INDEX('Hub Users 226'!A:A, MATCH(C555, 'Hub Users 226'!B:B, 0)), "")</f>
        <v>2519</v>
      </c>
      <c r="J555" s="22"/>
      <c r="K555" s="23" t="s">
        <v>4615</v>
      </c>
      <c r="L555" s="37">
        <v>43590.63888888889</v>
      </c>
      <c r="M555" s="28">
        <v>12.0</v>
      </c>
      <c r="N555" s="28">
        <v>29.0</v>
      </c>
      <c r="O555" s="28">
        <v>73.0</v>
      </c>
      <c r="P555" s="32">
        <v>5.0</v>
      </c>
      <c r="Q555" s="32" t="s">
        <v>4616</v>
      </c>
      <c r="R555" s="31"/>
      <c r="S555" s="22" t="s">
        <v>271</v>
      </c>
      <c r="T555" s="22" t="s">
        <v>272</v>
      </c>
      <c r="U555" s="32" t="s">
        <v>4617</v>
      </c>
      <c r="V555" s="23"/>
      <c r="W555" s="23"/>
      <c r="X555" s="23"/>
      <c r="Y555" s="23"/>
      <c r="Z555" s="23"/>
      <c r="AA555" s="23"/>
      <c r="AB555" s="23" t="str">
        <f>IFERROR(__xludf.DUMMYFUNCTION("IF(
ISNUMBER(MATCH(
C555,
IMPORTRANGE(""https://docs.google.com/spreadsheets/d/1yTh1ELC33JHYOeEdgIiEclxPRyh0zOKtlawDltfUay8"",""'Champions'!A:A""),
0
)),
""Outreach Conducted"",
"""")"),"")</f>
        <v/>
      </c>
      <c r="AC555" s="23"/>
      <c r="AD555" s="23"/>
      <c r="AE555" s="23"/>
      <c r="AF555" s="23"/>
      <c r="AG555" s="23"/>
      <c r="AH555" s="23"/>
      <c r="AI555" s="23"/>
      <c r="AJ555" s="23"/>
      <c r="AK555" s="23"/>
      <c r="AL555" s="23"/>
    </row>
    <row r="556" hidden="1">
      <c r="A556" s="32" t="s">
        <v>2074</v>
      </c>
      <c r="B556" s="32" t="s">
        <v>4618</v>
      </c>
      <c r="C556" s="23" t="str">
        <f t="shared" si="1"/>
        <v>Lauren Camille Reyes</v>
      </c>
      <c r="D556" s="32" t="s">
        <v>4619</v>
      </c>
      <c r="E556" s="32" t="s">
        <v>4620</v>
      </c>
      <c r="F556" s="28" t="s">
        <v>769</v>
      </c>
      <c r="G556" s="32">
        <v>160.0</v>
      </c>
      <c r="H556" s="22">
        <f t="array" ref="H556">IFERROR(INDEX('Hub CPC 226'!A:A, MATCH(C556, 'Hub CPC 226'!B:B, 0)), "")</f>
        <v>621</v>
      </c>
      <c r="I556" s="22">
        <f t="array" ref="I556">IFERROR(INDEX('Hub Users 226'!A:A, MATCH(C556, 'Hub Users 226'!B:B, 0)), "")</f>
        <v>2520</v>
      </c>
      <c r="J556" s="22"/>
      <c r="K556" s="23" t="s">
        <v>4621</v>
      </c>
      <c r="L556" s="37">
        <v>43590.63888888889</v>
      </c>
      <c r="M556" s="23"/>
      <c r="N556" s="23"/>
      <c r="O556" s="23"/>
      <c r="P556" s="23"/>
      <c r="Q556" s="32" t="s">
        <v>4622</v>
      </c>
      <c r="R556" s="32" t="s">
        <v>4623</v>
      </c>
      <c r="S556" s="22" t="s">
        <v>429</v>
      </c>
      <c r="T556" s="22" t="s">
        <v>252</v>
      </c>
      <c r="U556" s="32" t="s">
        <v>4624</v>
      </c>
      <c r="V556" s="23"/>
      <c r="W556" s="23"/>
      <c r="X556" s="23"/>
      <c r="Y556" s="23"/>
      <c r="Z556" s="23"/>
      <c r="AA556" s="23"/>
      <c r="AB556" s="23" t="str">
        <f>IFERROR(__xludf.DUMMYFUNCTION("IF(
ISNUMBER(MATCH(
C556,
IMPORTRANGE(""https://docs.google.com/spreadsheets/d/1yTh1ELC33JHYOeEdgIiEclxPRyh0zOKtlawDltfUay8"",""'Champions'!A:A""),
0
)),
""Outreach Conducted"",
"""")"),"")</f>
        <v/>
      </c>
      <c r="AC556" s="23"/>
      <c r="AD556" s="23"/>
      <c r="AE556" s="23"/>
      <c r="AF556" s="23"/>
      <c r="AG556" s="23"/>
      <c r="AH556" s="23"/>
      <c r="AI556" s="23"/>
      <c r="AJ556" s="23"/>
      <c r="AK556" s="23"/>
      <c r="AL556" s="23"/>
    </row>
    <row r="557" hidden="1">
      <c r="A557" s="32" t="s">
        <v>4625</v>
      </c>
      <c r="B557" s="32" t="s">
        <v>4626</v>
      </c>
      <c r="C557" s="23" t="str">
        <f t="shared" si="1"/>
        <v>Kathryn Mary Krupowicz</v>
      </c>
      <c r="D557" s="32" t="s">
        <v>4627</v>
      </c>
      <c r="E557" s="32" t="s">
        <v>4628</v>
      </c>
      <c r="F557" s="28" t="s">
        <v>769</v>
      </c>
      <c r="G557" s="32">
        <v>157.0</v>
      </c>
      <c r="H557" s="22">
        <f t="array" ref="H557">IFERROR(INDEX('Hub CPC 226'!A:A, MATCH(C557, 'Hub CPC 226'!B:B, 0)), "")</f>
        <v>622</v>
      </c>
      <c r="I557" s="22">
        <f t="array" ref="I557">IFERROR(INDEX('Hub Users 226'!A:A, MATCH(C557, 'Hub Users 226'!B:B, 0)), "")</f>
        <v>2521</v>
      </c>
      <c r="J557" s="22"/>
      <c r="K557" s="23" t="s">
        <v>4629</v>
      </c>
      <c r="L557" s="37">
        <v>43590.638194444444</v>
      </c>
      <c r="M557" s="23"/>
      <c r="N557" s="23"/>
      <c r="O557" s="23"/>
      <c r="P557" s="23"/>
      <c r="Q557" s="32" t="s">
        <v>4630</v>
      </c>
      <c r="R557" s="32" t="s">
        <v>4631</v>
      </c>
      <c r="S557" s="24"/>
      <c r="T557" s="24"/>
      <c r="U557" s="32" t="s">
        <v>4632</v>
      </c>
      <c r="V557" s="23"/>
      <c r="W557" s="23"/>
      <c r="X557" s="23"/>
      <c r="Y557" s="23"/>
      <c r="Z557" s="23"/>
      <c r="AA557" s="23"/>
      <c r="AB557" s="23" t="str">
        <f>IFERROR(__xludf.DUMMYFUNCTION("IF(
ISNUMBER(MATCH(
C557,
IMPORTRANGE(""https://docs.google.com/spreadsheets/d/1yTh1ELC33JHYOeEdgIiEclxPRyh0zOKtlawDltfUay8"",""'Champions'!A:A""),
0
)),
""Outreach Conducted"",
"""")"),"")</f>
        <v/>
      </c>
      <c r="AC557" s="23"/>
      <c r="AD557" s="23"/>
      <c r="AE557" s="23"/>
      <c r="AF557" s="23"/>
      <c r="AG557" s="23"/>
      <c r="AH557" s="23"/>
      <c r="AI557" s="23"/>
      <c r="AJ557" s="23"/>
      <c r="AK557" s="23"/>
      <c r="AL557" s="23"/>
    </row>
    <row r="558" hidden="1">
      <c r="A558" s="32" t="s">
        <v>1926</v>
      </c>
      <c r="B558" s="32" t="s">
        <v>4633</v>
      </c>
      <c r="C558" s="23" t="str">
        <f t="shared" si="1"/>
        <v>Katherine Leigh Taylor</v>
      </c>
      <c r="D558" s="32" t="s">
        <v>4634</v>
      </c>
      <c r="E558" s="32" t="s">
        <v>4635</v>
      </c>
      <c r="F558" s="28" t="s">
        <v>769</v>
      </c>
      <c r="G558" s="32">
        <v>156.0</v>
      </c>
      <c r="H558" s="22">
        <f t="array" ref="H558">IFERROR(INDEX('Hub CPC 226'!A:A, MATCH(C558, 'Hub CPC 226'!B:B, 0)), "")</f>
        <v>623</v>
      </c>
      <c r="I558" s="22">
        <f t="array" ref="I558">IFERROR(INDEX('Hub Users 226'!A:A, MATCH(C558, 'Hub Users 226'!B:B, 0)), "")</f>
        <v>2522</v>
      </c>
      <c r="J558" s="22"/>
      <c r="K558" s="23" t="s">
        <v>4636</v>
      </c>
      <c r="L558" s="37">
        <v>43590.638194444444</v>
      </c>
      <c r="M558" s="23"/>
      <c r="N558" s="23"/>
      <c r="O558" s="23"/>
      <c r="P558" s="23"/>
      <c r="Q558" s="32" t="s">
        <v>4637</v>
      </c>
      <c r="R558" s="31"/>
      <c r="S558" s="24"/>
      <c r="T558" s="24"/>
      <c r="U558" s="32" t="s">
        <v>4638</v>
      </c>
      <c r="V558" s="23"/>
      <c r="W558" s="23"/>
      <c r="X558" s="23"/>
      <c r="Y558" s="23"/>
      <c r="Z558" s="23"/>
      <c r="AA558" s="23"/>
      <c r="AB558" s="23" t="str">
        <f>IFERROR(__xludf.DUMMYFUNCTION("IF(
ISNUMBER(MATCH(
C558,
IMPORTRANGE(""https://docs.google.com/spreadsheets/d/1yTh1ELC33JHYOeEdgIiEclxPRyh0zOKtlawDltfUay8"",""'Champions'!A:A""),
0
)),
""Outreach Conducted"",
"""")"),"")</f>
        <v/>
      </c>
      <c r="AC558" s="23"/>
      <c r="AD558" s="23"/>
      <c r="AE558" s="23"/>
      <c r="AF558" s="23"/>
      <c r="AG558" s="23"/>
      <c r="AH558" s="23"/>
      <c r="AI558" s="23"/>
      <c r="AJ558" s="23"/>
      <c r="AK558" s="23"/>
      <c r="AL558" s="23"/>
    </row>
    <row r="559" hidden="1">
      <c r="A559" s="32" t="s">
        <v>4639</v>
      </c>
      <c r="B559" s="32" t="s">
        <v>4640</v>
      </c>
      <c r="C559" s="23" t="str">
        <f t="shared" si="1"/>
        <v>Jesse Marissa Jewell</v>
      </c>
      <c r="D559" s="32" t="s">
        <v>4641</v>
      </c>
      <c r="E559" s="32" t="s">
        <v>4642</v>
      </c>
      <c r="F559" s="28" t="s">
        <v>769</v>
      </c>
      <c r="G559" s="32">
        <v>153.0</v>
      </c>
      <c r="H559" s="22">
        <f t="array" ref="H559">IFERROR(INDEX('Hub CPC 226'!A:A, MATCH(C559, 'Hub CPC 226'!B:B, 0)), "")</f>
        <v>624</v>
      </c>
      <c r="I559" s="22">
        <f t="array" ref="I559">IFERROR(INDEX('Hub Users 226'!A:A, MATCH(C559, 'Hub Users 226'!B:B, 0)), "")</f>
        <v>2523</v>
      </c>
      <c r="J559" s="22"/>
      <c r="K559" s="23" t="s">
        <v>4643</v>
      </c>
      <c r="L559" s="37">
        <v>43590.63680555556</v>
      </c>
      <c r="M559" s="28">
        <v>3.0</v>
      </c>
      <c r="N559" s="28">
        <v>7.0</v>
      </c>
      <c r="O559" s="28">
        <v>13.0</v>
      </c>
      <c r="P559" s="31"/>
      <c r="Q559" s="32" t="s">
        <v>4644</v>
      </c>
      <c r="R559" s="32" t="s">
        <v>4645</v>
      </c>
      <c r="S559" s="22" t="s">
        <v>4646</v>
      </c>
      <c r="T559" s="22" t="s">
        <v>272</v>
      </c>
      <c r="U559" s="32" t="s">
        <v>4647</v>
      </c>
      <c r="V559" s="23"/>
      <c r="W559" s="23"/>
      <c r="X559" s="23"/>
      <c r="Y559" s="23"/>
      <c r="Z559" s="23"/>
      <c r="AA559" s="23"/>
      <c r="AB559" s="23" t="str">
        <f>IFERROR(__xludf.DUMMYFUNCTION("IF(
ISNUMBER(MATCH(
C559,
IMPORTRANGE(""https://docs.google.com/spreadsheets/d/1yTh1ELC33JHYOeEdgIiEclxPRyh0zOKtlawDltfUay8"",""'Champions'!A:A""),
0
)),
""Outreach Conducted"",
"""")"),"")</f>
        <v/>
      </c>
      <c r="AC559" s="23"/>
      <c r="AD559" s="23"/>
      <c r="AE559" s="23"/>
      <c r="AF559" s="23"/>
      <c r="AG559" s="23"/>
      <c r="AH559" s="23"/>
      <c r="AI559" s="23"/>
      <c r="AJ559" s="23"/>
      <c r="AK559" s="23"/>
      <c r="AL559" s="23"/>
    </row>
    <row r="560" hidden="1">
      <c r="A560" s="32" t="s">
        <v>4648</v>
      </c>
      <c r="B560" s="32" t="s">
        <v>4649</v>
      </c>
      <c r="C560" s="23" t="str">
        <f t="shared" si="1"/>
        <v>Jaine Briscoe-Price</v>
      </c>
      <c r="D560" s="32" t="s">
        <v>4650</v>
      </c>
      <c r="E560" s="32" t="s">
        <v>4651</v>
      </c>
      <c r="F560" s="28" t="s">
        <v>769</v>
      </c>
      <c r="G560" s="32">
        <v>150.0</v>
      </c>
      <c r="H560" s="22">
        <f t="array" ref="H560">IFERROR(INDEX('Hub CPC 226'!A:A, MATCH(C560, 'Hub CPC 226'!B:B, 0)), "")</f>
        <v>625</v>
      </c>
      <c r="I560" s="22">
        <f t="array" ref="I560">IFERROR(INDEX('Hub Users 226'!A:A, MATCH(C560, 'Hub Users 226'!B:B, 0)), "")</f>
        <v>2524</v>
      </c>
      <c r="J560" s="22"/>
      <c r="K560" s="23" t="s">
        <v>4652</v>
      </c>
      <c r="L560" s="37">
        <v>43590.63611111111</v>
      </c>
      <c r="M560" s="23"/>
      <c r="N560" s="23"/>
      <c r="O560" s="23"/>
      <c r="P560" s="23"/>
      <c r="Q560" s="32" t="s">
        <v>4653</v>
      </c>
      <c r="R560" s="31"/>
      <c r="S560" s="24"/>
      <c r="T560" s="24"/>
      <c r="U560" s="32" t="s">
        <v>4654</v>
      </c>
      <c r="V560" s="23"/>
      <c r="W560" s="23"/>
      <c r="X560" s="23"/>
      <c r="Y560" s="23"/>
      <c r="Z560" s="23"/>
      <c r="AA560" s="23"/>
      <c r="AB560" s="23" t="str">
        <f>IFERROR(__xludf.DUMMYFUNCTION("IF(
ISNUMBER(MATCH(
C560,
IMPORTRANGE(""https://docs.google.com/spreadsheets/d/1yTh1ELC33JHYOeEdgIiEclxPRyh0zOKtlawDltfUay8"",""'Champions'!A:A""),
0
)),
""Outreach Conducted"",
"""")"),"")</f>
        <v/>
      </c>
      <c r="AC560" s="23"/>
      <c r="AD560" s="23"/>
      <c r="AE560" s="23"/>
      <c r="AF560" s="23"/>
      <c r="AG560" s="23"/>
      <c r="AH560" s="23"/>
      <c r="AI560" s="23"/>
      <c r="AJ560" s="23"/>
      <c r="AK560" s="23"/>
      <c r="AL560" s="23"/>
    </row>
    <row r="561" hidden="1">
      <c r="A561" s="32" t="s">
        <v>4655</v>
      </c>
      <c r="B561" s="32" t="s">
        <v>4656</v>
      </c>
      <c r="C561" s="23" t="str">
        <f t="shared" si="1"/>
        <v>Ivayana Liggins</v>
      </c>
      <c r="D561" s="32" t="s">
        <v>4657</v>
      </c>
      <c r="E561" s="32" t="s">
        <v>4658</v>
      </c>
      <c r="F561" s="28" t="s">
        <v>769</v>
      </c>
      <c r="G561" s="32">
        <v>149.0</v>
      </c>
      <c r="H561" s="22">
        <f t="array" ref="H561">IFERROR(INDEX('Hub CPC 226'!A:A, MATCH(C561, 'Hub CPC 226'!B:B, 0)), "")</f>
        <v>626</v>
      </c>
      <c r="I561" s="22">
        <f t="array" ref="I561">IFERROR(INDEX('Hub Users 226'!A:A, MATCH(C561, 'Hub Users 226'!B:B, 0)), "")</f>
        <v>2525</v>
      </c>
      <c r="J561" s="22"/>
      <c r="K561" s="23" t="s">
        <v>4659</v>
      </c>
      <c r="L561" s="37">
        <v>43590.63611111111</v>
      </c>
      <c r="M561" s="23"/>
      <c r="N561" s="23"/>
      <c r="O561" s="23"/>
      <c r="P561" s="23"/>
      <c r="Q561" s="32" t="s">
        <v>4660</v>
      </c>
      <c r="R561" s="32" t="s">
        <v>473</v>
      </c>
      <c r="S561" s="32" t="s">
        <v>473</v>
      </c>
      <c r="T561" s="22" t="s">
        <v>252</v>
      </c>
      <c r="U561" s="32" t="s">
        <v>4661</v>
      </c>
      <c r="V561" s="23"/>
      <c r="W561" s="23"/>
      <c r="X561" s="23"/>
      <c r="Y561" s="23"/>
      <c r="Z561" s="23"/>
      <c r="AA561" s="23"/>
      <c r="AB561" s="23" t="str">
        <f>IFERROR(__xludf.DUMMYFUNCTION("IF(
ISNUMBER(MATCH(
C561,
IMPORTRANGE(""https://docs.google.com/spreadsheets/d/1yTh1ELC33JHYOeEdgIiEclxPRyh0zOKtlawDltfUay8"",""'Champions'!A:A""),
0
)),
""Outreach Conducted"",
"""")"),"")</f>
        <v/>
      </c>
      <c r="AC561" s="23"/>
      <c r="AD561" s="23"/>
      <c r="AE561" s="23"/>
      <c r="AF561" s="23"/>
      <c r="AG561" s="23"/>
      <c r="AH561" s="23"/>
      <c r="AI561" s="23"/>
      <c r="AJ561" s="23"/>
      <c r="AK561" s="23"/>
      <c r="AL561" s="23"/>
    </row>
    <row r="562" hidden="1">
      <c r="A562" s="32" t="s">
        <v>4662</v>
      </c>
      <c r="B562" s="32" t="s">
        <v>4663</v>
      </c>
      <c r="C562" s="23" t="str">
        <f t="shared" si="1"/>
        <v>Heather Rose Gallant</v>
      </c>
      <c r="D562" s="32" t="s">
        <v>4664</v>
      </c>
      <c r="E562" s="32" t="s">
        <v>4665</v>
      </c>
      <c r="F562" s="28" t="s">
        <v>769</v>
      </c>
      <c r="G562" s="32">
        <v>148.0</v>
      </c>
      <c r="H562" s="22">
        <f t="array" ref="H562">IFERROR(INDEX('Hub CPC 226'!A:A, MATCH(C562, 'Hub CPC 226'!B:B, 0)), "")</f>
        <v>627</v>
      </c>
      <c r="I562" s="22">
        <f t="array" ref="I562">IFERROR(INDEX('Hub Users 226'!A:A, MATCH(C562, 'Hub Users 226'!B:B, 0)), "")</f>
        <v>2526</v>
      </c>
      <c r="J562" s="22"/>
      <c r="K562" s="23" t="s">
        <v>4666</v>
      </c>
      <c r="L562" s="37">
        <v>43590.63611111111</v>
      </c>
      <c r="M562" s="28"/>
      <c r="N562" s="28"/>
      <c r="O562" s="28"/>
      <c r="P562" s="31"/>
      <c r="Q562" s="32" t="s">
        <v>4667</v>
      </c>
      <c r="R562" s="32" t="s">
        <v>4668</v>
      </c>
      <c r="S562" s="32" t="s">
        <v>1599</v>
      </c>
      <c r="T562" s="22" t="s">
        <v>272</v>
      </c>
      <c r="U562" s="32" t="s">
        <v>4669</v>
      </c>
      <c r="V562" s="23"/>
      <c r="W562" s="23"/>
      <c r="X562" s="23"/>
      <c r="Y562" s="23"/>
      <c r="Z562" s="23"/>
      <c r="AA562" s="23"/>
      <c r="AB562" s="23" t="str">
        <f>IFERROR(__xludf.DUMMYFUNCTION("IF(
ISNUMBER(MATCH(
C562,
IMPORTRANGE(""https://docs.google.com/spreadsheets/d/1yTh1ELC33JHYOeEdgIiEclxPRyh0zOKtlawDltfUay8"",""'Champions'!A:A""),
0
)),
""Outreach Conducted"",
"""")"),"")</f>
        <v/>
      </c>
      <c r="AC562" s="23"/>
      <c r="AD562" s="23"/>
      <c r="AE562" s="23"/>
      <c r="AF562" s="23"/>
      <c r="AG562" s="23"/>
      <c r="AH562" s="23"/>
      <c r="AI562" s="23"/>
      <c r="AJ562" s="23"/>
      <c r="AK562" s="23"/>
      <c r="AL562" s="23"/>
    </row>
    <row r="563" hidden="1">
      <c r="A563" s="32" t="s">
        <v>4670</v>
      </c>
      <c r="B563" s="32" t="s">
        <v>4671</v>
      </c>
      <c r="C563" s="23" t="str">
        <f t="shared" si="1"/>
        <v>Haribani Sangeeta Malhotra</v>
      </c>
      <c r="D563" s="32" t="s">
        <v>4672</v>
      </c>
      <c r="E563" s="32" t="s">
        <v>4673</v>
      </c>
      <c r="F563" s="28" t="s">
        <v>769</v>
      </c>
      <c r="G563" s="32">
        <v>147.0</v>
      </c>
      <c r="H563" s="22">
        <f t="array" ref="H563">IFERROR(INDEX('Hub CPC 226'!A:A, MATCH(C563, 'Hub CPC 226'!B:B, 0)), "")</f>
        <v>628</v>
      </c>
      <c r="I563" s="22">
        <f t="array" ref="I563">IFERROR(INDEX('Hub Users 226'!A:A, MATCH(C563, 'Hub Users 226'!B:B, 0)), "")</f>
        <v>2527</v>
      </c>
      <c r="J563" s="22"/>
      <c r="K563" s="23" t="s">
        <v>4674</v>
      </c>
      <c r="L563" s="37">
        <v>43590.63611111111</v>
      </c>
      <c r="M563" s="23"/>
      <c r="N563" s="23"/>
      <c r="O563" s="23"/>
      <c r="P563" s="23"/>
      <c r="Q563" s="32" t="s">
        <v>473</v>
      </c>
      <c r="R563" s="32" t="s">
        <v>1902</v>
      </c>
      <c r="S563" s="32" t="s">
        <v>473</v>
      </c>
      <c r="T563" s="22" t="s">
        <v>252</v>
      </c>
      <c r="U563" s="32" t="s">
        <v>4675</v>
      </c>
      <c r="V563" s="23"/>
      <c r="W563" s="23"/>
      <c r="X563" s="23"/>
      <c r="Y563" s="23"/>
      <c r="Z563" s="23"/>
      <c r="AA563" s="23"/>
      <c r="AB563" s="23" t="str">
        <f>IFERROR(__xludf.DUMMYFUNCTION("IF(
ISNUMBER(MATCH(
C563,
IMPORTRANGE(""https://docs.google.com/spreadsheets/d/1yTh1ELC33JHYOeEdgIiEclxPRyh0zOKtlawDltfUay8"",""'Champions'!A:A""),
0
)),
""Outreach Conducted"",
"""")"),"")</f>
        <v/>
      </c>
      <c r="AC563" s="23"/>
      <c r="AD563" s="23"/>
      <c r="AE563" s="23"/>
      <c r="AF563" s="23"/>
      <c r="AG563" s="23"/>
      <c r="AH563" s="23"/>
      <c r="AI563" s="23"/>
      <c r="AJ563" s="23"/>
      <c r="AK563" s="23"/>
      <c r="AL563" s="23"/>
    </row>
    <row r="564" hidden="1">
      <c r="A564" s="32" t="s">
        <v>4676</v>
      </c>
      <c r="B564" s="32" t="s">
        <v>4677</v>
      </c>
      <c r="C564" s="23" t="str">
        <f t="shared" si="1"/>
        <v>Freeha Ihsan</v>
      </c>
      <c r="D564" s="32" t="s">
        <v>4678</v>
      </c>
      <c r="E564" s="32" t="s">
        <v>4679</v>
      </c>
      <c r="F564" s="28" t="s">
        <v>769</v>
      </c>
      <c r="G564" s="32">
        <v>145.0</v>
      </c>
      <c r="H564" s="22">
        <f t="array" ref="H564">IFERROR(INDEX('Hub CPC 226'!A:A, MATCH(C564, 'Hub CPC 226'!B:B, 0)), "")</f>
        <v>629</v>
      </c>
      <c r="I564" s="22">
        <f t="array" ref="I564">IFERROR(INDEX('Hub Users 226'!A:A, MATCH(C564, 'Hub Users 226'!B:B, 0)), "")</f>
        <v>2528</v>
      </c>
      <c r="J564" s="22"/>
      <c r="K564" s="23" t="s">
        <v>4680</v>
      </c>
      <c r="L564" s="37">
        <v>43590.635416666664</v>
      </c>
      <c r="M564" s="28">
        <v>3.0</v>
      </c>
      <c r="N564" s="28">
        <v>11.0</v>
      </c>
      <c r="O564" s="28">
        <v>40.0</v>
      </c>
      <c r="P564" s="32">
        <v>19.0</v>
      </c>
      <c r="Q564" s="32" t="s">
        <v>4681</v>
      </c>
      <c r="R564" s="32" t="s">
        <v>271</v>
      </c>
      <c r="S564" s="22" t="s">
        <v>1173</v>
      </c>
      <c r="T564" s="22" t="s">
        <v>272</v>
      </c>
      <c r="U564" s="32" t="s">
        <v>4682</v>
      </c>
      <c r="V564" s="23"/>
      <c r="W564" s="23"/>
      <c r="X564" s="23"/>
      <c r="Y564" s="23"/>
      <c r="Z564" s="23"/>
      <c r="AA564" s="23"/>
      <c r="AB564" s="23" t="str">
        <f>IFERROR(__xludf.DUMMYFUNCTION("IF(
ISNUMBER(MATCH(
C564,
IMPORTRANGE(""https://docs.google.com/spreadsheets/d/1yTh1ELC33JHYOeEdgIiEclxPRyh0zOKtlawDltfUay8"",""'Champions'!A:A""),
0
)),
""Outreach Conducted"",
"""")"),"")</f>
        <v/>
      </c>
      <c r="AC564" s="23"/>
      <c r="AD564" s="23"/>
      <c r="AE564" s="23"/>
      <c r="AF564" s="23"/>
      <c r="AG564" s="23"/>
      <c r="AH564" s="23"/>
      <c r="AI564" s="23"/>
      <c r="AJ564" s="23"/>
      <c r="AK564" s="23"/>
      <c r="AL564" s="23"/>
    </row>
    <row r="565" hidden="1">
      <c r="A565" s="32" t="s">
        <v>1241</v>
      </c>
      <c r="B565" s="32" t="s">
        <v>4683</v>
      </c>
      <c r="C565" s="23" t="str">
        <f t="shared" si="1"/>
        <v>Elise Cruz</v>
      </c>
      <c r="D565" s="32" t="s">
        <v>4684</v>
      </c>
      <c r="E565" s="32" t="s">
        <v>4685</v>
      </c>
      <c r="F565" s="28" t="s">
        <v>769</v>
      </c>
      <c r="G565" s="32">
        <v>144.0</v>
      </c>
      <c r="H565" s="22">
        <f t="array" ref="H565">IFERROR(INDEX('Hub CPC 226'!A:A, MATCH(C565, 'Hub CPC 226'!B:B, 0)), "")</f>
        <v>630</v>
      </c>
      <c r="I565" s="22">
        <f t="array" ref="I565">IFERROR(INDEX('Hub Users 226'!A:A, MATCH(C565, 'Hub Users 226'!B:B, 0)), "")</f>
        <v>2529</v>
      </c>
      <c r="J565" s="22"/>
      <c r="K565" s="23" t="s">
        <v>4686</v>
      </c>
      <c r="L565" s="37">
        <v>43590.634722222225</v>
      </c>
      <c r="M565" s="23"/>
      <c r="N565" s="23"/>
      <c r="O565" s="23"/>
      <c r="P565" s="23"/>
      <c r="Q565" s="32" t="s">
        <v>4687</v>
      </c>
      <c r="R565" s="32" t="s">
        <v>4688</v>
      </c>
      <c r="S565" s="22" t="s">
        <v>1834</v>
      </c>
      <c r="T565" s="22" t="s">
        <v>252</v>
      </c>
      <c r="U565" s="32" t="s">
        <v>4689</v>
      </c>
      <c r="V565" s="23"/>
      <c r="W565" s="23"/>
      <c r="X565" s="23"/>
      <c r="Y565" s="23"/>
      <c r="Z565" s="23"/>
      <c r="AA565" s="23"/>
      <c r="AB565" s="23" t="str">
        <f>IFERROR(__xludf.DUMMYFUNCTION("IF(
ISNUMBER(MATCH(
C565,
IMPORTRANGE(""https://docs.google.com/spreadsheets/d/1yTh1ELC33JHYOeEdgIiEclxPRyh0zOKtlawDltfUay8"",""'Champions'!A:A""),
0
)),
""Outreach Conducted"",
"""")"),"")</f>
        <v/>
      </c>
      <c r="AC565" s="23"/>
      <c r="AD565" s="23"/>
      <c r="AE565" s="23"/>
      <c r="AF565" s="23"/>
      <c r="AG565" s="23"/>
      <c r="AH565" s="23"/>
      <c r="AI565" s="23"/>
      <c r="AJ565" s="23"/>
      <c r="AK565" s="23"/>
      <c r="AL565" s="23"/>
    </row>
    <row r="566" hidden="1">
      <c r="A566" s="32" t="s">
        <v>4690</v>
      </c>
      <c r="B566" s="32" t="s">
        <v>4691</v>
      </c>
      <c r="C566" s="23" t="str">
        <f t="shared" si="1"/>
        <v>Dieketseng (Dee) Mamohato Nova</v>
      </c>
      <c r="D566" s="32" t="s">
        <v>4692</v>
      </c>
      <c r="E566" s="32" t="s">
        <v>4693</v>
      </c>
      <c r="F566" s="28" t="s">
        <v>769</v>
      </c>
      <c r="G566" s="32">
        <v>142.0</v>
      </c>
      <c r="H566" s="22">
        <f t="array" ref="H566">IFERROR(INDEX('Hub CPC 226'!A:A, MATCH(C566, 'Hub CPC 226'!B:B, 0)), "")</f>
        <v>631</v>
      </c>
      <c r="I566" s="22">
        <f t="array" ref="I566">IFERROR(INDEX('Hub Users 226'!A:A, MATCH(C566, 'Hub Users 226'!B:B, 0)), "")</f>
        <v>2530</v>
      </c>
      <c r="J566" s="22"/>
      <c r="K566" s="23" t="s">
        <v>4694</v>
      </c>
      <c r="L566" s="37">
        <v>43590.634722222225</v>
      </c>
      <c r="M566" s="28"/>
      <c r="N566" s="28"/>
      <c r="O566" s="28"/>
      <c r="P566" s="31"/>
      <c r="Q566" s="32" t="s">
        <v>4695</v>
      </c>
      <c r="R566" s="32" t="s">
        <v>3150</v>
      </c>
      <c r="S566" s="22" t="s">
        <v>4696</v>
      </c>
      <c r="T566" s="22" t="s">
        <v>272</v>
      </c>
      <c r="U566" s="32" t="s">
        <v>4697</v>
      </c>
      <c r="V566" s="23"/>
      <c r="W566" s="23"/>
      <c r="X566" s="23"/>
      <c r="Y566" s="23"/>
      <c r="Z566" s="23"/>
      <c r="AA566" s="23"/>
      <c r="AB566" s="23" t="str">
        <f>IFERROR(__xludf.DUMMYFUNCTION("IF(
ISNUMBER(MATCH(
C566,
IMPORTRANGE(""https://docs.google.com/spreadsheets/d/1yTh1ELC33JHYOeEdgIiEclxPRyh0zOKtlawDltfUay8"",""'Champions'!A:A""),
0
)),
""Outreach Conducted"",
"""")"),"")</f>
        <v/>
      </c>
      <c r="AC566" s="23"/>
      <c r="AD566" s="23"/>
      <c r="AE566" s="23"/>
      <c r="AF566" s="23"/>
      <c r="AG566" s="23"/>
      <c r="AH566" s="23"/>
      <c r="AI566" s="23"/>
      <c r="AJ566" s="23"/>
      <c r="AK566" s="23"/>
      <c r="AL566" s="23"/>
    </row>
    <row r="567" hidden="1">
      <c r="A567" s="32" t="s">
        <v>1096</v>
      </c>
      <c r="B567" s="32" t="s">
        <v>536</v>
      </c>
      <c r="C567" s="23" t="str">
        <f t="shared" si="1"/>
        <v>Diana Rodriguez</v>
      </c>
      <c r="D567" s="32" t="s">
        <v>4698</v>
      </c>
      <c r="E567" s="32" t="s">
        <v>4699</v>
      </c>
      <c r="F567" s="28" t="s">
        <v>769</v>
      </c>
      <c r="G567" s="32">
        <v>141.0</v>
      </c>
      <c r="H567" s="22">
        <f t="array" ref="H567">IFERROR(INDEX('Hub CPC 226'!A:A, MATCH(C567, 'Hub CPC 226'!B:B, 0)), "")</f>
        <v>632</v>
      </c>
      <c r="I567" s="22">
        <f t="array" ref="I567">IFERROR(INDEX('Hub Users 226'!A:A, MATCH(C567, 'Hub Users 226'!B:B, 0)), "")</f>
        <v>2531</v>
      </c>
      <c r="J567" s="22"/>
      <c r="K567" s="23" t="s">
        <v>4700</v>
      </c>
      <c r="L567" s="37">
        <v>43590.634722222225</v>
      </c>
      <c r="M567" s="23"/>
      <c r="N567" s="23"/>
      <c r="O567" s="23"/>
      <c r="P567" s="23"/>
      <c r="Q567" s="32" t="s">
        <v>4701</v>
      </c>
      <c r="R567" s="32" t="s">
        <v>4702</v>
      </c>
      <c r="S567" s="22" t="s">
        <v>2964</v>
      </c>
      <c r="T567" s="22" t="s">
        <v>252</v>
      </c>
      <c r="U567" s="32" t="s">
        <v>4435</v>
      </c>
      <c r="V567" s="23"/>
      <c r="W567" s="23"/>
      <c r="X567" s="23"/>
      <c r="Y567" s="23"/>
      <c r="Z567" s="23"/>
      <c r="AA567" s="23"/>
      <c r="AB567" s="23" t="str">
        <f>IFERROR(__xludf.DUMMYFUNCTION("IF(
ISNUMBER(MATCH(
C567,
IMPORTRANGE(""https://docs.google.com/spreadsheets/d/1yTh1ELC33JHYOeEdgIiEclxPRyh0zOKtlawDltfUay8"",""'Champions'!A:A""),
0
)),
""Outreach Conducted"",
"""")"),"")</f>
        <v/>
      </c>
      <c r="AC567" s="23"/>
      <c r="AD567" s="23"/>
      <c r="AE567" s="23"/>
      <c r="AF567" s="23"/>
      <c r="AG567" s="23"/>
      <c r="AH567" s="23"/>
      <c r="AI567" s="23"/>
      <c r="AJ567" s="23"/>
      <c r="AK567" s="23"/>
      <c r="AL567" s="23"/>
    </row>
    <row r="568" hidden="1">
      <c r="A568" s="32" t="s">
        <v>4703</v>
      </c>
      <c r="B568" s="32" t="s">
        <v>4704</v>
      </c>
      <c r="C568" s="23" t="str">
        <f t="shared" si="1"/>
        <v>Bertha deLanda</v>
      </c>
      <c r="D568" s="32" t="s">
        <v>4705</v>
      </c>
      <c r="E568" s="32" t="s">
        <v>4706</v>
      </c>
      <c r="F568" s="28" t="s">
        <v>769</v>
      </c>
      <c r="G568" s="32">
        <v>139.0</v>
      </c>
      <c r="H568" s="22">
        <f t="array" ref="H568">IFERROR(INDEX('Hub CPC 226'!A:A, MATCH(C568, 'Hub CPC 226'!B:B, 0)), "")</f>
        <v>633</v>
      </c>
      <c r="I568" s="22">
        <f t="array" ref="I568">IFERROR(INDEX('Hub Users 226'!A:A, MATCH(C568, 'Hub Users 226'!B:B, 0)), "")</f>
        <v>2532</v>
      </c>
      <c r="J568" s="22"/>
      <c r="K568" s="23" t="s">
        <v>4707</v>
      </c>
      <c r="L568" s="37">
        <v>43590.63402777778</v>
      </c>
      <c r="M568" s="23"/>
      <c r="N568" s="23"/>
      <c r="O568" s="23"/>
      <c r="P568" s="23"/>
      <c r="Q568" s="32" t="s">
        <v>4708</v>
      </c>
      <c r="R568" s="32" t="s">
        <v>4709</v>
      </c>
      <c r="S568" s="32" t="s">
        <v>4710</v>
      </c>
      <c r="T568" s="22" t="s">
        <v>252</v>
      </c>
      <c r="U568" s="32" t="s">
        <v>3573</v>
      </c>
      <c r="V568" s="26" t="s">
        <v>360</v>
      </c>
      <c r="W568" s="27" t="s">
        <v>4711</v>
      </c>
      <c r="X568" s="26" t="s">
        <v>629</v>
      </c>
      <c r="Y568" s="23"/>
      <c r="Z568" s="23"/>
      <c r="AA568" s="23"/>
      <c r="AB568" s="23" t="str">
        <f>IFERROR(__xludf.DUMMYFUNCTION("IF(
ISNUMBER(MATCH(
C568,
IMPORTRANGE(""https://docs.google.com/spreadsheets/d/1yTh1ELC33JHYOeEdgIiEclxPRyh0zOKtlawDltfUay8"",""'Champions'!A:A""),
0
)),
""Outreach Conducted"",
"""")"),"")</f>
        <v/>
      </c>
      <c r="AC568" s="23"/>
      <c r="AD568" s="23"/>
      <c r="AE568" s="23"/>
      <c r="AF568" s="23"/>
      <c r="AG568" s="23"/>
      <c r="AH568" s="23"/>
      <c r="AI568" s="23"/>
      <c r="AJ568" s="23"/>
      <c r="AK568" s="23"/>
      <c r="AL568" s="23"/>
    </row>
    <row r="569" hidden="1">
      <c r="A569" s="32" t="s">
        <v>4712</v>
      </c>
      <c r="B569" s="32" t="s">
        <v>4713</v>
      </c>
      <c r="C569" s="23" t="str">
        <f t="shared" si="1"/>
        <v>Auset Keona Burks</v>
      </c>
      <c r="D569" s="32" t="s">
        <v>4714</v>
      </c>
      <c r="E569" s="32" t="s">
        <v>4715</v>
      </c>
      <c r="F569" s="28" t="s">
        <v>769</v>
      </c>
      <c r="G569" s="32">
        <v>138.0</v>
      </c>
      <c r="H569" s="22">
        <f t="array" ref="H569">IFERROR(INDEX('Hub CPC 226'!A:A, MATCH(C569, 'Hub CPC 226'!B:B, 0)), "")</f>
        <v>634</v>
      </c>
      <c r="I569" s="22">
        <f t="array" ref="I569">IFERROR(INDEX('Hub Users 226'!A:A, MATCH(C569, 'Hub Users 226'!B:B, 0)), "")</f>
        <v>2533</v>
      </c>
      <c r="J569" s="22"/>
      <c r="K569" s="23" t="s">
        <v>4716</v>
      </c>
      <c r="L569" s="37">
        <v>43590.63333333333</v>
      </c>
      <c r="M569" s="23"/>
      <c r="N569" s="23"/>
      <c r="O569" s="23"/>
      <c r="P569" s="23"/>
      <c r="Q569" s="32" t="s">
        <v>4717</v>
      </c>
      <c r="R569" s="32" t="s">
        <v>4718</v>
      </c>
      <c r="S569" s="32" t="s">
        <v>4719</v>
      </c>
      <c r="T569" s="22" t="s">
        <v>252</v>
      </c>
      <c r="U569" s="32" t="s">
        <v>4720</v>
      </c>
      <c r="V569" s="23"/>
      <c r="W569" s="23"/>
      <c r="X569" s="23"/>
      <c r="Y569" s="23"/>
      <c r="Z569" s="23"/>
      <c r="AA569" s="23"/>
      <c r="AB569" s="23" t="str">
        <f>IFERROR(__xludf.DUMMYFUNCTION("IF(
ISNUMBER(MATCH(
C569,
IMPORTRANGE(""https://docs.google.com/spreadsheets/d/1yTh1ELC33JHYOeEdgIiEclxPRyh0zOKtlawDltfUay8"",""'Champions'!A:A""),
0
)),
""Outreach Conducted"",
"""")"),"")</f>
        <v/>
      </c>
      <c r="AC569" s="23"/>
      <c r="AD569" s="23"/>
      <c r="AE569" s="23"/>
      <c r="AF569" s="23"/>
      <c r="AG569" s="23"/>
      <c r="AH569" s="23"/>
      <c r="AI569" s="23"/>
      <c r="AJ569" s="23"/>
      <c r="AK569" s="23"/>
      <c r="AL569" s="23"/>
    </row>
    <row r="570" hidden="1">
      <c r="A570" s="32" t="s">
        <v>4721</v>
      </c>
      <c r="B570" s="32" t="s">
        <v>4722</v>
      </c>
      <c r="C570" s="23" t="str">
        <f t="shared" si="1"/>
        <v>Adesola Kike Oshinoiki</v>
      </c>
      <c r="D570" s="32" t="s">
        <v>4723</v>
      </c>
      <c r="E570" s="32" t="s">
        <v>4724</v>
      </c>
      <c r="F570" s="28" t="s">
        <v>769</v>
      </c>
      <c r="G570" s="32">
        <v>133.0</v>
      </c>
      <c r="H570" s="22">
        <f t="array" ref="H570">IFERROR(INDEX('Hub CPC 226'!A:A, MATCH(C570, 'Hub CPC 226'!B:B, 0)), "")</f>
        <v>635</v>
      </c>
      <c r="I570" s="22">
        <f t="array" ref="I570">IFERROR(INDEX('Hub Users 226'!A:A, MATCH(C570, 'Hub Users 226'!B:B, 0)), "")</f>
        <v>2534</v>
      </c>
      <c r="J570" s="22"/>
      <c r="K570" s="23" t="s">
        <v>4725</v>
      </c>
      <c r="L570" s="37">
        <v>43590.63263888889</v>
      </c>
      <c r="M570" s="23"/>
      <c r="N570" s="23"/>
      <c r="O570" s="23"/>
      <c r="P570" s="23"/>
      <c r="Q570" s="32" t="s">
        <v>4726</v>
      </c>
      <c r="R570" s="32" t="s">
        <v>4727</v>
      </c>
      <c r="S570" s="22" t="s">
        <v>4728</v>
      </c>
      <c r="T570" s="22" t="s">
        <v>252</v>
      </c>
      <c r="U570" s="32" t="s">
        <v>1459</v>
      </c>
      <c r="V570" s="23"/>
      <c r="W570" s="23"/>
      <c r="X570" s="23"/>
      <c r="Y570" s="23"/>
      <c r="Z570" s="23"/>
      <c r="AA570" s="23"/>
      <c r="AB570" s="23" t="str">
        <f>IFERROR(__xludf.DUMMYFUNCTION("IF(
ISNUMBER(MATCH(
C570,
IMPORTRANGE(""https://docs.google.com/spreadsheets/d/1yTh1ELC33JHYOeEdgIiEclxPRyh0zOKtlawDltfUay8"",""'Champions'!A:A""),
0
)),
""Outreach Conducted"",
"""")"),"")</f>
        <v/>
      </c>
      <c r="AC570" s="23"/>
      <c r="AD570" s="23"/>
      <c r="AE570" s="23"/>
      <c r="AF570" s="23"/>
      <c r="AG570" s="23"/>
      <c r="AH570" s="23"/>
      <c r="AI570" s="23"/>
      <c r="AJ570" s="23"/>
      <c r="AK570" s="23"/>
      <c r="AL570" s="23"/>
    </row>
    <row r="571" hidden="1">
      <c r="A571" s="32" t="s">
        <v>4729</v>
      </c>
      <c r="B571" s="32" t="s">
        <v>4730</v>
      </c>
      <c r="C571" s="23" t="str">
        <f t="shared" si="1"/>
        <v>Ursula Renee Wright</v>
      </c>
      <c r="D571" s="32" t="s">
        <v>4731</v>
      </c>
      <c r="E571" s="32" t="s">
        <v>4732</v>
      </c>
      <c r="F571" s="28" t="s">
        <v>769</v>
      </c>
      <c r="G571" s="32">
        <v>123.0</v>
      </c>
      <c r="H571" s="22">
        <f t="array" ref="H571">IFERROR(INDEX('Hub CPC 226'!A:A, MATCH(C571, 'Hub CPC 226'!B:B, 0)), "")</f>
        <v>636</v>
      </c>
      <c r="I571" s="22">
        <f t="array" ref="I571">IFERROR(INDEX('Hub Users 226'!A:A, MATCH(C571, 'Hub Users 226'!B:B, 0)), "")</f>
        <v>2535</v>
      </c>
      <c r="J571" s="22"/>
      <c r="K571" s="23" t="s">
        <v>4733</v>
      </c>
      <c r="L571" s="37">
        <v>43500.64236111111</v>
      </c>
      <c r="M571" s="23"/>
      <c r="N571" s="23"/>
      <c r="O571" s="23"/>
      <c r="P571" s="23"/>
      <c r="Q571" s="32" t="s">
        <v>316</v>
      </c>
      <c r="R571" s="32" t="s">
        <v>316</v>
      </c>
      <c r="S571" s="22" t="s">
        <v>251</v>
      </c>
      <c r="T571" s="22" t="s">
        <v>252</v>
      </c>
      <c r="U571" s="32" t="s">
        <v>4734</v>
      </c>
      <c r="V571" s="23"/>
      <c r="W571" s="23"/>
      <c r="X571" s="23"/>
      <c r="Y571" s="23"/>
      <c r="Z571" s="23"/>
      <c r="AA571" s="23"/>
      <c r="AB571" s="23" t="str">
        <f>IFERROR(__xludf.DUMMYFUNCTION("IF(
ISNUMBER(MATCH(
C571,
IMPORTRANGE(""https://docs.google.com/spreadsheets/d/1yTh1ELC33JHYOeEdgIiEclxPRyh0zOKtlawDltfUay8"",""'Champions'!A:A""),
0
)),
""Outreach Conducted"",
"""")"),"")</f>
        <v/>
      </c>
      <c r="AC571" s="23"/>
      <c r="AD571" s="23"/>
      <c r="AE571" s="23"/>
      <c r="AF571" s="23"/>
      <c r="AG571" s="23"/>
      <c r="AH571" s="23"/>
      <c r="AI571" s="23"/>
      <c r="AJ571" s="23"/>
      <c r="AK571" s="23"/>
      <c r="AL571" s="23"/>
    </row>
    <row r="572" hidden="1">
      <c r="A572" s="32" t="s">
        <v>4735</v>
      </c>
      <c r="B572" s="32" t="s">
        <v>4736</v>
      </c>
      <c r="C572" s="23" t="str">
        <f t="shared" si="1"/>
        <v>Rosalie Girard</v>
      </c>
      <c r="D572" s="32" t="s">
        <v>4737</v>
      </c>
      <c r="E572" s="32" t="s">
        <v>4738</v>
      </c>
      <c r="F572" s="28" t="s">
        <v>769</v>
      </c>
      <c r="G572" s="32">
        <v>114.0</v>
      </c>
      <c r="H572" s="22">
        <f t="array" ref="H572">IFERROR(INDEX('Hub CPC 226'!A:A, MATCH(C572, 'Hub CPC 226'!B:B, 0)), "")</f>
        <v>637</v>
      </c>
      <c r="I572" s="22">
        <f t="array" ref="I572">IFERROR(INDEX('Hub Users 226'!A:A, MATCH(C572, 'Hub Users 226'!B:B, 0)), "")</f>
        <v>2536</v>
      </c>
      <c r="J572" s="22"/>
      <c r="K572" s="23" t="s">
        <v>4739</v>
      </c>
      <c r="L572" s="37">
        <v>43484.72777777778</v>
      </c>
      <c r="M572" s="23"/>
      <c r="N572" s="23"/>
      <c r="O572" s="23"/>
      <c r="P572" s="23"/>
      <c r="Q572" s="32" t="s">
        <v>4740</v>
      </c>
      <c r="R572" s="32" t="s">
        <v>473</v>
      </c>
      <c r="S572" s="22" t="s">
        <v>473</v>
      </c>
      <c r="T572" s="22" t="s">
        <v>252</v>
      </c>
      <c r="U572" s="32" t="s">
        <v>4741</v>
      </c>
      <c r="V572" s="26" t="s">
        <v>393</v>
      </c>
      <c r="W572" s="27" t="s">
        <v>4742</v>
      </c>
      <c r="X572" s="26" t="s">
        <v>619</v>
      </c>
      <c r="Y572" s="23"/>
      <c r="Z572" s="23"/>
      <c r="AA572" s="23"/>
      <c r="AB572" s="23" t="str">
        <f>IFERROR(__xludf.DUMMYFUNCTION("IF(
ISNUMBER(MATCH(
C572,
IMPORTRANGE(""https://docs.google.com/spreadsheets/d/1yTh1ELC33JHYOeEdgIiEclxPRyh0zOKtlawDltfUay8"",""'Champions'!A:A""),
0
)),
""Outreach Conducted"",
"""")"),"")</f>
        <v/>
      </c>
      <c r="AC572" s="23"/>
      <c r="AD572" s="23"/>
      <c r="AE572" s="23"/>
      <c r="AF572" s="23"/>
      <c r="AG572" s="23"/>
      <c r="AH572" s="23"/>
      <c r="AI572" s="23"/>
      <c r="AJ572" s="23"/>
      <c r="AK572" s="23"/>
      <c r="AL572" s="23"/>
    </row>
    <row r="573" hidden="1">
      <c r="A573" s="32" t="s">
        <v>4743</v>
      </c>
      <c r="B573" s="32" t="s">
        <v>4744</v>
      </c>
      <c r="C573" s="23" t="str">
        <f t="shared" si="1"/>
        <v>Sarah Esmi</v>
      </c>
      <c r="D573" s="32" t="s">
        <v>4745</v>
      </c>
      <c r="E573" s="32" t="s">
        <v>4746</v>
      </c>
      <c r="F573" s="28" t="s">
        <v>769</v>
      </c>
      <c r="G573" s="32">
        <v>113.0</v>
      </c>
      <c r="H573" s="22">
        <f t="array" ref="H573">IFERROR(INDEX('Hub CPC 226'!A:A, MATCH(C573, 'Hub CPC 226'!B:B, 0)), "")</f>
        <v>638</v>
      </c>
      <c r="I573" s="22">
        <f t="array" ref="I573">IFERROR(INDEX('Hub Users 226'!A:A, MATCH(C573, 'Hub Users 226'!B:B, 0)), "")</f>
        <v>2537</v>
      </c>
      <c r="J573" s="22"/>
      <c r="K573" s="23" t="s">
        <v>4747</v>
      </c>
      <c r="L573" s="37">
        <v>43484.725694444445</v>
      </c>
      <c r="M573" s="28">
        <v>8.0</v>
      </c>
      <c r="N573" s="28">
        <v>25.0</v>
      </c>
      <c r="O573" s="28">
        <v>56.0</v>
      </c>
      <c r="P573" s="32">
        <v>19.0</v>
      </c>
      <c r="Q573" s="32" t="s">
        <v>4748</v>
      </c>
      <c r="R573" s="32" t="s">
        <v>4227</v>
      </c>
      <c r="S573" s="22" t="s">
        <v>294</v>
      </c>
      <c r="T573" s="22" t="s">
        <v>272</v>
      </c>
      <c r="U573" s="32" t="s">
        <v>4749</v>
      </c>
      <c r="V573" s="23"/>
      <c r="W573" s="23"/>
      <c r="X573" s="23"/>
      <c r="Y573" s="23"/>
      <c r="Z573" s="23"/>
      <c r="AA573" s="23"/>
      <c r="AB573" s="23" t="str">
        <f>IFERROR(__xludf.DUMMYFUNCTION("IF(
ISNUMBER(MATCH(
C573,
IMPORTRANGE(""https://docs.google.com/spreadsheets/d/1yTh1ELC33JHYOeEdgIiEclxPRyh0zOKtlawDltfUay8"",""'Champions'!A:A""),
0
)),
""Outreach Conducted"",
"""")"),"")</f>
        <v/>
      </c>
      <c r="AC573" s="23"/>
      <c r="AD573" s="23"/>
      <c r="AE573" s="23"/>
      <c r="AF573" s="23"/>
      <c r="AG573" s="23"/>
      <c r="AH573" s="23"/>
      <c r="AI573" s="23"/>
      <c r="AJ573" s="23"/>
      <c r="AK573" s="23"/>
      <c r="AL573" s="23"/>
    </row>
    <row r="574" hidden="1">
      <c r="A574" s="32" t="s">
        <v>4750</v>
      </c>
      <c r="B574" s="32" t="s">
        <v>4751</v>
      </c>
      <c r="C574" s="23" t="str">
        <f t="shared" si="1"/>
        <v>Sujatha Koduvayur</v>
      </c>
      <c r="D574" s="32" t="s">
        <v>4752</v>
      </c>
      <c r="E574" s="32" t="s">
        <v>4753</v>
      </c>
      <c r="F574" s="28" t="s">
        <v>769</v>
      </c>
      <c r="G574" s="32">
        <v>105.0</v>
      </c>
      <c r="H574" s="22">
        <f t="array" ref="H574">IFERROR(INDEX('Hub CPC 226'!A:A, MATCH(C574, 'Hub CPC 226'!B:B, 0)), "")</f>
        <v>639</v>
      </c>
      <c r="I574" s="22">
        <f t="array" ref="I574">IFERROR(INDEX('Hub Users 226'!A:A, MATCH(C574, 'Hub Users 226'!B:B, 0)), "")</f>
        <v>2538</v>
      </c>
      <c r="J574" s="22"/>
      <c r="K574" s="23" t="s">
        <v>4754</v>
      </c>
      <c r="L574" s="37">
        <v>43484.70347222222</v>
      </c>
      <c r="M574" s="28"/>
      <c r="N574" s="28"/>
      <c r="O574" s="28"/>
      <c r="P574" s="31"/>
      <c r="Q574" s="32" t="s">
        <v>4755</v>
      </c>
      <c r="R574" s="32" t="s">
        <v>271</v>
      </c>
      <c r="S574" s="24"/>
      <c r="T574" s="22" t="s">
        <v>272</v>
      </c>
      <c r="U574" s="32" t="s">
        <v>4756</v>
      </c>
      <c r="V574" s="23"/>
      <c r="W574" s="23"/>
      <c r="X574" s="23"/>
      <c r="Y574" s="23"/>
      <c r="Z574" s="23"/>
      <c r="AA574" s="23"/>
      <c r="AB574" s="23" t="str">
        <f>IFERROR(__xludf.DUMMYFUNCTION("IF(
ISNUMBER(MATCH(
C574,
IMPORTRANGE(""https://docs.google.com/spreadsheets/d/1yTh1ELC33JHYOeEdgIiEclxPRyh0zOKtlawDltfUay8"",""'Champions'!A:A""),
0
)),
""Outreach Conducted"",
"""")"),"")</f>
        <v/>
      </c>
      <c r="AC574" s="23"/>
      <c r="AD574" s="23"/>
      <c r="AE574" s="23"/>
      <c r="AF574" s="23"/>
      <c r="AG574" s="23"/>
      <c r="AH574" s="23"/>
      <c r="AI574" s="23"/>
      <c r="AJ574" s="23"/>
      <c r="AK574" s="23"/>
      <c r="AL574" s="23"/>
    </row>
    <row r="575" hidden="1">
      <c r="A575" s="32" t="s">
        <v>4757</v>
      </c>
      <c r="B575" s="32" t="s">
        <v>4758</v>
      </c>
      <c r="C575" s="23" t="str">
        <f t="shared" si="1"/>
        <v>Hila Raen</v>
      </c>
      <c r="D575" s="32" t="s">
        <v>4759</v>
      </c>
      <c r="E575" s="32" t="s">
        <v>4760</v>
      </c>
      <c r="F575" s="28" t="s">
        <v>769</v>
      </c>
      <c r="G575" s="32">
        <v>103.0</v>
      </c>
      <c r="H575" s="22">
        <f t="array" ref="H575">IFERROR(INDEX('Hub CPC 226'!A:A, MATCH(C575, 'Hub CPC 226'!B:B, 0)), "")</f>
        <v>640</v>
      </c>
      <c r="I575" s="22">
        <f t="array" ref="I575">IFERROR(INDEX('Hub Users 226'!A:A, MATCH(C575, 'Hub Users 226'!B:B, 0)), "")</f>
        <v>2539</v>
      </c>
      <c r="J575" s="22"/>
      <c r="K575" s="23" t="s">
        <v>4761</v>
      </c>
      <c r="L575" s="37">
        <v>43479.830555555556</v>
      </c>
      <c r="M575" s="23"/>
      <c r="N575" s="23"/>
      <c r="O575" s="23"/>
      <c r="P575" s="23"/>
      <c r="Q575" s="32" t="s">
        <v>2455</v>
      </c>
      <c r="R575" s="32" t="s">
        <v>1439</v>
      </c>
      <c r="S575" s="32" t="s">
        <v>1439</v>
      </c>
      <c r="T575" s="22" t="s">
        <v>252</v>
      </c>
      <c r="U575" s="32" t="s">
        <v>4762</v>
      </c>
      <c r="V575" s="23"/>
      <c r="W575" s="23"/>
      <c r="X575" s="23"/>
      <c r="Y575" s="23"/>
      <c r="Z575" s="23"/>
      <c r="AA575" s="23"/>
      <c r="AB575" s="23" t="str">
        <f>IFERROR(__xludf.DUMMYFUNCTION("IF(
ISNUMBER(MATCH(
C575,
IMPORTRANGE(""https://docs.google.com/spreadsheets/d/1yTh1ELC33JHYOeEdgIiEclxPRyh0zOKtlawDltfUay8"",""'Champions'!A:A""),
0
)),
""Outreach Conducted"",
"""")"),"")</f>
        <v/>
      </c>
      <c r="AC575" s="23"/>
      <c r="AD575" s="23"/>
      <c r="AE575" s="23"/>
      <c r="AF575" s="23"/>
      <c r="AG575" s="23"/>
      <c r="AH575" s="23"/>
      <c r="AI575" s="23"/>
      <c r="AJ575" s="23"/>
      <c r="AK575" s="23"/>
      <c r="AL575" s="23"/>
    </row>
    <row r="576" hidden="1">
      <c r="A576" s="32" t="s">
        <v>4763</v>
      </c>
      <c r="B576" s="32" t="s">
        <v>4764</v>
      </c>
      <c r="C576" s="23" t="str">
        <f t="shared" si="1"/>
        <v>Yenory Pouncil</v>
      </c>
      <c r="D576" s="32" t="s">
        <v>4765</v>
      </c>
      <c r="E576" s="32" t="s">
        <v>4766</v>
      </c>
      <c r="F576" s="28" t="s">
        <v>769</v>
      </c>
      <c r="G576" s="32">
        <v>94.0</v>
      </c>
      <c r="H576" s="22">
        <f t="array" ref="H576">IFERROR(INDEX('Hub CPC 226'!A:A, MATCH(C576, 'Hub CPC 226'!B:B, 0)), "")</f>
        <v>641</v>
      </c>
      <c r="I576" s="22">
        <f t="array" ref="I576">IFERROR(INDEX('Hub Users 226'!A:A, MATCH(C576, 'Hub Users 226'!B:B, 0)), "")</f>
        <v>2540</v>
      </c>
      <c r="J576" s="22"/>
      <c r="K576" s="23" t="s">
        <v>4767</v>
      </c>
      <c r="L576" s="38">
        <v>43393.57638888889</v>
      </c>
      <c r="M576" s="23"/>
      <c r="N576" s="23"/>
      <c r="O576" s="23"/>
      <c r="P576" s="23"/>
      <c r="Q576" s="32" t="s">
        <v>4768</v>
      </c>
      <c r="R576" s="32" t="s">
        <v>4769</v>
      </c>
      <c r="S576" s="32" t="s">
        <v>4770</v>
      </c>
      <c r="T576" s="22" t="s">
        <v>841</v>
      </c>
      <c r="U576" s="32" t="s">
        <v>2863</v>
      </c>
      <c r="V576" s="23"/>
      <c r="W576" s="23"/>
      <c r="X576" s="23"/>
      <c r="Y576" s="23"/>
      <c r="Z576" s="23"/>
      <c r="AA576" s="23"/>
      <c r="AB576" s="23" t="str">
        <f>IFERROR(__xludf.DUMMYFUNCTION("IF(
ISNUMBER(MATCH(
C576,
IMPORTRANGE(""https://docs.google.com/spreadsheets/d/1yTh1ELC33JHYOeEdgIiEclxPRyh0zOKtlawDltfUay8"",""'Champions'!A:A""),
0
)),
""Outreach Conducted"",
"""")"),"")</f>
        <v/>
      </c>
      <c r="AC576" s="23"/>
      <c r="AD576" s="23"/>
      <c r="AE576" s="23"/>
      <c r="AF576" s="23"/>
      <c r="AG576" s="23"/>
      <c r="AH576" s="23"/>
      <c r="AI576" s="23"/>
      <c r="AJ576" s="23"/>
      <c r="AK576" s="23"/>
      <c r="AL576" s="23"/>
    </row>
    <row r="577" hidden="1">
      <c r="A577" s="32" t="s">
        <v>4771</v>
      </c>
      <c r="B577" s="32" t="s">
        <v>3980</v>
      </c>
      <c r="C577" s="23" t="str">
        <f t="shared" si="1"/>
        <v>Jessie Medina</v>
      </c>
      <c r="D577" s="32" t="s">
        <v>4772</v>
      </c>
      <c r="E577" s="32" t="s">
        <v>4773</v>
      </c>
      <c r="F577" s="28" t="s">
        <v>769</v>
      </c>
      <c r="G577" s="32">
        <v>92.0</v>
      </c>
      <c r="H577" s="22">
        <f t="array" ref="H577">IFERROR(INDEX('Hub CPC 226'!A:A, MATCH(C577, 'Hub CPC 226'!B:B, 0)), "")</f>
        <v>642</v>
      </c>
      <c r="I577" s="22">
        <f t="array" ref="I577">IFERROR(INDEX('Hub Users 226'!A:A, MATCH(C577, 'Hub Users 226'!B:B, 0)), "")</f>
        <v>2541</v>
      </c>
      <c r="J577" s="22"/>
      <c r="K577" s="23" t="s">
        <v>4774</v>
      </c>
      <c r="L577" s="38">
        <v>43393.575694444444</v>
      </c>
      <c r="M577" s="23"/>
      <c r="N577" s="23"/>
      <c r="O577" s="23"/>
      <c r="P577" s="23"/>
      <c r="Q577" s="32" t="s">
        <v>4775</v>
      </c>
      <c r="R577" s="32" t="s">
        <v>316</v>
      </c>
      <c r="S577" s="22" t="s">
        <v>251</v>
      </c>
      <c r="T577" s="22" t="s">
        <v>252</v>
      </c>
      <c r="U577" s="32" t="s">
        <v>4776</v>
      </c>
      <c r="V577" s="23"/>
      <c r="W577" s="23"/>
      <c r="X577" s="23"/>
      <c r="Y577" s="23"/>
      <c r="Z577" s="23"/>
      <c r="AA577" s="23"/>
      <c r="AB577" s="23" t="str">
        <f>IFERROR(__xludf.DUMMYFUNCTION("IF(
ISNUMBER(MATCH(
C577,
IMPORTRANGE(""https://docs.google.com/spreadsheets/d/1yTh1ELC33JHYOeEdgIiEclxPRyh0zOKtlawDltfUay8"",""'Champions'!A:A""),
0
)),
""Outreach Conducted"",
"""")"),"")</f>
        <v/>
      </c>
      <c r="AC577" s="23"/>
      <c r="AD577" s="23"/>
      <c r="AE577" s="23"/>
      <c r="AF577" s="23"/>
      <c r="AG577" s="23"/>
      <c r="AH577" s="23"/>
      <c r="AI577" s="23"/>
      <c r="AJ577" s="23"/>
      <c r="AK577" s="23"/>
      <c r="AL577" s="23"/>
    </row>
    <row r="578" hidden="1">
      <c r="A578" s="32" t="s">
        <v>1602</v>
      </c>
      <c r="B578" s="32" t="s">
        <v>4777</v>
      </c>
      <c r="C578" s="23" t="str">
        <f t="shared" si="1"/>
        <v>Jessica Lissette Guzman</v>
      </c>
      <c r="D578" s="32" t="s">
        <v>4778</v>
      </c>
      <c r="E578" s="32" t="s">
        <v>4779</v>
      </c>
      <c r="F578" s="28" t="s">
        <v>769</v>
      </c>
      <c r="G578" s="32">
        <v>91.0</v>
      </c>
      <c r="H578" s="22">
        <f t="array" ref="H578">IFERROR(INDEX('Hub CPC 226'!A:A, MATCH(C578, 'Hub CPC 226'!B:B, 0)), "")</f>
        <v>643</v>
      </c>
      <c r="I578" s="22">
        <f t="array" ref="I578">IFERROR(INDEX('Hub Users 226'!A:A, MATCH(C578, 'Hub Users 226'!B:B, 0)), "")</f>
        <v>2542</v>
      </c>
      <c r="J578" s="22"/>
      <c r="K578" s="23" t="s">
        <v>4780</v>
      </c>
      <c r="L578" s="38">
        <v>43393.575</v>
      </c>
      <c r="M578" s="23"/>
      <c r="N578" s="23"/>
      <c r="O578" s="23"/>
      <c r="P578" s="23"/>
      <c r="Q578" s="32" t="s">
        <v>4781</v>
      </c>
      <c r="R578" s="31"/>
      <c r="S578" s="51" t="s">
        <v>4782</v>
      </c>
      <c r="T578" s="22" t="s">
        <v>252</v>
      </c>
      <c r="U578" s="32" t="s">
        <v>3166</v>
      </c>
      <c r="V578" s="23"/>
      <c r="W578" s="23"/>
      <c r="X578" s="23"/>
      <c r="Y578" s="23"/>
      <c r="Z578" s="23"/>
      <c r="AA578" s="23"/>
      <c r="AB578" s="23" t="str">
        <f>IFERROR(__xludf.DUMMYFUNCTION("IF(
ISNUMBER(MATCH(
C578,
IMPORTRANGE(""https://docs.google.com/spreadsheets/d/1yTh1ELC33JHYOeEdgIiEclxPRyh0zOKtlawDltfUay8"",""'Champions'!A:A""),
0
)),
""Outreach Conducted"",
"""")"),"")</f>
        <v/>
      </c>
      <c r="AC578" s="23"/>
      <c r="AD578" s="23"/>
      <c r="AE578" s="23"/>
      <c r="AF578" s="23"/>
      <c r="AG578" s="23"/>
      <c r="AH578" s="23"/>
      <c r="AI578" s="23"/>
      <c r="AJ578" s="23"/>
      <c r="AK578" s="23"/>
      <c r="AL578" s="23"/>
    </row>
    <row r="579" hidden="1">
      <c r="A579" s="32" t="s">
        <v>4783</v>
      </c>
      <c r="B579" s="32" t="s">
        <v>1555</v>
      </c>
      <c r="C579" s="23" t="str">
        <f t="shared" si="1"/>
        <v>Nyla Khan</v>
      </c>
      <c r="D579" s="32">
        <v>6.465252139E9</v>
      </c>
      <c r="E579" s="32" t="s">
        <v>4784</v>
      </c>
      <c r="F579" s="28" t="s">
        <v>769</v>
      </c>
      <c r="G579" s="32">
        <v>86.0</v>
      </c>
      <c r="H579" s="22">
        <f t="array" ref="H579">IFERROR(INDEX('Hub CPC 226'!A:A, MATCH(C579, 'Hub CPC 226'!B:B, 0)), "")</f>
        <v>644</v>
      </c>
      <c r="I579" s="22">
        <f t="array" ref="I579">IFERROR(INDEX('Hub Users 226'!A:A, MATCH(C579, 'Hub Users 226'!B:B, 0)), "")</f>
        <v>2544</v>
      </c>
      <c r="J579" s="22"/>
      <c r="K579" s="23" t="s">
        <v>4785</v>
      </c>
      <c r="L579" s="37">
        <v>43354.00208333333</v>
      </c>
      <c r="M579" s="28"/>
      <c r="N579" s="28"/>
      <c r="O579" s="28"/>
      <c r="P579" s="31"/>
      <c r="Q579" s="32" t="s">
        <v>4227</v>
      </c>
      <c r="R579" s="32" t="s">
        <v>271</v>
      </c>
      <c r="S579" s="24"/>
      <c r="T579" s="22" t="s">
        <v>272</v>
      </c>
      <c r="U579" s="32" t="s">
        <v>4786</v>
      </c>
      <c r="V579" s="23"/>
      <c r="W579" s="23"/>
      <c r="X579" s="23"/>
      <c r="Y579" s="23"/>
      <c r="Z579" s="23"/>
      <c r="AA579" s="23"/>
      <c r="AB579" s="23" t="str">
        <f>IFERROR(__xludf.DUMMYFUNCTION("IF(
ISNUMBER(MATCH(
C579,
IMPORTRANGE(""https://docs.google.com/spreadsheets/d/1yTh1ELC33JHYOeEdgIiEclxPRyh0zOKtlawDltfUay8"",""'Champions'!A:A""),
0
)),
""Outreach Conducted"",
"""")"),"")</f>
        <v/>
      </c>
      <c r="AC579" s="23"/>
      <c r="AD579" s="23"/>
      <c r="AE579" s="23"/>
      <c r="AF579" s="23"/>
      <c r="AG579" s="23"/>
      <c r="AH579" s="23"/>
      <c r="AI579" s="23"/>
      <c r="AJ579" s="23"/>
      <c r="AK579" s="23"/>
      <c r="AL579" s="23"/>
    </row>
    <row r="580" hidden="1">
      <c r="A580" s="32" t="s">
        <v>4787</v>
      </c>
      <c r="B580" s="32" t="s">
        <v>4788</v>
      </c>
      <c r="C580" s="23" t="str">
        <f t="shared" si="1"/>
        <v>Kaya Rachel Schmandt</v>
      </c>
      <c r="D580" s="32">
        <v>6.178617059E9</v>
      </c>
      <c r="E580" s="32" t="s">
        <v>4789</v>
      </c>
      <c r="F580" s="28" t="s">
        <v>769</v>
      </c>
      <c r="G580" s="32">
        <v>85.0</v>
      </c>
      <c r="H580" s="22">
        <f t="array" ref="H580">IFERROR(INDEX('Hub CPC 226'!A:A, MATCH(C580, 'Hub CPC 226'!B:B, 0)), "")</f>
        <v>645</v>
      </c>
      <c r="I580" s="22">
        <f t="array" ref="I580">IFERROR(INDEX('Hub Users 226'!A:A, MATCH(C580, 'Hub Users 226'!B:B, 0)), "")</f>
        <v>2545</v>
      </c>
      <c r="J580" s="22"/>
      <c r="K580" s="23" t="s">
        <v>4790</v>
      </c>
      <c r="L580" s="37">
        <v>43354.00208333333</v>
      </c>
      <c r="M580" s="23"/>
      <c r="N580" s="23"/>
      <c r="O580" s="23"/>
      <c r="P580" s="23"/>
      <c r="Q580" s="32" t="s">
        <v>4791</v>
      </c>
      <c r="R580" s="32" t="s">
        <v>4792</v>
      </c>
      <c r="S580" s="32" t="s">
        <v>2279</v>
      </c>
      <c r="T580" s="22" t="s">
        <v>626</v>
      </c>
      <c r="U580" s="32" t="s">
        <v>4793</v>
      </c>
      <c r="V580" s="23"/>
      <c r="W580" s="23"/>
      <c r="X580" s="23"/>
      <c r="Y580" s="23"/>
      <c r="Z580" s="23"/>
      <c r="AA580" s="23"/>
      <c r="AB580" s="23" t="str">
        <f>IFERROR(__xludf.DUMMYFUNCTION("IF(
ISNUMBER(MATCH(
C580,
IMPORTRANGE(""https://docs.google.com/spreadsheets/d/1yTh1ELC33JHYOeEdgIiEclxPRyh0zOKtlawDltfUay8"",""'Champions'!A:A""),
0
)),
""Outreach Conducted"",
"""")"),"")</f>
        <v/>
      </c>
      <c r="AC580" s="23"/>
      <c r="AD580" s="23"/>
      <c r="AE580" s="23"/>
      <c r="AF580" s="23"/>
      <c r="AG580" s="23"/>
      <c r="AH580" s="23"/>
      <c r="AI580" s="23"/>
      <c r="AJ580" s="23"/>
      <c r="AK580" s="23"/>
      <c r="AL580" s="23"/>
    </row>
    <row r="581" hidden="1">
      <c r="A581" s="32" t="s">
        <v>4794</v>
      </c>
      <c r="B581" s="32" t="s">
        <v>4795</v>
      </c>
      <c r="C581" s="23" t="str">
        <f t="shared" si="1"/>
        <v>Yvette Rosario-Perez</v>
      </c>
      <c r="D581" s="32">
        <v>9.145632988E9</v>
      </c>
      <c r="E581" s="32" t="s">
        <v>4796</v>
      </c>
      <c r="F581" s="28" t="s">
        <v>769</v>
      </c>
      <c r="G581" s="32">
        <v>82.0</v>
      </c>
      <c r="H581" s="22">
        <f t="array" ref="H581">IFERROR(INDEX('Hub CPC 226'!A:A, MATCH(C581, 'Hub CPC 226'!B:B, 0)), "")</f>
        <v>646</v>
      </c>
      <c r="I581" s="22">
        <f t="array" ref="I581">IFERROR(INDEX('Hub Users 226'!A:A, MATCH(C581, 'Hub Users 226'!B:B, 0)), "")</f>
        <v>2546</v>
      </c>
      <c r="J581" s="22"/>
      <c r="K581" s="23" t="s">
        <v>4797</v>
      </c>
      <c r="L581" s="37">
        <v>43354.00208333333</v>
      </c>
      <c r="M581" s="28"/>
      <c r="N581" s="28"/>
      <c r="O581" s="28"/>
      <c r="P581" s="31"/>
      <c r="Q581" s="32" t="s">
        <v>4798</v>
      </c>
      <c r="R581" s="31"/>
      <c r="S581" s="22" t="s">
        <v>4799</v>
      </c>
      <c r="T581" s="22" t="s">
        <v>272</v>
      </c>
      <c r="U581" s="32" t="s">
        <v>4800</v>
      </c>
      <c r="V581" s="23"/>
      <c r="W581" s="23"/>
      <c r="X581" s="23"/>
      <c r="Y581" s="23"/>
      <c r="Z581" s="23"/>
      <c r="AA581" s="23"/>
      <c r="AB581" s="23" t="str">
        <f>IFERROR(__xludf.DUMMYFUNCTION("IF(
ISNUMBER(MATCH(
C581,
IMPORTRANGE(""https://docs.google.com/spreadsheets/d/1yTh1ELC33JHYOeEdgIiEclxPRyh0zOKtlawDltfUay8"",""'Champions'!A:A""),
0
)),
""Outreach Conducted"",
"""")"),"")</f>
        <v/>
      </c>
      <c r="AC581" s="23"/>
      <c r="AD581" s="23"/>
      <c r="AE581" s="23"/>
      <c r="AF581" s="23"/>
      <c r="AG581" s="23"/>
      <c r="AH581" s="23"/>
      <c r="AI581" s="23"/>
      <c r="AJ581" s="23"/>
      <c r="AK581" s="23"/>
      <c r="AL581" s="23"/>
    </row>
    <row r="582" hidden="1">
      <c r="A582" s="32" t="s">
        <v>4801</v>
      </c>
      <c r="B582" s="32" t="s">
        <v>4802</v>
      </c>
      <c r="C582" s="23" t="str">
        <f t="shared" si="1"/>
        <v>Danita Yvette Knox</v>
      </c>
      <c r="D582" s="32" t="s">
        <v>4803</v>
      </c>
      <c r="E582" s="32" t="s">
        <v>4804</v>
      </c>
      <c r="F582" s="28" t="s">
        <v>769</v>
      </c>
      <c r="G582" s="32">
        <v>81.0</v>
      </c>
      <c r="H582" s="22">
        <f t="array" ref="H582">IFERROR(INDEX('Hub CPC 226'!A:A, MATCH(C582, 'Hub CPC 226'!B:B, 0)), "")</f>
        <v>647</v>
      </c>
      <c r="I582" s="22">
        <f t="array" ref="I582">IFERROR(INDEX('Hub Users 226'!A:A, MATCH(C582, 'Hub Users 226'!B:B, 0)), "")</f>
        <v>2547</v>
      </c>
      <c r="J582" s="22"/>
      <c r="K582" s="23" t="s">
        <v>4805</v>
      </c>
      <c r="L582" s="37">
        <v>43354.00208333333</v>
      </c>
      <c r="M582" s="23"/>
      <c r="N582" s="23"/>
      <c r="O582" s="23"/>
      <c r="P582" s="23"/>
      <c r="Q582" s="32" t="s">
        <v>4806</v>
      </c>
      <c r="R582" s="31"/>
      <c r="S582" s="22" t="s">
        <v>4807</v>
      </c>
      <c r="T582" s="22" t="s">
        <v>252</v>
      </c>
      <c r="U582" s="32" t="s">
        <v>4808</v>
      </c>
      <c r="V582" s="23"/>
      <c r="W582" s="23"/>
      <c r="X582" s="23"/>
      <c r="Y582" s="23"/>
      <c r="Z582" s="23"/>
      <c r="AA582" s="23"/>
      <c r="AB582" s="23" t="str">
        <f>IFERROR(__xludf.DUMMYFUNCTION("IF(
ISNUMBER(MATCH(
C582,
IMPORTRANGE(""https://docs.google.com/spreadsheets/d/1yTh1ELC33JHYOeEdgIiEclxPRyh0zOKtlawDltfUay8"",""'Champions'!A:A""),
0
)),
""Outreach Conducted"",
"""")"),"")</f>
        <v/>
      </c>
      <c r="AC582" s="23"/>
      <c r="AD582" s="23"/>
      <c r="AE582" s="23"/>
      <c r="AF582" s="23"/>
      <c r="AG582" s="23"/>
      <c r="AH582" s="23"/>
      <c r="AI582" s="23"/>
      <c r="AJ582" s="23"/>
      <c r="AK582" s="23"/>
      <c r="AL582" s="23"/>
    </row>
    <row r="583" hidden="1">
      <c r="A583" s="32" t="s">
        <v>4809</v>
      </c>
      <c r="B583" s="32" t="s">
        <v>4810</v>
      </c>
      <c r="C583" s="23" t="str">
        <f t="shared" si="1"/>
        <v>Alexis Victoria Murshed</v>
      </c>
      <c r="D583" s="32" t="s">
        <v>4811</v>
      </c>
      <c r="E583" s="32" t="s">
        <v>4812</v>
      </c>
      <c r="F583" s="28" t="s">
        <v>769</v>
      </c>
      <c r="G583" s="32">
        <v>80.0</v>
      </c>
      <c r="H583" s="22">
        <f t="array" ref="H583">IFERROR(INDEX('Hub CPC 226'!A:A, MATCH(C583, 'Hub CPC 226'!B:B, 0)), "")</f>
        <v>648</v>
      </c>
      <c r="I583" s="22">
        <f t="array" ref="I583">IFERROR(INDEX('Hub Users 226'!A:A, MATCH(C583, 'Hub Users 226'!B:B, 0)), "")</f>
        <v>2548</v>
      </c>
      <c r="J583" s="22"/>
      <c r="K583" s="23" t="s">
        <v>4813</v>
      </c>
      <c r="L583" s="37">
        <v>43354.00208333333</v>
      </c>
      <c r="M583" s="23"/>
      <c r="N583" s="23"/>
      <c r="O583" s="23"/>
      <c r="P583" s="23"/>
      <c r="Q583" s="32" t="s">
        <v>4814</v>
      </c>
      <c r="R583" s="31"/>
      <c r="S583" s="22" t="s">
        <v>1349</v>
      </c>
      <c r="T583" s="22" t="s">
        <v>252</v>
      </c>
      <c r="U583" s="32" t="s">
        <v>4815</v>
      </c>
      <c r="V583" s="23"/>
      <c r="W583" s="23"/>
      <c r="X583" s="23"/>
      <c r="Y583" s="23"/>
      <c r="Z583" s="23"/>
      <c r="AA583" s="23"/>
      <c r="AB583" s="23" t="str">
        <f>IFERROR(__xludf.DUMMYFUNCTION("IF(
ISNUMBER(MATCH(
C583,
IMPORTRANGE(""https://docs.google.com/spreadsheets/d/1yTh1ELC33JHYOeEdgIiEclxPRyh0zOKtlawDltfUay8"",""'Champions'!A:A""),
0
)),
""Outreach Conducted"",
"""")"),"")</f>
        <v/>
      </c>
      <c r="AC583" s="23"/>
      <c r="AD583" s="23"/>
      <c r="AE583" s="23"/>
      <c r="AF583" s="23"/>
      <c r="AG583" s="23"/>
      <c r="AH583" s="23"/>
      <c r="AI583" s="23"/>
      <c r="AJ583" s="23"/>
      <c r="AK583" s="23"/>
      <c r="AL583" s="23"/>
    </row>
    <row r="584" hidden="1">
      <c r="A584" s="32" t="s">
        <v>4816</v>
      </c>
      <c r="B584" s="32" t="s">
        <v>4817</v>
      </c>
      <c r="C584" s="23" t="str">
        <f t="shared" si="1"/>
        <v>Ana Del Campo</v>
      </c>
      <c r="D584" s="32" t="s">
        <v>4818</v>
      </c>
      <c r="E584" s="32" t="s">
        <v>4819</v>
      </c>
      <c r="F584" s="28" t="s">
        <v>769</v>
      </c>
      <c r="G584" s="32">
        <v>79.0</v>
      </c>
      <c r="H584" s="22">
        <f t="array" ref="H584">IFERROR(INDEX('Hub CPC 226'!A:A, MATCH(C584, 'Hub CPC 226'!B:B, 0)), "")</f>
        <v>649</v>
      </c>
      <c r="I584" s="22">
        <f t="array" ref="I584">IFERROR(INDEX('Hub Users 226'!A:A, MATCH(C584, 'Hub Users 226'!B:B, 0)), "")</f>
        <v>2549</v>
      </c>
      <c r="J584" s="22"/>
      <c r="K584" s="23" t="s">
        <v>4820</v>
      </c>
      <c r="L584" s="37">
        <v>43354.00208333333</v>
      </c>
      <c r="M584" s="23"/>
      <c r="N584" s="23"/>
      <c r="O584" s="23"/>
      <c r="P584" s="23"/>
      <c r="Q584" s="32" t="s">
        <v>4821</v>
      </c>
      <c r="R584" s="31"/>
      <c r="S584" s="22" t="s">
        <v>2328</v>
      </c>
      <c r="T584" s="22" t="s">
        <v>241</v>
      </c>
      <c r="U584" s="32" t="s">
        <v>4822</v>
      </c>
      <c r="V584" s="23"/>
      <c r="W584" s="23"/>
      <c r="X584" s="23"/>
      <c r="Y584" s="23"/>
      <c r="Z584" s="23"/>
      <c r="AA584" s="23"/>
      <c r="AB584" s="23" t="str">
        <f>IFERROR(__xludf.DUMMYFUNCTION("IF(
ISNUMBER(MATCH(
C584,
IMPORTRANGE(""https://docs.google.com/spreadsheets/d/1yTh1ELC33JHYOeEdgIiEclxPRyh0zOKtlawDltfUay8"",""'Champions'!A:A""),
0
)),
""Outreach Conducted"",
"""")"),"")</f>
        <v/>
      </c>
      <c r="AC584" s="23"/>
      <c r="AD584" s="23"/>
      <c r="AE584" s="23"/>
      <c r="AF584" s="23"/>
      <c r="AG584" s="23"/>
      <c r="AH584" s="23"/>
      <c r="AI584" s="23"/>
      <c r="AJ584" s="23"/>
      <c r="AK584" s="23"/>
      <c r="AL584" s="23"/>
    </row>
    <row r="585" hidden="1">
      <c r="A585" s="32" t="s">
        <v>4823</v>
      </c>
      <c r="B585" s="32" t="s">
        <v>4824</v>
      </c>
      <c r="C585" s="23" t="str">
        <f t="shared" si="1"/>
        <v>Suzanne Gleason</v>
      </c>
      <c r="D585" s="32" t="s">
        <v>4825</v>
      </c>
      <c r="E585" s="32" t="s">
        <v>4826</v>
      </c>
      <c r="F585" s="28" t="s">
        <v>769</v>
      </c>
      <c r="G585" s="32">
        <v>78.0</v>
      </c>
      <c r="H585" s="22">
        <f t="array" ref="H585">IFERROR(INDEX('Hub CPC 226'!A:A, MATCH(C585, 'Hub CPC 226'!B:B, 0)), "")</f>
        <v>650</v>
      </c>
      <c r="I585" s="22">
        <f t="array" ref="I585">IFERROR(INDEX('Hub Users 226'!A:A, MATCH(C585, 'Hub Users 226'!B:B, 0)), "")</f>
        <v>2550</v>
      </c>
      <c r="J585" s="22"/>
      <c r="K585" s="23" t="s">
        <v>4827</v>
      </c>
      <c r="L585" s="37">
        <v>43354.00208333333</v>
      </c>
      <c r="M585" s="23"/>
      <c r="N585" s="23"/>
      <c r="O585" s="23"/>
      <c r="P585" s="23"/>
      <c r="Q585" s="32" t="s">
        <v>4828</v>
      </c>
      <c r="R585" s="31"/>
      <c r="S585" s="22" t="s">
        <v>4234</v>
      </c>
      <c r="T585" s="22" t="s">
        <v>381</v>
      </c>
      <c r="U585" s="32" t="s">
        <v>4829</v>
      </c>
      <c r="V585" s="23"/>
      <c r="W585" s="23"/>
      <c r="X585" s="23"/>
      <c r="Y585" s="23"/>
      <c r="Z585" s="23"/>
      <c r="AA585" s="23"/>
      <c r="AB585" s="23" t="str">
        <f>IFERROR(__xludf.DUMMYFUNCTION("IF(
ISNUMBER(MATCH(
C585,
IMPORTRANGE(""https://docs.google.com/spreadsheets/d/1yTh1ELC33JHYOeEdgIiEclxPRyh0zOKtlawDltfUay8"",""'Champions'!A:A""),
0
)),
""Outreach Conducted"",
"""")"),"")</f>
        <v/>
      </c>
      <c r="AC585" s="23"/>
      <c r="AD585" s="23"/>
      <c r="AE585" s="23"/>
      <c r="AF585" s="23"/>
      <c r="AG585" s="23"/>
      <c r="AH585" s="23"/>
      <c r="AI585" s="23"/>
      <c r="AJ585" s="23"/>
      <c r="AK585" s="23"/>
      <c r="AL585" s="23"/>
    </row>
    <row r="586" hidden="1">
      <c r="A586" s="32" t="s">
        <v>4830</v>
      </c>
      <c r="B586" s="32" t="s">
        <v>4831</v>
      </c>
      <c r="C586" s="23" t="str">
        <f t="shared" si="1"/>
        <v>Dafne Aurora Arzate Martinez</v>
      </c>
      <c r="D586" s="32">
        <v>4.158665607E9</v>
      </c>
      <c r="E586" s="32" t="s">
        <v>4832</v>
      </c>
      <c r="F586" s="28" t="s">
        <v>769</v>
      </c>
      <c r="G586" s="32">
        <v>77.0</v>
      </c>
      <c r="H586" s="22">
        <f t="array" ref="H586">IFERROR(INDEX('Hub CPC 226'!A:A, MATCH(C586, 'Hub CPC 226'!B:B, 0)), "")</f>
        <v>651</v>
      </c>
      <c r="I586" s="22">
        <f t="array" ref="I586">IFERROR(INDEX('Hub Users 226'!A:A, MATCH(C586, 'Hub Users 226'!B:B, 0)), "")</f>
        <v>2551</v>
      </c>
      <c r="J586" s="22"/>
      <c r="K586" s="23" t="s">
        <v>4833</v>
      </c>
      <c r="L586" s="37">
        <v>43354.00208333333</v>
      </c>
      <c r="M586" s="23"/>
      <c r="N586" s="23"/>
      <c r="O586" s="23"/>
      <c r="P586" s="23"/>
      <c r="Q586" s="32" t="s">
        <v>4834</v>
      </c>
      <c r="R586" s="31"/>
      <c r="S586" s="24"/>
      <c r="T586" s="24"/>
      <c r="U586" s="32" t="s">
        <v>430</v>
      </c>
      <c r="V586" s="23"/>
      <c r="W586" s="23"/>
      <c r="X586" s="23"/>
      <c r="Y586" s="23"/>
      <c r="Z586" s="23"/>
      <c r="AA586" s="23"/>
      <c r="AB586" s="23" t="str">
        <f>IFERROR(__xludf.DUMMYFUNCTION("IF(
ISNUMBER(MATCH(
C586,
IMPORTRANGE(""https://docs.google.com/spreadsheets/d/1yTh1ELC33JHYOeEdgIiEclxPRyh0zOKtlawDltfUay8"",""'Champions'!A:A""),
0
)),
""Outreach Conducted"",
"""")"),"")</f>
        <v/>
      </c>
      <c r="AC586" s="23"/>
      <c r="AD586" s="23"/>
      <c r="AE586" s="23"/>
      <c r="AF586" s="23"/>
      <c r="AG586" s="23"/>
      <c r="AH586" s="23"/>
      <c r="AI586" s="23"/>
      <c r="AJ586" s="23"/>
      <c r="AK586" s="23"/>
      <c r="AL586" s="23"/>
    </row>
    <row r="587" hidden="1">
      <c r="A587" s="32" t="s">
        <v>1864</v>
      </c>
      <c r="B587" s="32" t="s">
        <v>4835</v>
      </c>
      <c r="C587" s="23" t="str">
        <f t="shared" si="1"/>
        <v>Julia Rine</v>
      </c>
      <c r="D587" s="32" t="s">
        <v>4836</v>
      </c>
      <c r="E587" s="32" t="s">
        <v>4837</v>
      </c>
      <c r="F587" s="28" t="s">
        <v>769</v>
      </c>
      <c r="G587" s="32">
        <v>76.0</v>
      </c>
      <c r="H587" s="22">
        <f t="array" ref="H587">IFERROR(INDEX('Hub CPC 226'!A:A, MATCH(C587, 'Hub CPC 226'!B:B, 0)), "")</f>
        <v>652</v>
      </c>
      <c r="I587" s="22">
        <f t="array" ref="I587">IFERROR(INDEX('Hub Users 226'!A:A, MATCH(C587, 'Hub Users 226'!B:B, 0)), "")</f>
        <v>2552</v>
      </c>
      <c r="J587" s="22"/>
      <c r="K587" s="23" t="s">
        <v>4838</v>
      </c>
      <c r="L587" s="37">
        <v>43354.00208333333</v>
      </c>
      <c r="M587" s="23"/>
      <c r="N587" s="23"/>
      <c r="O587" s="23"/>
      <c r="P587" s="23"/>
      <c r="Q587" s="32" t="s">
        <v>4839</v>
      </c>
      <c r="R587" s="31"/>
      <c r="S587" s="22" t="s">
        <v>1056</v>
      </c>
      <c r="T587" s="22" t="s">
        <v>252</v>
      </c>
      <c r="U587" s="32" t="s">
        <v>4840</v>
      </c>
      <c r="V587" s="23"/>
      <c r="W587" s="23"/>
      <c r="X587" s="23"/>
      <c r="Y587" s="23"/>
      <c r="Z587" s="23"/>
      <c r="AA587" s="23"/>
      <c r="AB587" s="23" t="str">
        <f>IFERROR(__xludf.DUMMYFUNCTION("IF(
ISNUMBER(MATCH(
C587,
IMPORTRANGE(""https://docs.google.com/spreadsheets/d/1yTh1ELC33JHYOeEdgIiEclxPRyh0zOKtlawDltfUay8"",""'Champions'!A:A""),
0
)),
""Outreach Conducted"",
"""")"),"")</f>
        <v/>
      </c>
      <c r="AC587" s="23"/>
      <c r="AD587" s="23"/>
      <c r="AE587" s="23"/>
      <c r="AF587" s="23"/>
      <c r="AG587" s="23"/>
      <c r="AH587" s="23"/>
      <c r="AI587" s="23"/>
      <c r="AJ587" s="23"/>
      <c r="AK587" s="23"/>
      <c r="AL587" s="23"/>
    </row>
    <row r="588" hidden="1">
      <c r="A588" s="32" t="s">
        <v>2308</v>
      </c>
      <c r="B588" s="32" t="s">
        <v>4841</v>
      </c>
      <c r="C588" s="23" t="str">
        <f t="shared" si="1"/>
        <v>Maria Editha Zafra</v>
      </c>
      <c r="D588" s="32">
        <v>7.274590611E9</v>
      </c>
      <c r="E588" s="32" t="s">
        <v>4842</v>
      </c>
      <c r="F588" s="28" t="s">
        <v>769</v>
      </c>
      <c r="G588" s="32">
        <v>75.0</v>
      </c>
      <c r="H588" s="22">
        <f t="array" ref="H588">IFERROR(INDEX('Hub CPC 226'!A:A, MATCH(C588, 'Hub CPC 226'!B:B, 0)), "")</f>
        <v>653</v>
      </c>
      <c r="I588" s="22">
        <f t="array" ref="I588">IFERROR(INDEX('Hub Users 226'!A:A, MATCH(C588, 'Hub Users 226'!B:B, 0)), "")</f>
        <v>2553</v>
      </c>
      <c r="J588" s="22"/>
      <c r="K588" s="23" t="s">
        <v>4843</v>
      </c>
      <c r="L588" s="37">
        <v>43354.00208333333</v>
      </c>
      <c r="M588" s="23"/>
      <c r="N588" s="23"/>
      <c r="O588" s="23"/>
      <c r="P588" s="23"/>
      <c r="Q588" s="32" t="s">
        <v>4844</v>
      </c>
      <c r="R588" s="31"/>
      <c r="S588" s="22" t="s">
        <v>4845</v>
      </c>
      <c r="T588" s="22" t="s">
        <v>252</v>
      </c>
      <c r="U588" s="32" t="s">
        <v>4846</v>
      </c>
      <c r="V588" s="23"/>
      <c r="W588" s="23"/>
      <c r="X588" s="23"/>
      <c r="Y588" s="23"/>
      <c r="Z588" s="23"/>
      <c r="AA588" s="23"/>
      <c r="AB588" s="23" t="str">
        <f>IFERROR(__xludf.DUMMYFUNCTION("IF(
ISNUMBER(MATCH(
C588,
IMPORTRANGE(""https://docs.google.com/spreadsheets/d/1yTh1ELC33JHYOeEdgIiEclxPRyh0zOKtlawDltfUay8"",""'Champions'!A:A""),
0
)),
""Outreach Conducted"",
"""")"),"")</f>
        <v/>
      </c>
      <c r="AC588" s="23"/>
      <c r="AD588" s="23"/>
      <c r="AE588" s="23"/>
      <c r="AF588" s="23"/>
      <c r="AG588" s="23"/>
      <c r="AH588" s="23"/>
      <c r="AI588" s="23"/>
      <c r="AJ588" s="23"/>
      <c r="AK588" s="23"/>
      <c r="AL588" s="23"/>
    </row>
    <row r="589" hidden="1">
      <c r="A589" s="32" t="s">
        <v>4847</v>
      </c>
      <c r="B589" s="32" t="s">
        <v>4848</v>
      </c>
      <c r="C589" s="23" t="str">
        <f t="shared" si="1"/>
        <v>Korrie Christine Tucker</v>
      </c>
      <c r="D589" s="32" t="s">
        <v>4849</v>
      </c>
      <c r="E589" s="32" t="s">
        <v>4850</v>
      </c>
      <c r="F589" s="28" t="s">
        <v>769</v>
      </c>
      <c r="G589" s="32">
        <v>74.0</v>
      </c>
      <c r="H589" s="22">
        <f t="array" ref="H589">IFERROR(INDEX('Hub CPC 226'!A:A, MATCH(C589, 'Hub CPC 226'!B:B, 0)), "")</f>
        <v>654</v>
      </c>
      <c r="I589" s="22">
        <f t="array" ref="I589">IFERROR(INDEX('Hub Users 226'!A:A, MATCH(C589, 'Hub Users 226'!B:B, 0)), "")</f>
        <v>2554</v>
      </c>
      <c r="J589" s="22"/>
      <c r="K589" s="23" t="s">
        <v>4851</v>
      </c>
      <c r="L589" s="37">
        <v>43354.00208333333</v>
      </c>
      <c r="M589" s="28">
        <v>22.0</v>
      </c>
      <c r="N589" s="28">
        <v>53.0</v>
      </c>
      <c r="O589" s="28">
        <v>122.0</v>
      </c>
      <c r="P589" s="31"/>
      <c r="Q589" s="32" t="s">
        <v>4852</v>
      </c>
      <c r="R589" s="31"/>
      <c r="S589" s="22" t="s">
        <v>4853</v>
      </c>
      <c r="T589" s="22" t="s">
        <v>272</v>
      </c>
      <c r="U589" s="32" t="s">
        <v>4854</v>
      </c>
      <c r="V589" s="23"/>
      <c r="W589" s="23"/>
      <c r="X589" s="23"/>
      <c r="Y589" s="23"/>
      <c r="Z589" s="23"/>
      <c r="AA589" s="23"/>
      <c r="AB589" s="23" t="str">
        <f>IFERROR(__xludf.DUMMYFUNCTION("IF(
ISNUMBER(MATCH(
C589,
IMPORTRANGE(""https://docs.google.com/spreadsheets/d/1yTh1ELC33JHYOeEdgIiEclxPRyh0zOKtlawDltfUay8"",""'Champions'!A:A""),
0
)),
""Outreach Conducted"",
"""")"),"")</f>
        <v/>
      </c>
      <c r="AC589" s="23"/>
      <c r="AD589" s="23"/>
      <c r="AE589" s="23"/>
      <c r="AF589" s="23"/>
      <c r="AG589" s="23"/>
      <c r="AH589" s="23"/>
      <c r="AI589" s="23"/>
      <c r="AJ589" s="23"/>
      <c r="AK589" s="23"/>
      <c r="AL589" s="23"/>
    </row>
    <row r="590" hidden="1">
      <c r="A590" s="32" t="s">
        <v>4855</v>
      </c>
      <c r="B590" s="32" t="s">
        <v>4856</v>
      </c>
      <c r="C590" s="23" t="str">
        <f t="shared" si="1"/>
        <v>Ladan Nasser Miremadi</v>
      </c>
      <c r="D590" s="32">
        <v>9.492780601E9</v>
      </c>
      <c r="E590" s="32" t="s">
        <v>4857</v>
      </c>
      <c r="F590" s="28" t="s">
        <v>769</v>
      </c>
      <c r="G590" s="32">
        <v>73.0</v>
      </c>
      <c r="H590" s="22">
        <f t="array" ref="H590">IFERROR(INDEX('Hub CPC 226'!A:A, MATCH(C590, 'Hub CPC 226'!B:B, 0)), "")</f>
        <v>655</v>
      </c>
      <c r="I590" s="22">
        <f t="array" ref="I590">IFERROR(INDEX('Hub Users 226'!A:A, MATCH(C590, 'Hub Users 226'!B:B, 0)), "")</f>
        <v>2555</v>
      </c>
      <c r="J590" s="22"/>
      <c r="K590" s="23" t="s">
        <v>4858</v>
      </c>
      <c r="L590" s="37">
        <v>43354.00208333333</v>
      </c>
      <c r="M590" s="23"/>
      <c r="N590" s="23"/>
      <c r="O590" s="23"/>
      <c r="P590" s="23"/>
      <c r="Q590" s="32" t="s">
        <v>4859</v>
      </c>
      <c r="R590" s="31"/>
      <c r="S590" s="22" t="s">
        <v>4860</v>
      </c>
      <c r="T590" s="22" t="s">
        <v>626</v>
      </c>
      <c r="U590" s="32" t="s">
        <v>4861</v>
      </c>
      <c r="V590" s="23"/>
      <c r="W590" s="23"/>
      <c r="X590" s="23"/>
      <c r="Y590" s="23"/>
      <c r="Z590" s="23"/>
      <c r="AA590" s="23"/>
      <c r="AB590" s="23" t="str">
        <f>IFERROR(__xludf.DUMMYFUNCTION("IF(
ISNUMBER(MATCH(
C590,
IMPORTRANGE(""https://docs.google.com/spreadsheets/d/1yTh1ELC33JHYOeEdgIiEclxPRyh0zOKtlawDltfUay8"",""'Champions'!A:A""),
0
)),
""Outreach Conducted"",
"""")"),"")</f>
        <v/>
      </c>
      <c r="AC590" s="23"/>
      <c r="AD590" s="23"/>
      <c r="AE590" s="23"/>
      <c r="AF590" s="23"/>
      <c r="AG590" s="23"/>
      <c r="AH590" s="23"/>
      <c r="AI590" s="23"/>
      <c r="AJ590" s="23"/>
      <c r="AK590" s="23"/>
      <c r="AL590" s="23"/>
    </row>
    <row r="591" hidden="1">
      <c r="A591" s="32" t="s">
        <v>4862</v>
      </c>
      <c r="B591" s="32" t="s">
        <v>4863</v>
      </c>
      <c r="C591" s="23" t="str">
        <f t="shared" si="1"/>
        <v>Judith Socarras</v>
      </c>
      <c r="D591" s="32" t="s">
        <v>4864</v>
      </c>
      <c r="E591" s="32" t="s">
        <v>4865</v>
      </c>
      <c r="F591" s="28" t="s">
        <v>769</v>
      </c>
      <c r="G591" s="32">
        <v>71.0</v>
      </c>
      <c r="H591" s="22">
        <f t="array" ref="H591">IFERROR(INDEX('Hub CPC 226'!A:A, MATCH(C591, 'Hub CPC 226'!B:B, 0)), "")</f>
        <v>657</v>
      </c>
      <c r="I591" s="22">
        <f t="array" ref="I591">IFERROR(INDEX('Hub Users 226'!A:A, MATCH(C591, 'Hub Users 226'!B:B, 0)), "")</f>
        <v>2557</v>
      </c>
      <c r="J591" s="22"/>
      <c r="K591" s="23" t="s">
        <v>4866</v>
      </c>
      <c r="L591" s="37">
        <v>43354.00208333333</v>
      </c>
      <c r="M591" s="28">
        <v>9.0</v>
      </c>
      <c r="N591" s="28">
        <v>21.0</v>
      </c>
      <c r="O591" s="28">
        <v>42.0</v>
      </c>
      <c r="P591" s="32">
        <v>40.0</v>
      </c>
      <c r="Q591" s="32" t="s">
        <v>4867</v>
      </c>
      <c r="R591" s="31"/>
      <c r="S591" s="22" t="s">
        <v>294</v>
      </c>
      <c r="T591" s="22" t="s">
        <v>272</v>
      </c>
      <c r="U591" s="32" t="s">
        <v>4868</v>
      </c>
      <c r="V591" s="23"/>
      <c r="W591" s="23"/>
      <c r="X591" s="23"/>
      <c r="Y591" s="23"/>
      <c r="Z591" s="23"/>
      <c r="AA591" s="23"/>
      <c r="AB591" s="23" t="str">
        <f>IFERROR(__xludf.DUMMYFUNCTION("IF(
ISNUMBER(MATCH(
C591,
IMPORTRANGE(""https://docs.google.com/spreadsheets/d/1yTh1ELC33JHYOeEdgIiEclxPRyh0zOKtlawDltfUay8"",""'Champions'!A:A""),
0
)),
""Outreach Conducted"",
"""")"),"")</f>
        <v/>
      </c>
      <c r="AC591" s="23"/>
      <c r="AD591" s="23"/>
      <c r="AE591" s="23"/>
      <c r="AF591" s="23"/>
      <c r="AG591" s="23"/>
      <c r="AH591" s="23"/>
      <c r="AI591" s="23"/>
      <c r="AJ591" s="23"/>
      <c r="AK591" s="23"/>
      <c r="AL591" s="23"/>
    </row>
    <row r="592" hidden="1">
      <c r="A592" s="32" t="s">
        <v>2628</v>
      </c>
      <c r="B592" s="32" t="s">
        <v>4869</v>
      </c>
      <c r="C592" s="23" t="str">
        <f t="shared" si="1"/>
        <v>Neha Khorana</v>
      </c>
      <c r="D592" s="32">
        <v>7.06621389E9</v>
      </c>
      <c r="E592" s="32" t="s">
        <v>4870</v>
      </c>
      <c r="F592" s="28" t="s">
        <v>769</v>
      </c>
      <c r="G592" s="32">
        <v>69.0</v>
      </c>
      <c r="H592" s="22">
        <f t="array" ref="H592">IFERROR(INDEX('Hub CPC 226'!A:A, MATCH(C592, 'Hub CPC 226'!B:B, 0)), "")</f>
        <v>659</v>
      </c>
      <c r="I592" s="22">
        <f t="array" ref="I592">IFERROR(INDEX('Hub Users 226'!A:A, MATCH(C592, 'Hub Users 226'!B:B, 0)), "")</f>
        <v>2559</v>
      </c>
      <c r="J592" s="22"/>
      <c r="K592" s="23" t="s">
        <v>4871</v>
      </c>
      <c r="L592" s="37">
        <v>43354.00208333333</v>
      </c>
      <c r="M592" s="23"/>
      <c r="N592" s="23"/>
      <c r="O592" s="23"/>
      <c r="P592" s="23"/>
      <c r="Q592" s="32" t="s">
        <v>4872</v>
      </c>
      <c r="R592" s="31"/>
      <c r="S592" s="22" t="s">
        <v>4873</v>
      </c>
      <c r="T592" s="22" t="s">
        <v>3742</v>
      </c>
      <c r="U592" s="32" t="s">
        <v>4874</v>
      </c>
      <c r="V592" s="26" t="s">
        <v>242</v>
      </c>
      <c r="W592" s="27" t="s">
        <v>4875</v>
      </c>
      <c r="X592" s="26" t="s">
        <v>244</v>
      </c>
      <c r="Y592" s="23"/>
      <c r="Z592" s="23"/>
      <c r="AA592" s="23"/>
      <c r="AB592" s="23" t="str">
        <f>IFERROR(__xludf.DUMMYFUNCTION("IF(
ISNUMBER(MATCH(
C592,
IMPORTRANGE(""https://docs.google.com/spreadsheets/d/1yTh1ELC33JHYOeEdgIiEclxPRyh0zOKtlawDltfUay8"",""'Champions'!A:A""),
0
)),
""Outreach Conducted"",
"""")"),"")</f>
        <v/>
      </c>
      <c r="AC592" s="23"/>
      <c r="AD592" s="23"/>
      <c r="AE592" s="23"/>
      <c r="AF592" s="23"/>
      <c r="AG592" s="23"/>
      <c r="AH592" s="23"/>
      <c r="AI592" s="23"/>
      <c r="AJ592" s="23"/>
      <c r="AK592" s="23"/>
      <c r="AL592" s="23"/>
    </row>
    <row r="593" hidden="1">
      <c r="A593" s="32" t="s">
        <v>4091</v>
      </c>
      <c r="B593" s="32" t="s">
        <v>4876</v>
      </c>
      <c r="C593" s="23" t="str">
        <f t="shared" si="1"/>
        <v>Margaret Ann Hopkins</v>
      </c>
      <c r="D593" s="32">
        <v>8.159794438E9</v>
      </c>
      <c r="E593" s="32" t="s">
        <v>4877</v>
      </c>
      <c r="F593" s="28" t="s">
        <v>769</v>
      </c>
      <c r="G593" s="32">
        <v>68.0</v>
      </c>
      <c r="H593" s="22">
        <f t="array" ref="H593">IFERROR(INDEX('Hub CPC 226'!A:A, MATCH(C593, 'Hub CPC 226'!B:B, 0)), "")</f>
        <v>660</v>
      </c>
      <c r="I593" s="22">
        <f t="array" ref="I593">IFERROR(INDEX('Hub Users 226'!A:A, MATCH(C593, 'Hub Users 226'!B:B, 0)), "")</f>
        <v>2560</v>
      </c>
      <c r="J593" s="22"/>
      <c r="K593" s="23" t="s">
        <v>4878</v>
      </c>
      <c r="L593" s="37">
        <v>43354.00208333333</v>
      </c>
      <c r="M593" s="28">
        <v>9.0</v>
      </c>
      <c r="N593" s="28">
        <v>21.0</v>
      </c>
      <c r="O593" s="28">
        <v>42.0</v>
      </c>
      <c r="P593" s="32">
        <v>40.0</v>
      </c>
      <c r="Q593" s="32" t="s">
        <v>4879</v>
      </c>
      <c r="R593" s="31"/>
      <c r="S593" s="22" t="s">
        <v>294</v>
      </c>
      <c r="T593" s="22" t="s">
        <v>272</v>
      </c>
      <c r="U593" s="32" t="s">
        <v>4880</v>
      </c>
      <c r="V593" s="23"/>
      <c r="W593" s="23"/>
      <c r="X593" s="23"/>
      <c r="Y593" s="23"/>
      <c r="Z593" s="23"/>
      <c r="AA593" s="23"/>
      <c r="AB593" s="23" t="str">
        <f>IFERROR(__xludf.DUMMYFUNCTION("IF(
ISNUMBER(MATCH(
C593,
IMPORTRANGE(""https://docs.google.com/spreadsheets/d/1yTh1ELC33JHYOeEdgIiEclxPRyh0zOKtlawDltfUay8"",""'Champions'!A:A""),
0
)),
""Outreach Conducted"",
"""")"),"")</f>
        <v/>
      </c>
      <c r="AC593" s="23"/>
      <c r="AD593" s="23"/>
      <c r="AE593" s="23"/>
      <c r="AF593" s="23"/>
      <c r="AG593" s="23"/>
      <c r="AH593" s="23"/>
      <c r="AI593" s="23"/>
      <c r="AJ593" s="23"/>
      <c r="AK593" s="23"/>
      <c r="AL593" s="23"/>
    </row>
    <row r="594" hidden="1">
      <c r="A594" s="32" t="s">
        <v>4881</v>
      </c>
      <c r="B594" s="32" t="s">
        <v>4882</v>
      </c>
      <c r="C594" s="23" t="str">
        <f t="shared" si="1"/>
        <v>Florencia Victoria Lechin</v>
      </c>
      <c r="D594" s="32" t="s">
        <v>4883</v>
      </c>
      <c r="E594" s="32" t="s">
        <v>4884</v>
      </c>
      <c r="F594" s="28" t="s">
        <v>769</v>
      </c>
      <c r="G594" s="32">
        <v>57.0</v>
      </c>
      <c r="H594" s="22">
        <f t="array" ref="H594">IFERROR(INDEX('Hub CPC 226'!A:A, MATCH(C594, 'Hub CPC 226'!B:B, 0)), "")</f>
        <v>661</v>
      </c>
      <c r="I594" s="22">
        <f t="array" ref="I594">IFERROR(INDEX('Hub Users 226'!A:A, MATCH(C594, 'Hub Users 226'!B:B, 0)), "")</f>
        <v>2561</v>
      </c>
      <c r="J594" s="22"/>
      <c r="K594" s="23" t="s">
        <v>4885</v>
      </c>
      <c r="L594" s="37">
        <v>43338.743055555555</v>
      </c>
      <c r="M594" s="28"/>
      <c r="N594" s="28"/>
      <c r="O594" s="28"/>
      <c r="P594" s="31"/>
      <c r="Q594" s="32" t="s">
        <v>4886</v>
      </c>
      <c r="R594" s="31"/>
      <c r="S594" s="22" t="s">
        <v>271</v>
      </c>
      <c r="T594" s="22" t="s">
        <v>272</v>
      </c>
      <c r="U594" s="32" t="s">
        <v>4887</v>
      </c>
      <c r="V594" s="23"/>
      <c r="W594" s="23"/>
      <c r="X594" s="23"/>
      <c r="Y594" s="23"/>
      <c r="Z594" s="23"/>
      <c r="AA594" s="23"/>
      <c r="AB594" s="23" t="str">
        <f>IFERROR(__xludf.DUMMYFUNCTION("IF(
ISNUMBER(MATCH(
C594,
IMPORTRANGE(""https://docs.google.com/spreadsheets/d/1yTh1ELC33JHYOeEdgIiEclxPRyh0zOKtlawDltfUay8"",""'Champions'!A:A""),
0
)),
""Outreach Conducted"",
"""")"),"")</f>
        <v/>
      </c>
      <c r="AC594" s="23"/>
      <c r="AD594" s="23"/>
      <c r="AE594" s="23"/>
      <c r="AF594" s="23"/>
      <c r="AG594" s="23"/>
      <c r="AH594" s="23"/>
      <c r="AI594" s="23"/>
      <c r="AJ594" s="23"/>
      <c r="AK594" s="23"/>
      <c r="AL594" s="23"/>
    </row>
    <row r="595" hidden="1">
      <c r="A595" s="32" t="s">
        <v>4888</v>
      </c>
      <c r="B595" s="32" t="s">
        <v>4889</v>
      </c>
      <c r="C595" s="23" t="str">
        <f t="shared" si="1"/>
        <v>Melisa Bedoya</v>
      </c>
      <c r="D595" s="32">
        <v>9.545607375E9</v>
      </c>
      <c r="E595" s="32" t="s">
        <v>4890</v>
      </c>
      <c r="F595" s="28" t="s">
        <v>769</v>
      </c>
      <c r="G595" s="32">
        <v>43.0</v>
      </c>
      <c r="H595" s="22">
        <f t="array" ref="H595">IFERROR(INDEX('Hub CPC 226'!A:A, MATCH(C595, 'Hub CPC 226'!B:B, 0)), "")</f>
        <v>662</v>
      </c>
      <c r="I595" s="22">
        <f t="array" ref="I595">IFERROR(INDEX('Hub Users 226'!A:A, MATCH(C595, 'Hub Users 226'!B:B, 0)), "")</f>
        <v>2562</v>
      </c>
      <c r="J595" s="22"/>
      <c r="K595" s="23" t="s">
        <v>4891</v>
      </c>
      <c r="L595" s="37">
        <v>43338.743055555555</v>
      </c>
      <c r="M595" s="28">
        <v>12.0</v>
      </c>
      <c r="N595" s="28">
        <v>28.0</v>
      </c>
      <c r="O595" s="28">
        <v>76.0</v>
      </c>
      <c r="P595" s="32">
        <v>5.0</v>
      </c>
      <c r="Q595" s="32" t="s">
        <v>4892</v>
      </c>
      <c r="R595" s="31"/>
      <c r="S595" s="22" t="s">
        <v>271</v>
      </c>
      <c r="T595" s="22" t="s">
        <v>272</v>
      </c>
      <c r="U595" s="32" t="s">
        <v>1083</v>
      </c>
      <c r="V595" s="23"/>
      <c r="W595" s="23"/>
      <c r="X595" s="23"/>
      <c r="Y595" s="23"/>
      <c r="Z595" s="23"/>
      <c r="AA595" s="23"/>
      <c r="AB595" s="23" t="str">
        <f>IFERROR(__xludf.DUMMYFUNCTION("IF(
ISNUMBER(MATCH(
C595,
IMPORTRANGE(""https://docs.google.com/spreadsheets/d/1yTh1ELC33JHYOeEdgIiEclxPRyh0zOKtlawDltfUay8"",""'Champions'!A:A""),
0
)),
""Outreach Conducted"",
"""")"),"")</f>
        <v/>
      </c>
      <c r="AC595" s="23"/>
      <c r="AD595" s="23"/>
      <c r="AE595" s="23"/>
      <c r="AF595" s="23"/>
      <c r="AG595" s="23"/>
      <c r="AH595" s="23"/>
      <c r="AI595" s="23"/>
      <c r="AJ595" s="23"/>
      <c r="AK595" s="23"/>
      <c r="AL595" s="23"/>
    </row>
    <row r="596" hidden="1">
      <c r="A596" s="32" t="s">
        <v>4893</v>
      </c>
      <c r="B596" s="32" t="s">
        <v>4894</v>
      </c>
      <c r="C596" s="23" t="str">
        <f t="shared" si="1"/>
        <v>Brittany Delores White</v>
      </c>
      <c r="D596" s="32">
        <v>5.857524139E9</v>
      </c>
      <c r="E596" s="32" t="s">
        <v>4895</v>
      </c>
      <c r="F596" s="28" t="s">
        <v>769</v>
      </c>
      <c r="G596" s="32">
        <v>37.0</v>
      </c>
      <c r="H596" s="22">
        <f t="array" ref="H596">IFERROR(INDEX('Hub CPC 226'!A:A, MATCH(C596, 'Hub CPC 226'!B:B, 0)), "")</f>
        <v>663</v>
      </c>
      <c r="I596" s="22">
        <f t="array" ref="I596">IFERROR(INDEX('Hub Users 226'!A:A, MATCH(C596, 'Hub Users 226'!B:B, 0)), "")</f>
        <v>2563</v>
      </c>
      <c r="J596" s="22"/>
      <c r="K596" s="23" t="s">
        <v>4896</v>
      </c>
      <c r="L596" s="37">
        <v>43338.743055555555</v>
      </c>
      <c r="M596" s="23"/>
      <c r="N596" s="23"/>
      <c r="O596" s="23"/>
      <c r="P596" s="23"/>
      <c r="Q596" s="32" t="s">
        <v>4897</v>
      </c>
      <c r="R596" s="32" t="s">
        <v>2741</v>
      </c>
      <c r="S596" s="22" t="s">
        <v>2633</v>
      </c>
      <c r="T596" s="22" t="s">
        <v>241</v>
      </c>
      <c r="U596" s="32" t="s">
        <v>4898</v>
      </c>
      <c r="V596" s="23"/>
      <c r="W596" s="23"/>
      <c r="X596" s="23"/>
      <c r="Y596" s="23"/>
      <c r="Z596" s="23"/>
      <c r="AA596" s="23"/>
      <c r="AB596" s="23" t="str">
        <f>IFERROR(__xludf.DUMMYFUNCTION("IF(
ISNUMBER(MATCH(
C596,
IMPORTRANGE(""https://docs.google.com/spreadsheets/d/1yTh1ELC33JHYOeEdgIiEclxPRyh0zOKtlawDltfUay8"",""'Champions'!A:A""),
0
)),
""Outreach Conducted"",
"""")"),"")</f>
        <v/>
      </c>
      <c r="AC596" s="23"/>
      <c r="AD596" s="23"/>
      <c r="AE596" s="23"/>
      <c r="AF596" s="23"/>
      <c r="AG596" s="23"/>
      <c r="AH596" s="23"/>
      <c r="AI596" s="23"/>
      <c r="AJ596" s="23"/>
      <c r="AK596" s="23"/>
      <c r="AL596" s="23"/>
    </row>
    <row r="597" hidden="1">
      <c r="A597" s="32" t="s">
        <v>4899</v>
      </c>
      <c r="B597" s="32" t="s">
        <v>4900</v>
      </c>
      <c r="C597" s="23" t="str">
        <f t="shared" si="1"/>
        <v>Anel Guel</v>
      </c>
      <c r="D597" s="32" t="s">
        <v>4901</v>
      </c>
      <c r="E597" s="32" t="s">
        <v>4902</v>
      </c>
      <c r="F597" s="28" t="s">
        <v>769</v>
      </c>
      <c r="G597" s="32">
        <v>35.0</v>
      </c>
      <c r="H597" s="22">
        <f t="array" ref="H597">IFERROR(INDEX('Hub CPC 226'!A:A, MATCH(C597, 'Hub CPC 226'!B:B, 0)), "")</f>
        <v>664</v>
      </c>
      <c r="I597" s="22">
        <f t="array" ref="I597">IFERROR(INDEX('Hub Users 226'!A:A, MATCH(C597, 'Hub Users 226'!B:B, 0)), "")</f>
        <v>2564</v>
      </c>
      <c r="J597" s="22"/>
      <c r="K597" s="23" t="s">
        <v>4903</v>
      </c>
      <c r="L597" s="37">
        <v>43338.743055555555</v>
      </c>
      <c r="M597" s="23"/>
      <c r="N597" s="23"/>
      <c r="O597" s="23"/>
      <c r="P597" s="23"/>
      <c r="Q597" s="32" t="s">
        <v>4904</v>
      </c>
      <c r="R597" s="31"/>
      <c r="S597" s="22" t="s">
        <v>4905</v>
      </c>
      <c r="T597" s="22" t="s">
        <v>4420</v>
      </c>
      <c r="U597" s="32" t="s">
        <v>4906</v>
      </c>
      <c r="V597" s="23"/>
      <c r="W597" s="23"/>
      <c r="X597" s="23"/>
      <c r="Y597" s="23"/>
      <c r="Z597" s="23"/>
      <c r="AA597" s="23"/>
      <c r="AB597" s="23" t="str">
        <f>IFERROR(__xludf.DUMMYFUNCTION("IF(
ISNUMBER(MATCH(
C597,
IMPORTRANGE(""https://docs.google.com/spreadsheets/d/1yTh1ELC33JHYOeEdgIiEclxPRyh0zOKtlawDltfUay8"",""'Champions'!A:A""),
0
)),
""Outreach Conducted"",
"""")"),"")</f>
        <v/>
      </c>
      <c r="AC597" s="23"/>
      <c r="AD597" s="23"/>
      <c r="AE597" s="23"/>
      <c r="AF597" s="23"/>
      <c r="AG597" s="23"/>
      <c r="AH597" s="23"/>
      <c r="AI597" s="23"/>
      <c r="AJ597" s="23"/>
      <c r="AK597" s="23"/>
      <c r="AL597" s="23"/>
    </row>
    <row r="598" hidden="1">
      <c r="A598" s="32" t="s">
        <v>3108</v>
      </c>
      <c r="B598" s="32" t="s">
        <v>4907</v>
      </c>
      <c r="C598" s="23" t="str">
        <f t="shared" si="1"/>
        <v>Stephanie Elyssa Aines</v>
      </c>
      <c r="D598" s="32" t="s">
        <v>4908</v>
      </c>
      <c r="E598" s="32" t="s">
        <v>4909</v>
      </c>
      <c r="F598" s="28" t="s">
        <v>769</v>
      </c>
      <c r="G598" s="32">
        <v>34.0</v>
      </c>
      <c r="H598" s="22">
        <f t="array" ref="H598">IFERROR(INDEX('Hub CPC 226'!A:A, MATCH(C598, 'Hub CPC 226'!B:B, 0)), "")</f>
        <v>665</v>
      </c>
      <c r="I598" s="22">
        <f t="array" ref="I598">IFERROR(INDEX('Hub Users 226'!A:A, MATCH(C598, 'Hub Users 226'!B:B, 0)), "")</f>
        <v>2565</v>
      </c>
      <c r="J598" s="22"/>
      <c r="K598" s="23" t="s">
        <v>4910</v>
      </c>
      <c r="L598" s="37">
        <v>43338.743055555555</v>
      </c>
      <c r="M598" s="23"/>
      <c r="N598" s="23"/>
      <c r="O598" s="23"/>
      <c r="P598" s="23"/>
      <c r="Q598" s="32" t="s">
        <v>4911</v>
      </c>
      <c r="R598" s="31"/>
      <c r="S598" s="22" t="s">
        <v>4912</v>
      </c>
      <c r="T598" s="22" t="s">
        <v>626</v>
      </c>
      <c r="U598" s="32" t="s">
        <v>4913</v>
      </c>
      <c r="V598" s="23"/>
      <c r="W598" s="23"/>
      <c r="X598" s="23"/>
      <c r="Y598" s="23"/>
      <c r="Z598" s="23"/>
      <c r="AA598" s="23"/>
      <c r="AB598" s="23" t="str">
        <f>IFERROR(__xludf.DUMMYFUNCTION("IF(
ISNUMBER(MATCH(
C598,
IMPORTRANGE(""https://docs.google.com/spreadsheets/d/1yTh1ELC33JHYOeEdgIiEclxPRyh0zOKtlawDltfUay8"",""'Champions'!A:A""),
0
)),
""Outreach Conducted"",
"""")"),"")</f>
        <v/>
      </c>
      <c r="AC598" s="23"/>
      <c r="AD598" s="23"/>
      <c r="AE598" s="23"/>
      <c r="AF598" s="23"/>
      <c r="AG598" s="23"/>
      <c r="AH598" s="23"/>
      <c r="AI598" s="23"/>
      <c r="AJ598" s="23"/>
      <c r="AK598" s="23"/>
      <c r="AL598" s="23"/>
    </row>
    <row r="599" hidden="1">
      <c r="A599" s="32" t="s">
        <v>4914</v>
      </c>
      <c r="B599" s="32" t="s">
        <v>4915</v>
      </c>
      <c r="C599" s="23" t="str">
        <f t="shared" si="1"/>
        <v>Chevon Drew</v>
      </c>
      <c r="D599" s="32">
        <v>9.178581842E9</v>
      </c>
      <c r="E599" s="32" t="s">
        <v>4916</v>
      </c>
      <c r="F599" s="28" t="s">
        <v>769</v>
      </c>
      <c r="G599" s="32">
        <v>21.0</v>
      </c>
      <c r="H599" s="22">
        <f t="array" ref="H599">IFERROR(INDEX('Hub CPC 226'!A:A, MATCH(C599, 'Hub CPC 226'!B:B, 0)), "")</f>
        <v>666</v>
      </c>
      <c r="I599" s="22">
        <f t="array" ref="I599">IFERROR(INDEX('Hub Users 226'!A:A, MATCH(C599, 'Hub Users 226'!B:B, 0)), "")</f>
        <v>2566</v>
      </c>
      <c r="J599" s="22"/>
      <c r="K599" s="23" t="s">
        <v>4917</v>
      </c>
      <c r="L599" s="37">
        <v>43338.743055555555</v>
      </c>
      <c r="M599" s="28">
        <v>10.0</v>
      </c>
      <c r="N599" s="28">
        <v>27.0</v>
      </c>
      <c r="O599" s="28">
        <v>65.0</v>
      </c>
      <c r="P599" s="32">
        <v>1.0</v>
      </c>
      <c r="Q599" s="32" t="s">
        <v>4918</v>
      </c>
      <c r="R599" s="31"/>
      <c r="S599" s="22" t="s">
        <v>271</v>
      </c>
      <c r="T599" s="22" t="s">
        <v>272</v>
      </c>
      <c r="U599" s="32" t="s">
        <v>4919</v>
      </c>
      <c r="V599" s="23"/>
      <c r="W599" s="23"/>
      <c r="X599" s="23"/>
      <c r="Y599" s="23"/>
      <c r="Z599" s="23"/>
      <c r="AA599" s="23"/>
      <c r="AB599" s="23" t="str">
        <f>IFERROR(__xludf.DUMMYFUNCTION("IF(
ISNUMBER(MATCH(
C599,
IMPORTRANGE(""https://docs.google.com/spreadsheets/d/1yTh1ELC33JHYOeEdgIiEclxPRyh0zOKtlawDltfUay8"",""'Champions'!A:A""),
0
)),
""Outreach Conducted"",
"""")"),"")</f>
        <v/>
      </c>
      <c r="AC599" s="23"/>
      <c r="AD599" s="23"/>
      <c r="AE599" s="23"/>
      <c r="AF599" s="23"/>
      <c r="AG599" s="23"/>
      <c r="AH599" s="23"/>
      <c r="AI599" s="23"/>
      <c r="AJ599" s="23"/>
      <c r="AK599" s="23"/>
      <c r="AL599" s="23"/>
    </row>
    <row r="600" hidden="1">
      <c r="A600" s="32" t="s">
        <v>4920</v>
      </c>
      <c r="B600" s="32" t="s">
        <v>4921</v>
      </c>
      <c r="C600" s="23" t="str">
        <f t="shared" si="1"/>
        <v>Nwamaka Genevieve Ejebe</v>
      </c>
      <c r="D600" s="32">
        <v>7.632299737E9</v>
      </c>
      <c r="E600" s="32" t="s">
        <v>4922</v>
      </c>
      <c r="F600" s="28" t="s">
        <v>769</v>
      </c>
      <c r="G600" s="32">
        <v>20.0</v>
      </c>
      <c r="H600" s="22">
        <f t="array" ref="H600">IFERROR(INDEX('Hub CPC 226'!A:A, MATCH(C600, 'Hub CPC 226'!B:B, 0)), "")</f>
        <v>667</v>
      </c>
      <c r="I600" s="22">
        <f t="array" ref="I600">IFERROR(INDEX('Hub Users 226'!A:A, MATCH(C600, 'Hub Users 226'!B:B, 0)), "")</f>
        <v>2567</v>
      </c>
      <c r="J600" s="22"/>
      <c r="K600" s="23" t="s">
        <v>4923</v>
      </c>
      <c r="L600" s="37">
        <v>43338.743055555555</v>
      </c>
      <c r="M600" s="23"/>
      <c r="N600" s="23"/>
      <c r="O600" s="23"/>
      <c r="P600" s="23"/>
      <c r="Q600" s="32" t="s">
        <v>4924</v>
      </c>
      <c r="R600" s="31"/>
      <c r="S600" s="24"/>
      <c r="T600" s="24"/>
      <c r="U600" s="32" t="s">
        <v>4925</v>
      </c>
      <c r="V600" s="26" t="s">
        <v>242</v>
      </c>
      <c r="W600" s="27" t="s">
        <v>4926</v>
      </c>
      <c r="X600" s="26" t="s">
        <v>244</v>
      </c>
      <c r="Y600" s="23"/>
      <c r="Z600" s="23"/>
      <c r="AA600" s="23"/>
      <c r="AB600" s="23" t="str">
        <f>IFERROR(__xludf.DUMMYFUNCTION("IF(
ISNUMBER(MATCH(
C600,
IMPORTRANGE(""https://docs.google.com/spreadsheets/d/1yTh1ELC33JHYOeEdgIiEclxPRyh0zOKtlawDltfUay8"",""'Champions'!A:A""),
0
)),
""Outreach Conducted"",
"""")"),"")</f>
        <v/>
      </c>
      <c r="AC600" s="23"/>
      <c r="AD600" s="23"/>
      <c r="AE600" s="23"/>
      <c r="AF600" s="23"/>
      <c r="AG600" s="23"/>
      <c r="AH600" s="23"/>
      <c r="AI600" s="23"/>
      <c r="AJ600" s="23"/>
      <c r="AK600" s="23"/>
      <c r="AL600" s="23"/>
    </row>
    <row r="601" hidden="1">
      <c r="A601" s="32" t="s">
        <v>4927</v>
      </c>
      <c r="B601" s="32" t="s">
        <v>2647</v>
      </c>
      <c r="C601" s="23" t="str">
        <f t="shared" si="1"/>
        <v>Anitha Pai</v>
      </c>
      <c r="D601" s="32" t="s">
        <v>4928</v>
      </c>
      <c r="E601" s="32" t="s">
        <v>4929</v>
      </c>
      <c r="F601" s="28" t="s">
        <v>769</v>
      </c>
      <c r="G601" s="32">
        <v>17.0</v>
      </c>
      <c r="H601" s="22">
        <f t="array" ref="H601">IFERROR(INDEX('Hub CPC 226'!A:A, MATCH(C601, 'Hub CPC 226'!B:B, 0)), "")</f>
        <v>668</v>
      </c>
      <c r="I601" s="22">
        <f t="array" ref="I601">IFERROR(INDEX('Hub Users 226'!A:A, MATCH(C601, 'Hub Users 226'!B:B, 0)), "")</f>
        <v>2568</v>
      </c>
      <c r="J601" s="22"/>
      <c r="K601" s="23" t="s">
        <v>4930</v>
      </c>
      <c r="L601" s="37">
        <v>43338.743055555555</v>
      </c>
      <c r="M601" s="23"/>
      <c r="N601" s="23"/>
      <c r="O601" s="23"/>
      <c r="P601" s="23"/>
      <c r="Q601" s="32" t="s">
        <v>755</v>
      </c>
      <c r="R601" s="31"/>
      <c r="S601" s="22" t="s">
        <v>692</v>
      </c>
      <c r="T601" s="22" t="s">
        <v>501</v>
      </c>
      <c r="U601" s="32" t="s">
        <v>4931</v>
      </c>
      <c r="V601" s="23"/>
      <c r="W601" s="23"/>
      <c r="X601" s="23"/>
      <c r="Y601" s="23"/>
      <c r="Z601" s="23"/>
      <c r="AA601" s="23"/>
      <c r="AB601" s="23" t="str">
        <f>IFERROR(__xludf.DUMMYFUNCTION("IF(
ISNUMBER(MATCH(
C601,
IMPORTRANGE(""https://docs.google.com/spreadsheets/d/1yTh1ELC33JHYOeEdgIiEclxPRyh0zOKtlawDltfUay8"",""'Champions'!A:A""),
0
)),
""Outreach Conducted"",
"""")"),"")</f>
        <v/>
      </c>
      <c r="AC601" s="23"/>
      <c r="AD601" s="23"/>
      <c r="AE601" s="23"/>
      <c r="AF601" s="23"/>
      <c r="AG601" s="23"/>
      <c r="AH601" s="23"/>
      <c r="AI601" s="23"/>
      <c r="AJ601" s="23"/>
      <c r="AK601" s="23"/>
      <c r="AL601" s="23"/>
    </row>
    <row r="602" hidden="1">
      <c r="A602" s="32" t="s">
        <v>4932</v>
      </c>
      <c r="B602" s="32" t="s">
        <v>4933</v>
      </c>
      <c r="C602" s="23" t="str">
        <f t="shared" si="1"/>
        <v>Teresa Antoinette Meier</v>
      </c>
      <c r="D602" s="32" t="s">
        <v>4934</v>
      </c>
      <c r="E602" s="32" t="s">
        <v>4935</v>
      </c>
      <c r="F602" s="28" t="s">
        <v>769</v>
      </c>
      <c r="G602" s="32">
        <v>14.0</v>
      </c>
      <c r="H602" s="22">
        <f t="array" ref="H602">IFERROR(INDEX('Hub CPC 226'!A:A, MATCH(C602, 'Hub CPC 226'!B:B, 0)), "")</f>
        <v>669</v>
      </c>
      <c r="I602" s="22">
        <f t="array" ref="I602">IFERROR(INDEX('Hub Users 226'!A:A, MATCH(C602, 'Hub Users 226'!B:B, 0)), "")</f>
        <v>2569</v>
      </c>
      <c r="J602" s="22"/>
      <c r="K602" s="23" t="s">
        <v>4936</v>
      </c>
      <c r="L602" s="37">
        <v>43338.743055555555</v>
      </c>
      <c r="M602" s="23"/>
      <c r="N602" s="23"/>
      <c r="O602" s="23"/>
      <c r="P602" s="23"/>
      <c r="Q602" s="32" t="s">
        <v>4937</v>
      </c>
      <c r="R602" s="31"/>
      <c r="S602" s="22" t="s">
        <v>4938</v>
      </c>
      <c r="T602" s="22" t="s">
        <v>2447</v>
      </c>
      <c r="U602" s="32" t="s">
        <v>2863</v>
      </c>
      <c r="V602" s="23"/>
      <c r="W602" s="23"/>
      <c r="X602" s="23"/>
      <c r="Y602" s="23"/>
      <c r="Z602" s="23"/>
      <c r="AA602" s="23"/>
      <c r="AB602" s="23" t="str">
        <f>IFERROR(__xludf.DUMMYFUNCTION("IF(
ISNUMBER(MATCH(
C602,
IMPORTRANGE(""https://docs.google.com/spreadsheets/d/1yTh1ELC33JHYOeEdgIiEclxPRyh0zOKtlawDltfUay8"",""'Champions'!A:A""),
0
)),
""Outreach Conducted"",
"""")"),"")</f>
        <v/>
      </c>
      <c r="AC602" s="23"/>
      <c r="AD602" s="23"/>
      <c r="AE602" s="23"/>
      <c r="AF602" s="23"/>
      <c r="AG602" s="23"/>
      <c r="AH602" s="23"/>
      <c r="AI602" s="23"/>
      <c r="AJ602" s="23"/>
      <c r="AK602" s="23"/>
      <c r="AL602" s="23"/>
    </row>
    <row r="603" hidden="1">
      <c r="A603" s="32" t="s">
        <v>4939</v>
      </c>
      <c r="B603" s="32" t="s">
        <v>4940</v>
      </c>
      <c r="C603" s="23" t="str">
        <f t="shared" si="1"/>
        <v>Nahid Abazarnejad</v>
      </c>
      <c r="D603" s="32">
        <v>4.046734044E9</v>
      </c>
      <c r="E603" s="32" t="s">
        <v>4941</v>
      </c>
      <c r="F603" s="28" t="s">
        <v>769</v>
      </c>
      <c r="G603" s="32">
        <v>13.0</v>
      </c>
      <c r="H603" s="22">
        <f t="array" ref="H603">IFERROR(INDEX('Hub CPC 226'!A:A, MATCH(C603, 'Hub CPC 226'!B:B, 0)), "")</f>
        <v>670</v>
      </c>
      <c r="I603" s="22">
        <f t="array" ref="I603">IFERROR(INDEX('Hub Users 226'!A:A, MATCH(C603, 'Hub Users 226'!B:B, 0)), "")</f>
        <v>2570</v>
      </c>
      <c r="J603" s="22"/>
      <c r="K603" s="23" t="s">
        <v>4942</v>
      </c>
      <c r="L603" s="37">
        <v>43338.743055555555</v>
      </c>
      <c r="M603" s="23"/>
      <c r="N603" s="23"/>
      <c r="O603" s="23"/>
      <c r="P603" s="23"/>
      <c r="Q603" s="32" t="s">
        <v>4943</v>
      </c>
      <c r="R603" s="31"/>
      <c r="S603" s="22" t="s">
        <v>2403</v>
      </c>
      <c r="T603" s="22" t="s">
        <v>3742</v>
      </c>
      <c r="U603" s="32" t="s">
        <v>4944</v>
      </c>
      <c r="V603" s="23"/>
      <c r="W603" s="23"/>
      <c r="X603" s="23"/>
      <c r="Y603" s="23"/>
      <c r="Z603" s="23"/>
      <c r="AA603" s="23"/>
      <c r="AB603" s="23" t="str">
        <f>IFERROR(__xludf.DUMMYFUNCTION("IF(
ISNUMBER(MATCH(
C603,
IMPORTRANGE(""https://docs.google.com/spreadsheets/d/1yTh1ELC33JHYOeEdgIiEclxPRyh0zOKtlawDltfUay8"",""'Champions'!A:A""),
0
)),
""Outreach Conducted"",
"""")"),"")</f>
        <v/>
      </c>
      <c r="AC603" s="23"/>
      <c r="AD603" s="23"/>
      <c r="AE603" s="23"/>
      <c r="AF603" s="23"/>
      <c r="AG603" s="23"/>
      <c r="AH603" s="23"/>
      <c r="AI603" s="23"/>
      <c r="AJ603" s="23"/>
      <c r="AK603" s="23"/>
      <c r="AL603" s="23"/>
    </row>
    <row r="604" hidden="1">
      <c r="A604" s="32" t="s">
        <v>422</v>
      </c>
      <c r="B604" s="32" t="s">
        <v>4945</v>
      </c>
      <c r="C604" s="23" t="str">
        <f t="shared" si="1"/>
        <v>Andrea Schiralli</v>
      </c>
      <c r="D604" s="32" t="s">
        <v>4946</v>
      </c>
      <c r="E604" s="32" t="s">
        <v>4947</v>
      </c>
      <c r="F604" s="28" t="s">
        <v>769</v>
      </c>
      <c r="G604" s="32">
        <v>12.0</v>
      </c>
      <c r="H604" s="22">
        <f t="array" ref="H604">IFERROR(INDEX('Hub CPC 226'!A:A, MATCH(C604, 'Hub CPC 226'!B:B, 0)), "")</f>
        <v>671</v>
      </c>
      <c r="I604" s="22">
        <f t="array" ref="I604">IFERROR(INDEX('Hub Users 226'!A:A, MATCH(C604, 'Hub Users 226'!B:B, 0)), "")</f>
        <v>2571</v>
      </c>
      <c r="J604" s="22"/>
      <c r="K604" s="23" t="s">
        <v>4948</v>
      </c>
      <c r="L604" s="37">
        <v>43338.743055555555</v>
      </c>
      <c r="M604" s="28">
        <v>1.0</v>
      </c>
      <c r="N604" s="28">
        <v>2.0</v>
      </c>
      <c r="O604" s="28">
        <v>10.0</v>
      </c>
      <c r="P604" s="31"/>
      <c r="Q604" s="32" t="s">
        <v>4949</v>
      </c>
      <c r="R604" s="32" t="s">
        <v>4950</v>
      </c>
      <c r="S604" s="22" t="s">
        <v>4951</v>
      </c>
      <c r="T604" s="22" t="s">
        <v>272</v>
      </c>
      <c r="U604" s="32" t="s">
        <v>4952</v>
      </c>
      <c r="V604" s="23"/>
      <c r="W604" s="23"/>
      <c r="X604" s="23"/>
      <c r="Y604" s="23"/>
      <c r="Z604" s="23"/>
      <c r="AA604" s="23"/>
      <c r="AB604" s="23" t="str">
        <f>IFERROR(__xludf.DUMMYFUNCTION("IF(
ISNUMBER(MATCH(
C604,
IMPORTRANGE(""https://docs.google.com/spreadsheets/d/1yTh1ELC33JHYOeEdgIiEclxPRyh0zOKtlawDltfUay8"",""'Champions'!A:A""),
0
)),
""Outreach Conducted"",
"""")"),"")</f>
        <v/>
      </c>
      <c r="AC604" s="23"/>
      <c r="AD604" s="23"/>
      <c r="AE604" s="23"/>
      <c r="AF604" s="23"/>
      <c r="AG604" s="23"/>
      <c r="AH604" s="23"/>
      <c r="AI604" s="23"/>
      <c r="AJ604" s="23"/>
      <c r="AK604" s="23"/>
      <c r="AL604" s="23"/>
    </row>
    <row r="605" hidden="1">
      <c r="A605" s="22" t="s">
        <v>3019</v>
      </c>
      <c r="B605" s="22" t="s">
        <v>4953</v>
      </c>
      <c r="C605" s="23" t="str">
        <f t="shared" si="1"/>
        <v>Saima Malik (D)</v>
      </c>
      <c r="D605" s="22">
        <v>1.2023021216E10</v>
      </c>
      <c r="E605" s="29" t="s">
        <v>3021</v>
      </c>
      <c r="F605" s="22" t="s">
        <v>30</v>
      </c>
      <c r="G605" s="22">
        <v>702.0</v>
      </c>
      <c r="H605" s="22" t="str">
        <f t="array" ref="H605">IFERROR(INDEX('Hub CPC 226'!A:A, MATCH(C605, 'Hub CPC 226'!B:B, 0)), "")</f>
        <v/>
      </c>
      <c r="I605" s="22" t="str">
        <f t="array" ref="I605">IFERROR(INDEX('Hub Users 226'!A:A, MATCH(C605, 'Hub Users 226'!B:B, 0)), "")</f>
        <v/>
      </c>
      <c r="J605" s="22"/>
      <c r="K605" s="23" t="s">
        <v>4954</v>
      </c>
      <c r="L605" s="25">
        <v>44985.425</v>
      </c>
      <c r="M605" s="23"/>
      <c r="N605" s="23"/>
      <c r="O605" s="23"/>
      <c r="P605" s="23"/>
      <c r="Q605" s="22" t="s">
        <v>3023</v>
      </c>
      <c r="R605" s="22" t="s">
        <v>831</v>
      </c>
      <c r="S605" s="22" t="s">
        <v>3024</v>
      </c>
      <c r="T605" s="22" t="s">
        <v>833</v>
      </c>
      <c r="U605" s="22" t="s">
        <v>3025</v>
      </c>
      <c r="V605" s="26" t="s">
        <v>3026</v>
      </c>
      <c r="W605" s="27" t="s">
        <v>4955</v>
      </c>
      <c r="X605" s="26" t="s">
        <v>668</v>
      </c>
      <c r="Y605" s="23"/>
      <c r="Z605" s="28"/>
      <c r="AA605" s="23"/>
      <c r="AB605" s="23" t="str">
        <f>IFERROR(__xludf.DUMMYFUNCTION("IF(
ISNUMBER(MATCH(
C605,
IMPORTRANGE(""https://docs.google.com/spreadsheets/d/1yTh1ELC33JHYOeEdgIiEclxPRyh0zOKtlawDltfUay8"",""'Champions'!A:A""),
0
)),
""Outreach Conducted"",
"""")"),"")</f>
        <v/>
      </c>
      <c r="AC605" s="23"/>
      <c r="AD605" s="23"/>
      <c r="AE605" s="23"/>
      <c r="AF605" s="23"/>
      <c r="AG605" s="23"/>
      <c r="AH605" s="23"/>
      <c r="AI605" s="23"/>
      <c r="AJ605" s="23"/>
      <c r="AK605" s="23"/>
      <c r="AL605" s="23"/>
    </row>
    <row r="606" hidden="1">
      <c r="A606" s="22" t="s">
        <v>3487</v>
      </c>
      <c r="B606" s="22" t="s">
        <v>4956</v>
      </c>
      <c r="C606" s="23" t="str">
        <f t="shared" si="1"/>
        <v>Vicki Teman (D)</v>
      </c>
      <c r="D606" s="22">
        <v>9.179748253E9</v>
      </c>
      <c r="E606" s="29" t="s">
        <v>3496</v>
      </c>
      <c r="F606" s="22" t="s">
        <v>30</v>
      </c>
      <c r="G606" s="22">
        <v>695.0</v>
      </c>
      <c r="H606" s="22" t="str">
        <f t="array" ref="H606">IFERROR(INDEX('Hub CPC 226'!A:A, MATCH(C606, 'Hub CPC 226'!B:B, 0)), "")</f>
        <v/>
      </c>
      <c r="I606" s="22" t="str">
        <f t="array" ref="I606">IFERROR(INDEX('Hub Users 226'!A:A, MATCH(C606, 'Hub Users 226'!B:B, 0)), "")</f>
        <v/>
      </c>
      <c r="J606" s="22"/>
      <c r="K606" s="23" t="s">
        <v>4957</v>
      </c>
      <c r="L606" s="25">
        <v>44960.425</v>
      </c>
      <c r="M606" s="28">
        <v>12.0</v>
      </c>
      <c r="N606" s="28">
        <v>28.0</v>
      </c>
      <c r="O606" s="28">
        <v>73.0</v>
      </c>
      <c r="P606" s="32">
        <v>5.0</v>
      </c>
      <c r="Q606" s="22" t="s">
        <v>3498</v>
      </c>
      <c r="R606" s="22" t="s">
        <v>271</v>
      </c>
      <c r="S606" s="22" t="s">
        <v>271</v>
      </c>
      <c r="T606" s="22" t="s">
        <v>272</v>
      </c>
      <c r="U606" s="22" t="s">
        <v>2031</v>
      </c>
      <c r="V606" s="23"/>
      <c r="W606" s="23"/>
      <c r="X606" s="23"/>
      <c r="Y606" s="23"/>
      <c r="Z606" s="28"/>
      <c r="AA606" s="23"/>
      <c r="AB606" s="23" t="str">
        <f>IFERROR(__xludf.DUMMYFUNCTION("IF(
ISNUMBER(MATCH(
C606,
IMPORTRANGE(""https://docs.google.com/spreadsheets/d/1yTh1ELC33JHYOeEdgIiEclxPRyh0zOKtlawDltfUay8"",""'Champions'!A:A""),
0
)),
""Outreach Conducted"",
"""")"),"")</f>
        <v/>
      </c>
      <c r="AC606" s="23"/>
      <c r="AD606" s="23"/>
      <c r="AE606" s="23"/>
      <c r="AF606" s="23"/>
      <c r="AG606" s="23"/>
      <c r="AH606" s="23"/>
      <c r="AI606" s="23"/>
      <c r="AJ606" s="23"/>
      <c r="AK606" s="23"/>
      <c r="AL606" s="23"/>
    </row>
    <row r="607" hidden="1">
      <c r="A607" s="22" t="s">
        <v>992</v>
      </c>
      <c r="B607" s="22" t="s">
        <v>4958</v>
      </c>
      <c r="C607" s="23" t="str">
        <f t="shared" si="1"/>
        <v>Carmen Maldonado-Bowling (D)</v>
      </c>
      <c r="D607" s="22">
        <v>1.9379749913E10</v>
      </c>
      <c r="E607" s="29" t="s">
        <v>994</v>
      </c>
      <c r="F607" s="22" t="s">
        <v>30</v>
      </c>
      <c r="G607" s="22">
        <v>694.0</v>
      </c>
      <c r="H607" s="22" t="str">
        <f t="array" ref="H607">IFERROR(INDEX('Hub CPC 226'!A:A, MATCH(C607, 'Hub CPC 226'!B:B, 0)), "")</f>
        <v/>
      </c>
      <c r="I607" s="22" t="str">
        <f t="array" ref="I607">IFERROR(INDEX('Hub Users 226'!A:A, MATCH(C607, 'Hub Users 226'!B:B, 0)), "")</f>
        <v/>
      </c>
      <c r="J607" s="22"/>
      <c r="K607" s="23" t="s">
        <v>4959</v>
      </c>
      <c r="L607" s="25">
        <v>44959.65833333333</v>
      </c>
      <c r="M607" s="23"/>
      <c r="N607" s="23"/>
      <c r="O607" s="23"/>
      <c r="P607" s="23"/>
      <c r="Q607" s="22" t="s">
        <v>996</v>
      </c>
      <c r="R607" s="22" t="s">
        <v>4960</v>
      </c>
      <c r="S607" s="22" t="s">
        <v>4961</v>
      </c>
      <c r="T607" s="22" t="s">
        <v>3688</v>
      </c>
      <c r="U607" s="22" t="s">
        <v>4962</v>
      </c>
      <c r="V607" s="26" t="s">
        <v>1383</v>
      </c>
      <c r="W607" s="23"/>
      <c r="X607" s="26" t="s">
        <v>1085</v>
      </c>
      <c r="Y607" s="23"/>
      <c r="Z607" s="28"/>
      <c r="AA607" s="23"/>
      <c r="AB607" s="23" t="str">
        <f>IFERROR(__xludf.DUMMYFUNCTION("IF(
ISNUMBER(MATCH(
C607,
IMPORTRANGE(""https://docs.google.com/spreadsheets/d/1yTh1ELC33JHYOeEdgIiEclxPRyh0zOKtlawDltfUay8"",""'Champions'!A:A""),
0
)),
""Outreach Conducted"",
"""")"),"")</f>
        <v/>
      </c>
      <c r="AC607" s="23"/>
      <c r="AD607" s="23"/>
      <c r="AE607" s="23"/>
      <c r="AF607" s="23"/>
      <c r="AG607" s="23"/>
      <c r="AH607" s="23"/>
      <c r="AI607" s="23"/>
      <c r="AJ607" s="23"/>
      <c r="AK607" s="23"/>
      <c r="AL607" s="23"/>
    </row>
    <row r="608" hidden="1">
      <c r="A608" s="22" t="s">
        <v>3095</v>
      </c>
      <c r="B608" s="22" t="s">
        <v>4963</v>
      </c>
      <c r="C608" s="23" t="str">
        <f t="shared" si="1"/>
        <v>Sharon Shi (D)</v>
      </c>
      <c r="D608" s="22">
        <v>1.4156963054E10</v>
      </c>
      <c r="E608" s="29" t="s">
        <v>3124</v>
      </c>
      <c r="F608" s="22" t="s">
        <v>30</v>
      </c>
      <c r="G608" s="22">
        <v>693.0</v>
      </c>
      <c r="H608" s="22" t="str">
        <f t="array" ref="H608">IFERROR(INDEX('Hub CPC 226'!A:A, MATCH(C608, 'Hub CPC 226'!B:B, 0)), "")</f>
        <v/>
      </c>
      <c r="I608" s="22" t="str">
        <f t="array" ref="I608">IFERROR(INDEX('Hub Users 226'!A:A, MATCH(C608, 'Hub Users 226'!B:B, 0)), "")</f>
        <v/>
      </c>
      <c r="J608" s="22"/>
      <c r="K608" s="23" t="s">
        <v>4964</v>
      </c>
      <c r="L608" s="25">
        <v>44958.68819444445</v>
      </c>
      <c r="M608" s="23"/>
      <c r="N608" s="23"/>
      <c r="O608" s="23"/>
      <c r="P608" s="23"/>
      <c r="Q608" s="22" t="s">
        <v>4965</v>
      </c>
      <c r="R608" s="22" t="s">
        <v>755</v>
      </c>
      <c r="S608" s="22" t="s">
        <v>692</v>
      </c>
      <c r="T608" s="22" t="s">
        <v>501</v>
      </c>
      <c r="U608" s="22" t="s">
        <v>3127</v>
      </c>
      <c r="V608" s="23"/>
      <c r="W608" s="23"/>
      <c r="X608" s="23"/>
      <c r="Y608" s="23"/>
      <c r="Z608" s="28"/>
      <c r="AA608" s="23"/>
      <c r="AB608" s="23" t="str">
        <f>IFERROR(__xludf.DUMMYFUNCTION("IF(
ISNUMBER(MATCH(
C608,
IMPORTRANGE(""https://docs.google.com/spreadsheets/d/1yTh1ELC33JHYOeEdgIiEclxPRyh0zOKtlawDltfUay8"",""'Champions'!A:A""),
0
)),
""Outreach Conducted"",
"""")"),"")</f>
        <v/>
      </c>
      <c r="AC608" s="23"/>
      <c r="AD608" s="23"/>
      <c r="AE608" s="23"/>
      <c r="AF608" s="23"/>
      <c r="AG608" s="23"/>
      <c r="AH608" s="23"/>
      <c r="AI608" s="23"/>
      <c r="AJ608" s="23"/>
      <c r="AK608" s="23"/>
      <c r="AL608" s="23"/>
    </row>
    <row r="609" hidden="1">
      <c r="A609" s="22" t="s">
        <v>3535</v>
      </c>
      <c r="B609" s="22" t="s">
        <v>4966</v>
      </c>
      <c r="C609" s="23" t="str">
        <f t="shared" si="1"/>
        <v>Prasanna Vijayanathan (D)</v>
      </c>
      <c r="D609" s="22">
        <v>1.2149343151E10</v>
      </c>
      <c r="E609" s="29" t="s">
        <v>3537</v>
      </c>
      <c r="F609" s="22" t="s">
        <v>30</v>
      </c>
      <c r="G609" s="22">
        <v>685.0</v>
      </c>
      <c r="H609" s="22" t="str">
        <f t="array" ref="H609">IFERROR(INDEX('Hub CPC 226'!A:A, MATCH(C609, 'Hub CPC 226'!B:B, 0)), "")</f>
        <v/>
      </c>
      <c r="I609" s="22" t="str">
        <f t="array" ref="I609">IFERROR(INDEX('Hub Users 226'!A:A, MATCH(C609, 'Hub Users 226'!B:B, 0)), "")</f>
        <v/>
      </c>
      <c r="J609" s="22"/>
      <c r="K609" s="23" t="s">
        <v>4967</v>
      </c>
      <c r="L609" s="25">
        <v>44900.419444444444</v>
      </c>
      <c r="M609" s="23"/>
      <c r="N609" s="23"/>
      <c r="O609" s="23"/>
      <c r="P609" s="23"/>
      <c r="Q609" s="22" t="s">
        <v>3539</v>
      </c>
      <c r="R609" s="22" t="s">
        <v>3540</v>
      </c>
      <c r="S609" s="22" t="s">
        <v>3541</v>
      </c>
      <c r="T609" s="22" t="s">
        <v>252</v>
      </c>
      <c r="U609" s="22" t="s">
        <v>1475</v>
      </c>
      <c r="V609" s="23"/>
      <c r="W609" s="23"/>
      <c r="X609" s="23"/>
      <c r="Y609" s="23"/>
      <c r="Z609" s="28"/>
      <c r="AA609" s="23"/>
      <c r="AB609" s="23" t="str">
        <f>IFERROR(__xludf.DUMMYFUNCTION("IF(
ISNUMBER(MATCH(
C609,
IMPORTRANGE(""https://docs.google.com/spreadsheets/d/1yTh1ELC33JHYOeEdgIiEclxPRyh0zOKtlawDltfUay8"",""'Champions'!A:A""),
0
)),
""Outreach Conducted"",
"""")"),"")</f>
        <v/>
      </c>
      <c r="AC609" s="23"/>
      <c r="AD609" s="23"/>
      <c r="AE609" s="23"/>
      <c r="AF609" s="23"/>
      <c r="AG609" s="23"/>
      <c r="AH609" s="23"/>
      <c r="AI609" s="23"/>
      <c r="AJ609" s="23"/>
      <c r="AK609" s="23"/>
      <c r="AL609" s="23"/>
    </row>
    <row r="610" hidden="1">
      <c r="A610" s="22" t="s">
        <v>4968</v>
      </c>
      <c r="B610" s="22" t="s">
        <v>1078</v>
      </c>
      <c r="C610" s="23" t="str">
        <f t="shared" si="1"/>
        <v>Daniel Lee</v>
      </c>
      <c r="D610" s="22">
        <v>6.463005801E9</v>
      </c>
      <c r="E610" s="29" t="s">
        <v>4969</v>
      </c>
      <c r="F610" s="22" t="s">
        <v>248</v>
      </c>
      <c r="G610" s="22">
        <v>641.0</v>
      </c>
      <c r="H610" s="22" t="str">
        <f t="array" ref="H610">IFERROR(INDEX('Hub CPC 226'!A:A, MATCH(C610, 'Hub CPC 226'!B:B, 0)), "")</f>
        <v/>
      </c>
      <c r="I610" s="22" t="str">
        <f t="array" ref="I610">IFERROR(INDEX('Hub Users 226'!A:A, MATCH(C610, 'Hub Users 226'!B:B, 0)), "")</f>
        <v/>
      </c>
      <c r="J610" s="22" t="s">
        <v>240</v>
      </c>
      <c r="K610" s="23" t="s">
        <v>240</v>
      </c>
      <c r="L610" s="25">
        <v>44678.561111111114</v>
      </c>
      <c r="M610" s="28"/>
      <c r="N610" s="28"/>
      <c r="O610" s="28"/>
      <c r="P610" s="31"/>
      <c r="Q610" s="31"/>
      <c r="R610" s="22" t="s">
        <v>1172</v>
      </c>
      <c r="S610" s="22" t="s">
        <v>1173</v>
      </c>
      <c r="T610" s="22" t="s">
        <v>272</v>
      </c>
      <c r="U610" s="24"/>
      <c r="V610" s="26" t="s">
        <v>274</v>
      </c>
      <c r="W610" s="23"/>
      <c r="X610" s="26" t="s">
        <v>4970</v>
      </c>
      <c r="Y610" s="23"/>
      <c r="Z610" s="28"/>
      <c r="AA610" s="23"/>
      <c r="AB610" s="23" t="str">
        <f>IFERROR(__xludf.DUMMYFUNCTION("IF(
ISNUMBER(MATCH(
C610,
IMPORTRANGE(""https://docs.google.com/spreadsheets/d/1yTh1ELC33JHYOeEdgIiEclxPRyh0zOKtlawDltfUay8"",""'Champions'!A:A""),
0
)),
""Outreach Conducted"",
"""")"),"")</f>
        <v/>
      </c>
      <c r="AC610" s="23"/>
      <c r="AD610" s="23"/>
      <c r="AE610" s="23"/>
      <c r="AF610" s="23"/>
      <c r="AG610" s="23"/>
      <c r="AH610" s="23"/>
      <c r="AI610" s="23"/>
      <c r="AJ610" s="23"/>
      <c r="AK610" s="23"/>
      <c r="AL610" s="23"/>
    </row>
    <row r="611" hidden="1">
      <c r="A611" s="22" t="s">
        <v>1241</v>
      </c>
      <c r="B611" s="22" t="s">
        <v>4971</v>
      </c>
      <c r="C611" s="23" t="str">
        <f t="shared" si="1"/>
        <v>Elise George (D)</v>
      </c>
      <c r="D611" s="22">
        <v>1.9513103582E10</v>
      </c>
      <c r="E611" s="29" t="s">
        <v>1243</v>
      </c>
      <c r="F611" s="22" t="s">
        <v>30</v>
      </c>
      <c r="G611" s="22">
        <v>618.0</v>
      </c>
      <c r="H611" s="22" t="str">
        <f t="array" ref="H611">IFERROR(INDEX('Hub CPC 226'!A:A, MATCH(C611, 'Hub CPC 226'!B:B, 0)), "")</f>
        <v/>
      </c>
      <c r="I611" s="22" t="str">
        <f t="array" ref="I611">IFERROR(INDEX('Hub Users 226'!A:A, MATCH(C611, 'Hub Users 226'!B:B, 0)), "")</f>
        <v/>
      </c>
      <c r="J611" s="22"/>
      <c r="K611" s="23" t="s">
        <v>4972</v>
      </c>
      <c r="L611" s="25">
        <v>44593.55486111111</v>
      </c>
      <c r="M611" s="23"/>
      <c r="N611" s="23"/>
      <c r="O611" s="23"/>
      <c r="P611" s="23"/>
      <c r="Q611" s="22" t="s">
        <v>1245</v>
      </c>
      <c r="R611" s="22" t="s">
        <v>1246</v>
      </c>
      <c r="S611" s="22" t="s">
        <v>1247</v>
      </c>
      <c r="T611" s="22" t="s">
        <v>252</v>
      </c>
      <c r="U611" s="22" t="s">
        <v>1248</v>
      </c>
      <c r="V611" s="23"/>
      <c r="W611" s="23"/>
      <c r="X611" s="23"/>
      <c r="Y611" s="23"/>
      <c r="Z611" s="28"/>
      <c r="AA611" s="23"/>
      <c r="AB611" s="23" t="str">
        <f>IFERROR(__xludf.DUMMYFUNCTION("IF(
ISNUMBER(MATCH(
C611,
IMPORTRANGE(""https://docs.google.com/spreadsheets/d/1yTh1ELC33JHYOeEdgIiEclxPRyh0zOKtlawDltfUay8"",""'Champions'!A:A""),
0
)),
""Outreach Conducted"",
"""")"),"")</f>
        <v/>
      </c>
      <c r="AC611" s="23"/>
      <c r="AD611" s="23"/>
      <c r="AE611" s="23"/>
      <c r="AF611" s="23"/>
      <c r="AG611" s="23"/>
      <c r="AH611" s="23"/>
      <c r="AI611" s="23"/>
      <c r="AJ611" s="23"/>
      <c r="AK611" s="23"/>
      <c r="AL611" s="23"/>
    </row>
    <row r="612" hidden="1">
      <c r="A612" s="22" t="s">
        <v>1086</v>
      </c>
      <c r="B612" s="22" t="s">
        <v>4973</v>
      </c>
      <c r="C612" s="23" t="str">
        <f t="shared" si="1"/>
        <v>Debaleena Majumdar (D)</v>
      </c>
      <c r="D612" s="22">
        <v>1.765337833E10</v>
      </c>
      <c r="E612" s="29" t="s">
        <v>4974</v>
      </c>
      <c r="F612" s="22" t="s">
        <v>30</v>
      </c>
      <c r="G612" s="22">
        <v>614.0</v>
      </c>
      <c r="H612" s="22" t="str">
        <f t="array" ref="H612">IFERROR(INDEX('Hub CPC 226'!A:A, MATCH(C612, 'Hub CPC 226'!B:B, 0)), "")</f>
        <v/>
      </c>
      <c r="I612" s="22" t="str">
        <f t="array" ref="I612">IFERROR(INDEX('Hub Users 226'!A:A, MATCH(C612, 'Hub Users 226'!B:B, 0)), "")</f>
        <v/>
      </c>
      <c r="J612" s="22"/>
      <c r="K612" s="23" t="s">
        <v>4975</v>
      </c>
      <c r="L612" s="25">
        <v>44587.597916666666</v>
      </c>
      <c r="M612" s="23"/>
      <c r="N612" s="23"/>
      <c r="O612" s="23"/>
      <c r="P612" s="23"/>
      <c r="Q612" s="22" t="s">
        <v>1090</v>
      </c>
      <c r="R612" s="22" t="s">
        <v>1091</v>
      </c>
      <c r="S612" s="22" t="s">
        <v>1092</v>
      </c>
      <c r="T612" s="22" t="s">
        <v>841</v>
      </c>
      <c r="U612" s="22" t="s">
        <v>853</v>
      </c>
      <c r="V612" s="23"/>
      <c r="W612" s="23"/>
      <c r="X612" s="23"/>
      <c r="Y612" s="23"/>
      <c r="Z612" s="28"/>
      <c r="AA612" s="23"/>
      <c r="AB612" s="23" t="str">
        <f>IFERROR(__xludf.DUMMYFUNCTION("IF(
ISNUMBER(MATCH(
C612,
IMPORTRANGE(""https://docs.google.com/spreadsheets/d/1yTh1ELC33JHYOeEdgIiEclxPRyh0zOKtlawDltfUay8"",""'Champions'!A:A""),
0
)),
""Outreach Conducted"",
"""")"),"")</f>
        <v/>
      </c>
      <c r="AC612" s="23"/>
      <c r="AD612" s="23"/>
      <c r="AE612" s="23"/>
      <c r="AF612" s="23"/>
      <c r="AG612" s="23"/>
      <c r="AH612" s="23"/>
      <c r="AI612" s="23"/>
      <c r="AJ612" s="23"/>
      <c r="AK612" s="23"/>
      <c r="AL612" s="23"/>
    </row>
    <row r="613" hidden="1">
      <c r="A613" s="22" t="s">
        <v>718</v>
      </c>
      <c r="B613" s="22" t="s">
        <v>4976</v>
      </c>
      <c r="C613" s="23" t="str">
        <f t="shared" si="1"/>
        <v>Bindu Krishna (D)</v>
      </c>
      <c r="D613" s="22">
        <v>1.9177150901E10</v>
      </c>
      <c r="E613" s="29" t="s">
        <v>720</v>
      </c>
      <c r="F613" s="22" t="s">
        <v>30</v>
      </c>
      <c r="G613" s="22">
        <v>610.0</v>
      </c>
      <c r="H613" s="22" t="str">
        <f t="array" ref="H613">IFERROR(INDEX('Hub CPC 226'!A:A, MATCH(C613, 'Hub CPC 226'!B:B, 0)), "")</f>
        <v/>
      </c>
      <c r="I613" s="22" t="str">
        <f t="array" ref="I613">IFERROR(INDEX('Hub Users 226'!A:A, MATCH(C613, 'Hub Users 226'!B:B, 0)), "")</f>
        <v/>
      </c>
      <c r="J613" s="22"/>
      <c r="K613" s="23" t="s">
        <v>4977</v>
      </c>
      <c r="L613" s="25">
        <v>44585.8</v>
      </c>
      <c r="M613" s="23"/>
      <c r="N613" s="23"/>
      <c r="O613" s="23"/>
      <c r="P613" s="23"/>
      <c r="Q613" s="22" t="s">
        <v>722</v>
      </c>
      <c r="R613" s="22" t="s">
        <v>723</v>
      </c>
      <c r="S613" s="22" t="s">
        <v>473</v>
      </c>
      <c r="T613" s="22" t="s">
        <v>252</v>
      </c>
      <c r="U613" s="22" t="s">
        <v>724</v>
      </c>
      <c r="V613" s="26" t="s">
        <v>725</v>
      </c>
      <c r="W613" s="27" t="s">
        <v>4978</v>
      </c>
      <c r="X613" s="26" t="s">
        <v>727</v>
      </c>
      <c r="Y613" s="23"/>
      <c r="Z613" s="28"/>
      <c r="AA613" s="23"/>
      <c r="AB613" s="23" t="str">
        <f>IFERROR(__xludf.DUMMYFUNCTION("IF(
ISNUMBER(MATCH(
C613,
IMPORTRANGE(""https://docs.google.com/spreadsheets/d/1yTh1ELC33JHYOeEdgIiEclxPRyh0zOKtlawDltfUay8"",""'Champions'!A:A""),
0
)),
""Outreach Conducted"",
"""")"),"")</f>
        <v/>
      </c>
      <c r="AC613" s="23"/>
      <c r="AD613" s="23"/>
      <c r="AE613" s="23"/>
      <c r="AF613" s="23"/>
      <c r="AG613" s="23"/>
      <c r="AH613" s="23"/>
      <c r="AI613" s="23"/>
      <c r="AJ613" s="23"/>
      <c r="AK613" s="23"/>
      <c r="AL613" s="23"/>
    </row>
    <row r="614" hidden="1">
      <c r="A614" s="22" t="s">
        <v>2554</v>
      </c>
      <c r="B614" s="22" t="s">
        <v>4979</v>
      </c>
      <c r="C614" s="23" t="str">
        <f t="shared" si="1"/>
        <v>Natsumi Komatani (D)</v>
      </c>
      <c r="D614" s="22" t="s">
        <v>2556</v>
      </c>
      <c r="E614" s="29" t="s">
        <v>2557</v>
      </c>
      <c r="F614" s="22" t="s">
        <v>30</v>
      </c>
      <c r="G614" s="22">
        <v>605.0</v>
      </c>
      <c r="H614" s="22" t="str">
        <f t="array" ref="H614">IFERROR(INDEX('Hub CPC 226'!A:A, MATCH(C614, 'Hub CPC 226'!B:B, 0)), "")</f>
        <v/>
      </c>
      <c r="I614" s="22" t="str">
        <f t="array" ref="I614">IFERROR(INDEX('Hub Users 226'!A:A, MATCH(C614, 'Hub Users 226'!B:B, 0)), "")</f>
        <v/>
      </c>
      <c r="J614" s="22"/>
      <c r="K614" s="23" t="s">
        <v>4980</v>
      </c>
      <c r="L614" s="25">
        <v>44582.82430555556</v>
      </c>
      <c r="M614" s="23"/>
      <c r="N614" s="23"/>
      <c r="O614" s="23"/>
      <c r="P614" s="23"/>
      <c r="Q614" s="22" t="s">
        <v>2559</v>
      </c>
      <c r="R614" s="22" t="s">
        <v>2560</v>
      </c>
      <c r="S614" s="22" t="s">
        <v>282</v>
      </c>
      <c r="T614" s="22" t="s">
        <v>252</v>
      </c>
      <c r="U614" s="22" t="s">
        <v>2561</v>
      </c>
      <c r="V614" s="23"/>
      <c r="W614" s="23"/>
      <c r="X614" s="23"/>
      <c r="Y614" s="23"/>
      <c r="Z614" s="28"/>
      <c r="AA614" s="23"/>
      <c r="AB614" s="23" t="str">
        <f>IFERROR(__xludf.DUMMYFUNCTION("IF(
ISNUMBER(MATCH(
C614,
IMPORTRANGE(""https://docs.google.com/spreadsheets/d/1yTh1ELC33JHYOeEdgIiEclxPRyh0zOKtlawDltfUay8"",""'Champions'!A:A""),
0
)),
""Outreach Conducted"",
"""")"),"")</f>
        <v/>
      </c>
      <c r="AC614" s="23"/>
      <c r="AD614" s="23"/>
      <c r="AE614" s="23"/>
      <c r="AF614" s="23"/>
      <c r="AG614" s="23"/>
      <c r="AH614" s="23"/>
      <c r="AI614" s="23"/>
      <c r="AJ614" s="23"/>
      <c r="AK614" s="23"/>
      <c r="AL614" s="23"/>
    </row>
    <row r="615" hidden="1">
      <c r="A615" s="22" t="s">
        <v>1652</v>
      </c>
      <c r="B615" s="22" t="s">
        <v>4981</v>
      </c>
      <c r="C615" s="23" t="str">
        <f t="shared" si="1"/>
        <v>Jannet Figueroa Gallardo (D)</v>
      </c>
      <c r="D615" s="22" t="s">
        <v>4982</v>
      </c>
      <c r="E615" s="29" t="s">
        <v>1655</v>
      </c>
      <c r="F615" s="22" t="s">
        <v>30</v>
      </c>
      <c r="G615" s="22">
        <v>603.0</v>
      </c>
      <c r="H615" s="22" t="str">
        <f t="array" ref="H615">IFERROR(INDEX('Hub CPC 226'!A:A, MATCH(C615, 'Hub CPC 226'!B:B, 0)), "")</f>
        <v/>
      </c>
      <c r="I615" s="22" t="str">
        <f t="array" ref="I615">IFERROR(INDEX('Hub Users 226'!A:A, MATCH(C615, 'Hub Users 226'!B:B, 0)), "")</f>
        <v/>
      </c>
      <c r="J615" s="22"/>
      <c r="K615" s="23" t="s">
        <v>4983</v>
      </c>
      <c r="L615" s="25">
        <v>44580.61319444444</v>
      </c>
      <c r="M615" s="23"/>
      <c r="N615" s="23"/>
      <c r="O615" s="23"/>
      <c r="P615" s="23"/>
      <c r="Q615" s="22" t="s">
        <v>1657</v>
      </c>
      <c r="R615" s="22"/>
      <c r="S615" s="22" t="s">
        <v>4984</v>
      </c>
      <c r="T615" s="22" t="s">
        <v>381</v>
      </c>
      <c r="U615" s="22" t="s">
        <v>1659</v>
      </c>
      <c r="V615" s="23"/>
      <c r="W615" s="23"/>
      <c r="X615" s="23"/>
      <c r="Y615" s="23"/>
      <c r="Z615" s="28"/>
      <c r="AA615" s="23"/>
      <c r="AB615" s="23" t="str">
        <f>IFERROR(__xludf.DUMMYFUNCTION("IF(
ISNUMBER(MATCH(
C615,
IMPORTRANGE(""https://docs.google.com/spreadsheets/d/1yTh1ELC33JHYOeEdgIiEclxPRyh0zOKtlawDltfUay8"",""'Champions'!A:A""),
0
)),
""Outreach Conducted"",
"""")"),"")</f>
        <v/>
      </c>
      <c r="AC615" s="23"/>
      <c r="AD615" s="23"/>
      <c r="AE615" s="23"/>
      <c r="AF615" s="23"/>
      <c r="AG615" s="23"/>
      <c r="AH615" s="23"/>
      <c r="AI615" s="23"/>
      <c r="AJ615" s="23"/>
      <c r="AK615" s="23"/>
      <c r="AL615" s="23"/>
    </row>
    <row r="616" hidden="1">
      <c r="A616" s="22" t="s">
        <v>4985</v>
      </c>
      <c r="B616" s="22" t="s">
        <v>4986</v>
      </c>
      <c r="C616" s="23" t="str">
        <f t="shared" si="1"/>
        <v>Esteban Proaño</v>
      </c>
      <c r="D616" s="22">
        <v>5.1996514464E10</v>
      </c>
      <c r="E616" s="29" t="s">
        <v>4987</v>
      </c>
      <c r="F616" s="22" t="s">
        <v>248</v>
      </c>
      <c r="G616" s="22">
        <v>578.0</v>
      </c>
      <c r="H616" s="22">
        <f t="array" ref="H616">IFERROR(INDEX('Hub CPC 226'!A:A, MATCH(C616, 'Hub CPC 226'!B:B, 0)), "")</f>
        <v>128</v>
      </c>
      <c r="I616" s="22">
        <v>148.0</v>
      </c>
      <c r="J616" s="22" t="s">
        <v>240</v>
      </c>
      <c r="K616" s="28" t="s">
        <v>4988</v>
      </c>
      <c r="L616" s="25">
        <v>44559.620833333334</v>
      </c>
      <c r="M616" s="23"/>
      <c r="N616" s="23"/>
      <c r="O616" s="23"/>
      <c r="P616" s="23"/>
      <c r="Q616" s="22" t="s">
        <v>4987</v>
      </c>
      <c r="R616" s="22" t="s">
        <v>3818</v>
      </c>
      <c r="S616" s="24"/>
      <c r="T616" s="24"/>
      <c r="U616" s="22" t="s">
        <v>4989</v>
      </c>
      <c r="V616" s="26" t="s">
        <v>4990</v>
      </c>
      <c r="W616" s="27" t="s">
        <v>4991</v>
      </c>
      <c r="X616" s="26" t="s">
        <v>4992</v>
      </c>
      <c r="Y616" s="23"/>
      <c r="Z616" s="28"/>
      <c r="AA616" s="23"/>
      <c r="AB616" s="23" t="str">
        <f>IFERROR(__xludf.DUMMYFUNCTION("IF(
ISNUMBER(MATCH(
C616,
IMPORTRANGE(""https://docs.google.com/spreadsheets/d/1yTh1ELC33JHYOeEdgIiEclxPRyh0zOKtlawDltfUay8"",""'Champions'!A:A""),
0
)),
""Outreach Conducted"",
"""")"),"")</f>
        <v/>
      </c>
      <c r="AC616" s="23"/>
      <c r="AD616" s="23"/>
      <c r="AE616" s="23"/>
      <c r="AF616" s="23"/>
      <c r="AG616" s="23"/>
      <c r="AH616" s="23"/>
      <c r="AI616" s="23"/>
      <c r="AJ616" s="23"/>
      <c r="AK616" s="23"/>
      <c r="AL616" s="23"/>
    </row>
    <row r="617" hidden="1">
      <c r="A617" s="22" t="s">
        <v>2167</v>
      </c>
      <c r="B617" s="22" t="s">
        <v>4993</v>
      </c>
      <c r="C617" s="23" t="str">
        <f t="shared" si="1"/>
        <v>Loren Hernandez (D)</v>
      </c>
      <c r="D617" s="22">
        <v>1.972804586E10</v>
      </c>
      <c r="E617" s="29" t="s">
        <v>2169</v>
      </c>
      <c r="F617" s="22" t="s">
        <v>30</v>
      </c>
      <c r="G617" s="22">
        <v>575.0</v>
      </c>
      <c r="H617" s="22" t="str">
        <f t="array" ref="H617">IFERROR(INDEX('Hub CPC 226'!A:A, MATCH(C617, 'Hub CPC 226'!B:B, 0)), "")</f>
        <v/>
      </c>
      <c r="I617" s="22" t="str">
        <f t="array" ref="I617">IFERROR(INDEX('Hub Users 226'!A:A, MATCH(C617, 'Hub Users 226'!B:B, 0)), "")</f>
        <v/>
      </c>
      <c r="J617" s="22"/>
      <c r="K617" s="23" t="s">
        <v>4994</v>
      </c>
      <c r="L617" s="25">
        <v>44551.413194444445</v>
      </c>
      <c r="M617" s="23"/>
      <c r="N617" s="23"/>
      <c r="O617" s="23"/>
      <c r="P617" s="23"/>
      <c r="Q617" s="22" t="s">
        <v>2171</v>
      </c>
      <c r="R617" s="22" t="s">
        <v>2172</v>
      </c>
      <c r="S617" s="22" t="s">
        <v>2173</v>
      </c>
      <c r="T617" s="22" t="s">
        <v>252</v>
      </c>
      <c r="U617" s="22" t="s">
        <v>2174</v>
      </c>
      <c r="V617" s="23"/>
      <c r="W617" s="23"/>
      <c r="X617" s="23"/>
      <c r="Y617" s="23"/>
      <c r="Z617" s="28"/>
      <c r="AA617" s="23"/>
      <c r="AB617" s="23" t="str">
        <f>IFERROR(__xludf.DUMMYFUNCTION("IF(
ISNUMBER(MATCH(
C617,
IMPORTRANGE(""https://docs.google.com/spreadsheets/d/1yTh1ELC33JHYOeEdgIiEclxPRyh0zOKtlawDltfUay8"",""'Champions'!A:A""),
0
)),
""Outreach Conducted"",
"""")"),"")</f>
        <v/>
      </c>
      <c r="AC617" s="23"/>
      <c r="AD617" s="23"/>
      <c r="AE617" s="23"/>
      <c r="AF617" s="23"/>
      <c r="AG617" s="23"/>
      <c r="AH617" s="23"/>
      <c r="AI617" s="23"/>
      <c r="AJ617" s="23"/>
      <c r="AK617" s="23"/>
      <c r="AL617" s="23"/>
    </row>
    <row r="618" hidden="1">
      <c r="A618" s="22" t="s">
        <v>1489</v>
      </c>
      <c r="B618" s="22" t="s">
        <v>4995</v>
      </c>
      <c r="C618" s="23" t="str">
        <f t="shared" si="1"/>
        <v>Griselda Guadalupe Cuevas Zambrano (D2)</v>
      </c>
      <c r="D618" s="22" t="s">
        <v>1491</v>
      </c>
      <c r="E618" s="29" t="s">
        <v>1492</v>
      </c>
      <c r="F618" s="22" t="s">
        <v>248</v>
      </c>
      <c r="G618" s="22">
        <v>568.0</v>
      </c>
      <c r="H618" s="22" t="str">
        <f t="array" ref="H618">IFERROR(INDEX('Hub CPC 226'!A:A, MATCH(C618, 'Hub CPC 226'!B:B, 0)), "")</f>
        <v/>
      </c>
      <c r="I618" s="22" t="str">
        <f t="array" ref="I618">IFERROR(INDEX('Hub Users 226'!A:A, MATCH(C618, 'Hub Users 226'!B:B, 0)), "")</f>
        <v/>
      </c>
      <c r="J618" s="22" t="s">
        <v>425</v>
      </c>
      <c r="K618" s="23" t="s">
        <v>4996</v>
      </c>
      <c r="L618" s="25">
        <v>44539.57916666667</v>
      </c>
      <c r="M618" s="23"/>
      <c r="N618" s="23"/>
      <c r="O618" s="23"/>
      <c r="P618" s="23"/>
      <c r="Q618" s="22" t="s">
        <v>1494</v>
      </c>
      <c r="R618" s="22" t="s">
        <v>1495</v>
      </c>
      <c r="S618" s="22" t="s">
        <v>473</v>
      </c>
      <c r="T618" s="22" t="s">
        <v>252</v>
      </c>
      <c r="U618" s="22" t="s">
        <v>533</v>
      </c>
      <c r="V618" s="23"/>
      <c r="W618" s="23"/>
      <c r="X618" s="23"/>
      <c r="Y618" s="23"/>
      <c r="Z618" s="28"/>
      <c r="AA618" s="23"/>
      <c r="AB618" s="23" t="str">
        <f>IFERROR(__xludf.DUMMYFUNCTION("IF(
ISNUMBER(MATCH(
C618,
IMPORTRANGE(""https://docs.google.com/spreadsheets/d/1yTh1ELC33JHYOeEdgIiEclxPRyh0zOKtlawDltfUay8"",""'Champions'!A:A""),
0
)),
""Outreach Conducted"",
"""")"),"")</f>
        <v/>
      </c>
      <c r="AC618" s="23"/>
      <c r="AD618" s="26" t="s">
        <v>448</v>
      </c>
      <c r="AE618" s="28" t="s">
        <v>705</v>
      </c>
      <c r="AF618" s="28" t="s">
        <v>449</v>
      </c>
      <c r="AG618" s="28" t="s">
        <v>706</v>
      </c>
      <c r="AH618" s="23"/>
      <c r="AI618" s="23"/>
      <c r="AJ618" s="23"/>
      <c r="AK618" s="23"/>
      <c r="AL618" s="23"/>
    </row>
    <row r="619" hidden="1">
      <c r="A619" s="22" t="s">
        <v>877</v>
      </c>
      <c r="B619" s="22" t="s">
        <v>4997</v>
      </c>
      <c r="C619" s="23" t="str">
        <f t="shared" si="1"/>
        <v>Joanne Hsu (D)</v>
      </c>
      <c r="D619" s="22">
        <v>1.5189862883E10</v>
      </c>
      <c r="E619" s="29" t="s">
        <v>879</v>
      </c>
      <c r="F619" s="22" t="s">
        <v>30</v>
      </c>
      <c r="G619" s="22">
        <v>567.0</v>
      </c>
      <c r="H619" s="22" t="str">
        <f t="array" ref="H619">IFERROR(INDEX('Hub CPC 226'!A:A, MATCH(C619, 'Hub CPC 226'!B:B, 0)), "")</f>
        <v/>
      </c>
      <c r="I619" s="22" t="str">
        <f t="array" ref="I619">IFERROR(INDEX('Hub Users 226'!A:A, MATCH(C619, 'Hub Users 226'!B:B, 0)), "")</f>
        <v/>
      </c>
      <c r="J619" s="22"/>
      <c r="K619" s="23" t="s">
        <v>4998</v>
      </c>
      <c r="L619" s="25">
        <v>44539.57013888889</v>
      </c>
      <c r="M619" s="23"/>
      <c r="N619" s="23"/>
      <c r="O619" s="23"/>
      <c r="P619" s="23"/>
      <c r="Q619" s="22" t="s">
        <v>881</v>
      </c>
      <c r="R619" s="22" t="s">
        <v>271</v>
      </c>
      <c r="S619" s="22" t="s">
        <v>882</v>
      </c>
      <c r="T619" s="22" t="s">
        <v>241</v>
      </c>
      <c r="U619" s="22" t="s">
        <v>883</v>
      </c>
      <c r="V619" s="23"/>
      <c r="W619" s="23"/>
      <c r="X619" s="23"/>
      <c r="Y619" s="23"/>
      <c r="Z619" s="28"/>
      <c r="AA619" s="23"/>
      <c r="AB619" s="23" t="str">
        <f>IFERROR(__xludf.DUMMYFUNCTION("IF(
ISNUMBER(MATCH(
C619,
IMPORTRANGE(""https://docs.google.com/spreadsheets/d/1yTh1ELC33JHYOeEdgIiEclxPRyh0zOKtlawDltfUay8"",""'Champions'!A:A""),
0
)),
""Outreach Conducted"",
"""")"),"")</f>
        <v/>
      </c>
      <c r="AC619" s="23"/>
      <c r="AD619" s="23"/>
      <c r="AE619" s="23"/>
      <c r="AF619" s="23"/>
      <c r="AG619" s="23"/>
      <c r="AH619" s="23"/>
      <c r="AI619" s="23"/>
      <c r="AJ619" s="23"/>
      <c r="AK619" s="23"/>
      <c r="AL619" s="23"/>
    </row>
    <row r="620" hidden="1">
      <c r="A620" s="22" t="s">
        <v>2857</v>
      </c>
      <c r="B620" s="22" t="s">
        <v>4999</v>
      </c>
      <c r="C620" s="23" t="str">
        <f t="shared" si="1"/>
        <v>Ping Wang (D)</v>
      </c>
      <c r="D620" s="22">
        <v>1.4085992642E10</v>
      </c>
      <c r="E620" s="29" t="s">
        <v>2859</v>
      </c>
      <c r="F620" s="22" t="s">
        <v>30</v>
      </c>
      <c r="G620" s="22">
        <v>566.0</v>
      </c>
      <c r="H620" s="22" t="str">
        <f t="array" ref="H620">IFERROR(INDEX('Hub CPC 226'!A:A, MATCH(C620, 'Hub CPC 226'!B:B, 0)), "")</f>
        <v/>
      </c>
      <c r="I620" s="22" t="str">
        <f t="array" ref="I620">IFERROR(INDEX('Hub Users 226'!A:A, MATCH(C620, 'Hub Users 226'!B:B, 0)), "")</f>
        <v/>
      </c>
      <c r="J620" s="22"/>
      <c r="K620" s="23" t="s">
        <v>5000</v>
      </c>
      <c r="L620" s="25">
        <v>44539.56597222222</v>
      </c>
      <c r="M620" s="23"/>
      <c r="N620" s="23"/>
      <c r="O620" s="23"/>
      <c r="P620" s="23"/>
      <c r="Q620" s="22" t="s">
        <v>2861</v>
      </c>
      <c r="R620" s="22" t="s">
        <v>2862</v>
      </c>
      <c r="S620" s="22" t="s">
        <v>473</v>
      </c>
      <c r="T620" s="22" t="s">
        <v>252</v>
      </c>
      <c r="U620" s="22" t="s">
        <v>2863</v>
      </c>
      <c r="V620" s="23"/>
      <c r="W620" s="23"/>
      <c r="X620" s="23"/>
      <c r="Y620" s="23"/>
      <c r="Z620" s="28"/>
      <c r="AA620" s="23"/>
      <c r="AB620" s="23" t="str">
        <f>IFERROR(__xludf.DUMMYFUNCTION("IF(
ISNUMBER(MATCH(
C620,
IMPORTRANGE(""https://docs.google.com/spreadsheets/d/1yTh1ELC33JHYOeEdgIiEclxPRyh0zOKtlawDltfUay8"",""'Champions'!A:A""),
0
)),
""Outreach Conducted"",
"""")"),"")</f>
        <v/>
      </c>
      <c r="AC620" s="23"/>
      <c r="AD620" s="23"/>
      <c r="AE620" s="23"/>
      <c r="AF620" s="23"/>
      <c r="AG620" s="23"/>
      <c r="AH620" s="23"/>
      <c r="AI620" s="23"/>
      <c r="AJ620" s="23"/>
      <c r="AK620" s="23"/>
      <c r="AL620" s="23"/>
    </row>
    <row r="621" hidden="1">
      <c r="A621" s="22" t="s">
        <v>1315</v>
      </c>
      <c r="B621" s="22" t="s">
        <v>5001</v>
      </c>
      <c r="C621" s="23" t="str">
        <f t="shared" si="1"/>
        <v>Estrella Mestres (D)</v>
      </c>
      <c r="D621" s="22">
        <v>1.6462603663E10</v>
      </c>
      <c r="E621" s="29" t="s">
        <v>1317</v>
      </c>
      <c r="F621" s="22" t="s">
        <v>30</v>
      </c>
      <c r="G621" s="22">
        <v>565.0</v>
      </c>
      <c r="H621" s="22" t="str">
        <f t="array" ref="H621">IFERROR(INDEX('Hub CPC 226'!A:A, MATCH(C621, 'Hub CPC 226'!B:B, 0)), "")</f>
        <v/>
      </c>
      <c r="I621" s="22" t="str">
        <f t="array" ref="I621">IFERROR(INDEX('Hub Users 226'!A:A, MATCH(C621, 'Hub Users 226'!B:B, 0)), "")</f>
        <v/>
      </c>
      <c r="J621" s="22"/>
      <c r="K621" s="23" t="s">
        <v>5002</v>
      </c>
      <c r="L621" s="25">
        <v>44539.5625</v>
      </c>
      <c r="M621" s="28">
        <v>13.0</v>
      </c>
      <c r="N621" s="28">
        <v>30.0</v>
      </c>
      <c r="O621" s="28">
        <v>70.0</v>
      </c>
      <c r="P621" s="32">
        <v>7.0</v>
      </c>
      <c r="Q621" s="22" t="s">
        <v>1319</v>
      </c>
      <c r="R621" s="22" t="s">
        <v>271</v>
      </c>
      <c r="S621" s="22" t="s">
        <v>271</v>
      </c>
      <c r="T621" s="22" t="s">
        <v>272</v>
      </c>
      <c r="U621" s="22" t="s">
        <v>1320</v>
      </c>
      <c r="V621" s="23"/>
      <c r="W621" s="23"/>
      <c r="X621" s="23"/>
      <c r="Y621" s="23"/>
      <c r="Z621" s="28"/>
      <c r="AA621" s="23"/>
      <c r="AB621" s="23" t="str">
        <f>IFERROR(__xludf.DUMMYFUNCTION("IF(
ISNUMBER(MATCH(
C621,
IMPORTRANGE(""https://docs.google.com/spreadsheets/d/1yTh1ELC33JHYOeEdgIiEclxPRyh0zOKtlawDltfUay8"",""'Champions'!A:A""),
0
)),
""Outreach Conducted"",
"""")"),"")</f>
        <v/>
      </c>
      <c r="AC621" s="23"/>
      <c r="AD621" s="23"/>
      <c r="AE621" s="23"/>
      <c r="AF621" s="23"/>
      <c r="AG621" s="23"/>
      <c r="AH621" s="23"/>
      <c r="AI621" s="23"/>
      <c r="AJ621" s="23"/>
      <c r="AK621" s="23"/>
      <c r="AL621" s="23"/>
    </row>
    <row r="622" hidden="1">
      <c r="A622" s="22" t="s">
        <v>791</v>
      </c>
      <c r="B622" s="22" t="s">
        <v>5003</v>
      </c>
      <c r="C622" s="23" t="str">
        <f t="shared" si="1"/>
        <v>Carolina Parra</v>
      </c>
      <c r="D622" s="22">
        <v>1.9175147052E10</v>
      </c>
      <c r="E622" s="29" t="s">
        <v>802</v>
      </c>
      <c r="F622" s="22" t="s">
        <v>248</v>
      </c>
      <c r="G622" s="22">
        <v>562.0</v>
      </c>
      <c r="H622" s="22">
        <f t="array" ref="H622">IFERROR(INDEX('Hub CPC 226'!A:A, MATCH("Carolina Parra (D)", 'Hub CPC 226'!B:B, 0)), "")</f>
        <v>67</v>
      </c>
      <c r="I622" s="22">
        <f t="array" ref="I622">IFERROR(INDEX('Hub Users 226'!A:A, MATCH("Carolina Parra (D)", 'Hub Users 226'!B:B, 0)), "")</f>
        <v>87</v>
      </c>
      <c r="J622" s="22" t="s">
        <v>240</v>
      </c>
      <c r="K622" s="23" t="s">
        <v>5004</v>
      </c>
      <c r="L622" s="25">
        <v>44534.895833333336</v>
      </c>
      <c r="M622" s="28">
        <v>13.0</v>
      </c>
      <c r="N622" s="28">
        <v>31.0</v>
      </c>
      <c r="O622" s="28">
        <v>71.0</v>
      </c>
      <c r="P622" s="32">
        <v>7.0</v>
      </c>
      <c r="Q622" s="22" t="s">
        <v>804</v>
      </c>
      <c r="R622" s="22" t="s">
        <v>454</v>
      </c>
      <c r="S622" s="22" t="s">
        <v>271</v>
      </c>
      <c r="T622" s="22" t="s">
        <v>272</v>
      </c>
      <c r="U622" s="22" t="s">
        <v>805</v>
      </c>
      <c r="V622" s="26" t="s">
        <v>3009</v>
      </c>
      <c r="W622" s="27" t="s">
        <v>5005</v>
      </c>
      <c r="X622" s="26" t="s">
        <v>5006</v>
      </c>
      <c r="Y622" s="23"/>
      <c r="Z622" s="28"/>
      <c r="AA622" s="23"/>
      <c r="AB622" s="23" t="str">
        <f>IFERROR(__xludf.DUMMYFUNCTION("IF(
ISNUMBER(MATCH(
C622,
IMPORTRANGE(""https://docs.google.com/spreadsheets/d/1yTh1ELC33JHYOeEdgIiEclxPRyh0zOKtlawDltfUay8"",""'Champions'!A:A""),
0
)),
""Outreach Conducted"",
"""")"),"")</f>
        <v/>
      </c>
      <c r="AC622" s="23"/>
      <c r="AD622" s="23"/>
      <c r="AE622" s="23"/>
      <c r="AF622" s="23"/>
      <c r="AG622" s="23"/>
      <c r="AH622" s="23"/>
      <c r="AI622" s="23"/>
      <c r="AJ622" s="23"/>
      <c r="AK622" s="23"/>
      <c r="AL622" s="23"/>
    </row>
    <row r="623" hidden="1">
      <c r="A623" s="22" t="s">
        <v>245</v>
      </c>
      <c r="B623" s="22" t="s">
        <v>5007</v>
      </c>
      <c r="C623" s="23" t="str">
        <f t="shared" si="1"/>
        <v>John ?Nico? Johnson (D)</v>
      </c>
      <c r="D623" s="22">
        <v>8.582600744E9</v>
      </c>
      <c r="E623" s="29" t="s">
        <v>247</v>
      </c>
      <c r="F623" s="22" t="s">
        <v>30</v>
      </c>
      <c r="G623" s="22">
        <v>560.0</v>
      </c>
      <c r="H623" s="22" t="str">
        <f t="array" ref="H623">IFERROR(INDEX('Hub CPC 226'!A:A, MATCH(C623, 'Hub CPC 226'!B:B, 0)), "")</f>
        <v/>
      </c>
      <c r="I623" s="22" t="str">
        <f t="array" ref="I623">IFERROR(INDEX('Hub Users 226'!A:A, MATCH(C623, 'Hub Users 226'!B:B, 0)), "")</f>
        <v/>
      </c>
      <c r="J623" s="22"/>
      <c r="K623" s="23" t="s">
        <v>5008</v>
      </c>
      <c r="L623" s="25">
        <v>44531.504166666666</v>
      </c>
      <c r="M623" s="23"/>
      <c r="N623" s="23"/>
      <c r="O623" s="23"/>
      <c r="P623" s="23"/>
      <c r="Q623" s="22" t="s">
        <v>250</v>
      </c>
      <c r="R623" s="22" t="s">
        <v>251</v>
      </c>
      <c r="S623" s="22" t="s">
        <v>251</v>
      </c>
      <c r="T623" s="22" t="s">
        <v>252</v>
      </c>
      <c r="U623" s="22" t="s">
        <v>253</v>
      </c>
      <c r="V623" s="23"/>
      <c r="W623" s="23"/>
      <c r="X623" s="23"/>
      <c r="Y623" s="23"/>
      <c r="Z623" s="28"/>
      <c r="AA623" s="23"/>
      <c r="AB623" s="23" t="str">
        <f>IFERROR(__xludf.DUMMYFUNCTION("IF(
ISNUMBER(MATCH(
C623,
IMPORTRANGE(""https://docs.google.com/spreadsheets/d/1yTh1ELC33JHYOeEdgIiEclxPRyh0zOKtlawDltfUay8"",""'Champions'!A:A""),
0
)),
""Outreach Conducted"",
"""")"),"")</f>
        <v/>
      </c>
      <c r="AC623" s="23"/>
      <c r="AD623" s="23"/>
      <c r="AE623" s="23"/>
      <c r="AF623" s="23"/>
      <c r="AG623" s="23"/>
      <c r="AH623" s="23"/>
      <c r="AI623" s="23"/>
      <c r="AJ623" s="23"/>
      <c r="AK623" s="23"/>
      <c r="AL623" s="23"/>
    </row>
    <row r="624" hidden="1">
      <c r="A624" s="22" t="s">
        <v>1662</v>
      </c>
      <c r="B624" s="22" t="s">
        <v>5009</v>
      </c>
      <c r="C624" s="23" t="str">
        <f t="shared" si="1"/>
        <v>Jan Panchalingam</v>
      </c>
      <c r="D624" s="22">
        <v>1.917444693E10</v>
      </c>
      <c r="E624" s="29" t="s">
        <v>1664</v>
      </c>
      <c r="F624" s="22" t="s">
        <v>248</v>
      </c>
      <c r="G624" s="22">
        <v>555.0</v>
      </c>
      <c r="H624" s="22" t="str">
        <f t="array" ref="H624">IFERROR(INDEX('Hub CPC 226'!A:A, MATCH(C624, 'Hub CPC 226'!B:B, 0)), "")</f>
        <v/>
      </c>
      <c r="I624" s="22" t="str">
        <f t="array" ref="I624">IFERROR(INDEX('Hub Users 226'!A:A, MATCH(C624, 'Hub Users 226'!B:B, 0)), "")</f>
        <v/>
      </c>
      <c r="J624" s="22" t="s">
        <v>290</v>
      </c>
      <c r="K624" s="23" t="s">
        <v>5010</v>
      </c>
      <c r="L624" s="25">
        <v>44526.64166666667</v>
      </c>
      <c r="M624" s="28">
        <v>7.0</v>
      </c>
      <c r="N624" s="28">
        <v>18.0</v>
      </c>
      <c r="O624" s="28">
        <v>50.0</v>
      </c>
      <c r="P624" s="32">
        <v>1.0</v>
      </c>
      <c r="Q624" s="22" t="s">
        <v>1666</v>
      </c>
      <c r="R624" s="22" t="s">
        <v>271</v>
      </c>
      <c r="S624" s="22" t="s">
        <v>294</v>
      </c>
      <c r="T624" s="22" t="s">
        <v>272</v>
      </c>
      <c r="U624" s="22" t="s">
        <v>1667</v>
      </c>
      <c r="V624" s="26" t="s">
        <v>507</v>
      </c>
      <c r="W624" s="27" t="s">
        <v>5011</v>
      </c>
      <c r="X624" s="26" t="s">
        <v>5012</v>
      </c>
      <c r="Y624" s="23"/>
      <c r="Z624" s="28"/>
      <c r="AA624" s="23"/>
      <c r="AB624" s="23" t="str">
        <f>IFERROR(__xludf.DUMMYFUNCTION("IF(
ISNUMBER(MATCH(
C624,
IMPORTRANGE(""https://docs.google.com/spreadsheets/d/1yTh1ELC33JHYOeEdgIiEclxPRyh0zOKtlawDltfUay8"",""'Champions'!A:A""),
0
)),
""Outreach Conducted"",
"""")"),"")</f>
        <v/>
      </c>
      <c r="AC624" s="23"/>
      <c r="AD624" s="23"/>
      <c r="AE624" s="23"/>
      <c r="AF624" s="23"/>
      <c r="AG624" s="23"/>
      <c r="AH624" s="23"/>
      <c r="AI624" s="23"/>
      <c r="AJ624" s="23"/>
      <c r="AK624" s="23"/>
      <c r="AL624" s="23"/>
    </row>
    <row r="625" hidden="1">
      <c r="A625" s="22" t="s">
        <v>637</v>
      </c>
      <c r="B625" s="22" t="s">
        <v>5013</v>
      </c>
      <c r="C625" s="23" t="str">
        <f t="shared" si="1"/>
        <v>AUGUSTO SALCEDO (D)</v>
      </c>
      <c r="D625" s="22">
        <v>5.1933538927E10</v>
      </c>
      <c r="E625" s="29" t="s">
        <v>639</v>
      </c>
      <c r="F625" s="22" t="s">
        <v>30</v>
      </c>
      <c r="G625" s="22">
        <v>547.0</v>
      </c>
      <c r="H625" s="22" t="str">
        <f t="array" ref="H625">IFERROR(INDEX('Hub CPC 226'!A:A, MATCH(C625, 'Hub CPC 226'!B:B, 0)), "")</f>
        <v/>
      </c>
      <c r="I625" s="22" t="str">
        <f t="array" ref="I625">IFERROR(INDEX('Hub Users 226'!A:A, MATCH(C625, 'Hub Users 226'!B:B, 0)), "")</f>
        <v/>
      </c>
      <c r="J625" s="22"/>
      <c r="K625" s="23" t="s">
        <v>5014</v>
      </c>
      <c r="L625" s="25">
        <v>44510.45208333333</v>
      </c>
      <c r="M625" s="23"/>
      <c r="N625" s="23"/>
      <c r="O625" s="23"/>
      <c r="P625" s="23"/>
      <c r="Q625" s="22" t="s">
        <v>641</v>
      </c>
      <c r="R625" s="22" t="s">
        <v>642</v>
      </c>
      <c r="S625" s="24"/>
      <c r="T625" s="24"/>
      <c r="U625" s="22" t="s">
        <v>5015</v>
      </c>
      <c r="V625" s="23"/>
      <c r="W625" s="23"/>
      <c r="X625" s="23"/>
      <c r="Y625" s="23"/>
      <c r="Z625" s="28"/>
      <c r="AA625" s="23"/>
      <c r="AB625" s="23" t="str">
        <f>IFERROR(__xludf.DUMMYFUNCTION("IF(
ISNUMBER(MATCH(
C625,
IMPORTRANGE(""https://docs.google.com/spreadsheets/d/1yTh1ELC33JHYOeEdgIiEclxPRyh0zOKtlawDltfUay8"",""'Champions'!A:A""),
0
)),
""Outreach Conducted"",
"""")"),"")</f>
        <v/>
      </c>
      <c r="AC625" s="23"/>
      <c r="AD625" s="23"/>
      <c r="AE625" s="23"/>
      <c r="AF625" s="23"/>
      <c r="AG625" s="23"/>
      <c r="AH625" s="23"/>
      <c r="AI625" s="23"/>
      <c r="AJ625" s="23"/>
      <c r="AK625" s="23"/>
      <c r="AL625" s="23"/>
    </row>
    <row r="626" hidden="1">
      <c r="A626" s="22" t="s">
        <v>1122</v>
      </c>
      <c r="B626" s="22" t="s">
        <v>5016</v>
      </c>
      <c r="C626" s="23" t="str">
        <f t="shared" si="1"/>
        <v>Sandra Llontop (D)</v>
      </c>
      <c r="D626" s="22">
        <v>1.7026017124E10</v>
      </c>
      <c r="E626" s="29" t="s">
        <v>3039</v>
      </c>
      <c r="F626" s="22" t="s">
        <v>30</v>
      </c>
      <c r="G626" s="22">
        <v>544.0</v>
      </c>
      <c r="H626" s="22" t="str">
        <f t="array" ref="H626">IFERROR(INDEX('Hub CPC 226'!A:A, MATCH(C626, 'Hub CPC 226'!B:B, 0)), "")</f>
        <v/>
      </c>
      <c r="I626" s="22" t="str">
        <f t="array" ref="I626">IFERROR(INDEX('Hub Users 226'!A:A, MATCH(C626, 'Hub Users 226'!B:B, 0)), "")</f>
        <v/>
      </c>
      <c r="J626" s="22"/>
      <c r="K626" s="23" t="s">
        <v>5017</v>
      </c>
      <c r="L626" s="25">
        <v>44508.71319444444</v>
      </c>
      <c r="M626" s="23"/>
      <c r="N626" s="23"/>
      <c r="O626" s="23"/>
      <c r="P626" s="23"/>
      <c r="Q626" s="22" t="s">
        <v>3041</v>
      </c>
      <c r="R626" s="22" t="s">
        <v>873</v>
      </c>
      <c r="S626" s="22" t="s">
        <v>873</v>
      </c>
      <c r="T626" s="22" t="s">
        <v>874</v>
      </c>
      <c r="U626" s="22" t="s">
        <v>3042</v>
      </c>
      <c r="V626" s="23"/>
      <c r="W626" s="23"/>
      <c r="X626" s="23"/>
      <c r="Y626" s="23"/>
      <c r="Z626" s="28"/>
      <c r="AA626" s="23"/>
      <c r="AB626" s="23" t="str">
        <f>IFERROR(__xludf.DUMMYFUNCTION("IF(
ISNUMBER(MATCH(
C626,
IMPORTRANGE(""https://docs.google.com/spreadsheets/d/1yTh1ELC33JHYOeEdgIiEclxPRyh0zOKtlawDltfUay8"",""'Champions'!A:A""),
0
)),
""Outreach Conducted"",
"""")"),"")</f>
        <v/>
      </c>
      <c r="AC626" s="23"/>
      <c r="AD626" s="23"/>
      <c r="AE626" s="23"/>
      <c r="AF626" s="23"/>
      <c r="AG626" s="23"/>
      <c r="AH626" s="23"/>
      <c r="AI626" s="23"/>
      <c r="AJ626" s="23"/>
      <c r="AK626" s="23"/>
      <c r="AL626" s="23"/>
    </row>
    <row r="627" hidden="1">
      <c r="A627" s="22" t="s">
        <v>2902</v>
      </c>
      <c r="B627" s="22" t="s">
        <v>5018</v>
      </c>
      <c r="C627" s="23" t="str">
        <f t="shared" si="1"/>
        <v>Renata Lozano Giral (D)</v>
      </c>
      <c r="D627" s="22">
        <v>1.2029678993E10</v>
      </c>
      <c r="E627" s="29" t="s">
        <v>2904</v>
      </c>
      <c r="F627" s="22" t="s">
        <v>30</v>
      </c>
      <c r="G627" s="22">
        <v>542.0</v>
      </c>
      <c r="H627" s="22" t="str">
        <f t="array" ref="H627">IFERROR(INDEX('Hub CPC 226'!A:A, MATCH(C627, 'Hub CPC 226'!B:B, 0)), "")</f>
        <v/>
      </c>
      <c r="I627" s="22" t="str">
        <f t="array" ref="I627">IFERROR(INDEX('Hub Users 226'!A:A, MATCH(C627, 'Hub Users 226'!B:B, 0)), "")</f>
        <v/>
      </c>
      <c r="J627" s="22"/>
      <c r="K627" s="23" t="s">
        <v>5019</v>
      </c>
      <c r="L627" s="25">
        <v>44507.709027777775</v>
      </c>
      <c r="M627" s="23"/>
      <c r="N627" s="23"/>
      <c r="O627" s="23"/>
      <c r="P627" s="23"/>
      <c r="Q627" s="22" t="s">
        <v>2906</v>
      </c>
      <c r="R627" s="22" t="s">
        <v>2114</v>
      </c>
      <c r="S627" s="22" t="s">
        <v>1371</v>
      </c>
      <c r="T627" s="22" t="s">
        <v>1372</v>
      </c>
      <c r="U627" s="22" t="s">
        <v>2907</v>
      </c>
      <c r="V627" s="23"/>
      <c r="W627" s="23"/>
      <c r="X627" s="23"/>
      <c r="Y627" s="23"/>
      <c r="Z627" s="28"/>
      <c r="AA627" s="23"/>
      <c r="AB627" s="23" t="str">
        <f>IFERROR(__xludf.DUMMYFUNCTION("IF(
ISNUMBER(MATCH(
C627,
IMPORTRANGE(""https://docs.google.com/spreadsheets/d/1yTh1ELC33JHYOeEdgIiEclxPRyh0zOKtlawDltfUay8"",""'Champions'!A:A""),
0
)),
""Outreach Conducted"",
"""")"),"")</f>
        <v/>
      </c>
      <c r="AC627" s="23"/>
      <c r="AD627" s="23"/>
      <c r="AE627" s="23"/>
      <c r="AF627" s="23"/>
      <c r="AG627" s="23"/>
      <c r="AH627" s="23"/>
      <c r="AI627" s="23"/>
      <c r="AJ627" s="23"/>
      <c r="AK627" s="23"/>
      <c r="AL627" s="23"/>
    </row>
    <row r="628" hidden="1">
      <c r="A628" s="22" t="s">
        <v>1489</v>
      </c>
      <c r="B628" s="22" t="s">
        <v>5020</v>
      </c>
      <c r="C628" s="23" t="str">
        <f t="shared" si="1"/>
        <v>Griselda Guadalupe Cuevas Zambrano (D)</v>
      </c>
      <c r="D628" s="22" t="s">
        <v>1491</v>
      </c>
      <c r="E628" s="29" t="s">
        <v>1492</v>
      </c>
      <c r="F628" s="22" t="s">
        <v>30</v>
      </c>
      <c r="G628" s="22">
        <v>529.0</v>
      </c>
      <c r="H628" s="22" t="str">
        <f t="array" ref="H628">IFERROR(INDEX('Hub CPC 226'!A:A, MATCH(C628, 'Hub CPC 226'!B:B, 0)), "")</f>
        <v/>
      </c>
      <c r="I628" s="22" t="str">
        <f t="array" ref="I628">IFERROR(INDEX('Hub Users 226'!A:A, MATCH(C628, 'Hub Users 226'!B:B, 0)), "")</f>
        <v/>
      </c>
      <c r="J628" s="22"/>
      <c r="K628" s="23" t="s">
        <v>4996</v>
      </c>
      <c r="L628" s="25">
        <v>44498.646527777775</v>
      </c>
      <c r="M628" s="23"/>
      <c r="N628" s="23"/>
      <c r="O628" s="23"/>
      <c r="P628" s="23"/>
      <c r="Q628" s="22" t="s">
        <v>1494</v>
      </c>
      <c r="R628" s="22" t="s">
        <v>1495</v>
      </c>
      <c r="S628" s="22" t="s">
        <v>473</v>
      </c>
      <c r="T628" s="22" t="s">
        <v>252</v>
      </c>
      <c r="U628" s="22" t="s">
        <v>533</v>
      </c>
      <c r="V628" s="23"/>
      <c r="W628" s="23"/>
      <c r="X628" s="23"/>
      <c r="Y628" s="23"/>
      <c r="Z628" s="28"/>
      <c r="AA628" s="23"/>
      <c r="AB628" s="23" t="str">
        <f>IFERROR(__xludf.DUMMYFUNCTION("IF(
ISNUMBER(MATCH(
C628,
IMPORTRANGE(""https://docs.google.com/spreadsheets/d/1yTh1ELC33JHYOeEdgIiEclxPRyh0zOKtlawDltfUay8"",""'Champions'!A:A""),
0
)),
""Outreach Conducted"",
"""")"),"")</f>
        <v/>
      </c>
      <c r="AC628" s="23"/>
      <c r="AD628" s="23"/>
      <c r="AE628" s="23"/>
      <c r="AF628" s="23"/>
      <c r="AG628" s="23"/>
      <c r="AH628" s="23"/>
      <c r="AI628" s="23"/>
      <c r="AJ628" s="23"/>
      <c r="AK628" s="23"/>
      <c r="AL628" s="23"/>
    </row>
    <row r="629" hidden="1">
      <c r="A629" s="22" t="s">
        <v>458</v>
      </c>
      <c r="B629" s="22" t="s">
        <v>5021</v>
      </c>
      <c r="C629" s="23" t="str">
        <f t="shared" si="1"/>
        <v>Abigail Mawhirter (D)</v>
      </c>
      <c r="D629" s="22">
        <v>1.254723311E10</v>
      </c>
      <c r="E629" s="29" t="s">
        <v>460</v>
      </c>
      <c r="F629" s="22" t="s">
        <v>30</v>
      </c>
      <c r="G629" s="22">
        <v>507.0</v>
      </c>
      <c r="H629" s="22" t="str">
        <f t="array" ref="H629">IFERROR(INDEX('Hub CPC 226'!A:A, MATCH(C629, 'Hub CPC 226'!B:B, 0)), "")</f>
        <v/>
      </c>
      <c r="I629" s="22" t="str">
        <f t="array" ref="I629">IFERROR(INDEX('Hub Users 226'!A:A, MATCH(C629, 'Hub Users 226'!B:B, 0)), "")</f>
        <v/>
      </c>
      <c r="J629" s="22"/>
      <c r="K629" s="23" t="s">
        <v>5022</v>
      </c>
      <c r="L629" s="25">
        <v>44477.59166666667</v>
      </c>
      <c r="M629" s="23"/>
      <c r="N629" s="23"/>
      <c r="O629" s="23"/>
      <c r="P629" s="23"/>
      <c r="Q629" s="22" t="s">
        <v>462</v>
      </c>
      <c r="R629" s="22" t="s">
        <v>463</v>
      </c>
      <c r="S629" s="22" t="s">
        <v>464</v>
      </c>
      <c r="T629" s="22" t="s">
        <v>465</v>
      </c>
      <c r="U629" s="22" t="s">
        <v>466</v>
      </c>
      <c r="V629" s="23"/>
      <c r="W629" s="23"/>
      <c r="X629" s="23"/>
      <c r="Y629" s="23"/>
      <c r="Z629" s="28"/>
      <c r="AA629" s="23"/>
      <c r="AB629" s="23" t="str">
        <f>IFERROR(__xludf.DUMMYFUNCTION("IF(
ISNUMBER(MATCH(
C629,
IMPORTRANGE(""https://docs.google.com/spreadsheets/d/1yTh1ELC33JHYOeEdgIiEclxPRyh0zOKtlawDltfUay8"",""'Champions'!A:A""),
0
)),
""Outreach Conducted"",
"""")"),"")</f>
        <v/>
      </c>
      <c r="AC629" s="23"/>
      <c r="AD629" s="23"/>
      <c r="AE629" s="23"/>
      <c r="AF629" s="23"/>
      <c r="AG629" s="23"/>
      <c r="AH629" s="23"/>
      <c r="AI629" s="23"/>
      <c r="AJ629" s="23"/>
      <c r="AK629" s="23"/>
      <c r="AL629" s="23"/>
    </row>
    <row r="630" hidden="1">
      <c r="A630" s="22" t="s">
        <v>5023</v>
      </c>
      <c r="B630" s="22" t="s">
        <v>5024</v>
      </c>
      <c r="C630" s="23" t="str">
        <f t="shared" si="1"/>
        <v>DIANA REÁTEGUI</v>
      </c>
      <c r="D630" s="22">
        <v>1.3053191929E10</v>
      </c>
      <c r="E630" s="29" t="s">
        <v>5025</v>
      </c>
      <c r="F630" s="22" t="s">
        <v>248</v>
      </c>
      <c r="G630" s="22">
        <v>497.0</v>
      </c>
      <c r="H630" s="22">
        <f t="array" ref="H630">IFERROR(INDEX('Hub CPC 226'!A:A, MATCH(C630, 'Hub CPC 226'!B:B, 0)), "")</f>
        <v>107</v>
      </c>
      <c r="I630" s="22">
        <v>127.0</v>
      </c>
      <c r="J630" s="22" t="s">
        <v>290</v>
      </c>
      <c r="K630" s="23" t="s">
        <v>5026</v>
      </c>
      <c r="L630" s="25">
        <v>44447.43819444445</v>
      </c>
      <c r="M630" s="23"/>
      <c r="N630" s="23"/>
      <c r="O630" s="23"/>
      <c r="P630" s="23"/>
      <c r="Q630" s="22" t="s">
        <v>5025</v>
      </c>
      <c r="R630" s="22" t="s">
        <v>5027</v>
      </c>
      <c r="S630" s="22" t="s">
        <v>5028</v>
      </c>
      <c r="T630" s="22" t="s">
        <v>841</v>
      </c>
      <c r="U630" s="22" t="s">
        <v>5029</v>
      </c>
      <c r="V630" s="23"/>
      <c r="W630" s="23"/>
      <c r="X630" s="23"/>
      <c r="Y630" s="23"/>
      <c r="Z630" s="28"/>
      <c r="AA630" s="23"/>
      <c r="AB630" s="23" t="str">
        <f>IFERROR(__xludf.DUMMYFUNCTION("IF(
ISNUMBER(MATCH(
C630,
IMPORTRANGE(""https://docs.google.com/spreadsheets/d/1yTh1ELC33JHYOeEdgIiEclxPRyh0zOKtlawDltfUay8"",""'Champions'!A:A""),
0
)),
""Outreach Conducted"",
"""")"),"")</f>
        <v/>
      </c>
      <c r="AC630" s="23"/>
      <c r="AD630" s="23"/>
      <c r="AE630" s="23"/>
      <c r="AF630" s="23"/>
      <c r="AG630" s="23"/>
      <c r="AH630" s="23"/>
      <c r="AI630" s="23"/>
      <c r="AJ630" s="23"/>
      <c r="AK630" s="23"/>
      <c r="AL630" s="23"/>
    </row>
    <row r="631" hidden="1">
      <c r="A631" s="22" t="s">
        <v>363</v>
      </c>
      <c r="B631" s="22" t="s">
        <v>5030</v>
      </c>
      <c r="C631" s="23" t="str">
        <f t="shared" si="1"/>
        <v>Joseph Temowo (D)</v>
      </c>
      <c r="D631" s="22">
        <v>9.173016742E9</v>
      </c>
      <c r="E631" s="29" t="s">
        <v>365</v>
      </c>
      <c r="F631" s="22" t="s">
        <v>30</v>
      </c>
      <c r="G631" s="22">
        <v>469.0</v>
      </c>
      <c r="H631" s="22" t="str">
        <f t="array" ref="H631">IFERROR(INDEX('Hub CPC 226'!A:A, MATCH(C631, 'Hub CPC 226'!B:B, 0)), "")</f>
        <v/>
      </c>
      <c r="I631" s="22" t="str">
        <f t="array" ref="I631">IFERROR(INDEX('Hub Users 226'!A:A, MATCH(C631, 'Hub Users 226'!B:B, 0)), "")</f>
        <v/>
      </c>
      <c r="J631" s="22"/>
      <c r="K631" s="23" t="s">
        <v>5031</v>
      </c>
      <c r="L631" s="25">
        <v>44307.52569444444</v>
      </c>
      <c r="M631" s="23"/>
      <c r="N631" s="23"/>
      <c r="O631" s="23"/>
      <c r="P631" s="23"/>
      <c r="Q631" s="22" t="s">
        <v>367</v>
      </c>
      <c r="R631" s="22" t="s">
        <v>368</v>
      </c>
      <c r="S631" s="22" t="s">
        <v>369</v>
      </c>
      <c r="T631" s="22" t="s">
        <v>241</v>
      </c>
      <c r="U631" s="22" t="s">
        <v>370</v>
      </c>
      <c r="V631" s="23"/>
      <c r="W631" s="23"/>
      <c r="X631" s="23"/>
      <c r="Y631" s="23"/>
      <c r="Z631" s="28"/>
      <c r="AA631" s="23"/>
      <c r="AB631" s="23" t="str">
        <f>IFERROR(__xludf.DUMMYFUNCTION("IF(
ISNUMBER(MATCH(
C631,
IMPORTRANGE(""https://docs.google.com/spreadsheets/d/1yTh1ELC33JHYOeEdgIiEclxPRyh0zOKtlawDltfUay8"",""'Champions'!A:A""),
0
)),
""Outreach Conducted"",
"""")"),"")</f>
        <v/>
      </c>
      <c r="AC631" s="23"/>
      <c r="AD631" s="23"/>
      <c r="AE631" s="23"/>
      <c r="AF631" s="23"/>
      <c r="AG631" s="23"/>
      <c r="AH631" s="23"/>
      <c r="AI631" s="23"/>
      <c r="AJ631" s="23"/>
      <c r="AK631" s="23"/>
      <c r="AL631" s="23"/>
    </row>
    <row r="632" hidden="1">
      <c r="A632" s="22" t="s">
        <v>1998</v>
      </c>
      <c r="B632" s="22" t="s">
        <v>5032</v>
      </c>
      <c r="C632" s="23" t="str">
        <f t="shared" si="1"/>
        <v>Kiran Gill (D)</v>
      </c>
      <c r="D632" s="22" t="s">
        <v>1999</v>
      </c>
      <c r="E632" s="29" t="s">
        <v>2000</v>
      </c>
      <c r="F632" s="22" t="s">
        <v>30</v>
      </c>
      <c r="G632" s="22">
        <v>451.0</v>
      </c>
      <c r="H632" s="22" t="str">
        <f t="array" ref="H632">IFERROR(INDEX('Hub CPC 226'!A:A, MATCH(C632, 'Hub CPC 226'!B:B, 0)), "")</f>
        <v/>
      </c>
      <c r="I632" s="22" t="str">
        <f t="array" ref="I632">IFERROR(INDEX('Hub Users 226'!A:A, MATCH(C632, 'Hub Users 226'!B:B, 0)), "")</f>
        <v/>
      </c>
      <c r="J632" s="22"/>
      <c r="K632" s="23" t="s">
        <v>5033</v>
      </c>
      <c r="L632" s="25">
        <v>44245.59305555555</v>
      </c>
      <c r="M632" s="28">
        <v>3.0</v>
      </c>
      <c r="N632" s="28">
        <v>5.0</v>
      </c>
      <c r="O632" s="28">
        <v>13.0</v>
      </c>
      <c r="P632" s="31"/>
      <c r="Q632" s="22" t="s">
        <v>2002</v>
      </c>
      <c r="R632" s="22" t="s">
        <v>2003</v>
      </c>
      <c r="S632" s="22" t="s">
        <v>2004</v>
      </c>
      <c r="T632" s="22" t="s">
        <v>272</v>
      </c>
      <c r="U632" s="24"/>
      <c r="V632" s="23"/>
      <c r="W632" s="23"/>
      <c r="X632" s="23"/>
      <c r="Y632" s="23"/>
      <c r="Z632" s="28"/>
      <c r="AA632" s="23"/>
      <c r="AB632" s="23" t="str">
        <f>IFERROR(__xludf.DUMMYFUNCTION("IF(
ISNUMBER(MATCH(
C632,
IMPORTRANGE(""https://docs.google.com/spreadsheets/d/1yTh1ELC33JHYOeEdgIiEclxPRyh0zOKtlawDltfUay8"",""'Champions'!A:A""),
0
)),
""Outreach Conducted"",
"""")"),"")</f>
        <v/>
      </c>
      <c r="AC632" s="23"/>
      <c r="AD632" s="23"/>
      <c r="AE632" s="23"/>
      <c r="AF632" s="23"/>
      <c r="AG632" s="23"/>
      <c r="AH632" s="23"/>
      <c r="AI632" s="23"/>
      <c r="AJ632" s="23"/>
      <c r="AK632" s="23"/>
      <c r="AL632" s="23"/>
    </row>
    <row r="633" hidden="1">
      <c r="A633" s="22" t="s">
        <v>3061</v>
      </c>
      <c r="B633" s="22" t="s">
        <v>5034</v>
      </c>
      <c r="C633" s="23" t="str">
        <f t="shared" si="1"/>
        <v>Susan Boxman (D)</v>
      </c>
      <c r="D633" s="22">
        <v>1.6103064534E10</v>
      </c>
      <c r="E633" s="29" t="s">
        <v>5035</v>
      </c>
      <c r="F633" s="22" t="s">
        <v>30</v>
      </c>
      <c r="G633" s="22">
        <v>450.0</v>
      </c>
      <c r="H633" s="22" t="str">
        <f t="array" ref="H633">IFERROR(INDEX('Hub CPC 226'!A:A, MATCH(C633, 'Hub CPC 226'!B:B, 0)), "")</f>
        <v/>
      </c>
      <c r="I633" s="22" t="str">
        <f t="array" ref="I633">IFERROR(INDEX('Hub Users 226'!A:A, MATCH(C633, 'Hub Users 226'!B:B, 0)), "")</f>
        <v/>
      </c>
      <c r="J633" s="22"/>
      <c r="K633" s="23" t="s">
        <v>5036</v>
      </c>
      <c r="L633" s="25">
        <v>44242.63958333333</v>
      </c>
      <c r="M633" s="23"/>
      <c r="N633" s="23"/>
      <c r="O633" s="23"/>
      <c r="P633" s="23"/>
      <c r="Q633" s="22" t="s">
        <v>3065</v>
      </c>
      <c r="R633" s="22" t="s">
        <v>3066</v>
      </c>
      <c r="S633" s="22" t="s">
        <v>380</v>
      </c>
      <c r="T633" s="22" t="s">
        <v>381</v>
      </c>
      <c r="U633" s="24"/>
      <c r="V633" s="23"/>
      <c r="W633" s="23"/>
      <c r="X633" s="23"/>
      <c r="Y633" s="23"/>
      <c r="Z633" s="28"/>
      <c r="AA633" s="23"/>
      <c r="AB633" s="23" t="str">
        <f>IFERROR(__xludf.DUMMYFUNCTION("IF(
ISNUMBER(MATCH(
C633,
IMPORTRANGE(""https://docs.google.com/spreadsheets/d/1yTh1ELC33JHYOeEdgIiEclxPRyh0zOKtlawDltfUay8"",""'Champions'!A:A""),
0
)),
""Outreach Conducted"",
"""")"),"")</f>
        <v/>
      </c>
      <c r="AC633" s="23"/>
      <c r="AD633" s="23"/>
      <c r="AE633" s="23"/>
      <c r="AF633" s="23"/>
      <c r="AG633" s="23"/>
      <c r="AH633" s="23"/>
      <c r="AI633" s="23"/>
      <c r="AJ633" s="23"/>
      <c r="AK633" s="23"/>
      <c r="AL633" s="23"/>
    </row>
    <row r="634" hidden="1">
      <c r="A634" s="22" t="s">
        <v>1028</v>
      </c>
      <c r="B634" s="22" t="s">
        <v>5037</v>
      </c>
      <c r="C634" s="23" t="str">
        <f t="shared" si="1"/>
        <v>Lena K Dandy (D)</v>
      </c>
      <c r="D634" s="22" t="s">
        <v>1030</v>
      </c>
      <c r="E634" s="29" t="s">
        <v>1031</v>
      </c>
      <c r="F634" s="22" t="s">
        <v>30</v>
      </c>
      <c r="G634" s="22">
        <v>448.0</v>
      </c>
      <c r="H634" s="22" t="str">
        <f t="array" ref="H634">IFERROR(INDEX('Hub CPC 226'!A:A, MATCH(C634, 'Hub CPC 226'!B:B, 0)), "")</f>
        <v/>
      </c>
      <c r="I634" s="22" t="str">
        <f t="array" ref="I634">IFERROR(INDEX('Hub Users 226'!A:A, MATCH(C634, 'Hub Users 226'!B:B, 0)), "")</f>
        <v/>
      </c>
      <c r="J634" s="22"/>
      <c r="K634" s="23" t="s">
        <v>5038</v>
      </c>
      <c r="L634" s="25">
        <v>44238.57708333333</v>
      </c>
      <c r="M634" s="23"/>
      <c r="N634" s="23"/>
      <c r="O634" s="23"/>
      <c r="P634" s="23"/>
      <c r="Q634" s="22" t="s">
        <v>1033</v>
      </c>
      <c r="R634" s="22" t="s">
        <v>380</v>
      </c>
      <c r="S634" s="22" t="s">
        <v>1034</v>
      </c>
      <c r="T634" s="22" t="s">
        <v>241</v>
      </c>
      <c r="U634" s="22" t="s">
        <v>1035</v>
      </c>
      <c r="V634" s="26" t="s">
        <v>5039</v>
      </c>
      <c r="W634" s="27" t="s">
        <v>5040</v>
      </c>
      <c r="X634" s="26" t="s">
        <v>5041</v>
      </c>
      <c r="Y634" s="23"/>
      <c r="Z634" s="28"/>
      <c r="AA634" s="23"/>
      <c r="AB634" s="23" t="str">
        <f>IFERROR(__xludf.DUMMYFUNCTION("IF(
ISNUMBER(MATCH(
C634,
IMPORTRANGE(""https://docs.google.com/spreadsheets/d/1yTh1ELC33JHYOeEdgIiEclxPRyh0zOKtlawDltfUay8"",""'Champions'!A:A""),
0
)),
""Outreach Conducted"",
"""")"),"")</f>
        <v/>
      </c>
      <c r="AC634" s="23"/>
      <c r="AD634" s="23"/>
      <c r="AE634" s="23"/>
      <c r="AF634" s="23"/>
      <c r="AG634" s="23"/>
      <c r="AH634" s="23"/>
      <c r="AI634" s="23"/>
      <c r="AJ634" s="23"/>
      <c r="AK634" s="23"/>
      <c r="AL634" s="23"/>
    </row>
    <row r="635" hidden="1">
      <c r="A635" s="22" t="s">
        <v>5042</v>
      </c>
      <c r="B635" s="22" t="s">
        <v>5043</v>
      </c>
      <c r="C635" s="23" t="str">
        <f t="shared" si="1"/>
        <v>Maria José Montero Romero</v>
      </c>
      <c r="D635" s="22" t="s">
        <v>5044</v>
      </c>
      <c r="E635" s="29" t="s">
        <v>5045</v>
      </c>
      <c r="F635" s="22" t="s">
        <v>248</v>
      </c>
      <c r="G635" s="22">
        <v>434.0</v>
      </c>
      <c r="H635" s="22">
        <f t="array" ref="H635">IFERROR(INDEX('Hub CPC 226'!A:A, MATCH(C635, 'Hub CPC 226'!B:B, 0)), "")</f>
        <v>253</v>
      </c>
      <c r="I635" s="22">
        <v>272.0</v>
      </c>
      <c r="J635" s="22" t="s">
        <v>107</v>
      </c>
      <c r="K635" s="23" t="s">
        <v>5046</v>
      </c>
      <c r="L635" s="25">
        <v>44221.464583333334</v>
      </c>
      <c r="M635" s="23"/>
      <c r="N635" s="23"/>
      <c r="O635" s="23"/>
      <c r="P635" s="23"/>
      <c r="Q635" s="22" t="s">
        <v>5047</v>
      </c>
      <c r="R635" s="22" t="s">
        <v>5048</v>
      </c>
      <c r="S635" s="24"/>
      <c r="T635" s="24"/>
      <c r="U635" s="22" t="s">
        <v>403</v>
      </c>
      <c r="V635" s="26" t="s">
        <v>360</v>
      </c>
      <c r="W635" s="27" t="s">
        <v>5049</v>
      </c>
      <c r="X635" s="26" t="s">
        <v>2141</v>
      </c>
      <c r="Y635" s="23"/>
      <c r="Z635" s="28"/>
      <c r="AA635" s="23"/>
      <c r="AB635" s="23" t="str">
        <f>IFERROR(__xludf.DUMMYFUNCTION("IF(
ISNUMBER(MATCH(
C635,
IMPORTRANGE(""https://docs.google.com/spreadsheets/d/1yTh1ELC33JHYOeEdgIiEclxPRyh0zOKtlawDltfUay8"",""'Champions'!A:A""),
0
)),
""Outreach Conducted"",
"""")"),"")</f>
        <v/>
      </c>
      <c r="AC635" s="23"/>
      <c r="AD635" s="23"/>
      <c r="AE635" s="23"/>
      <c r="AF635" s="23"/>
      <c r="AG635" s="23"/>
      <c r="AH635" s="23"/>
      <c r="AI635" s="23"/>
      <c r="AJ635" s="23"/>
      <c r="AK635" s="23"/>
      <c r="AL635" s="23"/>
    </row>
    <row r="636" hidden="1">
      <c r="A636" s="22" t="s">
        <v>5050</v>
      </c>
      <c r="B636" s="22" t="s">
        <v>5051</v>
      </c>
      <c r="C636" s="23" t="str">
        <f t="shared" si="1"/>
        <v>Lizbeth Álvarez</v>
      </c>
      <c r="D636" s="22" t="s">
        <v>5052</v>
      </c>
      <c r="E636" s="29" t="s">
        <v>5053</v>
      </c>
      <c r="F636" s="22" t="s">
        <v>248</v>
      </c>
      <c r="G636" s="22">
        <v>107.0</v>
      </c>
      <c r="H636" s="22">
        <f t="array" ref="H636">IFERROR(INDEX('Hub CPC 226'!A:A, MATCH(C636, 'Hub CPC 226'!B:B, 0)), "")</f>
        <v>233</v>
      </c>
      <c r="I636" s="22">
        <v>252.0</v>
      </c>
      <c r="J636" s="22" t="s">
        <v>240</v>
      </c>
      <c r="K636" s="23" t="s">
        <v>5054</v>
      </c>
      <c r="L636" s="25">
        <v>43484.708333333336</v>
      </c>
      <c r="M636" s="23"/>
      <c r="N636" s="23"/>
      <c r="O636" s="23"/>
      <c r="P636" s="23"/>
      <c r="Q636" s="22" t="s">
        <v>5055</v>
      </c>
      <c r="R636" s="22" t="s">
        <v>5056</v>
      </c>
      <c r="S636" s="22" t="s">
        <v>2913</v>
      </c>
      <c r="T636" s="22" t="s">
        <v>841</v>
      </c>
      <c r="U636" s="22" t="s">
        <v>5057</v>
      </c>
      <c r="V636" s="26" t="s">
        <v>5058</v>
      </c>
      <c r="W636" s="27" t="s">
        <v>5059</v>
      </c>
      <c r="X636" s="26" t="s">
        <v>619</v>
      </c>
      <c r="Y636" s="23"/>
      <c r="Z636" s="28"/>
      <c r="AA636" s="23"/>
      <c r="AB636" s="23" t="str">
        <f>IFERROR(__xludf.DUMMYFUNCTION("IF(
ISNUMBER(MATCH(
C636,
IMPORTRANGE(""https://docs.google.com/spreadsheets/d/1yTh1ELC33JHYOeEdgIiEclxPRyh0zOKtlawDltfUay8"",""'Champions'!A:A""),
0
)),
""Outreach Conducted"",
"""")"),"")</f>
        <v/>
      </c>
      <c r="AC636" s="23"/>
      <c r="AD636" s="23"/>
      <c r="AE636" s="23"/>
      <c r="AF636" s="23"/>
      <c r="AG636" s="23"/>
      <c r="AH636" s="23"/>
      <c r="AI636" s="23"/>
      <c r="AJ636" s="23"/>
      <c r="AK636" s="23"/>
      <c r="AL636" s="23"/>
    </row>
    <row r="637" hidden="1">
      <c r="A637" s="22" t="s">
        <v>5060</v>
      </c>
      <c r="B637" s="22" t="s">
        <v>5061</v>
      </c>
      <c r="C637" s="23" t="str">
        <f t="shared" si="1"/>
        <v>Verónica Nataly Heredia Guzmán</v>
      </c>
      <c r="D637" s="30">
        <v>5.93998E11</v>
      </c>
      <c r="E637" s="29" t="s">
        <v>5062</v>
      </c>
      <c r="F637" s="22" t="s">
        <v>248</v>
      </c>
      <c r="G637" s="22">
        <v>36.0</v>
      </c>
      <c r="H637" s="22">
        <f t="array" ref="H637">IFERROR(INDEX('Hub CPC 226'!A:A, MATCH(C637, 'Hub CPC 226'!B:B, 0)), "")</f>
        <v>402</v>
      </c>
      <c r="I637" s="22">
        <v>421.0</v>
      </c>
      <c r="J637" s="22" t="s">
        <v>290</v>
      </c>
      <c r="K637" s="23" t="s">
        <v>5063</v>
      </c>
      <c r="L637" s="25">
        <v>43338.743055555555</v>
      </c>
      <c r="M637" s="23"/>
      <c r="N637" s="23"/>
      <c r="O637" s="23"/>
      <c r="P637" s="23"/>
      <c r="Q637" s="22" t="s">
        <v>2741</v>
      </c>
      <c r="R637" s="22" t="s">
        <v>5064</v>
      </c>
      <c r="S637" s="22" t="s">
        <v>2633</v>
      </c>
      <c r="T637" s="22" t="s">
        <v>241</v>
      </c>
      <c r="U637" s="22" t="s">
        <v>5065</v>
      </c>
      <c r="V637" s="23"/>
      <c r="W637" s="23"/>
      <c r="X637" s="23"/>
      <c r="Y637" s="23"/>
      <c r="Z637" s="28"/>
      <c r="AA637" s="23"/>
      <c r="AB637" s="23" t="str">
        <f>IFERROR(__xludf.DUMMYFUNCTION("IF(
ISNUMBER(MATCH(
C637,
IMPORTRANGE(""https://docs.google.com/spreadsheets/d/1yTh1ELC33JHYOeEdgIiEclxPRyh0zOKtlawDltfUay8"",""'Champions'!A:A""),
0
)),
""Outreach Conducted"",
"""")"),"")</f>
        <v/>
      </c>
      <c r="AC637" s="23"/>
      <c r="AD637" s="23"/>
      <c r="AE637" s="23"/>
      <c r="AF637" s="23"/>
      <c r="AG637" s="23"/>
      <c r="AH637" s="23"/>
      <c r="AI637" s="23"/>
      <c r="AJ637" s="23"/>
      <c r="AK637" s="23"/>
      <c r="AL637" s="23"/>
    </row>
    <row r="638" hidden="1">
      <c r="A638" s="22" t="s">
        <v>3820</v>
      </c>
      <c r="B638" s="22" t="s">
        <v>5066</v>
      </c>
      <c r="C638" s="23" t="str">
        <f t="shared" si="1"/>
        <v>Jimena Montane Azpiri (D)</v>
      </c>
      <c r="D638" s="24"/>
      <c r="E638" s="29" t="s">
        <v>3822</v>
      </c>
      <c r="F638" s="22" t="s">
        <v>30</v>
      </c>
      <c r="G638" s="22">
        <v>709.0</v>
      </c>
      <c r="H638" s="22" t="str">
        <f t="array" ref="H638">IFERROR(INDEX('Hub CPC 226'!A:A, MATCH(C638, 'Hub CPC 226'!B:B, 0)), "")</f>
        <v/>
      </c>
      <c r="I638" s="22" t="str">
        <f t="array" ref="I638">IFERROR(INDEX('Hub Users 226'!A:A, MATCH(C638, 'Hub Users 226'!B:B, 0)), "")</f>
        <v/>
      </c>
      <c r="J638" s="22"/>
      <c r="K638" s="23" t="s">
        <v>5067</v>
      </c>
      <c r="L638" s="25">
        <v>45000.53194444445</v>
      </c>
      <c r="M638" s="23"/>
      <c r="N638" s="23"/>
      <c r="O638" s="23"/>
      <c r="P638" s="23"/>
      <c r="Q638" s="24"/>
      <c r="R638" s="22" t="s">
        <v>3824</v>
      </c>
      <c r="S638" s="24"/>
      <c r="T638" s="24"/>
      <c r="U638" s="22" t="s">
        <v>3825</v>
      </c>
      <c r="V638" s="26" t="s">
        <v>475</v>
      </c>
      <c r="W638" s="27" t="s">
        <v>5068</v>
      </c>
      <c r="X638" s="26" t="s">
        <v>1085</v>
      </c>
      <c r="Y638" s="23"/>
      <c r="Z638" s="28"/>
      <c r="AA638" s="23"/>
      <c r="AB638" s="23" t="str">
        <f>IFERROR(__xludf.DUMMYFUNCTION("IF(
ISNUMBER(MATCH(
C638,
IMPORTRANGE(""https://docs.google.com/spreadsheets/d/1yTh1ELC33JHYOeEdgIiEclxPRyh0zOKtlawDltfUay8"",""'Champions'!A:A""),
0
)),
""Outreach Conducted"",
"""")"),"")</f>
        <v/>
      </c>
      <c r="AC638" s="23"/>
      <c r="AD638" s="23"/>
      <c r="AE638" s="23"/>
      <c r="AF638" s="23"/>
      <c r="AG638" s="23"/>
      <c r="AH638" s="23"/>
      <c r="AI638" s="23"/>
      <c r="AJ638" s="23"/>
      <c r="AK638" s="23"/>
      <c r="AL638" s="23"/>
    </row>
    <row r="639" hidden="1">
      <c r="A639" s="22" t="s">
        <v>5069</v>
      </c>
      <c r="B639" s="22" t="s">
        <v>5070</v>
      </c>
      <c r="C639" s="23" t="str">
        <f t="shared" si="1"/>
        <v>Katrina Owens</v>
      </c>
      <c r="D639" s="22">
        <v>4.695791802E9</v>
      </c>
      <c r="E639" s="24"/>
      <c r="F639" s="22" t="s">
        <v>399</v>
      </c>
      <c r="G639" s="22">
        <v>510.0</v>
      </c>
      <c r="H639" s="22" t="str">
        <f t="array" ref="H639">IFERROR(INDEX('Hub CPC 226'!A:A, MATCH(C639, 'Hub CPC 226'!B:B, 0)), "")</f>
        <v/>
      </c>
      <c r="I639" s="22" t="str">
        <f t="array" ref="I639">IFERROR(INDEX('Hub Users 226'!A:A, MATCH(C639, 'Hub Users 226'!B:B, 0)), "")</f>
        <v/>
      </c>
      <c r="J639" s="22" t="s">
        <v>407</v>
      </c>
      <c r="K639" s="23" t="s">
        <v>240</v>
      </c>
      <c r="L639" s="25">
        <v>44482.72083333333</v>
      </c>
      <c r="M639" s="23"/>
      <c r="N639" s="23"/>
      <c r="O639" s="23"/>
      <c r="P639" s="23"/>
      <c r="Q639" s="24"/>
      <c r="R639" s="24"/>
      <c r="S639" s="24"/>
      <c r="T639" s="24"/>
      <c r="U639" s="24"/>
      <c r="V639" s="23"/>
      <c r="W639" s="23"/>
      <c r="X639" s="23"/>
      <c r="Y639" s="23"/>
      <c r="Z639" s="23"/>
      <c r="AA639" s="23"/>
      <c r="AB639" s="23" t="str">
        <f>IFERROR(__xludf.DUMMYFUNCTION("IF(
ISNUMBER(MATCH(
C639,
IMPORTRANGE(""https://docs.google.com/spreadsheets/d/1yTh1ELC33JHYOeEdgIiEclxPRyh0zOKtlawDltfUay8"",""'Champions'!A:A""),
0
)),
""Outreach Conducted"",
"""")"),"")</f>
        <v/>
      </c>
      <c r="AC639" s="23"/>
      <c r="AD639" s="23"/>
      <c r="AE639" s="23"/>
      <c r="AF639" s="23"/>
      <c r="AG639" s="23"/>
      <c r="AH639" s="23"/>
      <c r="AI639" s="23"/>
      <c r="AJ639" s="23"/>
      <c r="AK639" s="23"/>
      <c r="AL639" s="23"/>
    </row>
    <row r="640" hidden="1">
      <c r="A640" s="31"/>
      <c r="B640" s="31"/>
      <c r="C640" s="23" t="str">
        <f t="shared" si="1"/>
        <v> </v>
      </c>
      <c r="D640" s="32">
        <v>5.41263548E8</v>
      </c>
      <c r="E640" s="32" t="s">
        <v>5071</v>
      </c>
      <c r="F640" s="28" t="s">
        <v>2536</v>
      </c>
      <c r="G640" s="32">
        <v>307.0</v>
      </c>
      <c r="H640" s="22" t="str">
        <f t="array" ref="H640">IFERROR(INDEX('Hub CPC 226'!A:A, MATCH(C640, 'Hub CPC 226'!B:B, 0)), "")</f>
        <v/>
      </c>
      <c r="I640" s="22" t="str">
        <f t="array" ref="I640">IFERROR(INDEX('Hub Users 226'!A:A, MATCH(C640, 'Hub Users 226'!B:B, 0)), "")</f>
        <v/>
      </c>
      <c r="J640" s="22"/>
      <c r="K640" s="23" t="s">
        <v>5072</v>
      </c>
      <c r="L640" s="37">
        <v>43907.459027777775</v>
      </c>
      <c r="M640" s="23"/>
      <c r="N640" s="23"/>
      <c r="O640" s="23"/>
      <c r="P640" s="23"/>
      <c r="Q640" s="32" t="s">
        <v>5073</v>
      </c>
      <c r="R640" s="31"/>
      <c r="S640" s="24"/>
      <c r="T640" s="24"/>
      <c r="U640" s="32" t="s">
        <v>5074</v>
      </c>
      <c r="V640" s="23"/>
      <c r="W640" s="23"/>
      <c r="X640" s="23"/>
      <c r="Y640" s="23"/>
      <c r="Z640" s="23"/>
      <c r="AA640" s="23"/>
      <c r="AB640" s="23" t="str">
        <f>IFERROR(__xludf.DUMMYFUNCTION("IF(
ISNUMBER(MATCH(
C640,
IMPORTRANGE(""https://docs.google.com/spreadsheets/d/1yTh1ELC33JHYOeEdgIiEclxPRyh0zOKtlawDltfUay8"",""'Champions'!A:A""),
0
)),
""Outreach Conducted"",
"""")"),"")</f>
        <v/>
      </c>
      <c r="AC640" s="23"/>
      <c r="AD640" s="23"/>
      <c r="AE640" s="23"/>
      <c r="AF640" s="23"/>
      <c r="AG640" s="23"/>
      <c r="AH640" s="23"/>
      <c r="AI640" s="23"/>
      <c r="AJ640" s="23"/>
      <c r="AK640" s="23"/>
      <c r="AL640" s="23"/>
    </row>
    <row r="641" hidden="1">
      <c r="A641" s="32" t="s">
        <v>5075</v>
      </c>
      <c r="B641" s="32" t="s">
        <v>5076</v>
      </c>
      <c r="C641" s="23" t="str">
        <f t="shared" si="1"/>
        <v>Melody C Eric  Bell-Gam </v>
      </c>
      <c r="D641" s="32">
        <v>7.329987156E9</v>
      </c>
      <c r="E641" s="32" t="s">
        <v>5077</v>
      </c>
      <c r="F641" s="28" t="s">
        <v>2536</v>
      </c>
      <c r="G641" s="32">
        <v>305.0</v>
      </c>
      <c r="H641" s="22">
        <v>587.0</v>
      </c>
      <c r="I641" s="22">
        <f t="array" ref="I641">IFERROR(INDEX('Hub Users 226'!A:A, MATCH("Melody C Eric Bell-Gam", 'Hub Users 226'!B:B, 0)), "")</f>
        <v>2486</v>
      </c>
      <c r="J641" s="22"/>
      <c r="K641" s="23" t="s">
        <v>5078</v>
      </c>
      <c r="L641" s="38">
        <v>43815.91736111111</v>
      </c>
      <c r="M641" s="23"/>
      <c r="N641" s="23"/>
      <c r="O641" s="23"/>
      <c r="P641" s="23"/>
      <c r="Q641" s="32" t="s">
        <v>5079</v>
      </c>
      <c r="R641" s="32" t="s">
        <v>5080</v>
      </c>
      <c r="S641" s="22" t="s">
        <v>5081</v>
      </c>
      <c r="T641" s="22" t="s">
        <v>241</v>
      </c>
      <c r="U641" s="32" t="s">
        <v>5082</v>
      </c>
      <c r="V641" s="23"/>
      <c r="W641" s="23"/>
      <c r="X641" s="23"/>
      <c r="Y641" s="23"/>
      <c r="Z641" s="23"/>
      <c r="AA641" s="23"/>
      <c r="AB641" s="23" t="str">
        <f>IFERROR(__xludf.DUMMYFUNCTION("IF(
ISNUMBER(MATCH(
C641,
IMPORTRANGE(""https://docs.google.com/spreadsheets/d/1yTh1ELC33JHYOeEdgIiEclxPRyh0zOKtlawDltfUay8"",""'Champions'!A:A""),
0
)),
""Outreach Conducted"",
"""")"),"")</f>
        <v/>
      </c>
      <c r="AC641" s="23"/>
      <c r="AD641" s="23"/>
      <c r="AE641" s="23"/>
      <c r="AF641" s="23"/>
      <c r="AG641" s="23"/>
      <c r="AH641" s="23"/>
      <c r="AI641" s="23"/>
      <c r="AJ641" s="23"/>
      <c r="AK641" s="23"/>
      <c r="AL641" s="23"/>
    </row>
    <row r="642" hidden="1">
      <c r="A642" s="32" t="s">
        <v>5083</v>
      </c>
      <c r="B642" s="32" t="s">
        <v>5084</v>
      </c>
      <c r="C642" s="23" t="str">
        <f t="shared" si="1"/>
        <v>Rashmi  Gupta</v>
      </c>
      <c r="D642" s="32">
        <v>3.129333739E9</v>
      </c>
      <c r="E642" s="32" t="s">
        <v>5085</v>
      </c>
      <c r="F642" s="28" t="s">
        <v>2536</v>
      </c>
      <c r="G642" s="32">
        <v>70.0</v>
      </c>
      <c r="H642" s="22">
        <f t="array" ref="H642">IFERROR(INDEX('Hub CPC 226'!A:A, MATCH(C642, 'Hub CPC 226'!B:B, 0)), "")</f>
        <v>658</v>
      </c>
      <c r="I642" s="22">
        <v>2558.0</v>
      </c>
      <c r="J642" s="22"/>
      <c r="K642" s="23" t="s">
        <v>5086</v>
      </c>
      <c r="L642" s="37">
        <v>43354.00208333333</v>
      </c>
      <c r="M642" s="28">
        <v>12.0</v>
      </c>
      <c r="N642" s="28">
        <v>59.0</v>
      </c>
      <c r="O642" s="28">
        <v>74.0</v>
      </c>
      <c r="P642" s="32">
        <v>4.0</v>
      </c>
      <c r="Q642" s="32" t="s">
        <v>5087</v>
      </c>
      <c r="R642" s="31"/>
      <c r="S642" s="22" t="s">
        <v>271</v>
      </c>
      <c r="T642" s="22" t="s">
        <v>272</v>
      </c>
      <c r="U642" s="32" t="s">
        <v>5088</v>
      </c>
      <c r="V642" s="26" t="s">
        <v>242</v>
      </c>
      <c r="W642" s="27" t="s">
        <v>5089</v>
      </c>
      <c r="X642" s="26" t="s">
        <v>2577</v>
      </c>
      <c r="Y642" s="23"/>
      <c r="Z642" s="23"/>
      <c r="AA642" s="23"/>
      <c r="AB642" s="23" t="str">
        <f>IFERROR(__xludf.DUMMYFUNCTION("IF(
ISNUMBER(MATCH(
C642,
IMPORTRANGE(""https://docs.google.com/spreadsheets/d/1yTh1ELC33JHYOeEdgIiEclxPRyh0zOKtlawDltfUay8"",""'Champions'!A:A""),
0
)),
""Outreach Conducted"",
"""")"),"")</f>
        <v/>
      </c>
      <c r="AC642" s="23"/>
      <c r="AD642" s="23"/>
      <c r="AE642" s="23"/>
      <c r="AF642" s="23"/>
      <c r="AG642" s="23"/>
      <c r="AH642" s="23"/>
      <c r="AI642" s="23"/>
      <c r="AJ642" s="23"/>
      <c r="AK642" s="23"/>
      <c r="AL642" s="23"/>
    </row>
    <row r="643" hidden="1">
      <c r="A643" s="32" t="s">
        <v>5090</v>
      </c>
      <c r="B643" s="32" t="s">
        <v>5091</v>
      </c>
      <c r="C643" s="23" t="str">
        <f t="shared" si="1"/>
        <v>Maria Guia Burn</v>
      </c>
      <c r="D643" s="32" t="s">
        <v>3942</v>
      </c>
      <c r="E643" s="32" t="s">
        <v>3943</v>
      </c>
      <c r="F643" s="28" t="s">
        <v>769</v>
      </c>
      <c r="G643" s="32">
        <v>534.0</v>
      </c>
      <c r="H643" s="22" t="str">
        <f t="array" ref="H643">IFERROR(INDEX('Hub CPC 226'!A:A, MATCH(C643, 'Hub CPC 226'!B:B, 0)), "")</f>
        <v/>
      </c>
      <c r="I643" s="22" t="str">
        <f t="array" ref="I643">IFERROR(INDEX('Hub Users 226'!A:A, MATCH(C643, 'Hub Users 226'!B:B, 0)), "")</f>
        <v/>
      </c>
      <c r="J643" s="22"/>
      <c r="K643" s="23" t="s">
        <v>5092</v>
      </c>
      <c r="L643" s="37">
        <v>44504.604166666664</v>
      </c>
      <c r="M643" s="23"/>
      <c r="N643" s="23"/>
      <c r="O643" s="23"/>
      <c r="P643" s="23"/>
      <c r="Q643" s="32" t="s">
        <v>3945</v>
      </c>
      <c r="R643" s="32" t="s">
        <v>3946</v>
      </c>
      <c r="S643" s="32" t="s">
        <v>3947</v>
      </c>
      <c r="T643" s="22" t="s">
        <v>3688</v>
      </c>
      <c r="U643" s="32" t="s">
        <v>3948</v>
      </c>
      <c r="V643" s="26" t="s">
        <v>360</v>
      </c>
      <c r="W643" s="27" t="s">
        <v>5093</v>
      </c>
      <c r="X643" s="26" t="s">
        <v>362</v>
      </c>
      <c r="Y643" s="23"/>
      <c r="Z643" s="23"/>
      <c r="AA643" s="23"/>
      <c r="AB643" s="23" t="str">
        <f>IFERROR(__xludf.DUMMYFUNCTION("IF(
ISNUMBER(MATCH(
C643,
IMPORTRANGE(""https://docs.google.com/spreadsheets/d/1yTh1ELC33JHYOeEdgIiEclxPRyh0zOKtlawDltfUay8"",""'Champions'!A:A""),
0
)),
""Outreach Conducted"",
"""")"),"")</f>
        <v/>
      </c>
      <c r="AC643" s="23"/>
      <c r="AD643" s="23"/>
      <c r="AE643" s="23"/>
      <c r="AF643" s="23"/>
      <c r="AG643" s="23"/>
      <c r="AH643" s="23"/>
      <c r="AI643" s="23"/>
      <c r="AJ643" s="23"/>
      <c r="AK643" s="23"/>
      <c r="AL643" s="23"/>
    </row>
    <row r="644" hidden="1">
      <c r="A644" s="32" t="s">
        <v>5094</v>
      </c>
      <c r="B644" s="32" t="s">
        <v>5095</v>
      </c>
      <c r="C644" s="23" t="str">
        <f t="shared" si="1"/>
        <v>Vicky  Ha</v>
      </c>
      <c r="D644" s="32">
        <v>5.174022845E9</v>
      </c>
      <c r="E644" s="32" t="s">
        <v>5096</v>
      </c>
      <c r="F644" s="28" t="s">
        <v>769</v>
      </c>
      <c r="G644" s="32">
        <v>391.0</v>
      </c>
      <c r="H644" s="22">
        <f t="array" ref="H644">IFERROR(INDEX('Hub CPC 226'!A:A, MATCH(C644, 'Hub CPC 226'!B:B, 0)), "")</f>
        <v>154</v>
      </c>
      <c r="I644" s="22">
        <v>174.0</v>
      </c>
      <c r="J644" s="22"/>
      <c r="K644" s="23" t="s">
        <v>5097</v>
      </c>
      <c r="L644" s="37">
        <v>44200.65972222222</v>
      </c>
      <c r="M644" s="23"/>
      <c r="N644" s="23"/>
      <c r="O644" s="23"/>
      <c r="P644" s="23"/>
      <c r="Q644" s="32" t="s">
        <v>5098</v>
      </c>
      <c r="R644" s="32" t="s">
        <v>473</v>
      </c>
      <c r="S644" s="32" t="s">
        <v>473</v>
      </c>
      <c r="T644" s="22" t="s">
        <v>252</v>
      </c>
      <c r="U644" s="32" t="s">
        <v>756</v>
      </c>
      <c r="V644" s="23"/>
      <c r="W644" s="23"/>
      <c r="X644" s="23"/>
      <c r="Y644" s="23"/>
      <c r="Z644" s="23"/>
      <c r="AA644" s="23"/>
      <c r="AB644" s="23" t="str">
        <f>IFERROR(__xludf.DUMMYFUNCTION("IF(
ISNUMBER(MATCH(
C644,
IMPORTRANGE(""https://docs.google.com/spreadsheets/d/1yTh1ELC33JHYOeEdgIiEclxPRyh0zOKtlawDltfUay8"",""'Champions'!A:A""),
0
)),
""Outreach Conducted"",
"""")"),"")</f>
        <v/>
      </c>
      <c r="AC644" s="23"/>
      <c r="AD644" s="23"/>
      <c r="AE644" s="23"/>
      <c r="AF644" s="23"/>
      <c r="AG644" s="23"/>
      <c r="AH644" s="23"/>
      <c r="AI644" s="23"/>
      <c r="AJ644" s="23"/>
      <c r="AK644" s="23"/>
      <c r="AL644" s="23"/>
    </row>
    <row r="645" hidden="1">
      <c r="A645" s="31"/>
      <c r="B645" s="31"/>
      <c r="C645" s="23" t="str">
        <f t="shared" si="1"/>
        <v> </v>
      </c>
      <c r="D645" s="32">
        <v>7.188247462E9</v>
      </c>
      <c r="E645" s="32" t="s">
        <v>5099</v>
      </c>
      <c r="F645" s="28" t="s">
        <v>769</v>
      </c>
      <c r="G645" s="32">
        <v>362.0</v>
      </c>
      <c r="H645" s="22" t="str">
        <f t="array" ref="H645">IFERROR(INDEX('Hub CPC 226'!A:A, MATCH(C645, 'Hub CPC 226'!B:B, 0)), "")</f>
        <v/>
      </c>
      <c r="I645" s="22" t="str">
        <f t="array" ref="I645">IFERROR(INDEX('Hub Users 226'!A:A, MATCH(C645, 'Hub Users 226'!B:B, 0)), "")</f>
        <v/>
      </c>
      <c r="J645" s="22"/>
      <c r="K645" s="23" t="s">
        <v>5100</v>
      </c>
      <c r="L645" s="38">
        <v>44125.49930555555</v>
      </c>
      <c r="M645" s="23"/>
      <c r="N645" s="23"/>
      <c r="O645" s="23"/>
      <c r="P645" s="23"/>
      <c r="Q645" s="31"/>
      <c r="R645" s="31"/>
      <c r="S645" s="24"/>
      <c r="T645" s="24"/>
      <c r="U645" s="31"/>
      <c r="V645" s="23"/>
      <c r="W645" s="23"/>
      <c r="X645" s="23"/>
      <c r="Y645" s="23"/>
      <c r="Z645" s="23"/>
      <c r="AA645" s="23"/>
      <c r="AB645" s="23" t="str">
        <f>IFERROR(__xludf.DUMMYFUNCTION("IF(
ISNUMBER(MATCH(
C645,
IMPORTRANGE(""https://docs.google.com/spreadsheets/d/1yTh1ELC33JHYOeEdgIiEclxPRyh0zOKtlawDltfUay8"",""'Champions'!A:A""),
0
)),
""Outreach Conducted"",
"""")"),"")</f>
        <v/>
      </c>
      <c r="AC645" s="23"/>
      <c r="AD645" s="23"/>
      <c r="AE645" s="23"/>
      <c r="AF645" s="23"/>
      <c r="AG645" s="23"/>
      <c r="AH645" s="23"/>
      <c r="AI645" s="23"/>
      <c r="AJ645" s="23"/>
      <c r="AK645" s="23"/>
      <c r="AL645" s="23"/>
    </row>
    <row r="646" hidden="1">
      <c r="A646" s="32" t="s">
        <v>5101</v>
      </c>
      <c r="B646" s="32" t="s">
        <v>5102</v>
      </c>
      <c r="C646" s="23" t="str">
        <f t="shared" si="1"/>
        <v>Brandy  Marie Jones</v>
      </c>
      <c r="D646" s="32">
        <v>4.016925439E9</v>
      </c>
      <c r="E646" s="32" t="s">
        <v>5103</v>
      </c>
      <c r="F646" s="28" t="s">
        <v>769</v>
      </c>
      <c r="G646" s="32">
        <v>344.0</v>
      </c>
      <c r="H646" s="22">
        <f t="array" ref="H646">IFERROR(INDEX('Hub CPC 226'!A:A, MATCH(C646, 'Hub CPC 226'!B:B, 0)), "")</f>
        <v>574</v>
      </c>
      <c r="I646" s="22">
        <v>2473.0</v>
      </c>
      <c r="J646" s="22"/>
      <c r="K646" s="23" t="s">
        <v>5104</v>
      </c>
      <c r="L646" s="37">
        <v>44063.75902777778</v>
      </c>
      <c r="M646" s="23"/>
      <c r="N646" s="23"/>
      <c r="O646" s="23"/>
      <c r="P646" s="23"/>
      <c r="Q646" s="32" t="s">
        <v>5105</v>
      </c>
      <c r="R646" s="32" t="s">
        <v>674</v>
      </c>
      <c r="S646" s="22" t="s">
        <v>4427</v>
      </c>
      <c r="T646" s="22" t="s">
        <v>241</v>
      </c>
      <c r="U646" s="32" t="s">
        <v>3035</v>
      </c>
      <c r="V646" s="23"/>
      <c r="W646" s="23"/>
      <c r="X646" s="23"/>
      <c r="Y646" s="23"/>
      <c r="Z646" s="23"/>
      <c r="AA646" s="23"/>
      <c r="AB646" s="23" t="str">
        <f>IFERROR(__xludf.DUMMYFUNCTION("IF(
ISNUMBER(MATCH(
C646,
IMPORTRANGE(""https://docs.google.com/spreadsheets/d/1yTh1ELC33JHYOeEdgIiEclxPRyh0zOKtlawDltfUay8"",""'Champions'!A:A""),
0
)),
""Outreach Conducted"",
"""")"),"")</f>
        <v/>
      </c>
      <c r="AC646" s="23"/>
      <c r="AD646" s="23"/>
      <c r="AE646" s="23"/>
      <c r="AF646" s="23"/>
      <c r="AG646" s="23"/>
      <c r="AH646" s="23"/>
      <c r="AI646" s="23"/>
      <c r="AJ646" s="23"/>
      <c r="AK646" s="23"/>
      <c r="AL646" s="23"/>
    </row>
    <row r="647" hidden="1">
      <c r="A647" s="32" t="s">
        <v>738</v>
      </c>
      <c r="B647" s="32" t="s">
        <v>5106</v>
      </c>
      <c r="C647" s="23" t="str">
        <f t="shared" si="1"/>
        <v>Brenda Báez-Costa</v>
      </c>
      <c r="D647" s="32">
        <v>7.279001883E9</v>
      </c>
      <c r="E647" s="32" t="s">
        <v>5107</v>
      </c>
      <c r="F647" s="28" t="s">
        <v>769</v>
      </c>
      <c r="G647" s="32">
        <v>303.0</v>
      </c>
      <c r="H647" s="22">
        <f t="array" ref="H647">IFERROR(INDEX('Hub CPC 226'!A:A, MATCH(C647, 'Hub CPC 226'!B:B, 0)), "")</f>
        <v>588</v>
      </c>
      <c r="I647" s="22">
        <v>2487.0</v>
      </c>
      <c r="J647" s="22"/>
      <c r="K647" s="23" t="s">
        <v>5108</v>
      </c>
      <c r="L647" s="37">
        <v>43804.399305555555</v>
      </c>
      <c r="M647" s="23"/>
      <c r="N647" s="23"/>
      <c r="O647" s="23"/>
      <c r="P647" s="23"/>
      <c r="Q647" s="32" t="s">
        <v>5109</v>
      </c>
      <c r="R647" s="32" t="s">
        <v>5109</v>
      </c>
      <c r="S647" s="32" t="s">
        <v>5110</v>
      </c>
      <c r="T647" s="22" t="s">
        <v>841</v>
      </c>
      <c r="U647" s="32" t="s">
        <v>5111</v>
      </c>
      <c r="V647" s="23"/>
      <c r="W647" s="23"/>
      <c r="X647" s="23"/>
      <c r="Y647" s="23"/>
      <c r="Z647" s="23"/>
      <c r="AA647" s="23"/>
      <c r="AB647" s="23" t="str">
        <f>IFERROR(__xludf.DUMMYFUNCTION("IF(
ISNUMBER(MATCH(
C647,
IMPORTRANGE(""https://docs.google.com/spreadsheets/d/1yTh1ELC33JHYOeEdgIiEclxPRyh0zOKtlawDltfUay8"",""'Champions'!A:A""),
0
)),
""Outreach Conducted"",
"""")"),"")</f>
        <v/>
      </c>
      <c r="AC647" s="23"/>
      <c r="AD647" s="23"/>
      <c r="AE647" s="23"/>
      <c r="AF647" s="23"/>
      <c r="AG647" s="23"/>
      <c r="AH647" s="23"/>
      <c r="AI647" s="23"/>
      <c r="AJ647" s="23"/>
      <c r="AK647" s="23"/>
      <c r="AL647" s="23"/>
    </row>
    <row r="648" hidden="1">
      <c r="A648" s="32" t="s">
        <v>5112</v>
      </c>
      <c r="B648" s="32" t="s">
        <v>5113</v>
      </c>
      <c r="C648" s="23" t="str">
        <f t="shared" si="1"/>
        <v>Akanksha  sharma</v>
      </c>
      <c r="D648" s="32" t="s">
        <v>5114</v>
      </c>
      <c r="E648" s="32" t="s">
        <v>5115</v>
      </c>
      <c r="F648" s="28" t="s">
        <v>769</v>
      </c>
      <c r="G648" s="32">
        <v>301.0</v>
      </c>
      <c r="H648" s="22">
        <f t="array" ref="H648">IFERROR(INDEX('Hub CPC 226'!A:A, MATCH(C648, 'Hub CPC 226'!B:B, 0)), "")</f>
        <v>589</v>
      </c>
      <c r="I648" s="22">
        <v>2488.0</v>
      </c>
      <c r="J648" s="22"/>
      <c r="K648" s="23" t="s">
        <v>5116</v>
      </c>
      <c r="L648" s="38">
        <v>43796.90555555555</v>
      </c>
      <c r="M648" s="23"/>
      <c r="N648" s="23"/>
      <c r="O648" s="23"/>
      <c r="P648" s="23"/>
      <c r="Q648" s="32" t="s">
        <v>5115</v>
      </c>
      <c r="R648" s="32" t="s">
        <v>5117</v>
      </c>
      <c r="S648" s="24"/>
      <c r="T648" s="24"/>
      <c r="U648" s="32" t="s">
        <v>5118</v>
      </c>
      <c r="V648" s="23"/>
      <c r="W648" s="23"/>
      <c r="X648" s="23"/>
      <c r="Y648" s="23"/>
      <c r="Z648" s="23"/>
      <c r="AA648" s="23"/>
      <c r="AB648" s="23" t="str">
        <f>IFERROR(__xludf.DUMMYFUNCTION("IF(
ISNUMBER(MATCH(
C648,
IMPORTRANGE(""https://docs.google.com/spreadsheets/d/1yTh1ELC33JHYOeEdgIiEclxPRyh0zOKtlawDltfUay8"",""'Champions'!A:A""),
0
)),
""Outreach Conducted"",
"""")"),"")</f>
        <v/>
      </c>
      <c r="AC648" s="23"/>
      <c r="AD648" s="23"/>
      <c r="AE648" s="23"/>
      <c r="AF648" s="23"/>
      <c r="AG648" s="23"/>
      <c r="AH648" s="23"/>
      <c r="AI648" s="23"/>
      <c r="AJ648" s="23"/>
      <c r="AK648" s="23"/>
      <c r="AL648" s="23"/>
    </row>
    <row r="649" hidden="1">
      <c r="A649" s="32" t="s">
        <v>5119</v>
      </c>
      <c r="B649" s="32" t="s">
        <v>5120</v>
      </c>
      <c r="C649" s="23" t="str">
        <f t="shared" si="1"/>
        <v>Janice Agresti</v>
      </c>
      <c r="D649" s="31"/>
      <c r="E649" s="31"/>
      <c r="F649" s="28" t="s">
        <v>769</v>
      </c>
      <c r="G649" s="32">
        <v>87.0</v>
      </c>
      <c r="H649" s="22" t="str">
        <f t="array" ref="H649">IFERROR(INDEX('Hub CPC 226'!A:A, MATCH(C649, 'Hub CPC 226'!B:B, 0)), "")</f>
        <v/>
      </c>
      <c r="I649" s="22" t="str">
        <f t="array" ref="I649">IFERROR(INDEX('Hub Users 226'!A:A, MATCH(C649, 'Hub Users 226'!B:B, 0)), "")</f>
        <v/>
      </c>
      <c r="J649" s="22"/>
      <c r="K649" s="23" t="s">
        <v>5121</v>
      </c>
      <c r="L649" s="37">
        <v>43354.01180555556</v>
      </c>
      <c r="M649" s="23"/>
      <c r="N649" s="23"/>
      <c r="O649" s="23"/>
      <c r="P649" s="23"/>
      <c r="Q649" s="31"/>
      <c r="R649" s="31"/>
      <c r="S649" s="24"/>
      <c r="T649" s="24"/>
      <c r="U649" s="31"/>
      <c r="V649" s="23"/>
      <c r="W649" s="23"/>
      <c r="X649" s="23"/>
      <c r="Y649" s="23"/>
      <c r="Z649" s="23"/>
      <c r="AA649" s="23"/>
      <c r="AB649" s="23" t="str">
        <f>IFERROR(__xludf.DUMMYFUNCTION("IF(
ISNUMBER(MATCH(
C649,
IMPORTRANGE(""https://docs.google.com/spreadsheets/d/1yTh1ELC33JHYOeEdgIiEclxPRyh0zOKtlawDltfUay8"",""'Champions'!A:A""),
0
)),
""Outreach Conducted"",
"""")"),"")</f>
        <v/>
      </c>
      <c r="AC649" s="23"/>
      <c r="AD649" s="23"/>
      <c r="AE649" s="23"/>
      <c r="AF649" s="23"/>
      <c r="AG649" s="23"/>
      <c r="AH649" s="23"/>
      <c r="AI649" s="23"/>
      <c r="AJ649" s="23"/>
      <c r="AK649" s="23"/>
      <c r="AL649" s="23"/>
    </row>
    <row r="650" hidden="1">
      <c r="A650" s="31"/>
      <c r="B650" s="31"/>
      <c r="C650" s="23" t="str">
        <f t="shared" si="1"/>
        <v> </v>
      </c>
      <c r="D650" s="32">
        <v>8.573341509E9</v>
      </c>
      <c r="E650" s="32" t="s">
        <v>5122</v>
      </c>
      <c r="F650" s="28" t="s">
        <v>769</v>
      </c>
      <c r="G650" s="32">
        <v>72.0</v>
      </c>
      <c r="H650" s="22" t="str">
        <f t="array" ref="H650">IFERROR(INDEX('Hub CPC 226'!A:A, MATCH(C650, 'Hub CPC 226'!B:B, 0)), "")</f>
        <v/>
      </c>
      <c r="I650" s="22" t="str">
        <f t="array" ref="I650">IFERROR(INDEX('Hub Users 226'!A:A, MATCH(C650, 'Hub Users 226'!B:B, 0)), "")</f>
        <v/>
      </c>
      <c r="J650" s="22"/>
      <c r="K650" s="23" t="s">
        <v>5123</v>
      </c>
      <c r="L650" s="37">
        <v>43354.00208333333</v>
      </c>
      <c r="M650" s="23"/>
      <c r="N650" s="23"/>
      <c r="O650" s="23"/>
      <c r="P650" s="23"/>
      <c r="Q650" s="32" t="s">
        <v>5124</v>
      </c>
      <c r="R650" s="31"/>
      <c r="S650" s="22" t="s">
        <v>5125</v>
      </c>
      <c r="T650" s="22" t="s">
        <v>252</v>
      </c>
      <c r="U650" s="32" t="s">
        <v>5126</v>
      </c>
      <c r="V650" s="23"/>
      <c r="W650" s="23"/>
      <c r="X650" s="23"/>
      <c r="Y650" s="23"/>
      <c r="Z650" s="23"/>
      <c r="AA650" s="23"/>
      <c r="AB650" s="23" t="str">
        <f>IFERROR(__xludf.DUMMYFUNCTION("IF(
ISNUMBER(MATCH(
C650,
IMPORTRANGE(""https://docs.google.com/spreadsheets/d/1yTh1ELC33JHYOeEdgIiEclxPRyh0zOKtlawDltfUay8"",""'Champions'!A:A""),
0
)),
""Outreach Conducted"",
"""")"),"")</f>
        <v/>
      </c>
      <c r="AC650" s="23"/>
      <c r="AD650" s="23"/>
      <c r="AE650" s="23"/>
      <c r="AF650" s="23"/>
      <c r="AG650" s="23"/>
      <c r="AH650" s="23"/>
      <c r="AI650" s="23"/>
      <c r="AJ650" s="23"/>
      <c r="AK650" s="23"/>
      <c r="AL650" s="23"/>
    </row>
    <row r="651" hidden="1">
      <c r="A651" s="28" t="s">
        <v>4927</v>
      </c>
      <c r="B651" s="32" t="s">
        <v>2647</v>
      </c>
      <c r="C651" s="23" t="str">
        <f t="shared" si="1"/>
        <v>Anitha Pai</v>
      </c>
      <c r="D651" s="32" t="s">
        <v>5127</v>
      </c>
      <c r="E651" s="52" t="s">
        <v>4929</v>
      </c>
      <c r="F651" s="23"/>
      <c r="G651" s="31"/>
      <c r="H651" s="23"/>
      <c r="I651" s="23"/>
      <c r="J651" s="22" t="s">
        <v>240</v>
      </c>
      <c r="K651" s="23"/>
      <c r="L651" s="31"/>
      <c r="M651" s="23"/>
      <c r="N651" s="23"/>
      <c r="O651" s="23"/>
      <c r="P651" s="23"/>
      <c r="Q651" s="31"/>
      <c r="R651" s="31"/>
      <c r="S651" s="24"/>
      <c r="T651" s="24"/>
      <c r="U651" s="31"/>
      <c r="V651" s="26" t="s">
        <v>242</v>
      </c>
      <c r="W651" s="35" t="s">
        <v>5128</v>
      </c>
      <c r="X651" s="26" t="s">
        <v>244</v>
      </c>
      <c r="Y651" s="23"/>
      <c r="Z651" s="23"/>
      <c r="AA651" s="23"/>
      <c r="AB651" s="23"/>
      <c r="AC651" s="23"/>
      <c r="AD651" s="23"/>
      <c r="AE651" s="23"/>
      <c r="AF651" s="23"/>
      <c r="AG651" s="23"/>
      <c r="AH651" s="23"/>
      <c r="AI651" s="23"/>
      <c r="AJ651" s="23"/>
      <c r="AK651" s="23"/>
      <c r="AL651" s="23"/>
    </row>
    <row r="652" hidden="1">
      <c r="A652" s="28" t="s">
        <v>2628</v>
      </c>
      <c r="B652" s="32" t="s">
        <v>4869</v>
      </c>
      <c r="C652" s="23" t="str">
        <f t="shared" si="1"/>
        <v>Neha Khorana</v>
      </c>
      <c r="D652" s="32" t="s">
        <v>5129</v>
      </c>
      <c r="E652" s="52" t="s">
        <v>4870</v>
      </c>
      <c r="F652" s="23"/>
      <c r="G652" s="31"/>
      <c r="H652" s="23"/>
      <c r="I652" s="23"/>
      <c r="J652" s="22" t="s">
        <v>240</v>
      </c>
      <c r="K652" s="23"/>
      <c r="L652" s="31"/>
      <c r="M652" s="23"/>
      <c r="N652" s="23"/>
      <c r="O652" s="23"/>
      <c r="P652" s="23"/>
      <c r="Q652" s="31"/>
      <c r="R652" s="31"/>
      <c r="S652" s="24"/>
      <c r="T652" s="24"/>
      <c r="U652" s="31"/>
      <c r="V652" s="26" t="s">
        <v>242</v>
      </c>
      <c r="W652" s="35" t="s">
        <v>4875</v>
      </c>
      <c r="X652" s="26" t="s">
        <v>244</v>
      </c>
      <c r="Y652" s="23"/>
      <c r="Z652" s="23"/>
      <c r="AA652" s="23"/>
      <c r="AB652" s="23"/>
      <c r="AC652" s="23"/>
      <c r="AD652" s="23"/>
      <c r="AE652" s="23"/>
      <c r="AF652" s="23"/>
      <c r="AG652" s="23"/>
      <c r="AH652" s="23"/>
      <c r="AI652" s="23"/>
      <c r="AJ652" s="23"/>
      <c r="AK652" s="23"/>
      <c r="AL652" s="23"/>
    </row>
    <row r="653" hidden="1">
      <c r="A653" s="32" t="s">
        <v>4920</v>
      </c>
      <c r="B653" s="32" t="s">
        <v>5130</v>
      </c>
      <c r="C653" s="23" t="str">
        <f t="shared" si="1"/>
        <v>Nwamaka Ejebe</v>
      </c>
      <c r="D653" s="32" t="s">
        <v>5131</v>
      </c>
      <c r="E653" s="52" t="s">
        <v>4922</v>
      </c>
      <c r="F653" s="23"/>
      <c r="G653" s="31"/>
      <c r="H653" s="23"/>
      <c r="I653" s="23"/>
      <c r="J653" s="22" t="s">
        <v>240</v>
      </c>
      <c r="K653" s="23"/>
      <c r="L653" s="31"/>
      <c r="M653" s="23"/>
      <c r="N653" s="23"/>
      <c r="O653" s="23"/>
      <c r="P653" s="23"/>
      <c r="Q653" s="31"/>
      <c r="R653" s="31"/>
      <c r="S653" s="24"/>
      <c r="T653" s="24"/>
      <c r="U653" s="31"/>
      <c r="V653" s="26" t="s">
        <v>242</v>
      </c>
      <c r="W653" s="35" t="s">
        <v>4926</v>
      </c>
      <c r="X653" s="26" t="s">
        <v>244</v>
      </c>
      <c r="Y653" s="23"/>
      <c r="Z653" s="23"/>
      <c r="AA653" s="23"/>
      <c r="AB653" s="23"/>
      <c r="AC653" s="23"/>
      <c r="AD653" s="23"/>
      <c r="AE653" s="23"/>
      <c r="AF653" s="23"/>
      <c r="AG653" s="23"/>
      <c r="AH653" s="23"/>
      <c r="AI653" s="23"/>
      <c r="AJ653" s="23"/>
      <c r="AK653" s="23"/>
      <c r="AL653" s="23"/>
    </row>
    <row r="654" hidden="1">
      <c r="A654" s="32" t="s">
        <v>4888</v>
      </c>
      <c r="B654" s="32" t="s">
        <v>4889</v>
      </c>
      <c r="C654" s="23" t="str">
        <f t="shared" si="1"/>
        <v>Melisa Bedoya</v>
      </c>
      <c r="D654" s="32" t="s">
        <v>5132</v>
      </c>
      <c r="E654" s="52" t="s">
        <v>4890</v>
      </c>
      <c r="F654" s="23"/>
      <c r="G654" s="31"/>
      <c r="H654" s="23"/>
      <c r="I654" s="23"/>
      <c r="J654" s="22" t="s">
        <v>240</v>
      </c>
      <c r="K654" s="23"/>
      <c r="L654" s="31"/>
      <c r="M654" s="23"/>
      <c r="N654" s="23"/>
      <c r="O654" s="23"/>
      <c r="P654" s="23"/>
      <c r="Q654" s="31"/>
      <c r="R654" s="31"/>
      <c r="S654" s="24"/>
      <c r="T654" s="24"/>
      <c r="U654" s="31"/>
      <c r="V654" s="26" t="s">
        <v>242</v>
      </c>
      <c r="W654" s="35" t="s">
        <v>5133</v>
      </c>
      <c r="X654" s="26" t="s">
        <v>629</v>
      </c>
      <c r="Y654" s="23"/>
      <c r="Z654" s="23"/>
      <c r="AA654" s="23"/>
      <c r="AB654" s="23"/>
      <c r="AC654" s="23"/>
      <c r="AD654" s="23"/>
      <c r="AE654" s="23"/>
      <c r="AF654" s="23"/>
      <c r="AG654" s="23"/>
      <c r="AH654" s="23"/>
      <c r="AI654" s="23"/>
      <c r="AJ654" s="23"/>
      <c r="AK654" s="23"/>
      <c r="AL654" s="23"/>
    </row>
    <row r="655" hidden="1">
      <c r="A655" s="32" t="s">
        <v>4914</v>
      </c>
      <c r="B655" s="32" t="s">
        <v>4915</v>
      </c>
      <c r="C655" s="23" t="str">
        <f t="shared" si="1"/>
        <v>Chevon Drew</v>
      </c>
      <c r="D655" s="31"/>
      <c r="E655" s="52" t="s">
        <v>5134</v>
      </c>
      <c r="F655" s="23"/>
      <c r="G655" s="31"/>
      <c r="H655" s="23"/>
      <c r="I655" s="23"/>
      <c r="J655" s="22" t="s">
        <v>240</v>
      </c>
      <c r="K655" s="23"/>
      <c r="L655" s="31"/>
      <c r="M655" s="23"/>
      <c r="N655" s="23"/>
      <c r="O655" s="23"/>
      <c r="P655" s="23"/>
      <c r="Q655" s="31"/>
      <c r="R655" s="31"/>
      <c r="S655" s="24"/>
      <c r="T655" s="24"/>
      <c r="U655" s="31"/>
      <c r="V655" s="26" t="s">
        <v>242</v>
      </c>
      <c r="W655" s="35" t="s">
        <v>5135</v>
      </c>
      <c r="X655" s="26" t="s">
        <v>2577</v>
      </c>
      <c r="Y655" s="23"/>
      <c r="Z655" s="23"/>
      <c r="AA655" s="23"/>
      <c r="AB655" s="23"/>
      <c r="AC655" s="23"/>
      <c r="AD655" s="23"/>
      <c r="AE655" s="23"/>
      <c r="AF655" s="23"/>
      <c r="AG655" s="23"/>
      <c r="AH655" s="23"/>
      <c r="AI655" s="23"/>
      <c r="AJ655" s="23"/>
      <c r="AK655" s="23"/>
      <c r="AL655" s="23"/>
    </row>
    <row r="656" hidden="1">
      <c r="A656" s="32" t="s">
        <v>5136</v>
      </c>
      <c r="B656" s="32" t="s">
        <v>5084</v>
      </c>
      <c r="C656" s="23" t="str">
        <f t="shared" si="1"/>
        <v>Rashmi Gupta</v>
      </c>
      <c r="D656" s="31"/>
      <c r="E656" s="32" t="s">
        <v>5085</v>
      </c>
      <c r="F656" s="23"/>
      <c r="G656" s="31"/>
      <c r="H656" s="23"/>
      <c r="I656" s="23"/>
      <c r="J656" s="22" t="s">
        <v>240</v>
      </c>
      <c r="K656" s="23"/>
      <c r="L656" s="31"/>
      <c r="M656" s="23"/>
      <c r="N656" s="23"/>
      <c r="O656" s="23"/>
      <c r="P656" s="23"/>
      <c r="Q656" s="31"/>
      <c r="R656" s="31"/>
      <c r="S656" s="24"/>
      <c r="T656" s="24"/>
      <c r="U656" s="31"/>
      <c r="V656" s="26" t="s">
        <v>242</v>
      </c>
      <c r="W656" s="35" t="s">
        <v>5089</v>
      </c>
      <c r="X656" s="26" t="s">
        <v>2577</v>
      </c>
      <c r="Y656" s="23"/>
      <c r="Z656" s="23"/>
      <c r="AA656" s="23"/>
      <c r="AB656" s="23"/>
      <c r="AC656" s="23"/>
      <c r="AD656" s="23"/>
      <c r="AE656" s="23"/>
      <c r="AF656" s="23"/>
      <c r="AG656" s="23"/>
      <c r="AH656" s="23"/>
      <c r="AI656" s="23"/>
      <c r="AJ656" s="23"/>
      <c r="AK656" s="23"/>
      <c r="AL656" s="23"/>
    </row>
  </sheetData>
  <autoFilter ref="$F$1:$AL$656">
    <filterColumn colId="13">
      <filters>
        <filter val="Redwood CIty"/>
        <filter val="Bronx"/>
      </filters>
    </filterColumn>
    <sortState ref="F1:AL656">
      <sortCondition ref="I1:I656"/>
    </sortState>
  </autoFilter>
  <customSheetViews>
    <customSheetView guid="{BA48C2D9-2922-4DE7-9AE6-EA0A617FB135}" filter="1" showAutoFilter="1">
      <autoFilter ref="$C$1:$C$656"/>
    </customSheetView>
  </customSheetViews>
  <mergeCells count="2">
    <mergeCell ref="Q435:R435"/>
    <mergeCell ref="Q438:R438"/>
  </mergeCells>
  <dataValidations>
    <dataValidation type="list" allowBlank="1" showErrorMessage="1" sqref="V2:V656">
      <formula1>"FY 17 - 18,FY 18 - 19,FY 19 - 20,FY 20 - 21,FY 21 - 22,FY 22 - 23,FY 23 - 24,FY 24 - 25,FY 25-26,EY 19 - 20,Seminars 21,Seminars 22,Seminars 23,Seminars 24,Seminars 25,FY 21 - 22, FY 22 - 23,FY 21 - 22, FY 22 - 23, FY 23 - 24,FY 21 - 22, Seminars 22,FY 22"&amp;" - 23, FY 23 - 24,FY 22 - 23, FY 23 - 24, Seminars 22,FY 22 - 23, FY 24 - 25, Seminars 24, Seminars 23,FY 22 - 23, Seminars 22,FY 22 - 23, Seminars 23,FY 24 - 25, FY 23 - 24,FY 24 - 25, Seminars 23, Seminars 22,Programs Participated in,Seminars 22, FY 21 "&amp;"- 22,Seminars 22, FY 21 - 22, FY 22 - 23, FY 24 - 25,Seminars 22, Seminars 21,Seminars 22, Seminars 23,Seminars 23, FY 21 - 22,Seminars 23, Seminars 21,Seminars 23, Seminars 22,Seminars 23, Seminars 22, Seminars 21"</formula1>
    </dataValidation>
    <dataValidation type="list" allowBlank="1" showErrorMessage="1" sqref="P5 P7 P10:P11 P14 P20 P24 P27 P31:P32 P34:P35 P37 P45 P54 P58 P60:P61 P63:P65 P67 P71:P72 P79 P85:P86 P92:P93 P97 P99:P100 P102 P106:P107 P112 P118 P123 P125 P135 P142 P153 P156 P158 P163 P166:P167 P172 P174 P182 P187 P190 P192:P193 P198 P201 P203 P207 P210 P213 P216 P224:P225 P228 P231 P233:P234 P238 P243 P248 P252 P257 P259 P277:P278 P288 P292 P297 P305:P306 P318 P330 P334 P339 P342 P356:P357 P372 P376 P379 P384 P391:P392 P395:P396 P398 P409 P411 P418 P421 P425 P427 P429:P430 P436 P454:P457 P459:P463 P467 P472:P474 P484:P485 P487 P493 P496 P498:P499 P502 P504:P505 P508 P522 P530 P532:P533 P543 P546 P549:P550 P552 P555 P559 P562 P564 P566 P573:P574 P579 P581 P589 P591 P593:P595 P599 P604 P606 P610 P621:P622 P624 P632 P642">
      <formula1>"1,2,3,4,5,6,7,8,9,10,11,12,13,14,15,16,17,18,19,20,21,22,23,24,25,26,27,28,29,30,31,32,33,34,35,36,37,38,39,40,41,42,43,44,45,46,47,48,49,50,51"</formula1>
    </dataValidation>
    <dataValidation type="list" allowBlank="1" showErrorMessage="1" sqref="X2:X291 X293:X656">
      <formula1>"Abraham Lincoln HS ,ACCESS,Academy of Medical Technology,BUSHWICKCHS,CASA,ClaremontIHS,CrotonaIHS,CypressHills,DMLL,DeSoto 130,ELLIS,FlushingHigh,FlushingIHS,Frankford,GCHS,GWHS,HSEI,ICHSBronx,IDEA,IHS Health,IHS Lafayette,IHSProspectHeights,IHSUnionSquar"&amp;"e,IS125Q,IS77,IS93,JFK Campus,MaspethTownHall,Mott Hall HS,NYC - Mission,NYC Mission - Bronx Community and Washington Irving YABC,NYC Mission - Emma Lazarus,P2GBronx,P2GManhattan,PAIHSMonroe,QD24,QueensPrepAcad,SOF,WCSL5,WheelsNYC,East Brunswick HS,Americ"&amp;"an History,HS for Global Citizenship"</formula1>
    </dataValidation>
    <dataValidation type="list" allowBlank="1" showErrorMessage="1" sqref="AD2:AD656">
      <formula1>"Issue 5,Issue 6,Issue 7,Issue 8,Issue 9,Issue 10,Issue 11"</formula1>
    </dataValidation>
    <dataValidation type="list" allowBlank="1" showErrorMessage="1" sqref="X292">
      <formula1>"Abraham Lincoln HS ,ACCESS,Academy of Medical Technology,BUSHWICKCHS,CASA,ClaremontIHS,CrotonaIHS,CypressHills,DMLL,DeSoto 130,ELLIS Mission,ELLIS Prep,FlushingHigh,FlushingIHS,Frankford,GCHS,GWHS,HSEI,ICHSBronx,IDEA,IHS Health,IHS Lafayette,IHSProspectHe"&amp;"ights,IHSUnionSquare,IS125Q,IS77,IS93,JFK Campus,MaspethTownHall,Mott Hall HS,NYC - Mission,NYC Mission - Bronx Community and Washington Irving YABC,NYC Mission - Emma Lazarus,P2GBronx,P2GManhattan,PAIHSMonroe,QD24,QueensPrepAcad,SOF,WCSL5,WheelsNYC,East "&amp;"Brunswick HS,American History HS NJ,Dewitt Clinton High School NJ,HS For Environmental Studies NY,HS for Global Citizenship NY,Marble Hill High School for International Studies NY,Millenium HS - NYC,HS for Applied Communications"</formula1>
    </dataValidation>
    <dataValidation type="list" allowBlank="1" showErrorMessage="1" sqref="F2:F656">
      <formula1>"Prospective,Active CPC,Inactive CPC,Discontinued,Banned,Duplicate Record"</formula1>
    </dataValidation>
    <dataValidation type="list" allowBlank="1" showErrorMessage="1" sqref="T2:T656">
      <formula1>"AZ,CA,CO,CT,DC,FL,GA,IL,IN,JN,KS,KY,MA,MD,MI,MN,MO,MS,NC,NJ,NV,NY,OH,OK,ON,OR,PA,SC,State,TN,TX,VA,WA"</formula1>
    </dataValidation>
    <dataValidation type="list" allowBlank="1" showErrorMessage="1" sqref="M5:O5 M7:O7 M10:O11 M14:O14 M20:O20 M24:O24 M27:O27 M31:O32 M34:O35 M37:O37 M45:O45 M54:O54 M58:O58 M60:O61 M63:O65 M67:O67 M71:O72 M79:O79 M85:O86 M92:O93 M97:O97 M99:O100 M102:O102 M106:O107 M112:O112 M118:O118 M123:O123 M125:O125 M135:O135 M142:O142 M153:O153 M156:O156 M158:O158 M163:O163 M166:O167 M172:O172 M174:O174 M182:O182 M187:O187 M190:O190 M192:O193 M198:O198 M201:O201 M203:O203 M207:O207 M210:O210 M213:O213 M216:O216 M224:O225 M228:O228 M231:O231 M233:O234 M238:O238 M243:O243 M248:O248 M252:O252 M257:O257 M259:O259 M277:O278 M288:O288 M292:O292 M297:O297 M305:O306 M318:O318 M330:O330 M334:O334 M339:O339 M342:O342 M356:O357 M372:O372 M376:O376 M379:O379 M384:O384 M391:O392 M395:O396 M398:O398 M409:O409 M411:O411 M418:O418 M421:O421 M425:O425 M427:O427 M429:O430 M436:O436 M454:O457 M459:O463 M467:O467 M472:O474 M484:O485 M487:O487 M493:O493 M496:O496 M498:O499 M502:O502 M504:O505 M508:O508 M522:O522 M530:O530 M532:O533 M543:O543 M546:O546 M549:O550 M552:O552 M555:O555 M559:O559 M562:O562 M564:O564 M566:O566 M573:O574 M579:O579 M581:O581 M589:O589 M591:O591 M593:O595 M599:O599 M604:O604 M606:O606 M610:O610 M621:O622 M624:O624 M632:O632 M642:O642">
      <formula1>"1,2,3,4,5,6,7,8,9,10,11,12,13,14,15,16,17,18,19,20,21,22,23,24,25,26,27,28,29,30,31,32,33,34,35,36,37,38,39,40,41,42,43,44,45,46,47,48,49,50,51,52,53,54,55,56,57,58,59,60,61,63,64,65,66,67,68,70,71,72,73,74,75,76,77,78,79,80,81,82,83,84,85,86,87,89,92,94,"&amp;"97,103,125,122,127,130,132,137"</formula1>
    </dataValidation>
  </dataValidations>
  <hyperlinks>
    <hyperlink r:id="rId1" location="find=32-12%20102nd%20St%2C%20Flushing%2C%20NY%2C%2011369%2C%20USA" ref="M1"/>
    <hyperlink r:id="rId2" location="find=32-12%20102nd%20St%2C%20Flushing%2C%20NY%2C%2011369%2C%20USA" ref="N1"/>
    <hyperlink r:id="rId3" location="find=32-12%20102nd%20St%2C%20Flushing%2C%20NY%2C%2011369%2C%20USA" ref="O1"/>
    <hyperlink r:id="rId4" location="gid=0" ref="P1"/>
    <hyperlink r:id="rId5" location="gid=1312404287" ref="AB1"/>
    <hyperlink r:id="rId6" ref="AC1"/>
    <hyperlink r:id="rId7" location="gid=1724475957&amp;range=A42" ref="W2"/>
    <hyperlink r:id="rId8" ref="E3"/>
    <hyperlink r:id="rId9" location="gid=1724475957&amp;range=A1819" ref="W3"/>
    <hyperlink r:id="rId10" ref="E4"/>
    <hyperlink r:id="rId11" ref="E5"/>
    <hyperlink r:id="rId12" ref="E6"/>
    <hyperlink r:id="rId13" location="gid=1724475957&amp;range=A1410" ref="W6"/>
    <hyperlink r:id="rId14" ref="E7"/>
    <hyperlink r:id="rId15" location="gid=1724475957&amp;range=A1464" ref="W7"/>
    <hyperlink r:id="rId16" ref="E8"/>
    <hyperlink display="Licsy Reyes, Tariana Garcia Encarnacion, Tasnim Jahan, Bianka Pena, Rafialy Carrasco, Ofelia (Sara) Lopez, Emili Ordonez, Jazling Garcia Garcia, Wilberto Verlasquez, Norvia Tavarez, Robeliza Nunez, Daniela Gonzalez, Claudia Herazo, Karilyne Suazo, Tariana Garcia Encarnacion, Ronald Pujols, Lesly Chucino, Lia Luciano, Yoleinny Sosa Marte and Lleilin Guerra" location="Interns!A243" ref="W8"/>
    <hyperlink r:id="rId17" ref="E9"/>
    <hyperlink r:id="rId18" ref="E10"/>
    <hyperlink r:id="rId19" location="gid=1724475957&amp;range=A784" ref="W10"/>
    <hyperlink r:id="rId20" ref="E11"/>
    <hyperlink r:id="rId21" ref="E12"/>
    <hyperlink r:id="rId22" ref="E13"/>
    <hyperlink r:id="rId23" ref="E14"/>
    <hyperlink r:id="rId24" location="gid=1724475957&amp;range=A169" ref="W14"/>
    <hyperlink r:id="rId25" ref="E15"/>
    <hyperlink r:id="rId26" location="gid=1724475957&amp;range=A437" ref="W15"/>
    <hyperlink r:id="rId27" ref="E16"/>
    <hyperlink r:id="rId28" location="gid=1724475957&amp;range=A394" ref="W16"/>
    <hyperlink r:id="rId29" ref="E17"/>
    <hyperlink r:id="rId30" location="gid=1724475957&amp;range=A452" ref="W17"/>
    <hyperlink r:id="rId31" ref="E18"/>
    <hyperlink r:id="rId32" ref="E19"/>
    <hyperlink r:id="rId33" location="gid=1724475957&amp;range=A187" ref="W19"/>
    <hyperlink r:id="rId34" ref="E20"/>
    <hyperlink r:id="rId35" location="gid=1724475957&amp;range=A1492" ref="W20"/>
    <hyperlink r:id="rId36" ref="E21"/>
    <hyperlink r:id="rId37" ref="E22"/>
    <hyperlink r:id="rId38" ref="E23"/>
    <hyperlink r:id="rId39" location="gid=1724475957&amp;range=A182" ref="W23"/>
    <hyperlink r:id="rId40" ref="E24"/>
    <hyperlink r:id="rId41" location="gid=1724475957&amp;range=A851" ref="W24"/>
    <hyperlink r:id="rId42" ref="E25"/>
    <hyperlink r:id="rId43" location="gid=1724475957&amp;range=A1825" ref="W25"/>
    <hyperlink r:id="rId44" ref="E26"/>
    <hyperlink r:id="rId45" location="gid=1724475957&amp;range=A311" ref="W26"/>
    <hyperlink r:id="rId46" ref="E27"/>
    <hyperlink r:id="rId47" location="gid=1724475957&amp;range=A2" ref="W27"/>
    <hyperlink r:id="rId48" ref="E28"/>
    <hyperlink r:id="rId49" ref="E29"/>
    <hyperlink r:id="rId50" location="gid=1724475957&amp;range=A759" ref="W29"/>
    <hyperlink r:id="rId51" ref="E30"/>
    <hyperlink r:id="rId52" location="gid=1724475957&amp;range=A759" ref="W30"/>
    <hyperlink r:id="rId53" ref="E31"/>
    <hyperlink r:id="rId54" location="gid=1724475957&amp;range=A396" ref="W31"/>
    <hyperlink r:id="rId55" ref="E32"/>
    <hyperlink r:id="rId56" ref="E33"/>
    <hyperlink r:id="rId57" location="gid=1724475957&amp;range=A402" ref="W33"/>
    <hyperlink r:id="rId58" ref="E34"/>
    <hyperlink r:id="rId59" location="gid=1724475957&amp;range=A302" ref="W34"/>
    <hyperlink r:id="rId60" ref="E35"/>
    <hyperlink r:id="rId61" ref="E36"/>
    <hyperlink r:id="rId62" ref="E37"/>
    <hyperlink r:id="rId63" location="gid=1724475957&amp;range=A461" ref="W37"/>
    <hyperlink r:id="rId64" ref="E38"/>
    <hyperlink r:id="rId65" location="gid=1724475957&amp;range=A720" ref="W38"/>
    <hyperlink r:id="rId66" ref="E39"/>
    <hyperlink r:id="rId67" location="gid=1724475957&amp;range=A1528" ref="W39"/>
    <hyperlink r:id="rId68" ref="E40"/>
    <hyperlink r:id="rId69" location="gid=1724475957&amp;range=A884" ref="W40"/>
    <hyperlink r:id="rId70" ref="E41"/>
    <hyperlink r:id="rId71" ref="E42"/>
    <hyperlink r:id="rId72" location="gid=1724475957&amp;range=A67" ref="W42"/>
    <hyperlink r:id="rId73" ref="E43"/>
    <hyperlink r:id="rId74" location="gid=1724475957&amp;range=A514" ref="W43"/>
    <hyperlink r:id="rId75" ref="E44"/>
    <hyperlink r:id="rId76" location="gid=1724475957&amp;range=A648" ref="W44"/>
    <hyperlink r:id="rId77" ref="E45"/>
    <hyperlink r:id="rId78" ref="E46"/>
    <hyperlink r:id="rId79" location="gid=1724475957&amp;range=A325" ref="W46"/>
    <hyperlink r:id="rId80" ref="E47"/>
    <hyperlink r:id="rId81" ref="E48"/>
    <hyperlink r:id="rId82" ref="E49"/>
    <hyperlink r:id="rId83" location="gid=1724475957&amp;range=A400" ref="W49"/>
    <hyperlink r:id="rId84" ref="E50"/>
    <hyperlink r:id="rId85" location="gid=1724475957&amp;range=A1018" ref="W50"/>
    <hyperlink r:id="rId86" ref="E51"/>
    <hyperlink r:id="rId87" location="gid=1724475957&amp;range=A336" ref="W51"/>
    <hyperlink r:id="rId88" ref="E52"/>
    <hyperlink r:id="rId89" location="gid=1724475957&amp;range=A496" ref="W52"/>
    <hyperlink r:id="rId90" ref="E53"/>
    <hyperlink r:id="rId91" location="gid=1724475957&amp;range=A1051" ref="W53"/>
    <hyperlink r:id="rId92" location="gid=1724475957&amp;range=A401" ref="W54"/>
    <hyperlink r:id="rId93" ref="E55"/>
    <hyperlink r:id="rId94" location="gid=1724475957&amp;range=A537" ref="W55"/>
    <hyperlink r:id="rId95" ref="E56"/>
    <hyperlink r:id="rId96" location="gid=1724475957&amp;range=A1086" ref="W56"/>
    <hyperlink r:id="rId97" ref="E57"/>
    <hyperlink r:id="rId98" ref="E58"/>
    <hyperlink r:id="rId99" location="gid=1724475957&amp;range=A590" ref="W58"/>
    <hyperlink r:id="rId100" ref="E59"/>
    <hyperlink r:id="rId101" location="gid=1724475957&amp;range=A558" ref="W59"/>
    <hyperlink r:id="rId102" ref="E60"/>
    <hyperlink r:id="rId103" ref="E62"/>
    <hyperlink r:id="rId104" location="gid=1724475957&amp;range=A26" ref="W62"/>
    <hyperlink r:id="rId105" ref="E63"/>
    <hyperlink r:id="rId106" location="gid=1724475957&amp;range=A840" ref="W63"/>
    <hyperlink r:id="rId107" ref="E64"/>
    <hyperlink r:id="rId108" location="gid=1724475957&amp;range=A774" ref="W64"/>
    <hyperlink r:id="rId109" ref="E65"/>
    <hyperlink r:id="rId110" ref="E66"/>
    <hyperlink r:id="rId111" location="gid=1724475957&amp;range=A45" ref="W66"/>
    <hyperlink r:id="rId112" ref="E67"/>
    <hyperlink r:id="rId113" location="gid=1724475957&amp;range=A23" ref="W67"/>
    <hyperlink r:id="rId114" ref="E68"/>
    <hyperlink r:id="rId115" location="gid=1724475957&amp;range=A213" ref="W68"/>
    <hyperlink r:id="rId116" ref="E69"/>
    <hyperlink r:id="rId117" ref="E70"/>
    <hyperlink r:id="rId118" ref="E71"/>
    <hyperlink r:id="rId119" ref="E72"/>
    <hyperlink r:id="rId120" ref="E73"/>
    <hyperlink r:id="rId121" location="gid=1724475957&amp;range=A183" ref="W73"/>
    <hyperlink r:id="rId122" ref="E74"/>
    <hyperlink r:id="rId123" location="gid=1724475957&amp;range=A617" ref="W74"/>
    <hyperlink r:id="rId124" ref="E75"/>
    <hyperlink r:id="rId125" location="gid=1724475957&amp;range=A825" ref="W75"/>
    <hyperlink r:id="rId126" ref="E76"/>
    <hyperlink r:id="rId127" location="gid=1724475957&amp;range=A548" ref="W76"/>
    <hyperlink r:id="rId128" ref="E77"/>
    <hyperlink r:id="rId129" location="gid=1724475957&amp;range=A1835" ref="W77"/>
    <hyperlink r:id="rId130" ref="E78"/>
    <hyperlink r:id="rId131" location="gid=1724475957&amp;range=A879" ref="W78"/>
    <hyperlink r:id="rId132" ref="E79"/>
    <hyperlink r:id="rId133" location="gid=1724475957&amp;range=A40" ref="W79"/>
    <hyperlink r:id="rId134" location="gid=1724475957&amp;range=A507" ref="W80"/>
    <hyperlink r:id="rId135" ref="E82"/>
    <hyperlink r:id="rId136" location="gid=1724475957&amp;range=A1492" ref="W82"/>
    <hyperlink r:id="rId137" ref="E83"/>
    <hyperlink r:id="rId138" ref="E84"/>
    <hyperlink r:id="rId139" ref="E85"/>
    <hyperlink r:id="rId140" location="gid=1724475957&amp;range=A1398" ref="W85"/>
    <hyperlink r:id="rId141" ref="E86"/>
    <hyperlink r:id="rId142" ref="E87"/>
    <hyperlink r:id="rId143" location="gid=1724475957&amp;range=A442" ref="W87"/>
    <hyperlink r:id="rId144" location="gid=1724475957&amp;range=A222" ref="W88"/>
    <hyperlink r:id="rId145" ref="E89"/>
    <hyperlink r:id="rId146" location="gid=1724475957&amp;range=A1566" ref="W89"/>
    <hyperlink r:id="rId147" ref="E90"/>
    <hyperlink r:id="rId148" ref="E91"/>
    <hyperlink r:id="rId149" location="gid=1724475957&amp;range=A1406" ref="W91"/>
    <hyperlink r:id="rId150" ref="E92"/>
    <hyperlink r:id="rId151" location="gid=1724475957&amp;range=A397" ref="W92"/>
    <hyperlink r:id="rId152" ref="E93"/>
    <hyperlink r:id="rId153" ref="E94"/>
    <hyperlink r:id="rId154" location="gid=1724475957&amp;range=A962" ref="W94"/>
    <hyperlink r:id="rId155" ref="E95"/>
    <hyperlink r:id="rId156" location="gid=1724475957&amp;range=A621" ref="W95"/>
    <hyperlink r:id="rId157" ref="E96"/>
    <hyperlink r:id="rId158" location="gid=1724475957&amp;range=A1773" ref="W96"/>
    <hyperlink r:id="rId159" ref="E97"/>
    <hyperlink r:id="rId160" location="gid=1724475957&amp;range=A1747" ref="W97"/>
    <hyperlink r:id="rId161" ref="E98"/>
    <hyperlink r:id="rId162" location="gid=1724475957&amp;range=A598" ref="W98"/>
    <hyperlink r:id="rId163" ref="E100"/>
    <hyperlink r:id="rId164" location="gid=1724475957&amp;range=A406" ref="W100"/>
    <hyperlink r:id="rId165" ref="E101"/>
    <hyperlink r:id="rId166" location="gid=1724475957&amp;range=A764" ref="W101"/>
    <hyperlink r:id="rId167" ref="E102"/>
    <hyperlink r:id="rId168" location="gid=1724475957&amp;range=A1747" ref="W102"/>
    <hyperlink r:id="rId169" ref="E103"/>
    <hyperlink r:id="rId170" ref="E104"/>
    <hyperlink r:id="rId171" location="gid=1724475957&amp;range=A440" ref="W104"/>
    <hyperlink r:id="rId172" ref="E105"/>
    <hyperlink r:id="rId173" ref="E106"/>
    <hyperlink r:id="rId174" location="gid=1724475957&amp;range=A283" ref="W106"/>
    <hyperlink r:id="rId175" ref="E107"/>
    <hyperlink r:id="rId176" ref="E108"/>
    <hyperlink r:id="rId177" ref="E109"/>
    <hyperlink r:id="rId178" location="gid=1724475957&amp;range=A1750" ref="W109"/>
    <hyperlink r:id="rId179" ref="E110"/>
    <hyperlink r:id="rId180" ref="E111"/>
    <hyperlink r:id="rId181" ref="E112"/>
    <hyperlink r:id="rId182" location="gid=1724475957&amp;range=A1821" ref="W112"/>
    <hyperlink r:id="rId183" ref="E113"/>
    <hyperlink r:id="rId184" location="gid=1724475957&amp;range=A577" ref="W113"/>
    <hyperlink r:id="rId185" ref="E114"/>
    <hyperlink r:id="rId186" location="gid=1724475957&amp;range=A1780" ref="W114"/>
    <hyperlink r:id="rId187" ref="E115"/>
    <hyperlink r:id="rId188" ref="E116"/>
    <hyperlink r:id="rId189" location="gid=1724475957&amp;range=A556" ref="W116"/>
    <hyperlink r:id="rId190" ref="E117"/>
    <hyperlink r:id="rId191" location="gid=1724475957&amp;range=A378" ref="W117"/>
    <hyperlink r:id="rId192" ref="E118"/>
    <hyperlink r:id="rId193" ref="E119"/>
    <hyperlink r:id="rId194" location="gid=1724475957&amp;range=A161" ref="W119"/>
    <hyperlink r:id="rId195" ref="E120"/>
    <hyperlink r:id="rId196" ref="E121"/>
    <hyperlink r:id="rId197" location="gid=1724475957&amp;range=A569" ref="W121"/>
    <hyperlink r:id="rId198" ref="E122"/>
    <hyperlink r:id="rId199" location="gid=1724475957&amp;range=A497" ref="W122"/>
    <hyperlink r:id="rId200" ref="E123"/>
    <hyperlink r:id="rId201" location="gid=1724475957&amp;range=A248" ref="W123"/>
    <hyperlink r:id="rId202" ref="E124"/>
    <hyperlink r:id="rId203" ref="E125"/>
    <hyperlink r:id="rId204" location="gid=1724475957&amp;range=A501" ref="W125"/>
    <hyperlink r:id="rId205" ref="E126"/>
    <hyperlink r:id="rId206" location="gid=1724475957&amp;range=A507" ref="W126"/>
    <hyperlink r:id="rId207" ref="E127"/>
    <hyperlink r:id="rId208" ref="E128"/>
    <hyperlink r:id="rId209" ref="E129"/>
    <hyperlink r:id="rId210" location="gid=1724475957&amp;range=A953" ref="W129"/>
    <hyperlink r:id="rId211" ref="E130"/>
    <hyperlink r:id="rId212" location="gid=1724475957&amp;range=A142" ref="W130"/>
    <hyperlink r:id="rId213" ref="E131"/>
    <hyperlink r:id="rId214" location="gid=1724475957&amp;range=A1119" ref="W131"/>
    <hyperlink r:id="rId215" ref="E132"/>
    <hyperlink r:id="rId216" ref="E133"/>
    <hyperlink r:id="rId217" location="gid=1724475957&amp;range=A610" ref="W133"/>
    <hyperlink r:id="rId218" ref="E134"/>
    <hyperlink r:id="rId219" ref="E135"/>
    <hyperlink r:id="rId220" ref="E136"/>
    <hyperlink r:id="rId221" ref="E137"/>
    <hyperlink r:id="rId222" location="gid=1724475957&amp;range=A205" ref="W137"/>
    <hyperlink r:id="rId223" ref="E138"/>
    <hyperlink r:id="rId224" location="gid=1724475957&amp;range=A1745" ref="W138"/>
    <hyperlink r:id="rId225" ref="E139"/>
    <hyperlink r:id="rId226" location="gid=1724475957&amp;range=A971" ref="W139"/>
    <hyperlink r:id="rId227" ref="E140"/>
    <hyperlink r:id="rId228" ref="E141"/>
    <hyperlink r:id="rId229" location="gid=1724475957&amp;range=A1468" ref="W141"/>
    <hyperlink r:id="rId230" ref="E142"/>
    <hyperlink r:id="rId231" ref="U142"/>
    <hyperlink r:id="rId232" location="gid=1724475957&amp;range=A271" ref="W142"/>
    <hyperlink r:id="rId233" ref="E143"/>
    <hyperlink r:id="rId234" location="gid=1724475957&amp;range=A303" ref="W143"/>
    <hyperlink r:id="rId235" ref="E144"/>
    <hyperlink r:id="rId236" ref="E146"/>
    <hyperlink r:id="rId237" location="gid=1724475957&amp;range=A580" ref="W146"/>
    <hyperlink r:id="rId238" ref="E147"/>
    <hyperlink r:id="rId239" location="gid=1724475957&amp;range=A1800" ref="W147"/>
    <hyperlink r:id="rId240" ref="E148"/>
    <hyperlink r:id="rId241" location="gid=1724475957&amp;range=A239" ref="W148"/>
    <hyperlink r:id="rId242" ref="E149"/>
    <hyperlink r:id="rId243" location="gid=1724475957&amp;range=A593" ref="W149"/>
    <hyperlink r:id="rId244" ref="E150"/>
    <hyperlink r:id="rId245" location="gid=1724475957&amp;range=A137" ref="W150"/>
    <hyperlink r:id="rId246" ref="E151"/>
    <hyperlink r:id="rId247" ref="E152"/>
    <hyperlink r:id="rId248" location="gid=1724475957&amp;range=A1809" ref="W152"/>
    <hyperlink r:id="rId249" ref="E153"/>
    <hyperlink r:id="rId250" location="gid=1724475957&amp;range=A848" ref="W153"/>
    <hyperlink r:id="rId251" ref="E154"/>
    <hyperlink r:id="rId252" location="gid=1724475957&amp;range=A633" ref="W154"/>
    <hyperlink r:id="rId253" ref="E155"/>
    <hyperlink r:id="rId254" ref="E156"/>
    <hyperlink r:id="rId255" ref="E157"/>
    <hyperlink r:id="rId256" ref="E158"/>
    <hyperlink r:id="rId257" location="gid=1724475957&amp;range=A1459" ref="W158"/>
    <hyperlink r:id="rId258" ref="E159"/>
    <hyperlink r:id="rId259" ref="E160"/>
    <hyperlink r:id="rId260" location="gid=1724475957&amp;range=A406" ref="W160"/>
    <hyperlink r:id="rId261" ref="E161"/>
    <hyperlink r:id="rId262" location="gid=1724475957&amp;range=A635" ref="W161"/>
    <hyperlink r:id="rId263" ref="E162"/>
    <hyperlink r:id="rId264" ref="E163"/>
    <hyperlink r:id="rId265" location="gid=1724475957&amp;range=A451" ref="W163"/>
    <hyperlink r:id="rId266" ref="E164"/>
    <hyperlink r:id="rId267" location="gid=1724475957&amp;range=A413" ref="W164"/>
    <hyperlink r:id="rId268" ref="E165"/>
    <hyperlink r:id="rId269" location="gid=1724475957&amp;range=A774" ref="W165"/>
    <hyperlink r:id="rId270" ref="E166"/>
    <hyperlink r:id="rId271" ref="E167"/>
    <hyperlink r:id="rId272" location="gid=1724475957&amp;range=A27" ref="W167"/>
    <hyperlink r:id="rId273" ref="E168"/>
    <hyperlink r:id="rId274" location="gid=1724475957&amp;range=A1781" ref="W168"/>
    <hyperlink r:id="rId275" ref="E169"/>
    <hyperlink r:id="rId276" location="gid=1724475957&amp;range=A516" ref="W169"/>
    <hyperlink r:id="rId277" ref="E170"/>
    <hyperlink r:id="rId278" location="gid=1724475957&amp;range=A501" ref="W170"/>
    <hyperlink r:id="rId279" ref="E171"/>
    <hyperlink r:id="rId280" ref="E172"/>
    <hyperlink r:id="rId281" location="gid=1724475957&amp;range=A1037" ref="W172"/>
    <hyperlink r:id="rId282" ref="E173"/>
    <hyperlink r:id="rId283" ref="E174"/>
    <hyperlink r:id="rId284" location="gid=1724475957&amp;range=A375" ref="W174"/>
    <hyperlink r:id="rId285" ref="E175"/>
    <hyperlink r:id="rId286" location="gid=1724475957&amp;range=A323" ref="W175"/>
    <hyperlink r:id="rId287" ref="E176"/>
    <hyperlink r:id="rId288" ref="E177"/>
    <hyperlink r:id="rId289" location="gid=1724475957&amp;range=A639" ref="W177"/>
    <hyperlink r:id="rId290" ref="E178"/>
    <hyperlink r:id="rId291" ref="E179"/>
    <hyperlink r:id="rId292" ref="E180"/>
    <hyperlink r:id="rId293" ref="E181"/>
    <hyperlink r:id="rId294" location="gid=1724475957&amp;range=A832" ref="W181"/>
    <hyperlink r:id="rId295" ref="E182"/>
    <hyperlink r:id="rId296" location="gid=1724475957&amp;range=A972" ref="W182"/>
    <hyperlink r:id="rId297" ref="E183"/>
    <hyperlink r:id="rId298" location="gid=1724475957&amp;range=A663" ref="W183"/>
    <hyperlink r:id="rId299" ref="E184"/>
    <hyperlink r:id="rId300" location="gid=1724475957&amp;range=A869" ref="W184"/>
    <hyperlink r:id="rId301" ref="E185"/>
    <hyperlink r:id="rId302" ref="E186"/>
    <hyperlink r:id="rId303" ref="E187"/>
    <hyperlink r:id="rId304" location="gid=1724475957&amp;range=A857" ref="W187"/>
    <hyperlink r:id="rId305" ref="E188"/>
    <hyperlink r:id="rId306" location="gid=1724475957&amp;range=A230" ref="W188"/>
    <hyperlink r:id="rId307" ref="E189"/>
    <hyperlink r:id="rId308" ref="E190"/>
    <hyperlink r:id="rId309" location="gid=1724475957&amp;range=A403" ref="W190"/>
    <hyperlink r:id="rId310" ref="E191"/>
    <hyperlink r:id="rId311" location="gid=1724475957&amp;range=A469" ref="W191"/>
    <hyperlink r:id="rId312" ref="E192"/>
    <hyperlink r:id="rId313" location="gid=1724475957&amp;range=A460" ref="W192"/>
    <hyperlink r:id="rId314" ref="E193"/>
    <hyperlink r:id="rId315" location="gid=1724475957&amp;range=A897" ref="W193"/>
    <hyperlink r:id="rId316" ref="E194"/>
    <hyperlink r:id="rId317" ref="E195"/>
    <hyperlink r:id="rId318" location="gid=1724475957&amp;range=A1411" ref="W195"/>
    <hyperlink r:id="rId319" ref="E196"/>
    <hyperlink r:id="rId320" ref="E197"/>
    <hyperlink r:id="rId321" location="gid=1724475957&amp;range=A1406" ref="W197"/>
    <hyperlink r:id="rId322" ref="E198"/>
    <hyperlink r:id="rId323" ref="E199"/>
    <hyperlink r:id="rId324" ref="E200"/>
    <hyperlink r:id="rId325" ref="E201"/>
    <hyperlink r:id="rId326" location="gid=1724475957&amp;range=A221" ref="W201"/>
    <hyperlink r:id="rId327" ref="E202"/>
    <hyperlink r:id="rId328" location="gid=1724475957&amp;range=A167" ref="W202"/>
    <hyperlink r:id="rId329" ref="E203"/>
    <hyperlink r:id="rId330" location="gid=1724475957&amp;range=A421" ref="W203"/>
    <hyperlink r:id="rId331" ref="E204"/>
    <hyperlink r:id="rId332" location="gid=1724475957&amp;range=A788" ref="W204"/>
    <hyperlink r:id="rId333" ref="E205"/>
    <hyperlink r:id="rId334" ref="E206"/>
    <hyperlink r:id="rId335" ref="E207"/>
    <hyperlink r:id="rId336" location="gid=1724475957&amp;range=A631" ref="W207"/>
    <hyperlink r:id="rId337" ref="E208"/>
    <hyperlink r:id="rId338" ref="E209"/>
    <hyperlink r:id="rId339" location="gid=1724475957&amp;range=A1055" ref="W209"/>
    <hyperlink r:id="rId340" ref="E210"/>
    <hyperlink r:id="rId341" location="gid=1724475957&amp;range=A335" ref="W210"/>
    <hyperlink r:id="rId342" ref="E211"/>
    <hyperlink r:id="rId343" location="gid=1724475957&amp;range=A159" ref="W211"/>
    <hyperlink r:id="rId344" ref="E212"/>
    <hyperlink r:id="rId345" location="gid=1724475957&amp;range=A1826" ref="W212"/>
    <hyperlink r:id="rId346" ref="E213"/>
    <hyperlink r:id="rId347" location="gid=1724475957&amp;range=A269" ref="W213"/>
    <hyperlink r:id="rId348" ref="E214"/>
    <hyperlink r:id="rId349" ref="E215"/>
    <hyperlink r:id="rId350" location="gid=1724475957&amp;range=A376" ref="W215"/>
    <hyperlink r:id="rId351" ref="E216"/>
    <hyperlink r:id="rId352" location="gid=1724475957&amp;range=A67" ref="W216"/>
    <hyperlink r:id="rId353" ref="E217"/>
    <hyperlink r:id="rId354" location="gid=1724475957&amp;range=A1842" ref="W217"/>
    <hyperlink r:id="rId355" ref="E218"/>
    <hyperlink r:id="rId356" location="gid=1724475957&amp;range=A615" ref="W218"/>
    <hyperlink r:id="rId357" ref="E219"/>
    <hyperlink r:id="rId358" location="gid=1724475957&amp;range=A1729" ref="W219"/>
    <hyperlink r:id="rId359" ref="E220"/>
    <hyperlink r:id="rId360" location="gid=1724475957&amp;range=A1724" ref="W220"/>
    <hyperlink r:id="rId361" ref="E221"/>
    <hyperlink r:id="rId362" location="gid=1724475957&amp;range=A177" ref="W221"/>
    <hyperlink r:id="rId363" ref="E222"/>
    <hyperlink r:id="rId364" location="gid=1724475957&amp;range=A227" ref="W222"/>
    <hyperlink r:id="rId365" ref="E223"/>
    <hyperlink r:id="rId366" location="gid=1724475957&amp;range=A772" ref="W223"/>
    <hyperlink r:id="rId367" ref="E224"/>
    <hyperlink r:id="rId368" location="gid=1724475957&amp;range=A622" ref="W224"/>
    <hyperlink r:id="rId369" ref="E225"/>
    <hyperlink r:id="rId370" location="gid=1724475957&amp;range=A657" ref="W225"/>
    <hyperlink r:id="rId371" ref="E226"/>
    <hyperlink r:id="rId372" location="gid=1724475957&amp;range=A661" ref="W226"/>
    <hyperlink r:id="rId373" ref="E227"/>
    <hyperlink r:id="rId374" location="gid=1724475957&amp;range=A856" ref="W227"/>
    <hyperlink r:id="rId375" ref="E228"/>
    <hyperlink r:id="rId376" location="gid=1724475957&amp;range=A776" ref="W228"/>
    <hyperlink r:id="rId377" ref="E229"/>
    <hyperlink r:id="rId378" location="gid=1724475957&amp;range=A1397" ref="W229"/>
    <hyperlink r:id="rId379" ref="E230"/>
    <hyperlink r:id="rId380" location="gid=1724475957&amp;range=A211" ref="W230"/>
    <hyperlink r:id="rId381" ref="E231"/>
    <hyperlink r:id="rId382" ref="E232"/>
    <hyperlink r:id="rId383" location="gid=1724475957&amp;range=A1737" ref="W232"/>
    <hyperlink r:id="rId384" ref="E233"/>
    <hyperlink r:id="rId385" location="gid=1724475957&amp;range=A881" ref="W233"/>
    <hyperlink r:id="rId386" ref="E234"/>
    <hyperlink r:id="rId387" ref="E235"/>
    <hyperlink r:id="rId388" location="gid=1724475957&amp;range=A311" ref="W235"/>
    <hyperlink r:id="rId389" ref="E236"/>
    <hyperlink r:id="rId390" ref="U236"/>
    <hyperlink r:id="rId391" location="gid=1724475957&amp;range=A1516" ref="W236"/>
    <hyperlink r:id="rId392" ref="E237"/>
    <hyperlink r:id="rId393" location="gid=1724475957&amp;range=A553" ref="W237"/>
    <hyperlink r:id="rId394" ref="E238"/>
    <hyperlink r:id="rId395" ref="E239"/>
    <hyperlink r:id="rId396" ref="E240"/>
    <hyperlink r:id="rId397" location="gid=1724475957&amp;range=A389" ref="W240"/>
    <hyperlink r:id="rId398" ref="E241"/>
    <hyperlink r:id="rId399" ref="E242"/>
    <hyperlink r:id="rId400" ref="E243"/>
    <hyperlink r:id="rId401" ref="E244"/>
    <hyperlink r:id="rId402" location="gid=1724475957&amp;range=A308" ref="W244"/>
    <hyperlink r:id="rId403" ref="E245"/>
    <hyperlink r:id="rId404" location="gid=1724475957&amp;range=A990" ref="W245"/>
    <hyperlink r:id="rId405" ref="E246"/>
    <hyperlink r:id="rId406" location="gid=1724475957&amp;range=A376" ref="W246"/>
    <hyperlink r:id="rId407" ref="E247"/>
    <hyperlink r:id="rId408" location="gid=1724475957&amp;range=A542" ref="W247"/>
    <hyperlink r:id="rId409" ref="E248"/>
    <hyperlink r:id="rId410" location="gid=1724475957&amp;range=A244" ref="W248"/>
    <hyperlink r:id="rId411" ref="E249"/>
    <hyperlink r:id="rId412" location="gid=1724475957&amp;range=A902" ref="W249"/>
    <hyperlink r:id="rId413" ref="E250"/>
    <hyperlink r:id="rId414" location="gid=1724475957&amp;range=A1494" ref="W250"/>
    <hyperlink r:id="rId415" ref="E251"/>
    <hyperlink r:id="rId416" ref="E252"/>
    <hyperlink r:id="rId417" ref="E253"/>
    <hyperlink r:id="rId418" location="gid=1724475957&amp;range=A1787" ref="W253"/>
    <hyperlink r:id="rId419" ref="E254"/>
    <hyperlink r:id="rId420" ref="E255"/>
    <hyperlink r:id="rId421" location="gid=1724475957&amp;range=A27" ref="W255"/>
    <hyperlink r:id="rId422" ref="E256"/>
    <hyperlink r:id="rId423" ref="E257"/>
    <hyperlink r:id="rId424" ref="E258"/>
    <hyperlink r:id="rId425" location="gid=1724475957&amp;range=A457" ref="W258"/>
    <hyperlink r:id="rId426" ref="E259"/>
    <hyperlink r:id="rId427" location="gid=1724475957&amp;range=A1121" ref="W259"/>
    <hyperlink r:id="rId428" ref="E260"/>
    <hyperlink r:id="rId429" ref="E261"/>
    <hyperlink r:id="rId430" location="gid=1724475957&amp;range=A1807" ref="W261"/>
    <hyperlink r:id="rId431" ref="E262"/>
    <hyperlink r:id="rId432" location="gid=1724475957&amp;range=A1838" ref="W262"/>
    <hyperlink r:id="rId433" ref="E263"/>
    <hyperlink r:id="rId434" ref="E264"/>
    <hyperlink r:id="rId435" location="gid=1724475957&amp;range=A424" ref="W264"/>
    <hyperlink r:id="rId436" ref="E265"/>
    <hyperlink r:id="rId437" ref="E266"/>
    <hyperlink r:id="rId438" ref="E267"/>
    <hyperlink r:id="rId439" location="gid=1724475957&amp;range=A840" ref="W267"/>
    <hyperlink r:id="rId440" ref="E268"/>
    <hyperlink r:id="rId441" location="gid=1724475957&amp;range=A1522" ref="W268"/>
    <hyperlink r:id="rId442" ref="E269"/>
    <hyperlink r:id="rId443" ref="E270"/>
    <hyperlink r:id="rId444" ref="E271"/>
    <hyperlink r:id="rId445" location="gid=1724475957&amp;range=A527" ref="W271"/>
    <hyperlink r:id="rId446" ref="E272"/>
    <hyperlink r:id="rId447" ref="E275"/>
    <hyperlink r:id="rId448" ref="E276"/>
    <hyperlink r:id="rId449" location="gid=1724475957&amp;range=A785" ref="W276"/>
    <hyperlink r:id="rId450" ref="E277"/>
    <hyperlink r:id="rId451" ref="E278"/>
    <hyperlink r:id="rId452" location="gid=1724475957&amp;range=A696" ref="W278"/>
    <hyperlink r:id="rId453" ref="E279"/>
    <hyperlink r:id="rId454" location="gid=1724475957&amp;range=A40" ref="W279"/>
    <hyperlink r:id="rId455" location="gid=1724475957&amp;range=A649" ref="W280"/>
    <hyperlink r:id="rId456" ref="E281"/>
    <hyperlink r:id="rId457" location="gid=1724475957&amp;range=A1731" ref="W281"/>
    <hyperlink r:id="rId458" ref="E282"/>
    <hyperlink r:id="rId459" location="gid=1724475957&amp;range=A722" ref="W282"/>
    <hyperlink r:id="rId460" ref="E283"/>
    <hyperlink r:id="rId461" ref="E284"/>
    <hyperlink r:id="rId462" ref="E285"/>
    <hyperlink r:id="rId463" location="gid=1724475957&amp;range=A437" ref="W285"/>
    <hyperlink r:id="rId464" ref="E286"/>
    <hyperlink r:id="rId465" location="gid=1724475957&amp;range=A535" ref="W286"/>
    <hyperlink r:id="rId466" ref="E287"/>
    <hyperlink r:id="rId467" location="gid=1724475957&amp;range=A302" ref="W287"/>
    <hyperlink r:id="rId468" ref="E288"/>
    <hyperlink r:id="rId469" ref="E289"/>
    <hyperlink r:id="rId470" location="gid=1724475957&amp;range=A776" ref="W289"/>
    <hyperlink r:id="rId471" ref="E290"/>
    <hyperlink r:id="rId472" ref="E291"/>
    <hyperlink r:id="rId473" location="gid=1724475957&amp;range=A1481" ref="W291"/>
    <hyperlink r:id="rId474" ref="E292"/>
    <hyperlink r:id="rId475" location="gid=1724475957&amp;range=A1361" ref="W292"/>
    <hyperlink r:id="rId476" ref="E293"/>
    <hyperlink r:id="rId477" location="gid=1724475957&amp;range=A387" ref="W293"/>
    <hyperlink r:id="rId478" ref="E294"/>
    <hyperlink r:id="rId479" ref="E296"/>
    <hyperlink r:id="rId480" location="gid=1724475957&amp;range=A383" ref="W296"/>
    <hyperlink r:id="rId481" ref="E297"/>
    <hyperlink r:id="rId482" location="gid=1724475957&amp;range=A521" ref="W297"/>
    <hyperlink r:id="rId483" ref="E298"/>
    <hyperlink r:id="rId484" location="gid=1724475957&amp;range=A398" ref="W298"/>
    <hyperlink r:id="rId485" ref="E299"/>
    <hyperlink r:id="rId486" ref="E300"/>
    <hyperlink display="Genesis Mercado, Rohan Basavaraj, Gary Hernandez, Jeremy Rodriguez, Mario Brito, Awa Ndiaye, Fatou Diedhiou, Dipson Khatri Chhetri, Yiengchuk Dorji, Niloy Ahmed, Ariel Cedeno, Samuel Ortiz, Luis Acevedo and Justin Jimenez" location="Interns!A1746" ref="W300"/>
    <hyperlink r:id="rId487" ref="E301"/>
    <hyperlink r:id="rId488" location="gid=1724475957&amp;range=A875" ref="W301"/>
    <hyperlink r:id="rId489" ref="E302"/>
    <hyperlink r:id="rId490" location="gid=1724475957&amp;range=A877" ref="W302"/>
    <hyperlink r:id="rId491" ref="E303"/>
    <hyperlink r:id="rId492" location="gid=1724475957&amp;range=A656" ref="W303"/>
    <hyperlink r:id="rId493" ref="E304"/>
    <hyperlink r:id="rId494" ref="E305"/>
    <hyperlink r:id="rId495" location="gid=1724475957&amp;range=A581" ref="W305"/>
    <hyperlink r:id="rId496" ref="E306"/>
    <hyperlink r:id="rId497" ref="E307"/>
    <hyperlink r:id="rId498" ref="U307"/>
    <hyperlink r:id="rId499" location="gid=1724475957&amp;range=A154" ref="W307"/>
    <hyperlink r:id="rId500" ref="E308"/>
    <hyperlink r:id="rId501" ref="E309"/>
    <hyperlink r:id="rId502" ref="E310"/>
    <hyperlink r:id="rId503" ref="E311"/>
    <hyperlink r:id="rId504" location="gid=1724475957&amp;range=A195" ref="W311"/>
    <hyperlink r:id="rId505" ref="E312"/>
    <hyperlink r:id="rId506" location="gid=1724475957&amp;range=A1071" ref="W312"/>
    <hyperlink r:id="rId507" ref="E313"/>
    <hyperlink r:id="rId508" location="gid=1724475957&amp;range=A625" ref="W313"/>
    <hyperlink r:id="rId509" ref="E314"/>
    <hyperlink r:id="rId510" location="gid=1724475957&amp;range=A241" ref="W314"/>
    <hyperlink r:id="rId511" ref="E315"/>
    <hyperlink r:id="rId512" location="gid=1724475957&amp;range=A620" ref="W315"/>
    <hyperlink r:id="rId513" ref="E316"/>
    <hyperlink r:id="rId514" location="gid=1724475957&amp;range=A1413" ref="W316"/>
    <hyperlink r:id="rId515" ref="E317"/>
    <hyperlink r:id="rId516" location="gid=1724475957&amp;range=A29" ref="W317"/>
    <hyperlink r:id="rId517" ref="E318"/>
    <hyperlink r:id="rId518" ref="E319"/>
    <hyperlink r:id="rId519" location="gid=1724475957&amp;range=A410" ref="W319"/>
    <hyperlink r:id="rId520" ref="E320"/>
    <hyperlink r:id="rId521" ref="E321"/>
    <hyperlink r:id="rId522" location="gid=1724475957&amp;range=A228" ref="W321"/>
    <hyperlink r:id="rId523" ref="E322"/>
    <hyperlink r:id="rId524" location="gid=1724475957&amp;range=A503" ref="W322"/>
    <hyperlink r:id="rId525" ref="E324"/>
    <hyperlink r:id="rId526" location="gid=1724475957&amp;range=A1009" ref="W324"/>
    <hyperlink r:id="rId527" ref="E325"/>
    <hyperlink r:id="rId528" location="gid=1724475957&amp;range=A831" ref="W325"/>
    <hyperlink r:id="rId529" ref="E326"/>
    <hyperlink r:id="rId530" location="gid=1724475957&amp;range=A269" ref="W326"/>
    <hyperlink r:id="rId531" ref="E327"/>
    <hyperlink r:id="rId532" location="gid=1724475957&amp;range=A641" ref="W327"/>
    <hyperlink r:id="rId533" ref="E328"/>
    <hyperlink r:id="rId534" location="gid=1724475957&amp;range=A1046" ref="W328"/>
    <hyperlink r:id="rId535" ref="E330"/>
    <hyperlink r:id="rId536" location="gid=1724475957&amp;range=A669" ref="W330"/>
    <hyperlink r:id="rId537" ref="E331"/>
    <hyperlink r:id="rId538" location="gid=1724475957&amp;range=A632" ref="W333"/>
    <hyperlink r:id="rId539" ref="E334"/>
    <hyperlink r:id="rId540" location="gid=1724475957&amp;range=A382" ref="W334"/>
    <hyperlink r:id="rId541" ref="E335"/>
    <hyperlink r:id="rId542" location="gid=1724475957&amp;range=A863" ref="W335"/>
    <hyperlink r:id="rId543" ref="E336"/>
    <hyperlink r:id="rId544" location="gid=1724475957&amp;range=A440" ref="W336"/>
    <hyperlink r:id="rId545" ref="E337"/>
    <hyperlink r:id="rId546" location="gid=1724475957&amp;range=A476" ref="W337"/>
    <hyperlink r:id="rId547" ref="E338"/>
    <hyperlink r:id="rId548" location="gid=1724475957&amp;range=A597" ref="W338"/>
    <hyperlink r:id="rId549" ref="E339"/>
    <hyperlink r:id="rId550" location="gid=1724475957&amp;range=A1728" ref="W339"/>
    <hyperlink r:id="rId551" ref="E340"/>
    <hyperlink r:id="rId552" location="gid=1724475957&amp;range=A404" ref="W340"/>
    <hyperlink r:id="rId553" ref="E341"/>
    <hyperlink r:id="rId554" location="gid=1724475957&amp;range=A724" ref="W341"/>
    <hyperlink r:id="rId555" ref="E342"/>
    <hyperlink r:id="rId556" location="gid=1724475957&amp;range=A1734" ref="W342"/>
    <hyperlink r:id="rId557" ref="E343"/>
    <hyperlink r:id="rId558" location="gid=1724475957&amp;range=A390" ref="W343"/>
    <hyperlink r:id="rId559" ref="E344"/>
    <hyperlink r:id="rId560" ref="U344"/>
    <hyperlink r:id="rId561" ref="E345"/>
    <hyperlink r:id="rId562" location="gid=1724475957&amp;range=A46" ref="W345"/>
    <hyperlink r:id="rId563" ref="E346"/>
    <hyperlink r:id="rId564" ref="E347"/>
    <hyperlink r:id="rId565" location="gid=1724475957&amp;range=A899" ref="W347"/>
    <hyperlink r:id="rId566" ref="E348"/>
    <hyperlink r:id="rId567" ref="E349"/>
    <hyperlink r:id="rId568" location="gid=1724475957&amp;range=A1093" ref="W349"/>
    <hyperlink r:id="rId569" ref="E350"/>
    <hyperlink r:id="rId570" ref="E351"/>
    <hyperlink r:id="rId571" ref="E352"/>
    <hyperlink r:id="rId572" location="gid=1724475957&amp;range=A660" ref="W352"/>
    <hyperlink r:id="rId573" ref="E353"/>
    <hyperlink r:id="rId574" ref="E354"/>
    <hyperlink r:id="rId575" location="gid=1724475957&amp;range=A193" ref="W354"/>
    <hyperlink r:id="rId576" ref="E355"/>
    <hyperlink r:id="rId577" location="gid=1724475957&amp;range=A731" ref="W355"/>
    <hyperlink r:id="rId578" ref="E356"/>
    <hyperlink r:id="rId579" location="gid=1724475957&amp;range=A384" ref="W356"/>
    <hyperlink r:id="rId580" ref="E357"/>
    <hyperlink r:id="rId581" ref="E358"/>
    <hyperlink r:id="rId582" location="gid=1724475957&amp;range=A236" ref="W358"/>
    <hyperlink r:id="rId583" ref="E359"/>
    <hyperlink r:id="rId584" location="gid=1724475957&amp;range=A458" ref="W359"/>
    <hyperlink r:id="rId585" ref="E360"/>
    <hyperlink r:id="rId586" location="gid=1724475957&amp;range=A1739" ref="W360"/>
    <hyperlink r:id="rId587" ref="E361"/>
    <hyperlink r:id="rId588" ref="E362"/>
    <hyperlink r:id="rId589" location="gid=1724475957&amp;range=A148" ref="W362"/>
    <hyperlink r:id="rId590" ref="E363"/>
    <hyperlink r:id="rId591" location="gid=1724475957&amp;range=A594" ref="W363"/>
    <hyperlink r:id="rId592" ref="E364"/>
    <hyperlink r:id="rId593" ref="E365"/>
    <hyperlink r:id="rId594" location="gid=1724475957&amp;range=A657" ref="W365"/>
    <hyperlink r:id="rId595" ref="E367"/>
    <hyperlink r:id="rId596" ref="E368"/>
    <hyperlink r:id="rId597" location="gid=1724475957&amp;range=A1459" ref="W368"/>
    <hyperlink r:id="rId598" ref="E369"/>
    <hyperlink r:id="rId599" location="gid=1724475957&amp;range=A429" ref="W369"/>
    <hyperlink r:id="rId600" ref="E370"/>
    <hyperlink r:id="rId601" ref="E371"/>
    <hyperlink r:id="rId602" ref="E372"/>
    <hyperlink r:id="rId603" location="gid=1724475957&amp;range=A414" ref="W372"/>
    <hyperlink r:id="rId604" ref="E373"/>
    <hyperlink r:id="rId605" location="gid=1724475957&amp;range=A655" ref="W373"/>
    <hyperlink r:id="rId606" ref="E374"/>
    <hyperlink r:id="rId607" location="gid=1724475957&amp;range=A468" ref="W374"/>
    <hyperlink r:id="rId608" ref="E375"/>
    <hyperlink r:id="rId609" location="gid=1724475957&amp;range=A410" ref="W375"/>
    <hyperlink r:id="rId610" ref="E376"/>
    <hyperlink r:id="rId611" location="gid=1724475957&amp;range=A380" ref="W376"/>
    <hyperlink r:id="rId612" ref="E377"/>
    <hyperlink r:id="rId613" location="gid=1724475957&amp;range=A453" ref="W377"/>
    <hyperlink r:id="rId614" ref="E378"/>
    <hyperlink r:id="rId615" location="gid=1724475957&amp;range=A381" ref="W378"/>
    <hyperlink r:id="rId616" ref="E379"/>
    <hyperlink r:id="rId617" location="gid=1724475957&amp;range=A178" ref="W379"/>
    <hyperlink r:id="rId618" ref="E380"/>
    <hyperlink r:id="rId619" location="gid=1724475957&amp;range=A376" ref="W380"/>
    <hyperlink r:id="rId620" ref="E381"/>
    <hyperlink r:id="rId621" location="gid=1724475957&amp;range=A502" ref="W381"/>
    <hyperlink r:id="rId622" ref="E382"/>
    <hyperlink r:id="rId623" location="gid=1724475957&amp;range=A65" ref="W382"/>
    <hyperlink r:id="rId624" ref="E383"/>
    <hyperlink r:id="rId625" ref="E384"/>
    <hyperlink r:id="rId626" ref="E385"/>
    <hyperlink r:id="rId627" location="gid=1724475957&amp;range=A495" ref="W385"/>
    <hyperlink r:id="rId628" ref="E386"/>
    <hyperlink r:id="rId629" ref="E387"/>
    <hyperlink r:id="rId630" ref="E388"/>
    <hyperlink r:id="rId631" ref="E389"/>
    <hyperlink r:id="rId632" ref="E390"/>
    <hyperlink r:id="rId633" ref="E391"/>
    <hyperlink r:id="rId634" location="gid=1724475957&amp;range=A853" ref="W391"/>
    <hyperlink r:id="rId635" ref="E392"/>
    <hyperlink r:id="rId636" ref="E393"/>
    <hyperlink r:id="rId637" ref="E394"/>
    <hyperlink r:id="rId638" ref="E395"/>
    <hyperlink r:id="rId639" ref="E396"/>
    <hyperlink r:id="rId640" location="gid=1724475957&amp;range=A775" ref="W396"/>
    <hyperlink r:id="rId641" ref="E397"/>
    <hyperlink r:id="rId642" location="gid=1724475957&amp;range=A1004" ref="W397"/>
    <hyperlink r:id="rId643" ref="E398"/>
    <hyperlink r:id="rId644" location="gid=1724475957&amp;range=A472" ref="W398"/>
    <hyperlink r:id="rId645" ref="E399"/>
    <hyperlink r:id="rId646" ref="E400"/>
    <hyperlink r:id="rId647" location="gid=1724475957&amp;range=A1807" ref="W400"/>
    <hyperlink r:id="rId648" ref="E401"/>
    <hyperlink r:id="rId649" location="gid=1724475957&amp;range=A872" ref="W401"/>
    <hyperlink r:id="rId650" ref="E402"/>
    <hyperlink r:id="rId651" location="gid=1724475957&amp;range=A1748" ref="W402"/>
    <hyperlink r:id="rId652" ref="E403"/>
    <hyperlink r:id="rId653" location="gid=1724475957&amp;range=A1779" ref="W403"/>
    <hyperlink r:id="rId654" ref="E404"/>
    <hyperlink r:id="rId655" location="gid=1724475957&amp;range=A827" ref="W404"/>
    <hyperlink r:id="rId656" ref="E405"/>
    <hyperlink r:id="rId657" location="gid=1724475957&amp;range=A1516" ref="W405"/>
    <hyperlink r:id="rId658" ref="E406"/>
    <hyperlink r:id="rId659" location="gid=1724475957&amp;range=A891" ref="W406"/>
    <hyperlink r:id="rId660" ref="E407"/>
    <hyperlink r:id="rId661" location="gid=1724475957&amp;range=A652" ref="W407"/>
    <hyperlink r:id="rId662" ref="E408"/>
    <hyperlink r:id="rId663" location="gid=1724475957&amp;range=A876" ref="W408"/>
    <hyperlink r:id="rId664" ref="E409"/>
    <hyperlink r:id="rId665" ref="E410"/>
    <hyperlink r:id="rId666" ref="E411"/>
    <hyperlink r:id="rId667" ref="E412"/>
    <hyperlink r:id="rId668" location="gid=1724475957&amp;range=A898" ref="W412"/>
    <hyperlink r:id="rId669" ref="E413"/>
    <hyperlink r:id="rId670" location="gid=1724475957&amp;range=A398" ref="W413"/>
    <hyperlink r:id="rId671" ref="E414"/>
    <hyperlink r:id="rId672" ref="E415"/>
    <hyperlink r:id="rId673" location="gid=1724475957&amp;range=A178" ref="W415"/>
    <hyperlink r:id="rId674" ref="E416"/>
    <hyperlink r:id="rId675" location="gid=1724475957&amp;range=A552" ref="W416"/>
    <hyperlink r:id="rId676" ref="E417"/>
    <hyperlink r:id="rId677" location="gid=1724475957&amp;range=A598" ref="W417"/>
    <hyperlink r:id="rId678" ref="E418"/>
    <hyperlink r:id="rId679" ref="E419"/>
    <hyperlink r:id="rId680" location="gid=1724475957&amp;range=A384" ref="W419"/>
    <hyperlink r:id="rId681" ref="E420"/>
    <hyperlink r:id="rId682" ref="E421"/>
    <hyperlink r:id="rId683" ref="E422"/>
    <hyperlink r:id="rId684" location="gid=1724475957&amp;range=A311" ref="W422"/>
    <hyperlink r:id="rId685" ref="E423"/>
    <hyperlink r:id="rId686" location="gid=1724475957&amp;range=A1095" ref="W423"/>
    <hyperlink r:id="rId687" ref="E424"/>
    <hyperlink r:id="rId688" ref="E425"/>
    <hyperlink r:id="rId689" ref="E426"/>
    <hyperlink r:id="rId690" ref="E427"/>
    <hyperlink r:id="rId691" location="gid=1724475957&amp;range=A330" ref="W427"/>
    <hyperlink r:id="rId692" ref="E428"/>
    <hyperlink r:id="rId693" ref="E429"/>
    <hyperlink r:id="rId694" location="gid=1724475957&amp;range=A328" ref="W429"/>
    <hyperlink r:id="rId695" ref="E430"/>
    <hyperlink r:id="rId696" ref="E431"/>
    <hyperlink r:id="rId697" ref="E432"/>
    <hyperlink r:id="rId698" ref="E433"/>
    <hyperlink r:id="rId699" ref="E434"/>
    <hyperlink r:id="rId700" location="gid=1724475957&amp;range=A1087" ref="W434"/>
    <hyperlink r:id="rId701" ref="E435"/>
    <hyperlink r:id="rId702" ref="E436"/>
    <hyperlink r:id="rId703" ref="E437"/>
    <hyperlink r:id="rId704" location="gid=1724475957&amp;range=A1112" ref="W437"/>
    <hyperlink r:id="rId705" ref="E438"/>
    <hyperlink r:id="rId706" location="gid=1724475957&amp;range=A160" ref="W438"/>
    <hyperlink r:id="rId707" ref="E439"/>
    <hyperlink r:id="rId708" location="gid=1724475957&amp;range=A1125" ref="W439"/>
    <hyperlink r:id="rId709" ref="E440"/>
    <hyperlink r:id="rId710" ref="E441"/>
    <hyperlink r:id="rId711" location="gid=1724475957&amp;range=A1758" ref="W441"/>
    <hyperlink r:id="rId712" ref="E442"/>
    <hyperlink r:id="rId713" location="gid=1724475957&amp;range=A1127" ref="W442"/>
    <hyperlink r:id="rId714" ref="E443"/>
    <hyperlink r:id="rId715" ref="E444"/>
    <hyperlink r:id="rId716" ref="E445"/>
    <hyperlink r:id="rId717" ref="E446"/>
    <hyperlink r:id="rId718" location="gid=1724475957&amp;range=A160" ref="W446"/>
    <hyperlink r:id="rId719" location="gid=1724475957&amp;range=A536" ref="W454"/>
    <hyperlink r:id="rId720" location="gid=1724475957&amp;range=A1404" ref="W456"/>
    <hyperlink r:id="rId721" location="gid=1724475957&amp;range=A512" ref="W457"/>
    <hyperlink r:id="rId722" location="gid=1724475957&amp;range=A611" ref="W459"/>
    <hyperlink r:id="rId723" location="gid=1724475957&amp;range=A521" ref="W461"/>
    <hyperlink r:id="rId724" location="gid=1724475957&amp;range=A570" ref="W462"/>
    <hyperlink r:id="rId725" location="gid=1724475957&amp;range=A497" ref="W463"/>
    <hyperlink r:id="rId726" location="gid=1724475957&amp;range=A1484" ref="W465"/>
    <hyperlink r:id="rId727" location="gid=1724475957&amp;range=A722" ref="W468"/>
    <hyperlink r:id="rId728" location="gid=1724475957&amp;range=A1454" ref="W469"/>
    <hyperlink r:id="rId729" location="gid=1724475957&amp;range=A458" ref="W471"/>
    <hyperlink r:id="rId730" ref="E494"/>
    <hyperlink r:id="rId731" ref="U496"/>
    <hyperlink r:id="rId732" location="gid=1724475957&amp;range=A725" ref="W497"/>
    <hyperlink r:id="rId733" location="gid=1724475957&amp;range=A467" ref="W508"/>
    <hyperlink r:id="rId734" location="gid=1724475957&amp;range=A658" ref="W510"/>
    <hyperlink r:id="rId735" location="gid=1724475957&amp;range=A463" ref="W516"/>
    <hyperlink r:id="rId736" location="gid=1724475957&amp;range=A402" ref="W533"/>
    <hyperlink r:id="rId737" location="gid=1724475957&amp;range=A240" ref="W537"/>
    <hyperlink r:id="rId738" location="gid=1724475957&amp;range=A657" ref="W568"/>
    <hyperlink r:id="rId739" location="gid=1724475957&amp;range=A454" ref="W572"/>
    <hyperlink r:id="rId740" location="gid=1724475957&amp;range=A46" ref="W592"/>
    <hyperlink r:id="rId741" location="gid=1724475957&amp;range=A56" ref="W600"/>
    <hyperlink r:id="rId742" ref="E605"/>
    <hyperlink r:id="rId743" location="gid=1724475957&amp;range=A440" ref="W605"/>
    <hyperlink r:id="rId744" ref="E606"/>
    <hyperlink r:id="rId745" ref="E607"/>
    <hyperlink r:id="rId746" ref="E608"/>
    <hyperlink r:id="rId747" ref="E609"/>
    <hyperlink r:id="rId748" ref="E610"/>
    <hyperlink r:id="rId749" ref="E611"/>
    <hyperlink r:id="rId750" ref="E612"/>
    <hyperlink r:id="rId751" ref="E613"/>
    <hyperlink r:id="rId752" location="gid=1724475957&amp;range=A537" ref="W613"/>
    <hyperlink r:id="rId753" ref="E614"/>
    <hyperlink r:id="rId754" ref="E615"/>
    <hyperlink r:id="rId755" ref="E616"/>
    <hyperlink r:id="rId756" location="gid=1724475957&amp;range=A217" ref="W616"/>
    <hyperlink r:id="rId757" ref="E617"/>
    <hyperlink r:id="rId758" ref="E618"/>
    <hyperlink r:id="rId759" ref="E619"/>
    <hyperlink r:id="rId760" ref="E620"/>
    <hyperlink r:id="rId761" ref="E621"/>
    <hyperlink r:id="rId762" ref="E622"/>
    <hyperlink r:id="rId763" location="gid=1724475957&amp;range=A1394" ref="W622"/>
    <hyperlink r:id="rId764" ref="E623"/>
    <hyperlink r:id="rId765" ref="E624"/>
    <hyperlink r:id="rId766" location="gid=1724475957&amp;range=A248" ref="W624"/>
    <hyperlink r:id="rId767" ref="E625"/>
    <hyperlink r:id="rId768" ref="E626"/>
    <hyperlink r:id="rId769" ref="E627"/>
    <hyperlink r:id="rId770" ref="E628"/>
    <hyperlink r:id="rId771" ref="E629"/>
    <hyperlink r:id="rId772" ref="E630"/>
    <hyperlink r:id="rId773" ref="E631"/>
    <hyperlink r:id="rId774" ref="E632"/>
    <hyperlink r:id="rId775" ref="E633"/>
    <hyperlink r:id="rId776" ref="E634"/>
    <hyperlink r:id="rId777" location="gid=1724475957&amp;range=A880" ref="W634"/>
    <hyperlink r:id="rId778" ref="E635"/>
    <hyperlink r:id="rId779" location="gid=1724475957&amp;range=A773" ref="W635"/>
    <hyperlink r:id="rId780" ref="E636"/>
    <hyperlink r:id="rId781" location="gid=1724475957&amp;range=A574" ref="W636"/>
    <hyperlink r:id="rId782" ref="E637"/>
    <hyperlink r:id="rId783" ref="E638"/>
    <hyperlink r:id="rId784" location="gid=1724475957&amp;range=A1758" ref="W638"/>
    <hyperlink r:id="rId785" location="gid=1724475957&amp;range=A694" ref="W642"/>
    <hyperlink r:id="rId786" location="gid=1724475957&amp;range=A147" ref="W643"/>
    <hyperlink r:id="rId787" ref="E651"/>
    <hyperlink r:id="rId788" location="gid=1724475957&amp;range=A42" ref="W651"/>
    <hyperlink r:id="rId789" ref="E652"/>
    <hyperlink r:id="rId790" location="gid=1724475957&amp;range=A46" ref="W652"/>
    <hyperlink r:id="rId791" ref="E653"/>
    <hyperlink r:id="rId792" location="gid=1724475957&amp;range=A56" ref="W653"/>
    <hyperlink r:id="rId793" ref="E654"/>
    <hyperlink r:id="rId794" location="gid=1724475957&amp;range=A643" ref="W654"/>
    <hyperlink r:id="rId795" ref="E655"/>
    <hyperlink r:id="rId796" location="gid=1724475957&amp;range=A695" ref="W655"/>
    <hyperlink r:id="rId797" location="gid=1724475957&amp;range=A694" ref="W656"/>
  </hyperlinks>
  <drawing r:id="rId7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25"/>
    <col customWidth="1" min="2" max="2" width="11.88"/>
    <col customWidth="1" min="3" max="3" width="16.38"/>
    <col customWidth="1" min="4" max="4" width="19.75"/>
    <col customWidth="1" min="5" max="5" width="15.88"/>
    <col customWidth="1" min="6" max="6" width="9.75"/>
    <col customWidth="1" min="7" max="7" width="9.38"/>
    <col customWidth="1" min="8" max="8" width="9.88"/>
    <col customWidth="1" min="9" max="9" width="20.88"/>
    <col customWidth="1" min="10" max="10" width="16.75"/>
    <col customWidth="1" min="11" max="12" width="16.0"/>
    <col customWidth="1" min="13" max="13" width="39.13"/>
    <col customWidth="1" min="14" max="14" width="16.63"/>
    <col customWidth="1" min="15" max="16" width="11.75"/>
    <col customWidth="1" min="17" max="17" width="40.88"/>
    <col customWidth="1" min="18" max="18" width="44.13"/>
    <col customWidth="1" min="19" max="21" width="12.63"/>
    <col customWidth="1" min="22" max="22" width="14.63"/>
    <col customWidth="1" min="23" max="23" width="10.13"/>
    <col customWidth="1" min="24" max="24" width="8.25"/>
    <col customWidth="1" min="25" max="25" width="15.5"/>
    <col customWidth="1" min="26" max="26" width="28.5"/>
    <col customWidth="1" min="27" max="27" width="24.38"/>
    <col customWidth="1" min="28" max="28" width="15.75"/>
    <col customWidth="1" min="29" max="29" width="13.63"/>
    <col customWidth="1" min="30" max="30" width="14.63"/>
    <col customWidth="1" min="31" max="31" width="24.25"/>
    <col customWidth="1" min="32" max="32" width="35.88"/>
    <col customWidth="1" min="33" max="33" width="18.0"/>
    <col customWidth="1" min="34" max="34" width="24.0"/>
    <col customWidth="1" min="35" max="35" width="16.0"/>
    <col customWidth="1" min="36" max="36" width="54.25"/>
    <col customWidth="1" min="37" max="37" width="25.63"/>
    <col customWidth="1" min="38" max="38" width="28.5"/>
    <col customWidth="1" min="39" max="39" width="25.63"/>
    <col customWidth="1" min="41" max="41" width="17.5"/>
    <col customWidth="1" min="42" max="42" width="13.38"/>
    <col customWidth="1" min="43" max="43" width="25.13"/>
    <col customWidth="1" min="45" max="45" width="22.5"/>
    <col customWidth="1" min="46" max="46" width="27.38"/>
  </cols>
  <sheetData>
    <row r="1" ht="59.25" customHeight="1">
      <c r="A1" s="15" t="s">
        <v>208</v>
      </c>
      <c r="B1" s="15" t="s">
        <v>30</v>
      </c>
      <c r="C1" s="15" t="s">
        <v>35</v>
      </c>
      <c r="D1" s="15" t="s">
        <v>206</v>
      </c>
      <c r="E1" s="15" t="s">
        <v>207</v>
      </c>
      <c r="F1" s="15" t="s">
        <v>5137</v>
      </c>
      <c r="G1" s="15" t="s">
        <v>5138</v>
      </c>
      <c r="H1" s="15" t="s">
        <v>209</v>
      </c>
      <c r="I1" s="15" t="s">
        <v>212</v>
      </c>
      <c r="J1" s="15" t="s">
        <v>5139</v>
      </c>
      <c r="K1" s="15" t="s">
        <v>5140</v>
      </c>
      <c r="L1" s="15" t="s">
        <v>5141</v>
      </c>
      <c r="M1" s="18" t="s">
        <v>34</v>
      </c>
      <c r="N1" s="15" t="s">
        <v>214</v>
      </c>
      <c r="O1" s="16" t="s">
        <v>5142</v>
      </c>
      <c r="P1" s="15" t="s">
        <v>5143</v>
      </c>
      <c r="Q1" s="15" t="s">
        <v>213</v>
      </c>
      <c r="R1" s="15" t="s">
        <v>219</v>
      </c>
      <c r="S1" s="17" t="s">
        <v>215</v>
      </c>
      <c r="T1" s="17" t="s">
        <v>216</v>
      </c>
      <c r="U1" s="17" t="s">
        <v>217</v>
      </c>
      <c r="V1" s="17" t="s">
        <v>5144</v>
      </c>
      <c r="W1" s="15" t="s">
        <v>221</v>
      </c>
      <c r="X1" s="15" t="s">
        <v>222</v>
      </c>
      <c r="Y1" s="15" t="s">
        <v>37</v>
      </c>
      <c r="Z1" s="18" t="s">
        <v>5145</v>
      </c>
      <c r="AA1" s="18" t="s">
        <v>5145</v>
      </c>
      <c r="AB1" s="17" t="s">
        <v>5146</v>
      </c>
      <c r="AC1" s="15" t="s">
        <v>3</v>
      </c>
      <c r="AD1" s="15" t="s">
        <v>5147</v>
      </c>
      <c r="AE1" s="15" t="s">
        <v>2</v>
      </c>
      <c r="AF1" s="15" t="s">
        <v>5148</v>
      </c>
      <c r="AG1" s="15" t="s">
        <v>5149</v>
      </c>
      <c r="AH1" s="17" t="s">
        <v>230</v>
      </c>
      <c r="AI1" s="53" t="s">
        <v>5150</v>
      </c>
      <c r="AJ1" s="17" t="s">
        <v>5151</v>
      </c>
      <c r="AK1" s="17" t="s">
        <v>5152</v>
      </c>
      <c r="AL1" s="54" t="s">
        <v>5153</v>
      </c>
      <c r="AM1" s="55" t="s">
        <v>213</v>
      </c>
      <c r="AN1" s="15" t="s">
        <v>5154</v>
      </c>
      <c r="AO1" s="15" t="s">
        <v>5155</v>
      </c>
      <c r="AP1" s="15" t="s">
        <v>5156</v>
      </c>
      <c r="AQ1" s="15" t="s">
        <v>5157</v>
      </c>
      <c r="AR1" s="15" t="s">
        <v>5158</v>
      </c>
      <c r="AS1" s="17" t="s">
        <v>5159</v>
      </c>
      <c r="AT1" s="15" t="s">
        <v>5160</v>
      </c>
      <c r="AU1" s="15"/>
      <c r="AV1" s="15"/>
    </row>
    <row r="2">
      <c r="A2" s="28" t="s">
        <v>5161</v>
      </c>
      <c r="B2" s="28" t="s">
        <v>5162</v>
      </c>
      <c r="C2" s="23" t="str">
        <f t="shared" ref="C2:C1322" si="1">CONCATENATE(D2," ",E2)</f>
        <v>Ngawang Tashi</v>
      </c>
      <c r="D2" s="28" t="s">
        <v>5163</v>
      </c>
      <c r="E2" s="28" t="s">
        <v>5164</v>
      </c>
      <c r="F2" s="23">
        <f t="array" ref="F2">IFERROR(
    INDEX('Hub Interns 226'!A:A, MATCH(C2, 'Hub Interns 226'!B:B, 0)),"")</f>
        <v>935</v>
      </c>
      <c r="G2" s="23">
        <f t="array" ref="G2">IFERROR(
    INDEX('Hub Users 226'!A:A, MATCH(C2, 'Hub Users 226'!B:B, 0)),"")</f>
        <v>1368</v>
      </c>
      <c r="H2" s="28">
        <v>1574.0</v>
      </c>
      <c r="I2" s="28" t="s">
        <v>260</v>
      </c>
      <c r="J2" s="28"/>
      <c r="K2" s="28"/>
      <c r="L2" s="28" t="s">
        <v>5165</v>
      </c>
      <c r="M2" s="56" t="s">
        <v>5166</v>
      </c>
      <c r="N2" s="57">
        <v>45016.36319444444</v>
      </c>
      <c r="O2" s="58">
        <v>40430.0</v>
      </c>
      <c r="P2" s="28">
        <f t="shared" ref="P2:P19" si="2">DATEDIF(O2, TODAY(), "Y")</f>
        <v>15</v>
      </c>
      <c r="Q2" s="28" t="s">
        <v>5167</v>
      </c>
      <c r="R2" s="28" t="s">
        <v>5168</v>
      </c>
      <c r="S2" s="28"/>
      <c r="T2" s="28"/>
      <c r="U2" s="28"/>
      <c r="V2" s="28"/>
      <c r="W2" s="28" t="s">
        <v>1173</v>
      </c>
      <c r="X2" s="28" t="s">
        <v>272</v>
      </c>
      <c r="Y2" s="28" t="s">
        <v>5169</v>
      </c>
      <c r="Z2" s="28" t="s">
        <v>5170</v>
      </c>
      <c r="AA2" s="28" t="s">
        <v>5171</v>
      </c>
      <c r="AB2" s="28">
        <v>30.0</v>
      </c>
      <c r="AC2" s="28" t="s">
        <v>23</v>
      </c>
      <c r="AD2" s="28" t="s">
        <v>101</v>
      </c>
      <c r="AE2" s="28" t="s">
        <v>15</v>
      </c>
      <c r="AF2" s="23"/>
      <c r="AG2" s="23"/>
      <c r="AH2" s="23" t="str">
        <f>IFERROR(__xludf.DUMMYFUNCTION("IF(
ISNUMBER(MATCH(
C2,
IMPORTRANGE(""https://docs.google.com/spreadsheets/d/1yTh1ELC33JHYOeEdgIiEclxPRyh0zOKtlawDltfUay8"",""'Interns'!A:A""),
0
)),
""Outreach Conducted"",
"""")"),"")</f>
        <v/>
      </c>
      <c r="AI2" s="23"/>
      <c r="AJ2" s="23"/>
      <c r="AK2" s="23" t="str">
        <f>IFERROR(__xludf.DUMMYFUNCTION("XLOOKUP(C2, 
   IMPORTRANGE(""1RdEdgHYrZ33LJ7RUHj_h-qkAFL92bcVjtIdVa-UlsCw"", ""Interns!D:D""), 
   IMPORTRANGE(""1RdEdgHYrZ33LJ7RUHj_h-qkAFL92bcVjtIdVa-UlsCw"", ""Interns!M:M""), 
   ""Not Found"")"),"Contacted")</f>
        <v>Contacted</v>
      </c>
      <c r="AL2" s="23" t="str">
        <f>IFERROR(__xludf.DUMMYFUNCTION("XLOOKUP(C2, 
   IMPORTRANGE(""1RdEdgHYrZ33LJ7RUHj_h-qkAFL92bcVjtIdVa-UlsCw"", ""Interns!D:D""), 
   IMPORTRANGE(""1RdEdgHYrZ33LJ7RUHj_h-qkAFL92bcVjtIdVa-UlsCw"", ""Interns!N:N""), 
   ""Not Found"")"),"#Cheers4Careers")</f>
        <v>#Cheers4Careers</v>
      </c>
      <c r="AM2" s="23" t="str">
        <f>IFERROR(__xludf.DUMMYFUNCTION("XLOOKUP(C2, 
   IMPORTRANGE(""1RdEdgHYrZ33LJ7RUHj_h-qkAFL92bcVjtIdVa-UlsCw"", ""Interns!D:D""), 
   IMPORTRANGE(""1RdEdgHYrZ33LJ7RUHj_h-qkAFL92bcVjtIdVa-UlsCw"", ""Interns!O:O""), 
   ""Not Found"")"),"Hetal reached out March 27 for March #Cheers4 Careers ")</f>
        <v>Hetal reached out March 27 for March #Cheers4 Careers </v>
      </c>
      <c r="AN2" s="23"/>
      <c r="AO2" s="23" t="s">
        <v>5172</v>
      </c>
      <c r="AP2" s="28" t="s">
        <v>5173</v>
      </c>
      <c r="AQ2" s="28"/>
      <c r="AR2" s="23"/>
      <c r="AS2" s="23"/>
      <c r="AT2" s="23"/>
      <c r="AU2" s="23"/>
      <c r="AV2" s="23"/>
    </row>
    <row r="3">
      <c r="A3" s="28" t="s">
        <v>5161</v>
      </c>
      <c r="B3" s="28" t="s">
        <v>5162</v>
      </c>
      <c r="C3" s="23" t="str">
        <f t="shared" si="1"/>
        <v>Verni Perez</v>
      </c>
      <c r="D3" s="28" t="s">
        <v>5174</v>
      </c>
      <c r="E3" s="28" t="s">
        <v>5175</v>
      </c>
      <c r="F3" s="23">
        <f t="array" ref="F3">IFERROR(
    INDEX('Hub Interns 226'!A:A, MATCH(C3, 'Hub Interns 226'!B:B, 0)),"")</f>
        <v>1173</v>
      </c>
      <c r="G3" s="23">
        <f t="array" ref="G3">IFERROR(
    INDEX('Hub Users 226'!A:A, MATCH(C3, 'Hub Users 226'!B:B, 0)),"")</f>
        <v>1606</v>
      </c>
      <c r="H3" s="28">
        <v>1571.0</v>
      </c>
      <c r="I3" s="28"/>
      <c r="J3" s="28" t="s">
        <v>5176</v>
      </c>
      <c r="K3" s="28" t="s">
        <v>5177</v>
      </c>
      <c r="L3" s="28" t="s">
        <v>5165</v>
      </c>
      <c r="M3" s="56" t="s">
        <v>5178</v>
      </c>
      <c r="N3" s="57">
        <v>45015.54236111111</v>
      </c>
      <c r="O3" s="58">
        <v>44959.0</v>
      </c>
      <c r="P3" s="28">
        <f t="shared" si="2"/>
        <v>3</v>
      </c>
      <c r="Q3" s="28" t="s">
        <v>240</v>
      </c>
      <c r="R3" s="28" t="s">
        <v>5179</v>
      </c>
      <c r="S3" s="28"/>
      <c r="T3" s="28"/>
      <c r="U3" s="28"/>
      <c r="V3" s="28"/>
      <c r="W3" s="23"/>
      <c r="X3" s="23"/>
      <c r="Y3" s="28" t="s">
        <v>5180</v>
      </c>
      <c r="Z3" s="28" t="s">
        <v>5170</v>
      </c>
      <c r="AA3" s="28" t="s">
        <v>5171</v>
      </c>
      <c r="AB3" s="28">
        <v>30.0</v>
      </c>
      <c r="AC3" s="28" t="s">
        <v>23</v>
      </c>
      <c r="AD3" s="23"/>
      <c r="AE3" s="28" t="s">
        <v>15</v>
      </c>
      <c r="AF3" s="23"/>
      <c r="AG3" s="23"/>
      <c r="AH3" s="23" t="str">
        <f>IFERROR(__xludf.DUMMYFUNCTION("IF(
ISNUMBER(MATCH(
C3,
IMPORTRANGE(""https://docs.google.com/spreadsheets/d/1yTh1ELC33JHYOeEdgIiEclxPRyh0zOKtlawDltfUay8"",""'Interns'!A:A""),
0
)),
""Outreach Conducted"",
"""")"),"")</f>
        <v/>
      </c>
      <c r="AI3" s="23"/>
      <c r="AJ3" s="23"/>
      <c r="AK3" s="23" t="str">
        <f>IFERROR(__xludf.DUMMYFUNCTION("XLOOKUP(C3, 
   IMPORTRANGE(""1RdEdgHYrZ33LJ7RUHj_h-qkAFL92bcVjtIdVa-UlsCw"", ""Interns!D:D""), 
   IMPORTRANGE(""1RdEdgHYrZ33LJ7RUHj_h-qkAFL92bcVjtIdVa-UlsCw"", ""Interns!M:M""), 
   ""Not Found"")"),"Contacted")</f>
        <v>Contacted</v>
      </c>
      <c r="AL3" s="23" t="str">
        <f>IFERROR(__xludf.DUMMYFUNCTION("XLOOKUP(C3, 
   IMPORTRANGE(""1RdEdgHYrZ33LJ7RUHj_h-qkAFL92bcVjtIdVa-UlsCw"", ""Interns!D:D""), 
   IMPORTRANGE(""1RdEdgHYrZ33LJ7RUHj_h-qkAFL92bcVjtIdVa-UlsCw"", ""Interns!N:N""), 
   ""Not Found"")"),"#Cheers4Careers")</f>
        <v>#Cheers4Careers</v>
      </c>
      <c r="AM3" s="23" t="str">
        <f>IFERROR(__xludf.DUMMYFUNCTION("XLOOKUP(C3, 
   IMPORTRANGE(""1RdEdgHYrZ33LJ7RUHj_h-qkAFL92bcVjtIdVa-UlsCw"", ""Interns!D:D""), 
   IMPORTRANGE(""1RdEdgHYrZ33LJ7RUHj_h-qkAFL92bcVjtIdVa-UlsCw"", ""Interns!O:O""), 
   ""Not Found"")"),"Hetal reached out March 27 for March #Cheers4 Careers ")</f>
        <v>Hetal reached out March 27 for March #Cheers4 Careers </v>
      </c>
      <c r="AN3" s="23"/>
      <c r="AO3" s="23" t="s">
        <v>5181</v>
      </c>
      <c r="AP3" s="28" t="s">
        <v>5182</v>
      </c>
      <c r="AQ3" s="28"/>
      <c r="AR3" s="23"/>
      <c r="AS3" s="23"/>
      <c r="AT3" s="23"/>
      <c r="AU3" s="23"/>
      <c r="AV3" s="23"/>
    </row>
    <row r="4">
      <c r="A4" s="28" t="s">
        <v>5161</v>
      </c>
      <c r="B4" s="28" t="s">
        <v>5162</v>
      </c>
      <c r="C4" s="23" t="str">
        <f t="shared" si="1"/>
        <v>Munir ahmad Bakhtyar</v>
      </c>
      <c r="D4" s="28" t="s">
        <v>5183</v>
      </c>
      <c r="E4" s="28" t="s">
        <v>5184</v>
      </c>
      <c r="F4" s="23">
        <f t="array" ref="F4">IFERROR(
    INDEX('Hub Interns 226'!A:A, MATCH(C4, 'Hub Interns 226'!B:B, 0)),"")</f>
        <v>866</v>
      </c>
      <c r="G4" s="23">
        <f t="array" ref="G4">IFERROR(
    INDEX('Hub Users 226'!A:A, MATCH(C4, 'Hub Users 226'!B:B, 0)),"")</f>
        <v>1299</v>
      </c>
      <c r="H4" s="28">
        <v>375.0</v>
      </c>
      <c r="I4" s="28" t="s">
        <v>302</v>
      </c>
      <c r="J4" s="28" t="s">
        <v>5185</v>
      </c>
      <c r="K4" s="28" t="s">
        <v>5186</v>
      </c>
      <c r="L4" s="28" t="s">
        <v>5165</v>
      </c>
      <c r="M4" s="56" t="s">
        <v>5187</v>
      </c>
      <c r="N4" s="57">
        <v>44252.82152777778</v>
      </c>
      <c r="O4" s="58">
        <v>37925.0</v>
      </c>
      <c r="P4" s="28">
        <f t="shared" si="2"/>
        <v>22</v>
      </c>
      <c r="Q4" s="28" t="s">
        <v>240</v>
      </c>
      <c r="R4" s="28">
        <v>11355.0</v>
      </c>
      <c r="S4" s="28"/>
      <c r="T4" s="28"/>
      <c r="U4" s="28"/>
      <c r="V4" s="28"/>
      <c r="W4" s="28" t="s">
        <v>1173</v>
      </c>
      <c r="X4" s="28" t="s">
        <v>272</v>
      </c>
      <c r="Y4" s="28" t="s">
        <v>5188</v>
      </c>
      <c r="Z4" s="28" t="s">
        <v>5189</v>
      </c>
      <c r="AA4" s="28" t="s">
        <v>619</v>
      </c>
      <c r="AB4" s="28">
        <v>20.0</v>
      </c>
      <c r="AC4" s="28" t="s">
        <v>25</v>
      </c>
      <c r="AD4" s="23"/>
      <c r="AE4" s="28" t="s">
        <v>8</v>
      </c>
      <c r="AF4" s="23" t="str">
        <f>IFERROR(__xludf.DUMMYFUNCTION("TEXTJOIN("", "", TRUE,
  FILTER(Champions!C:C,
    ISNUMBER(SEARCH(C4, Champions!W:W))
  )
)"),"Joseph Temowo, Sana Ahmad")</f>
        <v>Joseph Temowo, Sana Ahmad</v>
      </c>
      <c r="AG4" s="23"/>
      <c r="AH4" s="23" t="str">
        <f>IFERROR(__xludf.DUMMYFUNCTION("IF(
ISNUMBER(MATCH(
C4,
IMPORTRANGE(""https://docs.google.com/spreadsheets/d/1yTh1ELC33JHYOeEdgIiEclxPRyh0zOKtlawDltfUay8"",""'Interns'!A:A""),
0
)),
""Outreach Conducted"",
"""")"),"")</f>
        <v/>
      </c>
      <c r="AI4" s="23"/>
      <c r="AJ4" s="23"/>
      <c r="AK4" s="23" t="str">
        <f>IFERROR(__xludf.DUMMYFUNCTION("XLOOKUP(C4, 
   IMPORTRANGE(""1RdEdgHYrZ33LJ7RUHj_h-qkAFL92bcVjtIdVa-UlsCw"", ""Interns!D:D""), 
   IMPORTRANGE(""1RdEdgHYrZ33LJ7RUHj_h-qkAFL92bcVjtIdVa-UlsCw"", ""Interns!M:M""), 
   ""Not Found"")"),"Contacted")</f>
        <v>Contacted</v>
      </c>
      <c r="AL4" s="23" t="str">
        <f>IFERROR(__xludf.DUMMYFUNCTION("XLOOKUP(C4, 
   IMPORTRANGE(""1RdEdgHYrZ33LJ7RUHj_h-qkAFL92bcVjtIdVa-UlsCw"", ""Interns!D:D""), 
   IMPORTRANGE(""1RdEdgHYrZ33LJ7RUHj_h-qkAFL92bcVjtIdVa-UlsCw"", ""Interns!N:N""), 
   ""Not Found"")"),"#Cheers4Careers")</f>
        <v>#Cheers4Careers</v>
      </c>
      <c r="AM4" s="23" t="str">
        <f>IFERROR(__xludf.DUMMYFUNCTION("XLOOKUP(C4, 
   IMPORTRANGE(""1RdEdgHYrZ33LJ7RUHj_h-qkAFL92bcVjtIdVa-UlsCw"", ""Interns!D:D""), 
   IMPORTRANGE(""1RdEdgHYrZ33LJ7RUHj_h-qkAFL92bcVjtIdVa-UlsCw"", ""Interns!O:O""), 
   ""Not Found"")"),"Hetal reached out by email 3/27 followed by text")</f>
        <v>Hetal reached out by email 3/27 followed by text</v>
      </c>
      <c r="AN4" s="23"/>
      <c r="AO4" s="23" t="s">
        <v>5190</v>
      </c>
      <c r="AP4" s="28" t="s">
        <v>5191</v>
      </c>
      <c r="AQ4" s="28" t="s">
        <v>5192</v>
      </c>
      <c r="AR4" s="23" t="s">
        <v>5193</v>
      </c>
      <c r="AS4" s="23"/>
      <c r="AT4" s="23"/>
      <c r="AU4" s="23"/>
      <c r="AV4" s="23"/>
    </row>
    <row r="5">
      <c r="A5" s="28" t="s">
        <v>5161</v>
      </c>
      <c r="B5" s="28" t="s">
        <v>5162</v>
      </c>
      <c r="C5" s="23" t="str">
        <f t="shared" si="1"/>
        <v>Baseria Atta</v>
      </c>
      <c r="D5" s="28" t="s">
        <v>5194</v>
      </c>
      <c r="E5" s="28" t="s">
        <v>5195</v>
      </c>
      <c r="F5" s="23" t="str">
        <f t="array" ref="F5">IFERROR(
    INDEX('Hub Interns 226'!A:A, MATCH(C5, 'Hub Interns 226'!B:B, 0)),"")</f>
        <v/>
      </c>
      <c r="G5" s="23">
        <f t="array" ref="G5">IFERROR(
    INDEX('Hub Users 226'!A:A, MATCH(C5, 'Hub Users 226'!B:B, 0)),"")</f>
        <v>730</v>
      </c>
      <c r="H5" s="28">
        <v>571.0</v>
      </c>
      <c r="I5" s="28" t="s">
        <v>290</v>
      </c>
      <c r="J5" s="28" t="s">
        <v>5185</v>
      </c>
      <c r="K5" s="28" t="s">
        <v>5186</v>
      </c>
      <c r="L5" s="28" t="s">
        <v>5196</v>
      </c>
      <c r="M5" s="56" t="s">
        <v>5197</v>
      </c>
      <c r="N5" s="59">
        <v>44480.529861111114</v>
      </c>
      <c r="O5" s="58">
        <v>38059.0</v>
      </c>
      <c r="P5" s="28">
        <f t="shared" si="2"/>
        <v>22</v>
      </c>
      <c r="Q5" s="28" t="s">
        <v>5198</v>
      </c>
      <c r="R5" s="28" t="s">
        <v>5199</v>
      </c>
      <c r="S5" s="60">
        <v>6.0</v>
      </c>
      <c r="T5" s="60">
        <v>16.0</v>
      </c>
      <c r="U5" s="60">
        <v>40.0</v>
      </c>
      <c r="V5" s="28">
        <v>20.0</v>
      </c>
      <c r="W5" s="28" t="s">
        <v>1173</v>
      </c>
      <c r="X5" s="28" t="s">
        <v>272</v>
      </c>
      <c r="Y5" s="28" t="s">
        <v>5200</v>
      </c>
      <c r="Z5" s="28" t="s">
        <v>5189</v>
      </c>
      <c r="AA5" s="28" t="s">
        <v>619</v>
      </c>
      <c r="AB5" s="28">
        <v>20.0</v>
      </c>
      <c r="AC5" s="28" t="s">
        <v>25</v>
      </c>
      <c r="AD5" s="23"/>
      <c r="AE5" s="28" t="s">
        <v>10</v>
      </c>
      <c r="AF5" s="23" t="str">
        <f>IFERROR(__xludf.DUMMYFUNCTION("TEXTJOIN("", "", TRUE,
  FILTER(Champions!C:C,
    ISNUMBER(SEARCH(C5, Champions!W:W))
  )
)"),"Madhumitha Sowndararajan, Vatsala Sarathy")</f>
        <v>Madhumitha Sowndararajan, Vatsala Sarathy</v>
      </c>
      <c r="AG5" s="23"/>
      <c r="AH5" s="23" t="str">
        <f>IFERROR(__xludf.DUMMYFUNCTION("IF(
ISNUMBER(MATCH(
C5,
IMPORTRANGE(""https://docs.google.com/spreadsheets/d/1yTh1ELC33JHYOeEdgIiEclxPRyh0zOKtlawDltfUay8"",""'Interns'!A:A""),
0
)),
""Outreach Conducted"",
"""")"),"")</f>
        <v/>
      </c>
      <c r="AI5" s="23"/>
      <c r="AJ5" s="23"/>
      <c r="AK5" s="23" t="str">
        <f>IFERROR(__xludf.DUMMYFUNCTION("XLOOKUP(C5, 
   IMPORTRANGE(""1RdEdgHYrZ33LJ7RUHj_h-qkAFL92bcVjtIdVa-UlsCw"", ""Interns!D:D""), 
   IMPORTRANGE(""1RdEdgHYrZ33LJ7RUHj_h-qkAFL92bcVjtIdVa-UlsCw"", ""Interns!M:M""), 
   ""Not Found"")"),"Contacted")</f>
        <v>Contacted</v>
      </c>
      <c r="AL5" s="23" t="str">
        <f>IFERROR(__xludf.DUMMYFUNCTION("XLOOKUP(C5, 
   IMPORTRANGE(""1RdEdgHYrZ33LJ7RUHj_h-qkAFL92bcVjtIdVa-UlsCw"", ""Interns!D:D""), 
   IMPORTRANGE(""1RdEdgHYrZ33LJ7RUHj_h-qkAFL92bcVjtIdVa-UlsCw"", ""Interns!N:N""), 
   ""Not Found"")"),"#Cheers4Careers")</f>
        <v>#Cheers4Careers</v>
      </c>
      <c r="AM5" s="23" t="str">
        <f>IFERROR(__xludf.DUMMYFUNCTION("XLOOKUP(C5, 
   IMPORTRANGE(""1RdEdgHYrZ33LJ7RUHj_h-qkAFL92bcVjtIdVa-UlsCw"", ""Interns!D:D""), 
   IMPORTRANGE(""1RdEdgHYrZ33LJ7RUHj_h-qkAFL92bcVjtIdVa-UlsCw"", ""Interns!O:O""), 
   ""Not Found"")"),"Hetal reached out by email 3/27 followed by text")</f>
        <v>Hetal reached out by email 3/27 followed by text</v>
      </c>
      <c r="AN5" s="23"/>
      <c r="AO5" s="23" t="s">
        <v>5201</v>
      </c>
      <c r="AP5" s="28" t="s">
        <v>5191</v>
      </c>
      <c r="AQ5" s="28" t="s">
        <v>5197</v>
      </c>
      <c r="AR5" s="23" t="s">
        <v>5200</v>
      </c>
      <c r="AS5" s="23"/>
      <c r="AT5" s="23"/>
      <c r="AU5" s="23"/>
      <c r="AV5" s="23"/>
    </row>
    <row r="6">
      <c r="A6" s="28" t="s">
        <v>5202</v>
      </c>
      <c r="B6" s="28" t="s">
        <v>5162</v>
      </c>
      <c r="C6" s="23" t="str">
        <f t="shared" si="1"/>
        <v>cristofe hernandez</v>
      </c>
      <c r="D6" s="28" t="s">
        <v>5203</v>
      </c>
      <c r="E6" s="28" t="s">
        <v>5204</v>
      </c>
      <c r="F6" s="23">
        <f t="array" ref="F6">IFERROR(
    INDEX('Hub Interns 226'!A:A, MATCH(C6, 'Hub Interns 226'!B:B, 0)),"")</f>
        <v>393</v>
      </c>
      <c r="G6" s="23">
        <f t="array" ref="G6">IFERROR(
    INDEX('Hub Users 226'!A:A, MATCH(C6, 'Hub Users 226'!B:B, 0)),"")</f>
        <v>826</v>
      </c>
      <c r="H6" s="28">
        <v>933.0</v>
      </c>
      <c r="I6" s="28" t="s">
        <v>608</v>
      </c>
      <c r="J6" s="28"/>
      <c r="K6" s="28"/>
      <c r="L6" s="28" t="s">
        <v>5165</v>
      </c>
      <c r="M6" s="56" t="s">
        <v>5205</v>
      </c>
      <c r="N6" s="57">
        <v>44603.48263888889</v>
      </c>
      <c r="O6" s="58">
        <v>38659.0</v>
      </c>
      <c r="P6" s="28">
        <f t="shared" si="2"/>
        <v>20</v>
      </c>
      <c r="Q6" s="28" t="s">
        <v>240</v>
      </c>
      <c r="R6" s="28" t="s">
        <v>5206</v>
      </c>
      <c r="S6" s="28">
        <v>13.0</v>
      </c>
      <c r="T6" s="28">
        <v>33.0</v>
      </c>
      <c r="U6" s="28">
        <v>78.0</v>
      </c>
      <c r="V6" s="28">
        <v>14.0</v>
      </c>
      <c r="W6" s="28" t="s">
        <v>859</v>
      </c>
      <c r="X6" s="28" t="s">
        <v>272</v>
      </c>
      <c r="Y6" s="28" t="s">
        <v>5207</v>
      </c>
      <c r="Z6" s="28" t="s">
        <v>5208</v>
      </c>
      <c r="AA6" s="28" t="s">
        <v>2141</v>
      </c>
      <c r="AB6" s="28">
        <v>8.0</v>
      </c>
      <c r="AC6" s="28" t="s">
        <v>24</v>
      </c>
      <c r="AD6" s="23"/>
      <c r="AE6" s="28" t="s">
        <v>10</v>
      </c>
      <c r="AF6" s="23"/>
      <c r="AG6" s="23"/>
      <c r="AH6" s="23" t="str">
        <f>IFERROR(__xludf.DUMMYFUNCTION("IF(
ISNUMBER(MATCH(
C6,
IMPORTRANGE(""https://docs.google.com/spreadsheets/d/1yTh1ELC33JHYOeEdgIiEclxPRyh0zOKtlawDltfUay8"",""'Interns'!A:A""),
0
)),
""Outreach Conducted"",
"""")"),"")</f>
        <v/>
      </c>
      <c r="AI6" s="23"/>
      <c r="AJ6" s="23"/>
      <c r="AK6" s="23" t="str">
        <f>IFERROR(__xludf.DUMMYFUNCTION("XLOOKUP(C6, 
   IMPORTRANGE(""1RdEdgHYrZ33LJ7RUHj_h-qkAFL92bcVjtIdVa-UlsCw"", ""Interns!D:D""), 
   IMPORTRANGE(""1RdEdgHYrZ33LJ7RUHj_h-qkAFL92bcVjtIdVa-UlsCw"", ""Interns!M:M""), 
   ""Not Found"")"),"")</f>
        <v/>
      </c>
      <c r="AL6" s="23" t="str">
        <f>IFERROR(__xludf.DUMMYFUNCTION("XLOOKUP(C6, 
   IMPORTRANGE(""1RdEdgHYrZ33LJ7RUHj_h-qkAFL92bcVjtIdVa-UlsCw"", ""Interns!D:D""), 
   IMPORTRANGE(""1RdEdgHYrZ33LJ7RUHj_h-qkAFL92bcVjtIdVa-UlsCw"", ""Interns!N:N""), 
   ""Not Found"")"),"")</f>
        <v/>
      </c>
      <c r="AM6" s="23" t="str">
        <f>IFERROR(__xludf.DUMMYFUNCTION("XLOOKUP(C6, 
   IMPORTRANGE(""1RdEdgHYrZ33LJ7RUHj_h-qkAFL92bcVjtIdVa-UlsCw"", ""Interns!D:D""), 
   IMPORTRANGE(""1RdEdgHYrZ33LJ7RUHj_h-qkAFL92bcVjtIdVa-UlsCw"", ""Interns!O:O""), 
   ""Not Found"")"),"")</f>
        <v/>
      </c>
      <c r="AN6" s="23"/>
      <c r="AO6" s="23" t="s">
        <v>5209</v>
      </c>
      <c r="AP6" s="28" t="s">
        <v>5182</v>
      </c>
      <c r="AQ6" s="28"/>
      <c r="AR6" s="23"/>
      <c r="AS6" s="23"/>
      <c r="AT6" s="23"/>
      <c r="AU6" s="23"/>
      <c r="AV6" s="23"/>
    </row>
    <row r="7">
      <c r="A7" s="28" t="s">
        <v>5161</v>
      </c>
      <c r="B7" s="28" t="s">
        <v>5162</v>
      </c>
      <c r="C7" s="23" t="str">
        <f t="shared" si="1"/>
        <v>Asia Atta</v>
      </c>
      <c r="D7" s="28" t="s">
        <v>5186</v>
      </c>
      <c r="E7" s="28" t="s">
        <v>5195</v>
      </c>
      <c r="F7" s="23">
        <f t="array" ref="F7">IFERROR(
    INDEX('Hub Interns 226'!A:A, MATCH(C7, 'Hub Interns 226'!B:B, 0)),"")</f>
        <v>296</v>
      </c>
      <c r="G7" s="23">
        <f t="array" ref="G7">IFERROR(
    INDEX('Hub Users 226'!A:A, MATCH(C7, 'Hub Users 226'!B:B, 0)),"")</f>
        <v>729</v>
      </c>
      <c r="H7" s="28">
        <v>592.0</v>
      </c>
      <c r="I7" s="28" t="s">
        <v>290</v>
      </c>
      <c r="J7" s="28" t="s">
        <v>5185</v>
      </c>
      <c r="K7" s="28" t="s">
        <v>5186</v>
      </c>
      <c r="L7" s="28" t="s">
        <v>5196</v>
      </c>
      <c r="M7" s="56" t="s">
        <v>5210</v>
      </c>
      <c r="N7" s="59">
        <v>44486.541666666664</v>
      </c>
      <c r="O7" s="58">
        <v>38505.0</v>
      </c>
      <c r="P7" s="28">
        <f t="shared" si="2"/>
        <v>20</v>
      </c>
      <c r="Q7" s="28" t="s">
        <v>240</v>
      </c>
      <c r="R7" s="28" t="s">
        <v>5211</v>
      </c>
      <c r="S7" s="60">
        <v>6.0</v>
      </c>
      <c r="T7" s="60">
        <v>16.0</v>
      </c>
      <c r="U7" s="60">
        <v>40.0</v>
      </c>
      <c r="V7" s="28">
        <v>20.0</v>
      </c>
      <c r="W7" s="28" t="s">
        <v>1173</v>
      </c>
      <c r="X7" s="28" t="s">
        <v>272</v>
      </c>
      <c r="Y7" s="23"/>
      <c r="Z7" s="28" t="s">
        <v>5189</v>
      </c>
      <c r="AA7" s="28" t="s">
        <v>619</v>
      </c>
      <c r="AB7" s="28">
        <v>20.0</v>
      </c>
      <c r="AC7" s="28" t="s">
        <v>25</v>
      </c>
      <c r="AD7" s="23"/>
      <c r="AE7" s="28" t="s">
        <v>10</v>
      </c>
      <c r="AF7" s="23" t="str">
        <f>IFERROR(__xludf.DUMMYFUNCTION("TEXTJOIN("", "", TRUE,
  FILTER(Champions!C:C,
    ISNUMBER(SEARCH(C7, Champions!W:W))
  )
)"),"Neha Ganjoo, Madhumitha Sowndararajan")</f>
        <v>Neha Ganjoo, Madhumitha Sowndararajan</v>
      </c>
      <c r="AG7" s="23"/>
      <c r="AH7" s="23" t="str">
        <f>IFERROR(__xludf.DUMMYFUNCTION("IF(
ISNUMBER(MATCH(
C7,
IMPORTRANGE(""https://docs.google.com/spreadsheets/d/1yTh1ELC33JHYOeEdgIiEclxPRyh0zOKtlawDltfUay8"",""'Interns'!A:A""),
0
)),
""Outreach Conducted"",
"""")"),"")</f>
        <v/>
      </c>
      <c r="AI7" s="23"/>
      <c r="AJ7" s="23"/>
      <c r="AK7" s="23" t="str">
        <f>IFERROR(__xludf.DUMMYFUNCTION("XLOOKUP(C7, 
   IMPORTRANGE(""1RdEdgHYrZ33LJ7RUHj_h-qkAFL92bcVjtIdVa-UlsCw"", ""Interns!D:D""), 
   IMPORTRANGE(""1RdEdgHYrZ33LJ7RUHj_h-qkAFL92bcVjtIdVa-UlsCw"", ""Interns!M:M""), 
   ""Not Found"")"),"Contacted")</f>
        <v>Contacted</v>
      </c>
      <c r="AL7" s="23" t="str">
        <f>IFERROR(__xludf.DUMMYFUNCTION("XLOOKUP(C7, 
   IMPORTRANGE(""1RdEdgHYrZ33LJ7RUHj_h-qkAFL92bcVjtIdVa-UlsCw"", ""Interns!D:D""), 
   IMPORTRANGE(""1RdEdgHYrZ33LJ7RUHj_h-qkAFL92bcVjtIdVa-UlsCw"", ""Interns!N:N""), 
   ""Not Found"")"),"#Cheers4Careers")</f>
        <v>#Cheers4Careers</v>
      </c>
      <c r="AM7" s="23" t="str">
        <f>IFERROR(__xludf.DUMMYFUNCTION("XLOOKUP(C7, 
   IMPORTRANGE(""1RdEdgHYrZ33LJ7RUHj_h-qkAFL92bcVjtIdVa-UlsCw"", ""Interns!D:D""), 
   IMPORTRANGE(""1RdEdgHYrZ33LJ7RUHj_h-qkAFL92bcVjtIdVa-UlsCw"", ""Interns!O:O""), 
   ""Not Found"")"),"Hetal reached out by email 3/27")</f>
        <v>Hetal reached out by email 3/27</v>
      </c>
      <c r="AN7" s="23"/>
      <c r="AO7" s="23" t="s">
        <v>5212</v>
      </c>
      <c r="AP7" s="28" t="s">
        <v>5191</v>
      </c>
      <c r="AQ7" s="28" t="s">
        <v>5213</v>
      </c>
      <c r="AR7" s="23" t="s">
        <v>5200</v>
      </c>
      <c r="AS7" s="23"/>
      <c r="AT7" s="23"/>
      <c r="AU7" s="23"/>
      <c r="AV7" s="23"/>
    </row>
    <row r="8">
      <c r="A8" s="28" t="s">
        <v>5161</v>
      </c>
      <c r="B8" s="28" t="s">
        <v>5162</v>
      </c>
      <c r="C8" s="23" t="str">
        <f t="shared" si="1"/>
        <v>Ehsanullah Sulimanzoy</v>
      </c>
      <c r="D8" s="28" t="s">
        <v>5214</v>
      </c>
      <c r="E8" s="28" t="s">
        <v>5215</v>
      </c>
      <c r="F8" s="23">
        <f t="array" ref="F8">IFERROR(
    INDEX('Hub Interns 226'!A:A, MATCH(C8, 'Hub Interns 226'!B:B, 0)),"")</f>
        <v>500</v>
      </c>
      <c r="G8" s="23">
        <f t="array" ref="G8">IFERROR(
    INDEX('Hub Users 226'!A:A, MATCH(C8, 'Hub Users 226'!B:B, 0)),"")</f>
        <v>933</v>
      </c>
      <c r="H8" s="28">
        <v>248.0</v>
      </c>
      <c r="I8" s="28" t="s">
        <v>239</v>
      </c>
      <c r="J8" s="28" t="s">
        <v>5185</v>
      </c>
      <c r="K8" s="28" t="s">
        <v>5186</v>
      </c>
      <c r="L8" s="28" t="s">
        <v>5165</v>
      </c>
      <c r="M8" s="56" t="s">
        <v>5216</v>
      </c>
      <c r="N8" s="57">
        <v>44140.520833333336</v>
      </c>
      <c r="O8" s="58">
        <v>37665.0</v>
      </c>
      <c r="P8" s="28">
        <f t="shared" si="2"/>
        <v>23</v>
      </c>
      <c r="Q8" s="28" t="s">
        <v>5217</v>
      </c>
      <c r="R8" s="28" t="s">
        <v>5218</v>
      </c>
      <c r="S8" s="28"/>
      <c r="T8" s="28"/>
      <c r="U8" s="28"/>
      <c r="V8" s="28"/>
      <c r="W8" s="28" t="s">
        <v>380</v>
      </c>
      <c r="X8" s="28" t="s">
        <v>381</v>
      </c>
      <c r="Y8" s="28" t="s">
        <v>5219</v>
      </c>
      <c r="Z8" s="28" t="s">
        <v>5220</v>
      </c>
      <c r="AA8" s="28" t="s">
        <v>1570</v>
      </c>
      <c r="AB8" s="28" t="s">
        <v>5221</v>
      </c>
      <c r="AC8" s="28" t="s">
        <v>25</v>
      </c>
      <c r="AD8" s="23"/>
      <c r="AE8" s="28" t="s">
        <v>8</v>
      </c>
      <c r="AF8" s="23" t="str">
        <f>IFERROR(__xludf.DUMMYFUNCTION("TEXTJOIN("", "", TRUE,
  FILTER(Champions!C:C,
    ISNUMBER(SEARCH(C8, Champions!W:W))
  )
)"),"Ian Paratore, Naqeebullah Jalalzay, Nilesh Murthy")</f>
        <v>Ian Paratore, Naqeebullah Jalalzay, Nilesh Murthy</v>
      </c>
      <c r="AG8" s="23"/>
      <c r="AH8" s="23" t="str">
        <f>IFERROR(__xludf.DUMMYFUNCTION("IF(
ISNUMBER(MATCH(
C8,
IMPORTRANGE(""https://docs.google.com/spreadsheets/d/1yTh1ELC33JHYOeEdgIiEclxPRyh0zOKtlawDltfUay8"",""'Interns'!A:A""),
0
)),
""Outreach Conducted"",
"""")"),"")</f>
        <v/>
      </c>
      <c r="AI8" s="23"/>
      <c r="AJ8" s="23"/>
      <c r="AK8" s="23" t="str">
        <f>IFERROR(__xludf.DUMMYFUNCTION("XLOOKUP(C8, 
   IMPORTRANGE(""1RdEdgHYrZ33LJ7RUHj_h-qkAFL92bcVjtIdVa-UlsCw"", ""Interns!D:D""), 
   IMPORTRANGE(""1RdEdgHYrZ33LJ7RUHj_h-qkAFL92bcVjtIdVa-UlsCw"", ""Interns!M:M""), 
   ""Not Found"")"),"")</f>
        <v/>
      </c>
      <c r="AL8" s="23" t="str">
        <f>IFERROR(__xludf.DUMMYFUNCTION("XLOOKUP(C8, 
   IMPORTRANGE(""1RdEdgHYrZ33LJ7RUHj_h-qkAFL92bcVjtIdVa-UlsCw"", ""Interns!D:D""), 
   IMPORTRANGE(""1RdEdgHYrZ33LJ7RUHj_h-qkAFL92bcVjtIdVa-UlsCw"", ""Interns!N:N""), 
   ""Not Found"")"),"")</f>
        <v/>
      </c>
      <c r="AM8" s="23" t="str">
        <f>IFERROR(__xludf.DUMMYFUNCTION("XLOOKUP(C8, 
   IMPORTRANGE(""1RdEdgHYrZ33LJ7RUHj_h-qkAFL92bcVjtIdVa-UlsCw"", ""Interns!D:D""), 
   IMPORTRANGE(""1RdEdgHYrZ33LJ7RUHj_h-qkAFL92bcVjtIdVa-UlsCw"", ""Interns!O:O""), 
   ""Not Found"")"),"")</f>
        <v/>
      </c>
      <c r="AN8" s="23"/>
      <c r="AO8" s="23" t="s">
        <v>5222</v>
      </c>
      <c r="AP8" s="28" t="s">
        <v>5191</v>
      </c>
      <c r="AQ8" s="28" t="s">
        <v>5223</v>
      </c>
      <c r="AR8" s="23">
        <v>2.67991498E9</v>
      </c>
      <c r="AS8" s="23"/>
      <c r="AT8" s="23"/>
      <c r="AU8" s="23"/>
      <c r="AV8" s="23"/>
    </row>
    <row r="9">
      <c r="A9" s="28" t="s">
        <v>5161</v>
      </c>
      <c r="B9" s="28" t="s">
        <v>5162</v>
      </c>
      <c r="C9" s="23" t="str">
        <f t="shared" si="1"/>
        <v>Matiullah Sulimanzoy</v>
      </c>
      <c r="D9" s="28" t="s">
        <v>5224</v>
      </c>
      <c r="E9" s="28" t="s">
        <v>5215</v>
      </c>
      <c r="F9" s="23" t="str">
        <f t="array" ref="F9">IFERROR(
    INDEX('Hub Interns 226'!A:A, MATCH(C9, 'Hub Interns 226'!B:B, 0)),"")</f>
        <v/>
      </c>
      <c r="G9" s="23">
        <f t="array" ref="G9">IFERROR(
    INDEX('Hub Users 226'!A:A, MATCH(C9, 'Hub Users 226'!B:B, 0)),"")</f>
        <v>1337</v>
      </c>
      <c r="H9" s="28">
        <v>238.0</v>
      </c>
      <c r="I9" s="28" t="s">
        <v>260</v>
      </c>
      <c r="J9" s="28" t="s">
        <v>5185</v>
      </c>
      <c r="K9" s="28" t="s">
        <v>5186</v>
      </c>
      <c r="L9" s="28" t="s">
        <v>5165</v>
      </c>
      <c r="M9" s="56" t="s">
        <v>5225</v>
      </c>
      <c r="N9" s="59">
        <v>44131.513194444444</v>
      </c>
      <c r="O9" s="58">
        <v>37033.0</v>
      </c>
      <c r="P9" s="28">
        <f t="shared" si="2"/>
        <v>24</v>
      </c>
      <c r="Q9" s="28" t="s">
        <v>5226</v>
      </c>
      <c r="R9" s="28" t="s">
        <v>5218</v>
      </c>
      <c r="S9" s="28"/>
      <c r="T9" s="28"/>
      <c r="U9" s="28"/>
      <c r="V9" s="28"/>
      <c r="W9" s="28" t="s">
        <v>380</v>
      </c>
      <c r="X9" s="28" t="s">
        <v>381</v>
      </c>
      <c r="Y9" s="28" t="s">
        <v>5219</v>
      </c>
      <c r="Z9" s="28" t="s">
        <v>5220</v>
      </c>
      <c r="AA9" s="28" t="s">
        <v>1570</v>
      </c>
      <c r="AB9" s="28" t="s">
        <v>5221</v>
      </c>
      <c r="AC9" s="28" t="s">
        <v>25</v>
      </c>
      <c r="AD9" s="23"/>
      <c r="AE9" s="28" t="s">
        <v>8</v>
      </c>
      <c r="AF9" s="23" t="str">
        <f>IFERROR(__xludf.DUMMYFUNCTION("TEXTJOIN("", "", TRUE,
  FILTER(Champions!C:C,
    ISNUMBER(SEARCH(C9, Champions!W:W))
  )
)"),"Ian Paratore, Naqeebullah Jalalzay, Nilesh Murthy")</f>
        <v>Ian Paratore, Naqeebullah Jalalzay, Nilesh Murthy</v>
      </c>
      <c r="AG9" s="23"/>
      <c r="AH9" s="23" t="str">
        <f>IFERROR(__xludf.DUMMYFUNCTION("IF(
ISNUMBER(MATCH(
C9,
IMPORTRANGE(""https://docs.google.com/spreadsheets/d/1yTh1ELC33JHYOeEdgIiEclxPRyh0zOKtlawDltfUay8"",""'Interns'!A:A""),
0
)),
""Outreach Conducted"",
"""")"),"")</f>
        <v/>
      </c>
      <c r="AI9" s="23"/>
      <c r="AJ9" s="23"/>
      <c r="AK9" s="23" t="str">
        <f>IFERROR(__xludf.DUMMYFUNCTION("XLOOKUP(C9, 
   IMPORTRANGE(""1RdEdgHYrZ33LJ7RUHj_h-qkAFL92bcVjtIdVa-UlsCw"", ""Interns!D:D""), 
   IMPORTRANGE(""1RdEdgHYrZ33LJ7RUHj_h-qkAFL92bcVjtIdVa-UlsCw"", ""Interns!M:M""), 
   ""Not Found"")"),"")</f>
        <v/>
      </c>
      <c r="AL9" s="23" t="str">
        <f>IFERROR(__xludf.DUMMYFUNCTION("XLOOKUP(C9, 
   IMPORTRANGE(""1RdEdgHYrZ33LJ7RUHj_h-qkAFL92bcVjtIdVa-UlsCw"", ""Interns!D:D""), 
   IMPORTRANGE(""1RdEdgHYrZ33LJ7RUHj_h-qkAFL92bcVjtIdVa-UlsCw"", ""Interns!N:N""), 
   ""Not Found"")"),"")</f>
        <v/>
      </c>
      <c r="AM9" s="23" t="str">
        <f>IFERROR(__xludf.DUMMYFUNCTION("XLOOKUP(C9, 
   IMPORTRANGE(""1RdEdgHYrZ33LJ7RUHj_h-qkAFL92bcVjtIdVa-UlsCw"", ""Interns!D:D""), 
   IMPORTRANGE(""1RdEdgHYrZ33LJ7RUHj_h-qkAFL92bcVjtIdVa-UlsCw"", ""Interns!O:O""), 
   ""Not Found"")"),"")</f>
        <v/>
      </c>
      <c r="AN9" s="23"/>
      <c r="AO9" s="23" t="s">
        <v>5222</v>
      </c>
      <c r="AP9" s="28" t="s">
        <v>5191</v>
      </c>
      <c r="AQ9" s="28" t="s">
        <v>5223</v>
      </c>
      <c r="AR9" s="23">
        <v>2.67991498E9</v>
      </c>
      <c r="AS9" s="23"/>
      <c r="AT9" s="23"/>
      <c r="AU9" s="23"/>
      <c r="AV9" s="23"/>
    </row>
    <row r="10">
      <c r="A10" s="28" t="s">
        <v>5161</v>
      </c>
      <c r="B10" s="28" t="s">
        <v>5162</v>
      </c>
      <c r="C10" s="23" t="str">
        <f t="shared" si="1"/>
        <v>Rasoul Sher Ahmad</v>
      </c>
      <c r="D10" s="28" t="s">
        <v>5227</v>
      </c>
      <c r="E10" s="28" t="s">
        <v>3030</v>
      </c>
      <c r="F10" s="23" t="str">
        <f t="array" ref="F10">IFERROR(
    INDEX('Hub Interns 226'!A:A, MATCH(C10, 'Hub Interns 226'!B:B, 0)),"")</f>
        <v/>
      </c>
      <c r="G10" s="23">
        <f t="array" ref="G10">IFERROR(
    INDEX('Hub Users 226'!A:A, MATCH(C10, 'Hub Users 226'!B:B, 0)),"")</f>
        <v>1529</v>
      </c>
      <c r="H10" s="28">
        <v>635.0</v>
      </c>
      <c r="I10" s="28" t="s">
        <v>290</v>
      </c>
      <c r="J10" s="28" t="s">
        <v>5185</v>
      </c>
      <c r="K10" s="28" t="s">
        <v>5186</v>
      </c>
      <c r="L10" s="28" t="s">
        <v>5165</v>
      </c>
      <c r="M10" s="56" t="s">
        <v>5228</v>
      </c>
      <c r="N10" s="59">
        <v>44498.49166666667</v>
      </c>
      <c r="O10" s="58">
        <v>38497.0</v>
      </c>
      <c r="P10" s="28">
        <f t="shared" si="2"/>
        <v>20</v>
      </c>
      <c r="Q10" s="28" t="s">
        <v>5229</v>
      </c>
      <c r="R10" s="28" t="s">
        <v>5230</v>
      </c>
      <c r="S10" s="28"/>
      <c r="T10" s="28"/>
      <c r="U10" s="28"/>
      <c r="V10" s="28"/>
      <c r="W10" s="28" t="s">
        <v>1173</v>
      </c>
      <c r="X10" s="28" t="s">
        <v>272</v>
      </c>
      <c r="Y10" s="23"/>
      <c r="Z10" s="28" t="s">
        <v>5189</v>
      </c>
      <c r="AA10" s="28" t="s">
        <v>619</v>
      </c>
      <c r="AB10" s="28">
        <v>20.0</v>
      </c>
      <c r="AC10" s="28" t="s">
        <v>25</v>
      </c>
      <c r="AD10" s="23"/>
      <c r="AE10" s="28" t="s">
        <v>10</v>
      </c>
      <c r="AF10" s="23" t="str">
        <f>IFERROR(__xludf.DUMMYFUNCTION("TEXTJOIN("", "", TRUE,
  FILTER(Champions!C:C,
    ISNUMBER(SEARCH(C10, Champions!W:W))
  )
)"),"Madhumitha Sowndararajan, Vatsala Sarathy")</f>
        <v>Madhumitha Sowndararajan, Vatsala Sarathy</v>
      </c>
      <c r="AG10" s="23"/>
      <c r="AH10" s="23" t="str">
        <f>IFERROR(__xludf.DUMMYFUNCTION("IF(
ISNUMBER(MATCH(
C10,
IMPORTRANGE(""https://docs.google.com/spreadsheets/d/1yTh1ELC33JHYOeEdgIiEclxPRyh0zOKtlawDltfUay8"",""'Interns'!A:A""),
0
)),
""Outreach Conducted"",
"""")"),"")</f>
        <v/>
      </c>
      <c r="AI10" s="23"/>
      <c r="AJ10" s="23"/>
      <c r="AK10" s="23" t="str">
        <f>IFERROR(__xludf.DUMMYFUNCTION("XLOOKUP(C10, 
   IMPORTRANGE(""1RdEdgHYrZ33LJ7RUHj_h-qkAFL92bcVjtIdVa-UlsCw"", ""Interns!D:D""), 
   IMPORTRANGE(""1RdEdgHYrZ33LJ7RUHj_h-qkAFL92bcVjtIdVa-UlsCw"", ""Interns!M:M""), 
   ""Not Found"")"),"Contacted")</f>
        <v>Contacted</v>
      </c>
      <c r="AL10" s="23" t="str">
        <f>IFERROR(__xludf.DUMMYFUNCTION("XLOOKUP(C10, 
   IMPORTRANGE(""1RdEdgHYrZ33LJ7RUHj_h-qkAFL92bcVjtIdVa-UlsCw"", ""Interns!D:D""), 
   IMPORTRANGE(""1RdEdgHYrZ33LJ7RUHj_h-qkAFL92bcVjtIdVa-UlsCw"", ""Interns!N:N""), 
   ""Not Found"")"),"#Cheers4Careers")</f>
        <v>#Cheers4Careers</v>
      </c>
      <c r="AM10" s="23" t="str">
        <f>IFERROR(__xludf.DUMMYFUNCTION("XLOOKUP(C10, 
   IMPORTRANGE(""1RdEdgHYrZ33LJ7RUHj_h-qkAFL92bcVjtIdVa-UlsCw"", ""Interns!D:D""), 
   IMPORTRANGE(""1RdEdgHYrZ33LJ7RUHj_h-qkAFL92bcVjtIdVa-UlsCw"", ""Interns!O:O""), 
   ""Not Found"")"),"Hetal reached out by email 3/27 followed by text")</f>
        <v>Hetal reached out by email 3/27 followed by text</v>
      </c>
      <c r="AN10" s="23"/>
      <c r="AO10" s="23" t="s">
        <v>5231</v>
      </c>
      <c r="AP10" s="28" t="s">
        <v>5191</v>
      </c>
      <c r="AQ10" s="28" t="s">
        <v>5228</v>
      </c>
      <c r="AR10" s="23" t="s">
        <v>5232</v>
      </c>
      <c r="AS10" s="23"/>
      <c r="AT10" s="23"/>
      <c r="AU10" s="23"/>
      <c r="AV10" s="23"/>
    </row>
    <row r="11">
      <c r="A11" s="28" t="s">
        <v>5161</v>
      </c>
      <c r="B11" s="28" t="s">
        <v>5162</v>
      </c>
      <c r="C11" s="23" t="str">
        <f t="shared" si="1"/>
        <v>Madina Raufi</v>
      </c>
      <c r="D11" s="28" t="s">
        <v>5233</v>
      </c>
      <c r="E11" s="28" t="s">
        <v>5234</v>
      </c>
      <c r="F11" s="23">
        <f t="array" ref="F11">IFERROR(
    INDEX('Hub Interns 226'!A:A, MATCH(C11, 'Hub Interns 226'!B:B, 0)),"")</f>
        <v>817</v>
      </c>
      <c r="G11" s="23">
        <f t="array" ref="G11">IFERROR(
    INDEX('Hub Users 226'!A:A, MATCH(C11, 'Hub Users 226'!B:B, 0)),"")</f>
        <v>1250</v>
      </c>
      <c r="H11" s="28">
        <v>358.0</v>
      </c>
      <c r="I11" s="28" t="s">
        <v>239</v>
      </c>
      <c r="J11" s="28" t="s">
        <v>5185</v>
      </c>
      <c r="K11" s="28" t="s">
        <v>5186</v>
      </c>
      <c r="L11" s="28" t="s">
        <v>5196</v>
      </c>
      <c r="M11" s="56" t="s">
        <v>5235</v>
      </c>
      <c r="N11" s="57">
        <v>44248.895833333336</v>
      </c>
      <c r="O11" s="58">
        <v>37695.0</v>
      </c>
      <c r="P11" s="28">
        <f t="shared" si="2"/>
        <v>23</v>
      </c>
      <c r="Q11" s="28" t="s">
        <v>240</v>
      </c>
      <c r="R11" s="28" t="s">
        <v>5236</v>
      </c>
      <c r="S11" s="28">
        <v>6.0</v>
      </c>
      <c r="T11" s="28">
        <v>16.0</v>
      </c>
      <c r="U11" s="28">
        <v>27.0</v>
      </c>
      <c r="V11" s="28">
        <v>24.0</v>
      </c>
      <c r="W11" s="28" t="s">
        <v>1173</v>
      </c>
      <c r="X11" s="28" t="s">
        <v>272</v>
      </c>
      <c r="Y11" s="28" t="s">
        <v>5237</v>
      </c>
      <c r="Z11" s="28" t="s">
        <v>5189</v>
      </c>
      <c r="AA11" s="28" t="s">
        <v>619</v>
      </c>
      <c r="AB11" s="28">
        <v>20.0</v>
      </c>
      <c r="AC11" s="28" t="s">
        <v>25</v>
      </c>
      <c r="AD11" s="23"/>
      <c r="AE11" s="28" t="s">
        <v>8</v>
      </c>
      <c r="AF11" s="23" t="str">
        <f>IFERROR(__xludf.DUMMYFUNCTION("TEXTJOIN("", "", TRUE,
  FILTER(Champions!C:C,
    ISNUMBER(SEARCH(C11, Champions!W:W))
  )
)"),"Swathi Koundinya, Danielle Flood")</f>
        <v>Swathi Koundinya, Danielle Flood</v>
      </c>
      <c r="AG11" s="23"/>
      <c r="AH11" s="23" t="str">
        <f>IFERROR(__xludf.DUMMYFUNCTION("IF(
ISNUMBER(MATCH(
C11,
IMPORTRANGE(""https://docs.google.com/spreadsheets/d/1yTh1ELC33JHYOeEdgIiEclxPRyh0zOKtlawDltfUay8"",""'Interns'!A:A""),
0
)),
""Outreach Conducted"",
"""")"),"")</f>
        <v/>
      </c>
      <c r="AI11" s="23"/>
      <c r="AJ11" s="28" t="s">
        <v>5238</v>
      </c>
      <c r="AK11" s="23" t="str">
        <f>IFERROR(__xludf.DUMMYFUNCTION("XLOOKUP(C11, 
   IMPORTRANGE(""1RdEdgHYrZ33LJ7RUHj_h-qkAFL92bcVjtIdVa-UlsCw"", ""Interns!D:D""), 
   IMPORTRANGE(""1RdEdgHYrZ33LJ7RUHj_h-qkAFL92bcVjtIdVa-UlsCw"", ""Interns!M:M""), 
   ""Not Found"")"),"Contacted")</f>
        <v>Contacted</v>
      </c>
      <c r="AL11" s="23" t="str">
        <f>IFERROR(__xludf.DUMMYFUNCTION("XLOOKUP(C11, 
   IMPORTRANGE(""1RdEdgHYrZ33LJ7RUHj_h-qkAFL92bcVjtIdVa-UlsCw"", ""Interns!D:D""), 
   IMPORTRANGE(""1RdEdgHYrZ33LJ7RUHj_h-qkAFL92bcVjtIdVa-UlsCw"", ""Interns!N:N""), 
   ""Not Found"")"),"#Cheers4Careers")</f>
        <v>#Cheers4Careers</v>
      </c>
      <c r="AM11" s="23" t="str">
        <f>IFERROR(__xludf.DUMMYFUNCTION("XLOOKUP(C11, 
   IMPORTRANGE(""1RdEdgHYrZ33LJ7RUHj_h-qkAFL92bcVjtIdVa-UlsCw"", ""Interns!D:D""), 
   IMPORTRANGE(""1RdEdgHYrZ33LJ7RUHj_h-qkAFL92bcVjtIdVa-UlsCw"", ""Interns!O:O""), 
   ""Not Found"")"),"Hetal reached out by email 3/27 followed by text")</f>
        <v>Hetal reached out by email 3/27 followed by text</v>
      </c>
      <c r="AN11" s="23"/>
      <c r="AO11" s="23" t="s">
        <v>5239</v>
      </c>
      <c r="AP11" s="28" t="s">
        <v>5240</v>
      </c>
      <c r="AQ11" s="28" t="s">
        <v>5241</v>
      </c>
      <c r="AR11" s="23" t="s">
        <v>5242</v>
      </c>
      <c r="AS11" s="23"/>
      <c r="AT11" s="23"/>
      <c r="AU11" s="23"/>
      <c r="AV11" s="23"/>
    </row>
    <row r="12">
      <c r="A12" s="28" t="s">
        <v>5161</v>
      </c>
      <c r="B12" s="28" t="s">
        <v>5162</v>
      </c>
      <c r="C12" s="23" t="str">
        <f t="shared" si="1"/>
        <v>Mouhamed Samb</v>
      </c>
      <c r="D12" s="28" t="s">
        <v>5243</v>
      </c>
      <c r="E12" s="28" t="s">
        <v>5244</v>
      </c>
      <c r="F12" s="23">
        <f t="array" ref="F12">IFERROR(
    INDEX('Hub Interns 226'!A:A, MATCH(C12, 'Hub Interns 226'!B:B, 0)),"")</f>
        <v>899</v>
      </c>
      <c r="G12" s="23">
        <f t="array" ref="G12">IFERROR(
    INDEX('Hub Users 226'!A:A, MATCH(C12, 'Hub Users 226'!B:B, 0)),"")</f>
        <v>1332</v>
      </c>
      <c r="H12" s="28">
        <v>474.0</v>
      </c>
      <c r="I12" s="28" t="s">
        <v>260</v>
      </c>
      <c r="J12" s="28"/>
      <c r="K12" s="28" t="s">
        <v>5245</v>
      </c>
      <c r="L12" s="28" t="s">
        <v>5165</v>
      </c>
      <c r="M12" s="56" t="s">
        <v>5246</v>
      </c>
      <c r="N12" s="57">
        <v>44362.575694444444</v>
      </c>
      <c r="O12" s="58">
        <v>38101.0</v>
      </c>
      <c r="P12" s="28">
        <f t="shared" si="2"/>
        <v>22</v>
      </c>
      <c r="Q12" s="28" t="s">
        <v>5247</v>
      </c>
      <c r="R12" s="28" t="s">
        <v>5248</v>
      </c>
      <c r="S12" s="28"/>
      <c r="T12" s="28"/>
      <c r="U12" s="28"/>
      <c r="V12" s="28"/>
      <c r="W12" s="28" t="s">
        <v>859</v>
      </c>
      <c r="X12" s="28" t="s">
        <v>272</v>
      </c>
      <c r="Y12" s="28">
        <v>9.293321893E9</v>
      </c>
      <c r="Z12" s="28" t="s">
        <v>5208</v>
      </c>
      <c r="AA12" s="28" t="s">
        <v>2141</v>
      </c>
      <c r="AB12" s="28">
        <v>8.0</v>
      </c>
      <c r="AC12" s="28" t="s">
        <v>25</v>
      </c>
      <c r="AD12" s="23"/>
      <c r="AE12" s="28" t="s">
        <v>10</v>
      </c>
      <c r="AF12" s="23" t="str">
        <f>IFERROR(__xludf.DUMMYFUNCTION("TEXTJOIN("", "", TRUE,
  FILTER(Champions!C:C,
    ISNUMBER(SEARCH(C12, Champions!W:W))
  )
)"),"Dragana Glumac, Jannet Figueroa Gallardo, Sunkyung Park")</f>
        <v>Dragana Glumac, Jannet Figueroa Gallardo, Sunkyung Park</v>
      </c>
      <c r="AG12" s="23"/>
      <c r="AH12" s="23" t="str">
        <f>IFERROR(__xludf.DUMMYFUNCTION("IF(
ISNUMBER(MATCH(
C12,
IMPORTRANGE(""https://docs.google.com/spreadsheets/d/1yTh1ELC33JHYOeEdgIiEclxPRyh0zOKtlawDltfUay8"",""'Interns'!A:A""),
0
)),
""Outreach Conducted"",
"""")"),"")</f>
        <v/>
      </c>
      <c r="AI12" s="23"/>
      <c r="AJ12" s="23"/>
      <c r="AK12" s="23" t="str">
        <f>IFERROR(__xludf.DUMMYFUNCTION("XLOOKUP(C12, 
   IMPORTRANGE(""1RdEdgHYrZ33LJ7RUHj_h-qkAFL92bcVjtIdVa-UlsCw"", ""Interns!D:D""), 
   IMPORTRANGE(""1RdEdgHYrZ33LJ7RUHj_h-qkAFL92bcVjtIdVa-UlsCw"", ""Interns!M:M""), 
   ""Not Found"")"),"Contacted")</f>
        <v>Contacted</v>
      </c>
      <c r="AL12" s="23" t="str">
        <f>IFERROR(__xludf.DUMMYFUNCTION("XLOOKUP(C12, 
   IMPORTRANGE(""1RdEdgHYrZ33LJ7RUHj_h-qkAFL92bcVjtIdVa-UlsCw"", ""Interns!D:D""), 
   IMPORTRANGE(""1RdEdgHYrZ33LJ7RUHj_h-qkAFL92bcVjtIdVa-UlsCw"", ""Interns!N:N""), 
   ""Not Found"")"),"#Cheers4Careers")</f>
        <v>#Cheers4Careers</v>
      </c>
      <c r="AM12" s="23" t="str">
        <f>IFERROR(__xludf.DUMMYFUNCTION("XLOOKUP(C12, 
   IMPORTRANGE(""1RdEdgHYrZ33LJ7RUHj_h-qkAFL92bcVjtIdVa-UlsCw"", ""Interns!D:D""), 
   IMPORTRANGE(""1RdEdgHYrZ33LJ7RUHj_h-qkAFL92bcVjtIdVa-UlsCw"", ""Interns!O:O""), 
   ""Not Found"")"),"Hetal reached out by email 3/27")</f>
        <v>Hetal reached out by email 3/27</v>
      </c>
      <c r="AN12" s="23"/>
      <c r="AO12" s="23" t="s">
        <v>5249</v>
      </c>
      <c r="AP12" s="28" t="s">
        <v>5182</v>
      </c>
      <c r="AQ12" s="28" t="s">
        <v>5250</v>
      </c>
      <c r="AR12" s="23" t="s">
        <v>5251</v>
      </c>
      <c r="AS12" s="23"/>
      <c r="AT12" s="23"/>
      <c r="AU12" s="23"/>
      <c r="AV12" s="23"/>
    </row>
    <row r="13">
      <c r="A13" s="28" t="s">
        <v>5161</v>
      </c>
      <c r="B13" s="28" t="s">
        <v>5162</v>
      </c>
      <c r="C13" s="23" t="str">
        <f t="shared" si="1"/>
        <v>Ina Hoxhaj</v>
      </c>
      <c r="D13" s="28" t="s">
        <v>5252</v>
      </c>
      <c r="E13" s="28" t="s">
        <v>5253</v>
      </c>
      <c r="F13" s="23">
        <f t="array" ref="F13">IFERROR(
    INDEX('Hub Interns 226'!A:A, MATCH(C13, 'Hub Interns 226'!B:B, 0)),"")</f>
        <v>1376</v>
      </c>
      <c r="G13" s="23">
        <f t="array" ref="G13">IFERROR(
    INDEX('Hub Users 226'!A:A, MATCH(C13, 'Hub Users 226'!B:B, 0)),"")</f>
        <v>1905</v>
      </c>
      <c r="H13" s="28">
        <v>1774.0</v>
      </c>
      <c r="I13" s="28" t="s">
        <v>1235</v>
      </c>
      <c r="J13" s="28" t="s">
        <v>5254</v>
      </c>
      <c r="K13" s="28" t="s">
        <v>5255</v>
      </c>
      <c r="L13" s="28" t="s">
        <v>5196</v>
      </c>
      <c r="M13" s="56" t="s">
        <v>5256</v>
      </c>
      <c r="N13" s="57">
        <v>45312.75902777778</v>
      </c>
      <c r="O13" s="58">
        <v>39323.0</v>
      </c>
      <c r="P13" s="28">
        <f t="shared" si="2"/>
        <v>18</v>
      </c>
      <c r="Q13" s="28" t="s">
        <v>5257</v>
      </c>
      <c r="R13" s="28" t="s">
        <v>5258</v>
      </c>
      <c r="S13" s="28">
        <v>12.0</v>
      </c>
      <c r="T13" s="28">
        <v>28.0</v>
      </c>
      <c r="U13" s="28">
        <v>76.0</v>
      </c>
      <c r="V13" s="28">
        <v>5.0</v>
      </c>
      <c r="W13" s="28" t="s">
        <v>271</v>
      </c>
      <c r="X13" s="28" t="s">
        <v>272</v>
      </c>
      <c r="Y13" s="23"/>
      <c r="Z13" s="28" t="s">
        <v>5259</v>
      </c>
      <c r="AA13" s="28" t="s">
        <v>704</v>
      </c>
      <c r="AB13" s="28">
        <v>2.0</v>
      </c>
      <c r="AC13" s="28" t="s">
        <v>25</v>
      </c>
      <c r="AD13" s="23"/>
      <c r="AE13" s="28" t="s">
        <v>18</v>
      </c>
      <c r="AF13" s="23" t="str">
        <f>IFERROR(__xludf.DUMMYFUNCTION("TEXTJOIN("", "", TRUE,
  FILTER(Champions!C:C,
    ISNUMBER(SEARCH(C13, Champions!W:W))
  )
)"),"Frances Tseng, Saima Malik, Saima Malik (D)")</f>
        <v>Frances Tseng, Saima Malik, Saima Malik (D)</v>
      </c>
      <c r="AG13" s="23"/>
      <c r="AH13" s="23" t="str">
        <f>IFERROR(__xludf.DUMMYFUNCTION("IF(
ISNUMBER(MATCH(
C13,
IMPORTRANGE(""https://docs.google.com/spreadsheets/d/1yTh1ELC33JHYOeEdgIiEclxPRyh0zOKtlawDltfUay8"",""'Interns'!A:A""),
0
)),
""Outreach Conducted"",
"""")"),"")</f>
        <v/>
      </c>
      <c r="AI13" s="23"/>
      <c r="AJ13" s="28" t="s">
        <v>5260</v>
      </c>
      <c r="AK13" s="23" t="str">
        <f>IFERROR(__xludf.DUMMYFUNCTION("XLOOKUP(C13, 
   IMPORTRANGE(""1RdEdgHYrZ33LJ7RUHj_h-qkAFL92bcVjtIdVa-UlsCw"", ""Interns!D:D""), 
   IMPORTRANGE(""1RdEdgHYrZ33LJ7RUHj_h-qkAFL92bcVjtIdVa-UlsCw"", ""Interns!M:M""), 
   ""Not Found"")"),"Contacted")</f>
        <v>Contacted</v>
      </c>
      <c r="AL13" s="23" t="str">
        <f>IFERROR(__xludf.DUMMYFUNCTION("XLOOKUP(C13, 
   IMPORTRANGE(""1RdEdgHYrZ33LJ7RUHj_h-qkAFL92bcVjtIdVa-UlsCw"", ""Interns!D:D""), 
   IMPORTRANGE(""1RdEdgHYrZ33LJ7RUHj_h-qkAFL92bcVjtIdVa-UlsCw"", ""Interns!N:N""), 
   ""Not Found"")"),"#Cheers4Careers")</f>
        <v>#Cheers4Careers</v>
      </c>
      <c r="AM13" s="23" t="str">
        <f>IFERROR(__xludf.DUMMYFUNCTION("XLOOKUP(C13, 
   IMPORTRANGE(""1RdEdgHYrZ33LJ7RUHj_h-qkAFL92bcVjtIdVa-UlsCw"", ""Interns!D:D""), 
   IMPORTRANGE(""1RdEdgHYrZ33LJ7RUHj_h-qkAFL92bcVjtIdVa-UlsCw"", ""Interns!O:O""), 
   ""Not Found"")"),"Ousmane reached out by email 3/26 and reach out by text 3/28")</f>
        <v>Ousmane reached out by email 3/26 and reach out by text 3/28</v>
      </c>
      <c r="AN13" s="23"/>
      <c r="AO13" s="23" t="s">
        <v>5261</v>
      </c>
      <c r="AP13" s="28" t="s">
        <v>5262</v>
      </c>
      <c r="AQ13" s="28" t="s">
        <v>5263</v>
      </c>
      <c r="AR13" s="23" t="s">
        <v>5264</v>
      </c>
      <c r="AS13" s="23"/>
      <c r="AT13" s="23"/>
      <c r="AU13" s="23"/>
      <c r="AV13" s="23"/>
    </row>
    <row r="14">
      <c r="A14" s="28" t="s">
        <v>5161</v>
      </c>
      <c r="B14" s="28" t="s">
        <v>5162</v>
      </c>
      <c r="C14" s="23" t="str">
        <f t="shared" si="1"/>
        <v>Lylia Belbegra</v>
      </c>
      <c r="D14" s="28" t="s">
        <v>5265</v>
      </c>
      <c r="E14" s="28" t="s">
        <v>5266</v>
      </c>
      <c r="F14" s="23">
        <f t="array" ref="F14">IFERROR(
    INDEX('Hub Interns 226'!A:A, MATCH(C14, 'Hub Interns 226'!B:B, 0)),"")</f>
        <v>809</v>
      </c>
      <c r="G14" s="23">
        <f t="array" ref="G14">IFERROR(
    INDEX('Hub Users 226'!A:A, MATCH(C14, 'Hub Users 226'!B:B, 0)),"")</f>
        <v>1242</v>
      </c>
      <c r="H14" s="28">
        <v>62.0</v>
      </c>
      <c r="I14" s="28" t="s">
        <v>269</v>
      </c>
      <c r="J14" s="28" t="s">
        <v>5267</v>
      </c>
      <c r="K14" s="28" t="s">
        <v>5245</v>
      </c>
      <c r="L14" s="28" t="s">
        <v>5196</v>
      </c>
      <c r="M14" s="56" t="s">
        <v>5268</v>
      </c>
      <c r="N14" s="57">
        <v>43741.63125</v>
      </c>
      <c r="O14" s="58">
        <v>37257.0</v>
      </c>
      <c r="P14" s="28">
        <f t="shared" si="2"/>
        <v>24</v>
      </c>
      <c r="Q14" s="28" t="s">
        <v>5269</v>
      </c>
      <c r="R14" s="28" t="s">
        <v>5270</v>
      </c>
      <c r="S14" s="28"/>
      <c r="T14" s="28"/>
      <c r="U14" s="28"/>
      <c r="V14" s="28"/>
      <c r="W14" s="28" t="s">
        <v>380</v>
      </c>
      <c r="X14" s="28" t="s">
        <v>381</v>
      </c>
      <c r="Y14" s="28" t="s">
        <v>5271</v>
      </c>
      <c r="Z14" s="28" t="s">
        <v>5272</v>
      </c>
      <c r="AA14" s="28" t="s">
        <v>629</v>
      </c>
      <c r="AB14" s="28" t="s">
        <v>5221</v>
      </c>
      <c r="AC14" s="28" t="s">
        <v>26</v>
      </c>
      <c r="AD14" s="28" t="s">
        <v>101</v>
      </c>
      <c r="AE14" s="28" t="s">
        <v>5</v>
      </c>
      <c r="AF14" s="23" t="str">
        <f>IFERROR(__xludf.DUMMYFUNCTION("TEXTJOIN("", "", TRUE,
  FILTER(Champions!C:C,
    ISNUMBER(SEARCH(C14, Champions!W:W))
  )
)"),"Roopa Kohli")</f>
        <v>Roopa Kohli</v>
      </c>
      <c r="AG14" s="26" t="s">
        <v>5273</v>
      </c>
      <c r="AH14" s="23" t="str">
        <f>IFERROR(__xludf.DUMMYFUNCTION("IF(
ISNUMBER(MATCH(
C14,
IMPORTRANGE(""https://docs.google.com/spreadsheets/d/1yTh1ELC33JHYOeEdgIiEclxPRyh0zOKtlawDltfUay8"",""'Interns'!A:A""),
0
)),
""Outreach Conducted"",
"""")"),"Outreach Conducted")</f>
        <v>Outreach Conducted</v>
      </c>
      <c r="AI14" s="23"/>
      <c r="AJ14" s="23"/>
      <c r="AK14" s="23" t="str">
        <f>IFERROR(__xludf.DUMMYFUNCTION("XLOOKUP(C14, 
   IMPORTRANGE(""1RdEdgHYrZ33LJ7RUHj_h-qkAFL92bcVjtIdVa-UlsCw"", ""Interns!D:D""), 
   IMPORTRANGE(""1RdEdgHYrZ33LJ7RUHj_h-qkAFL92bcVjtIdVa-UlsCw"", ""Interns!M:M""), 
   ""Not Found"")"),"")</f>
        <v/>
      </c>
      <c r="AL14" s="23" t="str">
        <f>IFERROR(__xludf.DUMMYFUNCTION("XLOOKUP(C14, 
   IMPORTRANGE(""1RdEdgHYrZ33LJ7RUHj_h-qkAFL92bcVjtIdVa-UlsCw"", ""Interns!D:D""), 
   IMPORTRANGE(""1RdEdgHYrZ33LJ7RUHj_h-qkAFL92bcVjtIdVa-UlsCw"", ""Interns!N:N""), 
   ""Not Found"")"),"")</f>
        <v/>
      </c>
      <c r="AM14" s="23" t="str">
        <f>IFERROR(__xludf.DUMMYFUNCTION("XLOOKUP(C14, 
   IMPORTRANGE(""1RdEdgHYrZ33LJ7RUHj_h-qkAFL92bcVjtIdVa-UlsCw"", ""Interns!D:D""), 
   IMPORTRANGE(""1RdEdgHYrZ33LJ7RUHj_h-qkAFL92bcVjtIdVa-UlsCw"", ""Interns!O:O""), 
   ""Not Found"")"),"")</f>
        <v/>
      </c>
      <c r="AN14" s="23"/>
      <c r="AO14" s="23" t="s">
        <v>5274</v>
      </c>
      <c r="AP14" s="28" t="s">
        <v>5182</v>
      </c>
      <c r="AQ14" s="28" t="s">
        <v>5274</v>
      </c>
      <c r="AR14" s="23" t="s">
        <v>5275</v>
      </c>
      <c r="AS14" s="23"/>
      <c r="AT14" s="23"/>
      <c r="AU14" s="23"/>
      <c r="AV14" s="23"/>
    </row>
    <row r="15">
      <c r="A15" s="28" t="s">
        <v>5202</v>
      </c>
      <c r="B15" s="28" t="s">
        <v>5162</v>
      </c>
      <c r="C15" s="23" t="str">
        <f t="shared" si="1"/>
        <v>Yasir Sharifi</v>
      </c>
      <c r="D15" s="28" t="s">
        <v>5276</v>
      </c>
      <c r="E15" s="28" t="s">
        <v>5277</v>
      </c>
      <c r="F15" s="23">
        <f t="array" ref="F15">IFERROR(
    INDEX('Hub Interns 226'!A:A, MATCH(C15, 'Hub Interns 226'!B:B, 0)),"")</f>
        <v>1221</v>
      </c>
      <c r="G15" s="23">
        <f t="array" ref="G15">IFERROR(
    INDEX('Hub Users 226'!A:A, MATCH(C15, 'Hub Users 226'!B:B, 0)),"")</f>
        <v>1654</v>
      </c>
      <c r="H15" s="28">
        <v>893.0</v>
      </c>
      <c r="I15" s="28"/>
      <c r="J15" s="28" t="s">
        <v>5185</v>
      </c>
      <c r="K15" s="28" t="s">
        <v>5186</v>
      </c>
      <c r="L15" s="28" t="s">
        <v>5165</v>
      </c>
      <c r="M15" s="56" t="s">
        <v>5278</v>
      </c>
      <c r="N15" s="57">
        <v>44601.532638888886</v>
      </c>
      <c r="O15" s="58">
        <v>38712.0</v>
      </c>
      <c r="P15" s="28">
        <f t="shared" si="2"/>
        <v>20</v>
      </c>
      <c r="Q15" s="28" t="s">
        <v>5279</v>
      </c>
      <c r="R15" s="28" t="s">
        <v>5280</v>
      </c>
      <c r="S15" s="28">
        <v>6.0</v>
      </c>
      <c r="T15" s="28">
        <v>16.0</v>
      </c>
      <c r="U15" s="28">
        <v>27.0</v>
      </c>
      <c r="V15" s="28">
        <v>24.0</v>
      </c>
      <c r="W15" s="28" t="s">
        <v>1173</v>
      </c>
      <c r="X15" s="28" t="s">
        <v>272</v>
      </c>
      <c r="Y15" s="28" t="s">
        <v>5281</v>
      </c>
      <c r="Z15" s="28" t="s">
        <v>5189</v>
      </c>
      <c r="AA15" s="28" t="s">
        <v>619</v>
      </c>
      <c r="AB15" s="28">
        <v>20.0</v>
      </c>
      <c r="AC15" s="28" t="s">
        <v>24</v>
      </c>
      <c r="AD15" s="23"/>
      <c r="AE15" s="28" t="s">
        <v>10</v>
      </c>
      <c r="AF15" s="23"/>
      <c r="AG15" s="23"/>
      <c r="AH15" s="23" t="str">
        <f>IFERROR(__xludf.DUMMYFUNCTION("IF(
ISNUMBER(MATCH(
C15,
IMPORTRANGE(""https://docs.google.com/spreadsheets/d/1yTh1ELC33JHYOeEdgIiEclxPRyh0zOKtlawDltfUay8"",""'Interns'!A:A""),
0
)),
""Outreach Conducted"",
"""")"),"")</f>
        <v/>
      </c>
      <c r="AI15" s="23"/>
      <c r="AJ15" s="23"/>
      <c r="AK15" s="23" t="str">
        <f>IFERROR(__xludf.DUMMYFUNCTION("XLOOKUP(C15, 
   IMPORTRANGE(""1RdEdgHYrZ33LJ7RUHj_h-qkAFL92bcVjtIdVa-UlsCw"", ""Interns!D:D""), 
   IMPORTRANGE(""1RdEdgHYrZ33LJ7RUHj_h-qkAFL92bcVjtIdVa-UlsCw"", ""Interns!M:M""), 
   ""Not Found"")"),"")</f>
        <v/>
      </c>
      <c r="AL15" s="23" t="str">
        <f>IFERROR(__xludf.DUMMYFUNCTION("XLOOKUP(C15, 
   IMPORTRANGE(""1RdEdgHYrZ33LJ7RUHj_h-qkAFL92bcVjtIdVa-UlsCw"", ""Interns!D:D""), 
   IMPORTRANGE(""1RdEdgHYrZ33LJ7RUHj_h-qkAFL92bcVjtIdVa-UlsCw"", ""Interns!N:N""), 
   ""Not Found"")"),"")</f>
        <v/>
      </c>
      <c r="AM15" s="23" t="str">
        <f>IFERROR(__xludf.DUMMYFUNCTION("XLOOKUP(C15, 
   IMPORTRANGE(""1RdEdgHYrZ33LJ7RUHj_h-qkAFL92bcVjtIdVa-UlsCw"", ""Interns!D:D""), 
   IMPORTRANGE(""1RdEdgHYrZ33LJ7RUHj_h-qkAFL92bcVjtIdVa-UlsCw"", ""Interns!O:O""), 
   ""Not Found"")"),"")</f>
        <v/>
      </c>
      <c r="AN15" s="23"/>
      <c r="AO15" s="23" t="s">
        <v>5277</v>
      </c>
      <c r="AP15" s="28" t="s">
        <v>5191</v>
      </c>
      <c r="AQ15" s="28"/>
      <c r="AR15" s="23"/>
      <c r="AS15" s="23"/>
      <c r="AT15" s="23"/>
      <c r="AU15" s="23"/>
      <c r="AV15" s="23"/>
    </row>
    <row r="16">
      <c r="A16" s="28" t="s">
        <v>5161</v>
      </c>
      <c r="B16" s="28" t="s">
        <v>5162</v>
      </c>
      <c r="C16" s="23" t="str">
        <f t="shared" si="1"/>
        <v>Adam Ladouani</v>
      </c>
      <c r="D16" s="22" t="s">
        <v>4181</v>
      </c>
      <c r="E16" s="22" t="s">
        <v>5282</v>
      </c>
      <c r="F16" s="23"/>
      <c r="G16" s="23"/>
      <c r="H16" s="22">
        <v>1918.0</v>
      </c>
      <c r="I16" s="28"/>
      <c r="J16" s="28" t="s">
        <v>5267</v>
      </c>
      <c r="K16" s="28" t="s">
        <v>5245</v>
      </c>
      <c r="L16" s="28" t="s">
        <v>5196</v>
      </c>
      <c r="M16" s="29" t="s">
        <v>5283</v>
      </c>
      <c r="N16" s="61">
        <v>45774.904861111114</v>
      </c>
      <c r="O16" s="25">
        <v>41431.0</v>
      </c>
      <c r="P16" s="28">
        <f t="shared" si="2"/>
        <v>12</v>
      </c>
      <c r="Q16" s="62" t="s">
        <v>5284</v>
      </c>
      <c r="R16" s="22" t="s">
        <v>5285</v>
      </c>
      <c r="S16" s="28">
        <v>7.0</v>
      </c>
      <c r="T16" s="28">
        <v>12.0</v>
      </c>
      <c r="U16" s="28">
        <v>37.0</v>
      </c>
      <c r="V16" s="28">
        <v>26.0</v>
      </c>
      <c r="W16" s="28" t="s">
        <v>1173</v>
      </c>
      <c r="X16" s="28" t="s">
        <v>272</v>
      </c>
      <c r="Y16" s="24"/>
      <c r="Z16" s="22" t="s">
        <v>5286</v>
      </c>
      <c r="AA16" s="28" t="s">
        <v>5287</v>
      </c>
      <c r="AB16" s="28">
        <v>26.0</v>
      </c>
      <c r="AC16" s="28" t="s">
        <v>22</v>
      </c>
      <c r="AD16" s="23"/>
      <c r="AE16" s="28" t="s">
        <v>19</v>
      </c>
      <c r="AF16" s="23"/>
      <c r="AG16" s="23"/>
      <c r="AH16" s="23" t="str">
        <f>IFERROR(__xludf.DUMMYFUNCTION("IF(
ISNUMBER(MATCH(
C16,
IMPORTRANGE(""https://docs.google.com/spreadsheets/d/1yTh1ELC33JHYOeEdgIiEclxPRyh0zOKtlawDltfUay8"",""'Interns'!A:A""),
0
)),
""Outreach Conducted"",
"""")"),"")</f>
        <v/>
      </c>
      <c r="AI16" s="23"/>
      <c r="AJ16" s="23"/>
      <c r="AK16" s="23"/>
      <c r="AL16" s="23" t="str">
        <f>IFERROR(__xludf.DUMMYFUNCTION("XLOOKUP(C16, 
   IMPORTRANGE(""1RdEdgHYrZ33LJ7RUHj_h-qkAFL92bcVjtIdVa-UlsCw"", ""Interns!D:D""), 
   IMPORTRANGE(""1RdEdgHYrZ33LJ7RUHj_h-qkAFL92bcVjtIdVa-UlsCw"", ""Interns!N:N""), 
   ""Not Found"")"),"#Cheers4Careers")</f>
        <v>#Cheers4Careers</v>
      </c>
      <c r="AM16" s="23" t="str">
        <f>IFERROR(__xludf.DUMMYFUNCTION("XLOOKUP(C16, 
   IMPORTRANGE(""1RdEdgHYrZ33LJ7RUHj_h-qkAFL92bcVjtIdVa-UlsCw"", ""Interns!D:D""), 
   IMPORTRANGE(""1RdEdgHYrZ33LJ7RUHj_h-qkAFL92bcVjtIdVa-UlsCw"", ""Interns!O:O""), 
   ""Not Found"")"),"Hetal reached out by email 3/27, email was blocked")</f>
        <v>Hetal reached out by email 3/27, email was blocked</v>
      </c>
      <c r="AN16" s="23"/>
      <c r="AO16" s="23" t="s">
        <v>4181</v>
      </c>
      <c r="AP16" s="28" t="s">
        <v>5191</v>
      </c>
      <c r="AQ16" s="28" t="s">
        <v>5283</v>
      </c>
      <c r="AR16" s="23" t="s">
        <v>5288</v>
      </c>
      <c r="AS16" s="23"/>
      <c r="AT16" s="23"/>
      <c r="AU16" s="23"/>
      <c r="AV16" s="23"/>
    </row>
    <row r="17">
      <c r="A17" s="28" t="s">
        <v>5161</v>
      </c>
      <c r="B17" s="28" t="s">
        <v>5162</v>
      </c>
      <c r="C17" s="23" t="str">
        <f t="shared" si="1"/>
        <v>Precious George</v>
      </c>
      <c r="D17" s="28" t="s">
        <v>5289</v>
      </c>
      <c r="E17" s="28" t="s">
        <v>1242</v>
      </c>
      <c r="F17" s="23">
        <f t="array" ref="F17">IFERROR(
    INDEX('Hub Interns 226'!A:A, MATCH(C17, 'Hub Interns 226'!B:B, 0)),"")</f>
        <v>993</v>
      </c>
      <c r="G17" s="23">
        <f t="array" ref="G17">IFERROR(
    INDEX('Hub Users 226'!A:A, MATCH(C17, 'Hub Users 226'!B:B, 0)),"")</f>
        <v>1426</v>
      </c>
      <c r="H17" s="28">
        <v>71.0</v>
      </c>
      <c r="I17" s="28" t="s">
        <v>425</v>
      </c>
      <c r="J17" s="28"/>
      <c r="K17" s="28" t="s">
        <v>5177</v>
      </c>
      <c r="L17" s="28" t="s">
        <v>5196</v>
      </c>
      <c r="M17" s="56" t="s">
        <v>5290</v>
      </c>
      <c r="N17" s="57">
        <v>43741.63125</v>
      </c>
      <c r="O17" s="58">
        <v>36892.0</v>
      </c>
      <c r="P17" s="28">
        <f t="shared" si="2"/>
        <v>25</v>
      </c>
      <c r="Q17" s="28" t="s">
        <v>5291</v>
      </c>
      <c r="R17" s="28" t="s">
        <v>5292</v>
      </c>
      <c r="S17" s="28"/>
      <c r="T17" s="28"/>
      <c r="U17" s="28"/>
      <c r="V17" s="28"/>
      <c r="W17" s="28" t="s">
        <v>2633</v>
      </c>
      <c r="X17" s="28" t="s">
        <v>241</v>
      </c>
      <c r="Y17" s="28" t="s">
        <v>5293</v>
      </c>
      <c r="Z17" s="28" t="s">
        <v>5294</v>
      </c>
      <c r="AA17" s="28" t="s">
        <v>5294</v>
      </c>
      <c r="AB17" s="28" t="s">
        <v>5295</v>
      </c>
      <c r="AC17" s="28" t="s">
        <v>25</v>
      </c>
      <c r="AD17" s="23"/>
      <c r="AE17" s="28" t="s">
        <v>4</v>
      </c>
      <c r="AF17" s="23" t="str">
        <f>IFERROR(__xludf.DUMMYFUNCTION("TEXTJOIN("", "", TRUE,
  FILTER(Champions!C:C,
    ISNUMBER(SEARCH(C17, Champions!W:W))
  )
)"),"#N/A")</f>
        <v>#N/A</v>
      </c>
      <c r="AG17" s="23"/>
      <c r="AH17" s="23" t="str">
        <f>IFERROR(__xludf.DUMMYFUNCTION("IF(
ISNUMBER(MATCH(
C17,
IMPORTRANGE(""https://docs.google.com/spreadsheets/d/1yTh1ELC33JHYOeEdgIiEclxPRyh0zOKtlawDltfUay8"",""'Interns'!A:A""),
0
)),
""Outreach Conducted"",
"""")"),"")</f>
        <v/>
      </c>
      <c r="AI17" s="23"/>
      <c r="AJ17" s="23"/>
      <c r="AK17" s="23" t="str">
        <f>IFERROR(__xludf.DUMMYFUNCTION("XLOOKUP(C17, 
   IMPORTRANGE(""1RdEdgHYrZ33LJ7RUHj_h-qkAFL92bcVjtIdVa-UlsCw"", ""Interns!D:D""), 
   IMPORTRANGE(""1RdEdgHYrZ33LJ7RUHj_h-qkAFL92bcVjtIdVa-UlsCw"", ""Interns!M:M""), 
   ""Not Found"")"),"")</f>
        <v/>
      </c>
      <c r="AL17" s="23" t="str">
        <f>IFERROR(__xludf.DUMMYFUNCTION("XLOOKUP(C17, 
   IMPORTRANGE(""1RdEdgHYrZ33LJ7RUHj_h-qkAFL92bcVjtIdVa-UlsCw"", ""Interns!D:D""), 
   IMPORTRANGE(""1RdEdgHYrZ33LJ7RUHj_h-qkAFL92bcVjtIdVa-UlsCw"", ""Interns!N:N""), 
   ""Not Found"")"),"")</f>
        <v/>
      </c>
      <c r="AM17" s="23" t="str">
        <f>IFERROR(__xludf.DUMMYFUNCTION("XLOOKUP(C17, 
   IMPORTRANGE(""1RdEdgHYrZ33LJ7RUHj_h-qkAFL92bcVjtIdVa-UlsCw"", ""Interns!D:D""), 
   IMPORTRANGE(""1RdEdgHYrZ33LJ7RUHj_h-qkAFL92bcVjtIdVa-UlsCw"", ""Interns!O:O""), 
   ""Not Found"")"),"")</f>
        <v/>
      </c>
      <c r="AN17" s="23"/>
      <c r="AO17" s="23" t="s">
        <v>5296</v>
      </c>
      <c r="AP17" s="28" t="s">
        <v>5182</v>
      </c>
      <c r="AQ17" s="28" t="s">
        <v>5297</v>
      </c>
      <c r="AR17" s="23" t="s">
        <v>5298</v>
      </c>
      <c r="AS17" s="23"/>
      <c r="AT17" s="23"/>
      <c r="AU17" s="23"/>
      <c r="AV17" s="23"/>
    </row>
    <row r="18">
      <c r="A18" s="28" t="s">
        <v>5202</v>
      </c>
      <c r="B18" s="28" t="s">
        <v>5162</v>
      </c>
      <c r="C18" s="23" t="str">
        <f t="shared" si="1"/>
        <v>Aisha Dawran</v>
      </c>
      <c r="D18" s="28" t="s">
        <v>5299</v>
      </c>
      <c r="E18" s="28" t="s">
        <v>5300</v>
      </c>
      <c r="F18" s="23">
        <f t="array" ref="F18">IFERROR(
    INDEX('Hub Interns 226'!A:A, MATCH(C18, 'Hub Interns 226'!B:B, 0)),"")</f>
        <v>164</v>
      </c>
      <c r="G18" s="23">
        <f t="array" ref="G18">IFERROR(
    INDEX('Hub Users 226'!A:A, MATCH(C18, 'Hub Users 226'!B:B, 0)),"")</f>
        <v>597</v>
      </c>
      <c r="H18" s="28">
        <v>133.0</v>
      </c>
      <c r="I18" s="28" t="s">
        <v>260</v>
      </c>
      <c r="J18" s="28" t="s">
        <v>5185</v>
      </c>
      <c r="K18" s="28" t="s">
        <v>5186</v>
      </c>
      <c r="L18" s="28" t="s">
        <v>5196</v>
      </c>
      <c r="M18" s="56" t="s">
        <v>5301</v>
      </c>
      <c r="N18" s="57">
        <v>43778.70208333333</v>
      </c>
      <c r="O18" s="58">
        <v>37909.0</v>
      </c>
      <c r="P18" s="28">
        <f t="shared" si="2"/>
        <v>22</v>
      </c>
      <c r="Q18" s="28" t="s">
        <v>240</v>
      </c>
      <c r="R18" s="23"/>
      <c r="S18" s="28"/>
      <c r="T18" s="28"/>
      <c r="U18" s="28"/>
      <c r="V18" s="28"/>
      <c r="W18" s="28" t="s">
        <v>271</v>
      </c>
      <c r="X18" s="28" t="s">
        <v>272</v>
      </c>
      <c r="Y18" s="28" t="s">
        <v>5302</v>
      </c>
      <c r="Z18" s="28" t="s">
        <v>5303</v>
      </c>
      <c r="AA18" s="28" t="s">
        <v>395</v>
      </c>
      <c r="AB18" s="28">
        <v>20.0</v>
      </c>
      <c r="AC18" s="28" t="s">
        <v>25</v>
      </c>
      <c r="AD18" s="23"/>
      <c r="AE18" s="28" t="s">
        <v>6</v>
      </c>
      <c r="AF18" s="23" t="str">
        <f>IFERROR(__xludf.DUMMYFUNCTION("TEXTJOIN("", "", TRUE,
  FILTER(Champions!C:C,
    ISNUMBER(SEARCH(C18, Champions!W:W))
  )
)"),"Jamie Huang Chu")</f>
        <v>Jamie Huang Chu</v>
      </c>
      <c r="AG18" s="23"/>
      <c r="AH18" s="23" t="str">
        <f>IFERROR(__xludf.DUMMYFUNCTION("IF(
ISNUMBER(MATCH(
C18,
IMPORTRANGE(""https://docs.google.com/spreadsheets/d/1yTh1ELC33JHYOeEdgIiEclxPRyh0zOKtlawDltfUay8"",""'Interns'!A:A""),
0
)),
""Outreach Conducted"",
"""")"),"")</f>
        <v/>
      </c>
      <c r="AI18" s="23"/>
      <c r="AJ18" s="23"/>
      <c r="AK18" s="23" t="str">
        <f>IFERROR(__xludf.DUMMYFUNCTION("XLOOKUP(C18, 
   IMPORTRANGE(""1RdEdgHYrZ33LJ7RUHj_h-qkAFL92bcVjtIdVa-UlsCw"", ""Interns!D:D""), 
   IMPORTRANGE(""1RdEdgHYrZ33LJ7RUHj_h-qkAFL92bcVjtIdVa-UlsCw"", ""Interns!M:M""), 
   ""Not Found"")"),"")</f>
        <v/>
      </c>
      <c r="AL18" s="23" t="str">
        <f>IFERROR(__xludf.DUMMYFUNCTION("XLOOKUP(C18, 
   IMPORTRANGE(""1RdEdgHYrZ33LJ7RUHj_h-qkAFL92bcVjtIdVa-UlsCw"", ""Interns!D:D""), 
   IMPORTRANGE(""1RdEdgHYrZ33LJ7RUHj_h-qkAFL92bcVjtIdVa-UlsCw"", ""Interns!N:N""), 
   ""Not Found"")"),"")</f>
        <v/>
      </c>
      <c r="AM18" s="23" t="str">
        <f>IFERROR(__xludf.DUMMYFUNCTION("XLOOKUP(C18, 
   IMPORTRANGE(""1RdEdgHYrZ33LJ7RUHj_h-qkAFL92bcVjtIdVa-UlsCw"", ""Interns!D:D""), 
   IMPORTRANGE(""1RdEdgHYrZ33LJ7RUHj_h-qkAFL92bcVjtIdVa-UlsCw"", ""Interns!O:O""), 
   ""Not Found"")"),"")</f>
        <v/>
      </c>
      <c r="AN18" s="23"/>
      <c r="AO18" s="23" t="s">
        <v>5304</v>
      </c>
      <c r="AP18" s="28" t="s">
        <v>5182</v>
      </c>
      <c r="AQ18" s="28" t="s">
        <v>5301</v>
      </c>
      <c r="AR18" s="23">
        <v>7.183098008E9</v>
      </c>
      <c r="AS18" s="23"/>
      <c r="AT18" s="23"/>
      <c r="AU18" s="23"/>
      <c r="AV18" s="23"/>
    </row>
    <row r="19">
      <c r="A19" s="28" t="s">
        <v>5202</v>
      </c>
      <c r="B19" s="28" t="s">
        <v>5162</v>
      </c>
      <c r="C19" s="23" t="str">
        <f t="shared" si="1"/>
        <v>Mariama Jarmegeh</v>
      </c>
      <c r="D19" s="28" t="s">
        <v>5305</v>
      </c>
      <c r="E19" s="28" t="s">
        <v>5306</v>
      </c>
      <c r="F19" s="23">
        <f t="array" ref="F19">IFERROR(
    INDEX('Hub Interns 226'!A:A, MATCH(C19, 'Hub Interns 226'!B:B, 0)),"")</f>
        <v>840</v>
      </c>
      <c r="G19" s="23">
        <f t="array" ref="G19">IFERROR(
    INDEX('Hub Users 226'!A:A, MATCH(C19, 'Hub Users 226'!B:B, 0)),"")</f>
        <v>1273</v>
      </c>
      <c r="H19" s="28">
        <v>1035.0</v>
      </c>
      <c r="I19" s="28" t="s">
        <v>260</v>
      </c>
      <c r="J19" s="28"/>
      <c r="K19" s="28" t="s">
        <v>5245</v>
      </c>
      <c r="L19" s="28" t="s">
        <v>5196</v>
      </c>
      <c r="M19" s="56" t="s">
        <v>5307</v>
      </c>
      <c r="N19" s="57">
        <v>44665.78472222222</v>
      </c>
      <c r="O19" s="58">
        <v>38807.0</v>
      </c>
      <c r="P19" s="28">
        <f t="shared" si="2"/>
        <v>20</v>
      </c>
      <c r="Q19" s="28" t="s">
        <v>240</v>
      </c>
      <c r="R19" s="28" t="s">
        <v>5308</v>
      </c>
      <c r="S19" s="28"/>
      <c r="T19" s="28"/>
      <c r="U19" s="28"/>
      <c r="V19" s="28"/>
      <c r="W19" s="23"/>
      <c r="X19" s="23"/>
      <c r="Y19" s="28" t="s">
        <v>5309</v>
      </c>
      <c r="Z19" s="28" t="s">
        <v>5310</v>
      </c>
      <c r="AA19" s="28" t="s">
        <v>362</v>
      </c>
      <c r="AB19" s="28">
        <v>16.0</v>
      </c>
      <c r="AC19" s="28" t="s">
        <v>24</v>
      </c>
      <c r="AD19" s="23"/>
      <c r="AE19" s="28" t="s">
        <v>10</v>
      </c>
      <c r="AF19" s="23"/>
      <c r="AG19" s="23"/>
      <c r="AH19" s="23" t="str">
        <f>IFERROR(__xludf.DUMMYFUNCTION("IF(
ISNUMBER(MATCH(
C19,
IMPORTRANGE(""https://docs.google.com/spreadsheets/d/1yTh1ELC33JHYOeEdgIiEclxPRyh0zOKtlawDltfUay8"",""'Interns'!A:A""),
0
)),
""Outreach Conducted"",
"""")"),"")</f>
        <v/>
      </c>
      <c r="AI19" s="23"/>
      <c r="AJ19" s="23"/>
      <c r="AK19" s="23" t="str">
        <f>IFERROR(__xludf.DUMMYFUNCTION("XLOOKUP(C19, 
   IMPORTRANGE(""1RdEdgHYrZ33LJ7RUHj_h-qkAFL92bcVjtIdVa-UlsCw"", ""Interns!D:D""), 
   IMPORTRANGE(""1RdEdgHYrZ33LJ7RUHj_h-qkAFL92bcVjtIdVa-UlsCw"", ""Interns!M:M""), 
   ""Not Found"")"),"")</f>
        <v/>
      </c>
      <c r="AL19" s="23" t="str">
        <f>IFERROR(__xludf.DUMMYFUNCTION("XLOOKUP(C19, 
   IMPORTRANGE(""1RdEdgHYrZ33LJ7RUHj_h-qkAFL92bcVjtIdVa-UlsCw"", ""Interns!D:D""), 
   IMPORTRANGE(""1RdEdgHYrZ33LJ7RUHj_h-qkAFL92bcVjtIdVa-UlsCw"", ""Interns!N:N""), 
   ""Not Found"")"),"")</f>
        <v/>
      </c>
      <c r="AM19" s="23" t="str">
        <f>IFERROR(__xludf.DUMMYFUNCTION("XLOOKUP(C19, 
   IMPORTRANGE(""1RdEdgHYrZ33LJ7RUHj_h-qkAFL92bcVjtIdVa-UlsCw"", ""Interns!D:D""), 
   IMPORTRANGE(""1RdEdgHYrZ33LJ7RUHj_h-qkAFL92bcVjtIdVa-UlsCw"", ""Interns!O:O""), 
   ""Not Found"")"),"")</f>
        <v/>
      </c>
      <c r="AN19" s="23"/>
      <c r="AO19" s="23" t="s">
        <v>5311</v>
      </c>
      <c r="AP19" s="28" t="s">
        <v>5173</v>
      </c>
      <c r="AQ19" s="28"/>
      <c r="AR19" s="23"/>
      <c r="AS19" s="23"/>
      <c r="AT19" s="23"/>
      <c r="AU19" s="23"/>
      <c r="AV19" s="23"/>
    </row>
    <row r="20">
      <c r="A20" s="28" t="s">
        <v>5161</v>
      </c>
      <c r="B20" s="28" t="s">
        <v>5162</v>
      </c>
      <c r="C20" s="23" t="str">
        <f t="shared" si="1"/>
        <v>Ecstacy Holland</v>
      </c>
      <c r="D20" s="28" t="s">
        <v>5312</v>
      </c>
      <c r="E20" s="28" t="s">
        <v>5313</v>
      </c>
      <c r="F20" s="23" t="str">
        <f t="array" ref="F20">IFERROR(
    INDEX('Hub Interns 226'!A:A, MATCH(C20, 'Hub Interns 226'!B:B, 0)),"")</f>
        <v/>
      </c>
      <c r="G20" s="23" t="str">
        <f t="array" ref="G20">IFERROR(
    INDEX('Hub Users 226'!A:A, MATCH(C20, 'Hub Users 226'!B:B, 0)),"")</f>
        <v/>
      </c>
      <c r="H20" s="28">
        <v>5.0</v>
      </c>
      <c r="I20" s="28" t="s">
        <v>239</v>
      </c>
      <c r="J20" s="28"/>
      <c r="K20" s="28" t="s">
        <v>5177</v>
      </c>
      <c r="L20" s="28" t="s">
        <v>5196</v>
      </c>
      <c r="M20" s="56" t="s">
        <v>5314</v>
      </c>
      <c r="N20" s="57">
        <v>43321.48263888889</v>
      </c>
      <c r="O20" s="28">
        <v>14.0</v>
      </c>
      <c r="P20" s="28">
        <f>YEAR(TODAY())-2018+O20</f>
        <v>22</v>
      </c>
      <c r="Q20" s="28" t="s">
        <v>5315</v>
      </c>
      <c r="R20" s="23"/>
      <c r="S20" s="28"/>
      <c r="T20" s="28"/>
      <c r="U20" s="28"/>
      <c r="V20" s="28"/>
      <c r="W20" s="23"/>
      <c r="X20" s="23"/>
      <c r="Y20" s="23"/>
      <c r="Z20" s="28" t="s">
        <v>5294</v>
      </c>
      <c r="AA20" s="28" t="s">
        <v>5294</v>
      </c>
      <c r="AB20" s="28" t="s">
        <v>5295</v>
      </c>
      <c r="AC20" s="28" t="s">
        <v>25</v>
      </c>
      <c r="AD20" s="23"/>
      <c r="AE20" s="28" t="s">
        <v>4</v>
      </c>
      <c r="AF20" s="23" t="str">
        <f>IFERROR(__xludf.DUMMYFUNCTION("TEXTJOIN("", "", TRUE,
  FILTER(Champions!C:C,
    ISNUMBER(SEARCH(C20, Champions!W:W))
  )
)"),"Tahsina Ahmed, Anitha Pai")</f>
        <v>Tahsina Ahmed, Anitha Pai</v>
      </c>
      <c r="AG20" s="26" t="s">
        <v>5316</v>
      </c>
      <c r="AH20" s="23" t="str">
        <f>IFERROR(__xludf.DUMMYFUNCTION("IF(
ISNUMBER(MATCH(
C20,
IMPORTRANGE(""https://docs.google.com/spreadsheets/d/1yTh1ELC33JHYOeEdgIiEclxPRyh0zOKtlawDltfUay8"",""'Interns'!A:A""),
0
)),
""Outreach Conducted"",
"""")"),"")</f>
        <v/>
      </c>
      <c r="AI20" s="23"/>
      <c r="AJ20" s="23"/>
      <c r="AK20" s="23" t="str">
        <f>IFERROR(__xludf.DUMMYFUNCTION("XLOOKUP(C20, 
   IMPORTRANGE(""1RdEdgHYrZ33LJ7RUHj_h-qkAFL92bcVjtIdVa-UlsCw"", ""Interns!D:D""), 
   IMPORTRANGE(""1RdEdgHYrZ33LJ7RUHj_h-qkAFL92bcVjtIdVa-UlsCw"", ""Interns!M:M""), 
   ""Not Found"")"),"")</f>
        <v/>
      </c>
      <c r="AL20" s="23" t="str">
        <f>IFERROR(__xludf.DUMMYFUNCTION("XLOOKUP(C20, 
   IMPORTRANGE(""1RdEdgHYrZ33LJ7RUHj_h-qkAFL92bcVjtIdVa-UlsCw"", ""Interns!D:D""), 
   IMPORTRANGE(""1RdEdgHYrZ33LJ7RUHj_h-qkAFL92bcVjtIdVa-UlsCw"", ""Interns!N:N""), 
   ""Not Found"")"),"#SpeakingMyName")</f>
        <v>#SpeakingMyName</v>
      </c>
      <c r="AM20" s="23" t="str">
        <f>IFERROR(__xludf.DUMMYFUNCTION("XLOOKUP(C20, 
   IMPORTRANGE(""1RdEdgHYrZ33LJ7RUHj_h-qkAFL92bcVjtIdVa-UlsCw"", ""Interns!D:D""), 
   IMPORTRANGE(""1RdEdgHYrZ33LJ7RUHj_h-qkAFL92bcVjtIdVa-UlsCw"", ""Interns!O:O""), 
   ""Not Found"")"),"Alicia reached out by email on 5/15 for #SpeakingMyName")</f>
        <v>Alicia reached out by email on 5/15 for #SpeakingMyName</v>
      </c>
      <c r="AN20" s="23"/>
      <c r="AO20" s="23"/>
      <c r="AP20" s="28"/>
      <c r="AQ20" s="28"/>
      <c r="AR20" s="23"/>
      <c r="AS20" s="23"/>
      <c r="AT20" s="23"/>
      <c r="AU20" s="23"/>
      <c r="AV20" s="23"/>
    </row>
    <row r="21">
      <c r="A21" s="28" t="s">
        <v>5161</v>
      </c>
      <c r="B21" s="28" t="s">
        <v>5162</v>
      </c>
      <c r="C21" s="23" t="str">
        <f t="shared" si="1"/>
        <v>Chloe Navarro</v>
      </c>
      <c r="D21" s="28" t="s">
        <v>1948</v>
      </c>
      <c r="E21" s="28" t="s">
        <v>5317</v>
      </c>
      <c r="F21" s="23">
        <f t="array" ref="F21">IFERROR(
    INDEX('Hub Interns 226'!A:A, MATCH(C21, 'Hub Interns 226'!B:B, 0)),"")</f>
        <v>386</v>
      </c>
      <c r="G21" s="23">
        <f t="array" ref="G21">IFERROR(
    INDEX('Hub Users 226'!A:A, MATCH(C21, 'Hub Users 226'!B:B, 0)),"")</f>
        <v>819</v>
      </c>
      <c r="H21" s="28">
        <v>147.0</v>
      </c>
      <c r="I21" s="28" t="s">
        <v>407</v>
      </c>
      <c r="J21" s="28"/>
      <c r="K21" s="28" t="s">
        <v>5177</v>
      </c>
      <c r="L21" s="28"/>
      <c r="M21" s="56" t="s">
        <v>5318</v>
      </c>
      <c r="N21" s="59">
        <v>43787.45972222222</v>
      </c>
      <c r="O21" s="58"/>
      <c r="P21" s="28"/>
      <c r="Q21" s="28" t="s">
        <v>240</v>
      </c>
      <c r="R21" s="23"/>
      <c r="S21" s="28"/>
      <c r="T21" s="28"/>
      <c r="U21" s="28"/>
      <c r="V21" s="28"/>
      <c r="W21" s="28" t="s">
        <v>1173</v>
      </c>
      <c r="X21" s="28" t="s">
        <v>272</v>
      </c>
      <c r="Y21" s="23"/>
      <c r="Z21" s="28" t="s">
        <v>5319</v>
      </c>
      <c r="AA21" s="28" t="s">
        <v>781</v>
      </c>
      <c r="AB21" s="28">
        <v>31.0</v>
      </c>
      <c r="AC21" s="28" t="s">
        <v>25</v>
      </c>
      <c r="AD21" s="23"/>
      <c r="AE21" s="28" t="s">
        <v>6</v>
      </c>
      <c r="AF21" s="23" t="str">
        <f>IFERROR(__xludf.DUMMYFUNCTION("TEXTJOIN("", "", TRUE,
  FILTER(Champions!C:C,
    ISNUMBER(SEARCH(C21, Champions!W:W))
  )
)"),"Casey Burry, Laura Cejas")</f>
        <v>Casey Burry, Laura Cejas</v>
      </c>
      <c r="AG21" s="23"/>
      <c r="AH21" s="23" t="str">
        <f>IFERROR(__xludf.DUMMYFUNCTION("IF(
ISNUMBER(MATCH(
C21,
IMPORTRANGE(""https://docs.google.com/spreadsheets/d/1yTh1ELC33JHYOeEdgIiEclxPRyh0zOKtlawDltfUay8"",""'Interns'!A:A""),
0
)),
""Outreach Conducted"",
"""")"),"")</f>
        <v/>
      </c>
      <c r="AI21" s="23"/>
      <c r="AJ21" s="23"/>
      <c r="AK21" s="23" t="str">
        <f>IFERROR(__xludf.DUMMYFUNCTION("XLOOKUP(C21, 
   IMPORTRANGE(""1RdEdgHYrZ33LJ7RUHj_h-qkAFL92bcVjtIdVa-UlsCw"", ""Interns!D:D""), 
   IMPORTRANGE(""1RdEdgHYrZ33LJ7RUHj_h-qkAFL92bcVjtIdVa-UlsCw"", ""Interns!M:M""), 
   ""Not Found"")"),"")</f>
        <v/>
      </c>
      <c r="AL21" s="23" t="str">
        <f>IFERROR(__xludf.DUMMYFUNCTION("XLOOKUP(C21, 
   IMPORTRANGE(""1RdEdgHYrZ33LJ7RUHj_h-qkAFL92bcVjtIdVa-UlsCw"", ""Interns!D:D""), 
   IMPORTRANGE(""1RdEdgHYrZ33LJ7RUHj_h-qkAFL92bcVjtIdVa-UlsCw"", ""Interns!N:N""), 
   ""Not Found"")"),"")</f>
        <v/>
      </c>
      <c r="AM21" s="23" t="str">
        <f>IFERROR(__xludf.DUMMYFUNCTION("XLOOKUP(C21, 
   IMPORTRANGE(""1RdEdgHYrZ33LJ7RUHj_h-qkAFL92bcVjtIdVa-UlsCw"", ""Interns!D:D""), 
   IMPORTRANGE(""1RdEdgHYrZ33LJ7RUHj_h-qkAFL92bcVjtIdVa-UlsCw"", ""Interns!O:O""), 
   ""Not Found"")"),"Hetal reached out by whatsapp on 3/28
Hetal reached out on 4/10 by whatsapp for April 18th #Cheers4Careers")</f>
        <v>Hetal reached out by whatsapp on 3/28
Hetal reached out on 4/10 by whatsapp for April 18th #Cheers4Careers</v>
      </c>
      <c r="AN21" s="23"/>
      <c r="AO21" s="23"/>
      <c r="AP21" s="28"/>
      <c r="AQ21" s="28"/>
      <c r="AR21" s="23"/>
      <c r="AS21" s="23"/>
      <c r="AT21" s="23"/>
      <c r="AU21" s="23"/>
      <c r="AV21" s="23"/>
    </row>
    <row r="22">
      <c r="A22" s="28" t="s">
        <v>5161</v>
      </c>
      <c r="B22" s="28" t="s">
        <v>5162</v>
      </c>
      <c r="C22" s="23" t="str">
        <f t="shared" si="1"/>
        <v>Soiree Williams</v>
      </c>
      <c r="D22" s="28" t="s">
        <v>5320</v>
      </c>
      <c r="E22" s="28" t="s">
        <v>2059</v>
      </c>
      <c r="F22" s="23">
        <f t="array" ref="F22">IFERROR(
    INDEX('Hub Interns 226'!A:A, MATCH(C22, 'Hub Interns 226'!B:B, 0)),"")</f>
        <v>1050</v>
      </c>
      <c r="G22" s="23">
        <f t="array" ref="G22">IFERROR(
    INDEX('Hub Users 226'!A:A, MATCH(C22, 'Hub Users 226'!B:B, 0)),"")</f>
        <v>1483</v>
      </c>
      <c r="H22" s="28">
        <v>173.0</v>
      </c>
      <c r="I22" s="28" t="s">
        <v>1963</v>
      </c>
      <c r="J22" s="28"/>
      <c r="K22" s="28" t="s">
        <v>5177</v>
      </c>
      <c r="L22" s="28"/>
      <c r="M22" s="56" t="s">
        <v>5321</v>
      </c>
      <c r="N22" s="57">
        <v>43875.67916666667</v>
      </c>
      <c r="O22" s="58">
        <v>37756.0</v>
      </c>
      <c r="P22" s="28">
        <f t="shared" ref="P22:P25" si="3">DATEDIF(O22, TODAY(), "Y")</f>
        <v>23</v>
      </c>
      <c r="Q22" s="28" t="s">
        <v>240</v>
      </c>
      <c r="R22" s="23"/>
      <c r="S22" s="28"/>
      <c r="T22" s="28"/>
      <c r="U22" s="28"/>
      <c r="V22" s="28"/>
      <c r="W22" s="28" t="s">
        <v>2633</v>
      </c>
      <c r="X22" s="28" t="s">
        <v>241</v>
      </c>
      <c r="Y22" s="28" t="s">
        <v>5322</v>
      </c>
      <c r="Z22" s="28" t="s">
        <v>5323</v>
      </c>
      <c r="AA22" s="28" t="s">
        <v>1730</v>
      </c>
      <c r="AB22" s="23"/>
      <c r="AC22" s="28" t="s">
        <v>25</v>
      </c>
      <c r="AD22" s="23"/>
      <c r="AE22" s="28" t="s">
        <v>6</v>
      </c>
      <c r="AF22" s="23" t="str">
        <f>IFERROR(__xludf.DUMMYFUNCTION("TEXTJOIN("", "", TRUE,
  FILTER(Champions!C:C,
    ISNUMBER(SEARCH(C22, Champions!W:W))
  )
)"),"Jennifer Joelle Kachler, Oluwatomisin (Tomi) Adesokan")</f>
        <v>Jennifer Joelle Kachler, Oluwatomisin (Tomi) Adesokan</v>
      </c>
      <c r="AG22" s="23"/>
      <c r="AH22" s="23" t="str">
        <f>IFERROR(__xludf.DUMMYFUNCTION("IF(
ISNUMBER(MATCH(
C22,
IMPORTRANGE(""https://docs.google.com/spreadsheets/d/1yTh1ELC33JHYOeEdgIiEclxPRyh0zOKtlawDltfUay8"",""'Interns'!A:A""),
0
)),
""Outreach Conducted"",
"""")"),"")</f>
        <v/>
      </c>
      <c r="AI22" s="23"/>
      <c r="AJ22" s="23"/>
      <c r="AK22" s="23" t="str">
        <f>IFERROR(__xludf.DUMMYFUNCTION("XLOOKUP(C22, 
   IMPORTRANGE(""1RdEdgHYrZ33LJ7RUHj_h-qkAFL92bcVjtIdVa-UlsCw"", ""Interns!D:D""), 
   IMPORTRANGE(""1RdEdgHYrZ33LJ7RUHj_h-qkAFL92bcVjtIdVa-UlsCw"", ""Interns!M:M""), 
   ""Not Found"")"),"")</f>
        <v/>
      </c>
      <c r="AL22" s="23" t="str">
        <f>IFERROR(__xludf.DUMMYFUNCTION("XLOOKUP(C22, 
   IMPORTRANGE(""1RdEdgHYrZ33LJ7RUHj_h-qkAFL92bcVjtIdVa-UlsCw"", ""Interns!D:D""), 
   IMPORTRANGE(""1RdEdgHYrZ33LJ7RUHj_h-qkAFL92bcVjtIdVa-UlsCw"", ""Interns!N:N""), 
   ""Not Found"")"),"")</f>
        <v/>
      </c>
      <c r="AM22" s="23" t="str">
        <f>IFERROR(__xludf.DUMMYFUNCTION("XLOOKUP(C22, 
   IMPORTRANGE(""1RdEdgHYrZ33LJ7RUHj_h-qkAFL92bcVjtIdVa-UlsCw"", ""Interns!D:D""), 
   IMPORTRANGE(""1RdEdgHYrZ33LJ7RUHj_h-qkAFL92bcVjtIdVa-UlsCw"", ""Interns!O:O""), 
   ""Not Found"")"),"")</f>
        <v/>
      </c>
      <c r="AN22" s="23"/>
      <c r="AO22" s="23" t="s">
        <v>5324</v>
      </c>
      <c r="AP22" s="28" t="s">
        <v>5182</v>
      </c>
      <c r="AQ22" s="28" t="s">
        <v>5325</v>
      </c>
      <c r="AR22" s="23" t="s">
        <v>5326</v>
      </c>
      <c r="AS22" s="23"/>
      <c r="AT22" s="23"/>
      <c r="AU22" s="23"/>
      <c r="AV22" s="23"/>
    </row>
    <row r="23">
      <c r="A23" s="28" t="s">
        <v>5202</v>
      </c>
      <c r="B23" s="28" t="s">
        <v>5162</v>
      </c>
      <c r="C23" s="23" t="str">
        <f t="shared" si="1"/>
        <v>Dariel Harrison</v>
      </c>
      <c r="D23" s="28" t="s">
        <v>5327</v>
      </c>
      <c r="E23" s="28" t="s">
        <v>1518</v>
      </c>
      <c r="F23" s="23">
        <f t="array" ref="F23">IFERROR(
    INDEX('Hub Interns 226'!A:A, MATCH(C23, 'Hub Interns 226'!B:B, 0)),"")</f>
        <v>792</v>
      </c>
      <c r="G23" s="23">
        <f t="array" ref="G23">IFERROR(
    INDEX('Hub Users 226'!A:A, MATCH(C23, 'Hub Users 226'!B:B, 0)),"")</f>
        <v>1225</v>
      </c>
      <c r="H23" s="28">
        <v>381.0</v>
      </c>
      <c r="I23" s="28" t="s">
        <v>260</v>
      </c>
      <c r="J23" s="28"/>
      <c r="K23" s="28" t="s">
        <v>5245</v>
      </c>
      <c r="L23" s="28" t="s">
        <v>5196</v>
      </c>
      <c r="M23" s="56" t="s">
        <v>5328</v>
      </c>
      <c r="N23" s="57">
        <v>44253.861805555556</v>
      </c>
      <c r="O23" s="58">
        <v>38550.0</v>
      </c>
      <c r="P23" s="28">
        <f t="shared" si="3"/>
        <v>20</v>
      </c>
      <c r="Q23" s="28" t="s">
        <v>5329</v>
      </c>
      <c r="R23" s="28" t="s">
        <v>5330</v>
      </c>
      <c r="S23" s="28">
        <v>5.0</v>
      </c>
      <c r="T23" s="28">
        <v>14.0</v>
      </c>
      <c r="U23" s="28">
        <v>29.0</v>
      </c>
      <c r="V23" s="28">
        <v>27.0</v>
      </c>
      <c r="W23" s="28" t="s">
        <v>1173</v>
      </c>
      <c r="X23" s="28" t="s">
        <v>272</v>
      </c>
      <c r="Y23" s="28" t="s">
        <v>5331</v>
      </c>
      <c r="Z23" s="28" t="s">
        <v>5332</v>
      </c>
      <c r="AA23" s="28" t="s">
        <v>421</v>
      </c>
      <c r="AB23" s="28">
        <v>31.0</v>
      </c>
      <c r="AC23" s="28" t="s">
        <v>25</v>
      </c>
      <c r="AD23" s="23"/>
      <c r="AE23" s="28" t="s">
        <v>8</v>
      </c>
      <c r="AF23" s="23" t="str">
        <f>IFERROR(__xludf.DUMMYFUNCTION("TEXTJOIN("", "", TRUE,
  FILTER(Champions!C:C,
    ISNUMBER(SEARCH(C23, Champions!W:W))
  )
)"),"Adela Cimic")</f>
        <v>Adela Cimic</v>
      </c>
      <c r="AG23" s="23"/>
      <c r="AH23" s="23" t="str">
        <f>IFERROR(__xludf.DUMMYFUNCTION("IF(
ISNUMBER(MATCH(
C23,
IMPORTRANGE(""https://docs.google.com/spreadsheets/d/1yTh1ELC33JHYOeEdgIiEclxPRyh0zOKtlawDltfUay8"",""'Interns'!A:A""),
0
)),
""Outreach Conducted"",
"""")"),"")</f>
        <v/>
      </c>
      <c r="AI23" s="23"/>
      <c r="AJ23" s="23"/>
      <c r="AK23" s="23" t="str">
        <f>IFERROR(__xludf.DUMMYFUNCTION("XLOOKUP(C23, 
   IMPORTRANGE(""1RdEdgHYrZ33LJ7RUHj_h-qkAFL92bcVjtIdVa-UlsCw"", ""Interns!D:D""), 
   IMPORTRANGE(""1RdEdgHYrZ33LJ7RUHj_h-qkAFL92bcVjtIdVa-UlsCw"", ""Interns!M:M""), 
   ""Not Found"")"),"")</f>
        <v/>
      </c>
      <c r="AL23" s="23" t="str">
        <f>IFERROR(__xludf.DUMMYFUNCTION("XLOOKUP(C23, 
   IMPORTRANGE(""1RdEdgHYrZ33LJ7RUHj_h-qkAFL92bcVjtIdVa-UlsCw"", ""Interns!D:D""), 
   IMPORTRANGE(""1RdEdgHYrZ33LJ7RUHj_h-qkAFL92bcVjtIdVa-UlsCw"", ""Interns!N:N""), 
   ""Not Found"")"),"")</f>
        <v/>
      </c>
      <c r="AM23" s="23" t="str">
        <f>IFERROR(__xludf.DUMMYFUNCTION("XLOOKUP(C23, 
   IMPORTRANGE(""1RdEdgHYrZ33LJ7RUHj_h-qkAFL92bcVjtIdVa-UlsCw"", ""Interns!D:D""), 
   IMPORTRANGE(""1RdEdgHYrZ33LJ7RUHj_h-qkAFL92bcVjtIdVa-UlsCw"", ""Interns!O:O""), 
   ""Not Found"")"),"")</f>
        <v/>
      </c>
      <c r="AN23" s="23"/>
      <c r="AO23" s="23" t="s">
        <v>5333</v>
      </c>
      <c r="AP23" s="28" t="s">
        <v>5191</v>
      </c>
      <c r="AQ23" s="28" t="s">
        <v>5328</v>
      </c>
      <c r="AR23" s="23" t="s">
        <v>5331</v>
      </c>
      <c r="AS23" s="23"/>
      <c r="AT23" s="23"/>
      <c r="AU23" s="23"/>
      <c r="AV23" s="23"/>
    </row>
    <row r="24">
      <c r="A24" s="28" t="s">
        <v>5161</v>
      </c>
      <c r="B24" s="28" t="s">
        <v>5162</v>
      </c>
      <c r="C24" s="23" t="str">
        <f t="shared" si="1"/>
        <v>Jefferson Colon</v>
      </c>
      <c r="D24" s="28" t="s">
        <v>5334</v>
      </c>
      <c r="E24" s="28" t="s">
        <v>5335</v>
      </c>
      <c r="F24" s="23">
        <f t="array" ref="F24">IFERROR(
    INDEX('Hub Interns 226'!A:A, MATCH(C24, 'Hub Interns 226'!B:B, 0)),"")</f>
        <v>647</v>
      </c>
      <c r="G24" s="23">
        <f t="array" ref="G24">IFERROR(
    INDEX('Hub Users 226'!A:A, MATCH(C24, 'Hub Users 226'!B:B, 0)),"")</f>
        <v>1080</v>
      </c>
      <c r="H24" s="28">
        <v>1444.0</v>
      </c>
      <c r="I24" s="28" t="s">
        <v>260</v>
      </c>
      <c r="J24" s="28" t="s">
        <v>5336</v>
      </c>
      <c r="K24" s="28" t="s">
        <v>5177</v>
      </c>
      <c r="L24" s="28" t="s">
        <v>5165</v>
      </c>
      <c r="M24" s="56" t="s">
        <v>5337</v>
      </c>
      <c r="N24" s="57">
        <v>44896.64861111111</v>
      </c>
      <c r="O24" s="58">
        <v>38996.0</v>
      </c>
      <c r="P24" s="28">
        <f t="shared" si="3"/>
        <v>19</v>
      </c>
      <c r="Q24" s="28" t="s">
        <v>5338</v>
      </c>
      <c r="R24" s="28" t="s">
        <v>5339</v>
      </c>
      <c r="S24" s="28"/>
      <c r="T24" s="28"/>
      <c r="U24" s="28"/>
      <c r="V24" s="28"/>
      <c r="W24" s="28" t="s">
        <v>271</v>
      </c>
      <c r="X24" s="28" t="s">
        <v>272</v>
      </c>
      <c r="Y24" s="28" t="s">
        <v>5340</v>
      </c>
      <c r="Z24" s="28" t="s">
        <v>5341</v>
      </c>
      <c r="AA24" s="28" t="s">
        <v>1085</v>
      </c>
      <c r="AB24" s="28">
        <v>10.0</v>
      </c>
      <c r="AC24" s="28" t="s">
        <v>25</v>
      </c>
      <c r="AD24" s="23"/>
      <c r="AE24" s="28" t="s">
        <v>15</v>
      </c>
      <c r="AF24" s="23" t="str">
        <f>IFERROR(__xludf.DUMMYFUNCTION("TEXTJOIN("", "", TRUE,
  FILTER(Champions!C:C,
    ISNUMBER(SEARCH(C24, Champions!W:W))
  )
)"),"David Temple, Mario Badillo, Natalie Jane Miller")</f>
        <v>David Temple, Mario Badillo, Natalie Jane Miller</v>
      </c>
      <c r="AG24" s="26" t="s">
        <v>5342</v>
      </c>
      <c r="AH24" s="23" t="str">
        <f>IFERROR(__xludf.DUMMYFUNCTION("IF(
ISNUMBER(MATCH(
C24,
IMPORTRANGE(""https://docs.google.com/spreadsheets/d/1yTh1ELC33JHYOeEdgIiEclxPRyh0zOKtlawDltfUay8"",""'Interns'!A:A""),
0
)),
""Outreach Conducted"",
"""")"),"")</f>
        <v/>
      </c>
      <c r="AI24" s="23"/>
      <c r="AJ24" s="23"/>
      <c r="AK24" s="23" t="str">
        <f>IFERROR(__xludf.DUMMYFUNCTION("XLOOKUP(C24, 
   IMPORTRANGE(""1RdEdgHYrZ33LJ7RUHj_h-qkAFL92bcVjtIdVa-UlsCw"", ""Interns!D:D""), 
   IMPORTRANGE(""1RdEdgHYrZ33LJ7RUHj_h-qkAFL92bcVjtIdVa-UlsCw"", ""Interns!M:M""), 
   ""Not Found"")"),"Contacted")</f>
        <v>Contacted</v>
      </c>
      <c r="AL24" s="23" t="str">
        <f>IFERROR(__xludf.DUMMYFUNCTION("XLOOKUP(C24, 
   IMPORTRANGE(""1RdEdgHYrZ33LJ7RUHj_h-qkAFL92bcVjtIdVa-UlsCw"", ""Interns!D:D""), 
   IMPORTRANGE(""1RdEdgHYrZ33LJ7RUHj_h-qkAFL92bcVjtIdVa-UlsCw"", ""Interns!N:N""), 
   ""Not Found"")"),"#Cheers4Careers")</f>
        <v>#Cheers4Careers</v>
      </c>
      <c r="AM24" s="23" t="str">
        <f>IFERROR(__xludf.DUMMYFUNCTION("XLOOKUP(C24, 
   IMPORTRANGE(""1RdEdgHYrZ33LJ7RUHj_h-qkAFL92bcVjtIdVa-UlsCw"", ""Interns!D:D""), 
   IMPORTRANGE(""1RdEdgHYrZ33LJ7RUHj_h-qkAFL92bcVjtIdVa-UlsCw"", ""Interns!O:O""), 
   ""Not Found"")"),"Texted on April 14 for #Cheers4Careers event")</f>
        <v>Texted on April 14 for #Cheers4Careers event</v>
      </c>
      <c r="AN24" s="23"/>
      <c r="AO24" s="23" t="s">
        <v>5343</v>
      </c>
      <c r="AP24" s="28" t="s">
        <v>5191</v>
      </c>
      <c r="AQ24" s="28" t="s">
        <v>5344</v>
      </c>
      <c r="AR24" s="23" t="s">
        <v>5345</v>
      </c>
      <c r="AS24" s="28" t="s">
        <v>5346</v>
      </c>
      <c r="AT24" s="23"/>
      <c r="AU24" s="23"/>
      <c r="AV24" s="23"/>
    </row>
    <row r="25">
      <c r="A25" s="28" t="s">
        <v>5161</v>
      </c>
      <c r="B25" s="28" t="s">
        <v>5162</v>
      </c>
      <c r="C25" s="23" t="str">
        <f t="shared" si="1"/>
        <v>Kritika Gurung</v>
      </c>
      <c r="D25" s="28" t="s">
        <v>5347</v>
      </c>
      <c r="E25" s="28" t="s">
        <v>5348</v>
      </c>
      <c r="F25" s="23">
        <f t="array" ref="F25">IFERROR(
    INDEX('Hub Interns 226'!A:A, MATCH(C25, 'Hub Interns 226'!B:B, 0)),"")</f>
        <v>753</v>
      </c>
      <c r="G25" s="23">
        <f t="array" ref="G25">IFERROR(
    INDEX('Hub Users 226'!A:A, MATCH(C25, 'Hub Users 226'!B:B, 0)),"")</f>
        <v>1186</v>
      </c>
      <c r="H25" s="28">
        <v>1424.0</v>
      </c>
      <c r="I25" s="28" t="s">
        <v>260</v>
      </c>
      <c r="J25" s="28"/>
      <c r="K25" s="28" t="s">
        <v>5177</v>
      </c>
      <c r="L25" s="28" t="s">
        <v>5196</v>
      </c>
      <c r="M25" s="56" t="s">
        <v>5349</v>
      </c>
      <c r="N25" s="57">
        <v>44866.395833333336</v>
      </c>
      <c r="O25" s="58">
        <v>40228.0</v>
      </c>
      <c r="P25" s="28">
        <f t="shared" si="3"/>
        <v>16</v>
      </c>
      <c r="Q25" s="28" t="s">
        <v>240</v>
      </c>
      <c r="R25" s="28" t="s">
        <v>5350</v>
      </c>
      <c r="S25" s="28">
        <v>7.0</v>
      </c>
      <c r="T25" s="28">
        <v>12.0</v>
      </c>
      <c r="U25" s="28">
        <v>37.0</v>
      </c>
      <c r="V25" s="28">
        <v>26.0</v>
      </c>
      <c r="W25" s="28" t="s">
        <v>1173</v>
      </c>
      <c r="X25" s="28" t="s">
        <v>272</v>
      </c>
      <c r="Y25" s="28" t="s">
        <v>5351</v>
      </c>
      <c r="Z25" s="28" t="s">
        <v>5352</v>
      </c>
      <c r="AA25" s="28" t="s">
        <v>5287</v>
      </c>
      <c r="AB25" s="28">
        <v>26.0</v>
      </c>
      <c r="AC25" s="28" t="s">
        <v>23</v>
      </c>
      <c r="AD25" s="23"/>
      <c r="AE25" s="28" t="s">
        <v>15</v>
      </c>
      <c r="AF25" s="23"/>
      <c r="AG25" s="23"/>
      <c r="AH25" s="23" t="str">
        <f>IFERROR(__xludf.DUMMYFUNCTION("IF(
ISNUMBER(MATCH(
C25,
IMPORTRANGE(""https://docs.google.com/spreadsheets/d/1yTh1ELC33JHYOeEdgIiEclxPRyh0zOKtlawDltfUay8"",""'Interns'!A:A""),
0
)),
""Outreach Conducted"",
"""")"),"")</f>
        <v/>
      </c>
      <c r="AI25" s="23"/>
      <c r="AJ25" s="23"/>
      <c r="AK25" s="23" t="str">
        <f>IFERROR(__xludf.DUMMYFUNCTION("XLOOKUP(C25, 
   IMPORTRANGE(""1RdEdgHYrZ33LJ7RUHj_h-qkAFL92bcVjtIdVa-UlsCw"", ""Interns!D:D""), 
   IMPORTRANGE(""1RdEdgHYrZ33LJ7RUHj_h-qkAFL92bcVjtIdVa-UlsCw"", ""Interns!M:M""), 
   ""Not Found"")"),"Contacted")</f>
        <v>Contacted</v>
      </c>
      <c r="AL25" s="23" t="str">
        <f>IFERROR(__xludf.DUMMYFUNCTION("XLOOKUP(C25, 
   IMPORTRANGE(""1RdEdgHYrZ33LJ7RUHj_h-qkAFL92bcVjtIdVa-UlsCw"", ""Interns!D:D""), 
   IMPORTRANGE(""1RdEdgHYrZ33LJ7RUHj_h-qkAFL92bcVjtIdVa-UlsCw"", ""Interns!N:N""), 
   ""Not Found"")"),"#Cheers4Careers")</f>
        <v>#Cheers4Careers</v>
      </c>
      <c r="AM25" s="23" t="str">
        <f>IFERROR(__xludf.DUMMYFUNCTION("XLOOKUP(C25, 
   IMPORTRANGE(""1RdEdgHYrZ33LJ7RUHj_h-qkAFL92bcVjtIdVa-UlsCw"", ""Interns!D:D""), 
   IMPORTRANGE(""1RdEdgHYrZ33LJ7RUHj_h-qkAFL92bcVjtIdVa-UlsCw"", ""Interns!O:O""), 
   ""Not Found"")"),"Hetal reached out by email 3/27")</f>
        <v>Hetal reached out by email 3/27</v>
      </c>
      <c r="AN25" s="23"/>
      <c r="AO25" s="23" t="s">
        <v>5353</v>
      </c>
      <c r="AP25" s="28" t="s">
        <v>5182</v>
      </c>
      <c r="AQ25" s="28"/>
      <c r="AR25" s="23"/>
      <c r="AS25" s="23"/>
      <c r="AT25" s="23"/>
      <c r="AU25" s="23"/>
      <c r="AV25" s="23"/>
    </row>
    <row r="26">
      <c r="A26" s="28" t="s">
        <v>5202</v>
      </c>
      <c r="B26" s="28" t="s">
        <v>5162</v>
      </c>
      <c r="C26" s="23" t="str">
        <f t="shared" si="1"/>
        <v>Brianna Prado</v>
      </c>
      <c r="D26" s="28" t="s">
        <v>5354</v>
      </c>
      <c r="E26" s="28" t="s">
        <v>5355</v>
      </c>
      <c r="F26" s="23" t="str">
        <f t="array" ref="F26">IFERROR(
    INDEX('Hub Interns 226'!A:A, MATCH(C26, 'Hub Interns 226'!B:B, 0)),"")</f>
        <v/>
      </c>
      <c r="G26" s="23" t="str">
        <f t="array" ref="G26">IFERROR(
    INDEX('Hub Users 226'!A:A, MATCH(C26, 'Hub Users 226'!B:B, 0)),"")</f>
        <v/>
      </c>
      <c r="H26" s="28">
        <v>1432.0</v>
      </c>
      <c r="I26" s="28" t="s">
        <v>107</v>
      </c>
      <c r="J26" s="28"/>
      <c r="K26" s="28" t="s">
        <v>5177</v>
      </c>
      <c r="L26" s="28" t="s">
        <v>5196</v>
      </c>
      <c r="M26" s="28"/>
      <c r="N26" s="57">
        <v>44870.67291666667</v>
      </c>
      <c r="O26" s="58"/>
      <c r="P26" s="28"/>
      <c r="Q26" s="28" t="s">
        <v>5356</v>
      </c>
      <c r="R26" s="28" t="s">
        <v>5357</v>
      </c>
      <c r="S26" s="28">
        <v>14.0</v>
      </c>
      <c r="T26" s="28">
        <v>34.0</v>
      </c>
      <c r="U26" s="28">
        <v>87.0</v>
      </c>
      <c r="V26" s="28">
        <v>18.0</v>
      </c>
      <c r="W26" s="28" t="s">
        <v>271</v>
      </c>
      <c r="X26" s="28" t="s">
        <v>272</v>
      </c>
      <c r="Y26" s="23"/>
      <c r="Z26" s="28" t="s">
        <v>5341</v>
      </c>
      <c r="AA26" s="28" t="s">
        <v>1085</v>
      </c>
      <c r="AB26" s="28">
        <v>10.0</v>
      </c>
      <c r="AC26" s="28" t="s">
        <v>25</v>
      </c>
      <c r="AD26" s="23"/>
      <c r="AE26" s="28" t="s">
        <v>15</v>
      </c>
      <c r="AF26" s="23" t="str">
        <f>IFERROR(__xludf.DUMMYFUNCTION("TEXTJOIN("", "", TRUE,
  FILTER(Champions!C:C,
    ISNUMBER(SEARCH(C26, Champions!W:W))
  )
)"),"Leigh Ann Wilson")</f>
        <v>Leigh Ann Wilson</v>
      </c>
      <c r="AG26" s="26" t="s">
        <v>5342</v>
      </c>
      <c r="AH26" s="23" t="str">
        <f>IFERROR(__xludf.DUMMYFUNCTION("IF(
ISNUMBER(MATCH(
C26,
IMPORTRANGE(""https://docs.google.com/spreadsheets/d/1yTh1ELC33JHYOeEdgIiEclxPRyh0zOKtlawDltfUay8"",""'Interns'!A:A""),
0
)),
""Outreach Conducted"",
"""")"),"")</f>
        <v/>
      </c>
      <c r="AI26" s="23"/>
      <c r="AJ26" s="23"/>
      <c r="AK26" s="23" t="str">
        <f>IFERROR(__xludf.DUMMYFUNCTION("XLOOKUP(C26, 
   IMPORTRANGE(""1RdEdgHYrZ33LJ7RUHj_h-qkAFL92bcVjtIdVa-UlsCw"", ""Interns!D:D""), 
   IMPORTRANGE(""1RdEdgHYrZ33LJ7RUHj_h-qkAFL92bcVjtIdVa-UlsCw"", ""Interns!M:M""), 
   ""Not Found"")"),"")</f>
        <v/>
      </c>
      <c r="AL26" s="23" t="str">
        <f>IFERROR(__xludf.DUMMYFUNCTION("XLOOKUP(C26, 
   IMPORTRANGE(""1RdEdgHYrZ33LJ7RUHj_h-qkAFL92bcVjtIdVa-UlsCw"", ""Interns!D:D""), 
   IMPORTRANGE(""1RdEdgHYrZ33LJ7RUHj_h-qkAFL92bcVjtIdVa-UlsCw"", ""Interns!N:N""), 
   ""Not Found"")"),"")</f>
        <v/>
      </c>
      <c r="AM26" s="23" t="str">
        <f>IFERROR(__xludf.DUMMYFUNCTION("XLOOKUP(C26, 
   IMPORTRANGE(""1RdEdgHYrZ33LJ7RUHj_h-qkAFL92bcVjtIdVa-UlsCw"", ""Interns!D:D""), 
   IMPORTRANGE(""1RdEdgHYrZ33LJ7RUHj_h-qkAFL92bcVjtIdVa-UlsCw"", ""Interns!O:O""), 
   ""Not Found"")"),"")</f>
        <v/>
      </c>
      <c r="AN26" s="23"/>
      <c r="AO26" s="23" t="s">
        <v>5358</v>
      </c>
      <c r="AP26" s="28" t="s">
        <v>5182</v>
      </c>
      <c r="AQ26" s="28" t="s">
        <v>5359</v>
      </c>
      <c r="AR26" s="23">
        <v>7.189134459E9</v>
      </c>
      <c r="AS26" s="23"/>
      <c r="AT26" s="23"/>
      <c r="AU26" s="23"/>
      <c r="AV26" s="23"/>
    </row>
    <row r="27">
      <c r="A27" s="28" t="s">
        <v>5161</v>
      </c>
      <c r="B27" s="28" t="s">
        <v>5162</v>
      </c>
      <c r="C27" s="23" t="str">
        <f t="shared" si="1"/>
        <v>Marcos Paulo</v>
      </c>
      <c r="D27" s="22" t="s">
        <v>5360</v>
      </c>
      <c r="E27" s="22" t="s">
        <v>5361</v>
      </c>
      <c r="F27" s="23"/>
      <c r="G27" s="23"/>
      <c r="H27" s="22">
        <v>1944.0</v>
      </c>
      <c r="I27" s="28"/>
      <c r="J27" s="28" t="s">
        <v>5362</v>
      </c>
      <c r="K27" s="28" t="s">
        <v>5245</v>
      </c>
      <c r="L27" s="28" t="s">
        <v>5165</v>
      </c>
      <c r="M27" s="29" t="s">
        <v>5363</v>
      </c>
      <c r="N27" s="61">
        <v>45729.48888888889</v>
      </c>
      <c r="O27" s="25">
        <v>45729.0</v>
      </c>
      <c r="P27" s="28">
        <f t="shared" ref="P27:P37" si="4">DATEDIF(O27, TODAY(), "Y")</f>
        <v>1</v>
      </c>
      <c r="Q27" s="62" t="s">
        <v>240</v>
      </c>
      <c r="R27" s="22" t="s">
        <v>5364</v>
      </c>
      <c r="S27" s="28">
        <v>7.0</v>
      </c>
      <c r="T27" s="28">
        <v>12.0</v>
      </c>
      <c r="U27" s="28">
        <v>37.0</v>
      </c>
      <c r="V27" s="28">
        <v>26.0</v>
      </c>
      <c r="W27" s="28" t="s">
        <v>1173</v>
      </c>
      <c r="X27" s="28" t="s">
        <v>272</v>
      </c>
      <c r="Y27" s="24"/>
      <c r="Z27" s="22" t="s">
        <v>5365</v>
      </c>
      <c r="AA27" s="28" t="s">
        <v>5366</v>
      </c>
      <c r="AB27" s="28">
        <v>26.0</v>
      </c>
      <c r="AC27" s="28" t="s">
        <v>23</v>
      </c>
      <c r="AD27" s="23"/>
      <c r="AE27" s="28" t="s">
        <v>19</v>
      </c>
      <c r="AF27" s="23"/>
      <c r="AG27" s="23"/>
      <c r="AH27" s="23" t="str">
        <f>IFERROR(__xludf.DUMMYFUNCTION("IF(
ISNUMBER(MATCH(
C27,
IMPORTRANGE(""https://docs.google.com/spreadsheets/d/1yTh1ELC33JHYOeEdgIiEclxPRyh0zOKtlawDltfUay8"",""'Interns'!A:A""),
0
)),
""Outreach Conducted"",
"""")"),"")</f>
        <v/>
      </c>
      <c r="AI27" s="23"/>
      <c r="AJ27" s="23"/>
      <c r="AK27" s="23"/>
      <c r="AL27" s="23" t="str">
        <f>IFERROR(__xludf.DUMMYFUNCTION("XLOOKUP(C27, 
   IMPORTRANGE(""1RdEdgHYrZ33LJ7RUHj_h-qkAFL92bcVjtIdVa-UlsCw"", ""Interns!D:D""), 
   IMPORTRANGE(""1RdEdgHYrZ33LJ7RUHj_h-qkAFL92bcVjtIdVa-UlsCw"", ""Interns!N:N""), 
   ""Not Found"")"),"#Cheers4Careers")</f>
        <v>#Cheers4Careers</v>
      </c>
      <c r="AM27" s="23" t="str">
        <f>IFERROR(__xludf.DUMMYFUNCTION("XLOOKUP(C27, 
   IMPORTRANGE(""1RdEdgHYrZ33LJ7RUHj_h-qkAFL92bcVjtIdVa-UlsCw"", ""Interns!D:D""), 
   IMPORTRANGE(""1RdEdgHYrZ33LJ7RUHj_h-qkAFL92bcVjtIdVa-UlsCw"", ""Interns!O:O""), 
   ""Not Found"")"),"Hetal reached out March 27 for March #Cheers4 Careers ")</f>
        <v>Hetal reached out March 27 for March #Cheers4 Careers </v>
      </c>
      <c r="AN27" s="23"/>
      <c r="AO27" s="23" t="s">
        <v>5367</v>
      </c>
      <c r="AP27" s="28" t="s">
        <v>5368</v>
      </c>
      <c r="AQ27" s="28" t="s">
        <v>5363</v>
      </c>
      <c r="AR27" s="23" t="s">
        <v>5369</v>
      </c>
      <c r="AS27" s="23"/>
      <c r="AT27" s="23"/>
      <c r="AU27" s="23"/>
      <c r="AV27" s="23"/>
    </row>
    <row r="28">
      <c r="A28" s="28" t="s">
        <v>5161</v>
      </c>
      <c r="B28" s="28" t="s">
        <v>5162</v>
      </c>
      <c r="C28" s="23" t="str">
        <f t="shared" si="1"/>
        <v>Ariah Martin</v>
      </c>
      <c r="D28" s="28" t="s">
        <v>5370</v>
      </c>
      <c r="E28" s="28" t="s">
        <v>4244</v>
      </c>
      <c r="F28" s="23">
        <f t="array" ref="F28">IFERROR(
    INDEX('Hub Interns 226'!A:A, MATCH(C28, 'Hub Interns 226'!B:B, 0)),"")</f>
        <v>200</v>
      </c>
      <c r="G28" s="23">
        <f t="array" ref="G28">IFERROR(
    INDEX('Hub Users 226'!A:A, MATCH(C28, 'Hub Users 226'!B:B, 0)),"")</f>
        <v>633</v>
      </c>
      <c r="H28" s="28">
        <v>367.0</v>
      </c>
      <c r="I28" s="28" t="s">
        <v>260</v>
      </c>
      <c r="J28" s="28" t="s">
        <v>5371</v>
      </c>
      <c r="K28" s="28" t="s">
        <v>5177</v>
      </c>
      <c r="L28" s="28" t="s">
        <v>5196</v>
      </c>
      <c r="M28" s="56" t="s">
        <v>5372</v>
      </c>
      <c r="N28" s="57">
        <v>44252.65555555555</v>
      </c>
      <c r="O28" s="58">
        <v>38079.0</v>
      </c>
      <c r="P28" s="28">
        <f t="shared" si="4"/>
        <v>22</v>
      </c>
      <c r="Q28" s="28" t="s">
        <v>5373</v>
      </c>
      <c r="R28" s="28" t="s">
        <v>5374</v>
      </c>
      <c r="S28" s="28">
        <v>5.0</v>
      </c>
      <c r="T28" s="28">
        <v>10.0</v>
      </c>
      <c r="U28" s="28">
        <v>31.0</v>
      </c>
      <c r="V28" s="28">
        <v>31.0</v>
      </c>
      <c r="W28" s="28" t="s">
        <v>1173</v>
      </c>
      <c r="X28" s="28" t="s">
        <v>272</v>
      </c>
      <c r="Y28" s="28" t="s">
        <v>5375</v>
      </c>
      <c r="Z28" s="28" t="s">
        <v>5332</v>
      </c>
      <c r="AA28" s="28" t="s">
        <v>421</v>
      </c>
      <c r="AB28" s="28">
        <v>31.0</v>
      </c>
      <c r="AC28" s="28" t="s">
        <v>25</v>
      </c>
      <c r="AD28" s="28" t="s">
        <v>101</v>
      </c>
      <c r="AE28" s="28" t="s">
        <v>8</v>
      </c>
      <c r="AF28" s="23" t="str">
        <f>IFERROR(__xludf.DUMMYFUNCTION("TEXTJOIN("", "", TRUE,
  FILTER(Champions!C:C,
    ISNUMBER(SEARCH(C28, Champions!W:W))
  )
)"),"Dominique Kagele, Sana Ahmad")</f>
        <v>Dominique Kagele, Sana Ahmad</v>
      </c>
      <c r="AG28" s="23"/>
      <c r="AH28" s="23" t="str">
        <f>IFERROR(__xludf.DUMMYFUNCTION("IF(
ISNUMBER(MATCH(
C28,
IMPORTRANGE(""https://docs.google.com/spreadsheets/d/1yTh1ELC33JHYOeEdgIiEclxPRyh0zOKtlawDltfUay8"",""'Interns'!A:A""),
0
)),
""Outreach Conducted"",
"""")"),"")</f>
        <v/>
      </c>
      <c r="AI28" s="23"/>
      <c r="AJ28" s="23"/>
      <c r="AK28" s="23" t="str">
        <f>IFERROR(__xludf.DUMMYFUNCTION("XLOOKUP(C28, 
   IMPORTRANGE(""1RdEdgHYrZ33LJ7RUHj_h-qkAFL92bcVjtIdVa-UlsCw"", ""Interns!D:D""), 
   IMPORTRANGE(""1RdEdgHYrZ33LJ7RUHj_h-qkAFL92bcVjtIdVa-UlsCw"", ""Interns!M:M""), 
   ""Not Found"")"),"Contacted")</f>
        <v>Contacted</v>
      </c>
      <c r="AL28" s="23" t="str">
        <f>IFERROR(__xludf.DUMMYFUNCTION("XLOOKUP(C28, 
   IMPORTRANGE(""1RdEdgHYrZ33LJ7RUHj_h-qkAFL92bcVjtIdVa-UlsCw"", ""Interns!D:D""), 
   IMPORTRANGE(""1RdEdgHYrZ33LJ7RUHj_h-qkAFL92bcVjtIdVa-UlsCw"", ""Interns!N:N""), 
   ""Not Found"")"),"#Cheers4Careers")</f>
        <v>#Cheers4Careers</v>
      </c>
      <c r="AM28" s="23" t="str">
        <f>IFERROR(__xludf.DUMMYFUNCTION("XLOOKUP(C28, 
   IMPORTRANGE(""1RdEdgHYrZ33LJ7RUHj_h-qkAFL92bcVjtIdVa-UlsCw"", ""Interns!D:D""), 
   IMPORTRANGE(""1RdEdgHYrZ33LJ7RUHj_h-qkAFL92bcVjtIdVa-UlsCw"", ""Interns!O:O""), 
   ""Not Found"")"),"Hetal reached out March 27 for March #Cheers4 Careers and texted")</f>
        <v>Hetal reached out March 27 for March #Cheers4 Careers and texted</v>
      </c>
      <c r="AN28" s="23"/>
      <c r="AO28" s="23" t="s">
        <v>5376</v>
      </c>
      <c r="AP28" s="28" t="s">
        <v>5182</v>
      </c>
      <c r="AQ28" s="28" t="s">
        <v>5377</v>
      </c>
      <c r="AR28" s="23" t="s">
        <v>5378</v>
      </c>
      <c r="AS28" s="23"/>
      <c r="AT28" s="23"/>
      <c r="AU28" s="23"/>
      <c r="AV28" s="23"/>
    </row>
    <row r="29">
      <c r="A29" s="28" t="s">
        <v>5161</v>
      </c>
      <c r="B29" s="28" t="s">
        <v>5162</v>
      </c>
      <c r="C29" s="23" t="str">
        <f t="shared" si="1"/>
        <v>Raya Tovmasyan</v>
      </c>
      <c r="D29" s="28" t="s">
        <v>5379</v>
      </c>
      <c r="E29" s="28" t="s">
        <v>5380</v>
      </c>
      <c r="F29" s="23">
        <f t="array" ref="F29">IFERROR(
    INDEX('Hub Interns 226'!A:A, MATCH(C29, 'Hub Interns 226'!B:B, 0)),"")</f>
        <v>1042</v>
      </c>
      <c r="G29" s="23">
        <f t="array" ref="G29">IFERROR(
    INDEX('Hub Users 226'!A:A, MATCH(C29, 'Hub Users 226'!B:B, 0)),"")</f>
        <v>1475</v>
      </c>
      <c r="H29" s="28">
        <v>694.0</v>
      </c>
      <c r="I29" s="28" t="s">
        <v>107</v>
      </c>
      <c r="J29" s="28" t="s">
        <v>5381</v>
      </c>
      <c r="K29" s="28" t="s">
        <v>5186</v>
      </c>
      <c r="L29" s="28" t="s">
        <v>5196</v>
      </c>
      <c r="M29" s="56" t="s">
        <v>5382</v>
      </c>
      <c r="N29" s="59">
        <v>44546.558333333334</v>
      </c>
      <c r="O29" s="58">
        <v>38946.0</v>
      </c>
      <c r="P29" s="28">
        <f t="shared" si="4"/>
        <v>19</v>
      </c>
      <c r="Q29" s="28" t="s">
        <v>5383</v>
      </c>
      <c r="R29" s="28" t="s">
        <v>5384</v>
      </c>
      <c r="S29" s="28">
        <v>8.0</v>
      </c>
      <c r="T29" s="28">
        <v>22.0</v>
      </c>
      <c r="U29" s="28">
        <v>41.0</v>
      </c>
      <c r="V29" s="28">
        <v>48.0</v>
      </c>
      <c r="W29" s="28" t="s">
        <v>294</v>
      </c>
      <c r="X29" s="28" t="s">
        <v>272</v>
      </c>
      <c r="Y29" s="28" t="s">
        <v>5385</v>
      </c>
      <c r="Z29" s="28" t="s">
        <v>5386</v>
      </c>
      <c r="AA29" s="28" t="s">
        <v>1887</v>
      </c>
      <c r="AB29" s="28">
        <v>47.0</v>
      </c>
      <c r="AC29" s="28" t="s">
        <v>25</v>
      </c>
      <c r="AD29" s="23"/>
      <c r="AE29" s="28" t="s">
        <v>10</v>
      </c>
      <c r="AF29" s="23" t="str">
        <f>IFERROR(__xludf.DUMMYFUNCTION("TEXTJOIN("", "", TRUE,
  FILTER(Champions!C:C,
    ISNUMBER(SEARCH(C29, Champions!W:W))
  )
)"),"Chiemela Okwandu, Maryana Ivlev")</f>
        <v>Chiemela Okwandu, Maryana Ivlev</v>
      </c>
      <c r="AG29" s="23"/>
      <c r="AH29" s="23" t="str">
        <f>IFERROR(__xludf.DUMMYFUNCTION("IF(
ISNUMBER(MATCH(
C29,
IMPORTRANGE(""https://docs.google.com/spreadsheets/d/1yTh1ELC33JHYOeEdgIiEclxPRyh0zOKtlawDltfUay8"",""'Interns'!A:A""),
0
)),
""Outreach Conducted"",
"""")"),"")</f>
        <v/>
      </c>
      <c r="AI29" s="23"/>
      <c r="AJ29" s="23"/>
      <c r="AK29" s="23" t="str">
        <f>IFERROR(__xludf.DUMMYFUNCTION("XLOOKUP(C29, 
   IMPORTRANGE(""1RdEdgHYrZ33LJ7RUHj_h-qkAFL92bcVjtIdVa-UlsCw"", ""Interns!D:D""), 
   IMPORTRANGE(""1RdEdgHYrZ33LJ7RUHj_h-qkAFL92bcVjtIdVa-UlsCw"", ""Interns!M:M""), 
   ""Not Found"")"),"Contacted")</f>
        <v>Contacted</v>
      </c>
      <c r="AL29" s="23" t="str">
        <f>IFERROR(__xludf.DUMMYFUNCTION("XLOOKUP(C29, 
   IMPORTRANGE(""1RdEdgHYrZ33LJ7RUHj_h-qkAFL92bcVjtIdVa-UlsCw"", ""Interns!D:D""), 
   IMPORTRANGE(""1RdEdgHYrZ33LJ7RUHj_h-qkAFL92bcVjtIdVa-UlsCw"", ""Interns!N:N""), 
   ""Not Found"")"),"#Cheers4Careers")</f>
        <v>#Cheers4Careers</v>
      </c>
      <c r="AM29" s="23" t="str">
        <f>IFERROR(__xludf.DUMMYFUNCTION("XLOOKUP(C29, 
   IMPORTRANGE(""1RdEdgHYrZ33LJ7RUHj_h-qkAFL92bcVjtIdVa-UlsCw"", ""Interns!D:D""), 
   IMPORTRANGE(""1RdEdgHYrZ33LJ7RUHj_h-qkAFL92bcVjtIdVa-UlsCw"", ""Interns!O:O""), 
   ""Not Found"")"),"Hetal reached out by email 3/27")</f>
        <v>Hetal reached out by email 3/27</v>
      </c>
      <c r="AN29" s="23"/>
      <c r="AO29" s="23" t="s">
        <v>5387</v>
      </c>
      <c r="AP29" s="28" t="s">
        <v>5182</v>
      </c>
      <c r="AQ29" s="28" t="s">
        <v>5388</v>
      </c>
      <c r="AR29" s="23" t="s">
        <v>5389</v>
      </c>
      <c r="AS29" s="23"/>
      <c r="AT29" s="23"/>
      <c r="AU29" s="23"/>
      <c r="AV29" s="23"/>
    </row>
    <row r="30">
      <c r="A30" s="28" t="s">
        <v>5161</v>
      </c>
      <c r="B30" s="28" t="s">
        <v>5162</v>
      </c>
      <c r="C30" s="23" t="str">
        <f t="shared" si="1"/>
        <v>Gafar Aliyev</v>
      </c>
      <c r="D30" s="28" t="s">
        <v>5390</v>
      </c>
      <c r="E30" s="28" t="s">
        <v>5391</v>
      </c>
      <c r="F30" s="23">
        <f t="array" ref="F30">IFERROR(
    INDEX('Hub Interns 226'!A:A, MATCH(C30, 'Hub Interns 226'!B:B, 0)),"")</f>
        <v>129</v>
      </c>
      <c r="G30" s="23">
        <f t="array" ref="G30">IFERROR(
    INDEX('Hub Users 226'!A:A, MATCH(C30, 'Hub Users 226'!B:B, 0)),"")</f>
        <v>562</v>
      </c>
      <c r="H30" s="28">
        <v>787.0</v>
      </c>
      <c r="I30" s="28" t="s">
        <v>260</v>
      </c>
      <c r="J30" s="28" t="s">
        <v>5392</v>
      </c>
      <c r="K30" s="28" t="s">
        <v>5186</v>
      </c>
      <c r="L30" s="28" t="s">
        <v>5165</v>
      </c>
      <c r="M30" s="56" t="s">
        <v>5393</v>
      </c>
      <c r="N30" s="59">
        <v>44553.60763888889</v>
      </c>
      <c r="O30" s="58">
        <v>38616.0</v>
      </c>
      <c r="P30" s="28">
        <f t="shared" si="4"/>
        <v>20</v>
      </c>
      <c r="Q30" s="28" t="s">
        <v>240</v>
      </c>
      <c r="R30" s="28" t="s">
        <v>5394</v>
      </c>
      <c r="S30" s="28">
        <v>8.0</v>
      </c>
      <c r="T30" s="28">
        <v>23.0</v>
      </c>
      <c r="U30" s="28">
        <v>46.0</v>
      </c>
      <c r="V30" s="28">
        <v>48.0</v>
      </c>
      <c r="W30" s="28" t="s">
        <v>294</v>
      </c>
      <c r="X30" s="28" t="s">
        <v>272</v>
      </c>
      <c r="Y30" s="28" t="s">
        <v>5395</v>
      </c>
      <c r="Z30" s="28" t="s">
        <v>5386</v>
      </c>
      <c r="AA30" s="28" t="s">
        <v>1887</v>
      </c>
      <c r="AB30" s="28">
        <v>47.0</v>
      </c>
      <c r="AC30" s="28" t="s">
        <v>25</v>
      </c>
      <c r="AD30" s="23"/>
      <c r="AE30" s="28" t="s">
        <v>10</v>
      </c>
      <c r="AF30" s="23" t="str">
        <f>IFERROR(__xludf.DUMMYFUNCTION("TEXTJOIN("", "", TRUE,
  FILTER(Champions!C:C,
    ISNUMBER(SEARCH(C30, Champions!W:W))
  )
)"),"Vatsala Sarathy, Weina Chen")</f>
        <v>Vatsala Sarathy, Weina Chen</v>
      </c>
      <c r="AG30" s="23"/>
      <c r="AH30" s="23" t="str">
        <f>IFERROR(__xludf.DUMMYFUNCTION("IF(
ISNUMBER(MATCH(
C30,
IMPORTRANGE(""https://docs.google.com/spreadsheets/d/1yTh1ELC33JHYOeEdgIiEclxPRyh0zOKtlawDltfUay8"",""'Interns'!A:A""),
0
)),
""Outreach Conducted"",
"""")"),"")</f>
        <v/>
      </c>
      <c r="AI30" s="23"/>
      <c r="AJ30" s="23"/>
      <c r="AK30" s="23" t="str">
        <f>IFERROR(__xludf.DUMMYFUNCTION("XLOOKUP(C30, 
   IMPORTRANGE(""1RdEdgHYrZ33LJ7RUHj_h-qkAFL92bcVjtIdVa-UlsCw"", ""Interns!D:D""), 
   IMPORTRANGE(""1RdEdgHYrZ33LJ7RUHj_h-qkAFL92bcVjtIdVa-UlsCw"", ""Interns!M:M""), 
   ""Not Found"")"),"")</f>
        <v/>
      </c>
      <c r="AL30" s="23" t="str">
        <f>IFERROR(__xludf.DUMMYFUNCTION("XLOOKUP(C30, 
   IMPORTRANGE(""1RdEdgHYrZ33LJ7RUHj_h-qkAFL92bcVjtIdVa-UlsCw"", ""Interns!D:D""), 
   IMPORTRANGE(""1RdEdgHYrZ33LJ7RUHj_h-qkAFL92bcVjtIdVa-UlsCw"", ""Interns!N:N""), 
   ""Not Found"")"),"")</f>
        <v/>
      </c>
      <c r="AM30" s="23" t="str">
        <f>IFERROR(__xludf.DUMMYFUNCTION("XLOOKUP(C30, 
   IMPORTRANGE(""1RdEdgHYrZ33LJ7RUHj_h-qkAFL92bcVjtIdVa-UlsCw"", ""Interns!D:D""), 
   IMPORTRANGE(""1RdEdgHYrZ33LJ7RUHj_h-qkAFL92bcVjtIdVa-UlsCw"", ""Interns!O:O""), 
   ""Not Found"")"),"")</f>
        <v/>
      </c>
      <c r="AN30" s="23"/>
      <c r="AO30" s="23" t="s">
        <v>5396</v>
      </c>
      <c r="AP30" s="28" t="s">
        <v>5191</v>
      </c>
      <c r="AQ30" s="28" t="s">
        <v>5397</v>
      </c>
      <c r="AR30" s="23" t="s">
        <v>5398</v>
      </c>
      <c r="AS30" s="23"/>
      <c r="AT30" s="23"/>
      <c r="AU30" s="23"/>
      <c r="AV30" s="23"/>
    </row>
    <row r="31">
      <c r="A31" s="28" t="s">
        <v>5161</v>
      </c>
      <c r="B31" s="28" t="s">
        <v>31</v>
      </c>
      <c r="C31" s="23" t="str">
        <f t="shared" si="1"/>
        <v>Mayra Garcia</v>
      </c>
      <c r="D31" s="28" t="s">
        <v>5399</v>
      </c>
      <c r="E31" s="28" t="s">
        <v>1484</v>
      </c>
      <c r="F31" s="23">
        <f t="array" ref="F31">IFERROR(
    INDEX('Hub Interns 226'!A:A, MATCH(C31, 'Hub Interns 226'!B:B, 0)),"")</f>
        <v>862</v>
      </c>
      <c r="G31" s="23">
        <f t="array" ref="G31">IFERROR(
    INDEX('Hub Users 226'!A:A, MATCH(C31, 'Hub Users 226'!B:B, 0)),"")</f>
        <v>1295</v>
      </c>
      <c r="H31" s="28">
        <v>1609.0</v>
      </c>
      <c r="I31" s="28" t="s">
        <v>260</v>
      </c>
      <c r="J31" s="28"/>
      <c r="K31" s="28"/>
      <c r="L31" s="28" t="s">
        <v>5196</v>
      </c>
      <c r="M31" s="56" t="s">
        <v>5400</v>
      </c>
      <c r="N31" s="57">
        <v>45068.35277777778</v>
      </c>
      <c r="O31" s="58">
        <v>40057.0</v>
      </c>
      <c r="P31" s="28">
        <f t="shared" si="4"/>
        <v>16</v>
      </c>
      <c r="Q31" s="28" t="s">
        <v>240</v>
      </c>
      <c r="R31" s="28" t="s">
        <v>5401</v>
      </c>
      <c r="S31" s="28"/>
      <c r="T31" s="28"/>
      <c r="U31" s="28"/>
      <c r="V31" s="28">
        <v>21.0</v>
      </c>
      <c r="W31" s="28" t="s">
        <v>1173</v>
      </c>
      <c r="X31" s="28" t="s">
        <v>272</v>
      </c>
      <c r="Y31" s="28" t="s">
        <v>5402</v>
      </c>
      <c r="Z31" s="28" t="s">
        <v>5403</v>
      </c>
      <c r="AA31" s="28" t="s">
        <v>5404</v>
      </c>
      <c r="AB31" s="28">
        <v>21.0</v>
      </c>
      <c r="AC31" s="28" t="s">
        <v>23</v>
      </c>
      <c r="AD31" s="23"/>
      <c r="AE31" s="28" t="s">
        <v>15</v>
      </c>
      <c r="AF31" s="23"/>
      <c r="AG31" s="23"/>
      <c r="AH31" s="23" t="str">
        <f>IFERROR(__xludf.DUMMYFUNCTION("IF(
ISNUMBER(MATCH(
C31,
IMPORTRANGE(""https://docs.google.com/spreadsheets/d/1yTh1ELC33JHYOeEdgIiEclxPRyh0zOKtlawDltfUay8"",""'Interns'!A:A""),
0
)),
""Outreach Conducted"",
"""")"),"")</f>
        <v/>
      </c>
      <c r="AI31" s="23"/>
      <c r="AJ31" s="23"/>
      <c r="AK31" s="23" t="str">
        <f>IFERROR(__xludf.DUMMYFUNCTION("XLOOKUP(C31, 
   IMPORTRANGE(""1RdEdgHYrZ33LJ7RUHj_h-qkAFL92bcVjtIdVa-UlsCw"", ""Interns!D:D""), 
   IMPORTRANGE(""1RdEdgHYrZ33LJ7RUHj_h-qkAFL92bcVjtIdVa-UlsCw"", ""Interns!M:M""), 
   ""Not Found"")"),"Contacted")</f>
        <v>Contacted</v>
      </c>
      <c r="AL31" s="23" t="str">
        <f>IFERROR(__xludf.DUMMYFUNCTION("XLOOKUP(C31, 
   IMPORTRANGE(""1RdEdgHYrZ33LJ7RUHj_h-qkAFL92bcVjtIdVa-UlsCw"", ""Interns!D:D""), 
   IMPORTRANGE(""1RdEdgHYrZ33LJ7RUHj_h-qkAFL92bcVjtIdVa-UlsCw"", ""Interns!N:N""), 
   ""Not Found"")"),"#Cheers4Careers")</f>
        <v>#Cheers4Careers</v>
      </c>
      <c r="AM31" s="23" t="str">
        <f>IFERROR(__xludf.DUMMYFUNCTION("XLOOKUP(C31,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31" s="23"/>
      <c r="AO31" s="23" t="s">
        <v>5405</v>
      </c>
      <c r="AP31" s="28" t="s">
        <v>5182</v>
      </c>
      <c r="AQ31" s="28"/>
      <c r="AR31" s="23"/>
      <c r="AS31" s="23"/>
      <c r="AT31" s="23"/>
      <c r="AU31" s="23"/>
      <c r="AV31" s="23"/>
    </row>
    <row r="32">
      <c r="A32" s="28" t="s">
        <v>5202</v>
      </c>
      <c r="B32" s="28" t="s">
        <v>5162</v>
      </c>
      <c r="C32" s="23" t="str">
        <f t="shared" si="1"/>
        <v>Jalen Lynn</v>
      </c>
      <c r="D32" s="28" t="s">
        <v>5406</v>
      </c>
      <c r="E32" s="28" t="s">
        <v>5407</v>
      </c>
      <c r="F32" s="23" t="str">
        <f t="array" ref="F32">IFERROR(
    INDEX('Hub Interns 226'!A:A, MATCH(C32, 'Hub Interns 226'!B:B, 0)),"")</f>
        <v/>
      </c>
      <c r="G32" s="23">
        <f t="array" ref="G32">IFERROR(
    INDEX('Hub Users 226'!A:A, MATCH(C32, 'Hub Users 226'!B:B, 0)),"")</f>
        <v>1104</v>
      </c>
      <c r="H32" s="28">
        <v>145.0</v>
      </c>
      <c r="I32" s="28" t="s">
        <v>260</v>
      </c>
      <c r="J32" s="28"/>
      <c r="K32" s="28" t="s">
        <v>5177</v>
      </c>
      <c r="L32" s="28"/>
      <c r="M32" s="56" t="s">
        <v>5408</v>
      </c>
      <c r="N32" s="59">
        <v>43781.48611111111</v>
      </c>
      <c r="O32" s="58">
        <v>38117.0</v>
      </c>
      <c r="P32" s="28">
        <f t="shared" si="4"/>
        <v>22</v>
      </c>
      <c r="Q32" s="28" t="s">
        <v>240</v>
      </c>
      <c r="R32" s="28" t="s">
        <v>5409</v>
      </c>
      <c r="S32" s="28">
        <v>5.0</v>
      </c>
      <c r="T32" s="28">
        <v>10.0</v>
      </c>
      <c r="U32" s="28">
        <v>23.0</v>
      </c>
      <c r="V32" s="28">
        <v>32.0</v>
      </c>
      <c r="W32" s="28" t="s">
        <v>1173</v>
      </c>
      <c r="X32" s="28" t="s">
        <v>272</v>
      </c>
      <c r="Y32" s="28" t="s">
        <v>5410</v>
      </c>
      <c r="Z32" s="28" t="s">
        <v>5319</v>
      </c>
      <c r="AA32" s="28" t="s">
        <v>781</v>
      </c>
      <c r="AB32" s="28">
        <v>31.0</v>
      </c>
      <c r="AC32" s="28" t="s">
        <v>25</v>
      </c>
      <c r="AD32" s="23"/>
      <c r="AE32" s="28" t="s">
        <v>6</v>
      </c>
      <c r="AF32" s="23" t="str">
        <f>IFERROR(__xludf.DUMMYFUNCTION("TEXTJOIN("", "", TRUE,
  FILTER(Champions!C:C,
    ISNUMBER(SEARCH(C32, Champions!W:W))
  )
)"),"Melissa Mozelle Schad, Priyanka Dixit")</f>
        <v>Melissa Mozelle Schad, Priyanka Dixit</v>
      </c>
      <c r="AG32" s="23"/>
      <c r="AH32" s="23" t="str">
        <f>IFERROR(__xludf.DUMMYFUNCTION("IF(
ISNUMBER(MATCH(
C32,
IMPORTRANGE(""https://docs.google.com/spreadsheets/d/1yTh1ELC33JHYOeEdgIiEclxPRyh0zOKtlawDltfUay8"",""'Interns'!A:A""),
0
)),
""Outreach Conducted"",
"""")"),"")</f>
        <v/>
      </c>
      <c r="AI32" s="23"/>
      <c r="AJ32" s="23"/>
      <c r="AK32" s="23" t="str">
        <f>IFERROR(__xludf.DUMMYFUNCTION("XLOOKUP(C32, 
   IMPORTRANGE(""1RdEdgHYrZ33LJ7RUHj_h-qkAFL92bcVjtIdVa-UlsCw"", ""Interns!D:D""), 
   IMPORTRANGE(""1RdEdgHYrZ33LJ7RUHj_h-qkAFL92bcVjtIdVa-UlsCw"", ""Interns!M:M""), 
   ""Not Found"")"),"")</f>
        <v/>
      </c>
      <c r="AL32" s="23" t="str">
        <f>IFERROR(__xludf.DUMMYFUNCTION("XLOOKUP(C32, 
   IMPORTRANGE(""1RdEdgHYrZ33LJ7RUHj_h-qkAFL92bcVjtIdVa-UlsCw"", ""Interns!D:D""), 
   IMPORTRANGE(""1RdEdgHYrZ33LJ7RUHj_h-qkAFL92bcVjtIdVa-UlsCw"", ""Interns!N:N""), 
   ""Not Found"")"),"")</f>
        <v/>
      </c>
      <c r="AM32" s="23" t="str">
        <f>IFERROR(__xludf.DUMMYFUNCTION("XLOOKUP(C32, 
   IMPORTRANGE(""1RdEdgHYrZ33LJ7RUHj_h-qkAFL92bcVjtIdVa-UlsCw"", ""Interns!D:D""), 
   IMPORTRANGE(""1RdEdgHYrZ33LJ7RUHj_h-qkAFL92bcVjtIdVa-UlsCw"", ""Interns!O:O""), 
   ""Not Found"")"),"")</f>
        <v/>
      </c>
      <c r="AN32" s="23"/>
      <c r="AO32" s="23" t="s">
        <v>5411</v>
      </c>
      <c r="AP32" s="28" t="s">
        <v>5191</v>
      </c>
      <c r="AQ32" s="28" t="s">
        <v>5412</v>
      </c>
      <c r="AR32" s="23" t="s">
        <v>5413</v>
      </c>
      <c r="AS32" s="23"/>
      <c r="AT32" s="23"/>
      <c r="AU32" s="23"/>
      <c r="AV32" s="23"/>
    </row>
    <row r="33">
      <c r="A33" s="28" t="s">
        <v>5161</v>
      </c>
      <c r="B33" s="28" t="s">
        <v>5162</v>
      </c>
      <c r="C33" s="23" t="str">
        <f t="shared" si="1"/>
        <v>Nasif Zaman</v>
      </c>
      <c r="D33" s="28" t="s">
        <v>5414</v>
      </c>
      <c r="E33" s="28" t="s">
        <v>5415</v>
      </c>
      <c r="F33" s="23">
        <f t="array" ref="F33">IFERROR(
    INDEX('Hub Interns 226'!A:A, MATCH(C33, 'Hub Interns 226'!B:B, 0)),"")</f>
        <v>919</v>
      </c>
      <c r="G33" s="23">
        <f t="array" ref="G33">IFERROR(
    INDEX('Hub Users 226'!A:A, MATCH(C33, 'Hub Users 226'!B:B, 0)),"")</f>
        <v>1352</v>
      </c>
      <c r="H33" s="28">
        <v>351.0</v>
      </c>
      <c r="I33" s="28" t="s">
        <v>302</v>
      </c>
      <c r="J33" s="28" t="s">
        <v>5416</v>
      </c>
      <c r="K33" s="28" t="s">
        <v>5186</v>
      </c>
      <c r="L33" s="28" t="s">
        <v>5165</v>
      </c>
      <c r="M33" s="56" t="s">
        <v>5417</v>
      </c>
      <c r="N33" s="57">
        <v>44246.51180555556</v>
      </c>
      <c r="O33" s="58">
        <v>37802.0</v>
      </c>
      <c r="P33" s="28">
        <f t="shared" si="4"/>
        <v>22</v>
      </c>
      <c r="Q33" s="28" t="s">
        <v>240</v>
      </c>
      <c r="R33" s="28" t="s">
        <v>5418</v>
      </c>
      <c r="S33" s="28">
        <v>5.0</v>
      </c>
      <c r="T33" s="28">
        <v>10.0</v>
      </c>
      <c r="U33" s="28">
        <v>32.0</v>
      </c>
      <c r="V33" s="28">
        <v>28.0</v>
      </c>
      <c r="W33" s="28" t="s">
        <v>1173</v>
      </c>
      <c r="X33" s="28" t="s">
        <v>272</v>
      </c>
      <c r="Y33" s="28" t="s">
        <v>5419</v>
      </c>
      <c r="Z33" s="28" t="s">
        <v>5189</v>
      </c>
      <c r="AA33" s="28" t="s">
        <v>619</v>
      </c>
      <c r="AB33" s="28">
        <v>20.0</v>
      </c>
      <c r="AC33" s="28" t="s">
        <v>25</v>
      </c>
      <c r="AD33" s="23"/>
      <c r="AE33" s="28" t="s">
        <v>8</v>
      </c>
      <c r="AF33" s="23" t="str">
        <f>IFERROR(__xludf.DUMMYFUNCTION("TEXTJOIN("", "", TRUE,
  FILTER(Champions!C:C,
    ISNUMBER(SEARCH(C33, Champions!W:W))
  )
)"),"Joseph Temowo, Dragana Glumac")</f>
        <v>Joseph Temowo, Dragana Glumac</v>
      </c>
      <c r="AG33" s="23"/>
      <c r="AH33" s="23" t="str">
        <f>IFERROR(__xludf.DUMMYFUNCTION("IF(
ISNUMBER(MATCH(
C33,
IMPORTRANGE(""https://docs.google.com/spreadsheets/d/1yTh1ELC33JHYOeEdgIiEclxPRyh0zOKtlawDltfUay8"",""'Interns'!A:A""),
0
)),
""Outreach Conducted"",
"""")"),"")</f>
        <v/>
      </c>
      <c r="AI33" s="23"/>
      <c r="AJ33" s="23"/>
      <c r="AK33" s="23" t="str">
        <f>IFERROR(__xludf.DUMMYFUNCTION("XLOOKUP(C33, 
   IMPORTRANGE(""1RdEdgHYrZ33LJ7RUHj_h-qkAFL92bcVjtIdVa-UlsCw"", ""Interns!D:D""), 
   IMPORTRANGE(""1RdEdgHYrZ33LJ7RUHj_h-qkAFL92bcVjtIdVa-UlsCw"", ""Interns!M:M""), 
   ""Not Found"")"),"Contacted")</f>
        <v>Contacted</v>
      </c>
      <c r="AL33" s="23" t="str">
        <f>IFERROR(__xludf.DUMMYFUNCTION("XLOOKUP(C33, 
   IMPORTRANGE(""1RdEdgHYrZ33LJ7RUHj_h-qkAFL92bcVjtIdVa-UlsCw"", ""Interns!D:D""), 
   IMPORTRANGE(""1RdEdgHYrZ33LJ7RUHj_h-qkAFL92bcVjtIdVa-UlsCw"", ""Interns!N:N""), 
   ""Not Found"")"),"#Cheers4Careers")</f>
        <v>#Cheers4Careers</v>
      </c>
      <c r="AM33" s="23" t="str">
        <f>IFERROR(__xludf.DUMMYFUNCTION("XLOOKUP(C33, 
   IMPORTRANGE(""1RdEdgHYrZ33LJ7RUHj_h-qkAFL92bcVjtIdVa-UlsCw"", ""Interns!D:D""), 
   IMPORTRANGE(""1RdEdgHYrZ33LJ7RUHj_h-qkAFL92bcVjtIdVa-UlsCw"", ""Interns!O:O""), 
   ""Not Found"")"),"Hetal reached out by email 3/27 followed by text")</f>
        <v>Hetal reached out by email 3/27 followed by text</v>
      </c>
      <c r="AN33" s="23"/>
      <c r="AO33" s="23" t="s">
        <v>5420</v>
      </c>
      <c r="AP33" s="28" t="s">
        <v>5182</v>
      </c>
      <c r="AQ33" s="28" t="s">
        <v>5421</v>
      </c>
      <c r="AR33" s="23" t="s">
        <v>5422</v>
      </c>
      <c r="AS33" s="23"/>
      <c r="AT33" s="23"/>
      <c r="AU33" s="23"/>
      <c r="AV33" s="23"/>
    </row>
    <row r="34">
      <c r="A34" s="28" t="s">
        <v>5161</v>
      </c>
      <c r="B34" s="28" t="s">
        <v>5162</v>
      </c>
      <c r="C34" s="23" t="str">
        <f t="shared" si="1"/>
        <v>Nusrat Jahan</v>
      </c>
      <c r="D34" s="28" t="s">
        <v>5423</v>
      </c>
      <c r="E34" s="28" t="s">
        <v>5424</v>
      </c>
      <c r="F34" s="23">
        <f t="array" ref="F34">IFERROR(
    INDEX('Hub Interns 226'!A:A, MATCH(C34, 'Hub Interns 226'!B:B, 0)),"")</f>
        <v>956</v>
      </c>
      <c r="G34" s="23">
        <f t="array" ref="G34">IFERROR(
    INDEX('Hub Users 226'!A:A, MATCH(C34, 'Hub Users 226'!B:B, 0)),"")</f>
        <v>1389</v>
      </c>
      <c r="H34" s="28">
        <v>317.0</v>
      </c>
      <c r="I34" s="28" t="s">
        <v>239</v>
      </c>
      <c r="J34" s="28" t="s">
        <v>5416</v>
      </c>
      <c r="K34" s="28" t="s">
        <v>5186</v>
      </c>
      <c r="L34" s="28" t="s">
        <v>5196</v>
      </c>
      <c r="M34" s="56" t="s">
        <v>5425</v>
      </c>
      <c r="N34" s="57">
        <v>44235.79375</v>
      </c>
      <c r="O34" s="58">
        <v>36717.0</v>
      </c>
      <c r="P34" s="28">
        <f t="shared" si="4"/>
        <v>25</v>
      </c>
      <c r="Q34" s="28" t="s">
        <v>5426</v>
      </c>
      <c r="R34" s="28" t="s">
        <v>5427</v>
      </c>
      <c r="S34" s="28">
        <v>13.0</v>
      </c>
      <c r="T34" s="28">
        <v>33.0</v>
      </c>
      <c r="U34" s="28">
        <v>86.0</v>
      </c>
      <c r="V34" s="28">
        <v>14.0</v>
      </c>
      <c r="W34" s="28" t="s">
        <v>859</v>
      </c>
      <c r="X34" s="28" t="s">
        <v>272</v>
      </c>
      <c r="Y34" s="23"/>
      <c r="Z34" s="28" t="s">
        <v>5310</v>
      </c>
      <c r="AA34" s="28" t="s">
        <v>362</v>
      </c>
      <c r="AB34" s="28">
        <v>16.0</v>
      </c>
      <c r="AC34" s="28" t="s">
        <v>25</v>
      </c>
      <c r="AD34" s="23"/>
      <c r="AE34" s="28" t="s">
        <v>8</v>
      </c>
      <c r="AF34" s="23" t="str">
        <f>IFERROR(__xludf.DUMMYFUNCTION("TEXTJOIN("", "", TRUE,
  FILTER(Champions!C:C,
    ISNUMBER(SEARCH(C34, Champions!W:W))
  )
)"),"Kiran Gill, Pavan Gourisetty")</f>
        <v>Kiran Gill, Pavan Gourisetty</v>
      </c>
      <c r="AG34" s="23"/>
      <c r="AH34" s="23" t="str">
        <f>IFERROR(__xludf.DUMMYFUNCTION("IF(
ISNUMBER(MATCH(
C34,
IMPORTRANGE(""https://docs.google.com/spreadsheets/d/1yTh1ELC33JHYOeEdgIiEclxPRyh0zOKtlawDltfUay8"",""'Interns'!A:A""),
0
)),
""Outreach Conducted"",
"""")"),"")</f>
        <v/>
      </c>
      <c r="AI34" s="23"/>
      <c r="AJ34" s="23"/>
      <c r="AK34" s="23" t="str">
        <f>IFERROR(__xludf.DUMMYFUNCTION("XLOOKUP(C34, 
   IMPORTRANGE(""1RdEdgHYrZ33LJ7RUHj_h-qkAFL92bcVjtIdVa-UlsCw"", ""Interns!D:D""), 
   IMPORTRANGE(""1RdEdgHYrZ33LJ7RUHj_h-qkAFL92bcVjtIdVa-UlsCw"", ""Interns!M:M""), 
   ""Not Found"")"),"")</f>
        <v/>
      </c>
      <c r="AL34" s="23" t="str">
        <f>IFERROR(__xludf.DUMMYFUNCTION("XLOOKUP(C34, 
   IMPORTRANGE(""1RdEdgHYrZ33LJ7RUHj_h-qkAFL92bcVjtIdVa-UlsCw"", ""Interns!D:D""), 
   IMPORTRANGE(""1RdEdgHYrZ33LJ7RUHj_h-qkAFL92bcVjtIdVa-UlsCw"", ""Interns!N:N""), 
   ""Not Found"")"),"#SpeakingMyName")</f>
        <v>#SpeakingMyName</v>
      </c>
      <c r="AM34" s="23" t="str">
        <f>IFERROR(__xludf.DUMMYFUNCTION("XLOOKUP(C34, 
   IMPORTRANGE(""1RdEdgHYrZ33LJ7RUHj_h-qkAFL92bcVjtIdVa-UlsCw"", ""Interns!D:D""), 
   IMPORTRANGE(""1RdEdgHYrZ33LJ7RUHj_h-qkAFL92bcVjtIdVa-UlsCw"", ""Interns!O:O""), 
   ""Not Found"")"),"Alicia reached out by email on 5/15 for #SpeakingMyName")</f>
        <v>Alicia reached out by email on 5/15 for #SpeakingMyName</v>
      </c>
      <c r="AN34" s="23"/>
      <c r="AO34" s="23" t="s">
        <v>5428</v>
      </c>
      <c r="AP34" s="28" t="s">
        <v>5191</v>
      </c>
      <c r="AQ34" s="28" t="s">
        <v>5429</v>
      </c>
      <c r="AR34" s="23">
        <v>9.175293329E9</v>
      </c>
      <c r="AS34" s="23"/>
      <c r="AT34" s="23"/>
      <c r="AU34" s="23"/>
      <c r="AV34" s="23"/>
    </row>
    <row r="35">
      <c r="A35" s="28" t="s">
        <v>5161</v>
      </c>
      <c r="B35" s="28" t="s">
        <v>5162</v>
      </c>
      <c r="C35" s="23" t="str">
        <f t="shared" si="1"/>
        <v>Afrida Ahmed</v>
      </c>
      <c r="D35" s="28" t="s">
        <v>5430</v>
      </c>
      <c r="E35" s="28" t="s">
        <v>237</v>
      </c>
      <c r="F35" s="23">
        <f t="array" ref="F35">IFERROR(
    INDEX('Hub Interns 226'!A:A, MATCH(C35, 'Hub Interns 226'!B:B, 0)),"")</f>
        <v>154</v>
      </c>
      <c r="G35" s="23">
        <f t="array" ref="G35">IFERROR(
    INDEX('Hub Users 226'!A:A, MATCH(C35, 'Hub Users 226'!B:B, 0)),"")</f>
        <v>587</v>
      </c>
      <c r="H35" s="28">
        <v>9.0</v>
      </c>
      <c r="I35" s="28" t="s">
        <v>290</v>
      </c>
      <c r="J35" s="28" t="s">
        <v>5416</v>
      </c>
      <c r="K35" s="28" t="s">
        <v>5186</v>
      </c>
      <c r="L35" s="28" t="s">
        <v>5196</v>
      </c>
      <c r="M35" s="56" t="s">
        <v>5431</v>
      </c>
      <c r="N35" s="57">
        <v>43733.86597222222</v>
      </c>
      <c r="O35" s="58">
        <v>37313.0</v>
      </c>
      <c r="P35" s="28">
        <f t="shared" si="4"/>
        <v>24</v>
      </c>
      <c r="Q35" s="28" t="s">
        <v>5432</v>
      </c>
      <c r="R35" s="28" t="s">
        <v>5433</v>
      </c>
      <c r="S35" s="28">
        <v>13.0</v>
      </c>
      <c r="T35" s="28">
        <v>33.0</v>
      </c>
      <c r="U35" s="28">
        <v>78.0</v>
      </c>
      <c r="V35" s="28">
        <v>15.0</v>
      </c>
      <c r="W35" s="28" t="s">
        <v>859</v>
      </c>
      <c r="X35" s="28" t="s">
        <v>272</v>
      </c>
      <c r="Y35" s="28" t="s">
        <v>5434</v>
      </c>
      <c r="Z35" s="28" t="s">
        <v>5435</v>
      </c>
      <c r="AA35" s="28" t="s">
        <v>5436</v>
      </c>
      <c r="AB35" s="28">
        <v>10.0</v>
      </c>
      <c r="AC35" s="28" t="s">
        <v>25</v>
      </c>
      <c r="AD35" s="23"/>
      <c r="AE35" s="28" t="s">
        <v>7</v>
      </c>
      <c r="AF35" s="23" t="str">
        <f>IFERROR(__xludf.DUMMYFUNCTION("TEXTJOIN("", "", TRUE,
  FILTER(Champions!C:C,
    ISNUMBER(SEARCH(C35, Champions!W:W))
  )
)"),"Dima Al Ayderous, Daniela Russo, Rajnarind Kaur, Madhumitha Sowndararajan, Vicki Teman")</f>
        <v>Dima Al Ayderous, Daniela Russo, Rajnarind Kaur, Madhumitha Sowndararajan, Vicki Teman</v>
      </c>
      <c r="AG35" s="26" t="s">
        <v>5316</v>
      </c>
      <c r="AH35" s="23" t="str">
        <f>IFERROR(__xludf.DUMMYFUNCTION("IF(
ISNUMBER(MATCH(
C35,
IMPORTRANGE(""https://docs.google.com/spreadsheets/d/1yTh1ELC33JHYOeEdgIiEclxPRyh0zOKtlawDltfUay8"",""'Interns'!A:A""),
0
)),
""Outreach Conducted"",
"""")"),"")</f>
        <v/>
      </c>
      <c r="AI35" s="23"/>
      <c r="AJ35" s="23"/>
      <c r="AK35" s="23" t="str">
        <f>IFERROR(__xludf.DUMMYFUNCTION("XLOOKUP(C35, 
   IMPORTRANGE(""1RdEdgHYrZ33LJ7RUHj_h-qkAFL92bcVjtIdVa-UlsCw"", ""Interns!D:D""), 
   IMPORTRANGE(""1RdEdgHYrZ33LJ7RUHj_h-qkAFL92bcVjtIdVa-UlsCw"", ""Interns!M:M""), 
   ""Not Found"")"),"Contacted")</f>
        <v>Contacted</v>
      </c>
      <c r="AL35" s="23" t="str">
        <f>IFERROR(__xludf.DUMMYFUNCTION("XLOOKUP(C35, 
   IMPORTRANGE(""1RdEdgHYrZ33LJ7RUHj_h-qkAFL92bcVjtIdVa-UlsCw"", ""Interns!D:D""), 
   IMPORTRANGE(""1RdEdgHYrZ33LJ7RUHj_h-qkAFL92bcVjtIdVa-UlsCw"", ""Interns!N:N""), 
   ""Not Found"")"),"#Cheers4Careers")</f>
        <v>#Cheers4Careers</v>
      </c>
      <c r="AM35" s="23" t="str">
        <f>IFERROR(__xludf.DUMMYFUNCTION("XLOOKUP(C35,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35" s="23"/>
      <c r="AO35" s="23" t="s">
        <v>5437</v>
      </c>
      <c r="AP35" s="28" t="s">
        <v>5182</v>
      </c>
      <c r="AQ35" s="28" t="s">
        <v>5438</v>
      </c>
      <c r="AR35" s="23">
        <v>9.172143283E9</v>
      </c>
      <c r="AS35" s="28" t="s">
        <v>5439</v>
      </c>
      <c r="AT35" s="23"/>
      <c r="AU35" s="23"/>
      <c r="AV35" s="23"/>
    </row>
    <row r="36">
      <c r="A36" s="28" t="s">
        <v>5161</v>
      </c>
      <c r="B36" s="28" t="s">
        <v>5162</v>
      </c>
      <c r="C36" s="23" t="str">
        <f t="shared" si="1"/>
        <v>Wasin Shihab</v>
      </c>
      <c r="D36" s="28" t="s">
        <v>5440</v>
      </c>
      <c r="E36" s="28" t="s">
        <v>5441</v>
      </c>
      <c r="F36" s="23">
        <f t="array" ref="F36">IFERROR(
    INDEX('Hub Interns 226'!A:A, MATCH(C36, 'Hub Interns 226'!B:B, 0)),"")</f>
        <v>1182</v>
      </c>
      <c r="G36" s="23">
        <f t="array" ref="G36">IFERROR(
    INDEX('Hub Users 226'!A:A, MATCH(C36, 'Hub Users 226'!B:B, 0)),"")</f>
        <v>1615</v>
      </c>
      <c r="H36" s="28">
        <v>728.0</v>
      </c>
      <c r="I36" s="28" t="s">
        <v>260</v>
      </c>
      <c r="J36" s="28" t="s">
        <v>5416</v>
      </c>
      <c r="K36" s="28" t="s">
        <v>5186</v>
      </c>
      <c r="L36" s="28" t="s">
        <v>5165</v>
      </c>
      <c r="M36" s="56" t="s">
        <v>5442</v>
      </c>
      <c r="N36" s="59">
        <v>44550.54652777778</v>
      </c>
      <c r="O36" s="58">
        <v>38217.0</v>
      </c>
      <c r="P36" s="28">
        <f t="shared" si="4"/>
        <v>21</v>
      </c>
      <c r="Q36" s="28" t="s">
        <v>240</v>
      </c>
      <c r="R36" s="28" t="s">
        <v>5443</v>
      </c>
      <c r="S36" s="28">
        <v>14.0</v>
      </c>
      <c r="T36" s="28">
        <v>34.0</v>
      </c>
      <c r="U36" s="28">
        <v>87.0</v>
      </c>
      <c r="V36" s="28">
        <v>18.0</v>
      </c>
      <c r="W36" s="28" t="s">
        <v>859</v>
      </c>
      <c r="X36" s="28" t="s">
        <v>272</v>
      </c>
      <c r="Y36" s="28" t="s">
        <v>5444</v>
      </c>
      <c r="Z36" s="28" t="s">
        <v>5259</v>
      </c>
      <c r="AA36" s="28" t="s">
        <v>704</v>
      </c>
      <c r="AB36" s="28">
        <v>2.0</v>
      </c>
      <c r="AC36" s="28" t="s">
        <v>25</v>
      </c>
      <c r="AD36" s="23"/>
      <c r="AE36" s="28" t="s">
        <v>10</v>
      </c>
      <c r="AF36" s="23" t="str">
        <f>IFERROR(__xludf.DUMMYFUNCTION("TEXTJOIN("", "", TRUE,
  FILTER(Champions!C:C,
    ISNUMBER(SEARCH(C36, Champions!W:W))
  )
)"),"Ritika Naik, Yan Guan")</f>
        <v>Ritika Naik, Yan Guan</v>
      </c>
      <c r="AG36" s="26" t="s">
        <v>5273</v>
      </c>
      <c r="AH36" s="23" t="str">
        <f>IFERROR(__xludf.DUMMYFUNCTION("IF(
ISNUMBER(MATCH(
C36,
IMPORTRANGE(""https://docs.google.com/spreadsheets/d/1yTh1ELC33JHYOeEdgIiEclxPRyh0zOKtlawDltfUay8"",""'Interns'!A:A""),
0
)),
""Outreach Conducted"",
"""")"),"")</f>
        <v/>
      </c>
      <c r="AI36" s="23"/>
      <c r="AJ36" s="23"/>
      <c r="AK36" s="23" t="str">
        <f>IFERROR(__xludf.DUMMYFUNCTION("XLOOKUP(C36, 
   IMPORTRANGE(""1RdEdgHYrZ33LJ7RUHj_h-qkAFL92bcVjtIdVa-UlsCw"", ""Interns!D:D""), 
   IMPORTRANGE(""1RdEdgHYrZ33LJ7RUHj_h-qkAFL92bcVjtIdVa-UlsCw"", ""Interns!M:M""), 
   ""Not Found"")"),"Contacted")</f>
        <v>Contacted</v>
      </c>
      <c r="AL36" s="23" t="str">
        <f>IFERROR(__xludf.DUMMYFUNCTION("XLOOKUP(C36, 
   IMPORTRANGE(""1RdEdgHYrZ33LJ7RUHj_h-qkAFL92bcVjtIdVa-UlsCw"", ""Interns!D:D""), 
   IMPORTRANGE(""1RdEdgHYrZ33LJ7RUHj_h-qkAFL92bcVjtIdVa-UlsCw"", ""Interns!N:N""), 
   ""Not Found"")"),"#Cheers4Careers")</f>
        <v>#Cheers4Careers</v>
      </c>
      <c r="AM36" s="23" t="str">
        <f>IFERROR(__xludf.DUMMYFUNCTION("XLOOKUP(C36, 
   IMPORTRANGE(""1RdEdgHYrZ33LJ7RUHj_h-qkAFL92bcVjtIdVa-UlsCw"", ""Interns!D:D""), 
   IMPORTRANGE(""1RdEdgHYrZ33LJ7RUHj_h-qkAFL92bcVjtIdVa-UlsCw"", ""Interns!O:O""), 
   ""Not Found"")"),"Ousmane reached out by email 3/26 ")</f>
        <v>Ousmane reached out by email 3/26 </v>
      </c>
      <c r="AN36" s="23"/>
      <c r="AO36" s="23" t="s">
        <v>5445</v>
      </c>
      <c r="AP36" s="28" t="s">
        <v>5240</v>
      </c>
      <c r="AQ36" s="28" t="s">
        <v>5446</v>
      </c>
      <c r="AR36" s="23" t="s">
        <v>5447</v>
      </c>
      <c r="AS36" s="28" t="s">
        <v>5448</v>
      </c>
      <c r="AT36" s="23"/>
      <c r="AU36" s="23"/>
      <c r="AV36" s="23"/>
    </row>
    <row r="37">
      <c r="A37" s="28" t="s">
        <v>5161</v>
      </c>
      <c r="B37" s="28" t="s">
        <v>5162</v>
      </c>
      <c r="C37" s="23" t="str">
        <f t="shared" si="1"/>
        <v>Ahnaf Chowdhury</v>
      </c>
      <c r="D37" s="28" t="s">
        <v>5449</v>
      </c>
      <c r="E37" s="28" t="s">
        <v>926</v>
      </c>
      <c r="F37" s="23">
        <f t="array" ref="F37">IFERROR(
    INDEX('Hub Interns 226'!A:A, MATCH(C37, 'Hub Interns 226'!B:B, 0)),"")</f>
        <v>156</v>
      </c>
      <c r="G37" s="23">
        <f t="array" ref="G37">IFERROR(
    INDEX('Hub Users 226'!A:A, MATCH(C37, 'Hub Users 226'!B:B, 0)),"")</f>
        <v>589</v>
      </c>
      <c r="H37" s="28">
        <v>357.0</v>
      </c>
      <c r="I37" s="28" t="s">
        <v>260</v>
      </c>
      <c r="J37" s="28" t="s">
        <v>5416</v>
      </c>
      <c r="K37" s="28" t="s">
        <v>5186</v>
      </c>
      <c r="L37" s="28" t="s">
        <v>5196</v>
      </c>
      <c r="M37" s="56" t="s">
        <v>5450</v>
      </c>
      <c r="N37" s="57">
        <v>44248.69097222222</v>
      </c>
      <c r="O37" s="58">
        <v>37985.0</v>
      </c>
      <c r="P37" s="28">
        <f t="shared" si="4"/>
        <v>22</v>
      </c>
      <c r="Q37" s="28" t="s">
        <v>240</v>
      </c>
      <c r="R37" s="28" t="s">
        <v>5451</v>
      </c>
      <c r="S37" s="28">
        <v>14.0</v>
      </c>
      <c r="T37" s="28">
        <v>13.0</v>
      </c>
      <c r="U37" s="28">
        <v>35.0</v>
      </c>
      <c r="V37" s="28">
        <v>22.0</v>
      </c>
      <c r="W37" s="28" t="s">
        <v>1173</v>
      </c>
      <c r="X37" s="28" t="s">
        <v>272</v>
      </c>
      <c r="Y37" s="23"/>
      <c r="Z37" s="28" t="s">
        <v>5189</v>
      </c>
      <c r="AA37" s="28" t="s">
        <v>619</v>
      </c>
      <c r="AB37" s="28">
        <v>20.0</v>
      </c>
      <c r="AC37" s="28" t="s">
        <v>25</v>
      </c>
      <c r="AD37" s="23"/>
      <c r="AE37" s="28" t="s">
        <v>8</v>
      </c>
      <c r="AF37" s="23" t="str">
        <f>IFERROR(__xludf.DUMMYFUNCTION("TEXTJOIN("", "", TRUE,
  FILTER(Champions!C:C,
    ISNUMBER(SEARCH(C37, Champions!W:W))
  )
)"),"Smrithi Prem, Danielle Flood")</f>
        <v>Smrithi Prem, Danielle Flood</v>
      </c>
      <c r="AG37" s="26" t="s">
        <v>5316</v>
      </c>
      <c r="AH37" s="23" t="str">
        <f>IFERROR(__xludf.DUMMYFUNCTION("IF(
ISNUMBER(MATCH(
C37,
IMPORTRANGE(""https://docs.google.com/spreadsheets/d/1yTh1ELC33JHYOeEdgIiEclxPRyh0zOKtlawDltfUay8"",""'Interns'!A:A""),
0
)),
""Outreach Conducted"",
"""")"),"")</f>
        <v/>
      </c>
      <c r="AI37" s="23"/>
      <c r="AJ37" s="23"/>
      <c r="AK37" s="23" t="str">
        <f>IFERROR(__xludf.DUMMYFUNCTION("XLOOKUP(C37, 
   IMPORTRANGE(""1RdEdgHYrZ33LJ7RUHj_h-qkAFL92bcVjtIdVa-UlsCw"", ""Interns!D:D""), 
   IMPORTRANGE(""1RdEdgHYrZ33LJ7RUHj_h-qkAFL92bcVjtIdVa-UlsCw"", ""Interns!M:M""), 
   ""Not Found"")"),"Contacted")</f>
        <v>Contacted</v>
      </c>
      <c r="AL37" s="23" t="str">
        <f>IFERROR(__xludf.DUMMYFUNCTION("XLOOKUP(C37, 
   IMPORTRANGE(""1RdEdgHYrZ33LJ7RUHj_h-qkAFL92bcVjtIdVa-UlsCw"", ""Interns!D:D""), 
   IMPORTRANGE(""1RdEdgHYrZ33LJ7RUHj_h-qkAFL92bcVjtIdVa-UlsCw"", ""Interns!N:N""), 
   ""Not Found"")"),"#Cheers4Careers")</f>
        <v>#Cheers4Careers</v>
      </c>
      <c r="AM37" s="23" t="str">
        <f>IFERROR(__xludf.DUMMYFUNCTION("XLOOKUP(C37, 
   IMPORTRANGE(""1RdEdgHYrZ33LJ7RUHj_h-qkAFL92bcVjtIdVa-UlsCw"", ""Interns!D:D""), 
   IMPORTRANGE(""1RdEdgHYrZ33LJ7RUHj_h-qkAFL92bcVjtIdVa-UlsCw"", ""Interns!O:O""), 
   ""Not Found"")"),"Hetal reached out by email 3/27")</f>
        <v>Hetal reached out by email 3/27</v>
      </c>
      <c r="AN37" s="23"/>
      <c r="AO37" s="23" t="s">
        <v>5452</v>
      </c>
      <c r="AP37" s="28" t="s">
        <v>5182</v>
      </c>
      <c r="AQ37" s="28" t="s">
        <v>5453</v>
      </c>
      <c r="AR37" s="23" t="s">
        <v>5454</v>
      </c>
      <c r="AS37" s="28" t="s">
        <v>5455</v>
      </c>
      <c r="AT37" s="23"/>
      <c r="AU37" s="23"/>
      <c r="AV37" s="23"/>
    </row>
    <row r="38">
      <c r="A38" s="28" t="s">
        <v>5202</v>
      </c>
      <c r="B38" s="28" t="s">
        <v>5162</v>
      </c>
      <c r="C38" s="23" t="str">
        <f t="shared" si="1"/>
        <v>Jada Jones</v>
      </c>
      <c r="D38" s="28" t="s">
        <v>5456</v>
      </c>
      <c r="E38" s="28" t="s">
        <v>5457</v>
      </c>
      <c r="F38" s="23" t="str">
        <f t="array" ref="F38">IFERROR(
    INDEX('Hub Interns 226'!A:A, MATCH(C38, 'Hub Interns 226'!B:B, 0)),"")</f>
        <v/>
      </c>
      <c r="G38" s="23" t="str">
        <f t="array" ref="G38">IFERROR(
    INDEX('Hub Users 226'!A:A, MATCH(C38, 'Hub Users 226'!B:B, 0)),"")</f>
        <v/>
      </c>
      <c r="H38" s="28">
        <v>58.0</v>
      </c>
      <c r="I38" s="28"/>
      <c r="J38" s="28"/>
      <c r="K38" s="28" t="s">
        <v>5177</v>
      </c>
      <c r="L38" s="28"/>
      <c r="M38" s="28"/>
      <c r="N38" s="57">
        <v>43741.63125</v>
      </c>
      <c r="O38" s="58"/>
      <c r="P38" s="28"/>
      <c r="Q38" s="28" t="s">
        <v>240</v>
      </c>
      <c r="R38" s="23"/>
      <c r="S38" s="28"/>
      <c r="T38" s="28"/>
      <c r="U38" s="28"/>
      <c r="V38" s="28"/>
      <c r="W38" s="28" t="s">
        <v>2633</v>
      </c>
      <c r="X38" s="28" t="s">
        <v>241</v>
      </c>
      <c r="Y38" s="28" t="s">
        <v>5458</v>
      </c>
      <c r="Z38" s="28" t="s">
        <v>5294</v>
      </c>
      <c r="AA38" s="28" t="s">
        <v>5294</v>
      </c>
      <c r="AB38" s="28" t="s">
        <v>5295</v>
      </c>
      <c r="AC38" s="28" t="s">
        <v>25</v>
      </c>
      <c r="AD38" s="23"/>
      <c r="AE38" s="28" t="s">
        <v>4</v>
      </c>
      <c r="AF38" s="23" t="str">
        <f>IFERROR(__xludf.DUMMYFUNCTION("TEXTJOIN("", "", TRUE,
  FILTER(Champions!C:C,
    ISNUMBER(SEARCH(C38, Champions!W:W))
  )
)"),"Nwamaka Genevieve Ejebe, Nwamaka Ejebe")</f>
        <v>Nwamaka Genevieve Ejebe, Nwamaka Ejebe</v>
      </c>
      <c r="AG38" s="23"/>
      <c r="AH38" s="23" t="str">
        <f>IFERROR(__xludf.DUMMYFUNCTION("IF(
ISNUMBER(MATCH(
C38,
IMPORTRANGE(""https://docs.google.com/spreadsheets/d/1yTh1ELC33JHYOeEdgIiEclxPRyh0zOKtlawDltfUay8"",""'Interns'!A:A""),
0
)),
""Outreach Conducted"",
"""")"),"")</f>
        <v/>
      </c>
      <c r="AI38" s="23"/>
      <c r="AJ38" s="23"/>
      <c r="AK38" s="23" t="str">
        <f>IFERROR(__xludf.DUMMYFUNCTION("XLOOKUP(C38, 
   IMPORTRANGE(""1RdEdgHYrZ33LJ7RUHj_h-qkAFL92bcVjtIdVa-UlsCw"", ""Interns!D:D""), 
   IMPORTRANGE(""1RdEdgHYrZ33LJ7RUHj_h-qkAFL92bcVjtIdVa-UlsCw"", ""Interns!M:M""), 
   ""Not Found"")"),"")</f>
        <v/>
      </c>
      <c r="AL38" s="23" t="str">
        <f>IFERROR(__xludf.DUMMYFUNCTION("XLOOKUP(C38, 
   IMPORTRANGE(""1RdEdgHYrZ33LJ7RUHj_h-qkAFL92bcVjtIdVa-UlsCw"", ""Interns!D:D""), 
   IMPORTRANGE(""1RdEdgHYrZ33LJ7RUHj_h-qkAFL92bcVjtIdVa-UlsCw"", ""Interns!N:N""), 
   ""Not Found"")"),"")</f>
        <v/>
      </c>
      <c r="AM38" s="23" t="str">
        <f>IFERROR(__xludf.DUMMYFUNCTION("XLOOKUP(C38, 
   IMPORTRANGE(""1RdEdgHYrZ33LJ7RUHj_h-qkAFL92bcVjtIdVa-UlsCw"", ""Interns!D:D""), 
   IMPORTRANGE(""1RdEdgHYrZ33LJ7RUHj_h-qkAFL92bcVjtIdVa-UlsCw"", ""Interns!O:O""), 
   ""Not Found"")"),"")</f>
        <v/>
      </c>
      <c r="AN38" s="23"/>
      <c r="AO38" s="23" t="s">
        <v>5459</v>
      </c>
      <c r="AP38" s="28" t="s">
        <v>5191</v>
      </c>
      <c r="AQ38" s="28" t="s">
        <v>5459</v>
      </c>
      <c r="AR38" s="23" t="s">
        <v>5460</v>
      </c>
      <c r="AS38" s="23"/>
      <c r="AT38" s="23"/>
      <c r="AU38" s="23"/>
      <c r="AV38" s="23"/>
    </row>
    <row r="39">
      <c r="A39" s="28" t="s">
        <v>5202</v>
      </c>
      <c r="B39" s="28" t="s">
        <v>5162</v>
      </c>
      <c r="C39" s="23" t="str">
        <f t="shared" si="1"/>
        <v>Alison Vargas</v>
      </c>
      <c r="D39" s="28" t="s">
        <v>5461</v>
      </c>
      <c r="E39" s="28" t="s">
        <v>1111</v>
      </c>
      <c r="F39" s="23">
        <f t="array" ref="F39">IFERROR(
    INDEX('Hub Interns 226'!A:A, MATCH(C39, 'Hub Interns 226'!B:B, 0)),"")</f>
        <v>277</v>
      </c>
      <c r="G39" s="23">
        <f t="array" ref="G39">IFERROR(
    INDEX('Hub Users 226'!A:A, MATCH(C39, 'Hub Users 226'!B:B, 0)),"")</f>
        <v>710</v>
      </c>
      <c r="H39" s="28">
        <v>693.0</v>
      </c>
      <c r="I39" s="28" t="s">
        <v>107</v>
      </c>
      <c r="J39" s="28" t="s">
        <v>5462</v>
      </c>
      <c r="K39" s="28" t="s">
        <v>5463</v>
      </c>
      <c r="L39" s="28" t="s">
        <v>5196</v>
      </c>
      <c r="M39" s="56" t="s">
        <v>5464</v>
      </c>
      <c r="N39" s="59">
        <v>44546.55763888889</v>
      </c>
      <c r="O39" s="58">
        <v>38803.0</v>
      </c>
      <c r="P39" s="28">
        <f t="shared" ref="P39:P41" si="5">DATEDIF(O39, TODAY(), "Y")</f>
        <v>20</v>
      </c>
      <c r="Q39" s="28" t="s">
        <v>240</v>
      </c>
      <c r="R39" s="28" t="s">
        <v>5465</v>
      </c>
      <c r="S39" s="28">
        <v>8.0</v>
      </c>
      <c r="T39" s="28">
        <v>22.0</v>
      </c>
      <c r="U39" s="28">
        <v>45.0</v>
      </c>
      <c r="V39" s="28">
        <v>48.0</v>
      </c>
      <c r="W39" s="28" t="s">
        <v>294</v>
      </c>
      <c r="X39" s="28" t="s">
        <v>272</v>
      </c>
      <c r="Y39" s="28" t="s">
        <v>5466</v>
      </c>
      <c r="Z39" s="28" t="s">
        <v>5386</v>
      </c>
      <c r="AA39" s="28" t="s">
        <v>1887</v>
      </c>
      <c r="AB39" s="28">
        <v>47.0</v>
      </c>
      <c r="AC39" s="28" t="s">
        <v>25</v>
      </c>
      <c r="AD39" s="23"/>
      <c r="AE39" s="28" t="s">
        <v>10</v>
      </c>
      <c r="AF39" s="23" t="str">
        <f>IFERROR(__xludf.DUMMYFUNCTION("TEXTJOIN("", "", TRUE,
  FILTER(Champions!C:C,
    ISNUMBER(SEARCH(C39, Champions!W:W))
  )
)"),"Chiemela Okwandu, Kadiatou (Kady) Sylla")</f>
        <v>Chiemela Okwandu, Kadiatou (Kady) Sylla</v>
      </c>
      <c r="AG39" s="23"/>
      <c r="AH39" s="23" t="str">
        <f>IFERROR(__xludf.DUMMYFUNCTION("IF(
ISNUMBER(MATCH(
C39,
IMPORTRANGE(""https://docs.google.com/spreadsheets/d/1yTh1ELC33JHYOeEdgIiEclxPRyh0zOKtlawDltfUay8"",""'Interns'!A:A""),
0
)),
""Outreach Conducted"",
"""")"),"")</f>
        <v/>
      </c>
      <c r="AI39" s="23"/>
      <c r="AJ39" s="23"/>
      <c r="AK39" s="23" t="str">
        <f>IFERROR(__xludf.DUMMYFUNCTION("XLOOKUP(C39, 
   IMPORTRANGE(""1RdEdgHYrZ33LJ7RUHj_h-qkAFL92bcVjtIdVa-UlsCw"", ""Interns!D:D""), 
   IMPORTRANGE(""1RdEdgHYrZ33LJ7RUHj_h-qkAFL92bcVjtIdVa-UlsCw"", ""Interns!M:M""), 
   ""Not Found"")"),"")</f>
        <v/>
      </c>
      <c r="AL39" s="23" t="str">
        <f>IFERROR(__xludf.DUMMYFUNCTION("XLOOKUP(C39, 
   IMPORTRANGE(""1RdEdgHYrZ33LJ7RUHj_h-qkAFL92bcVjtIdVa-UlsCw"", ""Interns!D:D""), 
   IMPORTRANGE(""1RdEdgHYrZ33LJ7RUHj_h-qkAFL92bcVjtIdVa-UlsCw"", ""Interns!N:N""), 
   ""Not Found"")"),"")</f>
        <v/>
      </c>
      <c r="AM39" s="23" t="str">
        <f>IFERROR(__xludf.DUMMYFUNCTION("XLOOKUP(C39, 
   IMPORTRANGE(""1RdEdgHYrZ33LJ7RUHj_h-qkAFL92bcVjtIdVa-UlsCw"", ""Interns!D:D""), 
   IMPORTRANGE(""1RdEdgHYrZ33LJ7RUHj_h-qkAFL92bcVjtIdVa-UlsCw"", ""Interns!O:O""), 
   ""Not Found"")"),"")</f>
        <v/>
      </c>
      <c r="AN39" s="23"/>
      <c r="AO39" s="23" t="s">
        <v>5467</v>
      </c>
      <c r="AP39" s="28" t="s">
        <v>5182</v>
      </c>
      <c r="AQ39" s="28" t="s">
        <v>5468</v>
      </c>
      <c r="AR39" s="23" t="s">
        <v>5469</v>
      </c>
      <c r="AS39" s="23"/>
      <c r="AT39" s="23"/>
      <c r="AU39" s="23"/>
      <c r="AV39" s="23"/>
    </row>
    <row r="40">
      <c r="A40" s="28" t="s">
        <v>5161</v>
      </c>
      <c r="B40" s="28" t="s">
        <v>5162</v>
      </c>
      <c r="C40" s="23" t="str">
        <f t="shared" si="1"/>
        <v>Sanzida Chowdhury</v>
      </c>
      <c r="D40" s="28" t="s">
        <v>5470</v>
      </c>
      <c r="E40" s="28" t="s">
        <v>926</v>
      </c>
      <c r="F40" s="23">
        <f t="array" ref="F40">IFERROR(
    INDEX('Hub Interns 226'!A:A, MATCH(C40, 'Hub Interns 226'!B:B, 0)),"")</f>
        <v>1070</v>
      </c>
      <c r="G40" s="23">
        <f t="array" ref="G40">IFERROR(
    INDEX('Hub Users 226'!A:A, MATCH(C40, 'Hub Users 226'!B:B, 0)),"")</f>
        <v>1503</v>
      </c>
      <c r="H40" s="28">
        <v>12.0</v>
      </c>
      <c r="I40" s="28" t="s">
        <v>260</v>
      </c>
      <c r="J40" s="28" t="s">
        <v>5416</v>
      </c>
      <c r="K40" s="28" t="s">
        <v>5186</v>
      </c>
      <c r="L40" s="28" t="s">
        <v>5196</v>
      </c>
      <c r="M40" s="56" t="s">
        <v>5471</v>
      </c>
      <c r="N40" s="57">
        <v>43733.87986111111</v>
      </c>
      <c r="O40" s="58">
        <v>36955.0</v>
      </c>
      <c r="P40" s="28">
        <f t="shared" si="5"/>
        <v>25</v>
      </c>
      <c r="Q40" s="28" t="s">
        <v>5472</v>
      </c>
      <c r="R40" s="28" t="s">
        <v>5473</v>
      </c>
      <c r="S40" s="28">
        <v>15.0</v>
      </c>
      <c r="T40" s="28">
        <v>33.0</v>
      </c>
      <c r="U40" s="28">
        <v>80.0</v>
      </c>
      <c r="V40" s="28">
        <v>11.0</v>
      </c>
      <c r="W40" s="28" t="s">
        <v>859</v>
      </c>
      <c r="X40" s="28" t="s">
        <v>272</v>
      </c>
      <c r="Y40" s="28" t="s">
        <v>5474</v>
      </c>
      <c r="Z40" s="28" t="s">
        <v>5435</v>
      </c>
      <c r="AA40" s="28" t="s">
        <v>5436</v>
      </c>
      <c r="AB40" s="28">
        <v>10.0</v>
      </c>
      <c r="AC40" s="28" t="s">
        <v>25</v>
      </c>
      <c r="AD40" s="23"/>
      <c r="AE40" s="28" t="s">
        <v>7</v>
      </c>
      <c r="AF40" s="23" t="str">
        <f>IFERROR(__xludf.DUMMYFUNCTION("TEXTJOIN("", "", TRUE,
  FILTER(Champions!C:C,
    ISNUMBER(SEARCH(C40, Champions!W:W))
  )
)"),"Angana Deb, Nikita Catharine Viswasam, Otito Frances Iwuchukwu, Madhumitha Sowndararajan, Suraiya Khatun")</f>
        <v>Angana Deb, Nikita Catharine Viswasam, Otito Frances Iwuchukwu, Madhumitha Sowndararajan, Suraiya Khatun</v>
      </c>
      <c r="AG40" s="23"/>
      <c r="AH40" s="23" t="str">
        <f>IFERROR(__xludf.DUMMYFUNCTION("IF(
ISNUMBER(MATCH(
C40,
IMPORTRANGE(""https://docs.google.com/spreadsheets/d/1yTh1ELC33JHYOeEdgIiEclxPRyh0zOKtlawDltfUay8"",""'Interns'!A:A""),
0
)),
""Outreach Conducted"",
"""")"),"")</f>
        <v/>
      </c>
      <c r="AI40" s="23"/>
      <c r="AJ40" s="23"/>
      <c r="AK40" s="23" t="str">
        <f>IFERROR(__xludf.DUMMYFUNCTION("XLOOKUP(C40, 
   IMPORTRANGE(""1RdEdgHYrZ33LJ7RUHj_h-qkAFL92bcVjtIdVa-UlsCw"", ""Interns!D:D""), 
   IMPORTRANGE(""1RdEdgHYrZ33LJ7RUHj_h-qkAFL92bcVjtIdVa-UlsCw"", ""Interns!M:M""), 
   ""Not Found"")"),"Contacted")</f>
        <v>Contacted</v>
      </c>
      <c r="AL40" s="23" t="str">
        <f>IFERROR(__xludf.DUMMYFUNCTION("XLOOKUP(C40, 
   IMPORTRANGE(""1RdEdgHYrZ33LJ7RUHj_h-qkAFL92bcVjtIdVa-UlsCw"", ""Interns!D:D""), 
   IMPORTRANGE(""1RdEdgHYrZ33LJ7RUHj_h-qkAFL92bcVjtIdVa-UlsCw"", ""Interns!N:N""), 
   ""Not Found"")"),"#Cheers4Careers")</f>
        <v>#Cheers4Careers</v>
      </c>
      <c r="AM40" s="23" t="str">
        <f>IFERROR(__xludf.DUMMYFUNCTION("XLOOKUP(C40, 
   IMPORTRANGE(""1RdEdgHYrZ33LJ7RUHj_h-qkAFL92bcVjtIdVa-UlsCw"", ""Interns!D:D""), 
   IMPORTRANGE(""1RdEdgHYrZ33LJ7RUHj_h-qkAFL92bcVjtIdVa-UlsCw"", ""Interns!O:O""), 
   ""Not Found"")"),"Hetal reached out by email 3/27")</f>
        <v>Hetal reached out by email 3/27</v>
      </c>
      <c r="AN40" s="23"/>
      <c r="AO40" s="23" t="s">
        <v>5475</v>
      </c>
      <c r="AP40" s="28" t="s">
        <v>5191</v>
      </c>
      <c r="AQ40" s="28" t="s">
        <v>5476</v>
      </c>
      <c r="AR40" s="23" t="s">
        <v>5477</v>
      </c>
      <c r="AS40" s="23"/>
      <c r="AT40" s="23"/>
      <c r="AU40" s="23"/>
      <c r="AV40" s="23"/>
    </row>
    <row r="41">
      <c r="A41" s="28" t="s">
        <v>5161</v>
      </c>
      <c r="B41" s="28" t="s">
        <v>5162</v>
      </c>
      <c r="C41" s="23" t="str">
        <f t="shared" si="1"/>
        <v>Afrin Tripti</v>
      </c>
      <c r="D41" s="28" t="s">
        <v>5478</v>
      </c>
      <c r="E41" s="28" t="s">
        <v>5479</v>
      </c>
      <c r="F41" s="23">
        <f t="array" ref="F41">IFERROR(
    INDEX('Hub Interns 226'!A:A, MATCH(C41, 'Hub Interns 226'!B:B, 0)),"")</f>
        <v>155</v>
      </c>
      <c r="G41" s="23">
        <f t="array" ref="G41">IFERROR(
    INDEX('Hub Users 226'!A:A, MATCH(C41, 'Hub Users 226'!B:B, 0)),"")</f>
        <v>588</v>
      </c>
      <c r="H41" s="28">
        <v>753.0</v>
      </c>
      <c r="I41" s="28" t="s">
        <v>107</v>
      </c>
      <c r="J41" s="28" t="s">
        <v>5416</v>
      </c>
      <c r="K41" s="28" t="s">
        <v>5186</v>
      </c>
      <c r="L41" s="28" t="s">
        <v>5196</v>
      </c>
      <c r="M41" s="56" t="s">
        <v>5480</v>
      </c>
      <c r="N41" s="59">
        <v>44551.57847222222</v>
      </c>
      <c r="O41" s="58">
        <v>38429.0</v>
      </c>
      <c r="P41" s="28">
        <f t="shared" si="5"/>
        <v>21</v>
      </c>
      <c r="Q41" s="28" t="s">
        <v>240</v>
      </c>
      <c r="R41" s="28" t="s">
        <v>5481</v>
      </c>
      <c r="S41" s="28">
        <v>14.0</v>
      </c>
      <c r="T41" s="28">
        <v>13.0</v>
      </c>
      <c r="U41" s="28">
        <v>34.0</v>
      </c>
      <c r="V41" s="28">
        <v>25.0</v>
      </c>
      <c r="W41" s="28" t="s">
        <v>1173</v>
      </c>
      <c r="X41" s="28" t="s">
        <v>272</v>
      </c>
      <c r="Y41" s="28" t="s">
        <v>5482</v>
      </c>
      <c r="Z41" s="28" t="s">
        <v>5483</v>
      </c>
      <c r="AA41" s="28" t="s">
        <v>457</v>
      </c>
      <c r="AB41" s="28">
        <v>25.0</v>
      </c>
      <c r="AC41" s="28" t="s">
        <v>25</v>
      </c>
      <c r="AD41" s="23"/>
      <c r="AE41" s="28" t="s">
        <v>10</v>
      </c>
      <c r="AF41" s="23" t="str">
        <f>IFERROR(__xludf.DUMMYFUNCTION("TEXTJOIN("", "", TRUE,
  FILTER(Champions!C:C,
    ISNUMBER(SEARCH(C41, Champions!W:W))
  )
)"),"Ahmed Imam, Wilson Antoine")</f>
        <v>Ahmed Imam, Wilson Antoine</v>
      </c>
      <c r="AG41" s="23"/>
      <c r="AH41" s="23" t="str">
        <f>IFERROR(__xludf.DUMMYFUNCTION("IF(
ISNUMBER(MATCH(
C41,
IMPORTRANGE(""https://docs.google.com/spreadsheets/d/1yTh1ELC33JHYOeEdgIiEclxPRyh0zOKtlawDltfUay8"",""'Interns'!A:A""),
0
)),
""Outreach Conducted"",
"""")"),"")</f>
        <v/>
      </c>
      <c r="AI41" s="23"/>
      <c r="AJ41" s="23"/>
      <c r="AK41" s="23" t="str">
        <f>IFERROR(__xludf.DUMMYFUNCTION("XLOOKUP(C41, 
   IMPORTRANGE(""1RdEdgHYrZ33LJ7RUHj_h-qkAFL92bcVjtIdVa-UlsCw"", ""Interns!D:D""), 
   IMPORTRANGE(""1RdEdgHYrZ33LJ7RUHj_h-qkAFL92bcVjtIdVa-UlsCw"", ""Interns!M:M""), 
   ""Not Found"")"),"Contacted")</f>
        <v>Contacted</v>
      </c>
      <c r="AL41" s="23" t="str">
        <f>IFERROR(__xludf.DUMMYFUNCTION("XLOOKUP(C41, 
   IMPORTRANGE(""1RdEdgHYrZ33LJ7RUHj_h-qkAFL92bcVjtIdVa-UlsCw"", ""Interns!D:D""), 
   IMPORTRANGE(""1RdEdgHYrZ33LJ7RUHj_h-qkAFL92bcVjtIdVa-UlsCw"", ""Interns!N:N""), 
   ""Not Found"")"),"#Cheers4Careers")</f>
        <v>#Cheers4Careers</v>
      </c>
      <c r="AM41" s="23" t="str">
        <f>IFERROR(__xludf.DUMMYFUNCTION("XLOOKUP(C41, 
   IMPORTRANGE(""1RdEdgHYrZ33LJ7RUHj_h-qkAFL92bcVjtIdVa-UlsCw"", ""Interns!D:D""), 
   IMPORTRANGE(""1RdEdgHYrZ33LJ7RUHj_h-qkAFL92bcVjtIdVa-UlsCw"", ""Interns!O:O""), 
   ""Not Found"")"),"Hetal reached out by email 3/27")</f>
        <v>Hetal reached out by email 3/27</v>
      </c>
      <c r="AN41" s="23"/>
      <c r="AO41" s="23" t="s">
        <v>5484</v>
      </c>
      <c r="AP41" s="28" t="s">
        <v>5182</v>
      </c>
      <c r="AQ41" s="28" t="s">
        <v>5485</v>
      </c>
      <c r="AR41" s="23" t="s">
        <v>5486</v>
      </c>
      <c r="AS41" s="23"/>
      <c r="AT41" s="23"/>
      <c r="AU41" s="23"/>
      <c r="AV41" s="23"/>
    </row>
    <row r="42">
      <c r="A42" s="28" t="s">
        <v>5202</v>
      </c>
      <c r="B42" s="28" t="s">
        <v>5162</v>
      </c>
      <c r="C42" s="23" t="str">
        <f t="shared" si="1"/>
        <v>Layan Alkhawaja</v>
      </c>
      <c r="D42" s="28" t="s">
        <v>5487</v>
      </c>
      <c r="E42" s="28" t="s">
        <v>5488</v>
      </c>
      <c r="F42" s="23" t="str">
        <f t="array" ref="F42">IFERROR(
    INDEX('Hub Interns 226'!A:A, MATCH(C42, 'Hub Interns 226'!B:B, 0)),"")</f>
        <v/>
      </c>
      <c r="G42" s="23" t="str">
        <f t="array" ref="G42">IFERROR(
    INDEX('Hub Users 226'!A:A, MATCH(C42, 'Hub Users 226'!B:B, 0)),"")</f>
        <v/>
      </c>
      <c r="H42" s="28">
        <v>36.0</v>
      </c>
      <c r="I42" s="28" t="s">
        <v>290</v>
      </c>
      <c r="J42" s="28" t="s">
        <v>5489</v>
      </c>
      <c r="K42" s="28" t="s">
        <v>5186</v>
      </c>
      <c r="L42" s="28" t="s">
        <v>5196</v>
      </c>
      <c r="M42" s="23"/>
      <c r="N42" s="57">
        <v>43741.63055555556</v>
      </c>
      <c r="O42" s="58"/>
      <c r="P42" s="28"/>
      <c r="Q42" s="28" t="s">
        <v>240</v>
      </c>
      <c r="R42" s="23"/>
      <c r="S42" s="28"/>
      <c r="T42" s="28"/>
      <c r="U42" s="28"/>
      <c r="V42" s="28"/>
      <c r="W42" s="28" t="s">
        <v>380</v>
      </c>
      <c r="X42" s="28" t="s">
        <v>381</v>
      </c>
      <c r="Y42" s="28" t="s">
        <v>5490</v>
      </c>
      <c r="Z42" s="28" t="s">
        <v>5491</v>
      </c>
      <c r="AA42" s="28" t="s">
        <v>5492</v>
      </c>
      <c r="AB42" s="28">
        <v>47.0</v>
      </c>
      <c r="AC42" s="28" t="s">
        <v>25</v>
      </c>
      <c r="AD42" s="23"/>
      <c r="AE42" s="28" t="s">
        <v>4</v>
      </c>
      <c r="AF42" s="23" t="str">
        <f>IFERROR(__xludf.DUMMYFUNCTION("TEXTJOIN("", "", TRUE,
  FILTER(Champions!C:C,
    ISNUMBER(SEARCH(C42, Champions!W:W))
  )
)"),"#N/A")</f>
        <v>#N/A</v>
      </c>
      <c r="AG42" s="23"/>
      <c r="AH42" s="23" t="str">
        <f>IFERROR(__xludf.DUMMYFUNCTION("IF(
ISNUMBER(MATCH(
C42,
IMPORTRANGE(""https://docs.google.com/spreadsheets/d/1yTh1ELC33JHYOeEdgIiEclxPRyh0zOKtlawDltfUay8"",""'Interns'!A:A""),
0
)),
""Outreach Conducted"",
"""")"),"")</f>
        <v/>
      </c>
      <c r="AI42" s="23"/>
      <c r="AJ42" s="23"/>
      <c r="AK42" s="23" t="str">
        <f>IFERROR(__xludf.DUMMYFUNCTION("XLOOKUP(C42, 
   IMPORTRANGE(""1RdEdgHYrZ33LJ7RUHj_h-qkAFL92bcVjtIdVa-UlsCw"", ""Interns!D:D""), 
   IMPORTRANGE(""1RdEdgHYrZ33LJ7RUHj_h-qkAFL92bcVjtIdVa-UlsCw"", ""Interns!M:M""), 
   ""Not Found"")"),"")</f>
        <v/>
      </c>
      <c r="AL42" s="23" t="str">
        <f>IFERROR(__xludf.DUMMYFUNCTION("XLOOKUP(C42, 
   IMPORTRANGE(""1RdEdgHYrZ33LJ7RUHj_h-qkAFL92bcVjtIdVa-UlsCw"", ""Interns!D:D""), 
   IMPORTRANGE(""1RdEdgHYrZ33LJ7RUHj_h-qkAFL92bcVjtIdVa-UlsCw"", ""Interns!N:N""), 
   ""Not Found"")"),"")</f>
        <v/>
      </c>
      <c r="AM42" s="23">
        <f>IFERROR(__xludf.DUMMYFUNCTION("XLOOKUP(C42, 
   IMPORTRANGE(""1RdEdgHYrZ33LJ7RUHj_h-qkAFL92bcVjtIdVa-UlsCw"", ""Interns!D:D""), 
   IMPORTRANGE(""1RdEdgHYrZ33LJ7RUHj_h-qkAFL92bcVjtIdVa-UlsCw"", ""Interns!O:O""), 
   ""Not Found"")"),97.0)</f>
        <v>97</v>
      </c>
      <c r="AN42" s="23"/>
      <c r="AO42" s="23" t="s">
        <v>5493</v>
      </c>
      <c r="AP42" s="28" t="s">
        <v>5182</v>
      </c>
      <c r="AQ42" s="28" t="s">
        <v>5493</v>
      </c>
      <c r="AR42" s="23">
        <v>7.278512012E9</v>
      </c>
      <c r="AS42" s="23"/>
      <c r="AT42" s="23"/>
      <c r="AU42" s="23"/>
      <c r="AV42" s="23"/>
    </row>
    <row r="43">
      <c r="A43" s="28" t="s">
        <v>5161</v>
      </c>
      <c r="B43" s="28" t="s">
        <v>5162</v>
      </c>
      <c r="C43" s="23" t="str">
        <f t="shared" si="1"/>
        <v>Sanjida Fnu</v>
      </c>
      <c r="D43" s="28" t="s">
        <v>5494</v>
      </c>
      <c r="E43" s="28" t="s">
        <v>5495</v>
      </c>
      <c r="F43" s="23">
        <f t="array" ref="F43">IFERROR(
    INDEX('Hub Interns 226'!A:A, MATCH(C43, 'Hub Interns 226'!B:B, 0)),"")</f>
        <v>1066</v>
      </c>
      <c r="G43" s="23">
        <f t="array" ref="G43">IFERROR(
    INDEX('Hub Users 226'!A:A, MATCH(C43, 'Hub Users 226'!B:B, 0)),"")</f>
        <v>1499</v>
      </c>
      <c r="H43" s="28">
        <v>671.0</v>
      </c>
      <c r="I43" s="28" t="s">
        <v>239</v>
      </c>
      <c r="J43" s="28" t="s">
        <v>5416</v>
      </c>
      <c r="K43" s="28" t="s">
        <v>5186</v>
      </c>
      <c r="L43" s="28" t="s">
        <v>5196</v>
      </c>
      <c r="M43" s="56" t="s">
        <v>5496</v>
      </c>
      <c r="N43" s="59">
        <v>44546.46111111111</v>
      </c>
      <c r="O43" s="58">
        <v>38654.0</v>
      </c>
      <c r="P43" s="28">
        <f t="shared" ref="P43:P66" si="6">DATEDIF(O43, TODAY(), "Y")</f>
        <v>20</v>
      </c>
      <c r="Q43" s="28" t="s">
        <v>240</v>
      </c>
      <c r="R43" s="28" t="s">
        <v>5497</v>
      </c>
      <c r="S43" s="28">
        <v>14.0</v>
      </c>
      <c r="T43" s="28">
        <v>13.0</v>
      </c>
      <c r="U43" s="28">
        <v>34.0</v>
      </c>
      <c r="V43" s="28">
        <v>21.0</v>
      </c>
      <c r="W43" s="28" t="s">
        <v>1173</v>
      </c>
      <c r="X43" s="28" t="s">
        <v>272</v>
      </c>
      <c r="Y43" s="28" t="s">
        <v>5498</v>
      </c>
      <c r="Z43" s="28" t="s">
        <v>5483</v>
      </c>
      <c r="AA43" s="28" t="s">
        <v>457</v>
      </c>
      <c r="AB43" s="28">
        <v>25.0</v>
      </c>
      <c r="AC43" s="28" t="s">
        <v>25</v>
      </c>
      <c r="AD43" s="23"/>
      <c r="AE43" s="28" t="s">
        <v>10</v>
      </c>
      <c r="AF43" s="23" t="str">
        <f>IFERROR(__xludf.DUMMYFUNCTION("TEXTJOIN("", "", TRUE,
  FILTER(Champions!C:C,
    ISNUMBER(SEARCH(C43, Champions!W:W))
  )
)"),"Saima Malik, Prasanna Vijayanathan, Saima Malik (D)")</f>
        <v>Saima Malik, Prasanna Vijayanathan, Saima Malik (D)</v>
      </c>
      <c r="AG43" s="23"/>
      <c r="AH43" s="23" t="str">
        <f>IFERROR(__xludf.DUMMYFUNCTION("IF(
ISNUMBER(MATCH(
C43,
IMPORTRANGE(""https://docs.google.com/spreadsheets/d/1yTh1ELC33JHYOeEdgIiEclxPRyh0zOKtlawDltfUay8"",""'Interns'!A:A""),
0
)),
""Outreach Conducted"",
"""")"),"")</f>
        <v/>
      </c>
      <c r="AI43" s="23"/>
      <c r="AJ43" s="23"/>
      <c r="AK43" s="23" t="str">
        <f>IFERROR(__xludf.DUMMYFUNCTION("XLOOKUP(C43, 
   IMPORTRANGE(""1RdEdgHYrZ33LJ7RUHj_h-qkAFL92bcVjtIdVa-UlsCw"", ""Interns!D:D""), 
   IMPORTRANGE(""1RdEdgHYrZ33LJ7RUHj_h-qkAFL92bcVjtIdVa-UlsCw"", ""Interns!M:M""), 
   ""Not Found"")"),"Contacted")</f>
        <v>Contacted</v>
      </c>
      <c r="AL43" s="23" t="str">
        <f>IFERROR(__xludf.DUMMYFUNCTION("XLOOKUP(C43, 
   IMPORTRANGE(""1RdEdgHYrZ33LJ7RUHj_h-qkAFL92bcVjtIdVa-UlsCw"", ""Interns!D:D""), 
   IMPORTRANGE(""1RdEdgHYrZ33LJ7RUHj_h-qkAFL92bcVjtIdVa-UlsCw"", ""Interns!N:N""), 
   ""Not Found"")"),"#Cheers4Careers")</f>
        <v>#Cheers4Careers</v>
      </c>
      <c r="AM43" s="23" t="str">
        <f>IFERROR(__xludf.DUMMYFUNCTION("XLOOKUP(C43, 
   IMPORTRANGE(""1RdEdgHYrZ33LJ7RUHj_h-qkAFL92bcVjtIdVa-UlsCw"", ""Interns!D:D""), 
   IMPORTRANGE(""1RdEdgHYrZ33LJ7RUHj_h-qkAFL92bcVjtIdVa-UlsCw"", ""Interns!O:O""), 
   ""Not Found"")"),"Hetal reached out by email 3/27")</f>
        <v>Hetal reached out by email 3/27</v>
      </c>
      <c r="AN43" s="23"/>
      <c r="AO43" s="23" t="s">
        <v>833</v>
      </c>
      <c r="AP43" s="28" t="s">
        <v>5191</v>
      </c>
      <c r="AQ43" s="28" t="s">
        <v>5499</v>
      </c>
      <c r="AR43" s="23" t="s">
        <v>5500</v>
      </c>
      <c r="AS43" s="23"/>
      <c r="AT43" s="23"/>
      <c r="AU43" s="23"/>
      <c r="AV43" s="23"/>
    </row>
    <row r="44">
      <c r="A44" s="28" t="s">
        <v>5202</v>
      </c>
      <c r="B44" s="28" t="s">
        <v>5162</v>
      </c>
      <c r="C44" s="23" t="str">
        <f t="shared" si="1"/>
        <v>Tasrifa Sultana</v>
      </c>
      <c r="D44" s="28" t="s">
        <v>5501</v>
      </c>
      <c r="E44" s="28" t="s">
        <v>5502</v>
      </c>
      <c r="F44" s="23">
        <f t="array" ref="F44">IFERROR(
    INDEX('Hub Interns 226'!A:A, MATCH(C44, 'Hub Interns 226'!B:B, 0)),"")</f>
        <v>67</v>
      </c>
      <c r="G44" s="23">
        <f t="array" ref="G44">IFERROR(
    INDEX('Hub Users 226'!A:A, MATCH(C44, 'Hub Users 226'!B:B, 0)),"")</f>
        <v>500</v>
      </c>
      <c r="H44" s="28">
        <v>795.0</v>
      </c>
      <c r="I44" s="28"/>
      <c r="J44" s="28" t="s">
        <v>5416</v>
      </c>
      <c r="K44" s="28" t="s">
        <v>5186</v>
      </c>
      <c r="L44" s="28" t="s">
        <v>5196</v>
      </c>
      <c r="M44" s="56" t="s">
        <v>5503</v>
      </c>
      <c r="N44" s="57">
        <v>44565.62777777778</v>
      </c>
      <c r="O44" s="58">
        <v>38587.0</v>
      </c>
      <c r="P44" s="28">
        <f t="shared" si="6"/>
        <v>20</v>
      </c>
      <c r="Q44" s="28" t="s">
        <v>240</v>
      </c>
      <c r="R44" s="28" t="s">
        <v>5504</v>
      </c>
      <c r="S44" s="28">
        <v>14.0</v>
      </c>
      <c r="T44" s="28">
        <v>34.0</v>
      </c>
      <c r="U44" s="28">
        <v>87.0</v>
      </c>
      <c r="V44" s="28">
        <v>18.0</v>
      </c>
      <c r="W44" s="28" t="s">
        <v>859</v>
      </c>
      <c r="X44" s="28" t="s">
        <v>272</v>
      </c>
      <c r="Y44" s="28" t="s">
        <v>5505</v>
      </c>
      <c r="Z44" s="28" t="s">
        <v>5259</v>
      </c>
      <c r="AA44" s="28" t="s">
        <v>704</v>
      </c>
      <c r="AB44" s="28">
        <v>2.0</v>
      </c>
      <c r="AC44" s="28" t="s">
        <v>24</v>
      </c>
      <c r="AD44" s="23"/>
      <c r="AE44" s="28" t="s">
        <v>10</v>
      </c>
      <c r="AF44" s="23"/>
      <c r="AG44" s="23"/>
      <c r="AH44" s="23" t="str">
        <f>IFERROR(__xludf.DUMMYFUNCTION("IF(
ISNUMBER(MATCH(
C44,
IMPORTRANGE(""https://docs.google.com/spreadsheets/d/1yTh1ELC33JHYOeEdgIiEclxPRyh0zOKtlawDltfUay8"",""'Interns'!A:A""),
0
)),
""Outreach Conducted"",
"""")"),"")</f>
        <v/>
      </c>
      <c r="AI44" s="23"/>
      <c r="AJ44" s="23"/>
      <c r="AK44" s="23" t="str">
        <f>IFERROR(__xludf.DUMMYFUNCTION("XLOOKUP(C44, 
   IMPORTRANGE(""1RdEdgHYrZ33LJ7RUHj_h-qkAFL92bcVjtIdVa-UlsCw"", ""Interns!D:D""), 
   IMPORTRANGE(""1RdEdgHYrZ33LJ7RUHj_h-qkAFL92bcVjtIdVa-UlsCw"", ""Interns!M:M""), 
   ""Not Found"")"),"")</f>
        <v/>
      </c>
      <c r="AL44" s="23" t="str">
        <f>IFERROR(__xludf.DUMMYFUNCTION("XLOOKUP(C44, 
   IMPORTRANGE(""1RdEdgHYrZ33LJ7RUHj_h-qkAFL92bcVjtIdVa-UlsCw"", ""Interns!D:D""), 
   IMPORTRANGE(""1RdEdgHYrZ33LJ7RUHj_h-qkAFL92bcVjtIdVa-UlsCw"", ""Interns!N:N""), 
   ""Not Found"")"),"")</f>
        <v/>
      </c>
      <c r="AM44" s="23" t="str">
        <f>IFERROR(__xludf.DUMMYFUNCTION("XLOOKUP(C44, 
   IMPORTRANGE(""1RdEdgHYrZ33LJ7RUHj_h-qkAFL92bcVjtIdVa-UlsCw"", ""Interns!D:D""), 
   IMPORTRANGE(""1RdEdgHYrZ33LJ7RUHj_h-qkAFL92bcVjtIdVa-UlsCw"", ""Interns!O:O""), 
   ""Not Found"")"),"")</f>
        <v/>
      </c>
      <c r="AN44" s="23"/>
      <c r="AO44" s="23" t="s">
        <v>5506</v>
      </c>
      <c r="AP44" s="28" t="s">
        <v>5182</v>
      </c>
      <c r="AQ44" s="28"/>
      <c r="AR44" s="23"/>
      <c r="AS44" s="23"/>
      <c r="AT44" s="23"/>
      <c r="AU44" s="23"/>
      <c r="AV44" s="23"/>
    </row>
    <row r="45">
      <c r="A45" s="28" t="s">
        <v>5161</v>
      </c>
      <c r="B45" s="28" t="s">
        <v>5162</v>
      </c>
      <c r="C45" s="23" t="str">
        <f t="shared" si="1"/>
        <v>Ayaat Hoque</v>
      </c>
      <c r="D45" s="28" t="s">
        <v>5507</v>
      </c>
      <c r="E45" s="28" t="s">
        <v>5508</v>
      </c>
      <c r="F45" s="23" t="str">
        <f t="array" ref="F45">IFERROR(
    INDEX('Hub Interns 226'!A:A, MATCH(C45, 'Hub Interns 226'!B:B, 0)),"")</f>
        <v/>
      </c>
      <c r="G45" s="23">
        <f t="array" ref="G45">IFERROR(
    INDEX('Hub Users 226'!A:A, MATCH(C45, 'Hub Users 226'!B:B, 0)),"")</f>
        <v>2044</v>
      </c>
      <c r="H45" s="28">
        <v>1841.0</v>
      </c>
      <c r="I45" s="28" t="s">
        <v>260</v>
      </c>
      <c r="J45" s="28" t="s">
        <v>5416</v>
      </c>
      <c r="K45" s="28" t="s">
        <v>5186</v>
      </c>
      <c r="L45" s="28" t="s">
        <v>5196</v>
      </c>
      <c r="M45" s="56" t="s">
        <v>5509</v>
      </c>
      <c r="N45" s="57">
        <v>45503.981944444444</v>
      </c>
      <c r="O45" s="58">
        <v>40996.0</v>
      </c>
      <c r="P45" s="28">
        <f t="shared" si="6"/>
        <v>14</v>
      </c>
      <c r="Q45" s="28" t="s">
        <v>240</v>
      </c>
      <c r="R45" s="28" t="s">
        <v>5510</v>
      </c>
      <c r="S45" s="28">
        <v>6.0</v>
      </c>
      <c r="T45" s="28">
        <v>12.0</v>
      </c>
      <c r="U45" s="28">
        <v>30.0</v>
      </c>
      <c r="V45" s="28">
        <v>26.0</v>
      </c>
      <c r="W45" s="28" t="s">
        <v>1173</v>
      </c>
      <c r="X45" s="28" t="s">
        <v>272</v>
      </c>
      <c r="Y45" s="28" t="s">
        <v>5511</v>
      </c>
      <c r="Z45" s="23"/>
      <c r="AA45" s="28" t="s">
        <v>5512</v>
      </c>
      <c r="AB45" s="28">
        <v>30.0</v>
      </c>
      <c r="AC45" s="28" t="s">
        <v>23</v>
      </c>
      <c r="AD45" s="23"/>
      <c r="AE45" s="28" t="s">
        <v>19</v>
      </c>
      <c r="AF45" s="23"/>
      <c r="AG45" s="23"/>
      <c r="AH45" s="23" t="str">
        <f>IFERROR(__xludf.DUMMYFUNCTION("IF(
ISNUMBER(MATCH(
C45,
IMPORTRANGE(""https://docs.google.com/spreadsheets/d/1yTh1ELC33JHYOeEdgIiEclxPRyh0zOKtlawDltfUay8"",""'Interns'!A:A""),
0
)),
""Outreach Conducted"",
"""")"),"")</f>
        <v/>
      </c>
      <c r="AI45" s="23"/>
      <c r="AJ45" s="28" t="s">
        <v>5513</v>
      </c>
      <c r="AK45" s="23" t="str">
        <f>IFERROR(__xludf.DUMMYFUNCTION("XLOOKUP(C45, 
   IMPORTRANGE(""1RdEdgHYrZ33LJ7RUHj_h-qkAFL92bcVjtIdVa-UlsCw"", ""Interns!D:D""), 
   IMPORTRANGE(""1RdEdgHYrZ33LJ7RUHj_h-qkAFL92bcVjtIdVa-UlsCw"", ""Interns!M:M""), 
   ""Not Found"")"),"Contacted")</f>
        <v>Contacted</v>
      </c>
      <c r="AL45" s="23" t="str">
        <f>IFERROR(__xludf.DUMMYFUNCTION("XLOOKUP(C45, 
   IMPORTRANGE(""1RdEdgHYrZ33LJ7RUHj_h-qkAFL92bcVjtIdVa-UlsCw"", ""Interns!D:D""), 
   IMPORTRANGE(""1RdEdgHYrZ33LJ7RUHj_h-qkAFL92bcVjtIdVa-UlsCw"", ""Interns!N:N""), 
   ""Not Found"")"),"#Cheers4Careers")</f>
        <v>#Cheers4Careers</v>
      </c>
      <c r="AM45" s="23" t="str">
        <f>IFERROR(__xludf.DUMMYFUNCTION("XLOOKUP(C45, 
   IMPORTRANGE(""1RdEdgHYrZ33LJ7RUHj_h-qkAFL92bcVjtIdVa-UlsCw"", ""Interns!D:D""), 
   IMPORTRANGE(""1RdEdgHYrZ33LJ7RUHj_h-qkAFL92bcVjtIdVa-UlsCw"", ""Interns!O:O""), 
   ""Not Found"")"),"Hetal reached out March 27 for March #Cheers4 Careers ")</f>
        <v>Hetal reached out March 27 for March #Cheers4 Careers </v>
      </c>
      <c r="AN45" s="23"/>
      <c r="AO45" s="23" t="s">
        <v>5514</v>
      </c>
      <c r="AP45" s="28" t="s">
        <v>5182</v>
      </c>
      <c r="AQ45" s="28" t="s">
        <v>5515</v>
      </c>
      <c r="AR45" s="23">
        <v>7.187754516E9</v>
      </c>
      <c r="AS45" s="23"/>
      <c r="AT45" s="23"/>
      <c r="AU45" s="23"/>
      <c r="AV45" s="23"/>
    </row>
    <row r="46">
      <c r="A46" s="28" t="s">
        <v>5161</v>
      </c>
      <c r="B46" s="28" t="s">
        <v>5162</v>
      </c>
      <c r="C46" s="23" t="str">
        <f t="shared" si="1"/>
        <v>Ayman Rahat</v>
      </c>
      <c r="D46" s="22" t="s">
        <v>5516</v>
      </c>
      <c r="E46" s="22" t="s">
        <v>5517</v>
      </c>
      <c r="F46" s="23"/>
      <c r="G46" s="23"/>
      <c r="H46" s="22">
        <v>1984.0</v>
      </c>
      <c r="I46" s="28"/>
      <c r="J46" s="28" t="s">
        <v>5416</v>
      </c>
      <c r="K46" s="28" t="s">
        <v>5186</v>
      </c>
      <c r="L46" s="28" t="s">
        <v>5165</v>
      </c>
      <c r="M46" s="29" t="s">
        <v>5518</v>
      </c>
      <c r="N46" s="61">
        <v>45632.39166666667</v>
      </c>
      <c r="O46" s="25">
        <v>40793.0</v>
      </c>
      <c r="P46" s="28">
        <f t="shared" si="6"/>
        <v>14</v>
      </c>
      <c r="Q46" s="62" t="s">
        <v>240</v>
      </c>
      <c r="R46" s="22" t="s">
        <v>5519</v>
      </c>
      <c r="S46" s="28">
        <v>6.0</v>
      </c>
      <c r="T46" s="28">
        <v>12.0</v>
      </c>
      <c r="U46" s="28">
        <v>30.0</v>
      </c>
      <c r="V46" s="28">
        <v>25.0</v>
      </c>
      <c r="W46" s="28" t="s">
        <v>1173</v>
      </c>
      <c r="X46" s="28" t="s">
        <v>272</v>
      </c>
      <c r="Y46" s="22">
        <v>9.176055801E9</v>
      </c>
      <c r="Z46" s="22" t="s">
        <v>5520</v>
      </c>
      <c r="AA46" s="28" t="s">
        <v>5171</v>
      </c>
      <c r="AB46" s="28">
        <v>30.0</v>
      </c>
      <c r="AC46" s="28" t="s">
        <v>23</v>
      </c>
      <c r="AD46" s="23"/>
      <c r="AE46" s="28" t="s">
        <v>19</v>
      </c>
      <c r="AF46" s="23"/>
      <c r="AG46" s="23"/>
      <c r="AH46" s="23" t="str">
        <f>IFERROR(__xludf.DUMMYFUNCTION("IF(
ISNUMBER(MATCH(
C46,
IMPORTRANGE(""https://docs.google.com/spreadsheets/d/1yTh1ELC33JHYOeEdgIiEclxPRyh0zOKtlawDltfUay8"",""'Interns'!A:A""),
0
)),
""Outreach Conducted"",
"""")"),"")</f>
        <v/>
      </c>
      <c r="AI46" s="23"/>
      <c r="AJ46" s="23"/>
      <c r="AK46" s="23"/>
      <c r="AL46" s="23" t="str">
        <f>IFERROR(__xludf.DUMMYFUNCTION("XLOOKUP(C46, 
   IMPORTRANGE(""1RdEdgHYrZ33LJ7RUHj_h-qkAFL92bcVjtIdVa-UlsCw"", ""Interns!D:D""), 
   IMPORTRANGE(""1RdEdgHYrZ33LJ7RUHj_h-qkAFL92bcVjtIdVa-UlsCw"", ""Interns!N:N""), 
   ""Not Found"")"),"Not Found")</f>
        <v>Not Found</v>
      </c>
      <c r="AM46" s="23" t="str">
        <f>IFERROR(__xludf.DUMMYFUNCTION("XLOOKUP(C46, 
   IMPORTRANGE(""1RdEdgHYrZ33LJ7RUHj_h-qkAFL92bcVjtIdVa-UlsCw"", ""Interns!D:D""), 
   IMPORTRANGE(""1RdEdgHYrZ33LJ7RUHj_h-qkAFL92bcVjtIdVa-UlsCw"", ""Interns!O:O""), 
   ""Not Found"")"),"Not Found")</f>
        <v>Not Found</v>
      </c>
      <c r="AN46" s="23"/>
      <c r="AO46" s="23" t="s">
        <v>5521</v>
      </c>
      <c r="AP46" s="28" t="s">
        <v>5191</v>
      </c>
      <c r="AQ46" s="28" t="s">
        <v>5522</v>
      </c>
      <c r="AR46" s="23">
        <v>9.176055801E9</v>
      </c>
      <c r="AS46" s="23"/>
      <c r="AT46" s="23"/>
      <c r="AU46" s="23"/>
      <c r="AV46" s="23"/>
    </row>
    <row r="47">
      <c r="A47" s="28" t="s">
        <v>5202</v>
      </c>
      <c r="B47" s="28" t="s">
        <v>5162</v>
      </c>
      <c r="C47" s="23" t="str">
        <f t="shared" si="1"/>
        <v>Thanwer Mahmud</v>
      </c>
      <c r="D47" s="28" t="s">
        <v>5523</v>
      </c>
      <c r="E47" s="28" t="s">
        <v>5524</v>
      </c>
      <c r="F47" s="23">
        <f t="array" ref="F47">IFERROR(
    INDEX('Hub Interns 226'!A:A, MATCH(C47, 'Hub Interns 226'!B:B, 0)),"")</f>
        <v>1145</v>
      </c>
      <c r="G47" s="23">
        <f t="array" ref="G47">IFERROR(
    INDEX('Hub Users 226'!A:A, MATCH(C47, 'Hub Users 226'!B:B, 0)),"")</f>
        <v>1578</v>
      </c>
      <c r="H47" s="28">
        <v>466.0</v>
      </c>
      <c r="I47" s="28" t="s">
        <v>260</v>
      </c>
      <c r="J47" s="28" t="s">
        <v>5416</v>
      </c>
      <c r="K47" s="28" t="s">
        <v>5186</v>
      </c>
      <c r="L47" s="28" t="s">
        <v>5165</v>
      </c>
      <c r="M47" s="56" t="s">
        <v>5525</v>
      </c>
      <c r="N47" s="57">
        <v>44361.43472222222</v>
      </c>
      <c r="O47" s="58">
        <v>37240.0</v>
      </c>
      <c r="P47" s="28">
        <f t="shared" si="6"/>
        <v>24</v>
      </c>
      <c r="Q47" s="28" t="s">
        <v>5526</v>
      </c>
      <c r="R47" s="28" t="s">
        <v>5527</v>
      </c>
      <c r="S47" s="28">
        <v>14.0</v>
      </c>
      <c r="T47" s="28">
        <v>32.0</v>
      </c>
      <c r="U47" s="28">
        <v>85.0</v>
      </c>
      <c r="V47" s="28">
        <v>17.0</v>
      </c>
      <c r="W47" s="28" t="s">
        <v>859</v>
      </c>
      <c r="X47" s="28" t="s">
        <v>272</v>
      </c>
      <c r="Y47" s="28" t="s">
        <v>5528</v>
      </c>
      <c r="Z47" s="28" t="s">
        <v>5208</v>
      </c>
      <c r="AA47" s="28" t="s">
        <v>2141</v>
      </c>
      <c r="AB47" s="28">
        <v>8.0</v>
      </c>
      <c r="AC47" s="28" t="s">
        <v>25</v>
      </c>
      <c r="AD47" s="23"/>
      <c r="AE47" s="28" t="s">
        <v>10</v>
      </c>
      <c r="AF47" s="23" t="str">
        <f>IFERROR(__xludf.DUMMYFUNCTION("TEXTJOIN("", "", TRUE,
  FILTER(Champions!C:C,
    ISNUMBER(SEARCH(C47, Champions!W:W))
  )
)"),"#N/A")</f>
        <v>#N/A</v>
      </c>
      <c r="AG47" s="23"/>
      <c r="AH47" s="23" t="str">
        <f>IFERROR(__xludf.DUMMYFUNCTION("IF(
ISNUMBER(MATCH(
C47,
IMPORTRANGE(""https://docs.google.com/spreadsheets/d/1yTh1ELC33JHYOeEdgIiEclxPRyh0zOKtlawDltfUay8"",""'Interns'!A:A""),
0
)),
""Outreach Conducted"",
"""")"),"")</f>
        <v/>
      </c>
      <c r="AI47" s="23"/>
      <c r="AJ47" s="23"/>
      <c r="AK47" s="23" t="str">
        <f>IFERROR(__xludf.DUMMYFUNCTION("XLOOKUP(C47, 
   IMPORTRANGE(""1RdEdgHYrZ33LJ7RUHj_h-qkAFL92bcVjtIdVa-UlsCw"", ""Interns!D:D""), 
   IMPORTRANGE(""1RdEdgHYrZ33LJ7RUHj_h-qkAFL92bcVjtIdVa-UlsCw"", ""Interns!M:M""), 
   ""Not Found"")"),"")</f>
        <v/>
      </c>
      <c r="AL47" s="23" t="str">
        <f>IFERROR(__xludf.DUMMYFUNCTION("XLOOKUP(C47, 
   IMPORTRANGE(""1RdEdgHYrZ33LJ7RUHj_h-qkAFL92bcVjtIdVa-UlsCw"", ""Interns!D:D""), 
   IMPORTRANGE(""1RdEdgHYrZ33LJ7RUHj_h-qkAFL92bcVjtIdVa-UlsCw"", ""Interns!N:N""), 
   ""Not Found"")"),"")</f>
        <v/>
      </c>
      <c r="AM47" s="23" t="str">
        <f>IFERROR(__xludf.DUMMYFUNCTION("XLOOKUP(C47, 
   IMPORTRANGE(""1RdEdgHYrZ33LJ7RUHj_h-qkAFL92bcVjtIdVa-UlsCw"", ""Interns!D:D""), 
   IMPORTRANGE(""1RdEdgHYrZ33LJ7RUHj_h-qkAFL92bcVjtIdVa-UlsCw"", ""Interns!O:O""), 
   ""Not Found"")"),"")</f>
        <v/>
      </c>
      <c r="AN47" s="23"/>
      <c r="AO47" s="23" t="s">
        <v>5529</v>
      </c>
      <c r="AP47" s="28" t="s">
        <v>5191</v>
      </c>
      <c r="AQ47" s="28" t="s">
        <v>5530</v>
      </c>
      <c r="AR47" s="23" t="s">
        <v>5528</v>
      </c>
      <c r="AS47" s="23"/>
      <c r="AT47" s="23"/>
      <c r="AU47" s="23"/>
      <c r="AV47" s="23"/>
    </row>
    <row r="48">
      <c r="A48" s="28" t="s">
        <v>5161</v>
      </c>
      <c r="B48" s="28" t="s">
        <v>5162</v>
      </c>
      <c r="C48" s="23" t="str">
        <f t="shared" si="1"/>
        <v>Nabiha Momin</v>
      </c>
      <c r="D48" s="22" t="s">
        <v>5531</v>
      </c>
      <c r="E48" s="22" t="s">
        <v>5532</v>
      </c>
      <c r="F48" s="23"/>
      <c r="G48" s="23"/>
      <c r="H48" s="22">
        <v>1998.0</v>
      </c>
      <c r="I48" s="28"/>
      <c r="J48" s="28" t="s">
        <v>5416</v>
      </c>
      <c r="K48" s="28" t="s">
        <v>5186</v>
      </c>
      <c r="L48" s="28" t="s">
        <v>5196</v>
      </c>
      <c r="M48" s="29" t="s">
        <v>5533</v>
      </c>
      <c r="N48" s="63">
        <v>45615.51111111111</v>
      </c>
      <c r="O48" s="25">
        <v>41627.0</v>
      </c>
      <c r="P48" s="28">
        <f t="shared" si="6"/>
        <v>12</v>
      </c>
      <c r="Q48" s="62" t="s">
        <v>5534</v>
      </c>
      <c r="R48" s="22" t="s">
        <v>5535</v>
      </c>
      <c r="S48" s="28">
        <v>6.0</v>
      </c>
      <c r="T48" s="28">
        <v>12.0</v>
      </c>
      <c r="U48" s="28">
        <v>30.0</v>
      </c>
      <c r="V48" s="28">
        <v>26.0</v>
      </c>
      <c r="W48" s="28" t="s">
        <v>1173</v>
      </c>
      <c r="X48" s="28" t="s">
        <v>272</v>
      </c>
      <c r="Y48" s="22">
        <v>7.183141566E9</v>
      </c>
      <c r="Z48" s="22" t="s">
        <v>5536</v>
      </c>
      <c r="AA48" s="28" t="s">
        <v>5287</v>
      </c>
      <c r="AB48" s="28">
        <v>26.0</v>
      </c>
      <c r="AC48" s="28" t="s">
        <v>27</v>
      </c>
      <c r="AD48" s="23"/>
      <c r="AE48" s="28" t="s">
        <v>19</v>
      </c>
      <c r="AF48" s="23"/>
      <c r="AG48" s="23"/>
      <c r="AH48" s="23" t="str">
        <f>IFERROR(__xludf.DUMMYFUNCTION("IF(
ISNUMBER(MATCH(
C48,
IMPORTRANGE(""https://docs.google.com/spreadsheets/d/1yTh1ELC33JHYOeEdgIiEclxPRyh0zOKtlawDltfUay8"",""'Interns'!A:A""),
0
)),
""Outreach Conducted"",
"""")"),"")</f>
        <v/>
      </c>
      <c r="AI48" s="23"/>
      <c r="AJ48" s="23"/>
      <c r="AK48" s="23"/>
      <c r="AL48" s="23" t="str">
        <f>IFERROR(__xludf.DUMMYFUNCTION("XLOOKUP(C48, 
   IMPORTRANGE(""1RdEdgHYrZ33LJ7RUHj_h-qkAFL92bcVjtIdVa-UlsCw"", ""Interns!D:D""), 
   IMPORTRANGE(""1RdEdgHYrZ33LJ7RUHj_h-qkAFL92bcVjtIdVa-UlsCw"", ""Interns!N:N""), 
   ""Not Found"")"),"Not Found")</f>
        <v>Not Found</v>
      </c>
      <c r="AM48" s="23" t="str">
        <f>IFERROR(__xludf.DUMMYFUNCTION("XLOOKUP(C48, 
   IMPORTRANGE(""1RdEdgHYrZ33LJ7RUHj_h-qkAFL92bcVjtIdVa-UlsCw"", ""Interns!D:D""), 
   IMPORTRANGE(""1RdEdgHYrZ33LJ7RUHj_h-qkAFL92bcVjtIdVa-UlsCw"", ""Interns!O:O""), 
   ""Not Found"")"),"Not Found")</f>
        <v>Not Found</v>
      </c>
      <c r="AN48" s="23"/>
      <c r="AO48" s="23" t="s">
        <v>5537</v>
      </c>
      <c r="AP48" s="28" t="s">
        <v>5182</v>
      </c>
      <c r="AQ48" s="28" t="s">
        <v>5538</v>
      </c>
      <c r="AR48" s="23">
        <v>7.183141566E9</v>
      </c>
      <c r="AS48" s="23"/>
      <c r="AT48" s="23"/>
      <c r="AU48" s="23"/>
      <c r="AV48" s="23"/>
    </row>
    <row r="49">
      <c r="A49" s="28" t="s">
        <v>5161</v>
      </c>
      <c r="B49" s="28" t="s">
        <v>5162</v>
      </c>
      <c r="C49" s="23" t="str">
        <f t="shared" si="1"/>
        <v>Niloy Ahmed</v>
      </c>
      <c r="D49" s="28" t="s">
        <v>5539</v>
      </c>
      <c r="E49" s="28" t="s">
        <v>237</v>
      </c>
      <c r="F49" s="23">
        <f t="array" ref="F49">IFERROR(
    INDEX('Hub Interns 226'!A:A, MATCH(C49, 'Hub Interns 226'!B:B, 0)),"")</f>
        <v>937</v>
      </c>
      <c r="G49" s="23">
        <f t="array" ref="G49">IFERROR(
    INDEX('Hub Users 226'!A:A, MATCH(C49, 'Hub Users 226'!B:B, 0)),"")</f>
        <v>1370</v>
      </c>
      <c r="H49" s="28">
        <v>779.0</v>
      </c>
      <c r="I49" s="28" t="s">
        <v>290</v>
      </c>
      <c r="J49" s="28" t="s">
        <v>5416</v>
      </c>
      <c r="K49" s="28" t="s">
        <v>5186</v>
      </c>
      <c r="L49" s="28" t="s">
        <v>5165</v>
      </c>
      <c r="M49" s="56" t="s">
        <v>5540</v>
      </c>
      <c r="N49" s="59">
        <v>44553.489583333336</v>
      </c>
      <c r="O49" s="58">
        <v>38571.0</v>
      </c>
      <c r="P49" s="28">
        <f t="shared" si="6"/>
        <v>20</v>
      </c>
      <c r="Q49" s="28" t="s">
        <v>240</v>
      </c>
      <c r="R49" s="28" t="s">
        <v>5541</v>
      </c>
      <c r="S49" s="28">
        <v>6.0</v>
      </c>
      <c r="T49" s="28">
        <v>13.0</v>
      </c>
      <c r="U49" s="28">
        <v>39.0</v>
      </c>
      <c r="V49" s="28">
        <v>25.0</v>
      </c>
      <c r="W49" s="28" t="s">
        <v>1173</v>
      </c>
      <c r="X49" s="28" t="s">
        <v>272</v>
      </c>
      <c r="Y49" s="28" t="s">
        <v>5542</v>
      </c>
      <c r="Z49" s="28" t="s">
        <v>5483</v>
      </c>
      <c r="AA49" s="28" t="s">
        <v>457</v>
      </c>
      <c r="AB49" s="28">
        <v>25.0</v>
      </c>
      <c r="AC49" s="28" t="s">
        <v>25</v>
      </c>
      <c r="AD49" s="23"/>
      <c r="AE49" s="28" t="s">
        <v>10</v>
      </c>
      <c r="AF49" s="23" t="str">
        <f>IFERROR(__xludf.DUMMYFUNCTION("TEXTJOIN("", "", TRUE,
  FILTER(Champions!C:C,
    ISNUMBER(SEARCH(C49, Champions!W:W))
  )
)"),"Oheneba Afriyie, Sahabia Ahmed")</f>
        <v>Oheneba Afriyie, Sahabia Ahmed</v>
      </c>
      <c r="AG49" s="23"/>
      <c r="AH49" s="23" t="str">
        <f>IFERROR(__xludf.DUMMYFUNCTION("IF(
ISNUMBER(MATCH(
C49,
IMPORTRANGE(""https://docs.google.com/spreadsheets/d/1yTh1ELC33JHYOeEdgIiEclxPRyh0zOKtlawDltfUay8"",""'Interns'!A:A""),
0
)),
""Outreach Conducted"",
"""")"),"")</f>
        <v/>
      </c>
      <c r="AI49" s="23"/>
      <c r="AJ49" s="23"/>
      <c r="AK49" s="23" t="str">
        <f>IFERROR(__xludf.DUMMYFUNCTION("XLOOKUP(C49, 
   IMPORTRANGE(""1RdEdgHYrZ33LJ7RUHj_h-qkAFL92bcVjtIdVa-UlsCw"", ""Interns!D:D""), 
   IMPORTRANGE(""1RdEdgHYrZ33LJ7RUHj_h-qkAFL92bcVjtIdVa-UlsCw"", ""Interns!M:M""), 
   ""Not Found"")"),"Contacted")</f>
        <v>Contacted</v>
      </c>
      <c r="AL49" s="23" t="str">
        <f>IFERROR(__xludf.DUMMYFUNCTION("XLOOKUP(C49, 
   IMPORTRANGE(""1RdEdgHYrZ33LJ7RUHj_h-qkAFL92bcVjtIdVa-UlsCw"", ""Interns!D:D""), 
   IMPORTRANGE(""1RdEdgHYrZ33LJ7RUHj_h-qkAFL92bcVjtIdVa-UlsCw"", ""Interns!N:N""), 
   ""Not Found"")"),"#Cheers4Careers")</f>
        <v>#Cheers4Careers</v>
      </c>
      <c r="AM49" s="23" t="str">
        <f>IFERROR(__xludf.DUMMYFUNCTION("XLOOKUP(C49, 
   IMPORTRANGE(""1RdEdgHYrZ33LJ7RUHj_h-qkAFL92bcVjtIdVa-UlsCw"", ""Interns!D:D""), 
   IMPORTRANGE(""1RdEdgHYrZ33LJ7RUHj_h-qkAFL92bcVjtIdVa-UlsCw"", ""Interns!O:O""), 
   ""Not Found"")"),"Hetal reached out by email 3/27")</f>
        <v>Hetal reached out by email 3/27</v>
      </c>
      <c r="AN49" s="23"/>
      <c r="AO49" s="23" t="s">
        <v>5543</v>
      </c>
      <c r="AP49" s="28" t="s">
        <v>5182</v>
      </c>
      <c r="AQ49" s="28" t="s">
        <v>5544</v>
      </c>
      <c r="AR49" s="23" t="s">
        <v>5545</v>
      </c>
      <c r="AS49" s="23"/>
      <c r="AT49" s="23"/>
      <c r="AU49" s="23"/>
      <c r="AV49" s="23"/>
    </row>
    <row r="50">
      <c r="A50" s="28" t="s">
        <v>5161</v>
      </c>
      <c r="B50" s="28" t="s">
        <v>5162</v>
      </c>
      <c r="C50" s="23" t="str">
        <f t="shared" si="1"/>
        <v>Shafayata (Chefonfire) Ahmmed</v>
      </c>
      <c r="D50" s="22" t="s">
        <v>5546</v>
      </c>
      <c r="E50" s="22" t="s">
        <v>5547</v>
      </c>
      <c r="F50" s="23"/>
      <c r="G50" s="23"/>
      <c r="H50" s="22">
        <v>2013.0</v>
      </c>
      <c r="I50" s="28"/>
      <c r="J50" s="28" t="s">
        <v>5416</v>
      </c>
      <c r="K50" s="28" t="s">
        <v>5186</v>
      </c>
      <c r="L50" s="28" t="s">
        <v>5165</v>
      </c>
      <c r="M50" s="29" t="s">
        <v>5548</v>
      </c>
      <c r="N50" s="63">
        <v>45615.50833333333</v>
      </c>
      <c r="O50" s="25">
        <v>41359.0</v>
      </c>
      <c r="P50" s="28">
        <f t="shared" si="6"/>
        <v>13</v>
      </c>
      <c r="Q50" s="62" t="s">
        <v>5549</v>
      </c>
      <c r="R50" s="22" t="s">
        <v>5550</v>
      </c>
      <c r="S50" s="28">
        <v>7.0</v>
      </c>
      <c r="T50" s="28">
        <v>12.0</v>
      </c>
      <c r="U50" s="28">
        <v>37.0</v>
      </c>
      <c r="V50" s="28">
        <v>26.0</v>
      </c>
      <c r="W50" s="28" t="s">
        <v>1173</v>
      </c>
      <c r="X50" s="28" t="s">
        <v>272</v>
      </c>
      <c r="Y50" s="64"/>
      <c r="Z50" s="22" t="s">
        <v>5536</v>
      </c>
      <c r="AA50" s="28" t="s">
        <v>5287</v>
      </c>
      <c r="AB50" s="28">
        <v>26.0</v>
      </c>
      <c r="AC50" s="28" t="s">
        <v>27</v>
      </c>
      <c r="AD50" s="23"/>
      <c r="AE50" s="28" t="s">
        <v>19</v>
      </c>
      <c r="AF50" s="23"/>
      <c r="AG50" s="23"/>
      <c r="AH50" s="23" t="str">
        <f>IFERROR(__xludf.DUMMYFUNCTION("IF(
ISNUMBER(MATCH(
C50,
IMPORTRANGE(""https://docs.google.com/spreadsheets/d/1yTh1ELC33JHYOeEdgIiEclxPRyh0zOKtlawDltfUay8"",""'Interns'!A:A""),
0
)),
""Outreach Conducted"",
"""")"),"")</f>
        <v/>
      </c>
      <c r="AI50" s="23"/>
      <c r="AJ50" s="23"/>
      <c r="AK50" s="23" t="str">
        <f>IFERROR(__xludf.DUMMYFUNCTION("XLOOKUP(C50, 
   IMPORTRANGE(""1RdEdgHYrZ33LJ7RUHj_h-qkAFL92bcVjtIdVa-UlsCw"", ""Interns!D:D""), 
   IMPORTRANGE(""1RdEdgHYrZ33LJ7RUHj_h-qkAFL92bcVjtIdVa-UlsCw"", ""Interns!M:M""), 
   ""Not Found"")"),"Not Found")</f>
        <v>Not Found</v>
      </c>
      <c r="AL50" s="23" t="str">
        <f>IFERROR(__xludf.DUMMYFUNCTION("XLOOKUP(C50, 
   IMPORTRANGE(""1RdEdgHYrZ33LJ7RUHj_h-qkAFL92bcVjtIdVa-UlsCw"", ""Interns!D:D""), 
   IMPORTRANGE(""1RdEdgHYrZ33LJ7RUHj_h-qkAFL92bcVjtIdVa-UlsCw"", ""Interns!N:N""), 
   ""Not Found"")"),"Not Found")</f>
        <v>Not Found</v>
      </c>
      <c r="AM50" s="23" t="str">
        <f>IFERROR(__xludf.DUMMYFUNCTION("XLOOKUP(C50, 
   IMPORTRANGE(""1RdEdgHYrZ33LJ7RUHj_h-qkAFL92bcVjtIdVa-UlsCw"", ""Interns!D:D""), 
   IMPORTRANGE(""1RdEdgHYrZ33LJ7RUHj_h-qkAFL92bcVjtIdVa-UlsCw"", ""Interns!O:O""), 
   ""Not Found"")"),"Not Found")</f>
        <v>Not Found</v>
      </c>
      <c r="AN50" s="23"/>
      <c r="AO50" s="23" t="s">
        <v>5551</v>
      </c>
      <c r="AP50" s="28" t="s">
        <v>5182</v>
      </c>
      <c r="AQ50" s="28" t="s">
        <v>5552</v>
      </c>
      <c r="AR50" s="23">
        <v>9.296374188E9</v>
      </c>
      <c r="AS50" s="23"/>
      <c r="AT50" s="23"/>
      <c r="AU50" s="23"/>
      <c r="AV50" s="23"/>
    </row>
    <row r="51">
      <c r="A51" s="28"/>
      <c r="B51" s="28" t="s">
        <v>5162</v>
      </c>
      <c r="C51" s="23" t="str">
        <f t="shared" si="1"/>
        <v>Rubaya Nasrin</v>
      </c>
      <c r="D51" s="28" t="s">
        <v>5553</v>
      </c>
      <c r="E51" s="28" t="s">
        <v>5554</v>
      </c>
      <c r="F51" s="23">
        <f t="array" ref="F51">IFERROR(
    INDEX('Hub Interns 226'!A:A, MATCH(C51, 'Hub Interns 226'!B:B, 0)),"")</f>
        <v>1043</v>
      </c>
      <c r="G51" s="23">
        <f t="array" ref="G51">IFERROR(
    INDEX('Hub Users 226'!A:A, MATCH(C51, 'Hub Users 226'!B:B, 0)),"")</f>
        <v>1476</v>
      </c>
      <c r="H51" s="28">
        <v>700.0</v>
      </c>
      <c r="I51" s="28" t="s">
        <v>260</v>
      </c>
      <c r="J51" s="28" t="s">
        <v>5416</v>
      </c>
      <c r="K51" s="28" t="s">
        <v>5186</v>
      </c>
      <c r="L51" s="28" t="s">
        <v>5196</v>
      </c>
      <c r="M51" s="56" t="s">
        <v>5555</v>
      </c>
      <c r="N51" s="59">
        <v>44546.563888888886</v>
      </c>
      <c r="O51" s="58">
        <v>38270.0</v>
      </c>
      <c r="P51" s="28">
        <f t="shared" si="6"/>
        <v>21</v>
      </c>
      <c r="Q51" s="28" t="s">
        <v>240</v>
      </c>
      <c r="R51" s="28" t="s">
        <v>5556</v>
      </c>
      <c r="S51" s="28">
        <v>15.0</v>
      </c>
      <c r="T51" s="28">
        <v>29.0</v>
      </c>
      <c r="U51" s="28">
        <v>84.0</v>
      </c>
      <c r="V51" s="28">
        <v>16.0</v>
      </c>
      <c r="W51" s="28" t="s">
        <v>859</v>
      </c>
      <c r="X51" s="28" t="s">
        <v>272</v>
      </c>
      <c r="Y51" s="28" t="s">
        <v>5557</v>
      </c>
      <c r="Z51" s="28" t="s">
        <v>5558</v>
      </c>
      <c r="AA51" s="28" t="s">
        <v>5559</v>
      </c>
      <c r="AB51" s="28">
        <v>10.0</v>
      </c>
      <c r="AC51" s="28" t="s">
        <v>25</v>
      </c>
      <c r="AD51" s="23"/>
      <c r="AE51" s="28" t="s">
        <v>10</v>
      </c>
      <c r="AF51" s="23" t="str">
        <f>IFERROR(__xludf.DUMMYFUNCTION("TEXTJOIN("", "", TRUE,
  FILTER(Champions!C:C,
    ISNUMBER(SEARCH(C51, Champions!W:W))
  )
)"),"John ?Nico? Johnson")</f>
        <v>John ?Nico? Johnson</v>
      </c>
      <c r="AG51" s="23"/>
      <c r="AH51" s="23" t="str">
        <f>IFERROR(__xludf.DUMMYFUNCTION("IF(
ISNUMBER(MATCH(
C51,
IMPORTRANGE(""https://docs.google.com/spreadsheets/d/1yTh1ELC33JHYOeEdgIiEclxPRyh0zOKtlawDltfUay8"",""'Interns'!A:A""),
0
)),
""Outreach Conducted"",
"""")"),"")</f>
        <v/>
      </c>
      <c r="AI51" s="23"/>
      <c r="AJ51" s="23"/>
      <c r="AK51" s="23" t="str">
        <f>IFERROR(__xludf.DUMMYFUNCTION("XLOOKUP(C51, 
   IMPORTRANGE(""1RdEdgHYrZ33LJ7RUHj_h-qkAFL92bcVjtIdVa-UlsCw"", ""Interns!D:D""), 
   IMPORTRANGE(""1RdEdgHYrZ33LJ7RUHj_h-qkAFL92bcVjtIdVa-UlsCw"", ""Interns!M:M""), 
   ""Not Found"")"),"")</f>
        <v/>
      </c>
      <c r="AL51" s="23" t="str">
        <f>IFERROR(__xludf.DUMMYFUNCTION("XLOOKUP(C51, 
   IMPORTRANGE(""1RdEdgHYrZ33LJ7RUHj_h-qkAFL92bcVjtIdVa-UlsCw"", ""Interns!D:D""), 
   IMPORTRANGE(""1RdEdgHYrZ33LJ7RUHj_h-qkAFL92bcVjtIdVa-UlsCw"", ""Interns!N:N""), 
   ""Not Found"")"),"")</f>
        <v/>
      </c>
      <c r="AM51" s="23" t="str">
        <f>IFERROR(__xludf.DUMMYFUNCTION("XLOOKUP(C51, 
   IMPORTRANGE(""1RdEdgHYrZ33LJ7RUHj_h-qkAFL92bcVjtIdVa-UlsCw"", ""Interns!D:D""), 
   IMPORTRANGE(""1RdEdgHYrZ33LJ7RUHj_h-qkAFL92bcVjtIdVa-UlsCw"", ""Interns!O:O""), 
   ""Not Found"")"),"")</f>
        <v/>
      </c>
      <c r="AN51" s="23"/>
      <c r="AO51" s="23" t="s">
        <v>5560</v>
      </c>
      <c r="AP51" s="28" t="s">
        <v>5191</v>
      </c>
      <c r="AQ51" s="28" t="s">
        <v>5561</v>
      </c>
      <c r="AR51" s="23" t="s">
        <v>5562</v>
      </c>
      <c r="AS51" s="23"/>
      <c r="AT51" s="23"/>
      <c r="AU51" s="23"/>
      <c r="AV51" s="23"/>
    </row>
    <row r="52">
      <c r="A52" s="28" t="s">
        <v>5161</v>
      </c>
      <c r="B52" s="28" t="s">
        <v>5162</v>
      </c>
      <c r="C52" s="23" t="str">
        <f t="shared" si="1"/>
        <v>Muhammad Yusuf</v>
      </c>
      <c r="D52" s="22" t="s">
        <v>647</v>
      </c>
      <c r="E52" s="22" t="s">
        <v>5563</v>
      </c>
      <c r="F52" s="23"/>
      <c r="G52" s="23"/>
      <c r="H52" s="22">
        <v>1915.0</v>
      </c>
      <c r="I52" s="28"/>
      <c r="J52" s="28" t="s">
        <v>5416</v>
      </c>
      <c r="K52" s="28" t="s">
        <v>5186</v>
      </c>
      <c r="L52" s="28" t="s">
        <v>5165</v>
      </c>
      <c r="M52" s="29" t="s">
        <v>5564</v>
      </c>
      <c r="N52" s="61">
        <v>45786.63402777778</v>
      </c>
      <c r="O52" s="25">
        <v>45786.0</v>
      </c>
      <c r="P52" s="28">
        <f t="shared" si="6"/>
        <v>1</v>
      </c>
      <c r="Q52" s="62" t="s">
        <v>240</v>
      </c>
      <c r="R52" s="22" t="s">
        <v>5565</v>
      </c>
      <c r="S52" s="28">
        <v>7.0</v>
      </c>
      <c r="T52" s="28">
        <v>12.0</v>
      </c>
      <c r="U52" s="28">
        <v>37.0</v>
      </c>
      <c r="V52" s="28">
        <v>26.0</v>
      </c>
      <c r="W52" s="28" t="s">
        <v>1173</v>
      </c>
      <c r="X52" s="28" t="s">
        <v>272</v>
      </c>
      <c r="Y52" s="22" t="s">
        <v>5566</v>
      </c>
      <c r="Z52" s="22" t="s">
        <v>5536</v>
      </c>
      <c r="AA52" s="28" t="s">
        <v>5287</v>
      </c>
      <c r="AB52" s="28">
        <v>26.0</v>
      </c>
      <c r="AC52" s="28" t="s">
        <v>22</v>
      </c>
      <c r="AD52" s="23"/>
      <c r="AE52" s="28" t="s">
        <v>19</v>
      </c>
      <c r="AF52" s="23"/>
      <c r="AG52" s="23"/>
      <c r="AH52" s="23" t="str">
        <f>IFERROR(__xludf.DUMMYFUNCTION("IF(
ISNUMBER(MATCH(
C52,
IMPORTRANGE(""https://docs.google.com/spreadsheets/d/1yTh1ELC33JHYOeEdgIiEclxPRyh0zOKtlawDltfUay8"",""'Interns'!A:A""),
0
)),
""Outreach Conducted"",
"""")"),"")</f>
        <v/>
      </c>
      <c r="AI52" s="23"/>
      <c r="AJ52" s="23"/>
      <c r="AK52" s="23"/>
      <c r="AL52" s="23" t="str">
        <f>IFERROR(__xludf.DUMMYFUNCTION("XLOOKUP(C52, 
   IMPORTRANGE(""1RdEdgHYrZ33LJ7RUHj_h-qkAFL92bcVjtIdVa-UlsCw"", ""Interns!D:D""), 
   IMPORTRANGE(""1RdEdgHYrZ33LJ7RUHj_h-qkAFL92bcVjtIdVa-UlsCw"", ""Interns!N:N""), 
   ""Not Found"")"),"#Cheers4Careers")</f>
        <v>#Cheers4Careers</v>
      </c>
      <c r="AM52" s="23" t="str">
        <f>IFERROR(__xludf.DUMMYFUNCTION("XLOOKUP(C52, 
   IMPORTRANGE(""1RdEdgHYrZ33LJ7RUHj_h-qkAFL92bcVjtIdVa-UlsCw"", ""Interns!D:D""), 
   IMPORTRANGE(""1RdEdgHYrZ33LJ7RUHj_h-qkAFL92bcVjtIdVa-UlsCw"", ""Interns!O:O""), 
   ""Not Found"")"),"Hetal reached out by email 3/27, email was blocked")</f>
        <v>Hetal reached out by email 3/27, email was blocked</v>
      </c>
      <c r="AN52" s="23"/>
      <c r="AO52" s="23" t="s">
        <v>5567</v>
      </c>
      <c r="AP52" s="28" t="s">
        <v>5182</v>
      </c>
      <c r="AQ52" s="28" t="s">
        <v>5568</v>
      </c>
      <c r="AR52" s="23"/>
      <c r="AS52" s="23"/>
      <c r="AT52" s="23"/>
      <c r="AU52" s="23"/>
      <c r="AV52" s="23"/>
    </row>
    <row r="53">
      <c r="A53" s="28" t="s">
        <v>5161</v>
      </c>
      <c r="B53" s="28" t="s">
        <v>5162</v>
      </c>
      <c r="C53" s="23" t="str">
        <f t="shared" si="1"/>
        <v>Aiza Azad</v>
      </c>
      <c r="D53" s="22" t="s">
        <v>5569</v>
      </c>
      <c r="E53" s="22" t="s">
        <v>5570</v>
      </c>
      <c r="F53" s="23"/>
      <c r="G53" s="23"/>
      <c r="H53" s="22">
        <v>1961.0</v>
      </c>
      <c r="I53" s="28"/>
      <c r="J53" s="28" t="s">
        <v>5416</v>
      </c>
      <c r="K53" s="28" t="s">
        <v>5186</v>
      </c>
      <c r="L53" s="28" t="s">
        <v>5196</v>
      </c>
      <c r="M53" s="29" t="s">
        <v>5571</v>
      </c>
      <c r="N53" s="61">
        <v>45712.76666666667</v>
      </c>
      <c r="O53" s="25">
        <v>41205.0</v>
      </c>
      <c r="P53" s="28">
        <f t="shared" si="6"/>
        <v>13</v>
      </c>
      <c r="Q53" s="62" t="s">
        <v>240</v>
      </c>
      <c r="R53" s="22" t="s">
        <v>5572</v>
      </c>
      <c r="S53" s="28">
        <v>6.0</v>
      </c>
      <c r="T53" s="28">
        <v>12.0</v>
      </c>
      <c r="U53" s="28">
        <v>30.0</v>
      </c>
      <c r="V53" s="28">
        <v>25.0</v>
      </c>
      <c r="W53" s="28" t="s">
        <v>1173</v>
      </c>
      <c r="X53" s="28" t="s">
        <v>272</v>
      </c>
      <c r="Y53" s="22" t="s">
        <v>5573</v>
      </c>
      <c r="Z53" s="22" t="s">
        <v>5536</v>
      </c>
      <c r="AA53" s="28" t="s">
        <v>5287</v>
      </c>
      <c r="AB53" s="28">
        <v>26.0</v>
      </c>
      <c r="AC53" s="28" t="s">
        <v>22</v>
      </c>
      <c r="AD53" s="23"/>
      <c r="AE53" s="28" t="s">
        <v>19</v>
      </c>
      <c r="AF53" s="23"/>
      <c r="AG53" s="23"/>
      <c r="AH53" s="23" t="str">
        <f>IFERROR(__xludf.DUMMYFUNCTION("IF(
ISNUMBER(MATCH(
C53,
IMPORTRANGE(""https://docs.google.com/spreadsheets/d/1yTh1ELC33JHYOeEdgIiEclxPRyh0zOKtlawDltfUay8"",""'Interns'!A:A""),
0
)),
""Outreach Conducted"",
"""")"),"")</f>
        <v/>
      </c>
      <c r="AI53" s="23"/>
      <c r="AJ53" s="23"/>
      <c r="AK53" s="23"/>
      <c r="AL53" s="23" t="str">
        <f>IFERROR(__xludf.DUMMYFUNCTION("XLOOKUP(C53, 
   IMPORTRANGE(""1RdEdgHYrZ33LJ7RUHj_h-qkAFL92bcVjtIdVa-UlsCw"", ""Interns!D:D""), 
   IMPORTRANGE(""1RdEdgHYrZ33LJ7RUHj_h-qkAFL92bcVjtIdVa-UlsCw"", ""Interns!N:N""), 
   ""Not Found"")"),"#Cheers4Careers")</f>
        <v>#Cheers4Careers</v>
      </c>
      <c r="AM53" s="23" t="str">
        <f>IFERROR(__xludf.DUMMYFUNCTION("XLOOKUP(C53, 
   IMPORTRANGE(""1RdEdgHYrZ33LJ7RUHj_h-qkAFL92bcVjtIdVa-UlsCw"", ""Interns!D:D""), 
   IMPORTRANGE(""1RdEdgHYrZ33LJ7RUHj_h-qkAFL92bcVjtIdVa-UlsCw"", ""Interns!O:O""), 
   ""Not Found"")"),"Hetal reached out March 27 for March #Cheers4 Careers ")</f>
        <v>Hetal reached out March 27 for March #Cheers4 Careers </v>
      </c>
      <c r="AN53" s="23"/>
      <c r="AO53" s="23" t="s">
        <v>5574</v>
      </c>
      <c r="AP53" s="28" t="s">
        <v>5182</v>
      </c>
      <c r="AQ53" s="28" t="s">
        <v>5575</v>
      </c>
      <c r="AR53" s="23" t="s">
        <v>5576</v>
      </c>
      <c r="AS53" s="23"/>
      <c r="AT53" s="23"/>
      <c r="AU53" s="23"/>
      <c r="AV53" s="23"/>
    </row>
    <row r="54">
      <c r="A54" s="28" t="s">
        <v>5161</v>
      </c>
      <c r="B54" s="28" t="s">
        <v>5162</v>
      </c>
      <c r="C54" s="23" t="str">
        <f t="shared" si="1"/>
        <v>ABAAN ABAAN</v>
      </c>
      <c r="D54" s="22" t="s">
        <v>5577</v>
      </c>
      <c r="E54" s="22" t="s">
        <v>5577</v>
      </c>
      <c r="F54" s="23"/>
      <c r="G54" s="23"/>
      <c r="H54" s="22">
        <v>1958.0</v>
      </c>
      <c r="I54" s="28"/>
      <c r="J54" s="28" t="s">
        <v>5416</v>
      </c>
      <c r="K54" s="28" t="s">
        <v>5186</v>
      </c>
      <c r="L54" s="28" t="s">
        <v>5165</v>
      </c>
      <c r="M54" s="29" t="s">
        <v>5578</v>
      </c>
      <c r="N54" s="61">
        <v>45714.97777777778</v>
      </c>
      <c r="O54" s="25">
        <v>40858.0</v>
      </c>
      <c r="P54" s="28">
        <f t="shared" si="6"/>
        <v>14</v>
      </c>
      <c r="Q54" s="62" t="s">
        <v>5579</v>
      </c>
      <c r="R54" s="22" t="s">
        <v>5580</v>
      </c>
      <c r="S54" s="28">
        <v>7.0</v>
      </c>
      <c r="T54" s="28">
        <v>12.0</v>
      </c>
      <c r="U54" s="28">
        <v>37.0</v>
      </c>
      <c r="V54" s="28">
        <v>26.0</v>
      </c>
      <c r="W54" s="28" t="s">
        <v>1173</v>
      </c>
      <c r="X54" s="28" t="s">
        <v>272</v>
      </c>
      <c r="Y54" s="24"/>
      <c r="Z54" s="22" t="s">
        <v>5536</v>
      </c>
      <c r="AA54" s="28" t="s">
        <v>5287</v>
      </c>
      <c r="AB54" s="28">
        <v>26.0</v>
      </c>
      <c r="AC54" s="28" t="s">
        <v>22</v>
      </c>
      <c r="AD54" s="23"/>
      <c r="AE54" s="28" t="s">
        <v>19</v>
      </c>
      <c r="AF54" s="23"/>
      <c r="AG54" s="23"/>
      <c r="AH54" s="23" t="str">
        <f>IFERROR(__xludf.DUMMYFUNCTION("IF(
ISNUMBER(MATCH(
C54,
IMPORTRANGE(""https://docs.google.com/spreadsheets/d/1yTh1ELC33JHYOeEdgIiEclxPRyh0zOKtlawDltfUay8"",""'Interns'!A:A""),
0
)),
""Outreach Conducted"",
"""")"),"")</f>
        <v/>
      </c>
      <c r="AI54" s="23"/>
      <c r="AJ54" s="23"/>
      <c r="AK54" s="23"/>
      <c r="AL54" s="23" t="str">
        <f>IFERROR(__xludf.DUMMYFUNCTION("XLOOKUP(C54, 
   IMPORTRANGE(""1RdEdgHYrZ33LJ7RUHj_h-qkAFL92bcVjtIdVa-UlsCw"", ""Interns!D:D""), 
   IMPORTRANGE(""1RdEdgHYrZ33LJ7RUHj_h-qkAFL92bcVjtIdVa-UlsCw"", ""Interns!N:N""), 
   ""Not Found"")"),"Not Found")</f>
        <v>Not Found</v>
      </c>
      <c r="AM54" s="23" t="str">
        <f>IFERROR(__xludf.DUMMYFUNCTION("XLOOKUP(C54, 
   IMPORTRANGE(""1RdEdgHYrZ33LJ7RUHj_h-qkAFL92bcVjtIdVa-UlsCw"", ""Interns!D:D""), 
   IMPORTRANGE(""1RdEdgHYrZ33LJ7RUHj_h-qkAFL92bcVjtIdVa-UlsCw"", ""Interns!O:O""), 
   ""Not Found"")"),"Not Found")</f>
        <v>Not Found</v>
      </c>
      <c r="AN54" s="23"/>
      <c r="AO54" s="23" t="s">
        <v>5581</v>
      </c>
      <c r="AP54" s="28" t="s">
        <v>5191</v>
      </c>
      <c r="AQ54" s="28" t="s">
        <v>5582</v>
      </c>
      <c r="AR54" s="23" t="s">
        <v>5583</v>
      </c>
      <c r="AS54" s="23"/>
      <c r="AT54" s="23"/>
      <c r="AU54" s="23"/>
      <c r="AV54" s="23"/>
    </row>
    <row r="55">
      <c r="A55" s="28" t="s">
        <v>5161</v>
      </c>
      <c r="B55" s="28" t="s">
        <v>5162</v>
      </c>
      <c r="C55" s="23" t="str">
        <f t="shared" si="1"/>
        <v>Humayra Barsha</v>
      </c>
      <c r="D55" s="28" t="s">
        <v>5584</v>
      </c>
      <c r="E55" s="28" t="s">
        <v>5585</v>
      </c>
      <c r="F55" s="23">
        <f t="array" ref="F55">IFERROR(
    INDEX('Hub Interns 226'!A:A, MATCH(C55, 'Hub Interns 226'!B:B, 0)),"")</f>
        <v>558</v>
      </c>
      <c r="G55" s="23">
        <f t="array" ref="G55">IFERROR(
    INDEX('Hub Users 226'!A:A, MATCH(C55, 'Hub Users 226'!B:B, 0)),"")</f>
        <v>991</v>
      </c>
      <c r="H55" s="28">
        <v>959.0</v>
      </c>
      <c r="I55" s="28" t="s">
        <v>260</v>
      </c>
      <c r="J55" s="28" t="s">
        <v>5416</v>
      </c>
      <c r="K55" s="28" t="s">
        <v>5186</v>
      </c>
      <c r="L55" s="28" t="s">
        <v>5196</v>
      </c>
      <c r="M55" s="56" t="s">
        <v>5586</v>
      </c>
      <c r="N55" s="57">
        <v>44628.55069444444</v>
      </c>
      <c r="O55" s="58">
        <v>37428.0</v>
      </c>
      <c r="P55" s="28">
        <f t="shared" si="6"/>
        <v>23</v>
      </c>
      <c r="Q55" s="28" t="s">
        <v>240</v>
      </c>
      <c r="R55" s="28" t="s">
        <v>5587</v>
      </c>
      <c r="S55" s="28">
        <v>9.0</v>
      </c>
      <c r="T55" s="28">
        <v>21.0</v>
      </c>
      <c r="U55" s="28">
        <v>42.0</v>
      </c>
      <c r="V55" s="28">
        <v>40.0</v>
      </c>
      <c r="W55" s="28" t="s">
        <v>294</v>
      </c>
      <c r="X55" s="28" t="s">
        <v>272</v>
      </c>
      <c r="Y55" s="28" t="s">
        <v>5588</v>
      </c>
      <c r="Z55" s="28" t="s">
        <v>5589</v>
      </c>
      <c r="AA55" s="28" t="s">
        <v>5590</v>
      </c>
      <c r="AB55" s="28">
        <v>35.0</v>
      </c>
      <c r="AC55" s="28" t="s">
        <v>24</v>
      </c>
      <c r="AD55" s="23"/>
      <c r="AE55" s="28" t="s">
        <v>10</v>
      </c>
      <c r="AF55" s="23"/>
      <c r="AG55" s="23"/>
      <c r="AH55" s="23" t="str">
        <f>IFERROR(__xludf.DUMMYFUNCTION("IF(
ISNUMBER(MATCH(
C55,
IMPORTRANGE(""https://docs.google.com/spreadsheets/d/1yTh1ELC33JHYOeEdgIiEclxPRyh0zOKtlawDltfUay8"",""'Interns'!A:A""),
0
)),
""Outreach Conducted"",
"""")"),"")</f>
        <v/>
      </c>
      <c r="AI55" s="23"/>
      <c r="AJ55" s="23"/>
      <c r="AK55" s="23" t="str">
        <f>IFERROR(__xludf.DUMMYFUNCTION("XLOOKUP(C55, 
   IMPORTRANGE(""1RdEdgHYrZ33LJ7RUHj_h-qkAFL92bcVjtIdVa-UlsCw"", ""Interns!D:D""), 
   IMPORTRANGE(""1RdEdgHYrZ33LJ7RUHj_h-qkAFL92bcVjtIdVa-UlsCw"", ""Interns!M:M""), 
   ""Not Found"")"),"Contacted")</f>
        <v>Contacted</v>
      </c>
      <c r="AL55" s="23" t="str">
        <f>IFERROR(__xludf.DUMMYFUNCTION("XLOOKUP(C55, 
   IMPORTRANGE(""1RdEdgHYrZ33LJ7RUHj_h-qkAFL92bcVjtIdVa-UlsCw"", ""Interns!D:D""), 
   IMPORTRANGE(""1RdEdgHYrZ33LJ7RUHj_h-qkAFL92bcVjtIdVa-UlsCw"", ""Interns!N:N""), 
   ""Not Found"")"),"#Cheers4Careers")</f>
        <v>#Cheers4Careers</v>
      </c>
      <c r="AM55" s="23" t="str">
        <f>IFERROR(__xludf.DUMMYFUNCTION("XLOOKUP(C55, 
   IMPORTRANGE(""1RdEdgHYrZ33LJ7RUHj_h-qkAFL92bcVjtIdVa-UlsCw"", ""Interns!D:D""), 
   IMPORTRANGE(""1RdEdgHYrZ33LJ7RUHj_h-qkAFL92bcVjtIdVa-UlsCw"", ""Interns!O:O""), 
   ""Not Found"")"),"Hetal reached out by email 3/27")</f>
        <v>Hetal reached out by email 3/27</v>
      </c>
      <c r="AN55" s="23"/>
      <c r="AO55" s="23" t="s">
        <v>5591</v>
      </c>
      <c r="AP55" s="28" t="s">
        <v>5191</v>
      </c>
      <c r="AQ55" s="28"/>
      <c r="AR55" s="23"/>
      <c r="AS55" s="28" t="s">
        <v>5592</v>
      </c>
      <c r="AT55" s="23"/>
      <c r="AU55" s="23"/>
      <c r="AV55" s="23"/>
    </row>
    <row r="56">
      <c r="A56" s="28" t="s">
        <v>5161</v>
      </c>
      <c r="B56" s="28" t="s">
        <v>5162</v>
      </c>
      <c r="C56" s="23" t="str">
        <f t="shared" si="1"/>
        <v>Symphony Uddin</v>
      </c>
      <c r="D56" s="28" t="s">
        <v>5593</v>
      </c>
      <c r="E56" s="28" t="s">
        <v>5594</v>
      </c>
      <c r="F56" s="23">
        <f t="array" ref="F56">IFERROR(
    INDEX('Hub Interns 226'!A:A, MATCH(C56, 'Hub Interns 226'!B:B, 0)),"")</f>
        <v>1479</v>
      </c>
      <c r="G56" s="23">
        <f t="array" ref="G56">IFERROR(
    INDEX('Hub Users 226'!A:A, MATCH(C56, 'Hub Users 226'!B:B, 0)),"")</f>
        <v>2055</v>
      </c>
      <c r="H56" s="28">
        <v>1838.0</v>
      </c>
      <c r="I56" s="28" t="s">
        <v>407</v>
      </c>
      <c r="J56" s="28" t="s">
        <v>5416</v>
      </c>
      <c r="K56" s="28" t="s">
        <v>5186</v>
      </c>
      <c r="L56" s="28" t="s">
        <v>5196</v>
      </c>
      <c r="M56" s="56" t="s">
        <v>5595</v>
      </c>
      <c r="N56" s="57">
        <v>45503.98055555556</v>
      </c>
      <c r="O56" s="58">
        <v>41088.0</v>
      </c>
      <c r="P56" s="28">
        <f t="shared" si="6"/>
        <v>13</v>
      </c>
      <c r="Q56" s="28" t="s">
        <v>240</v>
      </c>
      <c r="R56" s="28" t="s">
        <v>5596</v>
      </c>
      <c r="S56" s="28">
        <v>7.0</v>
      </c>
      <c r="T56" s="28">
        <v>12.0</v>
      </c>
      <c r="U56" s="28">
        <v>37.0</v>
      </c>
      <c r="V56" s="28">
        <v>30.0</v>
      </c>
      <c r="W56" s="28" t="s">
        <v>1173</v>
      </c>
      <c r="X56" s="28" t="s">
        <v>272</v>
      </c>
      <c r="Y56" s="28">
        <v>9.296439823E9</v>
      </c>
      <c r="Z56" s="23"/>
      <c r="AA56" s="28" t="s">
        <v>5512</v>
      </c>
      <c r="AB56" s="28">
        <v>30.0</v>
      </c>
      <c r="AC56" s="28" t="s">
        <v>23</v>
      </c>
      <c r="AD56" s="23"/>
      <c r="AE56" s="28" t="s">
        <v>19</v>
      </c>
      <c r="AF56" s="23"/>
      <c r="AG56" s="23"/>
      <c r="AH56" s="23" t="str">
        <f>IFERROR(__xludf.DUMMYFUNCTION("IF(
ISNUMBER(MATCH(
C56,
IMPORTRANGE(""https://docs.google.com/spreadsheets/d/1yTh1ELC33JHYOeEdgIiEclxPRyh0zOKtlawDltfUay8"",""'Interns'!A:A""),
0
)),
""Outreach Conducted"",
"""")"),"")</f>
        <v/>
      </c>
      <c r="AI56" s="23"/>
      <c r="AJ56" s="23"/>
      <c r="AK56" s="23" t="str">
        <f>IFERROR(__xludf.DUMMYFUNCTION("XLOOKUP(C56, 
   IMPORTRANGE(""1RdEdgHYrZ33LJ7RUHj_h-qkAFL92bcVjtIdVa-UlsCw"", ""Interns!D:D""), 
   IMPORTRANGE(""1RdEdgHYrZ33LJ7RUHj_h-qkAFL92bcVjtIdVa-UlsCw"", ""Interns!M:M""), 
   ""Not Found"")"),"Contacted")</f>
        <v>Contacted</v>
      </c>
      <c r="AL56" s="23" t="str">
        <f>IFERROR(__xludf.DUMMYFUNCTION("XLOOKUP(C56, 
   IMPORTRANGE(""1RdEdgHYrZ33LJ7RUHj_h-qkAFL92bcVjtIdVa-UlsCw"", ""Interns!D:D""), 
   IMPORTRANGE(""1RdEdgHYrZ33LJ7RUHj_h-qkAFL92bcVjtIdVa-UlsCw"", ""Interns!N:N""), 
   ""Not Found"")"),"#Cheers4Careers")</f>
        <v>#Cheers4Careers</v>
      </c>
      <c r="AM56" s="23" t="str">
        <f>IFERROR(__xludf.DUMMYFUNCTION("XLOOKUP(C56,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56" s="23"/>
      <c r="AO56" s="23" t="s">
        <v>5597</v>
      </c>
      <c r="AP56" s="28" t="s">
        <v>5182</v>
      </c>
      <c r="AQ56" s="28" t="s">
        <v>5598</v>
      </c>
      <c r="AR56" s="23">
        <v>9.173851959E9</v>
      </c>
      <c r="AS56" s="23"/>
      <c r="AT56" s="23"/>
      <c r="AU56" s="23"/>
      <c r="AV56" s="23"/>
    </row>
    <row r="57">
      <c r="A57" s="28" t="s">
        <v>5202</v>
      </c>
      <c r="B57" s="28" t="s">
        <v>5162</v>
      </c>
      <c r="C57" s="23" t="str">
        <f t="shared" si="1"/>
        <v>Tahsin Ishmam</v>
      </c>
      <c r="D57" s="28" t="s">
        <v>4590</v>
      </c>
      <c r="E57" s="28" t="s">
        <v>5599</v>
      </c>
      <c r="F57" s="23">
        <f t="array" ref="F57">IFERROR(
    INDEX('Hub Interns 226'!A:A, MATCH(C57, 'Hub Interns 226'!B:B, 0)),"")</f>
        <v>585</v>
      </c>
      <c r="G57" s="23">
        <f t="array" ref="G57">IFERROR(
    INDEX('Hub Users 226'!A:A, MATCH(C57, 'Hub Users 226'!B:B, 0)),"")</f>
        <v>1018</v>
      </c>
      <c r="H57" s="28">
        <v>884.0</v>
      </c>
      <c r="I57" s="28"/>
      <c r="J57" s="28" t="s">
        <v>5416</v>
      </c>
      <c r="K57" s="28" t="s">
        <v>5186</v>
      </c>
      <c r="L57" s="28" t="s">
        <v>5165</v>
      </c>
      <c r="M57" s="56" t="s">
        <v>5600</v>
      </c>
      <c r="N57" s="57">
        <v>44601.52638888889</v>
      </c>
      <c r="O57" s="58">
        <v>38507.0</v>
      </c>
      <c r="P57" s="28">
        <f t="shared" si="6"/>
        <v>20</v>
      </c>
      <c r="Q57" s="28" t="s">
        <v>240</v>
      </c>
      <c r="R57" s="28" t="s">
        <v>5601</v>
      </c>
      <c r="S57" s="28">
        <v>5.0</v>
      </c>
      <c r="T57" s="28">
        <v>14.0</v>
      </c>
      <c r="U57" s="28">
        <v>29.0</v>
      </c>
      <c r="V57" s="28">
        <v>27.0</v>
      </c>
      <c r="W57" s="28" t="s">
        <v>1173</v>
      </c>
      <c r="X57" s="28" t="s">
        <v>272</v>
      </c>
      <c r="Y57" s="28" t="s">
        <v>5602</v>
      </c>
      <c r="Z57" s="28" t="s">
        <v>5189</v>
      </c>
      <c r="AA57" s="28" t="s">
        <v>619</v>
      </c>
      <c r="AB57" s="28">
        <v>20.0</v>
      </c>
      <c r="AC57" s="28" t="s">
        <v>24</v>
      </c>
      <c r="AD57" s="23"/>
      <c r="AE57" s="28" t="s">
        <v>10</v>
      </c>
      <c r="AF57" s="23"/>
      <c r="AG57" s="23"/>
      <c r="AH57" s="23" t="str">
        <f>IFERROR(__xludf.DUMMYFUNCTION("IF(
ISNUMBER(MATCH(
C57,
IMPORTRANGE(""https://docs.google.com/spreadsheets/d/1yTh1ELC33JHYOeEdgIiEclxPRyh0zOKtlawDltfUay8"",""'Interns'!A:A""),
0
)),
""Outreach Conducted"",
"""")"),"")</f>
        <v/>
      </c>
      <c r="AI57" s="23"/>
      <c r="AJ57" s="23"/>
      <c r="AK57" s="23" t="str">
        <f>IFERROR(__xludf.DUMMYFUNCTION("XLOOKUP(C57, 
   IMPORTRANGE(""1RdEdgHYrZ33LJ7RUHj_h-qkAFL92bcVjtIdVa-UlsCw"", ""Interns!D:D""), 
   IMPORTRANGE(""1RdEdgHYrZ33LJ7RUHj_h-qkAFL92bcVjtIdVa-UlsCw"", ""Interns!M:M""), 
   ""Not Found"")"),"")</f>
        <v/>
      </c>
      <c r="AL57" s="23" t="str">
        <f>IFERROR(__xludf.DUMMYFUNCTION("XLOOKUP(C57, 
   IMPORTRANGE(""1RdEdgHYrZ33LJ7RUHj_h-qkAFL92bcVjtIdVa-UlsCw"", ""Interns!D:D""), 
   IMPORTRANGE(""1RdEdgHYrZ33LJ7RUHj_h-qkAFL92bcVjtIdVa-UlsCw"", ""Interns!N:N""), 
   ""Not Found"")"),"")</f>
        <v/>
      </c>
      <c r="AM57" s="23" t="str">
        <f>IFERROR(__xludf.DUMMYFUNCTION("XLOOKUP(C57, 
   IMPORTRANGE(""1RdEdgHYrZ33LJ7RUHj_h-qkAFL92bcVjtIdVa-UlsCw"", ""Interns!D:D""), 
   IMPORTRANGE(""1RdEdgHYrZ33LJ7RUHj_h-qkAFL92bcVjtIdVa-UlsCw"", ""Interns!O:O""), 
   ""Not Found"")"),"")</f>
        <v/>
      </c>
      <c r="AN57" s="23"/>
      <c r="AO57" s="23" t="s">
        <v>5603</v>
      </c>
      <c r="AP57" s="28" t="s">
        <v>5182</v>
      </c>
      <c r="AQ57" s="28"/>
      <c r="AR57" s="23"/>
      <c r="AS57" s="23"/>
      <c r="AT57" s="23"/>
      <c r="AU57" s="23"/>
      <c r="AV57" s="23"/>
    </row>
    <row r="58">
      <c r="A58" s="28" t="s">
        <v>5161</v>
      </c>
      <c r="B58" s="28" t="s">
        <v>31</v>
      </c>
      <c r="C58" s="23" t="str">
        <f t="shared" si="1"/>
        <v>Jackeline Susano Moran</v>
      </c>
      <c r="D58" s="28" t="s">
        <v>5604</v>
      </c>
      <c r="E58" s="28" t="s">
        <v>5605</v>
      </c>
      <c r="F58" s="23">
        <f t="array" ref="F58">IFERROR(
    INDEX('Hub Interns 226'!A:A, MATCH(C58, 'Hub Interns 226'!B:B, 0)),"")</f>
        <v>615</v>
      </c>
      <c r="G58" s="23">
        <f t="array" ref="G58">IFERROR(
    INDEX('Hub Users 226'!A:A, MATCH(C58, 'Hub Users 226'!B:B, 0)),"")</f>
        <v>1047</v>
      </c>
      <c r="H58" s="28">
        <v>1001.0</v>
      </c>
      <c r="I58" s="28" t="s">
        <v>107</v>
      </c>
      <c r="J58" s="28"/>
      <c r="K58" s="28"/>
      <c r="L58" s="28" t="s">
        <v>5196</v>
      </c>
      <c r="M58" s="56" t="s">
        <v>5606</v>
      </c>
      <c r="N58" s="57">
        <v>44649.70416666667</v>
      </c>
      <c r="O58" s="58">
        <v>39898.0</v>
      </c>
      <c r="P58" s="28">
        <f t="shared" si="6"/>
        <v>17</v>
      </c>
      <c r="Q58" s="28" t="s">
        <v>240</v>
      </c>
      <c r="R58" s="28" t="s">
        <v>5607</v>
      </c>
      <c r="S58" s="28"/>
      <c r="T58" s="28"/>
      <c r="U58" s="28"/>
      <c r="V58" s="28">
        <v>21.0</v>
      </c>
      <c r="W58" s="28" t="s">
        <v>1173</v>
      </c>
      <c r="X58" s="28" t="s">
        <v>272</v>
      </c>
      <c r="Y58" s="28" t="s">
        <v>5608</v>
      </c>
      <c r="Z58" s="28" t="s">
        <v>5403</v>
      </c>
      <c r="AA58" s="28" t="s">
        <v>5404</v>
      </c>
      <c r="AB58" s="28">
        <v>21.0</v>
      </c>
      <c r="AC58" s="28" t="s">
        <v>24</v>
      </c>
      <c r="AD58" s="23"/>
      <c r="AE58" s="28" t="s">
        <v>10</v>
      </c>
      <c r="AF58" s="23"/>
      <c r="AG58" s="23"/>
      <c r="AH58" s="23" t="str">
        <f>IFERROR(__xludf.DUMMYFUNCTION("IF(
ISNUMBER(MATCH(
C58,
IMPORTRANGE(""https://docs.google.com/spreadsheets/d/1yTh1ELC33JHYOeEdgIiEclxPRyh0zOKtlawDltfUay8"",""'Interns'!A:A""),
0
)),
""Outreach Conducted"",
"""")"),"Outreach Conducted")</f>
        <v>Outreach Conducted</v>
      </c>
      <c r="AI58" s="23"/>
      <c r="AJ58" s="23"/>
      <c r="AK58" s="23" t="str">
        <f>IFERROR(__xludf.DUMMYFUNCTION("XLOOKUP(C58, 
   IMPORTRANGE(""1RdEdgHYrZ33LJ7RUHj_h-qkAFL92bcVjtIdVa-UlsCw"", ""Interns!D:D""), 
   IMPORTRANGE(""1RdEdgHYrZ33LJ7RUHj_h-qkAFL92bcVjtIdVa-UlsCw"", ""Interns!M:M""), 
   ""Not Found"")"),"RSVP'd")</f>
        <v>RSVP'd</v>
      </c>
      <c r="AL58" s="23" t="str">
        <f>IFERROR(__xludf.DUMMYFUNCTION("XLOOKUP(C58, 
   IMPORTRANGE(""1RdEdgHYrZ33LJ7RUHj_h-qkAFL92bcVjtIdVa-UlsCw"", ""Interns!D:D""), 
   IMPORTRANGE(""1RdEdgHYrZ33LJ7RUHj_h-qkAFL92bcVjtIdVa-UlsCw"", ""Interns!N:N""), 
   ""Not Found"")"),"#Cheers4Careers")</f>
        <v>#Cheers4Careers</v>
      </c>
      <c r="AM58" s="23" t="str">
        <f>IFERROR(__xludf.DUMMYFUNCTION("XLOOKUP(C58, 
   IMPORTRANGE(""1RdEdgHYrZ33LJ7RUHj_h-qkAFL92bcVjtIdVa-UlsCw"", ""Interns!D:D""), 
   IMPORTRANGE(""1RdEdgHYrZ33LJ7RUHj_h-qkAFL92bcVjtIdVa-UlsCw"", ""Interns!O:O""), 
   ""Not Found"")"),"Thats Jackies previous info, i am registered though")</f>
        <v>Thats Jackies previous info, i am registered though</v>
      </c>
      <c r="AN58" s="23"/>
      <c r="AO58" s="23" t="s">
        <v>5609</v>
      </c>
      <c r="AP58" s="28" t="s">
        <v>5191</v>
      </c>
      <c r="AQ58" s="28"/>
      <c r="AR58" s="23"/>
      <c r="AS58" s="23"/>
      <c r="AT58" s="23"/>
      <c r="AU58" s="23"/>
      <c r="AV58" s="23"/>
    </row>
    <row r="59">
      <c r="A59" s="28" t="s">
        <v>5161</v>
      </c>
      <c r="B59" s="28" t="s">
        <v>5162</v>
      </c>
      <c r="C59" s="23" t="str">
        <f t="shared" si="1"/>
        <v>Samia Tasnim</v>
      </c>
      <c r="D59" s="28" t="s">
        <v>5610</v>
      </c>
      <c r="E59" s="28" t="s">
        <v>5611</v>
      </c>
      <c r="F59" s="23">
        <f t="array" ref="F59">IFERROR(
    INDEX('Hub Interns 226'!A:A, MATCH(C59, 'Hub Interns 226'!B:B, 0)),"")</f>
        <v>1459</v>
      </c>
      <c r="G59" s="23">
        <f t="array" ref="G59">IFERROR(
    INDEX('Hub Users 226'!A:A, MATCH(C59, 'Hub Users 226'!B:B, 0)),"")</f>
        <v>2032</v>
      </c>
      <c r="H59" s="28">
        <v>1822.0</v>
      </c>
      <c r="I59" s="28" t="s">
        <v>407</v>
      </c>
      <c r="J59" s="28" t="s">
        <v>5416</v>
      </c>
      <c r="K59" s="28" t="s">
        <v>5186</v>
      </c>
      <c r="L59" s="28" t="s">
        <v>5196</v>
      </c>
      <c r="M59" s="56" t="s">
        <v>5612</v>
      </c>
      <c r="N59" s="57">
        <v>45418.46388888889</v>
      </c>
      <c r="O59" s="58">
        <v>40466.0</v>
      </c>
      <c r="P59" s="28">
        <f t="shared" si="6"/>
        <v>15</v>
      </c>
      <c r="Q59" s="28" t="s">
        <v>240</v>
      </c>
      <c r="R59" s="28" t="s">
        <v>5613</v>
      </c>
      <c r="S59" s="28">
        <v>6.0</v>
      </c>
      <c r="T59" s="28">
        <v>12.0</v>
      </c>
      <c r="U59" s="28">
        <v>30.0</v>
      </c>
      <c r="V59" s="28">
        <v>26.0</v>
      </c>
      <c r="W59" s="28" t="s">
        <v>1173</v>
      </c>
      <c r="X59" s="28" t="s">
        <v>272</v>
      </c>
      <c r="Y59" s="28" t="s">
        <v>5614</v>
      </c>
      <c r="Z59" s="28" t="s">
        <v>5352</v>
      </c>
      <c r="AA59" s="28" t="s">
        <v>5287</v>
      </c>
      <c r="AB59" s="28">
        <v>26.0</v>
      </c>
      <c r="AC59" s="28" t="s">
        <v>27</v>
      </c>
      <c r="AD59" s="23"/>
      <c r="AE59" s="28" t="s">
        <v>18</v>
      </c>
      <c r="AF59" s="23"/>
      <c r="AG59" s="26" t="s">
        <v>5615</v>
      </c>
      <c r="AH59" s="23" t="str">
        <f>IFERROR(__xludf.DUMMYFUNCTION("IF(
ISNUMBER(MATCH(
C59,
IMPORTRANGE(""https://docs.google.com/spreadsheets/d/1yTh1ELC33JHYOeEdgIiEclxPRyh0zOKtlawDltfUay8"",""'Interns'!A:A""),
0
)),
""Outreach Conducted"",
"""")"),"")</f>
        <v/>
      </c>
      <c r="AI59" s="23"/>
      <c r="AJ59" s="23"/>
      <c r="AK59" s="23" t="str">
        <f>IFERROR(__xludf.DUMMYFUNCTION("XLOOKUP(C59, 
   IMPORTRANGE(""1RdEdgHYrZ33LJ7RUHj_h-qkAFL92bcVjtIdVa-UlsCw"", ""Interns!D:D""), 
   IMPORTRANGE(""1RdEdgHYrZ33LJ7RUHj_h-qkAFL92bcVjtIdVa-UlsCw"", ""Interns!M:M""), 
   ""Not Found"")"),"Contacted")</f>
        <v>Contacted</v>
      </c>
      <c r="AL59" s="23" t="str">
        <f>IFERROR(__xludf.DUMMYFUNCTION("XLOOKUP(C59, 
   IMPORTRANGE(""1RdEdgHYrZ33LJ7RUHj_h-qkAFL92bcVjtIdVa-UlsCw"", ""Interns!D:D""), 
   IMPORTRANGE(""1RdEdgHYrZ33LJ7RUHj_h-qkAFL92bcVjtIdVa-UlsCw"", ""Interns!N:N""), 
   ""Not Found"")"),"#Cheers4Careers")</f>
        <v>#Cheers4Careers</v>
      </c>
      <c r="AM59" s="23" t="str">
        <f>IFERROR(__xludf.DUMMYFUNCTION("XLOOKUP(C59, 
   IMPORTRANGE(""1RdEdgHYrZ33LJ7RUHj_h-qkAFL92bcVjtIdVa-UlsCw"", ""Interns!D:D""), 
   IMPORTRANGE(""1RdEdgHYrZ33LJ7RUHj_h-qkAFL92bcVjtIdVa-UlsCw"", ""Interns!O:O""), 
   ""Not Found"")"),"Hetal reached out by email 3/27 and text")</f>
        <v>Hetal reached out by email 3/27 and text</v>
      </c>
      <c r="AN59" s="23"/>
      <c r="AO59" s="23" t="s">
        <v>5616</v>
      </c>
      <c r="AP59" s="28" t="s">
        <v>5191</v>
      </c>
      <c r="AQ59" s="28"/>
      <c r="AR59" s="23"/>
      <c r="AS59" s="23"/>
      <c r="AT59" s="23"/>
      <c r="AU59" s="23"/>
      <c r="AV59" s="23"/>
    </row>
    <row r="60">
      <c r="A60" s="28" t="s">
        <v>5161</v>
      </c>
      <c r="B60" s="28" t="s">
        <v>5162</v>
      </c>
      <c r="C60" s="23" t="str">
        <f t="shared" si="1"/>
        <v>Saifa Jui</v>
      </c>
      <c r="D60" s="22" t="s">
        <v>5617</v>
      </c>
      <c r="E60" s="22" t="s">
        <v>5618</v>
      </c>
      <c r="F60" s="23"/>
      <c r="G60" s="23"/>
      <c r="H60" s="22">
        <v>1955.0</v>
      </c>
      <c r="I60" s="28"/>
      <c r="J60" s="28" t="s">
        <v>5416</v>
      </c>
      <c r="K60" s="28" t="s">
        <v>5186</v>
      </c>
      <c r="L60" s="28" t="s">
        <v>5196</v>
      </c>
      <c r="M60" s="29" t="s">
        <v>5619</v>
      </c>
      <c r="N60" s="61">
        <v>45715.30625</v>
      </c>
      <c r="O60" s="25">
        <v>45715.0</v>
      </c>
      <c r="P60" s="28">
        <f t="shared" si="6"/>
        <v>1</v>
      </c>
      <c r="Q60" s="62" t="s">
        <v>5620</v>
      </c>
      <c r="R60" s="22" t="s">
        <v>5621</v>
      </c>
      <c r="S60" s="28">
        <v>6.0</v>
      </c>
      <c r="T60" s="28">
        <v>12.0</v>
      </c>
      <c r="U60" s="28">
        <v>30.0</v>
      </c>
      <c r="V60" s="28">
        <v>26.0</v>
      </c>
      <c r="W60" s="28" t="s">
        <v>1173</v>
      </c>
      <c r="X60" s="28" t="s">
        <v>272</v>
      </c>
      <c r="Y60" s="22" t="s">
        <v>5622</v>
      </c>
      <c r="Z60" s="22" t="s">
        <v>5536</v>
      </c>
      <c r="AA60" s="28" t="s">
        <v>5287</v>
      </c>
      <c r="AB60" s="28">
        <v>26.0</v>
      </c>
      <c r="AC60" s="28" t="s">
        <v>22</v>
      </c>
      <c r="AD60" s="23"/>
      <c r="AE60" s="28" t="s">
        <v>19</v>
      </c>
      <c r="AF60" s="23"/>
      <c r="AG60" s="23"/>
      <c r="AH60" s="23" t="str">
        <f>IFERROR(__xludf.DUMMYFUNCTION("IF(
ISNUMBER(MATCH(
C60,
IMPORTRANGE(""https://docs.google.com/spreadsheets/d/1yTh1ELC33JHYOeEdgIiEclxPRyh0zOKtlawDltfUay8"",""'Interns'!A:A""),
0
)),
""Outreach Conducted"",
"""")"),"")</f>
        <v/>
      </c>
      <c r="AI60" s="23"/>
      <c r="AJ60" s="23"/>
      <c r="AK60" s="23"/>
      <c r="AL60" s="23" t="str">
        <f>IFERROR(__xludf.DUMMYFUNCTION("XLOOKUP(C60, 
   IMPORTRANGE(""1RdEdgHYrZ33LJ7RUHj_h-qkAFL92bcVjtIdVa-UlsCw"", ""Interns!D:D""), 
   IMPORTRANGE(""1RdEdgHYrZ33LJ7RUHj_h-qkAFL92bcVjtIdVa-UlsCw"", ""Interns!N:N""), 
   ""Not Found"")"),"#Cheers4Careers")</f>
        <v>#Cheers4Careers</v>
      </c>
      <c r="AM60" s="23" t="str">
        <f>IFERROR(__xludf.DUMMYFUNCTION("XLOOKUP(C60, 
   IMPORTRANGE(""1RdEdgHYrZ33LJ7RUHj_h-qkAFL92bcVjtIdVa-UlsCw"", ""Interns!D:D""), 
   IMPORTRANGE(""1RdEdgHYrZ33LJ7RUHj_h-qkAFL92bcVjtIdVa-UlsCw"", ""Interns!O:O""), 
   ""Not Found"")"),"Hetal reached out by email 3/27, email was blocked")</f>
        <v>Hetal reached out by email 3/27, email was blocked</v>
      </c>
      <c r="AN60" s="23"/>
      <c r="AO60" s="23" t="s">
        <v>5623</v>
      </c>
      <c r="AP60" s="28" t="s">
        <v>5182</v>
      </c>
      <c r="AQ60" s="28" t="s">
        <v>5624</v>
      </c>
      <c r="AR60" s="23" t="s">
        <v>5625</v>
      </c>
      <c r="AS60" s="23"/>
      <c r="AT60" s="23"/>
      <c r="AU60" s="23"/>
      <c r="AV60" s="23"/>
    </row>
    <row r="61">
      <c r="A61" s="28" t="s">
        <v>5161</v>
      </c>
      <c r="B61" s="28" t="s">
        <v>5162</v>
      </c>
      <c r="C61" s="23" t="str">
        <f t="shared" si="1"/>
        <v>Ashik Irfan</v>
      </c>
      <c r="D61" s="22" t="s">
        <v>5626</v>
      </c>
      <c r="E61" s="22" t="s">
        <v>5627</v>
      </c>
      <c r="F61" s="23"/>
      <c r="G61" s="23"/>
      <c r="H61" s="22">
        <v>2007.0</v>
      </c>
      <c r="I61" s="28"/>
      <c r="J61" s="28" t="s">
        <v>5416</v>
      </c>
      <c r="K61" s="28" t="s">
        <v>5186</v>
      </c>
      <c r="L61" s="28" t="s">
        <v>5165</v>
      </c>
      <c r="M61" s="29" t="s">
        <v>5628</v>
      </c>
      <c r="N61" s="63">
        <v>45615.509722222225</v>
      </c>
      <c r="O61" s="25">
        <v>41613.0</v>
      </c>
      <c r="P61" s="28">
        <f t="shared" si="6"/>
        <v>12</v>
      </c>
      <c r="Q61" s="62" t="s">
        <v>5629</v>
      </c>
      <c r="R61" s="22" t="s">
        <v>5630</v>
      </c>
      <c r="S61" s="28">
        <v>6.0</v>
      </c>
      <c r="T61" s="28">
        <v>12.0</v>
      </c>
      <c r="U61" s="28">
        <v>30.0</v>
      </c>
      <c r="V61" s="28">
        <v>25.0</v>
      </c>
      <c r="W61" s="28" t="s">
        <v>1173</v>
      </c>
      <c r="X61" s="28" t="s">
        <v>272</v>
      </c>
      <c r="Y61" s="22">
        <v>9.29395586E9</v>
      </c>
      <c r="Z61" s="22" t="s">
        <v>5536</v>
      </c>
      <c r="AA61" s="28" t="s">
        <v>5287</v>
      </c>
      <c r="AB61" s="28">
        <v>26.0</v>
      </c>
      <c r="AC61" s="28" t="s">
        <v>27</v>
      </c>
      <c r="AD61" s="23"/>
      <c r="AE61" s="28" t="s">
        <v>19</v>
      </c>
      <c r="AF61" s="23"/>
      <c r="AG61" s="26" t="s">
        <v>5631</v>
      </c>
      <c r="AH61" s="23" t="str">
        <f>IFERROR(__xludf.DUMMYFUNCTION("IF(
ISNUMBER(MATCH(
C61,
IMPORTRANGE(""https://docs.google.com/spreadsheets/d/1yTh1ELC33JHYOeEdgIiEclxPRyh0zOKtlawDltfUay8"",""'Interns'!A:A""),
0
)),
""Outreach Conducted"",
"""")"),"")</f>
        <v/>
      </c>
      <c r="AI61" s="23"/>
      <c r="AJ61" s="23"/>
      <c r="AK61" s="23" t="str">
        <f>IFERROR(__xludf.DUMMYFUNCTION("XLOOKUP(C61, 
   IMPORTRANGE(""1RdEdgHYrZ33LJ7RUHj_h-qkAFL92bcVjtIdVa-UlsCw"", ""Interns!D:D""), 
   IMPORTRANGE(""1RdEdgHYrZ33LJ7RUHj_h-qkAFL92bcVjtIdVa-UlsCw"", ""Interns!M:M""), 
   ""Not Found"")"),"Not Found")</f>
        <v>Not Found</v>
      </c>
      <c r="AL61" s="23" t="str">
        <f>IFERROR(__xludf.DUMMYFUNCTION("XLOOKUP(C61, 
   IMPORTRANGE(""1RdEdgHYrZ33LJ7RUHj_h-qkAFL92bcVjtIdVa-UlsCw"", ""Interns!D:D""), 
   IMPORTRANGE(""1RdEdgHYrZ33LJ7RUHj_h-qkAFL92bcVjtIdVa-UlsCw"", ""Interns!N:N""), 
   ""Not Found"")"),"Not Found")</f>
        <v>Not Found</v>
      </c>
      <c r="AM61" s="23" t="str">
        <f>IFERROR(__xludf.DUMMYFUNCTION("XLOOKUP(C61, 
   IMPORTRANGE(""1RdEdgHYrZ33LJ7RUHj_h-qkAFL92bcVjtIdVa-UlsCw"", ""Interns!D:D""), 
   IMPORTRANGE(""1RdEdgHYrZ33LJ7RUHj_h-qkAFL92bcVjtIdVa-UlsCw"", ""Interns!O:O""), 
   ""Not Found"")"),"Not Found")</f>
        <v>Not Found</v>
      </c>
      <c r="AN61" s="23"/>
      <c r="AO61" s="23" t="s">
        <v>5632</v>
      </c>
      <c r="AP61" s="28" t="s">
        <v>5191</v>
      </c>
      <c r="AQ61" s="28" t="s">
        <v>5633</v>
      </c>
      <c r="AR61" s="23">
        <v>3.479817285E9</v>
      </c>
      <c r="AS61" s="23"/>
      <c r="AT61" s="23"/>
      <c r="AU61" s="23"/>
      <c r="AV61" s="23"/>
    </row>
    <row r="62">
      <c r="A62" s="28" t="s">
        <v>5161</v>
      </c>
      <c r="B62" s="28" t="s">
        <v>31</v>
      </c>
      <c r="C62" s="23" t="str">
        <f t="shared" si="1"/>
        <v>Mary Anene</v>
      </c>
      <c r="D62" s="28" t="s">
        <v>5634</v>
      </c>
      <c r="E62" s="28" t="s">
        <v>5635</v>
      </c>
      <c r="F62" s="23">
        <f t="array" ref="F62">IFERROR(
    INDEX('Hub Interns 226'!A:A, MATCH(C62, 'Hub Interns 226'!B:B, 0)),"")</f>
        <v>853</v>
      </c>
      <c r="G62" s="23">
        <f t="array" ref="G62">IFERROR(
    INDEX('Hub Users 226'!A:A, MATCH(C62, 'Hub Users 226'!B:B, 0)),"")</f>
        <v>1286</v>
      </c>
      <c r="H62" s="28">
        <v>1409.0</v>
      </c>
      <c r="I62" s="28" t="s">
        <v>260</v>
      </c>
      <c r="J62" s="28"/>
      <c r="K62" s="28"/>
      <c r="L62" s="28" t="s">
        <v>5196</v>
      </c>
      <c r="M62" s="56" t="s">
        <v>5636</v>
      </c>
      <c r="N62" s="59">
        <v>44865.475</v>
      </c>
      <c r="O62" s="58">
        <v>39308.0</v>
      </c>
      <c r="P62" s="28">
        <f t="shared" si="6"/>
        <v>18</v>
      </c>
      <c r="Q62" s="28" t="s">
        <v>240</v>
      </c>
      <c r="R62" s="28" t="s">
        <v>5637</v>
      </c>
      <c r="S62" s="28"/>
      <c r="T62" s="28"/>
      <c r="U62" s="28"/>
      <c r="V62" s="28">
        <v>27.0</v>
      </c>
      <c r="W62" s="28" t="s">
        <v>1173</v>
      </c>
      <c r="X62" s="28" t="s">
        <v>272</v>
      </c>
      <c r="Y62" s="28" t="s">
        <v>5638</v>
      </c>
      <c r="Z62" s="28" t="s">
        <v>5332</v>
      </c>
      <c r="AA62" s="28" t="s">
        <v>5639</v>
      </c>
      <c r="AB62" s="28">
        <v>31.0</v>
      </c>
      <c r="AC62" s="28" t="s">
        <v>27</v>
      </c>
      <c r="AD62" s="28" t="s">
        <v>101</v>
      </c>
      <c r="AE62" s="28" t="s">
        <v>18</v>
      </c>
      <c r="AF62" s="23"/>
      <c r="AG62" s="23"/>
      <c r="AH62" s="23" t="str">
        <f>IFERROR(__xludf.DUMMYFUNCTION("IF(
ISNUMBER(MATCH(
C62,
IMPORTRANGE(""https://docs.google.com/spreadsheets/d/1yTh1ELC33JHYOeEdgIiEclxPRyh0zOKtlawDltfUay8"",""'Interns'!A:A""),
0
)),
""Outreach Conducted"",
"""")"),"")</f>
        <v/>
      </c>
      <c r="AI62" s="23"/>
      <c r="AJ62" s="23"/>
      <c r="AK62" s="23" t="str">
        <f>IFERROR(__xludf.DUMMYFUNCTION("XLOOKUP(C62, 
   IMPORTRANGE(""1RdEdgHYrZ33LJ7RUHj_h-qkAFL92bcVjtIdVa-UlsCw"", ""Interns!D:D""), 
   IMPORTRANGE(""1RdEdgHYrZ33LJ7RUHj_h-qkAFL92bcVjtIdVa-UlsCw"", ""Interns!M:M""), 
   ""Not Found"")"),"Contacted")</f>
        <v>Contacted</v>
      </c>
      <c r="AL62" s="23" t="str">
        <f>IFERROR(__xludf.DUMMYFUNCTION("XLOOKUP(C62, 
   IMPORTRANGE(""1RdEdgHYrZ33LJ7RUHj_h-qkAFL92bcVjtIdVa-UlsCw"", ""Interns!D:D""), 
   IMPORTRANGE(""1RdEdgHYrZ33LJ7RUHj_h-qkAFL92bcVjtIdVa-UlsCw"", ""Interns!N:N""), 
   ""Not Found"")"),"#Cheers4Careers")</f>
        <v>#Cheers4Careers</v>
      </c>
      <c r="AM62" s="23" t="str">
        <f>IFERROR(__xludf.DUMMYFUNCTION("XLOOKUP(C62, 
   IMPORTRANGE(""1RdEdgHYrZ33LJ7RUHj_h-qkAFL92bcVjtIdVa-UlsCw"", ""Interns!D:D""), 
   IMPORTRANGE(""1RdEdgHYrZ33LJ7RUHj_h-qkAFL92bcVjtIdVa-UlsCw"", ""Interns!O:O""), 
   ""Not Found"")"),"Hetal reached out by text 3/27 for #Cheers4Careers")</f>
        <v>Hetal reached out by text 3/27 for #Cheers4Careers</v>
      </c>
      <c r="AN62" s="23"/>
      <c r="AO62" s="23" t="s">
        <v>5640</v>
      </c>
      <c r="AP62" s="28" t="s">
        <v>5641</v>
      </c>
      <c r="AQ62" s="28" t="s">
        <v>5642</v>
      </c>
      <c r="AR62" s="23" t="s">
        <v>5643</v>
      </c>
      <c r="AS62" s="23"/>
      <c r="AT62" s="23"/>
      <c r="AU62" s="23"/>
      <c r="AV62" s="23"/>
    </row>
    <row r="63">
      <c r="A63" s="28" t="s">
        <v>5161</v>
      </c>
      <c r="B63" s="28" t="s">
        <v>5162</v>
      </c>
      <c r="C63" s="23" t="str">
        <f t="shared" si="1"/>
        <v>Mehedi Hasan</v>
      </c>
      <c r="D63" s="28" t="s">
        <v>5644</v>
      </c>
      <c r="E63" s="28" t="s">
        <v>5645</v>
      </c>
      <c r="F63" s="23">
        <f t="array" ref="F63">IFERROR(
    INDEX('Hub Interns 226'!A:A, MATCH(C63, 'Hub Interns 226'!B:B, 0)),"")</f>
        <v>870</v>
      </c>
      <c r="G63" s="23">
        <f t="array" ref="G63">IFERROR(
    INDEX('Hub Users 226'!A:A, MATCH(C63, 'Hub Users 226'!B:B, 0)),"")</f>
        <v>1303</v>
      </c>
      <c r="H63" s="28">
        <v>745.0</v>
      </c>
      <c r="I63" s="28" t="s">
        <v>239</v>
      </c>
      <c r="J63" s="28" t="s">
        <v>5416</v>
      </c>
      <c r="K63" s="28" t="s">
        <v>5186</v>
      </c>
      <c r="L63" s="28" t="s">
        <v>5165</v>
      </c>
      <c r="M63" s="56" t="s">
        <v>5646</v>
      </c>
      <c r="N63" s="59">
        <v>44551.50555555556</v>
      </c>
      <c r="O63" s="58">
        <v>38369.0</v>
      </c>
      <c r="P63" s="28">
        <f t="shared" si="6"/>
        <v>21</v>
      </c>
      <c r="Q63" s="28" t="s">
        <v>240</v>
      </c>
      <c r="R63" s="28" t="s">
        <v>5647</v>
      </c>
      <c r="S63" s="28">
        <v>3.0</v>
      </c>
      <c r="T63" s="28">
        <v>11.0</v>
      </c>
      <c r="U63" s="28">
        <v>33.0</v>
      </c>
      <c r="V63" s="28">
        <v>23.0</v>
      </c>
      <c r="W63" s="28" t="s">
        <v>1173</v>
      </c>
      <c r="X63" s="28" t="s">
        <v>272</v>
      </c>
      <c r="Y63" s="28" t="s">
        <v>5648</v>
      </c>
      <c r="Z63" s="28" t="s">
        <v>5483</v>
      </c>
      <c r="AA63" s="28" t="s">
        <v>457</v>
      </c>
      <c r="AB63" s="28">
        <v>25.0</v>
      </c>
      <c r="AC63" s="28" t="s">
        <v>25</v>
      </c>
      <c r="AD63" s="23"/>
      <c r="AE63" s="28" t="s">
        <v>10</v>
      </c>
      <c r="AF63" s="23" t="str">
        <f>IFERROR(__xludf.DUMMYFUNCTION("TEXTJOIN("", "", TRUE,
  FILTER(Champions!C:C,
    ISNUMBER(SEARCH(C63, Champions!W:W))
  )
)"),"Mohammed Baldiwala, Prasanna Vijayanathan")</f>
        <v>Mohammed Baldiwala, Prasanna Vijayanathan</v>
      </c>
      <c r="AG63" s="23"/>
      <c r="AH63" s="23" t="str">
        <f>IFERROR(__xludf.DUMMYFUNCTION("IF(
ISNUMBER(MATCH(
C63,
IMPORTRANGE(""https://docs.google.com/spreadsheets/d/1yTh1ELC33JHYOeEdgIiEclxPRyh0zOKtlawDltfUay8"",""'Interns'!A:A""),
0
)),
""Outreach Conducted"",
"""")"),"")</f>
        <v/>
      </c>
      <c r="AI63" s="23"/>
      <c r="AJ63" s="23"/>
      <c r="AK63" s="23" t="str">
        <f>IFERROR(__xludf.DUMMYFUNCTION("XLOOKUP(C63, 
   IMPORTRANGE(""1RdEdgHYrZ33LJ7RUHj_h-qkAFL92bcVjtIdVa-UlsCw"", ""Interns!D:D""), 
   IMPORTRANGE(""1RdEdgHYrZ33LJ7RUHj_h-qkAFL92bcVjtIdVa-UlsCw"", ""Interns!M:M""), 
   ""Not Found"")"),"Contacted")</f>
        <v>Contacted</v>
      </c>
      <c r="AL63" s="23" t="str">
        <f>IFERROR(__xludf.DUMMYFUNCTION("XLOOKUP(C63, 
   IMPORTRANGE(""1RdEdgHYrZ33LJ7RUHj_h-qkAFL92bcVjtIdVa-UlsCw"", ""Interns!D:D""), 
   IMPORTRANGE(""1RdEdgHYrZ33LJ7RUHj_h-qkAFL92bcVjtIdVa-UlsCw"", ""Interns!N:N""), 
   ""Not Found"")"),"#Cheers4Careers")</f>
        <v>#Cheers4Careers</v>
      </c>
      <c r="AM63" s="23" t="str">
        <f>IFERROR(__xludf.DUMMYFUNCTION("XLOOKUP(C63, 
   IMPORTRANGE(""1RdEdgHYrZ33LJ7RUHj_h-qkAFL92bcVjtIdVa-UlsCw"", ""Interns!D:D""), 
   IMPORTRANGE(""1RdEdgHYrZ33LJ7RUHj_h-qkAFL92bcVjtIdVa-UlsCw"", ""Interns!O:O""), 
   ""Not Found"")"),"Hetal reached out by email 3/27")</f>
        <v>Hetal reached out by email 3/27</v>
      </c>
      <c r="AN63" s="23"/>
      <c r="AO63" s="23" t="s">
        <v>5649</v>
      </c>
      <c r="AP63" s="28" t="s">
        <v>5182</v>
      </c>
      <c r="AQ63" s="28" t="s">
        <v>5650</v>
      </c>
      <c r="AR63" s="23" t="s">
        <v>5651</v>
      </c>
      <c r="AS63" s="23"/>
      <c r="AT63" s="23"/>
      <c r="AU63" s="23"/>
      <c r="AV63" s="23"/>
    </row>
    <row r="64">
      <c r="A64" s="28" t="s">
        <v>5161</v>
      </c>
      <c r="B64" s="28" t="s">
        <v>5162</v>
      </c>
      <c r="C64" s="23" t="str">
        <f t="shared" si="1"/>
        <v>Maliha Rahman</v>
      </c>
      <c r="D64" s="22" t="s">
        <v>5652</v>
      </c>
      <c r="E64" s="22" t="s">
        <v>5653</v>
      </c>
      <c r="F64" s="23"/>
      <c r="G64" s="23"/>
      <c r="H64" s="22">
        <v>1930.0</v>
      </c>
      <c r="I64" s="28"/>
      <c r="J64" s="28" t="s">
        <v>5416</v>
      </c>
      <c r="K64" s="28" t="s">
        <v>5186</v>
      </c>
      <c r="L64" s="28" t="s">
        <v>5196</v>
      </c>
      <c r="M64" s="29" t="s">
        <v>5654</v>
      </c>
      <c r="N64" s="61">
        <v>45771.44375</v>
      </c>
      <c r="O64" s="25">
        <v>40531.0</v>
      </c>
      <c r="P64" s="28">
        <f t="shared" si="6"/>
        <v>15</v>
      </c>
      <c r="Q64" s="62" t="s">
        <v>5655</v>
      </c>
      <c r="R64" s="22" t="s">
        <v>5656</v>
      </c>
      <c r="S64" s="28">
        <v>3.0</v>
      </c>
      <c r="T64" s="28">
        <v>11.0</v>
      </c>
      <c r="U64" s="28">
        <v>33.0</v>
      </c>
      <c r="V64" s="28">
        <v>23.0</v>
      </c>
      <c r="W64" s="28" t="s">
        <v>1173</v>
      </c>
      <c r="X64" s="28" t="s">
        <v>272</v>
      </c>
      <c r="Y64" s="22" t="s">
        <v>5657</v>
      </c>
      <c r="Z64" s="22" t="s">
        <v>5658</v>
      </c>
      <c r="AA64" s="28" t="s">
        <v>5659</v>
      </c>
      <c r="AB64" s="28">
        <v>23.0</v>
      </c>
      <c r="AC64" s="28" t="s">
        <v>23</v>
      </c>
      <c r="AD64" s="23"/>
      <c r="AE64" s="28" t="s">
        <v>19</v>
      </c>
      <c r="AF64" s="23"/>
      <c r="AG64" s="23"/>
      <c r="AH64" s="23" t="str">
        <f>IFERROR(__xludf.DUMMYFUNCTION("IF(
ISNUMBER(MATCH(
C64,
IMPORTRANGE(""https://docs.google.com/spreadsheets/d/1yTh1ELC33JHYOeEdgIiEclxPRyh0zOKtlawDltfUay8"",""'Interns'!A:A""),
0
)),
""Outreach Conducted"",
"""")"),"")</f>
        <v/>
      </c>
      <c r="AI64" s="23"/>
      <c r="AJ64" s="23"/>
      <c r="AK64" s="23"/>
      <c r="AL64" s="23" t="str">
        <f>IFERROR(__xludf.DUMMYFUNCTION("XLOOKUP(C64, 
   IMPORTRANGE(""1RdEdgHYrZ33LJ7RUHj_h-qkAFL92bcVjtIdVa-UlsCw"", ""Interns!D:D""), 
   IMPORTRANGE(""1RdEdgHYrZ33LJ7RUHj_h-qkAFL92bcVjtIdVa-UlsCw"", ""Interns!N:N""), 
   ""Not Found"")"),"#Cheers4Careers")</f>
        <v>#Cheers4Careers</v>
      </c>
      <c r="AM64" s="23" t="str">
        <f>IFERROR(__xludf.DUMMYFUNCTION("XLOOKUP(C64, 
   IMPORTRANGE(""1RdEdgHYrZ33LJ7RUHj_h-qkAFL92bcVjtIdVa-UlsCw"", ""Interns!D:D""), 
   IMPORTRANGE(""1RdEdgHYrZ33LJ7RUHj_h-qkAFL92bcVjtIdVa-UlsCw"", ""Interns!O:O""), 
   ""Not Found"")"),"Hetal reached out March 27 for March #Cheers4 Careers ")</f>
        <v>Hetal reached out March 27 for March #Cheers4 Careers </v>
      </c>
      <c r="AN64" s="23"/>
      <c r="AO64" s="23" t="s">
        <v>5660</v>
      </c>
      <c r="AP64" s="28" t="s">
        <v>5182</v>
      </c>
      <c r="AQ64" s="28" t="s">
        <v>5661</v>
      </c>
      <c r="AR64" s="23" t="s">
        <v>5662</v>
      </c>
      <c r="AS64" s="23"/>
      <c r="AT64" s="23"/>
      <c r="AU64" s="23"/>
      <c r="AV64" s="23"/>
    </row>
    <row r="65">
      <c r="A65" s="28" t="s">
        <v>5161</v>
      </c>
      <c r="B65" s="28" t="s">
        <v>5162</v>
      </c>
      <c r="C65" s="23" t="str">
        <f t="shared" si="1"/>
        <v>Seam PatwaRy</v>
      </c>
      <c r="D65" s="28" t="s">
        <v>5663</v>
      </c>
      <c r="E65" s="28" t="s">
        <v>5664</v>
      </c>
      <c r="F65" s="23">
        <f t="array" ref="F65">IFERROR(
    INDEX('Hub Interns 226'!A:A, MATCH(C65, 'Hub Interns 226'!B:B, 0)),"")</f>
        <v>1083</v>
      </c>
      <c r="G65" s="23">
        <f t="array" ref="G65">IFERROR(
    INDEX('Hub Users 226'!A:A, MATCH(C65, 'Hub Users 226'!B:B, 0)),"")</f>
        <v>1516</v>
      </c>
      <c r="H65" s="28">
        <v>1190.0</v>
      </c>
      <c r="I65" s="28"/>
      <c r="J65" s="28" t="s">
        <v>5416</v>
      </c>
      <c r="K65" s="28" t="s">
        <v>5186</v>
      </c>
      <c r="L65" s="28" t="s">
        <v>5165</v>
      </c>
      <c r="M65" s="56" t="s">
        <v>5665</v>
      </c>
      <c r="N65" s="57">
        <v>44833.586805555555</v>
      </c>
      <c r="O65" s="58">
        <v>40055.0</v>
      </c>
      <c r="P65" s="28">
        <f t="shared" si="6"/>
        <v>16</v>
      </c>
      <c r="Q65" s="28" t="s">
        <v>240</v>
      </c>
      <c r="R65" s="28" t="s">
        <v>5666</v>
      </c>
      <c r="S65" s="28"/>
      <c r="T65" s="28"/>
      <c r="U65" s="28"/>
      <c r="V65" s="28"/>
      <c r="W65" s="28" t="s">
        <v>1173</v>
      </c>
      <c r="X65" s="28" t="s">
        <v>272</v>
      </c>
      <c r="Y65" s="28" t="s">
        <v>5667</v>
      </c>
      <c r="Z65" s="28" t="s">
        <v>5170</v>
      </c>
      <c r="AA65" s="28" t="s">
        <v>5171</v>
      </c>
      <c r="AB65" s="28">
        <v>30.0</v>
      </c>
      <c r="AC65" s="28" t="s">
        <v>23</v>
      </c>
      <c r="AD65" s="23"/>
      <c r="AE65" s="28" t="s">
        <v>15</v>
      </c>
      <c r="AF65" s="23"/>
      <c r="AG65" s="23"/>
      <c r="AH65" s="23" t="str">
        <f>IFERROR(__xludf.DUMMYFUNCTION("IF(
ISNUMBER(MATCH(
C65,
IMPORTRANGE(""https://docs.google.com/spreadsheets/d/1yTh1ELC33JHYOeEdgIiEclxPRyh0zOKtlawDltfUay8"",""'Interns'!A:A""),
0
)),
""Outreach Conducted"",
"""")"),"")</f>
        <v/>
      </c>
      <c r="AI65" s="23"/>
      <c r="AJ65" s="23"/>
      <c r="AK65" s="23" t="str">
        <f>IFERROR(__xludf.DUMMYFUNCTION("XLOOKUP(C65, 
   IMPORTRANGE(""1RdEdgHYrZ33LJ7RUHj_h-qkAFL92bcVjtIdVa-UlsCw"", ""Interns!D:D""), 
   IMPORTRANGE(""1RdEdgHYrZ33LJ7RUHj_h-qkAFL92bcVjtIdVa-UlsCw"", ""Interns!M:M""), 
   ""Not Found"")"),"Contacted")</f>
        <v>Contacted</v>
      </c>
      <c r="AL65" s="23" t="str">
        <f>IFERROR(__xludf.DUMMYFUNCTION("XLOOKUP(C65, 
   IMPORTRANGE(""1RdEdgHYrZ33LJ7RUHj_h-qkAFL92bcVjtIdVa-UlsCw"", ""Interns!D:D""), 
   IMPORTRANGE(""1RdEdgHYrZ33LJ7RUHj_h-qkAFL92bcVjtIdVa-UlsCw"", ""Interns!N:N""), 
   ""Not Found"")"),"#Cheers4Careers")</f>
        <v>#Cheers4Careers</v>
      </c>
      <c r="AM65" s="23" t="str">
        <f>IFERROR(__xludf.DUMMYFUNCTION("XLOOKUP(C65, 
   IMPORTRANGE(""1RdEdgHYrZ33LJ7RUHj_h-qkAFL92bcVjtIdVa-UlsCw"", ""Interns!D:D""), 
   IMPORTRANGE(""1RdEdgHYrZ33LJ7RUHj_h-qkAFL92bcVjtIdVa-UlsCw"", ""Interns!O:O""), 
   ""Not Found"")"),"Hetal reached out March 27 for March #Cheers4 Careers ")</f>
        <v>Hetal reached out March 27 for March #Cheers4 Careers </v>
      </c>
      <c r="AN65" s="23"/>
      <c r="AO65" s="23" t="s">
        <v>5668</v>
      </c>
      <c r="AP65" s="28" t="s">
        <v>5191</v>
      </c>
      <c r="AQ65" s="28"/>
      <c r="AR65" s="23"/>
      <c r="AS65" s="23"/>
      <c r="AT65" s="23"/>
      <c r="AU65" s="23"/>
      <c r="AV65" s="23"/>
    </row>
    <row r="66">
      <c r="A66" s="28" t="s">
        <v>5161</v>
      </c>
      <c r="B66" s="28" t="s">
        <v>5162</v>
      </c>
      <c r="C66" s="23" t="str">
        <f t="shared" si="1"/>
        <v>Sara Moni</v>
      </c>
      <c r="D66" s="28" t="s">
        <v>679</v>
      </c>
      <c r="E66" s="28" t="s">
        <v>5669</v>
      </c>
      <c r="F66" s="23">
        <f t="array" ref="F66">IFERROR(
    INDEX('Hub Interns 226'!A:A, MATCH(C66, 'Hub Interns 226'!B:B, 0)),"")</f>
        <v>1759</v>
      </c>
      <c r="G66" s="23">
        <f t="array" ref="G66">IFERROR(
    INDEX('Hub Users 226'!A:A, MATCH(C66, 'Hub Users 226'!B:B, 0)),"")</f>
        <v>2589</v>
      </c>
      <c r="H66" s="28">
        <v>1736.0</v>
      </c>
      <c r="I66" s="28"/>
      <c r="J66" s="28" t="s">
        <v>5416</v>
      </c>
      <c r="K66" s="28" t="s">
        <v>5186</v>
      </c>
      <c r="L66" s="28" t="s">
        <v>5196</v>
      </c>
      <c r="M66" s="56" t="s">
        <v>5670</v>
      </c>
      <c r="N66" s="57">
        <v>45266.59166666667</v>
      </c>
      <c r="O66" s="58">
        <v>40196.0</v>
      </c>
      <c r="P66" s="28">
        <f t="shared" si="6"/>
        <v>16</v>
      </c>
      <c r="Q66" s="28" t="s">
        <v>240</v>
      </c>
      <c r="R66" s="28" t="s">
        <v>5671</v>
      </c>
      <c r="S66" s="28"/>
      <c r="T66" s="28"/>
      <c r="U66" s="28"/>
      <c r="V66" s="28"/>
      <c r="W66" s="28" t="s">
        <v>1173</v>
      </c>
      <c r="X66" s="28" t="s">
        <v>272</v>
      </c>
      <c r="Y66" s="28" t="s">
        <v>5351</v>
      </c>
      <c r="Z66" s="28" t="s">
        <v>5352</v>
      </c>
      <c r="AA66" s="28" t="s">
        <v>5287</v>
      </c>
      <c r="AB66" s="28">
        <v>26.0</v>
      </c>
      <c r="AC66" s="28" t="s">
        <v>27</v>
      </c>
      <c r="AD66" s="23"/>
      <c r="AE66" s="28" t="s">
        <v>18</v>
      </c>
      <c r="AF66" s="23"/>
      <c r="AG66" s="23"/>
      <c r="AH66" s="23" t="str">
        <f>IFERROR(__xludf.DUMMYFUNCTION("IF(
ISNUMBER(MATCH(
C66,
IMPORTRANGE(""https://docs.google.com/spreadsheets/d/1yTh1ELC33JHYOeEdgIiEclxPRyh0zOKtlawDltfUay8"",""'Interns'!A:A""),
0
)),
""Outreach Conducted"",
"""")"),"")</f>
        <v/>
      </c>
      <c r="AI66" s="23"/>
      <c r="AJ66" s="23"/>
      <c r="AK66" s="23" t="str">
        <f>IFERROR(__xludf.DUMMYFUNCTION("XLOOKUP(C66, 
   IMPORTRANGE(""1RdEdgHYrZ33LJ7RUHj_h-qkAFL92bcVjtIdVa-UlsCw"", ""Interns!D:D""), 
   IMPORTRANGE(""1RdEdgHYrZ33LJ7RUHj_h-qkAFL92bcVjtIdVa-UlsCw"", ""Interns!M:M""), 
   ""Not Found"")"),"Contacted")</f>
        <v>Contacted</v>
      </c>
      <c r="AL66" s="23" t="str">
        <f>IFERROR(__xludf.DUMMYFUNCTION("XLOOKUP(C66, 
   IMPORTRANGE(""1RdEdgHYrZ33LJ7RUHj_h-qkAFL92bcVjtIdVa-UlsCw"", ""Interns!D:D""), 
   IMPORTRANGE(""1RdEdgHYrZ33LJ7RUHj_h-qkAFL92bcVjtIdVa-UlsCw"", ""Interns!N:N""), 
   ""Not Found"")"),"#Cheers4Careers")</f>
        <v>#Cheers4Careers</v>
      </c>
      <c r="AM66" s="23" t="str">
        <f>IFERROR(__xludf.DUMMYFUNCTION("XLOOKUP(C66, 
   IMPORTRANGE(""1RdEdgHYrZ33LJ7RUHj_h-qkAFL92bcVjtIdVa-UlsCw"", ""Interns!D:D""), 
   IMPORTRANGE(""1RdEdgHYrZ33LJ7RUHj_h-qkAFL92bcVjtIdVa-UlsCw"", ""Interns!O:O""), 
   ""Not Found"")"),"Hetal reached out by email 3/27")</f>
        <v>Hetal reached out by email 3/27</v>
      </c>
      <c r="AN66" s="23"/>
      <c r="AO66" s="23" t="s">
        <v>5672</v>
      </c>
      <c r="AP66" s="28" t="s">
        <v>5191</v>
      </c>
      <c r="AQ66" s="28"/>
      <c r="AR66" s="23"/>
      <c r="AS66" s="23"/>
      <c r="AT66" s="23"/>
      <c r="AU66" s="23"/>
      <c r="AV66" s="23"/>
    </row>
    <row r="67">
      <c r="A67" s="28" t="s">
        <v>5161</v>
      </c>
      <c r="B67" s="28" t="s">
        <v>5162</v>
      </c>
      <c r="C67" s="23" t="str">
        <f t="shared" si="1"/>
        <v>Liza Islam</v>
      </c>
      <c r="D67" s="28" t="s">
        <v>5673</v>
      </c>
      <c r="E67" s="28" t="s">
        <v>5674</v>
      </c>
      <c r="F67" s="23" t="str">
        <f t="array" ref="F67">IFERROR(
    INDEX('Hub Interns 226'!A:A, MATCH(C67, 'Hub Interns 226'!B:B, 0)),"")</f>
        <v/>
      </c>
      <c r="G67" s="23" t="str">
        <f t="array" ref="G67">IFERROR(
    INDEX('Hub Users 226'!A:A, MATCH(C67, 'Hub Users 226'!B:B, 0)),"")</f>
        <v/>
      </c>
      <c r="H67" s="28">
        <v>23.0</v>
      </c>
      <c r="I67" s="28"/>
      <c r="J67" s="28" t="s">
        <v>5416</v>
      </c>
      <c r="K67" s="28" t="s">
        <v>5186</v>
      </c>
      <c r="L67" s="28"/>
      <c r="M67" s="23"/>
      <c r="N67" s="57">
        <v>43741.63055555556</v>
      </c>
      <c r="O67" s="58"/>
      <c r="P67" s="28"/>
      <c r="Q67" s="28" t="s">
        <v>240</v>
      </c>
      <c r="R67" s="23"/>
      <c r="S67" s="28"/>
      <c r="T67" s="28"/>
      <c r="U67" s="28"/>
      <c r="V67" s="28"/>
      <c r="W67" s="28" t="s">
        <v>380</v>
      </c>
      <c r="X67" s="28" t="s">
        <v>381</v>
      </c>
      <c r="Y67" s="28">
        <v>2.159348199E9</v>
      </c>
      <c r="Z67" s="28" t="s">
        <v>5491</v>
      </c>
      <c r="AA67" s="28" t="s">
        <v>5492</v>
      </c>
      <c r="AB67" s="28">
        <v>47.0</v>
      </c>
      <c r="AC67" s="28" t="s">
        <v>25</v>
      </c>
      <c r="AD67" s="23"/>
      <c r="AE67" s="28" t="s">
        <v>4</v>
      </c>
      <c r="AF67" s="23" t="str">
        <f>IFERROR(__xludf.DUMMYFUNCTION("TEXTJOIN("", "", TRUE,
  FILTER(Champions!C:C,
    ISNUMBER(SEARCH(C67, Champions!W:W))
  )
)"),"#N/A")</f>
        <v>#N/A</v>
      </c>
      <c r="AG67" s="23"/>
      <c r="AH67" s="23" t="str">
        <f>IFERROR(__xludf.DUMMYFUNCTION("IF(
ISNUMBER(MATCH(
C67,
IMPORTRANGE(""https://docs.google.com/spreadsheets/d/1yTh1ELC33JHYOeEdgIiEclxPRyh0zOKtlawDltfUay8"",""'Interns'!A:A""),
0
)),
""Outreach Conducted"",
"""")"),"")</f>
        <v/>
      </c>
      <c r="AI67" s="23"/>
      <c r="AJ67" s="23"/>
      <c r="AK67" s="23" t="str">
        <f>IFERROR(__xludf.DUMMYFUNCTION("XLOOKUP(C67, 
   IMPORTRANGE(""1RdEdgHYrZ33LJ7RUHj_h-qkAFL92bcVjtIdVa-UlsCw"", ""Interns!D:D""), 
   IMPORTRANGE(""1RdEdgHYrZ33LJ7RUHj_h-qkAFL92bcVjtIdVa-UlsCw"", ""Interns!M:M""), 
   ""Not Found"")"),"")</f>
        <v/>
      </c>
      <c r="AL67" s="23" t="str">
        <f>IFERROR(__xludf.DUMMYFUNCTION("XLOOKUP(C67, 
   IMPORTRANGE(""1RdEdgHYrZ33LJ7RUHj_h-qkAFL92bcVjtIdVa-UlsCw"", ""Interns!D:D""), 
   IMPORTRANGE(""1RdEdgHYrZ33LJ7RUHj_h-qkAFL92bcVjtIdVa-UlsCw"", ""Interns!N:N""), 
   ""Not Found"")"),"")</f>
        <v/>
      </c>
      <c r="AM67" s="23" t="str">
        <f>IFERROR(__xludf.DUMMYFUNCTION("XLOOKUP(C67, 
   IMPORTRANGE(""1RdEdgHYrZ33LJ7RUHj_h-qkAFL92bcVjtIdVa-UlsCw"", ""Interns!D:D""), 
   IMPORTRANGE(""1RdEdgHYrZ33LJ7RUHj_h-qkAFL92bcVjtIdVa-UlsCw"", ""Interns!O:O""), 
   ""Not Found"")"),"")</f>
        <v/>
      </c>
      <c r="AN67" s="23"/>
      <c r="AO67" s="23" t="s">
        <v>5675</v>
      </c>
      <c r="AP67" s="28" t="s">
        <v>5182</v>
      </c>
      <c r="AQ67" s="28" t="s">
        <v>5675</v>
      </c>
      <c r="AR67" s="23">
        <v>2.153381537E9</v>
      </c>
      <c r="AS67" s="23"/>
      <c r="AT67" s="23"/>
      <c r="AU67" s="23"/>
      <c r="AV67" s="23"/>
    </row>
    <row r="68">
      <c r="A68" s="28" t="s">
        <v>5161</v>
      </c>
      <c r="B68" s="28" t="s">
        <v>5162</v>
      </c>
      <c r="C68" s="23" t="str">
        <f t="shared" si="1"/>
        <v>Maleeha Rashid</v>
      </c>
      <c r="D68" s="28" t="s">
        <v>5676</v>
      </c>
      <c r="E68" s="28" t="s">
        <v>5677</v>
      </c>
      <c r="F68" s="23" t="str">
        <f t="array" ref="F68">IFERROR(
    INDEX('Hub Interns 226'!A:A, MATCH(C68, 'Hub Interns 226'!B:B, 0)),"")</f>
        <v/>
      </c>
      <c r="G68" s="23" t="str">
        <f t="array" ref="G68">IFERROR(
    INDEX('Hub Users 226'!A:A, MATCH(C68, 'Hub Users 226'!B:B, 0)),"")</f>
        <v/>
      </c>
      <c r="H68" s="28">
        <v>29.0</v>
      </c>
      <c r="I68" s="28" t="s">
        <v>290</v>
      </c>
      <c r="J68" s="28" t="s">
        <v>5416</v>
      </c>
      <c r="K68" s="28" t="s">
        <v>5186</v>
      </c>
      <c r="L68" s="28" t="s">
        <v>5196</v>
      </c>
      <c r="M68" s="28"/>
      <c r="N68" s="57">
        <v>43741.63055555556</v>
      </c>
      <c r="O68" s="58">
        <v>37316.0</v>
      </c>
      <c r="P68" s="28">
        <f>DATEDIF(O68, TODAY(), "Y")</f>
        <v>24</v>
      </c>
      <c r="Q68" s="28" t="s">
        <v>5678</v>
      </c>
      <c r="R68" s="23"/>
      <c r="S68" s="28"/>
      <c r="T68" s="28"/>
      <c r="U68" s="28"/>
      <c r="V68" s="28"/>
      <c r="W68" s="28" t="s">
        <v>380</v>
      </c>
      <c r="X68" s="28" t="s">
        <v>381</v>
      </c>
      <c r="Y68" s="28">
        <v>2.159542385E9</v>
      </c>
      <c r="Z68" s="28" t="s">
        <v>5491</v>
      </c>
      <c r="AA68" s="28" t="s">
        <v>5492</v>
      </c>
      <c r="AB68" s="28">
        <v>47.0</v>
      </c>
      <c r="AC68" s="28" t="s">
        <v>25</v>
      </c>
      <c r="AD68" s="23"/>
      <c r="AE68" s="28" t="s">
        <v>4</v>
      </c>
      <c r="AF68" s="23" t="str">
        <f>IFERROR(__xludf.DUMMYFUNCTION("TEXTJOIN("", "", TRUE,
  FILTER(Champions!C:C,
    ISNUMBER(SEARCH(C68, Champions!W:W))
  )
)"),"#N/A")</f>
        <v>#N/A</v>
      </c>
      <c r="AG68" s="23"/>
      <c r="AH68" s="23" t="str">
        <f>IFERROR(__xludf.DUMMYFUNCTION("IF(
ISNUMBER(MATCH(
C68,
IMPORTRANGE(""https://docs.google.com/spreadsheets/d/1yTh1ELC33JHYOeEdgIiEclxPRyh0zOKtlawDltfUay8"",""'Interns'!A:A""),
0
)),
""Outreach Conducted"",
"""")"),"")</f>
        <v/>
      </c>
      <c r="AI68" s="23"/>
      <c r="AJ68" s="23"/>
      <c r="AK68" s="23" t="str">
        <f>IFERROR(__xludf.DUMMYFUNCTION("XLOOKUP(C68, 
   IMPORTRANGE(""1RdEdgHYrZ33LJ7RUHj_h-qkAFL92bcVjtIdVa-UlsCw"", ""Interns!D:D""), 
   IMPORTRANGE(""1RdEdgHYrZ33LJ7RUHj_h-qkAFL92bcVjtIdVa-UlsCw"", ""Interns!M:M""), 
   ""Not Found"")"),"")</f>
        <v/>
      </c>
      <c r="AL68" s="23" t="str">
        <f>IFERROR(__xludf.DUMMYFUNCTION("XLOOKUP(C68, 
   IMPORTRANGE(""1RdEdgHYrZ33LJ7RUHj_h-qkAFL92bcVjtIdVa-UlsCw"", ""Interns!D:D""), 
   IMPORTRANGE(""1RdEdgHYrZ33LJ7RUHj_h-qkAFL92bcVjtIdVa-UlsCw"", ""Interns!N:N""), 
   ""Not Found"")"),"")</f>
        <v/>
      </c>
      <c r="AM68" s="23" t="str">
        <f>IFERROR(__xludf.DUMMYFUNCTION("XLOOKUP(C68, 
   IMPORTRANGE(""1RdEdgHYrZ33LJ7RUHj_h-qkAFL92bcVjtIdVa-UlsCw"", ""Interns!D:D""), 
   IMPORTRANGE(""1RdEdgHYrZ33LJ7RUHj_h-qkAFL92bcVjtIdVa-UlsCw"", ""Interns!O:O""), 
   ""Not Found"")"),"")</f>
        <v/>
      </c>
      <c r="AN68" s="23"/>
      <c r="AO68" s="23" t="s">
        <v>5679</v>
      </c>
      <c r="AP68" s="28" t="s">
        <v>5191</v>
      </c>
      <c r="AQ68" s="28" t="s">
        <v>5679</v>
      </c>
      <c r="AR68" s="23">
        <v>2.153323487E9</v>
      </c>
      <c r="AS68" s="23"/>
      <c r="AT68" s="23"/>
      <c r="AU68" s="23"/>
      <c r="AV68" s="23"/>
    </row>
    <row r="69">
      <c r="A69" s="28" t="s">
        <v>5161</v>
      </c>
      <c r="B69" s="28" t="s">
        <v>5162</v>
      </c>
      <c r="C69" s="23" t="str">
        <f t="shared" si="1"/>
        <v>Mahfuja Khatun</v>
      </c>
      <c r="D69" s="28" t="s">
        <v>5680</v>
      </c>
      <c r="E69" s="28" t="s">
        <v>4451</v>
      </c>
      <c r="F69" s="23">
        <f t="array" ref="F69">IFERROR(
    INDEX('Hub Interns 226'!A:A, MATCH(C69, 'Hub Interns 226'!B:B, 0)),"")</f>
        <v>824</v>
      </c>
      <c r="G69" s="23">
        <f t="array" ref="G69">IFERROR(
    INDEX('Hub Users 226'!A:A, MATCH(C69, 'Hub Users 226'!B:B, 0)),"")</f>
        <v>1257</v>
      </c>
      <c r="H69" s="28">
        <v>127.0</v>
      </c>
      <c r="I69" s="28" t="s">
        <v>290</v>
      </c>
      <c r="J69" s="28" t="s">
        <v>5416</v>
      </c>
      <c r="K69" s="28" t="s">
        <v>5186</v>
      </c>
      <c r="L69" s="28" t="s">
        <v>5196</v>
      </c>
      <c r="M69" s="56" t="s">
        <v>5681</v>
      </c>
      <c r="N69" s="57">
        <v>43773.472916666666</v>
      </c>
      <c r="O69" s="58"/>
      <c r="P69" s="28"/>
      <c r="Q69" s="28" t="s">
        <v>240</v>
      </c>
      <c r="R69" s="23"/>
      <c r="S69" s="28"/>
      <c r="T69" s="28"/>
      <c r="U69" s="28"/>
      <c r="V69" s="28"/>
      <c r="W69" s="28" t="s">
        <v>859</v>
      </c>
      <c r="X69" s="28" t="s">
        <v>272</v>
      </c>
      <c r="Y69" s="28">
        <v>9.294369862E9</v>
      </c>
      <c r="Z69" s="28" t="s">
        <v>5435</v>
      </c>
      <c r="AA69" s="28" t="s">
        <v>5436</v>
      </c>
      <c r="AB69" s="28">
        <v>10.0</v>
      </c>
      <c r="AC69" s="28" t="s">
        <v>25</v>
      </c>
      <c r="AD69" s="28" t="s">
        <v>101</v>
      </c>
      <c r="AE69" s="28" t="s">
        <v>6</v>
      </c>
      <c r="AF69" s="23" t="str">
        <f>IFERROR(__xludf.DUMMYFUNCTION("TEXTJOIN("", "", TRUE,
  FILTER(Champions!C:C,
    ISNUMBER(SEARCH(C69, Champions!W:W))
  )
)"),"Daniela Russo, Vicki Teman")</f>
        <v>Daniela Russo, Vicki Teman</v>
      </c>
      <c r="AG69" s="23"/>
      <c r="AH69" s="23" t="str">
        <f>IFERROR(__xludf.DUMMYFUNCTION("IF(
ISNUMBER(MATCH(
C69,
IMPORTRANGE(""https://docs.google.com/spreadsheets/d/1yTh1ELC33JHYOeEdgIiEclxPRyh0zOKtlawDltfUay8"",""'Interns'!A:A""),
0
)),
""Outreach Conducted"",
"""")"),"")</f>
        <v/>
      </c>
      <c r="AI69" s="23"/>
      <c r="AJ69" s="23"/>
      <c r="AK69" s="23" t="str">
        <f>IFERROR(__xludf.DUMMYFUNCTION("XLOOKUP(C69, 
   IMPORTRANGE(""1RdEdgHYrZ33LJ7RUHj_h-qkAFL92bcVjtIdVa-UlsCw"", ""Interns!D:D""), 
   IMPORTRANGE(""1RdEdgHYrZ33LJ7RUHj_h-qkAFL92bcVjtIdVa-UlsCw"", ""Interns!M:M""), 
   ""Not Found"")"),"Contacted")</f>
        <v>Contacted</v>
      </c>
      <c r="AL69" s="23" t="str">
        <f>IFERROR(__xludf.DUMMYFUNCTION("XLOOKUP(C69, 
   IMPORTRANGE(""1RdEdgHYrZ33LJ7RUHj_h-qkAFL92bcVjtIdVa-UlsCw"", ""Interns!D:D""), 
   IMPORTRANGE(""1RdEdgHYrZ33LJ7RUHj_h-qkAFL92bcVjtIdVa-UlsCw"", ""Interns!N:N""), 
   ""Not Found"")"),"#Cheers4Careers")</f>
        <v>#Cheers4Careers</v>
      </c>
      <c r="AM69" s="23" t="str">
        <f>IFERROR(__xludf.DUMMYFUNCTION("XLOOKUP(C69, 
   IMPORTRANGE(""1RdEdgHYrZ33LJ7RUHj_h-qkAFL92bcVjtIdVa-UlsCw"", ""Interns!D:D""), 
   IMPORTRANGE(""1RdEdgHYrZ33LJ7RUHj_h-qkAFL92bcVjtIdVa-UlsCw"", ""Interns!O:O""), 
   ""Not Found"")"),"Hetal reached out by email 3/27")</f>
        <v>Hetal reached out by email 3/27</v>
      </c>
      <c r="AN69" s="23"/>
      <c r="AO69" s="23" t="s">
        <v>5682</v>
      </c>
      <c r="AP69" s="28" t="s">
        <v>5191</v>
      </c>
      <c r="AQ69" s="28" t="s">
        <v>5683</v>
      </c>
      <c r="AR69" s="23">
        <v>9.294369862E9</v>
      </c>
      <c r="AS69" s="23"/>
      <c r="AT69" s="23"/>
      <c r="AU69" s="23"/>
      <c r="AV69" s="23"/>
    </row>
    <row r="70">
      <c r="A70" s="28" t="s">
        <v>5202</v>
      </c>
      <c r="B70" s="28" t="s">
        <v>5162</v>
      </c>
      <c r="C70" s="23" t="str">
        <f t="shared" si="1"/>
        <v>Saima Akter</v>
      </c>
      <c r="D70" s="28" t="s">
        <v>3019</v>
      </c>
      <c r="E70" s="28" t="s">
        <v>5684</v>
      </c>
      <c r="F70" s="23">
        <f t="array" ref="F70">IFERROR(
    INDEX('Hub Interns 226'!A:A, MATCH(C70, 'Hub Interns 226'!B:B, 0)),"")</f>
        <v>1058</v>
      </c>
      <c r="G70" s="23">
        <f t="array" ref="G70">IFERROR(
    INDEX('Hub Users 226'!A:A, MATCH(C70, 'Hub Users 226'!B:B, 0)),"")</f>
        <v>1491</v>
      </c>
      <c r="H70" s="28">
        <v>81.0</v>
      </c>
      <c r="I70" s="28" t="s">
        <v>260</v>
      </c>
      <c r="J70" s="28" t="s">
        <v>5416</v>
      </c>
      <c r="K70" s="28" t="s">
        <v>5186</v>
      </c>
      <c r="L70" s="28" t="s">
        <v>5196</v>
      </c>
      <c r="M70" s="56" t="s">
        <v>5685</v>
      </c>
      <c r="N70" s="57">
        <v>43741.63125</v>
      </c>
      <c r="O70" s="58">
        <v>37026.0</v>
      </c>
      <c r="P70" s="28">
        <f>DATEDIF(O70, TODAY(), "Y")</f>
        <v>25</v>
      </c>
      <c r="Q70" s="28" t="s">
        <v>5686</v>
      </c>
      <c r="R70" s="28" t="s">
        <v>5687</v>
      </c>
      <c r="S70" s="28">
        <v>15.0</v>
      </c>
      <c r="T70" s="28">
        <v>33.0</v>
      </c>
      <c r="U70" s="28">
        <v>80.0</v>
      </c>
      <c r="V70" s="28">
        <v>11.0</v>
      </c>
      <c r="W70" s="28" t="s">
        <v>859</v>
      </c>
      <c r="X70" s="28" t="s">
        <v>272</v>
      </c>
      <c r="Y70" s="28" t="s">
        <v>5688</v>
      </c>
      <c r="Z70" s="28" t="s">
        <v>5435</v>
      </c>
      <c r="AA70" s="28" t="s">
        <v>5436</v>
      </c>
      <c r="AB70" s="28">
        <v>10.0</v>
      </c>
      <c r="AC70" s="28" t="s">
        <v>25</v>
      </c>
      <c r="AD70" s="23"/>
      <c r="AE70" s="28" t="s">
        <v>7</v>
      </c>
      <c r="AF70" s="23" t="str">
        <f>IFERROR(__xludf.DUMMYFUNCTION("TEXTJOIN("", "", TRUE,
  FILTER(Champions!C:C,
    ISNUMBER(SEARCH(C70, Champions!W:W))
  )
)"),"Bhavna Mohan Agnihotri, Divya Padgaonkar, Divya Jani, Kiran Gill, Nikita Catharine Viswasam, Sriramya Ayyagari, Susan Philipose")</f>
        <v>Bhavna Mohan Agnihotri, Divya Padgaonkar, Divya Jani, Kiran Gill, Nikita Catharine Viswasam, Sriramya Ayyagari, Susan Philipose</v>
      </c>
      <c r="AG70" s="23"/>
      <c r="AH70" s="23" t="str">
        <f>IFERROR(__xludf.DUMMYFUNCTION("IF(
ISNUMBER(MATCH(
C70,
IMPORTRANGE(""https://docs.google.com/spreadsheets/d/1yTh1ELC33JHYOeEdgIiEclxPRyh0zOKtlawDltfUay8"",""'Interns'!A:A""),
0
)),
""Outreach Conducted"",
"""")"),"")</f>
        <v/>
      </c>
      <c r="AI70" s="23"/>
      <c r="AJ70" s="28" t="s">
        <v>5689</v>
      </c>
      <c r="AK70" s="23" t="str">
        <f>IFERROR(__xludf.DUMMYFUNCTION("XLOOKUP(C70, 
   IMPORTRANGE(""1RdEdgHYrZ33LJ7RUHj_h-qkAFL92bcVjtIdVa-UlsCw"", ""Interns!D:D""), 
   IMPORTRANGE(""1RdEdgHYrZ33LJ7RUHj_h-qkAFL92bcVjtIdVa-UlsCw"", ""Interns!M:M""), 
   ""Not Found"")"),"")</f>
        <v/>
      </c>
      <c r="AL70" s="23" t="str">
        <f>IFERROR(__xludf.DUMMYFUNCTION("XLOOKUP(C70, 
   IMPORTRANGE(""1RdEdgHYrZ33LJ7RUHj_h-qkAFL92bcVjtIdVa-UlsCw"", ""Interns!D:D""), 
   IMPORTRANGE(""1RdEdgHYrZ33LJ7RUHj_h-qkAFL92bcVjtIdVa-UlsCw"", ""Interns!N:N""), 
   ""Not Found"")"),"")</f>
        <v/>
      </c>
      <c r="AM70" s="23" t="str">
        <f>IFERROR(__xludf.DUMMYFUNCTION("XLOOKUP(C70, 
   IMPORTRANGE(""1RdEdgHYrZ33LJ7RUHj_h-qkAFL92bcVjtIdVa-UlsCw"", ""Interns!D:D""), 
   IMPORTRANGE(""1RdEdgHYrZ33LJ7RUHj_h-qkAFL92bcVjtIdVa-UlsCw"", ""Interns!O:O""), 
   ""Not Found"")"),"")</f>
        <v/>
      </c>
      <c r="AN70" s="23"/>
      <c r="AO70" s="23" t="s">
        <v>5685</v>
      </c>
      <c r="AP70" s="28" t="s">
        <v>5191</v>
      </c>
      <c r="AQ70" s="28" t="s">
        <v>5685</v>
      </c>
      <c r="AR70" s="23" t="s">
        <v>5690</v>
      </c>
      <c r="AS70" s="23"/>
      <c r="AT70" s="23"/>
      <c r="AU70" s="23"/>
      <c r="AV70" s="23"/>
    </row>
    <row r="71">
      <c r="A71" s="28" t="s">
        <v>5161</v>
      </c>
      <c r="B71" s="28" t="s">
        <v>5162</v>
      </c>
      <c r="C71" s="23" t="str">
        <f t="shared" si="1"/>
        <v>Tasnim Jahan</v>
      </c>
      <c r="D71" s="28" t="s">
        <v>5611</v>
      </c>
      <c r="E71" s="28" t="s">
        <v>5424</v>
      </c>
      <c r="F71" s="23">
        <f t="array" ref="F71">IFERROR(
    INDEX('Hub Interns 226'!A:A, MATCH(C71, 'Hub Interns 226'!B:B, 0)),"")</f>
        <v>1140</v>
      </c>
      <c r="G71" s="23">
        <f t="array" ref="G71">IFERROR(
    INDEX('Hub Users 226'!A:A, MATCH(C71, 'Hub Users 226'!B:B, 0)),"")</f>
        <v>1573</v>
      </c>
      <c r="H71" s="28">
        <v>14.0</v>
      </c>
      <c r="I71" s="28" t="s">
        <v>260</v>
      </c>
      <c r="J71" s="28" t="s">
        <v>5416</v>
      </c>
      <c r="K71" s="28" t="s">
        <v>5186</v>
      </c>
      <c r="L71" s="28" t="s">
        <v>5196</v>
      </c>
      <c r="M71" s="56" t="s">
        <v>5691</v>
      </c>
      <c r="N71" s="57">
        <v>43738.88402777778</v>
      </c>
      <c r="O71" s="58"/>
      <c r="P71" s="28"/>
      <c r="Q71" s="28" t="s">
        <v>5692</v>
      </c>
      <c r="R71" s="23"/>
      <c r="S71" s="28"/>
      <c r="T71" s="28"/>
      <c r="U71" s="28"/>
      <c r="V71" s="28"/>
      <c r="W71" s="28" t="s">
        <v>859</v>
      </c>
      <c r="X71" s="28" t="s">
        <v>272</v>
      </c>
      <c r="Y71" s="28">
        <v>9.293518988E9</v>
      </c>
      <c r="Z71" s="28" t="s">
        <v>5435</v>
      </c>
      <c r="AA71" s="28" t="s">
        <v>5436</v>
      </c>
      <c r="AB71" s="28">
        <v>10.0</v>
      </c>
      <c r="AC71" s="28" t="s">
        <v>25</v>
      </c>
      <c r="AD71" s="23"/>
      <c r="AE71" s="28" t="s">
        <v>7</v>
      </c>
      <c r="AF71" s="23" t="str">
        <f>IFERROR(__xludf.DUMMYFUNCTION("TEXTJOIN("", "", TRUE,
  FILTER(Champions!C:C,
    ISNUMBER(SEARCH(C71, Champions!W:W))
  )
)"),"Addy Michelle Jimenez Haga, Angana Deb, Bhavna Mohan Agnihotri, Divya Jani, Kiran Gill, Sriramya Ayyagari")</f>
        <v>Addy Michelle Jimenez Haga, Angana Deb, Bhavna Mohan Agnihotri, Divya Jani, Kiran Gill, Sriramya Ayyagari</v>
      </c>
      <c r="AG71" s="23"/>
      <c r="AH71" s="23" t="str">
        <f>IFERROR(__xludf.DUMMYFUNCTION("IF(
ISNUMBER(MATCH(
C71,
IMPORTRANGE(""https://docs.google.com/spreadsheets/d/1yTh1ELC33JHYOeEdgIiEclxPRyh0zOKtlawDltfUay8"",""'Interns'!A:A""),
0
)),
""Outreach Conducted"",
"""")"),"")</f>
        <v/>
      </c>
      <c r="AI71" s="23"/>
      <c r="AJ71" s="23"/>
      <c r="AK71" s="23" t="str">
        <f>IFERROR(__xludf.DUMMYFUNCTION("XLOOKUP(C71, 
   IMPORTRANGE(""1RdEdgHYrZ33LJ7RUHj_h-qkAFL92bcVjtIdVa-UlsCw"", ""Interns!D:D""), 
   IMPORTRANGE(""1RdEdgHYrZ33LJ7RUHj_h-qkAFL92bcVjtIdVa-UlsCw"", ""Interns!M:M""), 
   ""Not Found"")"),"Contacted")</f>
        <v>Contacted</v>
      </c>
      <c r="AL71" s="23" t="str">
        <f>IFERROR(__xludf.DUMMYFUNCTION("XLOOKUP(C71, 
   IMPORTRANGE(""1RdEdgHYrZ33LJ7RUHj_h-qkAFL92bcVjtIdVa-UlsCw"", ""Interns!D:D""), 
   IMPORTRANGE(""1RdEdgHYrZ33LJ7RUHj_h-qkAFL92bcVjtIdVa-UlsCw"", ""Interns!N:N""), 
   ""Not Found"")"),"#Cheers4Careers")</f>
        <v>#Cheers4Careers</v>
      </c>
      <c r="AM71" s="23" t="str">
        <f>IFERROR(__xludf.DUMMYFUNCTION("XLOOKUP(C71, 
   IMPORTRANGE(""1RdEdgHYrZ33LJ7RUHj_h-qkAFL92bcVjtIdVa-UlsCw"", ""Interns!D:D""), 
   IMPORTRANGE(""1RdEdgHYrZ33LJ7RUHj_h-qkAFL92bcVjtIdVa-UlsCw"", ""Interns!O:O""), 
   ""Not Found"")"),"Hetal reached out by email 3/27")</f>
        <v>Hetal reached out by email 3/27</v>
      </c>
      <c r="AN71" s="23"/>
      <c r="AO71" s="23" t="s">
        <v>5691</v>
      </c>
      <c r="AP71" s="28" t="s">
        <v>5191</v>
      </c>
      <c r="AQ71" s="28" t="s">
        <v>5691</v>
      </c>
      <c r="AR71" s="23">
        <v>9.294975976E9</v>
      </c>
      <c r="AS71" s="28" t="s">
        <v>5693</v>
      </c>
      <c r="AT71" s="23"/>
      <c r="AU71" s="23"/>
      <c r="AV71" s="23"/>
    </row>
    <row r="72">
      <c r="A72" s="28" t="s">
        <v>5161</v>
      </c>
      <c r="B72" s="28" t="s">
        <v>5162</v>
      </c>
      <c r="C72" s="23" t="str">
        <f t="shared" si="1"/>
        <v>Mahia Chowdhury</v>
      </c>
      <c r="D72" s="28" t="s">
        <v>5694</v>
      </c>
      <c r="E72" s="28" t="s">
        <v>926</v>
      </c>
      <c r="F72" s="23">
        <f t="array" ref="F72">IFERROR(
    INDEX('Hub Interns 226'!A:A, MATCH(C72, 'Hub Interns 226'!B:B, 0)),"")</f>
        <v>1783</v>
      </c>
      <c r="G72" s="23">
        <f t="array" ref="G72">IFERROR(
    INDEX('Hub Users 226'!A:A, MATCH(C72, 'Hub Users 226'!B:B, 0)),"")</f>
        <v>2613</v>
      </c>
      <c r="H72" s="28">
        <v>1638.0</v>
      </c>
      <c r="I72" s="28" t="s">
        <v>407</v>
      </c>
      <c r="J72" s="28" t="s">
        <v>5416</v>
      </c>
      <c r="K72" s="28" t="s">
        <v>5186</v>
      </c>
      <c r="L72" s="28" t="s">
        <v>5165</v>
      </c>
      <c r="M72" s="56" t="s">
        <v>5695</v>
      </c>
      <c r="N72" s="57">
        <v>45116.95625</v>
      </c>
      <c r="O72" s="58"/>
      <c r="P72" s="28">
        <f t="shared" ref="P72:P87" si="7">DATEDIF(O72, TODAY(), "Y")</f>
        <v>126</v>
      </c>
      <c r="Q72" s="28" t="s">
        <v>240</v>
      </c>
      <c r="R72" s="23"/>
      <c r="S72" s="28"/>
      <c r="T72" s="28"/>
      <c r="U72" s="28"/>
      <c r="V72" s="28"/>
      <c r="W72" s="23"/>
      <c r="X72" s="23"/>
      <c r="Y72" s="28">
        <v>9.296605851E9</v>
      </c>
      <c r="Z72" s="28" t="s">
        <v>5696</v>
      </c>
      <c r="AA72" s="28" t="s">
        <v>5639</v>
      </c>
      <c r="AB72" s="23"/>
      <c r="AC72" s="28" t="s">
        <v>27</v>
      </c>
      <c r="AD72" s="23"/>
      <c r="AE72" s="28" t="s">
        <v>18</v>
      </c>
      <c r="AF72" s="23"/>
      <c r="AG72" s="26" t="s">
        <v>5697</v>
      </c>
      <c r="AH72" s="23" t="str">
        <f>IFERROR(__xludf.DUMMYFUNCTION("IF(
ISNUMBER(MATCH(
C72,
IMPORTRANGE(""https://docs.google.com/spreadsheets/d/1yTh1ELC33JHYOeEdgIiEclxPRyh0zOKtlawDltfUay8"",""'Interns'!A:A""),
0
)),
""Outreach Conducted"",
"""")"),"")</f>
        <v/>
      </c>
      <c r="AI72" s="23"/>
      <c r="AJ72" s="23"/>
      <c r="AK72" s="23" t="str">
        <f>IFERROR(__xludf.DUMMYFUNCTION("XLOOKUP(C72, 
   IMPORTRANGE(""1RdEdgHYrZ33LJ7RUHj_h-qkAFL92bcVjtIdVa-UlsCw"", ""Interns!D:D""), 
   IMPORTRANGE(""1RdEdgHYrZ33LJ7RUHj_h-qkAFL92bcVjtIdVa-UlsCw"", ""Interns!M:M""), 
   ""Not Found"")"),"RSVP'd")</f>
        <v>RSVP'd</v>
      </c>
      <c r="AL72" s="23" t="str">
        <f>IFERROR(__xludf.DUMMYFUNCTION("XLOOKUP(C72, 
   IMPORTRANGE(""1RdEdgHYrZ33LJ7RUHj_h-qkAFL92bcVjtIdVa-UlsCw"", ""Interns!D:D""), 
   IMPORTRANGE(""1RdEdgHYrZ33LJ7RUHj_h-qkAFL92bcVjtIdVa-UlsCw"", ""Interns!N:N""), 
   ""Not Found"")"),"#Cheers4Careers")</f>
        <v>#Cheers4Careers</v>
      </c>
      <c r="AM72" s="23" t="str">
        <f>IFERROR(__xludf.DUMMYFUNCTION("XLOOKUP(C72, 
   IMPORTRANGE(""1RdEdgHYrZ33LJ7RUHj_h-qkAFL92bcVjtIdVa-UlsCw"", ""Interns!D:D""), 
   IMPORTRANGE(""1RdEdgHYrZ33LJ7RUHj_h-qkAFL92bcVjtIdVa-UlsCw"", ""Interns!O:O""), 
   ""Not Found"")"),"Hetal reached out by text 3/27 for #Cheers4Careers and whatsapp on 3/28 and Mahia Registered but didn't attend --Hetal  reached out for April 18th and will ask for HUB
Hetal reached out on 4/10 by whatsapp for April 18th #Cheers4Careers")</f>
        <v>Hetal reached out by text 3/27 for #Cheers4Careers and whatsapp on 3/28 and Mahia Registered but didn't attend --Hetal  reached out for April 18th and will ask for HUB
Hetal reached out on 4/10 by whatsapp for April 18th #Cheers4Careers</v>
      </c>
      <c r="AN72" s="23"/>
      <c r="AO72" s="23" t="s">
        <v>5698</v>
      </c>
      <c r="AP72" s="28"/>
      <c r="AQ72" s="28" t="s">
        <v>5699</v>
      </c>
      <c r="AR72" s="23" t="s">
        <v>5700</v>
      </c>
      <c r="AS72" s="23"/>
      <c r="AT72" s="23"/>
      <c r="AU72" s="23"/>
      <c r="AV72" s="23"/>
    </row>
    <row r="73">
      <c r="A73" s="28" t="s">
        <v>5202</v>
      </c>
      <c r="B73" s="28" t="s">
        <v>5162</v>
      </c>
      <c r="C73" s="23" t="str">
        <f t="shared" si="1"/>
        <v>Mohammed hossain</v>
      </c>
      <c r="D73" s="28" t="s">
        <v>2485</v>
      </c>
      <c r="E73" s="28" t="s">
        <v>5701</v>
      </c>
      <c r="F73" s="23">
        <f t="array" ref="F73">IFERROR(
    INDEX('Hub Interns 226'!A:A, MATCH(C73, 'Hub Interns 226'!B:B, 0)),"")</f>
        <v>57</v>
      </c>
      <c r="G73" s="23">
        <f t="array" ref="G73">IFERROR(
    INDEX('Hub Users 226'!A:A, MATCH(C73, 'Hub Users 226'!B:B, 0)),"")</f>
        <v>490</v>
      </c>
      <c r="H73" s="28">
        <v>941.0</v>
      </c>
      <c r="I73" s="28" t="s">
        <v>290</v>
      </c>
      <c r="J73" s="28" t="s">
        <v>5416</v>
      </c>
      <c r="K73" s="28" t="s">
        <v>5186</v>
      </c>
      <c r="L73" s="28" t="s">
        <v>5165</v>
      </c>
      <c r="M73" s="56" t="s">
        <v>5702</v>
      </c>
      <c r="N73" s="57">
        <v>44603.595138888886</v>
      </c>
      <c r="O73" s="58">
        <v>38388.0</v>
      </c>
      <c r="P73" s="28">
        <f t="shared" si="7"/>
        <v>21</v>
      </c>
      <c r="Q73" s="28" t="s">
        <v>240</v>
      </c>
      <c r="R73" s="28" t="s">
        <v>5703</v>
      </c>
      <c r="S73" s="28">
        <v>9.0</v>
      </c>
      <c r="T73" s="28">
        <v>17.0</v>
      </c>
      <c r="U73" s="28">
        <v>44.0</v>
      </c>
      <c r="V73" s="28">
        <v>39.0</v>
      </c>
      <c r="W73" s="28" t="s">
        <v>294</v>
      </c>
      <c r="X73" s="28" t="s">
        <v>272</v>
      </c>
      <c r="Y73" s="28" t="s">
        <v>5704</v>
      </c>
      <c r="Z73" s="28" t="s">
        <v>5259</v>
      </c>
      <c r="AA73" s="28" t="s">
        <v>704</v>
      </c>
      <c r="AB73" s="28">
        <v>2.0</v>
      </c>
      <c r="AC73" s="28" t="s">
        <v>24</v>
      </c>
      <c r="AD73" s="23"/>
      <c r="AE73" s="28" t="s">
        <v>10</v>
      </c>
      <c r="AF73" s="23"/>
      <c r="AG73" s="23"/>
      <c r="AH73" s="23" t="str">
        <f>IFERROR(__xludf.DUMMYFUNCTION("IF(
ISNUMBER(MATCH(
C73,
IMPORTRANGE(""https://docs.google.com/spreadsheets/d/1yTh1ELC33JHYOeEdgIiEclxPRyh0zOKtlawDltfUay8"",""'Interns'!A:A""),
0
)),
""Outreach Conducted"",
"""")"),"")</f>
        <v/>
      </c>
      <c r="AI73" s="23"/>
      <c r="AJ73" s="23"/>
      <c r="AK73" s="23" t="str">
        <f>IFERROR(__xludf.DUMMYFUNCTION("XLOOKUP(C73, 
   IMPORTRANGE(""1RdEdgHYrZ33LJ7RUHj_h-qkAFL92bcVjtIdVa-UlsCw"", ""Interns!D:D""), 
   IMPORTRANGE(""1RdEdgHYrZ33LJ7RUHj_h-qkAFL92bcVjtIdVa-UlsCw"", ""Interns!M:M""), 
   ""Not Found"")"),"")</f>
        <v/>
      </c>
      <c r="AL73" s="23" t="str">
        <f>IFERROR(__xludf.DUMMYFUNCTION("XLOOKUP(C73, 
   IMPORTRANGE(""1RdEdgHYrZ33LJ7RUHj_h-qkAFL92bcVjtIdVa-UlsCw"", ""Interns!D:D""), 
   IMPORTRANGE(""1RdEdgHYrZ33LJ7RUHj_h-qkAFL92bcVjtIdVa-UlsCw"", ""Interns!N:N""), 
   ""Not Found"")"),"")</f>
        <v/>
      </c>
      <c r="AM73" s="23" t="str">
        <f>IFERROR(__xludf.DUMMYFUNCTION("XLOOKUP(C73, 
   IMPORTRANGE(""1RdEdgHYrZ33LJ7RUHj_h-qkAFL92bcVjtIdVa-UlsCw"", ""Interns!D:D""), 
   IMPORTRANGE(""1RdEdgHYrZ33LJ7RUHj_h-qkAFL92bcVjtIdVa-UlsCw"", ""Interns!O:O""), 
   ""Not Found"")"),"")</f>
        <v/>
      </c>
      <c r="AN73" s="23"/>
      <c r="AO73" s="23" t="s">
        <v>5705</v>
      </c>
      <c r="AP73" s="28" t="s">
        <v>5240</v>
      </c>
      <c r="AQ73" s="28"/>
      <c r="AR73" s="23"/>
      <c r="AS73" s="23"/>
      <c r="AT73" s="23"/>
      <c r="AU73" s="23"/>
      <c r="AV73" s="23"/>
    </row>
    <row r="74">
      <c r="A74" s="28" t="s">
        <v>5161</v>
      </c>
      <c r="B74" s="28" t="s">
        <v>5162</v>
      </c>
      <c r="C74" s="23" t="str">
        <f t="shared" si="1"/>
        <v>Ishmael Callender</v>
      </c>
      <c r="D74" s="28" t="s">
        <v>5706</v>
      </c>
      <c r="E74" s="28" t="s">
        <v>5707</v>
      </c>
      <c r="F74" s="23">
        <f t="array" ref="F74">IFERROR(
    INDEX('Hub Interns 226'!A:A, MATCH(C74, 'Hub Interns 226'!B:B, 0)),"")</f>
        <v>597</v>
      </c>
      <c r="G74" s="23">
        <f t="array" ref="G74">IFERROR(
    INDEX('Hub Users 226'!A:A, MATCH(C74, 'Hub Users 226'!B:B, 0)),"")</f>
        <v>1030</v>
      </c>
      <c r="H74" s="28">
        <v>581.0</v>
      </c>
      <c r="I74" s="28" t="s">
        <v>239</v>
      </c>
      <c r="J74" s="28" t="s">
        <v>444</v>
      </c>
      <c r="K74" s="28" t="s">
        <v>5177</v>
      </c>
      <c r="L74" s="28" t="s">
        <v>5165</v>
      </c>
      <c r="M74" s="56" t="s">
        <v>5708</v>
      </c>
      <c r="N74" s="59">
        <v>44481.57013888889</v>
      </c>
      <c r="O74" s="58">
        <v>38686.0</v>
      </c>
      <c r="P74" s="28">
        <f t="shared" si="7"/>
        <v>20</v>
      </c>
      <c r="Q74" s="28" t="s">
        <v>240</v>
      </c>
      <c r="R74" s="28" t="s">
        <v>5709</v>
      </c>
      <c r="S74" s="28">
        <v>5.0</v>
      </c>
      <c r="T74" s="28">
        <v>10.0</v>
      </c>
      <c r="U74" s="28">
        <v>31.0</v>
      </c>
      <c r="V74" s="28">
        <v>31.0</v>
      </c>
      <c r="W74" s="28" t="s">
        <v>1173</v>
      </c>
      <c r="X74" s="28" t="s">
        <v>272</v>
      </c>
      <c r="Y74" s="28" t="s">
        <v>5710</v>
      </c>
      <c r="Z74" s="28" t="s">
        <v>5332</v>
      </c>
      <c r="AA74" s="28" t="s">
        <v>421</v>
      </c>
      <c r="AB74" s="28">
        <v>31.0</v>
      </c>
      <c r="AC74" s="28" t="s">
        <v>25</v>
      </c>
      <c r="AD74" s="23"/>
      <c r="AE74" s="28" t="s">
        <v>10</v>
      </c>
      <c r="AF74" s="23" t="str">
        <f>IFERROR(__xludf.DUMMYFUNCTION("TEXTJOIN("", "", TRUE,
  FILTER(Champions!C:C,
    ISNUMBER(SEARCH(C74, Champions!W:W))
  )
)"),"Loren Hernandez, Natsumi Komatani, Brian Blackwell")</f>
        <v>Loren Hernandez, Natsumi Komatani, Brian Blackwell</v>
      </c>
      <c r="AG74" s="23"/>
      <c r="AH74" s="23" t="str">
        <f>IFERROR(__xludf.DUMMYFUNCTION("IF(
ISNUMBER(MATCH(
C74,
IMPORTRANGE(""https://docs.google.com/spreadsheets/d/1yTh1ELC33JHYOeEdgIiEclxPRyh0zOKtlawDltfUay8"",""'Interns'!A:A""),
0
)),
""Outreach Conducted"",
"""")"),"")</f>
        <v/>
      </c>
      <c r="AI74" s="23"/>
      <c r="AJ74" s="23"/>
      <c r="AK74" s="23" t="str">
        <f>IFERROR(__xludf.DUMMYFUNCTION("XLOOKUP(C74, 
   IMPORTRANGE(""1RdEdgHYrZ33LJ7RUHj_h-qkAFL92bcVjtIdVa-UlsCw"", ""Interns!D:D""), 
   IMPORTRANGE(""1RdEdgHYrZ33LJ7RUHj_h-qkAFL92bcVjtIdVa-UlsCw"", ""Interns!M:M""), 
   ""Not Found"")"),"Contacted")</f>
        <v>Contacted</v>
      </c>
      <c r="AL74" s="23" t="str">
        <f>IFERROR(__xludf.DUMMYFUNCTION("XLOOKUP(C74, 
   IMPORTRANGE(""1RdEdgHYrZ33LJ7RUHj_h-qkAFL92bcVjtIdVa-UlsCw"", ""Interns!D:D""), 
   IMPORTRANGE(""1RdEdgHYrZ33LJ7RUHj_h-qkAFL92bcVjtIdVa-UlsCw"", ""Interns!N:N""), 
   ""Not Found"")"),"#Cheers4Careers")</f>
        <v>#Cheers4Careers</v>
      </c>
      <c r="AM74" s="23" t="str">
        <f>IFERROR(__xludf.DUMMYFUNCTION("XLOOKUP(C74, 
   IMPORTRANGE(""1RdEdgHYrZ33LJ7RUHj_h-qkAFL92bcVjtIdVa-UlsCw"", ""Interns!D:D""), 
   IMPORTRANGE(""1RdEdgHYrZ33LJ7RUHj_h-qkAFL92bcVjtIdVa-UlsCw"", ""Interns!O:O""), 
   ""Not Found"")"),"Hetal reached out March 27 for March #Cheers4 Careers ")</f>
        <v>Hetal reached out March 27 for March #Cheers4 Careers </v>
      </c>
      <c r="AN74" s="23"/>
      <c r="AO74" s="23" t="s">
        <v>5711</v>
      </c>
      <c r="AP74" s="28" t="s">
        <v>5182</v>
      </c>
      <c r="AQ74" s="28" t="s">
        <v>5712</v>
      </c>
      <c r="AR74" s="23" t="s">
        <v>5713</v>
      </c>
      <c r="AS74" s="23"/>
      <c r="AT74" s="23"/>
      <c r="AU74" s="23"/>
      <c r="AV74" s="23"/>
    </row>
    <row r="75">
      <c r="A75" s="28" t="s">
        <v>5161</v>
      </c>
      <c r="B75" s="28" t="s">
        <v>5162</v>
      </c>
      <c r="C75" s="23" t="str">
        <f t="shared" si="1"/>
        <v>Aryna Maletskaya</v>
      </c>
      <c r="D75" s="28" t="s">
        <v>5714</v>
      </c>
      <c r="E75" s="28" t="s">
        <v>5715</v>
      </c>
      <c r="F75" s="23" t="str">
        <f t="array" ref="F75">IFERROR(
    INDEX('Hub Interns 226'!A:A, MATCH(C75, 'Hub Interns 226'!B:B, 0)),"")</f>
        <v/>
      </c>
      <c r="G75" s="23">
        <f t="array" ref="G75">IFERROR(
    INDEX('Hub Users 226'!A:A, MATCH(C75, 'Hub Users 226'!B:B, 0)),"")</f>
        <v>1918</v>
      </c>
      <c r="H75" s="28">
        <v>1771.0</v>
      </c>
      <c r="I75" s="28" t="s">
        <v>608</v>
      </c>
      <c r="J75" s="28" t="s">
        <v>5716</v>
      </c>
      <c r="K75" s="28" t="s">
        <v>5255</v>
      </c>
      <c r="L75" s="28" t="s">
        <v>5196</v>
      </c>
      <c r="M75" s="56" t="s">
        <v>5717</v>
      </c>
      <c r="N75" s="57">
        <v>45312.74236111111</v>
      </c>
      <c r="O75" s="58">
        <v>45310.0</v>
      </c>
      <c r="P75" s="28">
        <f t="shared" si="7"/>
        <v>2</v>
      </c>
      <c r="Q75" s="28" t="s">
        <v>5718</v>
      </c>
      <c r="R75" s="28" t="s">
        <v>5719</v>
      </c>
      <c r="S75" s="28">
        <v>9.0</v>
      </c>
      <c r="T75" s="28">
        <v>21.0</v>
      </c>
      <c r="U75" s="28">
        <v>44.0</v>
      </c>
      <c r="V75" s="28">
        <v>39.0</v>
      </c>
      <c r="W75" s="28" t="s">
        <v>294</v>
      </c>
      <c r="X75" s="28" t="s">
        <v>272</v>
      </c>
      <c r="Y75" s="28">
        <v>9.298881374E9</v>
      </c>
      <c r="Z75" s="28" t="s">
        <v>5259</v>
      </c>
      <c r="AA75" s="28" t="s">
        <v>704</v>
      </c>
      <c r="AB75" s="28">
        <v>2.0</v>
      </c>
      <c r="AC75" s="28" t="s">
        <v>25</v>
      </c>
      <c r="AD75" s="23"/>
      <c r="AE75" s="28" t="s">
        <v>18</v>
      </c>
      <c r="AF75" s="23" t="str">
        <f>IFERROR(__xludf.DUMMYFUNCTION("TEXTJOIN("", "", TRUE,
  FILTER(Champions!C:C,
    ISNUMBER(SEARCH(C75, Champions!W:W))
  )
)"),"Frances Tseng, Lady Freire")</f>
        <v>Frances Tseng, Lady Freire</v>
      </c>
      <c r="AG75" s="23"/>
      <c r="AH75" s="23" t="str">
        <f>IFERROR(__xludf.DUMMYFUNCTION("IF(
ISNUMBER(MATCH(
C75,
IMPORTRANGE(""https://docs.google.com/spreadsheets/d/1yTh1ELC33JHYOeEdgIiEclxPRyh0zOKtlawDltfUay8"",""'Interns'!A:A""),
0
)),
""Outreach Conducted"",
"""")"),"")</f>
        <v/>
      </c>
      <c r="AI75" s="23"/>
      <c r="AJ75" s="23"/>
      <c r="AK75" s="23" t="str">
        <f>IFERROR(__xludf.DUMMYFUNCTION("XLOOKUP(C75, 
   IMPORTRANGE(""1RdEdgHYrZ33LJ7RUHj_h-qkAFL92bcVjtIdVa-UlsCw"", ""Interns!D:D""), 
   IMPORTRANGE(""1RdEdgHYrZ33LJ7RUHj_h-qkAFL92bcVjtIdVa-UlsCw"", ""Interns!M:M""), 
   ""Not Found"")"),"Contacted")</f>
        <v>Contacted</v>
      </c>
      <c r="AL75" s="23" t="str">
        <f>IFERROR(__xludf.DUMMYFUNCTION("XLOOKUP(C75, 
   IMPORTRANGE(""1RdEdgHYrZ33LJ7RUHj_h-qkAFL92bcVjtIdVa-UlsCw"", ""Interns!D:D""), 
   IMPORTRANGE(""1RdEdgHYrZ33LJ7RUHj_h-qkAFL92bcVjtIdVa-UlsCw"", ""Interns!N:N""), 
   ""Not Found"")"),"#Cheers4Careers")</f>
        <v>#Cheers4Careers</v>
      </c>
      <c r="AM75" s="23" t="str">
        <f>IFERROR(__xludf.DUMMYFUNCTION("XLOOKUP(C75, 
   IMPORTRANGE(""1RdEdgHYrZ33LJ7RUHj_h-qkAFL92bcVjtIdVa-UlsCw"", ""Interns!D:D""), 
   IMPORTRANGE(""1RdEdgHYrZ33LJ7RUHj_h-qkAFL92bcVjtIdVa-UlsCw"", ""Interns!O:O""), 
   ""Not Found"")"),"Ousmane reached out by email 3/26 and reach out by text 3/28")</f>
        <v>Ousmane reached out by email 3/26 and reach out by text 3/28</v>
      </c>
      <c r="AN75" s="23"/>
      <c r="AO75" s="23" t="s">
        <v>5720</v>
      </c>
      <c r="AP75" s="28" t="s">
        <v>5182</v>
      </c>
      <c r="AQ75" s="28" t="s">
        <v>5721</v>
      </c>
      <c r="AR75" s="23">
        <v>9.295846193E9</v>
      </c>
      <c r="AS75" s="23"/>
      <c r="AT75" s="23"/>
      <c r="AU75" s="23"/>
      <c r="AV75" s="23"/>
    </row>
    <row r="76">
      <c r="A76" s="28" t="s">
        <v>5202</v>
      </c>
      <c r="B76" s="28" t="s">
        <v>5162</v>
      </c>
      <c r="C76" s="23" t="str">
        <f t="shared" si="1"/>
        <v>Sadi Islam</v>
      </c>
      <c r="D76" s="28" t="s">
        <v>5722</v>
      </c>
      <c r="E76" s="28" t="s">
        <v>5674</v>
      </c>
      <c r="F76" s="23">
        <f t="array" ref="F76">IFERROR(
    INDEX('Hub Interns 226'!A:A, MATCH(C76, 'Hub Interns 226'!B:B, 0)),"")</f>
        <v>598</v>
      </c>
      <c r="G76" s="23">
        <f t="array" ref="G76">IFERROR(
    INDEX('Hub Users 226'!A:A, MATCH(C76, 'Hub Users 226'!B:B, 0)),"")</f>
        <v>1031</v>
      </c>
      <c r="H76" s="28">
        <v>371.0</v>
      </c>
      <c r="I76" s="28" t="s">
        <v>239</v>
      </c>
      <c r="J76" s="28" t="s">
        <v>5416</v>
      </c>
      <c r="K76" s="28" t="s">
        <v>5186</v>
      </c>
      <c r="L76" s="28" t="s">
        <v>5165</v>
      </c>
      <c r="M76" s="56" t="s">
        <v>5723</v>
      </c>
      <c r="N76" s="57">
        <v>44252.66527777778</v>
      </c>
      <c r="O76" s="58">
        <v>37991.0</v>
      </c>
      <c r="P76" s="28">
        <f t="shared" si="7"/>
        <v>22</v>
      </c>
      <c r="Q76" s="28" t="s">
        <v>240</v>
      </c>
      <c r="R76" s="28" t="s">
        <v>5724</v>
      </c>
      <c r="S76" s="28">
        <v>5.0</v>
      </c>
      <c r="T76" s="28">
        <v>11.0</v>
      </c>
      <c r="U76" s="28">
        <v>29.0</v>
      </c>
      <c r="V76" s="28">
        <v>23.0</v>
      </c>
      <c r="W76" s="28" t="s">
        <v>1173</v>
      </c>
      <c r="X76" s="28" t="s">
        <v>272</v>
      </c>
      <c r="Y76" s="28" t="s">
        <v>5725</v>
      </c>
      <c r="Z76" s="28" t="s">
        <v>5189</v>
      </c>
      <c r="AA76" s="28" t="s">
        <v>619</v>
      </c>
      <c r="AB76" s="28">
        <v>20.0</v>
      </c>
      <c r="AC76" s="28" t="s">
        <v>25</v>
      </c>
      <c r="AD76" s="23"/>
      <c r="AE76" s="28" t="s">
        <v>8</v>
      </c>
      <c r="AF76" s="23" t="str">
        <f>IFERROR(__xludf.DUMMYFUNCTION("TEXTJOIN("", "", TRUE,
  FILTER(Champions!C:C,
    ISNUMBER(SEARCH(C76, Champions!W:W))
  )
)"),"Ankur Jaluria")</f>
        <v>Ankur Jaluria</v>
      </c>
      <c r="AG76" s="23"/>
      <c r="AH76" s="23" t="str">
        <f>IFERROR(__xludf.DUMMYFUNCTION("IF(
ISNUMBER(MATCH(
C76,
IMPORTRANGE(""https://docs.google.com/spreadsheets/d/1yTh1ELC33JHYOeEdgIiEclxPRyh0zOKtlawDltfUay8"",""'Interns'!A:A""),
0
)),
""Outreach Conducted"",
"""")"),"")</f>
        <v/>
      </c>
      <c r="AI76" s="23"/>
      <c r="AJ76" s="23"/>
      <c r="AK76" s="23" t="str">
        <f>IFERROR(__xludf.DUMMYFUNCTION("XLOOKUP(C76, 
   IMPORTRANGE(""1RdEdgHYrZ33LJ7RUHj_h-qkAFL92bcVjtIdVa-UlsCw"", ""Interns!D:D""), 
   IMPORTRANGE(""1RdEdgHYrZ33LJ7RUHj_h-qkAFL92bcVjtIdVa-UlsCw"", ""Interns!M:M""), 
   ""Not Found"")"),"")</f>
        <v/>
      </c>
      <c r="AL76" s="23" t="str">
        <f>IFERROR(__xludf.DUMMYFUNCTION("XLOOKUP(C76, 
   IMPORTRANGE(""1RdEdgHYrZ33LJ7RUHj_h-qkAFL92bcVjtIdVa-UlsCw"", ""Interns!D:D""), 
   IMPORTRANGE(""1RdEdgHYrZ33LJ7RUHj_h-qkAFL92bcVjtIdVa-UlsCw"", ""Interns!N:N""), 
   ""Not Found"")"),"")</f>
        <v/>
      </c>
      <c r="AM76" s="23" t="str">
        <f>IFERROR(__xludf.DUMMYFUNCTION("XLOOKUP(C76, 
   IMPORTRANGE(""1RdEdgHYrZ33LJ7RUHj_h-qkAFL92bcVjtIdVa-UlsCw"", ""Interns!D:D""), 
   IMPORTRANGE(""1RdEdgHYrZ33LJ7RUHj_h-qkAFL92bcVjtIdVa-UlsCw"", ""Interns!O:O""), 
   ""Not Found"")"),"")</f>
        <v/>
      </c>
      <c r="AN76" s="23"/>
      <c r="AO76" s="23" t="s">
        <v>5726</v>
      </c>
      <c r="AP76" s="28" t="s">
        <v>5182</v>
      </c>
      <c r="AQ76" s="28" t="s">
        <v>5723</v>
      </c>
      <c r="AR76" s="23" t="s">
        <v>5727</v>
      </c>
      <c r="AS76" s="23"/>
      <c r="AT76" s="23"/>
      <c r="AU76" s="23"/>
      <c r="AV76" s="23"/>
    </row>
    <row r="77">
      <c r="A77" s="28" t="s">
        <v>5202</v>
      </c>
      <c r="B77" s="28" t="s">
        <v>5162</v>
      </c>
      <c r="C77" s="23" t="str">
        <f t="shared" si="1"/>
        <v>Khondoker Rahman</v>
      </c>
      <c r="D77" s="28" t="s">
        <v>5728</v>
      </c>
      <c r="E77" s="28" t="s">
        <v>5653</v>
      </c>
      <c r="F77" s="23">
        <f t="array" ref="F77">IFERROR(
    INDEX('Hub Interns 226'!A:A, MATCH(C77, 'Hub Interns 226'!B:B, 0)),"")</f>
        <v>712</v>
      </c>
      <c r="G77" s="23">
        <f t="array" ref="G77">IFERROR(
    INDEX('Hub Users 226'!A:A, MATCH(C77, 'Hub Users 226'!B:B, 0)),"")</f>
        <v>1145</v>
      </c>
      <c r="H77" s="28">
        <v>352.0</v>
      </c>
      <c r="I77" s="28" t="s">
        <v>239</v>
      </c>
      <c r="J77" s="28" t="s">
        <v>5416</v>
      </c>
      <c r="K77" s="28" t="s">
        <v>5186</v>
      </c>
      <c r="L77" s="28" t="s">
        <v>5165</v>
      </c>
      <c r="M77" s="56" t="s">
        <v>5729</v>
      </c>
      <c r="N77" s="57">
        <v>44246.55972222222</v>
      </c>
      <c r="O77" s="58">
        <v>37192.0</v>
      </c>
      <c r="P77" s="28">
        <f t="shared" si="7"/>
        <v>24</v>
      </c>
      <c r="Q77" s="28" t="s">
        <v>5730</v>
      </c>
      <c r="R77" s="28" t="s">
        <v>5731</v>
      </c>
      <c r="S77" s="28">
        <v>5.0</v>
      </c>
      <c r="T77" s="28">
        <v>14.0</v>
      </c>
      <c r="U77" s="28">
        <v>29.0</v>
      </c>
      <c r="V77" s="28">
        <v>27.0</v>
      </c>
      <c r="W77" s="28" t="s">
        <v>1173</v>
      </c>
      <c r="X77" s="28" t="s">
        <v>272</v>
      </c>
      <c r="Y77" s="28" t="s">
        <v>5732</v>
      </c>
      <c r="Z77" s="28" t="s">
        <v>5189</v>
      </c>
      <c r="AA77" s="28" t="s">
        <v>619</v>
      </c>
      <c r="AB77" s="28">
        <v>20.0</v>
      </c>
      <c r="AC77" s="28" t="s">
        <v>25</v>
      </c>
      <c r="AD77" s="28" t="s">
        <v>101</v>
      </c>
      <c r="AE77" s="28" t="s">
        <v>8</v>
      </c>
      <c r="AF77" s="23" t="str">
        <f>IFERROR(__xludf.DUMMYFUNCTION("TEXTJOIN("", "", TRUE,
  FILTER(Champions!C:C,
    ISNUMBER(SEARCH(C77, Champions!W:W))
  )
)"),"Anna Carina Radulovich (D)")</f>
        <v>Anna Carina Radulovich (D)</v>
      </c>
      <c r="AG77" s="23"/>
      <c r="AH77" s="23" t="str">
        <f>IFERROR(__xludf.DUMMYFUNCTION("IF(
ISNUMBER(MATCH(
C77,
IMPORTRANGE(""https://docs.google.com/spreadsheets/d/1yTh1ELC33JHYOeEdgIiEclxPRyh0zOKtlawDltfUay8"",""'Interns'!A:A""),
0
)),
""Outreach Conducted"",
"""")"),"")</f>
        <v/>
      </c>
      <c r="AI77" s="23"/>
      <c r="AJ77" s="23"/>
      <c r="AK77" s="23" t="str">
        <f>IFERROR(__xludf.DUMMYFUNCTION("XLOOKUP(C77, 
   IMPORTRANGE(""1RdEdgHYrZ33LJ7RUHj_h-qkAFL92bcVjtIdVa-UlsCw"", ""Interns!D:D""), 
   IMPORTRANGE(""1RdEdgHYrZ33LJ7RUHj_h-qkAFL92bcVjtIdVa-UlsCw"", ""Interns!M:M""), 
   ""Not Found"")"),"")</f>
        <v/>
      </c>
      <c r="AL77" s="23" t="str">
        <f>IFERROR(__xludf.DUMMYFUNCTION("XLOOKUP(C77, 
   IMPORTRANGE(""1RdEdgHYrZ33LJ7RUHj_h-qkAFL92bcVjtIdVa-UlsCw"", ""Interns!D:D""), 
   IMPORTRANGE(""1RdEdgHYrZ33LJ7RUHj_h-qkAFL92bcVjtIdVa-UlsCw"", ""Interns!N:N""), 
   ""Not Found"")"),"")</f>
        <v/>
      </c>
      <c r="AM77" s="23" t="str">
        <f>IFERROR(__xludf.DUMMYFUNCTION("XLOOKUP(C77, 
   IMPORTRANGE(""1RdEdgHYrZ33LJ7RUHj_h-qkAFL92bcVjtIdVa-UlsCw"", ""Interns!D:D""), 
   IMPORTRANGE(""1RdEdgHYrZ33LJ7RUHj_h-qkAFL92bcVjtIdVa-UlsCw"", ""Interns!O:O""), 
   ""Not Found"")"),"")</f>
        <v/>
      </c>
      <c r="AN77" s="23"/>
      <c r="AO77" s="23" t="s">
        <v>5733</v>
      </c>
      <c r="AP77" s="28" t="s">
        <v>5191</v>
      </c>
      <c r="AQ77" s="28" t="s">
        <v>5734</v>
      </c>
      <c r="AR77" s="23" t="s">
        <v>5735</v>
      </c>
      <c r="AS77" s="23"/>
      <c r="AT77" s="23"/>
      <c r="AU77" s="23"/>
      <c r="AV77" s="23"/>
    </row>
    <row r="78">
      <c r="A78" s="28" t="s">
        <v>5161</v>
      </c>
      <c r="B78" s="28" t="s">
        <v>5162</v>
      </c>
      <c r="C78" s="23" t="str">
        <f t="shared" si="1"/>
        <v>Kesang Penjor</v>
      </c>
      <c r="D78" s="28" t="s">
        <v>5736</v>
      </c>
      <c r="E78" s="28" t="s">
        <v>5737</v>
      </c>
      <c r="F78" s="23" t="str">
        <f t="array" ref="F78">IFERROR(
    INDEX('Hub Interns 226'!A:A, MATCH(C78, 'Hub Interns 226'!B:B, 0)),"")</f>
        <v/>
      </c>
      <c r="G78" s="23">
        <f t="array" ref="G78">IFERROR(
    INDEX('Hub Users 226'!A:A, MATCH(C78, 'Hub Users 226'!B:B, 0)),"")</f>
        <v>1910</v>
      </c>
      <c r="H78" s="28">
        <v>1778.0</v>
      </c>
      <c r="I78" s="28" t="s">
        <v>260</v>
      </c>
      <c r="J78" s="28" t="s">
        <v>5738</v>
      </c>
      <c r="K78" s="28" t="s">
        <v>5186</v>
      </c>
      <c r="L78" s="28" t="s">
        <v>5196</v>
      </c>
      <c r="M78" s="56" t="s">
        <v>5739</v>
      </c>
      <c r="N78" s="57">
        <v>45312.87291666667</v>
      </c>
      <c r="O78" s="58">
        <v>39018.0</v>
      </c>
      <c r="P78" s="28">
        <f t="shared" si="7"/>
        <v>19</v>
      </c>
      <c r="Q78" s="28" t="s">
        <v>5740</v>
      </c>
      <c r="R78" s="28" t="s">
        <v>5741</v>
      </c>
      <c r="S78" s="28">
        <v>6.0</v>
      </c>
      <c r="T78" s="28">
        <v>12.0</v>
      </c>
      <c r="U78" s="28">
        <v>37.0</v>
      </c>
      <c r="V78" s="28">
        <v>26.0</v>
      </c>
      <c r="W78" s="28" t="s">
        <v>271</v>
      </c>
      <c r="X78" s="28" t="s">
        <v>272</v>
      </c>
      <c r="Y78" s="28" t="s">
        <v>5742</v>
      </c>
      <c r="Z78" s="28" t="s">
        <v>5259</v>
      </c>
      <c r="AA78" s="28" t="s">
        <v>704</v>
      </c>
      <c r="AB78" s="28">
        <v>2.0</v>
      </c>
      <c r="AC78" s="28" t="s">
        <v>25</v>
      </c>
      <c r="AD78" s="28" t="s">
        <v>101</v>
      </c>
      <c r="AE78" s="28" t="s">
        <v>18</v>
      </c>
      <c r="AF78" s="23" t="str">
        <f>IFERROR(__xludf.DUMMYFUNCTION("TEXTJOIN("", "", TRUE,
  FILTER(Champions!C:C,
    ISNUMBER(SEARCH(C78, Champions!W:W))
  )
)"),"John McFarland, Ranjini Sankaranarayanan")</f>
        <v>John McFarland, Ranjini Sankaranarayanan</v>
      </c>
      <c r="AG78" s="23"/>
      <c r="AH78" s="23" t="str">
        <f>IFERROR(__xludf.DUMMYFUNCTION("IF(
ISNUMBER(MATCH(
C78,
IMPORTRANGE(""https://docs.google.com/spreadsheets/d/1yTh1ELC33JHYOeEdgIiEclxPRyh0zOKtlawDltfUay8"",""'Interns'!A:A""),
0
)),
""Outreach Conducted"",
"""")"),"")</f>
        <v/>
      </c>
      <c r="AI78" s="23"/>
      <c r="AJ78" s="23"/>
      <c r="AK78" s="23" t="str">
        <f>IFERROR(__xludf.DUMMYFUNCTION("XLOOKUP(C78, 
   IMPORTRANGE(""1RdEdgHYrZ33LJ7RUHj_h-qkAFL92bcVjtIdVa-UlsCw"", ""Interns!D:D""), 
   IMPORTRANGE(""1RdEdgHYrZ33LJ7RUHj_h-qkAFL92bcVjtIdVa-UlsCw"", ""Interns!M:M""), 
   ""Not Found"")"),"")</f>
        <v/>
      </c>
      <c r="AL78" s="23" t="str">
        <f>IFERROR(__xludf.DUMMYFUNCTION("XLOOKUP(C78, 
   IMPORTRANGE(""1RdEdgHYrZ33LJ7RUHj_h-qkAFL92bcVjtIdVa-UlsCw"", ""Interns!D:D""), 
   IMPORTRANGE(""1RdEdgHYrZ33LJ7RUHj_h-qkAFL92bcVjtIdVa-UlsCw"", ""Interns!N:N""), 
   ""Not Found"")"),"")</f>
        <v/>
      </c>
      <c r="AM78" s="23" t="str">
        <f>IFERROR(__xludf.DUMMYFUNCTION("XLOOKUP(C78, 
   IMPORTRANGE(""1RdEdgHYrZ33LJ7RUHj_h-qkAFL92bcVjtIdVa-UlsCw"", ""Interns!D:D""), 
   IMPORTRANGE(""1RdEdgHYrZ33LJ7RUHj_h-qkAFL92bcVjtIdVa-UlsCw"", ""Interns!O:O""), 
   ""Not Found"")"),"")</f>
        <v/>
      </c>
      <c r="AN78" s="23"/>
      <c r="AO78" s="23" t="s">
        <v>5743</v>
      </c>
      <c r="AP78" s="28" t="s">
        <v>5182</v>
      </c>
      <c r="AQ78" s="28" t="s">
        <v>5744</v>
      </c>
      <c r="AR78" s="23" t="s">
        <v>5745</v>
      </c>
      <c r="AS78" s="23"/>
      <c r="AT78" s="23"/>
      <c r="AU78" s="23"/>
      <c r="AV78" s="23"/>
    </row>
    <row r="79">
      <c r="A79" s="28" t="s">
        <v>5161</v>
      </c>
      <c r="B79" s="28" t="s">
        <v>5162</v>
      </c>
      <c r="C79" s="23" t="str">
        <f t="shared" si="1"/>
        <v>Rinchen Wangmo</v>
      </c>
      <c r="D79" s="28" t="s">
        <v>5746</v>
      </c>
      <c r="E79" s="28" t="s">
        <v>5747</v>
      </c>
      <c r="F79" s="23">
        <f t="array" ref="F79">IFERROR(
    INDEX('Hub Interns 226'!A:A, MATCH(C79, 'Hub Interns 226'!B:B, 0)),"")</f>
        <v>99</v>
      </c>
      <c r="G79" s="23">
        <f t="array" ref="G79">IFERROR(
    INDEX('Hub Users 226'!A:A, MATCH(C79, 'Hub Users 226'!B:B, 0)),"")</f>
        <v>532</v>
      </c>
      <c r="H79" s="28">
        <v>1481.0</v>
      </c>
      <c r="I79" s="28" t="s">
        <v>260</v>
      </c>
      <c r="J79" s="28" t="s">
        <v>5738</v>
      </c>
      <c r="K79" s="28" t="s">
        <v>5186</v>
      </c>
      <c r="L79" s="28" t="s">
        <v>5196</v>
      </c>
      <c r="M79" s="56" t="s">
        <v>5748</v>
      </c>
      <c r="N79" s="57">
        <v>44939.615277777775</v>
      </c>
      <c r="O79" s="58">
        <v>38906.0</v>
      </c>
      <c r="P79" s="28">
        <f t="shared" si="7"/>
        <v>19</v>
      </c>
      <c r="Q79" s="28" t="s">
        <v>5749</v>
      </c>
      <c r="R79" s="28" t="s">
        <v>5750</v>
      </c>
      <c r="S79" s="28">
        <v>7.0</v>
      </c>
      <c r="T79" s="28">
        <v>12.0</v>
      </c>
      <c r="U79" s="28">
        <v>37.0</v>
      </c>
      <c r="V79" s="28">
        <v>26.0</v>
      </c>
      <c r="W79" s="28" t="s">
        <v>271</v>
      </c>
      <c r="X79" s="28" t="s">
        <v>272</v>
      </c>
      <c r="Y79" s="28" t="s">
        <v>5751</v>
      </c>
      <c r="Z79" s="28" t="s">
        <v>5259</v>
      </c>
      <c r="AA79" s="28" t="s">
        <v>704</v>
      </c>
      <c r="AB79" s="28">
        <v>2.0</v>
      </c>
      <c r="AC79" s="28" t="s">
        <v>25</v>
      </c>
      <c r="AD79" s="23"/>
      <c r="AE79" s="28" t="s">
        <v>15</v>
      </c>
      <c r="AF79" s="23" t="str">
        <f>IFERROR(__xludf.DUMMYFUNCTION("TEXTJOIN("", "", TRUE,
  FILTER(Champions!C:C,
    ISNUMBER(SEARCH(C79, Champions!W:W))
  )
)"),"Ritika Naik, Rosie Chu")</f>
        <v>Ritika Naik, Rosie Chu</v>
      </c>
      <c r="AG79" s="23"/>
      <c r="AH79" s="23" t="str">
        <f>IFERROR(__xludf.DUMMYFUNCTION("IF(
ISNUMBER(MATCH(
C79,
IMPORTRANGE(""https://docs.google.com/spreadsheets/d/1yTh1ELC33JHYOeEdgIiEclxPRyh0zOKtlawDltfUay8"",""'Interns'!A:A""),
0
)),
""Outreach Conducted"",
"""")"),"")</f>
        <v/>
      </c>
      <c r="AI79" s="23"/>
      <c r="AJ79" s="23"/>
      <c r="AK79" s="23" t="str">
        <f>IFERROR(__xludf.DUMMYFUNCTION("XLOOKUP(C79, 
   IMPORTRANGE(""1RdEdgHYrZ33LJ7RUHj_h-qkAFL92bcVjtIdVa-UlsCw"", ""Interns!D:D""), 
   IMPORTRANGE(""1RdEdgHYrZ33LJ7RUHj_h-qkAFL92bcVjtIdVa-UlsCw"", ""Interns!M:M""), 
   ""Not Found"")"),"")</f>
        <v/>
      </c>
      <c r="AL79" s="23" t="str">
        <f>IFERROR(__xludf.DUMMYFUNCTION("XLOOKUP(C79, 
   IMPORTRANGE(""1RdEdgHYrZ33LJ7RUHj_h-qkAFL92bcVjtIdVa-UlsCw"", ""Interns!D:D""), 
   IMPORTRANGE(""1RdEdgHYrZ33LJ7RUHj_h-qkAFL92bcVjtIdVa-UlsCw"", ""Interns!N:N""), 
   ""Not Found"")"),"")</f>
        <v/>
      </c>
      <c r="AM79" s="23" t="str">
        <f>IFERROR(__xludf.DUMMYFUNCTION("XLOOKUP(C79, 
   IMPORTRANGE(""1RdEdgHYrZ33LJ7RUHj_h-qkAFL92bcVjtIdVa-UlsCw"", ""Interns!D:D""), 
   IMPORTRANGE(""1RdEdgHYrZ33LJ7RUHj_h-qkAFL92bcVjtIdVa-UlsCw"", ""Interns!O:O""), 
   ""Not Found"")"),"")</f>
        <v/>
      </c>
      <c r="AN79" s="23"/>
      <c r="AO79" s="23" t="s">
        <v>5752</v>
      </c>
      <c r="AP79" s="28" t="s">
        <v>5191</v>
      </c>
      <c r="AQ79" s="28" t="s">
        <v>5753</v>
      </c>
      <c r="AR79" s="23" t="s">
        <v>5754</v>
      </c>
      <c r="AS79" s="23"/>
      <c r="AT79" s="23"/>
      <c r="AU79" s="23"/>
      <c r="AV79" s="23"/>
    </row>
    <row r="80">
      <c r="A80" s="28" t="s">
        <v>5161</v>
      </c>
      <c r="B80" s="28" t="s">
        <v>5162</v>
      </c>
      <c r="C80" s="23" t="str">
        <f t="shared" si="1"/>
        <v>Yiengchuk Dorji</v>
      </c>
      <c r="D80" s="28" t="s">
        <v>5755</v>
      </c>
      <c r="E80" s="28" t="s">
        <v>5756</v>
      </c>
      <c r="F80" s="28">
        <v>1663.0</v>
      </c>
      <c r="G80" s="28">
        <v>1230.0</v>
      </c>
      <c r="H80" s="28">
        <v>737.0</v>
      </c>
      <c r="I80" s="28" t="s">
        <v>107</v>
      </c>
      <c r="J80" s="28" t="s">
        <v>5738</v>
      </c>
      <c r="K80" s="28" t="s">
        <v>5186</v>
      </c>
      <c r="L80" s="28" t="s">
        <v>5196</v>
      </c>
      <c r="M80" s="56" t="s">
        <v>169</v>
      </c>
      <c r="N80" s="57">
        <v>44551.38680555556</v>
      </c>
      <c r="O80" s="58">
        <v>38601.0</v>
      </c>
      <c r="P80" s="28">
        <f t="shared" si="7"/>
        <v>20</v>
      </c>
      <c r="Q80" s="28" t="s">
        <v>5757</v>
      </c>
      <c r="R80" s="28" t="s">
        <v>5758</v>
      </c>
      <c r="S80" s="28">
        <v>6.0</v>
      </c>
      <c r="T80" s="28">
        <v>13.0</v>
      </c>
      <c r="U80" s="28">
        <v>35.0</v>
      </c>
      <c r="V80" s="28">
        <v>25.0</v>
      </c>
      <c r="W80" s="28" t="s">
        <v>1173</v>
      </c>
      <c r="X80" s="28" t="s">
        <v>272</v>
      </c>
      <c r="Y80" s="28">
        <f>16462095546
</f>
        <v>16462095546</v>
      </c>
      <c r="Z80" s="28" t="s">
        <v>5759</v>
      </c>
      <c r="AA80" s="28" t="s">
        <v>457</v>
      </c>
      <c r="AB80" s="28">
        <v>25.0</v>
      </c>
      <c r="AC80" s="28" t="s">
        <v>25</v>
      </c>
      <c r="AD80" s="23"/>
      <c r="AE80" s="28" t="s">
        <v>10</v>
      </c>
      <c r="AF80" s="23" t="str">
        <f>IFERROR(__xludf.DUMMYFUNCTION("TEXTJOIN("", "", TRUE,
  FILTER(Champions!C:C,
    ISNUMBER(SEARCH(C80, Champions!W:W))
  )
)"),"Ahmed Imam, Oheneba Afriyie")</f>
        <v>Ahmed Imam, Oheneba Afriyie</v>
      </c>
      <c r="AG80" s="26" t="s">
        <v>5760</v>
      </c>
      <c r="AH80" s="23"/>
      <c r="AI80" s="23"/>
      <c r="AJ80" s="23"/>
      <c r="AK80" s="23" t="str">
        <f>IFERROR(__xludf.DUMMYFUNCTION("XLOOKUP(C80, 
   IMPORTRANGE(""1RdEdgHYrZ33LJ7RUHj_h-qkAFL92bcVjtIdVa-UlsCw"", ""Interns!D:D""), 
   IMPORTRANGE(""1RdEdgHYrZ33LJ7RUHj_h-qkAFL92bcVjtIdVa-UlsCw"", ""Interns!M:M""), 
   ""Not Found"")"),"Not Found")</f>
        <v>Not Found</v>
      </c>
      <c r="AL80" s="23" t="str">
        <f>IFERROR(__xludf.DUMMYFUNCTION("XLOOKUP(C80, 
   IMPORTRANGE(""1RdEdgHYrZ33LJ7RUHj_h-qkAFL92bcVjtIdVa-UlsCw"", ""Interns!D:D""), 
   IMPORTRANGE(""1RdEdgHYrZ33LJ7RUHj_h-qkAFL92bcVjtIdVa-UlsCw"", ""Interns!N:N""), 
   ""Not Found"")"),"Not Found")</f>
        <v>Not Found</v>
      </c>
      <c r="AM80" s="23" t="str">
        <f>IFERROR(__xludf.DUMMYFUNCTION("XLOOKUP(C80, 
   IMPORTRANGE(""1RdEdgHYrZ33LJ7RUHj_h-qkAFL92bcVjtIdVa-UlsCw"", ""Interns!D:D""), 
   IMPORTRANGE(""1RdEdgHYrZ33LJ7RUHj_h-qkAFL92bcVjtIdVa-UlsCw"", ""Interns!O:O""), 
   ""Not Found"")"),"Not Found")</f>
        <v>Not Found</v>
      </c>
      <c r="AN80" s="23"/>
      <c r="AO80" s="23" t="s">
        <v>5761</v>
      </c>
      <c r="AP80" s="28" t="s">
        <v>5191</v>
      </c>
      <c r="AQ80" s="28" t="s">
        <v>5762</v>
      </c>
      <c r="AR80" s="23" t="s">
        <v>5763</v>
      </c>
      <c r="AS80" s="28" t="s">
        <v>75</v>
      </c>
      <c r="AT80" s="23"/>
      <c r="AU80" s="23"/>
      <c r="AV80" s="23"/>
    </row>
    <row r="81">
      <c r="A81" s="28" t="s">
        <v>5161</v>
      </c>
      <c r="B81" s="28" t="s">
        <v>5162</v>
      </c>
      <c r="C81" s="23" t="str">
        <f t="shared" si="1"/>
        <v>Juan David Baron</v>
      </c>
      <c r="D81" s="28" t="s">
        <v>5764</v>
      </c>
      <c r="E81" s="28" t="s">
        <v>5765</v>
      </c>
      <c r="F81" s="23">
        <f t="array" ref="F81">IFERROR(
    INDEX('Hub Interns 226'!A:A, MATCH(C81, 'Hub Interns 226'!B:B, 0)),"")</f>
        <v>606</v>
      </c>
      <c r="G81" s="23">
        <f t="array" ref="G81">IFERROR(
    INDEX('Hub Users 226'!A:A, MATCH(C81, 'Hub Users 226'!B:B, 0)),"")</f>
        <v>1039</v>
      </c>
      <c r="H81" s="28">
        <v>535.0</v>
      </c>
      <c r="I81" s="28" t="s">
        <v>290</v>
      </c>
      <c r="J81" s="28" t="s">
        <v>5766</v>
      </c>
      <c r="K81" s="28" t="s">
        <v>5463</v>
      </c>
      <c r="L81" s="28" t="s">
        <v>5165</v>
      </c>
      <c r="M81" s="56" t="s">
        <v>5767</v>
      </c>
      <c r="N81" s="57">
        <v>44477.53611111111</v>
      </c>
      <c r="O81" s="58">
        <v>38149.0</v>
      </c>
      <c r="P81" s="28">
        <f t="shared" si="7"/>
        <v>21</v>
      </c>
      <c r="Q81" s="28" t="s">
        <v>240</v>
      </c>
      <c r="R81" s="28" t="s">
        <v>5768</v>
      </c>
      <c r="S81" s="28">
        <v>6.0</v>
      </c>
      <c r="T81" s="28">
        <v>13.0</v>
      </c>
      <c r="U81" s="28">
        <v>39.0</v>
      </c>
      <c r="V81" s="28">
        <v>21.0</v>
      </c>
      <c r="W81" s="28" t="s">
        <v>1173</v>
      </c>
      <c r="X81" s="28" t="s">
        <v>272</v>
      </c>
      <c r="Y81" s="28" t="s">
        <v>5769</v>
      </c>
      <c r="Z81" s="28" t="s">
        <v>5189</v>
      </c>
      <c r="AA81" s="28" t="s">
        <v>619</v>
      </c>
      <c r="AB81" s="28">
        <v>20.0</v>
      </c>
      <c r="AC81" s="28" t="s">
        <v>25</v>
      </c>
      <c r="AD81" s="23"/>
      <c r="AE81" s="28" t="s">
        <v>10</v>
      </c>
      <c r="AF81" s="23" t="str">
        <f>IFERROR(__xludf.DUMMYFUNCTION("TEXTJOIN("", "", TRUE,
  FILTER(Champions!C:C,
    ISNUMBER(SEARCH(C81, Champions!W:W))
  )
)"),"Jason Alafgani, Paola Lopez")</f>
        <v>Jason Alafgani, Paola Lopez</v>
      </c>
      <c r="AG81" s="23"/>
      <c r="AH81" s="23" t="str">
        <f>IFERROR(__xludf.DUMMYFUNCTION("IF(
ISNUMBER(MATCH(
C81,
IMPORTRANGE(""https://docs.google.com/spreadsheets/d/1yTh1ELC33JHYOeEdgIiEclxPRyh0zOKtlawDltfUay8"",""'Interns'!A:A""),
0
)),
""Outreach Conducted"",
"""")"),"")</f>
        <v/>
      </c>
      <c r="AI81" s="23"/>
      <c r="AJ81" s="23"/>
      <c r="AK81" s="23" t="str">
        <f>IFERROR(__xludf.DUMMYFUNCTION("XLOOKUP(C81, 
   IMPORTRANGE(""1RdEdgHYrZ33LJ7RUHj_h-qkAFL92bcVjtIdVa-UlsCw"", ""Interns!D:D""), 
   IMPORTRANGE(""1RdEdgHYrZ33LJ7RUHj_h-qkAFL92bcVjtIdVa-UlsCw"", ""Interns!M:M""), 
   ""Not Found"")"),"Contacted")</f>
        <v>Contacted</v>
      </c>
      <c r="AL81" s="23" t="str">
        <f>IFERROR(__xludf.DUMMYFUNCTION("XLOOKUP(C81, 
   IMPORTRANGE(""1RdEdgHYrZ33LJ7RUHj_h-qkAFL92bcVjtIdVa-UlsCw"", ""Interns!D:D""), 
   IMPORTRANGE(""1RdEdgHYrZ33LJ7RUHj_h-qkAFL92bcVjtIdVa-UlsCw"", ""Interns!N:N""), 
   ""Not Found"")"),"#Cheers4Careers")</f>
        <v>#Cheers4Careers</v>
      </c>
      <c r="AM81" s="23" t="str">
        <f>IFERROR(__xludf.DUMMYFUNCTION("XLOOKUP(C81, 
   IMPORTRANGE(""1RdEdgHYrZ33LJ7RUHj_h-qkAFL92bcVjtIdVa-UlsCw"", ""Interns!D:D""), 
   IMPORTRANGE(""1RdEdgHYrZ33LJ7RUHj_h-qkAFL92bcVjtIdVa-UlsCw"", ""Interns!O:O""), 
   ""Not Found"")"),"Hetal reached out by email 3/27 followed by text")</f>
        <v>Hetal reached out by email 3/27 followed by text</v>
      </c>
      <c r="AN81" s="23"/>
      <c r="AO81" s="23" t="s">
        <v>5770</v>
      </c>
      <c r="AP81" s="28" t="s">
        <v>5191</v>
      </c>
      <c r="AQ81" s="28" t="s">
        <v>5771</v>
      </c>
      <c r="AR81" s="23" t="s">
        <v>5772</v>
      </c>
      <c r="AS81" s="23"/>
      <c r="AT81" s="23"/>
      <c r="AU81" s="23"/>
      <c r="AV81" s="23"/>
    </row>
    <row r="82">
      <c r="A82" s="28" t="s">
        <v>5202</v>
      </c>
      <c r="B82" s="28" t="s">
        <v>5162</v>
      </c>
      <c r="C82" s="23" t="str">
        <f t="shared" si="1"/>
        <v>Jannatul Monalisa</v>
      </c>
      <c r="D82" s="28" t="s">
        <v>5773</v>
      </c>
      <c r="E82" s="28" t="s">
        <v>5774</v>
      </c>
      <c r="F82" s="23">
        <f t="array" ref="F82">IFERROR(
    INDEX('Hub Interns 226'!A:A, MATCH(C82, 'Hub Interns 226'!B:B, 0)),"")</f>
        <v>785</v>
      </c>
      <c r="G82" s="23">
        <f t="array" ref="G82">IFERROR(
    INDEX('Hub Users 226'!A:A, MATCH(C82, 'Hub Users 226'!B:B, 0)),"")</f>
        <v>1218</v>
      </c>
      <c r="H82" s="28">
        <v>656.0</v>
      </c>
      <c r="I82" s="28" t="s">
        <v>290</v>
      </c>
      <c r="J82" s="28" t="s">
        <v>5416</v>
      </c>
      <c r="K82" s="28" t="s">
        <v>5186</v>
      </c>
      <c r="L82" s="28" t="s">
        <v>5196</v>
      </c>
      <c r="M82" s="56" t="s">
        <v>5775</v>
      </c>
      <c r="N82" s="57">
        <v>44538.65</v>
      </c>
      <c r="O82" s="58">
        <v>37783.0</v>
      </c>
      <c r="P82" s="28">
        <f t="shared" si="7"/>
        <v>22</v>
      </c>
      <c r="Q82" s="28" t="s">
        <v>5776</v>
      </c>
      <c r="R82" s="28" t="s">
        <v>5777</v>
      </c>
      <c r="S82" s="28">
        <v>7.0</v>
      </c>
      <c r="T82" s="28">
        <v>15.0</v>
      </c>
      <c r="U82" s="28">
        <v>38.0</v>
      </c>
      <c r="V82" s="28">
        <v>32.0</v>
      </c>
      <c r="W82" s="28" t="s">
        <v>1173</v>
      </c>
      <c r="X82" s="28" t="s">
        <v>272</v>
      </c>
      <c r="Y82" s="28" t="s">
        <v>5778</v>
      </c>
      <c r="Z82" s="28" t="s">
        <v>5779</v>
      </c>
      <c r="AA82" s="28" t="s">
        <v>3931</v>
      </c>
      <c r="AB82" s="28">
        <v>2.0</v>
      </c>
      <c r="AC82" s="28" t="s">
        <v>25</v>
      </c>
      <c r="AD82" s="23"/>
      <c r="AE82" s="28" t="s">
        <v>10</v>
      </c>
      <c r="AF82" s="23" t="str">
        <f>IFERROR(__xludf.DUMMYFUNCTION("TEXTJOIN("", "", TRUE,
  FILTER(Champions!C:C,
    ISNUMBER(SEARCH(C82, Champions!W:W))
  )
)"),"Luna Martinez")</f>
        <v>Luna Martinez</v>
      </c>
      <c r="AG82" s="23"/>
      <c r="AH82" s="23" t="str">
        <f>IFERROR(__xludf.DUMMYFUNCTION("IF(
ISNUMBER(MATCH(
C82,
IMPORTRANGE(""https://docs.google.com/spreadsheets/d/1yTh1ELC33JHYOeEdgIiEclxPRyh0zOKtlawDltfUay8"",""'Interns'!A:A""),
0
)),
""Outreach Conducted"",
"""")"),"")</f>
        <v/>
      </c>
      <c r="AI82" s="23"/>
      <c r="AJ82" s="23"/>
      <c r="AK82" s="23" t="str">
        <f>IFERROR(__xludf.DUMMYFUNCTION("XLOOKUP(C82, 
   IMPORTRANGE(""1RdEdgHYrZ33LJ7RUHj_h-qkAFL92bcVjtIdVa-UlsCw"", ""Interns!D:D""), 
   IMPORTRANGE(""1RdEdgHYrZ33LJ7RUHj_h-qkAFL92bcVjtIdVa-UlsCw"", ""Interns!M:M""), 
   ""Not Found"")"),"")</f>
        <v/>
      </c>
      <c r="AL82" s="23" t="str">
        <f>IFERROR(__xludf.DUMMYFUNCTION("XLOOKUP(C82, 
   IMPORTRANGE(""1RdEdgHYrZ33LJ7RUHj_h-qkAFL92bcVjtIdVa-UlsCw"", ""Interns!D:D""), 
   IMPORTRANGE(""1RdEdgHYrZ33LJ7RUHj_h-qkAFL92bcVjtIdVa-UlsCw"", ""Interns!N:N""), 
   ""Not Found"")"),"")</f>
        <v/>
      </c>
      <c r="AM82" s="23" t="str">
        <f>IFERROR(__xludf.DUMMYFUNCTION("XLOOKUP(C82, 
   IMPORTRANGE(""1RdEdgHYrZ33LJ7RUHj_h-qkAFL92bcVjtIdVa-UlsCw"", ""Interns!D:D""), 
   IMPORTRANGE(""1RdEdgHYrZ33LJ7RUHj_h-qkAFL92bcVjtIdVa-UlsCw"", ""Interns!O:O""), 
   ""Not Found"")"),"")</f>
        <v/>
      </c>
      <c r="AN82" s="23"/>
      <c r="AO82" s="23" t="s">
        <v>5780</v>
      </c>
      <c r="AP82" s="28" t="s">
        <v>5182</v>
      </c>
      <c r="AQ82" s="28" t="s">
        <v>5781</v>
      </c>
      <c r="AR82" s="23" t="s">
        <v>5782</v>
      </c>
      <c r="AS82" s="23"/>
      <c r="AT82" s="23"/>
      <c r="AU82" s="23"/>
      <c r="AV82" s="23"/>
    </row>
    <row r="83">
      <c r="A83" s="28" t="s">
        <v>5161</v>
      </c>
      <c r="B83" s="28" t="s">
        <v>5162</v>
      </c>
      <c r="C83" s="23" t="str">
        <f t="shared" si="1"/>
        <v>Fabiana Justiniano</v>
      </c>
      <c r="D83" s="28" t="s">
        <v>5783</v>
      </c>
      <c r="E83" s="28" t="s">
        <v>5784</v>
      </c>
      <c r="F83" s="23">
        <f t="array" ref="F83">IFERROR(
    INDEX('Hub Interns 226'!A:A, MATCH(C83, 'Hub Interns 226'!B:B, 0)),"")</f>
        <v>507</v>
      </c>
      <c r="G83" s="23">
        <f t="array" ref="G83">IFERROR(
    INDEX('Hub Users 226'!A:A, MATCH(C83, 'Hub Users 226'!B:B, 0)),"")</f>
        <v>940</v>
      </c>
      <c r="H83" s="28">
        <v>636.0</v>
      </c>
      <c r="I83" s="28" t="s">
        <v>417</v>
      </c>
      <c r="J83" s="28" t="s">
        <v>5785</v>
      </c>
      <c r="K83" s="28" t="s">
        <v>5463</v>
      </c>
      <c r="L83" s="28" t="s">
        <v>5196</v>
      </c>
      <c r="M83" s="56" t="s">
        <v>5786</v>
      </c>
      <c r="N83" s="59">
        <v>44498.49513888889</v>
      </c>
      <c r="O83" s="58">
        <v>38633.0</v>
      </c>
      <c r="P83" s="28">
        <f t="shared" si="7"/>
        <v>20</v>
      </c>
      <c r="Q83" s="28" t="s">
        <v>240</v>
      </c>
      <c r="R83" s="28" t="s">
        <v>5787</v>
      </c>
      <c r="S83" s="28">
        <v>8.0</v>
      </c>
      <c r="T83" s="28">
        <v>25.0</v>
      </c>
      <c r="U83" s="28">
        <v>55.0</v>
      </c>
      <c r="V83" s="28">
        <v>41.0</v>
      </c>
      <c r="W83" s="28" t="s">
        <v>294</v>
      </c>
      <c r="X83" s="28" t="s">
        <v>272</v>
      </c>
      <c r="Y83" s="28" t="s">
        <v>5788</v>
      </c>
      <c r="Z83" s="28" t="s">
        <v>5189</v>
      </c>
      <c r="AA83" s="28" t="s">
        <v>619</v>
      </c>
      <c r="AB83" s="28">
        <v>20.0</v>
      </c>
      <c r="AC83" s="28" t="s">
        <v>25</v>
      </c>
      <c r="AD83" s="23"/>
      <c r="AE83" s="28" t="s">
        <v>10</v>
      </c>
      <c r="AF83" s="23" t="str">
        <f>IFERROR(__xludf.DUMMYFUNCTION("TEXTJOIN("", "", TRUE,
  FILTER(Champions!C:C,
    ISNUMBER(SEARCH(C83, Champions!W:W))
  )
)"),"Bindu Krishna, Neha Ganjoo, Bindu Krishna (D)")</f>
        <v>Bindu Krishna, Neha Ganjoo, Bindu Krishna (D)</v>
      </c>
      <c r="AG83" s="23"/>
      <c r="AH83" s="23" t="str">
        <f>IFERROR(__xludf.DUMMYFUNCTION("IF(
ISNUMBER(MATCH(
C83,
IMPORTRANGE(""https://docs.google.com/spreadsheets/d/1yTh1ELC33JHYOeEdgIiEclxPRyh0zOKtlawDltfUay8"",""'Interns'!A:A""),
0
)),
""Outreach Conducted"",
"""")"),"")</f>
        <v/>
      </c>
      <c r="AI83" s="23"/>
      <c r="AJ83" s="23"/>
      <c r="AK83" s="23" t="str">
        <f>IFERROR(__xludf.DUMMYFUNCTION("XLOOKUP(C83, 
   IMPORTRANGE(""1RdEdgHYrZ33LJ7RUHj_h-qkAFL92bcVjtIdVa-UlsCw"", ""Interns!D:D""), 
   IMPORTRANGE(""1RdEdgHYrZ33LJ7RUHj_h-qkAFL92bcVjtIdVa-UlsCw"", ""Interns!M:M""), 
   ""Not Found"")"),"Contacted")</f>
        <v>Contacted</v>
      </c>
      <c r="AL83" s="23" t="str">
        <f>IFERROR(__xludf.DUMMYFUNCTION("XLOOKUP(C83, 
   IMPORTRANGE(""1RdEdgHYrZ33LJ7RUHj_h-qkAFL92bcVjtIdVa-UlsCw"", ""Interns!D:D""), 
   IMPORTRANGE(""1RdEdgHYrZ33LJ7RUHj_h-qkAFL92bcVjtIdVa-UlsCw"", ""Interns!N:N""), 
   ""Not Found"")"),"#Cheers4Careers")</f>
        <v>#Cheers4Careers</v>
      </c>
      <c r="AM83" s="23" t="str">
        <f>IFERROR(__xludf.DUMMYFUNCTION("XLOOKUP(C83, 
   IMPORTRANGE(""1RdEdgHYrZ33LJ7RUHj_h-qkAFL92bcVjtIdVa-UlsCw"", ""Interns!D:D""), 
   IMPORTRANGE(""1RdEdgHYrZ33LJ7RUHj_h-qkAFL92bcVjtIdVa-UlsCw"", ""Interns!O:O""), 
   ""Not Found"")"),"Hetal reached out by email 3/27 followed by text")</f>
        <v>Hetal reached out by email 3/27 followed by text</v>
      </c>
      <c r="AN83" s="23"/>
      <c r="AO83" s="23" t="s">
        <v>5789</v>
      </c>
      <c r="AP83" s="28" t="s">
        <v>5182</v>
      </c>
      <c r="AQ83" s="28" t="s">
        <v>5790</v>
      </c>
      <c r="AR83" s="23" t="s">
        <v>5791</v>
      </c>
      <c r="AS83" s="23"/>
      <c r="AT83" s="23"/>
      <c r="AU83" s="23"/>
      <c r="AV83" s="23"/>
    </row>
    <row r="84">
      <c r="A84" s="28" t="s">
        <v>5202</v>
      </c>
      <c r="B84" s="28" t="s">
        <v>5162</v>
      </c>
      <c r="C84" s="23" t="str">
        <f t="shared" si="1"/>
        <v>Yannelle Kunakey</v>
      </c>
      <c r="D84" s="28" t="s">
        <v>5792</v>
      </c>
      <c r="E84" s="28" t="s">
        <v>5793</v>
      </c>
      <c r="F84" s="23">
        <f t="array" ref="F84">IFERROR(
    INDEX('Hub Interns 226'!A:A, MATCH(C84, 'Hub Interns 226'!B:B, 0)),"")</f>
        <v>1218</v>
      </c>
      <c r="G84" s="23">
        <f t="array" ref="G84">IFERROR(
    INDEX('Hub Users 226'!A:A, MATCH(C84, 'Hub Users 226'!B:B, 0)),"")</f>
        <v>1651</v>
      </c>
      <c r="H84" s="28">
        <v>734.0</v>
      </c>
      <c r="I84" s="28" t="s">
        <v>260</v>
      </c>
      <c r="J84" s="28" t="s">
        <v>5794</v>
      </c>
      <c r="K84" s="28" t="s">
        <v>5245</v>
      </c>
      <c r="L84" s="28" t="s">
        <v>5196</v>
      </c>
      <c r="M84" s="56" t="s">
        <v>5795</v>
      </c>
      <c r="N84" s="59">
        <v>44550.73263888889</v>
      </c>
      <c r="O84" s="58">
        <v>38524.0</v>
      </c>
      <c r="P84" s="28">
        <f t="shared" si="7"/>
        <v>20</v>
      </c>
      <c r="Q84" s="28" t="s">
        <v>5796</v>
      </c>
      <c r="R84" s="28" t="s">
        <v>5797</v>
      </c>
      <c r="S84" s="28">
        <v>7.0</v>
      </c>
      <c r="T84" s="28">
        <v>15.0</v>
      </c>
      <c r="U84" s="28">
        <v>23.0</v>
      </c>
      <c r="V84" s="28">
        <v>32.0</v>
      </c>
      <c r="W84" s="28" t="s">
        <v>1173</v>
      </c>
      <c r="X84" s="28" t="s">
        <v>272</v>
      </c>
      <c r="Y84" s="28" t="s">
        <v>5798</v>
      </c>
      <c r="Z84" s="28" t="s">
        <v>5483</v>
      </c>
      <c r="AA84" s="28" t="s">
        <v>457</v>
      </c>
      <c r="AB84" s="28">
        <v>25.0</v>
      </c>
      <c r="AC84" s="28" t="s">
        <v>25</v>
      </c>
      <c r="AD84" s="23"/>
      <c r="AE84" s="28" t="s">
        <v>10</v>
      </c>
      <c r="AF84" s="23" t="str">
        <f>IFERROR(__xludf.DUMMYFUNCTION("TEXTJOIN("", "", TRUE,
  FILTER(Champions!C:C,
    ISNUMBER(SEARCH(C84, Champions!W:W))
  )
)"),"Christa Neu")</f>
        <v>Christa Neu</v>
      </c>
      <c r="AG84" s="23"/>
      <c r="AH84" s="23" t="str">
        <f>IFERROR(__xludf.DUMMYFUNCTION("IF(
ISNUMBER(MATCH(
C84,
IMPORTRANGE(""https://docs.google.com/spreadsheets/d/1yTh1ELC33JHYOeEdgIiEclxPRyh0zOKtlawDltfUay8"",""'Interns'!A:A""),
0
)),
""Outreach Conducted"",
"""")"),"")</f>
        <v/>
      </c>
      <c r="AI84" s="23"/>
      <c r="AJ84" s="23"/>
      <c r="AK84" s="23" t="str">
        <f>IFERROR(__xludf.DUMMYFUNCTION("XLOOKUP(C84, 
   IMPORTRANGE(""1RdEdgHYrZ33LJ7RUHj_h-qkAFL92bcVjtIdVa-UlsCw"", ""Interns!D:D""), 
   IMPORTRANGE(""1RdEdgHYrZ33LJ7RUHj_h-qkAFL92bcVjtIdVa-UlsCw"", ""Interns!M:M""), 
   ""Not Found"")"),"")</f>
        <v/>
      </c>
      <c r="AL84" s="23" t="str">
        <f>IFERROR(__xludf.DUMMYFUNCTION("XLOOKUP(C84, 
   IMPORTRANGE(""1RdEdgHYrZ33LJ7RUHj_h-qkAFL92bcVjtIdVa-UlsCw"", ""Interns!D:D""), 
   IMPORTRANGE(""1RdEdgHYrZ33LJ7RUHj_h-qkAFL92bcVjtIdVa-UlsCw"", ""Interns!N:N""), 
   ""Not Found"")"),"")</f>
        <v/>
      </c>
      <c r="AM84" s="23" t="str">
        <f>IFERROR(__xludf.DUMMYFUNCTION("XLOOKUP(C84, 
   IMPORTRANGE(""1RdEdgHYrZ33LJ7RUHj_h-qkAFL92bcVjtIdVa-UlsCw"", ""Interns!D:D""), 
   IMPORTRANGE(""1RdEdgHYrZ33LJ7RUHj_h-qkAFL92bcVjtIdVa-UlsCw"", ""Interns!O:O""), 
   ""Not Found"")"),"")</f>
        <v/>
      </c>
      <c r="AN84" s="23"/>
      <c r="AO84" s="23" t="s">
        <v>5799</v>
      </c>
      <c r="AP84" s="28" t="s">
        <v>5182</v>
      </c>
      <c r="AQ84" s="28" t="s">
        <v>5800</v>
      </c>
      <c r="AR84" s="23" t="s">
        <v>5801</v>
      </c>
      <c r="AS84" s="23"/>
      <c r="AT84" s="23"/>
      <c r="AU84" s="23"/>
      <c r="AV84" s="23"/>
    </row>
    <row r="85">
      <c r="A85" s="28" t="s">
        <v>5161</v>
      </c>
      <c r="B85" s="28" t="s">
        <v>5162</v>
      </c>
      <c r="C85" s="23" t="str">
        <f t="shared" si="1"/>
        <v>Mayra (May) Poma</v>
      </c>
      <c r="D85" s="28" t="s">
        <v>5802</v>
      </c>
      <c r="E85" s="28" t="s">
        <v>5803</v>
      </c>
      <c r="F85" s="23">
        <f t="array" ref="F85">IFERROR(
    INDEX('Hub Interns 226'!A:A, MATCH("Mayra Poma", 'Hub Interns 226'!B:B, 0)),"")</f>
        <v>861</v>
      </c>
      <c r="G85" s="23">
        <f t="array" ref="G85">IFERROR(
    INDEX('Hub Users 226'!A:A, MATCH("Mayra Poma", 'Hub Users 226'!B:B, 0)),"")</f>
        <v>1294</v>
      </c>
      <c r="H85" s="28">
        <v>1764.0</v>
      </c>
      <c r="I85" s="28" t="s">
        <v>260</v>
      </c>
      <c r="J85" s="28" t="s">
        <v>5785</v>
      </c>
      <c r="K85" s="28" t="s">
        <v>5463</v>
      </c>
      <c r="L85" s="28" t="s">
        <v>5196</v>
      </c>
      <c r="M85" s="56" t="s">
        <v>5804</v>
      </c>
      <c r="N85" s="57">
        <v>45296.91736111111</v>
      </c>
      <c r="O85" s="58">
        <v>45295.0</v>
      </c>
      <c r="P85" s="28">
        <f t="shared" si="7"/>
        <v>2</v>
      </c>
      <c r="Q85" s="28" t="s">
        <v>5805</v>
      </c>
      <c r="R85" s="28" t="s">
        <v>5806</v>
      </c>
      <c r="S85" s="28">
        <v>6.0</v>
      </c>
      <c r="T85" s="28">
        <v>12.0</v>
      </c>
      <c r="U85" s="28">
        <v>30.0</v>
      </c>
      <c r="V85" s="28">
        <v>26.0</v>
      </c>
      <c r="W85" s="28" t="s">
        <v>271</v>
      </c>
      <c r="X85" s="28" t="s">
        <v>272</v>
      </c>
      <c r="Y85" s="28">
        <v>9.17651897E9</v>
      </c>
      <c r="Z85" s="28" t="s">
        <v>5259</v>
      </c>
      <c r="AA85" s="28" t="s">
        <v>704</v>
      </c>
      <c r="AB85" s="28">
        <v>2.0</v>
      </c>
      <c r="AC85" s="28" t="s">
        <v>25</v>
      </c>
      <c r="AD85" s="23"/>
      <c r="AE85" s="28" t="s">
        <v>18</v>
      </c>
      <c r="AF85" s="23" t="str">
        <f>IFERROR(__xludf.DUMMYFUNCTION("TEXTJOIN("", "", TRUE,
  FILTER(Champions!C:C,
    ISNUMBER(SEARCH(C85, Champions!W:W))
  )
)"),"John McFarland")</f>
        <v>John McFarland</v>
      </c>
      <c r="AG85" s="23"/>
      <c r="AH85" s="23" t="str">
        <f>IFERROR(__xludf.DUMMYFUNCTION("IF(
ISNUMBER(MATCH(
C85,
IMPORTRANGE(""https://docs.google.com/spreadsheets/d/1yTh1ELC33JHYOeEdgIiEclxPRyh0zOKtlawDltfUay8"",""'Interns'!A:A""),
0
)),
""Outreach Conducted"",
"""")"),"")</f>
        <v/>
      </c>
      <c r="AI85" s="23"/>
      <c r="AJ85" s="23"/>
      <c r="AK85" s="23" t="str">
        <f>IFERROR(__xludf.DUMMYFUNCTION("XLOOKUP(C85, 
   IMPORTRANGE(""1RdEdgHYrZ33LJ7RUHj_h-qkAFL92bcVjtIdVa-UlsCw"", ""Interns!D:D""), 
   IMPORTRANGE(""1RdEdgHYrZ33LJ7RUHj_h-qkAFL92bcVjtIdVa-UlsCw"", ""Interns!M:M""), 
   ""Not Found"")"),"Contacted")</f>
        <v>Contacted</v>
      </c>
      <c r="AL85" s="23" t="str">
        <f>IFERROR(__xludf.DUMMYFUNCTION("XLOOKUP(C85, 
   IMPORTRANGE(""1RdEdgHYrZ33LJ7RUHj_h-qkAFL92bcVjtIdVa-UlsCw"", ""Interns!D:D""), 
   IMPORTRANGE(""1RdEdgHYrZ33LJ7RUHj_h-qkAFL92bcVjtIdVa-UlsCw"", ""Interns!N:N""), 
   ""Not Found"")"),"#Cheers4Careers")</f>
        <v>#Cheers4Careers</v>
      </c>
      <c r="AM85" s="23" t="str">
        <f>IFERROR(__xludf.DUMMYFUNCTION("XLOOKUP(C85, 
   IMPORTRANGE(""1RdEdgHYrZ33LJ7RUHj_h-qkAFL92bcVjtIdVa-UlsCw"", ""Interns!D:D""), 
   IMPORTRANGE(""1RdEdgHYrZ33LJ7RUHj_h-qkAFL92bcVjtIdVa-UlsCw"", ""Interns!O:O""), 
   ""Not Found"")"),"Ousmane reached out by email 3/26 and reach out by text 3/28")</f>
        <v>Ousmane reached out by email 3/26 and reach out by text 3/28</v>
      </c>
      <c r="AN85" s="23"/>
      <c r="AO85" s="23" t="s">
        <v>5807</v>
      </c>
      <c r="AP85" s="28" t="s">
        <v>5182</v>
      </c>
      <c r="AQ85" s="28" t="s">
        <v>5808</v>
      </c>
      <c r="AR85" s="23">
        <v>9.176515753E9</v>
      </c>
      <c r="AS85" s="23"/>
      <c r="AT85" s="23"/>
      <c r="AU85" s="23"/>
      <c r="AV85" s="23"/>
    </row>
    <row r="86">
      <c r="A86" s="28" t="s">
        <v>5161</v>
      </c>
      <c r="B86" s="28" t="s">
        <v>31</v>
      </c>
      <c r="C86" s="23" t="str">
        <f t="shared" si="1"/>
        <v>Alejandra. Minan Rodriguez</v>
      </c>
      <c r="D86" s="28" t="s">
        <v>5809</v>
      </c>
      <c r="E86" s="28" t="s">
        <v>5810</v>
      </c>
      <c r="F86" s="23">
        <f t="array" ref="F86">IFERROR(
    INDEX('Hub Interns 226'!A:A, MATCH("Alejandra Minan Rodriguez", 'Hub Interns 226'!B:B, 0)),"")</f>
        <v>103</v>
      </c>
      <c r="G86" s="23">
        <f t="array" ref="G86">IFERROR(
    INDEX('Hub Users 226'!A:A, MATCH("Alejandra Minan Rodriguez", 'Hub Users 226'!B:B, 0)),"")</f>
        <v>536</v>
      </c>
      <c r="H86" s="28">
        <v>1144.0</v>
      </c>
      <c r="I86" s="28" t="s">
        <v>239</v>
      </c>
      <c r="J86" s="28"/>
      <c r="K86" s="28"/>
      <c r="L86" s="28" t="s">
        <v>5196</v>
      </c>
      <c r="M86" s="56" t="s">
        <v>5811</v>
      </c>
      <c r="N86" s="57">
        <v>44749.53888888889</v>
      </c>
      <c r="O86" s="58">
        <v>39155.0</v>
      </c>
      <c r="P86" s="28">
        <f t="shared" si="7"/>
        <v>19</v>
      </c>
      <c r="Q86" s="28" t="s">
        <v>240</v>
      </c>
      <c r="R86" s="28" t="s">
        <v>5812</v>
      </c>
      <c r="S86" s="28"/>
      <c r="T86" s="28"/>
      <c r="U86" s="28"/>
      <c r="V86" s="28"/>
      <c r="W86" s="28" t="s">
        <v>294</v>
      </c>
      <c r="X86" s="28" t="s">
        <v>272</v>
      </c>
      <c r="Y86" s="28" t="s">
        <v>5813</v>
      </c>
      <c r="Z86" s="28" t="s">
        <v>5259</v>
      </c>
      <c r="AA86" s="28" t="s">
        <v>704</v>
      </c>
      <c r="AB86" s="28">
        <v>2.0</v>
      </c>
      <c r="AC86" s="28" t="s">
        <v>23</v>
      </c>
      <c r="AD86" s="23"/>
      <c r="AE86" s="28" t="s">
        <v>15</v>
      </c>
      <c r="AF86" s="23"/>
      <c r="AG86" s="23"/>
      <c r="AH86" s="23" t="str">
        <f>IFERROR(__xludf.DUMMYFUNCTION("IF(
ISNUMBER(MATCH(
C86,
IMPORTRANGE(""https://docs.google.com/spreadsheets/d/1yTh1ELC33JHYOeEdgIiEclxPRyh0zOKtlawDltfUay8"",""'Interns'!A:A""),
0
)),
""Outreach Conducted"",
"""")"),"")</f>
        <v/>
      </c>
      <c r="AI86" s="23"/>
      <c r="AJ86" s="23"/>
      <c r="AK86" s="23" t="str">
        <f>IFERROR(__xludf.DUMMYFUNCTION("XLOOKUP(C86, 
   IMPORTRANGE(""1RdEdgHYrZ33LJ7RUHj_h-qkAFL92bcVjtIdVa-UlsCw"", ""Interns!D:D""), 
   IMPORTRANGE(""1RdEdgHYrZ33LJ7RUHj_h-qkAFL92bcVjtIdVa-UlsCw"", ""Interns!M:M""), 
   ""Not Found"")"),"")</f>
        <v/>
      </c>
      <c r="AL86" s="23" t="str">
        <f>IFERROR(__xludf.DUMMYFUNCTION("XLOOKUP(C86, 
   IMPORTRANGE(""1RdEdgHYrZ33LJ7RUHj_h-qkAFL92bcVjtIdVa-UlsCw"", ""Interns!D:D""), 
   IMPORTRANGE(""1RdEdgHYrZ33LJ7RUHj_h-qkAFL92bcVjtIdVa-UlsCw"", ""Interns!N:N""), 
   ""Not Found"")"),"")</f>
        <v/>
      </c>
      <c r="AM86" s="23" t="str">
        <f>IFERROR(__xludf.DUMMYFUNCTION("XLOOKUP(C86, 
   IMPORTRANGE(""1RdEdgHYrZ33LJ7RUHj_h-qkAFL92bcVjtIdVa-UlsCw"", ""Interns!D:D""), 
   IMPORTRANGE(""1RdEdgHYrZ33LJ7RUHj_h-qkAFL92bcVjtIdVa-UlsCw"", ""Interns!O:O""), 
   ""Not Found"")"),"")</f>
        <v/>
      </c>
      <c r="AN86" s="23"/>
      <c r="AO86" s="23" t="s">
        <v>5814</v>
      </c>
      <c r="AP86" s="28" t="s">
        <v>5182</v>
      </c>
      <c r="AQ86" s="28"/>
      <c r="AR86" s="23"/>
      <c r="AS86" s="23"/>
      <c r="AT86" s="23"/>
      <c r="AU86" s="23"/>
      <c r="AV86" s="23"/>
    </row>
    <row r="87">
      <c r="A87" s="28" t="s">
        <v>5161</v>
      </c>
      <c r="B87" s="28" t="s">
        <v>5162</v>
      </c>
      <c r="C87" s="23" t="str">
        <f t="shared" si="1"/>
        <v>Amer Godusevic</v>
      </c>
      <c r="D87" s="22" t="s">
        <v>5815</v>
      </c>
      <c r="E87" s="22" t="s">
        <v>5816</v>
      </c>
      <c r="F87" s="23"/>
      <c r="G87" s="23"/>
      <c r="H87" s="22">
        <v>1885.0</v>
      </c>
      <c r="I87" s="28"/>
      <c r="J87" s="28" t="s">
        <v>5817</v>
      </c>
      <c r="K87" s="28" t="s">
        <v>5255</v>
      </c>
      <c r="L87" s="28" t="s">
        <v>5165</v>
      </c>
      <c r="M87" s="29" t="s">
        <v>5818</v>
      </c>
      <c r="N87" s="22"/>
      <c r="O87" s="25">
        <v>39745.0</v>
      </c>
      <c r="P87" s="28">
        <f t="shared" si="7"/>
        <v>17</v>
      </c>
      <c r="Q87" s="62" t="s">
        <v>5819</v>
      </c>
      <c r="R87" s="22" t="s">
        <v>5820</v>
      </c>
      <c r="S87" s="28">
        <v>15.0</v>
      </c>
      <c r="T87" s="28">
        <v>33.0</v>
      </c>
      <c r="U87" s="28">
        <v>80.0</v>
      </c>
      <c r="V87" s="28">
        <v>13.0</v>
      </c>
      <c r="W87" s="28" t="s">
        <v>859</v>
      </c>
      <c r="X87" s="28" t="s">
        <v>272</v>
      </c>
      <c r="Y87" s="22" t="s">
        <v>5821</v>
      </c>
      <c r="Z87" s="22" t="s">
        <v>5822</v>
      </c>
      <c r="AA87" s="28" t="s">
        <v>5822</v>
      </c>
      <c r="AB87" s="28">
        <v>30.0</v>
      </c>
      <c r="AC87" s="28" t="s">
        <v>27</v>
      </c>
      <c r="AD87" s="23"/>
      <c r="AE87" s="28" t="s">
        <v>20</v>
      </c>
      <c r="AF87" s="23"/>
      <c r="AG87" s="23"/>
      <c r="AH87" s="23" t="str">
        <f>IFERROR(__xludf.DUMMYFUNCTION("IF(
ISNUMBER(MATCH(
C87,
IMPORTRANGE(""https://docs.google.com/spreadsheets/d/1yTh1ELC33JHYOeEdgIiEclxPRyh0zOKtlawDltfUay8"",""'Interns'!A:A""),
0
)),
""Outreach Conducted"",
"""")"),"")</f>
        <v/>
      </c>
      <c r="AI87" s="23"/>
      <c r="AJ87" s="23"/>
      <c r="AK87" s="23"/>
      <c r="AL87" s="23" t="str">
        <f>IFERROR(__xludf.DUMMYFUNCTION("XLOOKUP(C87, 
   IMPORTRANGE(""1RdEdgHYrZ33LJ7RUHj_h-qkAFL92bcVjtIdVa-UlsCw"", ""Interns!D:D""), 
   IMPORTRANGE(""1RdEdgHYrZ33LJ7RUHj_h-qkAFL92bcVjtIdVa-UlsCw"", ""Interns!N:N""), 
   ""Not Found"")"),"#Cheers4Careers")</f>
        <v>#Cheers4Careers</v>
      </c>
      <c r="AM87" s="23" t="str">
        <f>IFERROR(__xludf.DUMMYFUNCTION("XLOOKUP(C87, 
   IMPORTRANGE(""1RdEdgHYrZ33LJ7RUHj_h-qkAFL92bcVjtIdVa-UlsCw"", ""Interns!D:D""), 
   IMPORTRANGE(""1RdEdgHYrZ33LJ7RUHj_h-qkAFL92bcVjtIdVa-UlsCw"", ""Interns!O:O""), 
   ""Not Found"")"),"Hetal reached out March 27 for March #Cheers4 Careers ")</f>
        <v>Hetal reached out March 27 for March #Cheers4 Careers </v>
      </c>
      <c r="AN87" s="23"/>
      <c r="AO87" s="23" t="s">
        <v>5823</v>
      </c>
      <c r="AP87" s="28" t="s">
        <v>5191</v>
      </c>
      <c r="AQ87" s="28" t="s">
        <v>5824</v>
      </c>
      <c r="AR87" s="23" t="s">
        <v>5825</v>
      </c>
      <c r="AS87" s="23"/>
      <c r="AT87" s="23"/>
      <c r="AU87" s="23"/>
      <c r="AV87" s="23"/>
    </row>
    <row r="88">
      <c r="A88" s="28" t="s">
        <v>5161</v>
      </c>
      <c r="B88" s="28" t="s">
        <v>5162</v>
      </c>
      <c r="C88" s="23" t="str">
        <f t="shared" si="1"/>
        <v>Almina Hodzic</v>
      </c>
      <c r="D88" s="28" t="s">
        <v>5826</v>
      </c>
      <c r="E88" s="28" t="s">
        <v>5827</v>
      </c>
      <c r="F88" s="23" t="str">
        <f t="array" ref="F88">IFERROR(
    INDEX('Hub Interns 226'!A:A, MATCH(C88, 'Hub Interns 226'!B:B, 0)),"")</f>
        <v/>
      </c>
      <c r="G88" s="23" t="str">
        <f t="array" ref="G88">IFERROR(
    INDEX('Hub Users 226'!A:A, MATCH(C88, 'Hub Users 226'!B:B, 0)),"")</f>
        <v/>
      </c>
      <c r="H88" s="28">
        <v>32.0</v>
      </c>
      <c r="I88" s="28" t="s">
        <v>260</v>
      </c>
      <c r="J88" s="28" t="s">
        <v>5817</v>
      </c>
      <c r="K88" s="28" t="s">
        <v>5255</v>
      </c>
      <c r="L88" s="28" t="s">
        <v>5196</v>
      </c>
      <c r="M88" s="28"/>
      <c r="N88" s="57">
        <v>43741.63055555556</v>
      </c>
      <c r="O88" s="58"/>
      <c r="P88" s="28"/>
      <c r="Q88" s="28" t="s">
        <v>240</v>
      </c>
      <c r="R88" s="23"/>
      <c r="S88" s="28"/>
      <c r="T88" s="28"/>
      <c r="U88" s="28"/>
      <c r="V88" s="28"/>
      <c r="W88" s="28" t="s">
        <v>380</v>
      </c>
      <c r="X88" s="28" t="s">
        <v>381</v>
      </c>
      <c r="Y88" s="28" t="s">
        <v>5828</v>
      </c>
      <c r="Z88" s="28" t="s">
        <v>5491</v>
      </c>
      <c r="AA88" s="28" t="s">
        <v>5492</v>
      </c>
      <c r="AB88" s="28">
        <v>47.0</v>
      </c>
      <c r="AC88" s="28" t="s">
        <v>25</v>
      </c>
      <c r="AD88" s="23"/>
      <c r="AE88" s="28" t="s">
        <v>4</v>
      </c>
      <c r="AF88" s="23" t="str">
        <f>IFERROR(__xludf.DUMMYFUNCTION("TEXTJOIN("", "", TRUE,
  FILTER(Champions!C:C,
    ISNUMBER(SEARCH(C88, Champions!W:W))
  )
)"),"#N/A")</f>
        <v>#N/A</v>
      </c>
      <c r="AG88" s="23"/>
      <c r="AH88" s="23" t="str">
        <f>IFERROR(__xludf.DUMMYFUNCTION("IF(
ISNUMBER(MATCH(
C88,
IMPORTRANGE(""https://docs.google.com/spreadsheets/d/1yTh1ELC33JHYOeEdgIiEclxPRyh0zOKtlawDltfUay8"",""'Interns'!A:A""),
0
)),
""Outreach Conducted"",
"""")"),"")</f>
        <v/>
      </c>
      <c r="AI88" s="23"/>
      <c r="AJ88" s="23"/>
      <c r="AK88" s="23" t="str">
        <f>IFERROR(__xludf.DUMMYFUNCTION("XLOOKUP(C88, 
   IMPORTRANGE(""1RdEdgHYrZ33LJ7RUHj_h-qkAFL92bcVjtIdVa-UlsCw"", ""Interns!D:D""), 
   IMPORTRANGE(""1RdEdgHYrZ33LJ7RUHj_h-qkAFL92bcVjtIdVa-UlsCw"", ""Interns!M:M""), 
   ""Not Found"")"),"")</f>
        <v/>
      </c>
      <c r="AL88" s="23" t="str">
        <f>IFERROR(__xludf.DUMMYFUNCTION("XLOOKUP(C88, 
   IMPORTRANGE(""1RdEdgHYrZ33LJ7RUHj_h-qkAFL92bcVjtIdVa-UlsCw"", ""Interns!D:D""), 
   IMPORTRANGE(""1RdEdgHYrZ33LJ7RUHj_h-qkAFL92bcVjtIdVa-UlsCw"", ""Interns!N:N""), 
   ""Not Found"")"),"")</f>
        <v/>
      </c>
      <c r="AM88" s="23" t="str">
        <f>IFERROR(__xludf.DUMMYFUNCTION("XLOOKUP(C88, 
   IMPORTRANGE(""1RdEdgHYrZ33LJ7RUHj_h-qkAFL92bcVjtIdVa-UlsCw"", ""Interns!D:D""), 
   IMPORTRANGE(""1RdEdgHYrZ33LJ7RUHj_h-qkAFL92bcVjtIdVa-UlsCw"", ""Interns!O:O""), 
   ""Not Found"")"),"")</f>
        <v/>
      </c>
      <c r="AN88" s="23"/>
      <c r="AO88" s="23" t="s">
        <v>5829</v>
      </c>
      <c r="AP88" s="28" t="s">
        <v>5182</v>
      </c>
      <c r="AQ88" s="28" t="s">
        <v>5829</v>
      </c>
      <c r="AR88" s="23" t="s">
        <v>5830</v>
      </c>
      <c r="AS88" s="23"/>
      <c r="AT88" s="23"/>
      <c r="AU88" s="23"/>
      <c r="AV88" s="23"/>
    </row>
    <row r="89">
      <c r="A89" s="28" t="s">
        <v>5161</v>
      </c>
      <c r="B89" s="28" t="s">
        <v>5162</v>
      </c>
      <c r="C89" s="23" t="str">
        <f t="shared" si="1"/>
        <v>Yuxi Yang</v>
      </c>
      <c r="D89" s="28" t="s">
        <v>5831</v>
      </c>
      <c r="E89" s="28" t="s">
        <v>5832</v>
      </c>
      <c r="F89" s="23">
        <f t="array" ref="F89">IFERROR(
    INDEX('Hub Interns 226'!A:A, MATCH(C89, 'Hub Interns 226'!B:B, 0)),"")</f>
        <v>1251</v>
      </c>
      <c r="G89" s="23">
        <f t="array" ref="G89">IFERROR(
    INDEX('Hub Users 226'!A:A, MATCH(C89, 'Hub Users 226'!B:B, 0)),"")</f>
        <v>1684</v>
      </c>
      <c r="H89" s="28">
        <v>537.0</v>
      </c>
      <c r="I89" s="28" t="s">
        <v>269</v>
      </c>
      <c r="J89" s="28" t="s">
        <v>5833</v>
      </c>
      <c r="K89" s="28" t="s">
        <v>5186</v>
      </c>
      <c r="L89" s="28" t="s">
        <v>5196</v>
      </c>
      <c r="M89" s="56" t="s">
        <v>5834</v>
      </c>
      <c r="N89" s="57">
        <v>44477.54236111111</v>
      </c>
      <c r="O89" s="58">
        <v>38458.0</v>
      </c>
      <c r="P89" s="28">
        <f t="shared" ref="P89:P145" si="8">DATEDIF(O89, TODAY(), "Y")</f>
        <v>21</v>
      </c>
      <c r="Q89" s="28" t="s">
        <v>5835</v>
      </c>
      <c r="R89" s="28" t="s">
        <v>5836</v>
      </c>
      <c r="S89" s="28">
        <v>6.0</v>
      </c>
      <c r="T89" s="28">
        <v>16.0</v>
      </c>
      <c r="U89" s="28">
        <v>40.0</v>
      </c>
      <c r="V89" s="28">
        <v>20.0</v>
      </c>
      <c r="W89" s="28" t="s">
        <v>1173</v>
      </c>
      <c r="X89" s="28" t="s">
        <v>272</v>
      </c>
      <c r="Y89" s="28" t="s">
        <v>5837</v>
      </c>
      <c r="Z89" s="28" t="s">
        <v>5189</v>
      </c>
      <c r="AA89" s="28" t="s">
        <v>619</v>
      </c>
      <c r="AB89" s="28">
        <v>20.0</v>
      </c>
      <c r="AC89" s="28" t="s">
        <v>25</v>
      </c>
      <c r="AD89" s="23"/>
      <c r="AE89" s="28" t="s">
        <v>10</v>
      </c>
      <c r="AF89" s="23" t="str">
        <f>IFERROR(__xludf.DUMMYFUNCTION("TEXTJOIN("", "", TRUE,
  FILTER(Champions!C:C,
    ISNUMBER(SEARCH(C89, Champions!W:W))
  )
)"),"Elise George, Lindsay Katherine LoBello")</f>
        <v>Elise George, Lindsay Katherine LoBello</v>
      </c>
      <c r="AG89" s="23"/>
      <c r="AH89" s="23" t="str">
        <f>IFERROR(__xludf.DUMMYFUNCTION("IF(
ISNUMBER(MATCH(
C89,
IMPORTRANGE(""https://docs.google.com/spreadsheets/d/1yTh1ELC33JHYOeEdgIiEclxPRyh0zOKtlawDltfUay8"",""'Interns'!A:A""),
0
)),
""Outreach Conducted"",
"""")"),"")</f>
        <v/>
      </c>
      <c r="AI89" s="23"/>
      <c r="AJ89" s="23"/>
      <c r="AK89" s="23" t="str">
        <f>IFERROR(__xludf.DUMMYFUNCTION("XLOOKUP(C89, 
   IMPORTRANGE(""1RdEdgHYrZ33LJ7RUHj_h-qkAFL92bcVjtIdVa-UlsCw"", ""Interns!D:D""), 
   IMPORTRANGE(""1RdEdgHYrZ33LJ7RUHj_h-qkAFL92bcVjtIdVa-UlsCw"", ""Interns!M:M""), 
   ""Not Found"")"),"Contacted")</f>
        <v>Contacted</v>
      </c>
      <c r="AL89" s="23" t="str">
        <f>IFERROR(__xludf.DUMMYFUNCTION("XLOOKUP(C89, 
   IMPORTRANGE(""1RdEdgHYrZ33LJ7RUHj_h-qkAFL92bcVjtIdVa-UlsCw"", ""Interns!D:D""), 
   IMPORTRANGE(""1RdEdgHYrZ33LJ7RUHj_h-qkAFL92bcVjtIdVa-UlsCw"", ""Interns!N:N""), 
   ""Not Found"")"),"#Cheers4Careers")</f>
        <v>#Cheers4Careers</v>
      </c>
      <c r="AM89" s="23" t="str">
        <f>IFERROR(__xludf.DUMMYFUNCTION("XLOOKUP(C89, 
   IMPORTRANGE(""1RdEdgHYrZ33LJ7RUHj_h-qkAFL92bcVjtIdVa-UlsCw"", ""Interns!D:D""), 
   IMPORTRANGE(""1RdEdgHYrZ33LJ7RUHj_h-qkAFL92bcVjtIdVa-UlsCw"", ""Interns!O:O""), 
   ""Not Found"")"),"Hetal reached out by email 3/27 followed by text")</f>
        <v>Hetal reached out by email 3/27 followed by text</v>
      </c>
      <c r="AN89" s="23"/>
      <c r="AO89" s="23" t="s">
        <v>5838</v>
      </c>
      <c r="AP89" s="28" t="s">
        <v>5191</v>
      </c>
      <c r="AQ89" s="28" t="s">
        <v>5839</v>
      </c>
      <c r="AR89" s="23" t="s">
        <v>5840</v>
      </c>
      <c r="AS89" s="23"/>
      <c r="AT89" s="23"/>
      <c r="AU89" s="23"/>
      <c r="AV89" s="23"/>
    </row>
    <row r="90">
      <c r="A90" s="28" t="s">
        <v>5161</v>
      </c>
      <c r="B90" s="28" t="s">
        <v>5162</v>
      </c>
      <c r="C90" s="23" t="str">
        <f t="shared" si="1"/>
        <v>Julia Pontes</v>
      </c>
      <c r="D90" s="28" t="s">
        <v>1864</v>
      </c>
      <c r="E90" s="28" t="s">
        <v>5841</v>
      </c>
      <c r="F90" s="23">
        <f t="array" ref="F90">IFERROR(
    INDEX('Hub Interns 226'!A:A, MATCH(C90, 'Hub Interns 226'!B:B, 0)),"")</f>
        <v>47</v>
      </c>
      <c r="G90" s="23">
        <f t="array" ref="G90">IFERROR(
    INDEX('Hub Users 226'!A:A, MATCH(C90, 'Hub Users 226'!B:B, 0)),"")</f>
        <v>480</v>
      </c>
      <c r="H90" s="28">
        <v>834.0</v>
      </c>
      <c r="I90" s="28" t="s">
        <v>239</v>
      </c>
      <c r="J90" s="28" t="s">
        <v>5842</v>
      </c>
      <c r="K90" s="28" t="s">
        <v>5463</v>
      </c>
      <c r="L90" s="28" t="s">
        <v>5196</v>
      </c>
      <c r="M90" s="56" t="s">
        <v>5843</v>
      </c>
      <c r="N90" s="57">
        <v>44575.603472222225</v>
      </c>
      <c r="O90" s="58">
        <v>38496.0</v>
      </c>
      <c r="P90" s="28">
        <f t="shared" si="8"/>
        <v>20</v>
      </c>
      <c r="Q90" s="28" t="s">
        <v>240</v>
      </c>
      <c r="R90" s="28" t="s">
        <v>5844</v>
      </c>
      <c r="S90" s="28">
        <v>12.0</v>
      </c>
      <c r="T90" s="28">
        <v>28.0</v>
      </c>
      <c r="U90" s="28">
        <v>76.0</v>
      </c>
      <c r="V90" s="28">
        <v>5.0</v>
      </c>
      <c r="W90" s="28" t="s">
        <v>271</v>
      </c>
      <c r="X90" s="28" t="s">
        <v>272</v>
      </c>
      <c r="Y90" s="28" t="s">
        <v>5845</v>
      </c>
      <c r="Z90" s="28" t="s">
        <v>5259</v>
      </c>
      <c r="AA90" s="28" t="s">
        <v>704</v>
      </c>
      <c r="AB90" s="28">
        <v>2.0</v>
      </c>
      <c r="AC90" s="28" t="s">
        <v>25</v>
      </c>
      <c r="AD90" s="23"/>
      <c r="AE90" s="28" t="s">
        <v>10</v>
      </c>
      <c r="AF90" s="23" t="str">
        <f>IFERROR(__xludf.DUMMYFUNCTION("TEXTJOIN("", "", TRUE,
  FILTER(Champions!C:C,
    ISNUMBER(SEARCH(C90, Champions!W:W))
  )
)"),"Anna Butuzova, Mariana Tejeida-Olvera")</f>
        <v>Anna Butuzova, Mariana Tejeida-Olvera</v>
      </c>
      <c r="AG90" s="23"/>
      <c r="AH90" s="23" t="str">
        <f>IFERROR(__xludf.DUMMYFUNCTION("IF(
ISNUMBER(MATCH(
C90,
IMPORTRANGE(""https://docs.google.com/spreadsheets/d/1yTh1ELC33JHYOeEdgIiEclxPRyh0zOKtlawDltfUay8"",""'Interns'!A:A""),
0
)),
""Outreach Conducted"",
"""")"),"")</f>
        <v/>
      </c>
      <c r="AI90" s="23"/>
      <c r="AJ90" s="28"/>
      <c r="AK90" s="23" t="str">
        <f>IFERROR(__xludf.DUMMYFUNCTION("XLOOKUP(C90, 
   IMPORTRANGE(""1RdEdgHYrZ33LJ7RUHj_h-qkAFL92bcVjtIdVa-UlsCw"", ""Interns!D:D""), 
   IMPORTRANGE(""1RdEdgHYrZ33LJ7RUHj_h-qkAFL92bcVjtIdVa-UlsCw"", ""Interns!M:M""), 
   ""Not Found"")"),"")</f>
        <v/>
      </c>
      <c r="AL90" s="23" t="str">
        <f>IFERROR(__xludf.DUMMYFUNCTION("XLOOKUP(C90, 
   IMPORTRANGE(""1RdEdgHYrZ33LJ7RUHj_h-qkAFL92bcVjtIdVa-UlsCw"", ""Interns!D:D""), 
   IMPORTRANGE(""1RdEdgHYrZ33LJ7RUHj_h-qkAFL92bcVjtIdVa-UlsCw"", ""Interns!N:N""), 
   ""Not Found"")"),"")</f>
        <v/>
      </c>
      <c r="AM90" s="23" t="str">
        <f>IFERROR(__xludf.DUMMYFUNCTION("XLOOKUP(C90, 
   IMPORTRANGE(""1RdEdgHYrZ33LJ7RUHj_h-qkAFL92bcVjtIdVa-UlsCw"", ""Interns!D:D""), 
   IMPORTRANGE(""1RdEdgHYrZ33LJ7RUHj_h-qkAFL92bcVjtIdVa-UlsCw"", ""Interns!O:O""), 
   ""Not Found"")"),"")</f>
        <v/>
      </c>
      <c r="AN90" s="23"/>
      <c r="AO90" s="23" t="s">
        <v>5846</v>
      </c>
      <c r="AP90" s="28" t="s">
        <v>5191</v>
      </c>
      <c r="AQ90" s="28" t="s">
        <v>5843</v>
      </c>
      <c r="AR90" s="23" t="s">
        <v>5847</v>
      </c>
      <c r="AS90" s="23"/>
      <c r="AT90" s="23"/>
      <c r="AU90" s="23"/>
      <c r="AV90" s="23"/>
    </row>
    <row r="91">
      <c r="A91" s="28" t="s">
        <v>5161</v>
      </c>
      <c r="B91" s="28" t="s">
        <v>5162</v>
      </c>
      <c r="C91" s="23" t="str">
        <f t="shared" si="1"/>
        <v>Matheus Teodoro</v>
      </c>
      <c r="D91" s="28" t="s">
        <v>5848</v>
      </c>
      <c r="E91" s="28" t="s">
        <v>5849</v>
      </c>
      <c r="F91" s="23">
        <f t="array" ref="F91">IFERROR(
    INDEX('Hub Interns 226'!A:A, MATCH(C91, 'Hub Interns 226'!B:B, 0)),"")</f>
        <v>1608</v>
      </c>
      <c r="G91" s="23">
        <f t="array" ref="G91">IFERROR(
    INDEX('Hub Users 226'!A:A, MATCH(C91, 'Hub Users 226'!B:B, 0)),"")</f>
        <v>2212</v>
      </c>
      <c r="H91" s="28">
        <v>1875.0</v>
      </c>
      <c r="I91" s="28"/>
      <c r="J91" s="28" t="s">
        <v>5842</v>
      </c>
      <c r="K91" s="28" t="s">
        <v>5463</v>
      </c>
      <c r="L91" s="28" t="s">
        <v>5165</v>
      </c>
      <c r="M91" s="56" t="s">
        <v>5850</v>
      </c>
      <c r="N91" s="62">
        <v>45692.5875</v>
      </c>
      <c r="O91" s="58">
        <v>39667.0</v>
      </c>
      <c r="P91" s="28">
        <f t="shared" si="8"/>
        <v>17</v>
      </c>
      <c r="Q91" s="23"/>
      <c r="R91" s="28" t="s">
        <v>5851</v>
      </c>
      <c r="S91" s="28">
        <v>13.0</v>
      </c>
      <c r="T91" s="28">
        <v>30.0</v>
      </c>
      <c r="U91" s="28">
        <v>71.0</v>
      </c>
      <c r="V91" s="28">
        <v>7.0</v>
      </c>
      <c r="W91" s="28" t="s">
        <v>271</v>
      </c>
      <c r="X91" s="28" t="s">
        <v>272</v>
      </c>
      <c r="Y91" s="28" t="s">
        <v>5852</v>
      </c>
      <c r="Z91" s="28" t="s">
        <v>5853</v>
      </c>
      <c r="AA91" s="28" t="s">
        <v>704</v>
      </c>
      <c r="AB91" s="28">
        <v>2.0</v>
      </c>
      <c r="AC91" s="28" t="s">
        <v>25</v>
      </c>
      <c r="AD91" s="23"/>
      <c r="AE91" s="28" t="s">
        <v>19</v>
      </c>
      <c r="AF91" s="23" t="str">
        <f>IFERROR(__xludf.DUMMYFUNCTION("TEXTJOIN("", "", TRUE,
  FILTER(Champions!C:C,
    ISNUMBER(SEARCH(C91, Champions!W:W))
  )
)"),"Fernanda Montane Azpiri")</f>
        <v>Fernanda Montane Azpiri</v>
      </c>
      <c r="AG91" s="23"/>
      <c r="AH91" s="23" t="str">
        <f>IFERROR(__xludf.DUMMYFUNCTION("IF(
ISNUMBER(MATCH(
C91,
IMPORTRANGE(""https://docs.google.com/spreadsheets/d/1yTh1ELC33JHYOeEdgIiEclxPRyh0zOKtlawDltfUay8"",""'Interns'!A:A""),
0
)),
""Outreach Conducted"",
"""")"),"")</f>
        <v/>
      </c>
      <c r="AI91" s="23"/>
      <c r="AJ91" s="23"/>
      <c r="AK91" s="23" t="str">
        <f>IFERROR(__xludf.DUMMYFUNCTION("XLOOKUP(C91, 
   IMPORTRANGE(""1RdEdgHYrZ33LJ7RUHj_h-qkAFL92bcVjtIdVa-UlsCw"", ""Interns!D:D""), 
   IMPORTRANGE(""1RdEdgHYrZ33LJ7RUHj_h-qkAFL92bcVjtIdVa-UlsCw"", ""Interns!M:M""), 
   ""Not Found"")"),"Contacted")</f>
        <v>Contacted</v>
      </c>
      <c r="AL91" s="23" t="str">
        <f>IFERROR(__xludf.DUMMYFUNCTION("XLOOKUP(C91, 
   IMPORTRANGE(""1RdEdgHYrZ33LJ7RUHj_h-qkAFL92bcVjtIdVa-UlsCw"", ""Interns!D:D""), 
   IMPORTRANGE(""1RdEdgHYrZ33LJ7RUHj_h-qkAFL92bcVjtIdVa-UlsCw"", ""Interns!N:N""), 
   ""Not Found"")"),"#Cheers4Careers")</f>
        <v>#Cheers4Careers</v>
      </c>
      <c r="AM91" s="23" t="str">
        <f>IFERROR(__xludf.DUMMYFUNCTION("XLOOKUP(C91, 
   IMPORTRANGE(""1RdEdgHYrZ33LJ7RUHj_h-qkAFL92bcVjtIdVa-UlsCw"", ""Interns!D:D""), 
   IMPORTRANGE(""1RdEdgHYrZ33LJ7RUHj_h-qkAFL92bcVjtIdVa-UlsCw"", ""Interns!O:O""), 
   ""Not Found"")"),"Ousmane reached out by email 3/26 ")</f>
        <v>Ousmane reached out by email 3/26 </v>
      </c>
      <c r="AN91" s="23"/>
      <c r="AO91" s="23" t="s">
        <v>5854</v>
      </c>
      <c r="AP91" s="28" t="s">
        <v>5182</v>
      </c>
      <c r="AQ91" s="28" t="s">
        <v>5855</v>
      </c>
      <c r="AR91" s="23" t="s">
        <v>5856</v>
      </c>
      <c r="AS91" s="23"/>
      <c r="AT91" s="23"/>
      <c r="AU91" s="23"/>
      <c r="AV91" s="23"/>
    </row>
    <row r="92">
      <c r="A92" s="28" t="s">
        <v>5161</v>
      </c>
      <c r="B92" s="28" t="s">
        <v>5162</v>
      </c>
      <c r="C92" s="23" t="str">
        <f t="shared" si="1"/>
        <v>Arthur Barbosa</v>
      </c>
      <c r="D92" s="28" t="s">
        <v>5857</v>
      </c>
      <c r="E92" s="28" t="s">
        <v>5858</v>
      </c>
      <c r="F92" s="23" t="str">
        <f t="array" ref="F92">IFERROR(
    INDEX('Hub Interns 226'!A:A, MATCH(C92, 'Hub Interns 226'!B:B, 0)),"")</f>
        <v/>
      </c>
      <c r="G92" s="23">
        <f t="array" ref="G92">IFERROR(
    INDEX('Hub Users 226'!A:A, MATCH(C92, 'Hub Users 226'!B:B, 0)),"")</f>
        <v>1934</v>
      </c>
      <c r="H92" s="28">
        <v>1800.0</v>
      </c>
      <c r="I92" s="28" t="s">
        <v>290</v>
      </c>
      <c r="J92" s="28" t="s">
        <v>5842</v>
      </c>
      <c r="K92" s="28" t="s">
        <v>5463</v>
      </c>
      <c r="L92" s="28" t="s">
        <v>5165</v>
      </c>
      <c r="M92" s="56" t="s">
        <v>5859</v>
      </c>
      <c r="N92" s="57">
        <v>45336.728472222225</v>
      </c>
      <c r="O92" s="58"/>
      <c r="P92" s="28">
        <f t="shared" si="8"/>
        <v>126</v>
      </c>
      <c r="Q92" s="28" t="s">
        <v>5860</v>
      </c>
      <c r="R92" s="28" t="s">
        <v>5861</v>
      </c>
      <c r="S92" s="28"/>
      <c r="T92" s="28"/>
      <c r="U92" s="28"/>
      <c r="V92" s="28"/>
      <c r="W92" s="28" t="s">
        <v>2633</v>
      </c>
      <c r="X92" s="28" t="s">
        <v>241</v>
      </c>
      <c r="Y92" s="23"/>
      <c r="Z92" s="28" t="s">
        <v>5259</v>
      </c>
      <c r="AA92" s="28" t="s">
        <v>704</v>
      </c>
      <c r="AB92" s="28">
        <v>2.0</v>
      </c>
      <c r="AC92" s="28" t="s">
        <v>27</v>
      </c>
      <c r="AD92" s="28" t="s">
        <v>101</v>
      </c>
      <c r="AE92" s="28" t="s">
        <v>18</v>
      </c>
      <c r="AF92" s="23"/>
      <c r="AG92" s="23"/>
      <c r="AH92" s="23" t="str">
        <f>IFERROR(__xludf.DUMMYFUNCTION("IF(
ISNUMBER(MATCH(
C92,
IMPORTRANGE(""https://docs.google.com/spreadsheets/d/1yTh1ELC33JHYOeEdgIiEclxPRyh0zOKtlawDltfUay8"",""'Interns'!A:A""),
0
)),
""Outreach Conducted"",
"""")"),"")</f>
        <v/>
      </c>
      <c r="AI92" s="23"/>
      <c r="AJ92" s="23"/>
      <c r="AK92" s="23" t="str">
        <f>IFERROR(__xludf.DUMMYFUNCTION("XLOOKUP(C92, 
   IMPORTRANGE(""1RdEdgHYrZ33LJ7RUHj_h-qkAFL92bcVjtIdVa-UlsCw"", ""Interns!D:D""), 
   IMPORTRANGE(""1RdEdgHYrZ33LJ7RUHj_h-qkAFL92bcVjtIdVa-UlsCw"", ""Interns!M:M""), 
   ""Not Found"")"),"Contacted")</f>
        <v>Contacted</v>
      </c>
      <c r="AL92" s="23" t="str">
        <f>IFERROR(__xludf.DUMMYFUNCTION("XLOOKUP(C92, 
   IMPORTRANGE(""1RdEdgHYrZ33LJ7RUHj_h-qkAFL92bcVjtIdVa-UlsCw"", ""Interns!D:D""), 
   IMPORTRANGE(""1RdEdgHYrZ33LJ7RUHj_h-qkAFL92bcVjtIdVa-UlsCw"", ""Interns!N:N""), 
   ""Not Found"")"),"#Cheers4Careers")</f>
        <v>#Cheers4Careers</v>
      </c>
      <c r="AM92" s="23" t="str">
        <f>IFERROR(__xludf.DUMMYFUNCTION("XLOOKUP(C92, 
   IMPORTRANGE(""1RdEdgHYrZ33LJ7RUHj_h-qkAFL92bcVjtIdVa-UlsCw"", ""Interns!D:D""), 
   IMPORTRANGE(""1RdEdgHYrZ33LJ7RUHj_h-qkAFL92bcVjtIdVa-UlsCw"", ""Interns!O:O""), 
   ""Not Found"")"),"Ousmane reached out by email 3/26 and reach out by text 3/28")</f>
        <v>Ousmane reached out by email 3/26 and reach out by text 3/28</v>
      </c>
      <c r="AN92" s="23"/>
      <c r="AO92" s="23" t="s">
        <v>5862</v>
      </c>
      <c r="AP92" s="28" t="s">
        <v>5240</v>
      </c>
      <c r="AQ92" s="28" t="s">
        <v>5863</v>
      </c>
      <c r="AR92" s="23">
        <v>3.475611812E9</v>
      </c>
      <c r="AS92" s="23"/>
      <c r="AT92" s="23"/>
      <c r="AU92" s="23"/>
      <c r="AV92" s="23"/>
    </row>
    <row r="93">
      <c r="A93" s="28" t="s">
        <v>5161</v>
      </c>
      <c r="B93" s="28" t="s">
        <v>5162</v>
      </c>
      <c r="C93" s="23" t="str">
        <f t="shared" si="1"/>
        <v>Adissa Nakoulma</v>
      </c>
      <c r="D93" s="28" t="s">
        <v>5864</v>
      </c>
      <c r="E93" s="28" t="s">
        <v>5865</v>
      </c>
      <c r="F93" s="23">
        <f t="array" ref="F93">IFERROR(
    INDEX('Hub Interns 226'!A:A, MATCH(C93, 'Hub Interns 226'!B:B, 0)),"")</f>
        <v>453</v>
      </c>
      <c r="G93" s="23">
        <f t="array" ref="G93">IFERROR(
    INDEX('Hub Users 226'!A:A, MATCH(C93, 'Hub Users 226'!B:B, 0)),"")</f>
        <v>886</v>
      </c>
      <c r="H93" s="28">
        <v>1448.0</v>
      </c>
      <c r="I93" s="28" t="s">
        <v>269</v>
      </c>
      <c r="J93" s="28" t="s">
        <v>5866</v>
      </c>
      <c r="K93" s="28" t="s">
        <v>5245</v>
      </c>
      <c r="L93" s="28" t="s">
        <v>5196</v>
      </c>
      <c r="M93" s="56" t="s">
        <v>5867</v>
      </c>
      <c r="N93" s="59">
        <v>44923.691666666666</v>
      </c>
      <c r="O93" s="58">
        <v>38965.0</v>
      </c>
      <c r="P93" s="28">
        <f t="shared" si="8"/>
        <v>19</v>
      </c>
      <c r="Q93" s="28" t="s">
        <v>240</v>
      </c>
      <c r="R93" s="28" t="s">
        <v>5868</v>
      </c>
      <c r="S93" s="28">
        <v>13.0</v>
      </c>
      <c r="T93" s="28">
        <v>33.0</v>
      </c>
      <c r="U93" s="28">
        <v>86.0</v>
      </c>
      <c r="V93" s="28">
        <v>14.0</v>
      </c>
      <c r="W93" s="28" t="s">
        <v>859</v>
      </c>
      <c r="X93" s="28" t="s">
        <v>272</v>
      </c>
      <c r="Y93" s="28" t="s">
        <v>5869</v>
      </c>
      <c r="Z93" s="28" t="s">
        <v>5870</v>
      </c>
      <c r="AA93" s="28" t="s">
        <v>5871</v>
      </c>
      <c r="AB93" s="28">
        <v>31.0</v>
      </c>
      <c r="AC93" s="28" t="s">
        <v>23</v>
      </c>
      <c r="AD93" s="23"/>
      <c r="AE93" s="28" t="s">
        <v>15</v>
      </c>
      <c r="AF93" s="23"/>
      <c r="AG93" s="23"/>
      <c r="AH93" s="23" t="str">
        <f>IFERROR(__xludf.DUMMYFUNCTION("IF(
ISNUMBER(MATCH(
C93,
IMPORTRANGE(""https://docs.google.com/spreadsheets/d/1yTh1ELC33JHYOeEdgIiEclxPRyh0zOKtlawDltfUay8"",""'Interns'!A:A""),
0
)),
""Outreach Conducted"",
"""")"),"")</f>
        <v/>
      </c>
      <c r="AI93" s="23"/>
      <c r="AJ93" s="23"/>
      <c r="AK93" s="23" t="str">
        <f>IFERROR(__xludf.DUMMYFUNCTION("XLOOKUP(C93, 
   IMPORTRANGE(""1RdEdgHYrZ33LJ7RUHj_h-qkAFL92bcVjtIdVa-UlsCw"", ""Interns!D:D""), 
   IMPORTRANGE(""1RdEdgHYrZ33LJ7RUHj_h-qkAFL92bcVjtIdVa-UlsCw"", ""Interns!M:M""), 
   ""Not Found"")"),"Contacted")</f>
        <v>Contacted</v>
      </c>
      <c r="AL93" s="23" t="str">
        <f>IFERROR(__xludf.DUMMYFUNCTION("XLOOKUP(C93, 
   IMPORTRANGE(""1RdEdgHYrZ33LJ7RUHj_h-qkAFL92bcVjtIdVa-UlsCw"", ""Interns!D:D""), 
   IMPORTRANGE(""1RdEdgHYrZ33LJ7RUHj_h-qkAFL92bcVjtIdVa-UlsCw"", ""Interns!N:N""), 
   ""Not Found"")"),"#Cheers4Careers")</f>
        <v>#Cheers4Careers</v>
      </c>
      <c r="AM93" s="23" t="str">
        <f>IFERROR(__xludf.DUMMYFUNCTION("XLOOKUP(C93, 
   IMPORTRANGE(""1RdEdgHYrZ33LJ7RUHj_h-qkAFL92bcVjtIdVa-UlsCw"", ""Interns!D:D""), 
   IMPORTRANGE(""1RdEdgHYrZ33LJ7RUHj_h-qkAFL92bcVjtIdVa-UlsCw"", ""Interns!O:O""), 
   ""Not Found"")"),"Hetal reached out March 27 for March #Cheers4 Careers ")</f>
        <v>Hetal reached out March 27 for March #Cheers4 Careers </v>
      </c>
      <c r="AN93" s="23"/>
      <c r="AO93" s="23" t="s">
        <v>5872</v>
      </c>
      <c r="AP93" s="28" t="s">
        <v>5173</v>
      </c>
      <c r="AQ93" s="28"/>
      <c r="AR93" s="23"/>
      <c r="AS93" s="23"/>
      <c r="AT93" s="23"/>
      <c r="AU93" s="23"/>
      <c r="AV93" s="23"/>
    </row>
    <row r="94">
      <c r="A94" s="28" t="s">
        <v>5161</v>
      </c>
      <c r="B94" s="28" t="s">
        <v>5162</v>
      </c>
      <c r="C94" s="23" t="str">
        <f t="shared" si="1"/>
        <v>Wendinso Kabore</v>
      </c>
      <c r="D94" s="28" t="s">
        <v>5873</v>
      </c>
      <c r="E94" s="28" t="s">
        <v>5874</v>
      </c>
      <c r="F94" s="23">
        <f t="array" ref="F94">IFERROR(
    INDEX('Hub Interns 226'!A:A, MATCH(C94, 'Hub Interns 226'!B:B, 0)),"")</f>
        <v>1377</v>
      </c>
      <c r="G94" s="23">
        <f t="array" ref="G94">IFERROR(
    INDEX('Hub Users 226'!A:A, MATCH(C94, 'Hub Users 226'!B:B, 0)),"")</f>
        <v>1919</v>
      </c>
      <c r="H94" s="28">
        <v>1773.0</v>
      </c>
      <c r="I94" s="28" t="s">
        <v>107</v>
      </c>
      <c r="J94" s="28" t="s">
        <v>5866</v>
      </c>
      <c r="K94" s="28" t="s">
        <v>5245</v>
      </c>
      <c r="L94" s="28" t="s">
        <v>5196</v>
      </c>
      <c r="M94" s="56" t="s">
        <v>5875</v>
      </c>
      <c r="N94" s="57">
        <v>45312.75277777778</v>
      </c>
      <c r="O94" s="58">
        <v>39117.0</v>
      </c>
      <c r="P94" s="28">
        <f t="shared" si="8"/>
        <v>19</v>
      </c>
      <c r="Q94" s="28" t="s">
        <v>5876</v>
      </c>
      <c r="R94" s="28" t="s">
        <v>5877</v>
      </c>
      <c r="S94" s="28">
        <v>15.0</v>
      </c>
      <c r="T94" s="28">
        <v>36.0</v>
      </c>
      <c r="U94" s="28">
        <v>83.0</v>
      </c>
      <c r="V94" s="28">
        <v>12.0</v>
      </c>
      <c r="W94" s="28" t="s">
        <v>859</v>
      </c>
      <c r="X94" s="28" t="s">
        <v>272</v>
      </c>
      <c r="Y94" s="28" t="s">
        <v>5878</v>
      </c>
      <c r="Z94" s="28" t="s">
        <v>5259</v>
      </c>
      <c r="AA94" s="28" t="s">
        <v>704</v>
      </c>
      <c r="AB94" s="28">
        <v>2.0</v>
      </c>
      <c r="AC94" s="28" t="s">
        <v>25</v>
      </c>
      <c r="AD94" s="23"/>
      <c r="AE94" s="28" t="s">
        <v>18</v>
      </c>
      <c r="AF94" s="23" t="str">
        <f>IFERROR(__xludf.DUMMYFUNCTION("TEXTJOIN("", "", TRUE,
  FILTER(Champions!C:C,
    ISNUMBER(SEARCH(C94, Champions!W:W))
  )
)"),"Bhavna Mohan Agnihotri, Sharon Shi")</f>
        <v>Bhavna Mohan Agnihotri, Sharon Shi</v>
      </c>
      <c r="AG94" s="23"/>
      <c r="AH94" s="23" t="str">
        <f>IFERROR(__xludf.DUMMYFUNCTION("IF(
ISNUMBER(MATCH(
C94,
IMPORTRANGE(""https://docs.google.com/spreadsheets/d/1yTh1ELC33JHYOeEdgIiEclxPRyh0zOKtlawDltfUay8"",""'Interns'!A:A""),
0
)),
""Outreach Conducted"",
"""")"),"")</f>
        <v/>
      </c>
      <c r="AI94" s="23"/>
      <c r="AJ94" s="23"/>
      <c r="AK94" s="23" t="str">
        <f>IFERROR(__xludf.DUMMYFUNCTION("XLOOKUP(C94, 
   IMPORTRANGE(""1RdEdgHYrZ33LJ7RUHj_h-qkAFL92bcVjtIdVa-UlsCw"", ""Interns!D:D""), 
   IMPORTRANGE(""1RdEdgHYrZ33LJ7RUHj_h-qkAFL92bcVjtIdVa-UlsCw"", ""Interns!M:M""), 
   ""Not Found"")"),"Contacted")</f>
        <v>Contacted</v>
      </c>
      <c r="AL94" s="23" t="str">
        <f>IFERROR(__xludf.DUMMYFUNCTION("XLOOKUP(C94, 
   IMPORTRANGE(""1RdEdgHYrZ33LJ7RUHj_h-qkAFL92bcVjtIdVa-UlsCw"", ""Interns!D:D""), 
   IMPORTRANGE(""1RdEdgHYrZ33LJ7RUHj_h-qkAFL92bcVjtIdVa-UlsCw"", ""Interns!N:N""), 
   ""Not Found"")"),"#Cheers4Careers")</f>
        <v>#Cheers4Careers</v>
      </c>
      <c r="AM94" s="23" t="str">
        <f>IFERROR(__xludf.DUMMYFUNCTION("XLOOKUP(C94, 
   IMPORTRANGE(""1RdEdgHYrZ33LJ7RUHj_h-qkAFL92bcVjtIdVa-UlsCw"", ""Interns!D:D""), 
   IMPORTRANGE(""1RdEdgHYrZ33LJ7RUHj_h-qkAFL92bcVjtIdVa-UlsCw"", ""Interns!O:O""), 
   ""Not Found"")"),"Ousmane reached out by email 3/26 and reach out by text 3/28")</f>
        <v>Ousmane reached out by email 3/26 and reach out by text 3/28</v>
      </c>
      <c r="AN94" s="23"/>
      <c r="AO94" s="23" t="s">
        <v>5879</v>
      </c>
      <c r="AP94" s="28" t="s">
        <v>5880</v>
      </c>
      <c r="AQ94" s="28" t="s">
        <v>5875</v>
      </c>
      <c r="AR94" s="23">
        <v>9.174598219E9</v>
      </c>
      <c r="AS94" s="23"/>
      <c r="AT94" s="23"/>
      <c r="AU94" s="23"/>
      <c r="AV94" s="23"/>
    </row>
    <row r="95">
      <c r="A95" s="28" t="s">
        <v>5161</v>
      </c>
      <c r="B95" s="28" t="s">
        <v>5162</v>
      </c>
      <c r="C95" s="23" t="str">
        <f t="shared" si="1"/>
        <v>Zakaria Billa</v>
      </c>
      <c r="D95" s="28" t="s">
        <v>5881</v>
      </c>
      <c r="E95" s="28" t="s">
        <v>5882</v>
      </c>
      <c r="F95" s="23">
        <f t="array" ref="F95">IFERROR(
    INDEX('Hub Interns 226'!A:A, MATCH(C95, 'Hub Interns 226'!B:B, 0)),"")</f>
        <v>1253</v>
      </c>
      <c r="G95" s="23">
        <f t="array" ref="G95">IFERROR(
    INDEX('Hub Users 226'!A:A, MATCH(C95, 'Hub Users 226'!B:B, 0)),"")</f>
        <v>1686</v>
      </c>
      <c r="H95" s="28">
        <v>322.0</v>
      </c>
      <c r="I95" s="28" t="s">
        <v>260</v>
      </c>
      <c r="J95" s="28" t="s">
        <v>5866</v>
      </c>
      <c r="K95" s="28" t="s">
        <v>5245</v>
      </c>
      <c r="L95" s="28" t="s">
        <v>5165</v>
      </c>
      <c r="M95" s="56" t="s">
        <v>5883</v>
      </c>
      <c r="N95" s="57">
        <v>44236.521527777775</v>
      </c>
      <c r="O95" s="58">
        <v>37839.0</v>
      </c>
      <c r="P95" s="28">
        <f t="shared" si="8"/>
        <v>22</v>
      </c>
      <c r="Q95" s="28" t="s">
        <v>5247</v>
      </c>
      <c r="R95" s="28" t="s">
        <v>5884</v>
      </c>
      <c r="S95" s="28">
        <v>15.0</v>
      </c>
      <c r="T95" s="28">
        <v>32.0</v>
      </c>
      <c r="U95" s="28">
        <v>85.0</v>
      </c>
      <c r="V95" s="28">
        <v>17.0</v>
      </c>
      <c r="W95" s="28" t="s">
        <v>859</v>
      </c>
      <c r="X95" s="28" t="s">
        <v>272</v>
      </c>
      <c r="Y95" s="28" t="s">
        <v>5885</v>
      </c>
      <c r="Z95" s="28" t="s">
        <v>5208</v>
      </c>
      <c r="AA95" s="28" t="s">
        <v>2141</v>
      </c>
      <c r="AB95" s="28">
        <v>8.0</v>
      </c>
      <c r="AC95" s="28" t="s">
        <v>25</v>
      </c>
      <c r="AD95" s="23"/>
      <c r="AE95" s="28" t="s">
        <v>11</v>
      </c>
      <c r="AF95" s="23" t="str">
        <f>IFERROR(__xludf.DUMMYFUNCTION("TEXTJOIN("", "", TRUE,
  FILTER(Champions!C:C,
    ISNUMBER(SEARCH(C95, Champions!W:W))
  )
)"),"Bryan Roberts, Casey Burry, Ritika Naik, Sunkyung Park, Vicki Teman")</f>
        <v>Bryan Roberts, Casey Burry, Ritika Naik, Sunkyung Park, Vicki Teman</v>
      </c>
      <c r="AG95" s="23"/>
      <c r="AH95" s="23" t="str">
        <f>IFERROR(__xludf.DUMMYFUNCTION("IF(
ISNUMBER(MATCH(
C95,
IMPORTRANGE(""https://docs.google.com/spreadsheets/d/1yTh1ELC33JHYOeEdgIiEclxPRyh0zOKtlawDltfUay8"",""'Interns'!A:A""),
0
)),
""Outreach Conducted"",
"""")"),"")</f>
        <v/>
      </c>
      <c r="AI95" s="23"/>
      <c r="AJ95" s="23"/>
      <c r="AK95" s="23" t="str">
        <f>IFERROR(__xludf.DUMMYFUNCTION("XLOOKUP(C95, 
   IMPORTRANGE(""1RdEdgHYrZ33LJ7RUHj_h-qkAFL92bcVjtIdVa-UlsCw"", ""Interns!D:D""), 
   IMPORTRANGE(""1RdEdgHYrZ33LJ7RUHj_h-qkAFL92bcVjtIdVa-UlsCw"", ""Interns!M:M""), 
   ""Not Found"")"),"Contacted")</f>
        <v>Contacted</v>
      </c>
      <c r="AL95" s="23" t="str">
        <f>IFERROR(__xludf.DUMMYFUNCTION("XLOOKUP(C95, 
   IMPORTRANGE(""1RdEdgHYrZ33LJ7RUHj_h-qkAFL92bcVjtIdVa-UlsCw"", ""Interns!D:D""), 
   IMPORTRANGE(""1RdEdgHYrZ33LJ7RUHj_h-qkAFL92bcVjtIdVa-UlsCw"", ""Interns!N:N""), 
   ""Not Found"")"),"#Cheers4Careers")</f>
        <v>#Cheers4Careers</v>
      </c>
      <c r="AM95" s="23" t="str">
        <f>IFERROR(__xludf.DUMMYFUNCTION("XLOOKUP(C95, 
   IMPORTRANGE(""1RdEdgHYrZ33LJ7RUHj_h-qkAFL92bcVjtIdVa-UlsCw"", ""Interns!D:D""), 
   IMPORTRANGE(""1RdEdgHYrZ33LJ7RUHj_h-qkAFL92bcVjtIdVa-UlsCw"", ""Interns!O:O""), 
   ""Not Found"")"),"Hetal reached out by email 3/27")</f>
        <v>Hetal reached out by email 3/27</v>
      </c>
      <c r="AN95" s="23"/>
      <c r="AO95" s="23" t="s">
        <v>5886</v>
      </c>
      <c r="AP95" s="28" t="s">
        <v>5182</v>
      </c>
      <c r="AQ95" s="28" t="s">
        <v>5887</v>
      </c>
      <c r="AR95" s="23" t="s">
        <v>5888</v>
      </c>
      <c r="AS95" s="28" t="s">
        <v>49</v>
      </c>
      <c r="AT95" s="23"/>
      <c r="AU95" s="23"/>
      <c r="AV95" s="23"/>
    </row>
    <row r="96">
      <c r="A96" s="28" t="s">
        <v>5202</v>
      </c>
      <c r="B96" s="28" t="s">
        <v>5162</v>
      </c>
      <c r="C96" s="23" t="str">
        <f t="shared" si="1"/>
        <v>Pablo Justiniano</v>
      </c>
      <c r="D96" s="28" t="s">
        <v>5889</v>
      </c>
      <c r="E96" s="28" t="s">
        <v>5784</v>
      </c>
      <c r="F96" s="23">
        <f t="array" ref="F96">IFERROR(
    INDEX('Hub Interns 226'!A:A, MATCH(C96, 'Hub Interns 226'!B:B, 0)),"")</f>
        <v>982</v>
      </c>
      <c r="G96" s="23">
        <f t="array" ref="G96">IFERROR(
    INDEX('Hub Users 226'!A:A, MATCH(C96, 'Hub Users 226'!B:B, 0)),"")</f>
        <v>1415</v>
      </c>
      <c r="H96" s="28">
        <v>616.0</v>
      </c>
      <c r="I96" s="28" t="s">
        <v>239</v>
      </c>
      <c r="J96" s="28" t="s">
        <v>5785</v>
      </c>
      <c r="K96" s="28" t="s">
        <v>5463</v>
      </c>
      <c r="L96" s="28" t="s">
        <v>5165</v>
      </c>
      <c r="M96" s="56" t="s">
        <v>5890</v>
      </c>
      <c r="N96" s="59">
        <v>44491.60972222222</v>
      </c>
      <c r="O96" s="58">
        <v>38070.0</v>
      </c>
      <c r="P96" s="28">
        <f t="shared" si="8"/>
        <v>22</v>
      </c>
      <c r="Q96" s="28" t="s">
        <v>240</v>
      </c>
      <c r="R96" s="28" t="s">
        <v>5891</v>
      </c>
      <c r="S96" s="28">
        <v>8.0</v>
      </c>
      <c r="T96" s="28">
        <v>25.0</v>
      </c>
      <c r="U96" s="28">
        <v>55.0</v>
      </c>
      <c r="V96" s="28">
        <v>41.0</v>
      </c>
      <c r="W96" s="28" t="s">
        <v>294</v>
      </c>
      <c r="X96" s="28" t="s">
        <v>272</v>
      </c>
      <c r="Y96" s="28" t="s">
        <v>5892</v>
      </c>
      <c r="Z96" s="28" t="s">
        <v>5189</v>
      </c>
      <c r="AA96" s="28" t="s">
        <v>619</v>
      </c>
      <c r="AB96" s="28">
        <v>20.0</v>
      </c>
      <c r="AC96" s="28" t="s">
        <v>25</v>
      </c>
      <c r="AD96" s="23"/>
      <c r="AE96" s="28" t="s">
        <v>10</v>
      </c>
      <c r="AF96" s="23" t="str">
        <f>IFERROR(__xludf.DUMMYFUNCTION("TEXTJOIN("", "", TRUE,
  FILTER(Champions!C:C,
    ISNUMBER(SEARCH(C96, Champions!W:W))
  )
)"),"Elizabeth Padilla-Crespo, Griselda Guadalupe Cuevas Zambrano")</f>
        <v>Elizabeth Padilla-Crespo, Griselda Guadalupe Cuevas Zambrano</v>
      </c>
      <c r="AG96" s="23"/>
      <c r="AH96" s="23" t="str">
        <f>IFERROR(__xludf.DUMMYFUNCTION("IF(
ISNUMBER(MATCH(
C96,
IMPORTRANGE(""https://docs.google.com/spreadsheets/d/1yTh1ELC33JHYOeEdgIiEclxPRyh0zOKtlawDltfUay8"",""'Interns'!A:A""),
0
)),
""Outreach Conducted"",
"""")"),"")</f>
        <v/>
      </c>
      <c r="AI96" s="23"/>
      <c r="AJ96" s="23"/>
      <c r="AK96" s="23" t="str">
        <f>IFERROR(__xludf.DUMMYFUNCTION("XLOOKUP(C96, 
   IMPORTRANGE(""1RdEdgHYrZ33LJ7RUHj_h-qkAFL92bcVjtIdVa-UlsCw"", ""Interns!D:D""), 
   IMPORTRANGE(""1RdEdgHYrZ33LJ7RUHj_h-qkAFL92bcVjtIdVa-UlsCw"", ""Interns!M:M""), 
   ""Not Found"")"),"")</f>
        <v/>
      </c>
      <c r="AL96" s="23" t="str">
        <f>IFERROR(__xludf.DUMMYFUNCTION("XLOOKUP(C96, 
   IMPORTRANGE(""1RdEdgHYrZ33LJ7RUHj_h-qkAFL92bcVjtIdVa-UlsCw"", ""Interns!D:D""), 
   IMPORTRANGE(""1RdEdgHYrZ33LJ7RUHj_h-qkAFL92bcVjtIdVa-UlsCw"", ""Interns!N:N""), 
   ""Not Found"")"),"")</f>
        <v/>
      </c>
      <c r="AM96" s="23" t="str">
        <f>IFERROR(__xludf.DUMMYFUNCTION("XLOOKUP(C96, 
   IMPORTRANGE(""1RdEdgHYrZ33LJ7RUHj_h-qkAFL92bcVjtIdVa-UlsCw"", ""Interns!D:D""), 
   IMPORTRANGE(""1RdEdgHYrZ33LJ7RUHj_h-qkAFL92bcVjtIdVa-UlsCw"", ""Interns!O:O""), 
   ""Not Found"")"),"")</f>
        <v/>
      </c>
      <c r="AN96" s="23"/>
      <c r="AO96" s="23" t="s">
        <v>5893</v>
      </c>
      <c r="AP96" s="28" t="s">
        <v>5182</v>
      </c>
      <c r="AQ96" s="28" t="s">
        <v>5894</v>
      </c>
      <c r="AR96" s="23" t="s">
        <v>5791</v>
      </c>
      <c r="AS96" s="23"/>
      <c r="AT96" s="23"/>
      <c r="AU96" s="23"/>
      <c r="AV96" s="23"/>
    </row>
    <row r="97">
      <c r="A97" s="28" t="s">
        <v>5161</v>
      </c>
      <c r="B97" s="28" t="s">
        <v>5162</v>
      </c>
      <c r="C97" s="23" t="str">
        <f t="shared" si="1"/>
        <v>Oceanne Compaore</v>
      </c>
      <c r="D97" s="28" t="s">
        <v>5895</v>
      </c>
      <c r="E97" s="28" t="s">
        <v>5896</v>
      </c>
      <c r="F97" s="23">
        <f t="array" ref="F97">IFERROR(
    INDEX('Hub Interns 226'!A:A, MATCH(C97, 'Hub Interns 226'!B:B, 0)),"")</f>
        <v>964</v>
      </c>
      <c r="G97" s="23">
        <f t="array" ref="G97">IFERROR(
    INDEX('Hub Users 226'!A:A, MATCH(C97, 'Hub Users 226'!B:B, 0)),"")</f>
        <v>1397</v>
      </c>
      <c r="H97" s="28">
        <v>401.0</v>
      </c>
      <c r="I97" s="28" t="s">
        <v>260</v>
      </c>
      <c r="J97" s="28" t="s">
        <v>5866</v>
      </c>
      <c r="K97" s="28" t="s">
        <v>5245</v>
      </c>
      <c r="L97" s="28" t="s">
        <v>5196</v>
      </c>
      <c r="M97" s="56" t="s">
        <v>5897</v>
      </c>
      <c r="N97" s="57">
        <v>44298.660416666666</v>
      </c>
      <c r="O97" s="58">
        <v>37190.0</v>
      </c>
      <c r="P97" s="28">
        <f t="shared" si="8"/>
        <v>24</v>
      </c>
      <c r="Q97" s="28" t="s">
        <v>240</v>
      </c>
      <c r="R97" s="28" t="s">
        <v>5898</v>
      </c>
      <c r="S97" s="28">
        <v>15.0</v>
      </c>
      <c r="T97" s="28">
        <v>32.0</v>
      </c>
      <c r="U97" s="28">
        <v>87.0</v>
      </c>
      <c r="V97" s="28">
        <v>15.0</v>
      </c>
      <c r="W97" s="28" t="s">
        <v>859</v>
      </c>
      <c r="X97" s="28" t="s">
        <v>272</v>
      </c>
      <c r="Y97" s="28" t="s">
        <v>5899</v>
      </c>
      <c r="Z97" s="28" t="s">
        <v>5435</v>
      </c>
      <c r="AA97" s="28" t="s">
        <v>5436</v>
      </c>
      <c r="AB97" s="28">
        <v>10.0</v>
      </c>
      <c r="AC97" s="28" t="s">
        <v>25</v>
      </c>
      <c r="AD97" s="23"/>
      <c r="AE97" s="28" t="s">
        <v>10</v>
      </c>
      <c r="AF97" s="23" t="str">
        <f>IFERROR(__xludf.DUMMYFUNCTION("TEXTJOIN("", "", TRUE,
  FILTER(Champions!C:C,
    ISNUMBER(SEARCH(C97, Champions!W:W))
  )
)"),"Abigail Mawhirter, Lena K Dandy, Missie Miranda, Lena K Dandy (D)")</f>
        <v>Abigail Mawhirter, Lena K Dandy, Missie Miranda, Lena K Dandy (D)</v>
      </c>
      <c r="AG97" s="23"/>
      <c r="AH97" s="23" t="str">
        <f>IFERROR(__xludf.DUMMYFUNCTION("IF(
ISNUMBER(MATCH(
C97,
IMPORTRANGE(""https://docs.google.com/spreadsheets/d/1yTh1ELC33JHYOeEdgIiEclxPRyh0zOKtlawDltfUay8"",""'Interns'!A:A""),
0
)),
""Outreach Conducted"",
"""")"),"")</f>
        <v/>
      </c>
      <c r="AI97" s="23"/>
      <c r="AJ97" s="23"/>
      <c r="AK97" s="23" t="str">
        <f>IFERROR(__xludf.DUMMYFUNCTION("XLOOKUP(C97, 
   IMPORTRANGE(""1RdEdgHYrZ33LJ7RUHj_h-qkAFL92bcVjtIdVa-UlsCw"", ""Interns!D:D""), 
   IMPORTRANGE(""1RdEdgHYrZ33LJ7RUHj_h-qkAFL92bcVjtIdVa-UlsCw"", ""Interns!M:M""), 
   ""Not Found"")"),"Contacted")</f>
        <v>Contacted</v>
      </c>
      <c r="AL97" s="23" t="str">
        <f>IFERROR(__xludf.DUMMYFUNCTION("XLOOKUP(C97, 
   IMPORTRANGE(""1RdEdgHYrZ33LJ7RUHj_h-qkAFL92bcVjtIdVa-UlsCw"", ""Interns!D:D""), 
   IMPORTRANGE(""1RdEdgHYrZ33LJ7RUHj_h-qkAFL92bcVjtIdVa-UlsCw"", ""Interns!N:N""), 
   ""Not Found"")"),"#Cheers4Careers")</f>
        <v>#Cheers4Careers</v>
      </c>
      <c r="AM97" s="23" t="str">
        <f>IFERROR(__xludf.DUMMYFUNCTION("XLOOKUP(C97, 
   IMPORTRANGE(""1RdEdgHYrZ33LJ7RUHj_h-qkAFL92bcVjtIdVa-UlsCw"", ""Interns!D:D""), 
   IMPORTRANGE(""1RdEdgHYrZ33LJ7RUHj_h-qkAFL92bcVjtIdVa-UlsCw"", ""Interns!O:O""), 
   ""Not Found"")"),"Hetal reached out by email 3/27")</f>
        <v>Hetal reached out by email 3/27</v>
      </c>
      <c r="AN97" s="23"/>
      <c r="AO97" s="23" t="s">
        <v>5900</v>
      </c>
      <c r="AP97" s="28" t="s">
        <v>5182</v>
      </c>
      <c r="AQ97" s="28"/>
      <c r="AR97" s="23"/>
      <c r="AS97" s="23"/>
      <c r="AT97" s="23"/>
      <c r="AU97" s="23"/>
      <c r="AV97" s="23"/>
    </row>
    <row r="98">
      <c r="A98" s="28" t="s">
        <v>5161</v>
      </c>
      <c r="B98" s="28" t="s">
        <v>5162</v>
      </c>
      <c r="C98" s="23" t="str">
        <f t="shared" si="1"/>
        <v>Kadidiatou Traore</v>
      </c>
      <c r="D98" s="28" t="s">
        <v>5901</v>
      </c>
      <c r="E98" s="28" t="s">
        <v>5902</v>
      </c>
      <c r="F98" s="23">
        <f t="array" ref="F98">IFERROR(
    INDEX('Hub Interns 226'!A:A, MATCH(C98, 'Hub Interns 226'!B:B, 0)),"")</f>
        <v>715</v>
      </c>
      <c r="G98" s="23">
        <f t="array" ref="G98">IFERROR(
    INDEX('Hub Users 226'!A:A, MATCH(C98, 'Hub Users 226'!B:B, 0)),"")</f>
        <v>1148</v>
      </c>
      <c r="H98" s="28">
        <v>855.0</v>
      </c>
      <c r="I98" s="28" t="s">
        <v>260</v>
      </c>
      <c r="J98" s="28" t="s">
        <v>5866</v>
      </c>
      <c r="K98" s="28" t="s">
        <v>5245</v>
      </c>
      <c r="L98" s="28" t="s">
        <v>5196</v>
      </c>
      <c r="M98" s="56" t="s">
        <v>5903</v>
      </c>
      <c r="N98" s="57">
        <v>44589.407638888886</v>
      </c>
      <c r="O98" s="58">
        <v>37386.0</v>
      </c>
      <c r="P98" s="28">
        <f t="shared" si="8"/>
        <v>24</v>
      </c>
      <c r="Q98" s="28" t="s">
        <v>5904</v>
      </c>
      <c r="R98" s="28" t="s">
        <v>5905</v>
      </c>
      <c r="S98" s="28">
        <v>13.0</v>
      </c>
      <c r="T98" s="28">
        <v>33.0</v>
      </c>
      <c r="U98" s="28">
        <v>78.0</v>
      </c>
      <c r="V98" s="28">
        <v>15.0</v>
      </c>
      <c r="W98" s="28" t="s">
        <v>859</v>
      </c>
      <c r="X98" s="28" t="s">
        <v>272</v>
      </c>
      <c r="Y98" s="28" t="s">
        <v>5906</v>
      </c>
      <c r="Z98" s="28" t="s">
        <v>5310</v>
      </c>
      <c r="AA98" s="28" t="s">
        <v>362</v>
      </c>
      <c r="AB98" s="28">
        <v>16.0</v>
      </c>
      <c r="AC98" s="28" t="s">
        <v>25</v>
      </c>
      <c r="AD98" s="23"/>
      <c r="AE98" s="28" t="s">
        <v>10</v>
      </c>
      <c r="AF98" s="23" t="str">
        <f>IFERROR(__xludf.DUMMYFUNCTION("TEXTJOIN("", "", TRUE,
  FILTER(Champions!C:C,
    ISNUMBER(SEARCH(C98, Champions!W:W))
  )
)"),"Albert Rocco, Lien Nguyen")</f>
        <v>Albert Rocco, Lien Nguyen</v>
      </c>
      <c r="AG98" s="23"/>
      <c r="AH98" s="23" t="str">
        <f>IFERROR(__xludf.DUMMYFUNCTION("IF(
ISNUMBER(MATCH(
C98,
IMPORTRANGE(""https://docs.google.com/spreadsheets/d/1yTh1ELC33JHYOeEdgIiEclxPRyh0zOKtlawDltfUay8"",""'Interns'!A:A""),
0
)),
""Outreach Conducted"",
"""")"),"")</f>
        <v/>
      </c>
      <c r="AI98" s="23"/>
      <c r="AJ98" s="23"/>
      <c r="AK98" s="23" t="str">
        <f>IFERROR(__xludf.DUMMYFUNCTION("XLOOKUP(C98, 
   IMPORTRANGE(""1RdEdgHYrZ33LJ7RUHj_h-qkAFL92bcVjtIdVa-UlsCw"", ""Interns!D:D""), 
   IMPORTRANGE(""1RdEdgHYrZ33LJ7RUHj_h-qkAFL92bcVjtIdVa-UlsCw"", ""Interns!M:M""), 
   ""Not Found"")"),"")</f>
        <v/>
      </c>
      <c r="AL98" s="23" t="str">
        <f>IFERROR(__xludf.DUMMYFUNCTION("XLOOKUP(C98, 
   IMPORTRANGE(""1RdEdgHYrZ33LJ7RUHj_h-qkAFL92bcVjtIdVa-UlsCw"", ""Interns!D:D""), 
   IMPORTRANGE(""1RdEdgHYrZ33LJ7RUHj_h-qkAFL92bcVjtIdVa-UlsCw"", ""Interns!N:N""), 
   ""Not Found"")"),"#SpeakingMyName")</f>
        <v>#SpeakingMyName</v>
      </c>
      <c r="AM98" s="23" t="str">
        <f>IFERROR(__xludf.DUMMYFUNCTION("XLOOKUP(C98, 
   IMPORTRANGE(""1RdEdgHYrZ33LJ7RUHj_h-qkAFL92bcVjtIdVa-UlsCw"", ""Interns!D:D""), 
   IMPORTRANGE(""1RdEdgHYrZ33LJ7RUHj_h-qkAFL92bcVjtIdVa-UlsCw"", ""Interns!O:O""), 
   ""Not Found"")"),"Alicia reached out by email on 5/15 for #SpeakingMyName")</f>
        <v>Alicia reached out by email on 5/15 for #SpeakingMyName</v>
      </c>
      <c r="AN98" s="23"/>
      <c r="AO98" s="23" t="s">
        <v>5907</v>
      </c>
      <c r="AP98" s="28" t="s">
        <v>5908</v>
      </c>
      <c r="AQ98" s="28" t="s">
        <v>5909</v>
      </c>
      <c r="AR98" s="23" t="s">
        <v>5910</v>
      </c>
      <c r="AS98" s="23"/>
      <c r="AT98" s="23"/>
      <c r="AU98" s="23"/>
      <c r="AV98" s="23"/>
    </row>
    <row r="99">
      <c r="A99" s="28" t="s">
        <v>5202</v>
      </c>
      <c r="B99" s="28" t="s">
        <v>5162</v>
      </c>
      <c r="C99" s="23" t="str">
        <f t="shared" si="1"/>
        <v>Shaimaa Majzoub</v>
      </c>
      <c r="D99" s="28" t="s">
        <v>5911</v>
      </c>
      <c r="E99" s="28" t="s">
        <v>5912</v>
      </c>
      <c r="F99" s="23">
        <f t="array" ref="F99">IFERROR(
    INDEX('Hub Interns 226'!A:A, MATCH(C99, 'Hub Interns 226'!B:B, 0)),"")</f>
        <v>1110</v>
      </c>
      <c r="G99" s="23">
        <f t="array" ref="G99">IFERROR(
    INDEX('Hub Users 226'!A:A, MATCH(C99, 'Hub Users 226'!B:B, 0)),"")</f>
        <v>1543</v>
      </c>
      <c r="H99" s="28">
        <v>1328.0</v>
      </c>
      <c r="I99" s="28"/>
      <c r="J99" s="28" t="s">
        <v>5913</v>
      </c>
      <c r="K99" s="28" t="s">
        <v>5914</v>
      </c>
      <c r="L99" s="28" t="s">
        <v>5196</v>
      </c>
      <c r="M99" s="56" t="s">
        <v>5915</v>
      </c>
      <c r="N99" s="59">
        <v>44852.450694444444</v>
      </c>
      <c r="O99" s="58">
        <v>39366.0</v>
      </c>
      <c r="P99" s="28">
        <f t="shared" si="8"/>
        <v>18</v>
      </c>
      <c r="Q99" s="28" t="s">
        <v>240</v>
      </c>
      <c r="R99" s="28" t="s">
        <v>5916</v>
      </c>
      <c r="S99" s="28">
        <v>15.0</v>
      </c>
      <c r="T99" s="28">
        <v>33.0</v>
      </c>
      <c r="U99" s="28">
        <v>78.0</v>
      </c>
      <c r="V99" s="28">
        <v>15.0</v>
      </c>
      <c r="W99" s="28" t="s">
        <v>859</v>
      </c>
      <c r="X99" s="28" t="s">
        <v>272</v>
      </c>
      <c r="Y99" s="28" t="s">
        <v>5917</v>
      </c>
      <c r="Z99" s="28" t="s">
        <v>5918</v>
      </c>
      <c r="AA99" s="28" t="s">
        <v>477</v>
      </c>
      <c r="AB99" s="28">
        <v>15.0</v>
      </c>
      <c r="AC99" s="28" t="s">
        <v>23</v>
      </c>
      <c r="AD99" s="23"/>
      <c r="AE99" s="28" t="s">
        <v>15</v>
      </c>
      <c r="AF99" s="23"/>
      <c r="AG99" s="23"/>
      <c r="AH99" s="23" t="str">
        <f>IFERROR(__xludf.DUMMYFUNCTION("IF(
ISNUMBER(MATCH(
C99,
IMPORTRANGE(""https://docs.google.com/spreadsheets/d/1yTh1ELC33JHYOeEdgIiEclxPRyh0zOKtlawDltfUay8"",""'Interns'!A:A""),
0
)),
""Outreach Conducted"",
"""")"),"")</f>
        <v/>
      </c>
      <c r="AI99" s="23"/>
      <c r="AJ99" s="23"/>
      <c r="AK99" s="23" t="str">
        <f>IFERROR(__xludf.DUMMYFUNCTION("XLOOKUP(C99, 
   IMPORTRANGE(""1RdEdgHYrZ33LJ7RUHj_h-qkAFL92bcVjtIdVa-UlsCw"", ""Interns!D:D""), 
   IMPORTRANGE(""1RdEdgHYrZ33LJ7RUHj_h-qkAFL92bcVjtIdVa-UlsCw"", ""Interns!M:M""), 
   ""Not Found"")"),"")</f>
        <v/>
      </c>
      <c r="AL99" s="23" t="str">
        <f>IFERROR(__xludf.DUMMYFUNCTION("XLOOKUP(C99, 
   IMPORTRANGE(""1RdEdgHYrZ33LJ7RUHj_h-qkAFL92bcVjtIdVa-UlsCw"", ""Interns!D:D""), 
   IMPORTRANGE(""1RdEdgHYrZ33LJ7RUHj_h-qkAFL92bcVjtIdVa-UlsCw"", ""Interns!N:N""), 
   ""Not Found"")"),"")</f>
        <v/>
      </c>
      <c r="AM99" s="23" t="str">
        <f>IFERROR(__xludf.DUMMYFUNCTION("XLOOKUP(C99, 
   IMPORTRANGE(""1RdEdgHYrZ33LJ7RUHj_h-qkAFL92bcVjtIdVa-UlsCw"", ""Interns!D:D""), 
   IMPORTRANGE(""1RdEdgHYrZ33LJ7RUHj_h-qkAFL92bcVjtIdVa-UlsCw"", ""Interns!O:O""), 
   ""Not Found"")"),"")</f>
        <v/>
      </c>
      <c r="AN99" s="23"/>
      <c r="AO99" s="23" t="s">
        <v>5919</v>
      </c>
      <c r="AP99" s="28" t="s">
        <v>5182</v>
      </c>
      <c r="AQ99" s="28"/>
      <c r="AR99" s="23"/>
      <c r="AS99" s="23"/>
      <c r="AT99" s="23"/>
      <c r="AU99" s="23"/>
      <c r="AV99" s="23"/>
    </row>
    <row r="100">
      <c r="A100" s="28" t="s">
        <v>5161</v>
      </c>
      <c r="B100" s="28" t="s">
        <v>5162</v>
      </c>
      <c r="C100" s="23" t="str">
        <f t="shared" si="1"/>
        <v>Wendy Ouedraogo</v>
      </c>
      <c r="D100" s="28" t="s">
        <v>3577</v>
      </c>
      <c r="E100" s="28" t="s">
        <v>5920</v>
      </c>
      <c r="F100" s="23">
        <f t="array" ref="F100">IFERROR(
    INDEX('Hub Interns 226'!A:A, MATCH(C100, 'Hub Interns 226'!B:B, 0)),"")</f>
        <v>1197</v>
      </c>
      <c r="G100" s="23">
        <f t="array" ref="G100">IFERROR(
    INDEX('Hub Users 226'!A:A, MATCH(C100, 'Hub Users 226'!B:B, 0)),"")</f>
        <v>1630</v>
      </c>
      <c r="H100" s="28">
        <v>262.0</v>
      </c>
      <c r="I100" s="28" t="s">
        <v>290</v>
      </c>
      <c r="J100" s="28" t="s">
        <v>5866</v>
      </c>
      <c r="K100" s="28" t="s">
        <v>5245</v>
      </c>
      <c r="L100" s="28" t="s">
        <v>5196</v>
      </c>
      <c r="M100" s="56" t="s">
        <v>5921</v>
      </c>
      <c r="N100" s="57">
        <v>44207.025</v>
      </c>
      <c r="O100" s="58">
        <v>38932.0</v>
      </c>
      <c r="P100" s="28">
        <f t="shared" si="8"/>
        <v>19</v>
      </c>
      <c r="Q100" s="28" t="s">
        <v>5922</v>
      </c>
      <c r="R100" s="23"/>
      <c r="S100" s="28"/>
      <c r="T100" s="28"/>
      <c r="U100" s="28"/>
      <c r="V100" s="28"/>
      <c r="W100" s="28" t="s">
        <v>859</v>
      </c>
      <c r="X100" s="28" t="s">
        <v>272</v>
      </c>
      <c r="Y100" s="28">
        <v>3.478549857E9</v>
      </c>
      <c r="Z100" s="28" t="s">
        <v>5918</v>
      </c>
      <c r="AA100" s="28" t="s">
        <v>477</v>
      </c>
      <c r="AB100" s="28">
        <v>15.0</v>
      </c>
      <c r="AC100" s="28" t="s">
        <v>25</v>
      </c>
      <c r="AD100" s="28" t="s">
        <v>101</v>
      </c>
      <c r="AE100" s="28" t="s">
        <v>11</v>
      </c>
      <c r="AF100" s="23" t="str">
        <f>IFERROR(__xludf.DUMMYFUNCTION("TEXTJOIN("", "", TRUE,
  FILTER(Champions!C:C,
    ISNUMBER(SEARCH(C100, Champions!W:W))
  )
)"),"Albert Rocco, Lena K Dandy, Ritika Naik, Lena K Dandy (D)")</f>
        <v>Albert Rocco, Lena K Dandy, Ritika Naik, Lena K Dandy (D)</v>
      </c>
      <c r="AG100" s="26" t="s">
        <v>5697</v>
      </c>
      <c r="AH100" s="23" t="str">
        <f>IFERROR(__xludf.DUMMYFUNCTION("IF(
ISNUMBER(MATCH(
C100,
IMPORTRANGE(""https://docs.google.com/spreadsheets/d/1yTh1ELC33JHYOeEdgIiEclxPRyh0zOKtlawDltfUay8"",""'Interns'!A:A""),
0
)),
""Outreach Conducted"",
"""")"),"")</f>
        <v/>
      </c>
      <c r="AI100" s="23"/>
      <c r="AJ100" s="23"/>
      <c r="AK100" s="23" t="str">
        <f>IFERROR(__xludf.DUMMYFUNCTION("XLOOKUP(C100, 
   IMPORTRANGE(""1RdEdgHYrZ33LJ7RUHj_h-qkAFL92bcVjtIdVa-UlsCw"", ""Interns!D:D""), 
   IMPORTRANGE(""1RdEdgHYrZ33LJ7RUHj_h-qkAFL92bcVjtIdVa-UlsCw"", ""Interns!M:M""), 
   ""Not Found"")"),"")</f>
        <v/>
      </c>
      <c r="AL100" s="23" t="str">
        <f>IFERROR(__xludf.DUMMYFUNCTION("XLOOKUP(C100, 
   IMPORTRANGE(""1RdEdgHYrZ33LJ7RUHj_h-qkAFL92bcVjtIdVa-UlsCw"", ""Interns!D:D""), 
   IMPORTRANGE(""1RdEdgHYrZ33LJ7RUHj_h-qkAFL92bcVjtIdVa-UlsCw"", ""Interns!N:N""), 
   ""Not Found"")"),"")</f>
        <v/>
      </c>
      <c r="AM100" s="23" t="str">
        <f>IFERROR(__xludf.DUMMYFUNCTION("XLOOKUP(C100, 
   IMPORTRANGE(""1RdEdgHYrZ33LJ7RUHj_h-qkAFL92bcVjtIdVa-UlsCw"", ""Interns!D:D""), 
   IMPORTRANGE(""1RdEdgHYrZ33LJ7RUHj_h-qkAFL92bcVjtIdVa-UlsCw"", ""Interns!O:O""), 
   ""Not Found"")"),"")</f>
        <v/>
      </c>
      <c r="AN100" s="23"/>
      <c r="AO100" s="23" t="s">
        <v>5923</v>
      </c>
      <c r="AP100" s="28" t="s">
        <v>5182</v>
      </c>
      <c r="AQ100" s="28"/>
      <c r="AR100" s="23"/>
      <c r="AS100" s="28" t="s">
        <v>5924</v>
      </c>
      <c r="AT100" s="23"/>
      <c r="AU100" s="23"/>
      <c r="AV100" s="23"/>
    </row>
    <row r="101">
      <c r="A101" s="28" t="s">
        <v>5161</v>
      </c>
      <c r="B101" s="28" t="s">
        <v>5162</v>
      </c>
      <c r="C101" s="23" t="str">
        <f t="shared" si="1"/>
        <v>Yann Noumbi</v>
      </c>
      <c r="D101" s="28" t="s">
        <v>3613</v>
      </c>
      <c r="E101" s="28" t="s">
        <v>5925</v>
      </c>
      <c r="F101" s="23">
        <f t="array" ref="F101">IFERROR(
    INDEX('Hub Interns 226'!A:A, MATCH(C101, 'Hub Interns 226'!B:B, 0)),"")</f>
        <v>1217</v>
      </c>
      <c r="G101" s="23">
        <f t="array" ref="G101">IFERROR(
    INDEX('Hub Users 226'!A:A, MATCH(C101, 'Hub Users 226'!B:B, 0)),"")</f>
        <v>1650</v>
      </c>
      <c r="H101" s="28">
        <v>215.0</v>
      </c>
      <c r="I101" s="28" t="s">
        <v>290</v>
      </c>
      <c r="J101" s="28" t="s">
        <v>5926</v>
      </c>
      <c r="K101" s="28" t="s">
        <v>5245</v>
      </c>
      <c r="L101" s="28" t="s">
        <v>5165</v>
      </c>
      <c r="M101" s="56" t="s">
        <v>5927</v>
      </c>
      <c r="N101" s="57">
        <v>44075.555555555555</v>
      </c>
      <c r="O101" s="58">
        <v>36904.0</v>
      </c>
      <c r="P101" s="28">
        <f t="shared" si="8"/>
        <v>25</v>
      </c>
      <c r="Q101" s="28" t="s">
        <v>5928</v>
      </c>
      <c r="R101" s="23"/>
      <c r="S101" s="28"/>
      <c r="T101" s="28"/>
      <c r="U101" s="28"/>
      <c r="V101" s="28"/>
      <c r="W101" s="28" t="s">
        <v>859</v>
      </c>
      <c r="X101" s="28" t="s">
        <v>272</v>
      </c>
      <c r="Y101" s="28">
        <v>9.295133699E9</v>
      </c>
      <c r="Z101" s="28" t="s">
        <v>5435</v>
      </c>
      <c r="AA101" s="28" t="s">
        <v>5436</v>
      </c>
      <c r="AB101" s="28">
        <v>10.0</v>
      </c>
      <c r="AC101" s="28" t="s">
        <v>25</v>
      </c>
      <c r="AD101" s="23"/>
      <c r="AE101" s="28" t="s">
        <v>8</v>
      </c>
      <c r="AF101" s="23" t="str">
        <f>IFERROR(__xludf.DUMMYFUNCTION("TEXTJOIN("", "", TRUE,
  FILTER(Champions!C:C,
    ISNUMBER(SEARCH(C101, Champions!W:W))
  )
)"),"Amelia Geary, Benazir Fateh, Jaisri Chety")</f>
        <v>Amelia Geary, Benazir Fateh, Jaisri Chety</v>
      </c>
      <c r="AG101" s="26" t="s">
        <v>5929</v>
      </c>
      <c r="AH101" s="23" t="str">
        <f>IFERROR(__xludf.DUMMYFUNCTION("IF(
ISNUMBER(MATCH(
C101,
IMPORTRANGE(""https://docs.google.com/spreadsheets/d/1yTh1ELC33JHYOeEdgIiEclxPRyh0zOKtlawDltfUay8"",""'Interns'!A:A""),
0
)),
""Outreach Conducted"",
"""")"),"Outreach Conducted")</f>
        <v>Outreach Conducted</v>
      </c>
      <c r="AI101" s="23"/>
      <c r="AJ101" s="23"/>
      <c r="AK101" s="23" t="str">
        <f>IFERROR(__xludf.DUMMYFUNCTION("XLOOKUP(C101, 
   IMPORTRANGE(""1RdEdgHYrZ33LJ7RUHj_h-qkAFL92bcVjtIdVa-UlsCw"", ""Interns!D:D""), 
   IMPORTRANGE(""1RdEdgHYrZ33LJ7RUHj_h-qkAFL92bcVjtIdVa-UlsCw"", ""Interns!M:M""), 
   ""Not Found"")"),"Contacted")</f>
        <v>Contacted</v>
      </c>
      <c r="AL101" s="23" t="str">
        <f>IFERROR(__xludf.DUMMYFUNCTION("XLOOKUP(C101, 
   IMPORTRANGE(""1RdEdgHYrZ33LJ7RUHj_h-qkAFL92bcVjtIdVa-UlsCw"", ""Interns!D:D""), 
   IMPORTRANGE(""1RdEdgHYrZ33LJ7RUHj_h-qkAFL92bcVjtIdVa-UlsCw"", ""Interns!N:N""), 
   ""Not Found"")"),"#Cheers4Careers")</f>
        <v>#Cheers4Careers</v>
      </c>
      <c r="AM101" s="23" t="str">
        <f>IFERROR(__xludf.DUMMYFUNCTION("XLOOKUP(C101, 
   IMPORTRANGE(""1RdEdgHYrZ33LJ7RUHj_h-qkAFL92bcVjtIdVa-UlsCw"", ""Interns!D:D""), 
   IMPORTRANGE(""1RdEdgHYrZ33LJ7RUHj_h-qkAFL92bcVjtIdVa-UlsCw"", ""Interns!O:O""), 
   ""Not Found"")"),"Hetal reached out by email 3/27")</f>
        <v>Hetal reached out by email 3/27</v>
      </c>
      <c r="AN101" s="23"/>
      <c r="AO101" s="23" t="s">
        <v>5930</v>
      </c>
      <c r="AP101" s="28" t="s">
        <v>5191</v>
      </c>
      <c r="AQ101" s="28" t="s">
        <v>5931</v>
      </c>
      <c r="AR101" s="23">
        <v>6.318051723E9</v>
      </c>
      <c r="AS101" s="28" t="s">
        <v>5932</v>
      </c>
      <c r="AT101" s="23"/>
      <c r="AU101" s="23"/>
      <c r="AV101" s="23"/>
    </row>
    <row r="102">
      <c r="A102" s="28" t="s">
        <v>5161</v>
      </c>
      <c r="B102" s="28" t="s">
        <v>5162</v>
      </c>
      <c r="C102" s="23" t="str">
        <f t="shared" si="1"/>
        <v>Graham Wallace</v>
      </c>
      <c r="D102" s="22" t="s">
        <v>5933</v>
      </c>
      <c r="E102" s="22" t="s">
        <v>5934</v>
      </c>
      <c r="F102" s="23"/>
      <c r="G102" s="23"/>
      <c r="H102" s="22">
        <v>1952.0</v>
      </c>
      <c r="I102" s="28"/>
      <c r="J102" s="28" t="s">
        <v>5935</v>
      </c>
      <c r="K102" s="28" t="s">
        <v>5177</v>
      </c>
      <c r="L102" s="28" t="s">
        <v>5165</v>
      </c>
      <c r="M102" s="29" t="s">
        <v>5936</v>
      </c>
      <c r="N102" s="61">
        <v>45715.31180555555</v>
      </c>
      <c r="O102" s="25">
        <v>41036.0</v>
      </c>
      <c r="P102" s="28">
        <f t="shared" si="8"/>
        <v>14</v>
      </c>
      <c r="Q102" s="62" t="s">
        <v>5937</v>
      </c>
      <c r="R102" s="22" t="s">
        <v>5938</v>
      </c>
      <c r="S102" s="28">
        <v>7.0</v>
      </c>
      <c r="T102" s="28">
        <v>12.0</v>
      </c>
      <c r="U102" s="28">
        <v>37.0</v>
      </c>
      <c r="V102" s="28">
        <v>26.0</v>
      </c>
      <c r="W102" s="28" t="s">
        <v>1173</v>
      </c>
      <c r="X102" s="28" t="s">
        <v>272</v>
      </c>
      <c r="Y102" s="22" t="s">
        <v>5939</v>
      </c>
      <c r="Z102" s="22" t="s">
        <v>5536</v>
      </c>
      <c r="AA102" s="28" t="s">
        <v>5287</v>
      </c>
      <c r="AB102" s="28">
        <v>26.0</v>
      </c>
      <c r="AC102" s="28" t="s">
        <v>22</v>
      </c>
      <c r="AD102" s="23"/>
      <c r="AE102" s="28" t="s">
        <v>19</v>
      </c>
      <c r="AF102" s="23"/>
      <c r="AG102" s="23"/>
      <c r="AH102" s="23" t="str">
        <f>IFERROR(__xludf.DUMMYFUNCTION("IF(
ISNUMBER(MATCH(
C102,
IMPORTRANGE(""https://docs.google.com/spreadsheets/d/1yTh1ELC33JHYOeEdgIiEclxPRyh0zOKtlawDltfUay8"",""'Interns'!A:A""),
0
)),
""Outreach Conducted"",
"""")"),"")</f>
        <v/>
      </c>
      <c r="AI102" s="23"/>
      <c r="AJ102" s="23"/>
      <c r="AK102" s="23"/>
      <c r="AL102" s="23" t="str">
        <f>IFERROR(__xludf.DUMMYFUNCTION("XLOOKUP(C102, 
   IMPORTRANGE(""1RdEdgHYrZ33LJ7RUHj_h-qkAFL92bcVjtIdVa-UlsCw"", ""Interns!D:D""), 
   IMPORTRANGE(""1RdEdgHYrZ33LJ7RUHj_h-qkAFL92bcVjtIdVa-UlsCw"", ""Interns!N:N""), 
   ""Not Found"")"),"#Cheers4Careers")</f>
        <v>#Cheers4Careers</v>
      </c>
      <c r="AM102" s="23" t="str">
        <f>IFERROR(__xludf.DUMMYFUNCTION("XLOOKUP(C102, 
   IMPORTRANGE(""1RdEdgHYrZ33LJ7RUHj_h-qkAFL92bcVjtIdVa-UlsCw"", ""Interns!D:D""), 
   IMPORTRANGE(""1RdEdgHYrZ33LJ7RUHj_h-qkAFL92bcVjtIdVa-UlsCw"", ""Interns!O:O""), 
   ""Not Found"")"),"Hetal reached out by email 3/27, email was blocked")</f>
        <v>Hetal reached out by email 3/27, email was blocked</v>
      </c>
      <c r="AN102" s="23"/>
      <c r="AO102" s="23" t="s">
        <v>5940</v>
      </c>
      <c r="AP102" s="28" t="s">
        <v>5182</v>
      </c>
      <c r="AQ102" s="28" t="s">
        <v>5941</v>
      </c>
      <c r="AR102" s="23" t="s">
        <v>5942</v>
      </c>
      <c r="AS102" s="23"/>
      <c r="AT102" s="23"/>
      <c r="AU102" s="23"/>
      <c r="AV102" s="23"/>
    </row>
    <row r="103">
      <c r="A103" s="28" t="s">
        <v>5161</v>
      </c>
      <c r="B103" s="28" t="s">
        <v>5162</v>
      </c>
      <c r="C103" s="23" t="str">
        <f t="shared" si="1"/>
        <v>Damian Fenoutt</v>
      </c>
      <c r="D103" s="28" t="s">
        <v>5943</v>
      </c>
      <c r="E103" s="28" t="s">
        <v>5944</v>
      </c>
      <c r="F103" s="23">
        <f t="array" ref="F103">IFERROR(
    INDEX('Hub Interns 226'!A:A, MATCH(C103, 'Hub Interns 226'!B:B, 0)),"")</f>
        <v>440</v>
      </c>
      <c r="G103" s="23">
        <f t="array" ref="G103">IFERROR(
    INDEX('Hub Users 226'!A:A, MATCH(C103, 'Hub Users 226'!B:B, 0)),"")</f>
        <v>873</v>
      </c>
      <c r="H103" s="28">
        <v>1084.0</v>
      </c>
      <c r="I103" s="28" t="s">
        <v>107</v>
      </c>
      <c r="J103" s="28" t="s">
        <v>5945</v>
      </c>
      <c r="K103" s="28" t="s">
        <v>5463</v>
      </c>
      <c r="L103" s="28" t="s">
        <v>5165</v>
      </c>
      <c r="M103" s="56" t="s">
        <v>5946</v>
      </c>
      <c r="N103" s="57">
        <v>44704.51666666667</v>
      </c>
      <c r="O103" s="58">
        <v>39286.0</v>
      </c>
      <c r="P103" s="28">
        <f t="shared" si="8"/>
        <v>18</v>
      </c>
      <c r="Q103" s="28" t="s">
        <v>240</v>
      </c>
      <c r="R103" s="28" t="s">
        <v>5947</v>
      </c>
      <c r="S103" s="28">
        <v>6.0</v>
      </c>
      <c r="T103" s="28">
        <v>12.0</v>
      </c>
      <c r="U103" s="28">
        <v>30.0</v>
      </c>
      <c r="V103" s="28">
        <v>26.0</v>
      </c>
      <c r="W103" s="28" t="s">
        <v>1173</v>
      </c>
      <c r="X103" s="28" t="s">
        <v>272</v>
      </c>
      <c r="Y103" s="28" t="s">
        <v>5948</v>
      </c>
      <c r="Z103" s="28" t="s">
        <v>5352</v>
      </c>
      <c r="AA103" s="28" t="s">
        <v>5287</v>
      </c>
      <c r="AB103" s="28">
        <v>26.0</v>
      </c>
      <c r="AC103" s="28" t="s">
        <v>24</v>
      </c>
      <c r="AD103" s="23"/>
      <c r="AE103" s="28" t="s">
        <v>10</v>
      </c>
      <c r="AF103" s="23"/>
      <c r="AG103" s="23"/>
      <c r="AH103" s="23" t="str">
        <f>IFERROR(__xludf.DUMMYFUNCTION("IF(
ISNUMBER(MATCH(
C103,
IMPORTRANGE(""https://docs.google.com/spreadsheets/d/1yTh1ELC33JHYOeEdgIiEclxPRyh0zOKtlawDltfUay8"",""'Interns'!A:A""),
0
)),
""Outreach Conducted"",
"""")"),"")</f>
        <v/>
      </c>
      <c r="AI103" s="23"/>
      <c r="AJ103" s="23"/>
      <c r="AK103" s="23" t="str">
        <f>IFERROR(__xludf.DUMMYFUNCTION("XLOOKUP(C103, 
   IMPORTRANGE(""1RdEdgHYrZ33LJ7RUHj_h-qkAFL92bcVjtIdVa-UlsCw"", ""Interns!D:D""), 
   IMPORTRANGE(""1RdEdgHYrZ33LJ7RUHj_h-qkAFL92bcVjtIdVa-UlsCw"", ""Interns!M:M""), 
   ""Not Found"")"),"Contacted")</f>
        <v>Contacted</v>
      </c>
      <c r="AL103" s="23" t="str">
        <f>IFERROR(__xludf.DUMMYFUNCTION("XLOOKUP(C103, 
   IMPORTRANGE(""1RdEdgHYrZ33LJ7RUHj_h-qkAFL92bcVjtIdVa-UlsCw"", ""Interns!D:D""), 
   IMPORTRANGE(""1RdEdgHYrZ33LJ7RUHj_h-qkAFL92bcVjtIdVa-UlsCw"", ""Interns!N:N""), 
   ""Not Found"")"),"#Cheers4Careers")</f>
        <v>#Cheers4Careers</v>
      </c>
      <c r="AM103" s="23" t="str">
        <f>IFERROR(__xludf.DUMMYFUNCTION("XLOOKUP(C103, 
   IMPORTRANGE(""1RdEdgHYrZ33LJ7RUHj_h-qkAFL92bcVjtIdVa-UlsCw"", ""Interns!D:D""), 
   IMPORTRANGE(""1RdEdgHYrZ33LJ7RUHj_h-qkAFL92bcVjtIdVa-UlsCw"", ""Interns!O:O""), 
   ""Not Found"")"),"Hetal reached out by email 3/27")</f>
        <v>Hetal reached out by email 3/27</v>
      </c>
      <c r="AN103" s="23"/>
      <c r="AO103" s="23" t="s">
        <v>5949</v>
      </c>
      <c r="AP103" s="28" t="s">
        <v>5182</v>
      </c>
      <c r="AQ103" s="28"/>
      <c r="AR103" s="23"/>
      <c r="AS103" s="23"/>
      <c r="AT103" s="23"/>
      <c r="AU103" s="23"/>
      <c r="AV103" s="23"/>
    </row>
    <row r="104">
      <c r="A104" s="28" t="s">
        <v>5161</v>
      </c>
      <c r="B104" s="28" t="s">
        <v>5162</v>
      </c>
      <c r="C104" s="23" t="str">
        <f t="shared" si="1"/>
        <v>Allison Perez</v>
      </c>
      <c r="D104" s="28" t="s">
        <v>5950</v>
      </c>
      <c r="E104" s="28" t="s">
        <v>5175</v>
      </c>
      <c r="F104" s="23" t="str">
        <f t="array" ref="F104">IFERROR(
    INDEX('Hub Interns 226'!A:A, MATCH(C104, 'Hub Interns 226'!B:B, 0)),"")</f>
        <v/>
      </c>
      <c r="G104" s="23">
        <f t="array" ref="G104">IFERROR(
    INDEX('Hub Users 226'!A:A, MATCH(C104, 'Hub Users 226'!B:B, 0)),"")</f>
        <v>1761</v>
      </c>
      <c r="H104" s="28">
        <v>1661.0</v>
      </c>
      <c r="I104" s="28" t="s">
        <v>107</v>
      </c>
      <c r="J104" s="28" t="s">
        <v>5951</v>
      </c>
      <c r="K104" s="28" t="s">
        <v>5952</v>
      </c>
      <c r="L104" s="28" t="s">
        <v>5196</v>
      </c>
      <c r="M104" s="56" t="s">
        <v>5953</v>
      </c>
      <c r="N104" s="59">
        <v>45213.0125</v>
      </c>
      <c r="O104" s="58">
        <v>39388.0</v>
      </c>
      <c r="P104" s="28">
        <f t="shared" si="8"/>
        <v>18</v>
      </c>
      <c r="Q104" s="28" t="s">
        <v>5954</v>
      </c>
      <c r="R104" s="28" t="s">
        <v>5955</v>
      </c>
      <c r="S104" s="28">
        <v>15.0</v>
      </c>
      <c r="T104" s="28">
        <v>33.0</v>
      </c>
      <c r="U104" s="28">
        <v>78.0</v>
      </c>
      <c r="V104" s="28">
        <v>15.0</v>
      </c>
      <c r="W104" s="28" t="s">
        <v>859</v>
      </c>
      <c r="X104" s="28" t="s">
        <v>272</v>
      </c>
      <c r="Y104" s="28">
        <v>2.232848584E9</v>
      </c>
      <c r="Z104" s="28" t="s">
        <v>5918</v>
      </c>
      <c r="AA104" s="28" t="s">
        <v>477</v>
      </c>
      <c r="AB104" s="28">
        <v>15.0</v>
      </c>
      <c r="AC104" s="28" t="s">
        <v>25</v>
      </c>
      <c r="AD104" s="23"/>
      <c r="AE104" s="28" t="s">
        <v>18</v>
      </c>
      <c r="AF104" s="23" t="str">
        <f>IFERROR(__xludf.DUMMYFUNCTION("TEXTJOIN("", "", TRUE,
  FILTER(Champions!C:C,
    ISNUMBER(SEARCH(C104, Champions!W:W))
  )
)"),"Daniela Fernandez Espinosa, Luz Santana, Lata Murti")</f>
        <v>Daniela Fernandez Espinosa, Luz Santana, Lata Murti</v>
      </c>
      <c r="AG104" s="23"/>
      <c r="AH104" s="23" t="str">
        <f>IFERROR(__xludf.DUMMYFUNCTION("IF(
ISNUMBER(MATCH(
C104,
IMPORTRANGE(""https://docs.google.com/spreadsheets/d/1yTh1ELC33JHYOeEdgIiEclxPRyh0zOKtlawDltfUay8"",""'Interns'!A:A""),
0
)),
""Outreach Conducted"",
"""")"),"")</f>
        <v/>
      </c>
      <c r="AI104" s="23"/>
      <c r="AJ104" s="23"/>
      <c r="AK104" s="23" t="str">
        <f>IFERROR(__xludf.DUMMYFUNCTION("XLOOKUP(C104, 
   IMPORTRANGE(""1RdEdgHYrZ33LJ7RUHj_h-qkAFL92bcVjtIdVa-UlsCw"", ""Interns!D:D""), 
   IMPORTRANGE(""1RdEdgHYrZ33LJ7RUHj_h-qkAFL92bcVjtIdVa-UlsCw"", ""Interns!M:M""), 
   ""Not Found"")"),"")</f>
        <v/>
      </c>
      <c r="AL104" s="23" t="str">
        <f>IFERROR(__xludf.DUMMYFUNCTION("XLOOKUP(C104, 
   IMPORTRANGE(""1RdEdgHYrZ33LJ7RUHj_h-qkAFL92bcVjtIdVa-UlsCw"", ""Interns!D:D""), 
   IMPORTRANGE(""1RdEdgHYrZ33LJ7RUHj_h-qkAFL92bcVjtIdVa-UlsCw"", ""Interns!N:N""), 
   ""Not Found"")"),"")</f>
        <v/>
      </c>
      <c r="AM104" s="23" t="str">
        <f>IFERROR(__xludf.DUMMYFUNCTION("XLOOKUP(C104, 
   IMPORTRANGE(""1RdEdgHYrZ33LJ7RUHj_h-qkAFL92bcVjtIdVa-UlsCw"", ""Interns!D:D""), 
   IMPORTRANGE(""1RdEdgHYrZ33LJ7RUHj_h-qkAFL92bcVjtIdVa-UlsCw"", ""Interns!O:O""), 
   ""Not Found"")"),"")</f>
        <v/>
      </c>
      <c r="AN104" s="23"/>
      <c r="AO104" s="23" t="s">
        <v>5956</v>
      </c>
      <c r="AP104" s="28" t="s">
        <v>5182</v>
      </c>
      <c r="AQ104" s="28" t="s">
        <v>5957</v>
      </c>
      <c r="AR104" s="23">
        <v>7.173188778E9</v>
      </c>
      <c r="AS104" s="23"/>
      <c r="AT104" s="23"/>
      <c r="AU104" s="23"/>
      <c r="AV104" s="23"/>
    </row>
    <row r="105">
      <c r="A105" s="28" t="s">
        <v>5161</v>
      </c>
      <c r="B105" s="28" t="s">
        <v>5162</v>
      </c>
      <c r="C105" s="23" t="str">
        <f t="shared" si="1"/>
        <v>Hongning Wei</v>
      </c>
      <c r="D105" s="28" t="s">
        <v>5958</v>
      </c>
      <c r="E105" s="28" t="s">
        <v>5959</v>
      </c>
      <c r="F105" s="23">
        <f t="array" ref="F105">IFERROR(
    INDEX('Hub Interns 226'!A:A, MATCH(C105, 'Hub Interns 226'!B:B, 0)),"")</f>
        <v>582</v>
      </c>
      <c r="G105" s="23">
        <f t="array" ref="G105">IFERROR(
    INDEX('Hub Users 226'!A:A, MATCH(C105, 'Hub Users 226'!B:B, 0)),"")</f>
        <v>1015</v>
      </c>
      <c r="H105" s="28">
        <v>242.0</v>
      </c>
      <c r="I105" s="28" t="s">
        <v>425</v>
      </c>
      <c r="J105" s="28" t="s">
        <v>5833</v>
      </c>
      <c r="K105" s="28" t="s">
        <v>5186</v>
      </c>
      <c r="L105" s="28" t="s">
        <v>5196</v>
      </c>
      <c r="M105" s="56" t="s">
        <v>5960</v>
      </c>
      <c r="N105" s="59">
        <v>44133.569444444445</v>
      </c>
      <c r="O105" s="58">
        <v>37666.0</v>
      </c>
      <c r="P105" s="28">
        <f t="shared" si="8"/>
        <v>23</v>
      </c>
      <c r="Q105" s="28" t="s">
        <v>5961</v>
      </c>
      <c r="R105" s="28" t="s">
        <v>5962</v>
      </c>
      <c r="S105" s="28">
        <v>10.0</v>
      </c>
      <c r="T105" s="28">
        <v>27.0</v>
      </c>
      <c r="U105" s="28">
        <v>65.0</v>
      </c>
      <c r="V105" s="28">
        <v>1.0</v>
      </c>
      <c r="W105" s="28" t="s">
        <v>271</v>
      </c>
      <c r="X105" s="28" t="s">
        <v>272</v>
      </c>
      <c r="Y105" s="28">
        <v>9.174976341E9</v>
      </c>
      <c r="Z105" s="28" t="s">
        <v>5963</v>
      </c>
      <c r="AA105" s="28" t="s">
        <v>1923</v>
      </c>
      <c r="AB105" s="28">
        <v>1.0</v>
      </c>
      <c r="AC105" s="28" t="s">
        <v>25</v>
      </c>
      <c r="AD105" s="23"/>
      <c r="AE105" s="28" t="s">
        <v>8</v>
      </c>
      <c r="AF105" s="23" t="str">
        <f>IFERROR(__xludf.DUMMYFUNCTION("TEXTJOIN("", "", TRUE,
  FILTER(Champions!C:C,
    ISNUMBER(SEARCH(C105, Champions!W:W))
  )
)"),"Jasmine Zheng, Susan Boxman, Yada Treesukosol")</f>
        <v>Jasmine Zheng, Susan Boxman, Yada Treesukosol</v>
      </c>
      <c r="AG105" s="23"/>
      <c r="AH105" s="23" t="str">
        <f>IFERROR(__xludf.DUMMYFUNCTION("IF(
ISNUMBER(MATCH(
C105,
IMPORTRANGE(""https://docs.google.com/spreadsheets/d/1yTh1ELC33JHYOeEdgIiEclxPRyh0zOKtlawDltfUay8"",""'Interns'!A:A""),
0
)),
""Outreach Conducted"",
"""")"),"")</f>
        <v/>
      </c>
      <c r="AI105" s="23"/>
      <c r="AJ105" s="23"/>
      <c r="AK105" s="23" t="str">
        <f>IFERROR(__xludf.DUMMYFUNCTION("XLOOKUP(C105, 
   IMPORTRANGE(""1RdEdgHYrZ33LJ7RUHj_h-qkAFL92bcVjtIdVa-UlsCw"", ""Interns!D:D""), 
   IMPORTRANGE(""1RdEdgHYrZ33LJ7RUHj_h-qkAFL92bcVjtIdVa-UlsCw"", ""Interns!M:M""), 
   ""Not Found"")"),"")</f>
        <v/>
      </c>
      <c r="AL105" s="23" t="str">
        <f>IFERROR(__xludf.DUMMYFUNCTION("XLOOKUP(C105, 
   IMPORTRANGE(""1RdEdgHYrZ33LJ7RUHj_h-qkAFL92bcVjtIdVa-UlsCw"", ""Interns!D:D""), 
   IMPORTRANGE(""1RdEdgHYrZ33LJ7RUHj_h-qkAFL92bcVjtIdVa-UlsCw"", ""Interns!N:N""), 
   ""Not Found"")"),"")</f>
        <v/>
      </c>
      <c r="AM105" s="23" t="str">
        <f>IFERROR(__xludf.DUMMYFUNCTION("XLOOKUP(C105, 
   IMPORTRANGE(""1RdEdgHYrZ33LJ7RUHj_h-qkAFL92bcVjtIdVa-UlsCw"", ""Interns!D:D""), 
   IMPORTRANGE(""1RdEdgHYrZ33LJ7RUHj_h-qkAFL92bcVjtIdVa-UlsCw"", ""Interns!O:O""), 
   ""Not Found"")"),"")</f>
        <v/>
      </c>
      <c r="AN105" s="23"/>
      <c r="AO105" s="23" t="s">
        <v>5964</v>
      </c>
      <c r="AP105" s="28" t="s">
        <v>5965</v>
      </c>
      <c r="AQ105" s="28" t="s">
        <v>5966</v>
      </c>
      <c r="AR105" s="23">
        <v>9.173793031E9</v>
      </c>
      <c r="AS105" s="23"/>
      <c r="AT105" s="23"/>
      <c r="AU105" s="23"/>
      <c r="AV105" s="23"/>
    </row>
    <row r="106">
      <c r="A106" s="28" t="s">
        <v>5161</v>
      </c>
      <c r="B106" s="28" t="s">
        <v>5162</v>
      </c>
      <c r="C106" s="23" t="str">
        <f t="shared" si="1"/>
        <v>Yuzhi Fang</v>
      </c>
      <c r="D106" s="28" t="s">
        <v>5967</v>
      </c>
      <c r="E106" s="28" t="s">
        <v>5968</v>
      </c>
      <c r="F106" s="23">
        <f t="array" ref="F106">IFERROR(
    INDEX('Hub Interns 226'!A:A, MATCH(C106, 'Hub Interns 226'!B:B, 0)),"")</f>
        <v>1250</v>
      </c>
      <c r="G106" s="23">
        <f t="array" ref="G106">IFERROR(
    INDEX('Hub Users 226'!A:A, MATCH(C106, 'Hub Users 226'!B:B, 0)),"")</f>
        <v>1683</v>
      </c>
      <c r="H106" s="28">
        <v>559.0</v>
      </c>
      <c r="I106" s="28" t="s">
        <v>407</v>
      </c>
      <c r="J106" s="28" t="s">
        <v>5833</v>
      </c>
      <c r="K106" s="28" t="s">
        <v>5186</v>
      </c>
      <c r="L106" s="28" t="s">
        <v>5165</v>
      </c>
      <c r="M106" s="56" t="s">
        <v>5969</v>
      </c>
      <c r="N106" s="57">
        <v>44477.65694444445</v>
      </c>
      <c r="O106" s="58">
        <v>38631.0</v>
      </c>
      <c r="P106" s="28">
        <f t="shared" si="8"/>
        <v>20</v>
      </c>
      <c r="Q106" s="28" t="s">
        <v>240</v>
      </c>
      <c r="R106" s="28" t="s">
        <v>5970</v>
      </c>
      <c r="S106" s="28">
        <v>6.0</v>
      </c>
      <c r="T106" s="28">
        <v>13.0</v>
      </c>
      <c r="U106" s="28">
        <v>39.0</v>
      </c>
      <c r="V106" s="28">
        <v>21.0</v>
      </c>
      <c r="W106" s="28" t="s">
        <v>1173</v>
      </c>
      <c r="X106" s="28" t="s">
        <v>272</v>
      </c>
      <c r="Y106" s="28" t="s">
        <v>5971</v>
      </c>
      <c r="Z106" s="28" t="s">
        <v>5189</v>
      </c>
      <c r="AA106" s="28" t="s">
        <v>619</v>
      </c>
      <c r="AB106" s="28">
        <v>20.0</v>
      </c>
      <c r="AC106" s="28" t="s">
        <v>25</v>
      </c>
      <c r="AD106" s="23"/>
      <c r="AE106" s="28" t="s">
        <v>10</v>
      </c>
      <c r="AF106" s="23" t="str">
        <f>IFERROR(__xludf.DUMMYFUNCTION("TEXTJOIN("", "", TRUE,
  FILTER(Champions!C:C,
    ISNUMBER(SEARCH(C106, Champions!W:W))
  )
)"),"Dave Landa, Sunkyung Park")</f>
        <v>Dave Landa, Sunkyung Park</v>
      </c>
      <c r="AG106" s="23"/>
      <c r="AH106" s="23" t="str">
        <f>IFERROR(__xludf.DUMMYFUNCTION("IF(
ISNUMBER(MATCH(
C106,
IMPORTRANGE(""https://docs.google.com/spreadsheets/d/1yTh1ELC33JHYOeEdgIiEclxPRyh0zOKtlawDltfUay8"",""'Interns'!A:A""),
0
)),
""Outreach Conducted"",
"""")"),"")</f>
        <v/>
      </c>
      <c r="AI106" s="23"/>
      <c r="AJ106" s="23"/>
      <c r="AK106" s="23" t="str">
        <f>IFERROR(__xludf.DUMMYFUNCTION("XLOOKUP(C106, 
   IMPORTRANGE(""1RdEdgHYrZ33LJ7RUHj_h-qkAFL92bcVjtIdVa-UlsCw"", ""Interns!D:D""), 
   IMPORTRANGE(""1RdEdgHYrZ33LJ7RUHj_h-qkAFL92bcVjtIdVa-UlsCw"", ""Interns!M:M""), 
   ""Not Found"")"),"Contacted")</f>
        <v>Contacted</v>
      </c>
      <c r="AL106" s="23" t="str">
        <f>IFERROR(__xludf.DUMMYFUNCTION("XLOOKUP(C106, 
   IMPORTRANGE(""1RdEdgHYrZ33LJ7RUHj_h-qkAFL92bcVjtIdVa-UlsCw"", ""Interns!D:D""), 
   IMPORTRANGE(""1RdEdgHYrZ33LJ7RUHj_h-qkAFL92bcVjtIdVa-UlsCw"", ""Interns!N:N""), 
   ""Not Found"")"),"#Cheers4Careers")</f>
        <v>#Cheers4Careers</v>
      </c>
      <c r="AM106" s="23" t="str">
        <f>IFERROR(__xludf.DUMMYFUNCTION("XLOOKUP(C106, 
   IMPORTRANGE(""1RdEdgHYrZ33LJ7RUHj_h-qkAFL92bcVjtIdVa-UlsCw"", ""Interns!D:D""), 
   IMPORTRANGE(""1RdEdgHYrZ33LJ7RUHj_h-qkAFL92bcVjtIdVa-UlsCw"", ""Interns!O:O""), 
   ""Not Found"")"),"Hetal reached out by email 3/27 followed by text")</f>
        <v>Hetal reached out by email 3/27 followed by text</v>
      </c>
      <c r="AN106" s="23"/>
      <c r="AO106" s="23" t="s">
        <v>5972</v>
      </c>
      <c r="AP106" s="28" t="s">
        <v>5191</v>
      </c>
      <c r="AQ106" s="28" t="s">
        <v>5973</v>
      </c>
      <c r="AR106" s="23" t="s">
        <v>5974</v>
      </c>
      <c r="AS106" s="23"/>
      <c r="AT106" s="23"/>
      <c r="AU106" s="23"/>
      <c r="AV106" s="23"/>
    </row>
    <row r="107">
      <c r="A107" s="28" t="s">
        <v>5161</v>
      </c>
      <c r="B107" s="28" t="s">
        <v>5162</v>
      </c>
      <c r="C107" s="23" t="str">
        <f t="shared" si="1"/>
        <v>Qingyang Lin</v>
      </c>
      <c r="D107" s="28" t="s">
        <v>5975</v>
      </c>
      <c r="E107" s="28" t="s">
        <v>5976</v>
      </c>
      <c r="F107" s="23">
        <f t="array" ref="F107">IFERROR(
    INDEX('Hub Interns 226'!A:A, MATCH(C107, 'Hub Interns 226'!B:B, 0)),"")</f>
        <v>108</v>
      </c>
      <c r="G107" s="23">
        <f t="array" ref="G107">IFERROR(
    INDEX('Hub Users 226'!A:A, MATCH(C107, 'Hub Users 226'!B:B, 0)),"")</f>
        <v>541</v>
      </c>
      <c r="H107" s="28">
        <v>542.0</v>
      </c>
      <c r="I107" s="28" t="s">
        <v>1235</v>
      </c>
      <c r="J107" s="28" t="s">
        <v>5833</v>
      </c>
      <c r="K107" s="28" t="s">
        <v>5186</v>
      </c>
      <c r="L107" s="28" t="s">
        <v>5165</v>
      </c>
      <c r="M107" s="56" t="s">
        <v>5977</v>
      </c>
      <c r="N107" s="57">
        <v>44477.54722222222</v>
      </c>
      <c r="O107" s="58">
        <v>38383.0</v>
      </c>
      <c r="P107" s="28">
        <f t="shared" si="8"/>
        <v>21</v>
      </c>
      <c r="Q107" s="28" t="s">
        <v>5978</v>
      </c>
      <c r="R107" s="28" t="s">
        <v>5979</v>
      </c>
      <c r="S107" s="28">
        <v>14.0</v>
      </c>
      <c r="T107" s="28">
        <v>11.0</v>
      </c>
      <c r="U107" s="28">
        <v>27.0</v>
      </c>
      <c r="V107" s="28">
        <v>19.0</v>
      </c>
      <c r="W107" s="28" t="s">
        <v>1173</v>
      </c>
      <c r="X107" s="28" t="s">
        <v>272</v>
      </c>
      <c r="Y107" s="28" t="s">
        <v>5980</v>
      </c>
      <c r="Z107" s="28" t="s">
        <v>5189</v>
      </c>
      <c r="AA107" s="28" t="s">
        <v>619</v>
      </c>
      <c r="AB107" s="28">
        <v>20.0</v>
      </c>
      <c r="AC107" s="28" t="s">
        <v>25</v>
      </c>
      <c r="AD107" s="23"/>
      <c r="AE107" s="28" t="s">
        <v>10</v>
      </c>
      <c r="AF107" s="23" t="str">
        <f>IFERROR(__xludf.DUMMYFUNCTION("TEXTJOIN("", "", TRUE,
  FILTER(Champions!C:C,
    ISNUMBER(SEARCH(C107, Champions!W:W))
  )
)"),"Priyanka Mara, Sunaina Mehta")</f>
        <v>Priyanka Mara, Sunaina Mehta</v>
      </c>
      <c r="AG107" s="23"/>
      <c r="AH107" s="23" t="str">
        <f>IFERROR(__xludf.DUMMYFUNCTION("IF(
ISNUMBER(MATCH(
C107,
IMPORTRANGE(""https://docs.google.com/spreadsheets/d/1yTh1ELC33JHYOeEdgIiEclxPRyh0zOKtlawDltfUay8"",""'Interns'!A:A""),
0
)),
""Outreach Conducted"",
"""")"),"")</f>
        <v/>
      </c>
      <c r="AI107" s="23"/>
      <c r="AJ107" s="23"/>
      <c r="AK107" s="23" t="str">
        <f>IFERROR(__xludf.DUMMYFUNCTION("XLOOKUP(C107, 
   IMPORTRANGE(""1RdEdgHYrZ33LJ7RUHj_h-qkAFL92bcVjtIdVa-UlsCw"", ""Interns!D:D""), 
   IMPORTRANGE(""1RdEdgHYrZ33LJ7RUHj_h-qkAFL92bcVjtIdVa-UlsCw"", ""Interns!M:M""), 
   ""Not Found"")"),"Contacted")</f>
        <v>Contacted</v>
      </c>
      <c r="AL107" s="23" t="str">
        <f>IFERROR(__xludf.DUMMYFUNCTION("XLOOKUP(C107, 
   IMPORTRANGE(""1RdEdgHYrZ33LJ7RUHj_h-qkAFL92bcVjtIdVa-UlsCw"", ""Interns!D:D""), 
   IMPORTRANGE(""1RdEdgHYrZ33LJ7RUHj_h-qkAFL92bcVjtIdVa-UlsCw"", ""Interns!N:N""), 
   ""Not Found"")"),"#Cheers4Careers")</f>
        <v>#Cheers4Careers</v>
      </c>
      <c r="AM107" s="23" t="str">
        <f>IFERROR(__xludf.DUMMYFUNCTION("XLOOKUP(C107, 
   IMPORTRANGE(""1RdEdgHYrZ33LJ7RUHj_h-qkAFL92bcVjtIdVa-UlsCw"", ""Interns!D:D""), 
   IMPORTRANGE(""1RdEdgHYrZ33LJ7RUHj_h-qkAFL92bcVjtIdVa-UlsCw"", ""Interns!O:O""), 
   ""Not Found"")"),"Hetal reached out by email 3/27 followed by text")</f>
        <v>Hetal reached out by email 3/27 followed by text</v>
      </c>
      <c r="AN107" s="23"/>
      <c r="AO107" s="23" t="s">
        <v>5981</v>
      </c>
      <c r="AP107" s="28" t="s">
        <v>5182</v>
      </c>
      <c r="AQ107" s="28" t="s">
        <v>5977</v>
      </c>
      <c r="AR107" s="23" t="s">
        <v>5982</v>
      </c>
      <c r="AS107" s="23"/>
      <c r="AT107" s="23"/>
      <c r="AU107" s="23"/>
      <c r="AV107" s="23"/>
    </row>
    <row r="108">
      <c r="A108" s="28" t="s">
        <v>5161</v>
      </c>
      <c r="B108" s="28" t="s">
        <v>5162</v>
      </c>
      <c r="C108" s="23" t="str">
        <f t="shared" si="1"/>
        <v>I Chean (Veronica) Hung</v>
      </c>
      <c r="D108" s="28" t="s">
        <v>5983</v>
      </c>
      <c r="E108" s="28" t="s">
        <v>5984</v>
      </c>
      <c r="F108" s="23">
        <f t="array" ref="F108">IFERROR(
    INDEX('Hub Interns 226'!A:A, MATCH(C108, 'Hub Interns 226'!B:B, 0)),"")</f>
        <v>587</v>
      </c>
      <c r="G108" s="23">
        <f t="array" ref="G108">IFERROR(
    INDEX('Hub Users 226'!A:A, MATCH(C108, 'Hub Users 226'!B:B, 0)),"")</f>
        <v>1020</v>
      </c>
      <c r="H108" s="28">
        <v>338.0</v>
      </c>
      <c r="I108" s="28" t="s">
        <v>260</v>
      </c>
      <c r="J108" s="28" t="s">
        <v>5833</v>
      </c>
      <c r="K108" s="28" t="s">
        <v>5186</v>
      </c>
      <c r="L108" s="28" t="s">
        <v>5196</v>
      </c>
      <c r="M108" s="56" t="s">
        <v>5985</v>
      </c>
      <c r="N108" s="57">
        <v>44243.50208333333</v>
      </c>
      <c r="O108" s="58">
        <v>37812.0</v>
      </c>
      <c r="P108" s="28">
        <f t="shared" si="8"/>
        <v>22</v>
      </c>
      <c r="Q108" s="28" t="s">
        <v>240</v>
      </c>
      <c r="R108" s="28" t="s">
        <v>5986</v>
      </c>
      <c r="S108" s="28">
        <v>6.0</v>
      </c>
      <c r="T108" s="28">
        <v>16.0</v>
      </c>
      <c r="U108" s="28">
        <v>25.0</v>
      </c>
      <c r="V108" s="28">
        <v>20.0</v>
      </c>
      <c r="W108" s="28" t="s">
        <v>1173</v>
      </c>
      <c r="X108" s="28" t="s">
        <v>272</v>
      </c>
      <c r="Y108" s="28" t="s">
        <v>5987</v>
      </c>
      <c r="Z108" s="28" t="s">
        <v>5189</v>
      </c>
      <c r="AA108" s="28" t="s">
        <v>619</v>
      </c>
      <c r="AB108" s="28">
        <v>20.0</v>
      </c>
      <c r="AC108" s="28" t="s">
        <v>25</v>
      </c>
      <c r="AD108" s="23"/>
      <c r="AE108" s="28" t="s">
        <v>8</v>
      </c>
      <c r="AF108" s="23" t="str">
        <f>IFERROR(__xludf.DUMMYFUNCTION("TEXTJOIN("", "", TRUE,
  FILTER(Champions!C:C,
    ISNUMBER(SEARCH(C108, Champions!W:W))
  )
)"),"Smrithi Prem, Lily Chu")</f>
        <v>Smrithi Prem, Lily Chu</v>
      </c>
      <c r="AG108" s="23"/>
      <c r="AH108" s="23" t="str">
        <f>IFERROR(__xludf.DUMMYFUNCTION("IF(
ISNUMBER(MATCH(
C108,
IMPORTRANGE(""https://docs.google.com/spreadsheets/d/1yTh1ELC33JHYOeEdgIiEclxPRyh0zOKtlawDltfUay8"",""'Interns'!A:A""),
0
)),
""Outreach Conducted"",
"""")"),"")</f>
        <v/>
      </c>
      <c r="AI108" s="23"/>
      <c r="AJ108" s="23"/>
      <c r="AK108" s="23" t="str">
        <f>IFERROR(__xludf.DUMMYFUNCTION("XLOOKUP(C108, 
   IMPORTRANGE(""1RdEdgHYrZ33LJ7RUHj_h-qkAFL92bcVjtIdVa-UlsCw"", ""Interns!D:D""), 
   IMPORTRANGE(""1RdEdgHYrZ33LJ7RUHj_h-qkAFL92bcVjtIdVa-UlsCw"", ""Interns!M:M""), 
   ""Not Found"")"),"Contacted")</f>
        <v>Contacted</v>
      </c>
      <c r="AL108" s="23" t="str">
        <f>IFERROR(__xludf.DUMMYFUNCTION("XLOOKUP(C108, 
   IMPORTRANGE(""1RdEdgHYrZ33LJ7RUHj_h-qkAFL92bcVjtIdVa-UlsCw"", ""Interns!D:D""), 
   IMPORTRANGE(""1RdEdgHYrZ33LJ7RUHj_h-qkAFL92bcVjtIdVa-UlsCw"", ""Interns!N:N""), 
   ""Not Found"")"),"#Cheers4Careers")</f>
        <v>#Cheers4Careers</v>
      </c>
      <c r="AM108" s="23" t="str">
        <f>IFERROR(__xludf.DUMMYFUNCTION("XLOOKUP(C108, 
   IMPORTRANGE(""1RdEdgHYrZ33LJ7RUHj_h-qkAFL92bcVjtIdVa-UlsCw"", ""Interns!D:D""), 
   IMPORTRANGE(""1RdEdgHYrZ33LJ7RUHj_h-qkAFL92bcVjtIdVa-UlsCw"", ""Interns!O:O""), 
   ""Not Found"")"),"Hetal reached out by email 3/27")</f>
        <v>Hetal reached out by email 3/27</v>
      </c>
      <c r="AN108" s="23"/>
      <c r="AO108" s="23" t="s">
        <v>5988</v>
      </c>
      <c r="AP108" s="28" t="s">
        <v>5989</v>
      </c>
      <c r="AQ108" s="28" t="s">
        <v>5990</v>
      </c>
      <c r="AR108" s="23" t="s">
        <v>5991</v>
      </c>
      <c r="AS108" s="23"/>
      <c r="AT108" s="23"/>
      <c r="AU108" s="23"/>
      <c r="AV108" s="23"/>
    </row>
    <row r="109">
      <c r="A109" s="28" t="s">
        <v>5161</v>
      </c>
      <c r="B109" s="28" t="s">
        <v>5162</v>
      </c>
      <c r="C109" s="23" t="str">
        <f t="shared" si="1"/>
        <v>Zihan Zhang</v>
      </c>
      <c r="D109" s="28" t="s">
        <v>5992</v>
      </c>
      <c r="E109" s="28" t="s">
        <v>5993</v>
      </c>
      <c r="F109" s="23">
        <f t="array" ref="F109">IFERROR(
    INDEX('Hub Interns 226'!A:A, MATCH(C109, 'Hub Interns 226'!B:B, 0)),"")</f>
        <v>1259</v>
      </c>
      <c r="G109" s="23">
        <f t="array" ref="G109">IFERROR(
    INDEX('Hub Users 226'!A:A, MATCH(C109, 'Hub Users 226'!B:B, 0)),"")</f>
        <v>1692</v>
      </c>
      <c r="H109" s="28">
        <v>529.0</v>
      </c>
      <c r="I109" s="28" t="s">
        <v>107</v>
      </c>
      <c r="J109" s="28" t="s">
        <v>5833</v>
      </c>
      <c r="K109" s="28" t="s">
        <v>5186</v>
      </c>
      <c r="L109" s="28" t="s">
        <v>5165</v>
      </c>
      <c r="M109" s="56" t="s">
        <v>5994</v>
      </c>
      <c r="N109" s="57">
        <v>44476.81805555556</v>
      </c>
      <c r="O109" s="58">
        <v>38535.0</v>
      </c>
      <c r="P109" s="28">
        <f t="shared" si="8"/>
        <v>20</v>
      </c>
      <c r="Q109" s="28" t="s">
        <v>240</v>
      </c>
      <c r="R109" s="28" t="s">
        <v>5995</v>
      </c>
      <c r="S109" s="28">
        <v>6.0</v>
      </c>
      <c r="T109" s="28">
        <v>16.0</v>
      </c>
      <c r="U109" s="28">
        <v>40.0</v>
      </c>
      <c r="V109" s="28">
        <v>20.0</v>
      </c>
      <c r="W109" s="28" t="s">
        <v>1173</v>
      </c>
      <c r="X109" s="28" t="s">
        <v>272</v>
      </c>
      <c r="Y109" s="28" t="s">
        <v>5996</v>
      </c>
      <c r="Z109" s="28" t="s">
        <v>5189</v>
      </c>
      <c r="AA109" s="28" t="s">
        <v>619</v>
      </c>
      <c r="AB109" s="28">
        <v>20.0</v>
      </c>
      <c r="AC109" s="28" t="s">
        <v>25</v>
      </c>
      <c r="AD109" s="23"/>
      <c r="AE109" s="28" t="s">
        <v>10</v>
      </c>
      <c r="AF109" s="23" t="str">
        <f>IFERROR(__xludf.DUMMYFUNCTION("TEXTJOIN("", "", TRUE,
  FILTER(Champions!C:C,
    ISNUMBER(SEARCH(C109, Champions!W:W))
  )
)"),"Bindu Krishna, Dominique Kagele, Bindu Krishna (D)")</f>
        <v>Bindu Krishna, Dominique Kagele, Bindu Krishna (D)</v>
      </c>
      <c r="AG109" s="23"/>
      <c r="AH109" s="23" t="str">
        <f>IFERROR(__xludf.DUMMYFUNCTION("IF(
ISNUMBER(MATCH(
C109,
IMPORTRANGE(""https://docs.google.com/spreadsheets/d/1yTh1ELC33JHYOeEdgIiEclxPRyh0zOKtlawDltfUay8"",""'Interns'!A:A""),
0
)),
""Outreach Conducted"",
"""")"),"")</f>
        <v/>
      </c>
      <c r="AI109" s="23"/>
      <c r="AJ109" s="23"/>
      <c r="AK109" s="23" t="str">
        <f>IFERROR(__xludf.DUMMYFUNCTION("XLOOKUP(C109, 
   IMPORTRANGE(""1RdEdgHYrZ33LJ7RUHj_h-qkAFL92bcVjtIdVa-UlsCw"", ""Interns!D:D""), 
   IMPORTRANGE(""1RdEdgHYrZ33LJ7RUHj_h-qkAFL92bcVjtIdVa-UlsCw"", ""Interns!M:M""), 
   ""Not Found"")"),"Contacted")</f>
        <v>Contacted</v>
      </c>
      <c r="AL109" s="23" t="str">
        <f>IFERROR(__xludf.DUMMYFUNCTION("XLOOKUP(C109, 
   IMPORTRANGE(""1RdEdgHYrZ33LJ7RUHj_h-qkAFL92bcVjtIdVa-UlsCw"", ""Interns!D:D""), 
   IMPORTRANGE(""1RdEdgHYrZ33LJ7RUHj_h-qkAFL92bcVjtIdVa-UlsCw"", ""Interns!N:N""), 
   ""Not Found"")"),"#Cheers4Careers")</f>
        <v>#Cheers4Careers</v>
      </c>
      <c r="AM109" s="23" t="str">
        <f>IFERROR(__xludf.DUMMYFUNCTION("XLOOKUP(C109, 
   IMPORTRANGE(""1RdEdgHYrZ33LJ7RUHj_h-qkAFL92bcVjtIdVa-UlsCw"", ""Interns!D:D""), 
   IMPORTRANGE(""1RdEdgHYrZ33LJ7RUHj_h-qkAFL92bcVjtIdVa-UlsCw"", ""Interns!O:O""), 
   ""Not Found"")"),"Hetal reached out by email 3/27 followed by text")</f>
        <v>Hetal reached out by email 3/27 followed by text</v>
      </c>
      <c r="AN109" s="23"/>
      <c r="AO109" s="23" t="s">
        <v>5997</v>
      </c>
      <c r="AP109" s="28" t="s">
        <v>5191</v>
      </c>
      <c r="AQ109" s="28" t="s">
        <v>5998</v>
      </c>
      <c r="AR109" s="23" t="s">
        <v>5999</v>
      </c>
      <c r="AS109" s="23"/>
      <c r="AT109" s="23"/>
      <c r="AU109" s="23"/>
      <c r="AV109" s="23"/>
    </row>
    <row r="110">
      <c r="A110" s="28" t="s">
        <v>5202</v>
      </c>
      <c r="B110" s="28" t="s">
        <v>5162</v>
      </c>
      <c r="C110" s="23" t="str">
        <f t="shared" si="1"/>
        <v>Angel Cedeno</v>
      </c>
      <c r="D110" s="28" t="s">
        <v>6000</v>
      </c>
      <c r="E110" s="28" t="s">
        <v>6001</v>
      </c>
      <c r="F110" s="23">
        <f t="array" ref="F110">IFERROR(
    INDEX('Hub Interns 226'!A:A, MATCH(C110, 'Hub Interns 226'!B:B, 0)),"")</f>
        <v>234</v>
      </c>
      <c r="G110" s="23">
        <f t="array" ref="G110">IFERROR(
    INDEX('Hub Users 226'!A:A, MATCH(C110, 'Hub Users 226'!B:B, 0)),"")</f>
        <v>667</v>
      </c>
      <c r="H110" s="28">
        <v>1425.0</v>
      </c>
      <c r="I110" s="28" t="s">
        <v>107</v>
      </c>
      <c r="J110" s="28" t="s">
        <v>6002</v>
      </c>
      <c r="K110" s="28" t="s">
        <v>5463</v>
      </c>
      <c r="L110" s="28" t="s">
        <v>5165</v>
      </c>
      <c r="M110" s="56" t="s">
        <v>6003</v>
      </c>
      <c r="N110" s="57">
        <v>44866.4</v>
      </c>
      <c r="O110" s="58">
        <v>40261.0</v>
      </c>
      <c r="P110" s="28">
        <f t="shared" si="8"/>
        <v>16</v>
      </c>
      <c r="Q110" s="28" t="s">
        <v>240</v>
      </c>
      <c r="R110" s="28" t="s">
        <v>6004</v>
      </c>
      <c r="S110" s="28">
        <v>7.0</v>
      </c>
      <c r="T110" s="28">
        <v>12.0</v>
      </c>
      <c r="U110" s="28">
        <v>37.0</v>
      </c>
      <c r="V110" s="28">
        <v>26.0</v>
      </c>
      <c r="W110" s="28" t="s">
        <v>1173</v>
      </c>
      <c r="X110" s="28" t="s">
        <v>272</v>
      </c>
      <c r="Y110" s="28" t="s">
        <v>5351</v>
      </c>
      <c r="Z110" s="28" t="s">
        <v>5352</v>
      </c>
      <c r="AA110" s="28" t="s">
        <v>5287</v>
      </c>
      <c r="AB110" s="28">
        <v>26.0</v>
      </c>
      <c r="AC110" s="28" t="s">
        <v>23</v>
      </c>
      <c r="AD110" s="23"/>
      <c r="AE110" s="28" t="s">
        <v>15</v>
      </c>
      <c r="AF110" s="23"/>
      <c r="AG110" s="23"/>
      <c r="AH110" s="23" t="str">
        <f>IFERROR(__xludf.DUMMYFUNCTION("IF(
ISNUMBER(MATCH(
C110,
IMPORTRANGE(""https://docs.google.com/spreadsheets/d/1yTh1ELC33JHYOeEdgIiEclxPRyh0zOKtlawDltfUay8"",""'Interns'!A:A""),
0
)),
""Outreach Conducted"",
"""")"),"")</f>
        <v/>
      </c>
      <c r="AI110" s="23"/>
      <c r="AJ110" s="23"/>
      <c r="AK110" s="23" t="str">
        <f>IFERROR(__xludf.DUMMYFUNCTION("XLOOKUP(C110, 
   IMPORTRANGE(""1RdEdgHYrZ33LJ7RUHj_h-qkAFL92bcVjtIdVa-UlsCw"", ""Interns!D:D""), 
   IMPORTRANGE(""1RdEdgHYrZ33LJ7RUHj_h-qkAFL92bcVjtIdVa-UlsCw"", ""Interns!M:M""), 
   ""Not Found"")"),"")</f>
        <v/>
      </c>
      <c r="AL110" s="23" t="str">
        <f>IFERROR(__xludf.DUMMYFUNCTION("XLOOKUP(C110, 
   IMPORTRANGE(""1RdEdgHYrZ33LJ7RUHj_h-qkAFL92bcVjtIdVa-UlsCw"", ""Interns!D:D""), 
   IMPORTRANGE(""1RdEdgHYrZ33LJ7RUHj_h-qkAFL92bcVjtIdVa-UlsCw"", ""Interns!N:N""), 
   ""Not Found"")"),"")</f>
        <v/>
      </c>
      <c r="AM110" s="23" t="str">
        <f>IFERROR(__xludf.DUMMYFUNCTION("XLOOKUP(C110, 
   IMPORTRANGE(""1RdEdgHYrZ33LJ7RUHj_h-qkAFL92bcVjtIdVa-UlsCw"", ""Interns!D:D""), 
   IMPORTRANGE(""1RdEdgHYrZ33LJ7RUHj_h-qkAFL92bcVjtIdVa-UlsCw"", ""Interns!O:O""), 
   ""Not Found"")"),"")</f>
        <v/>
      </c>
      <c r="AN110" s="23"/>
      <c r="AO110" s="23" t="s">
        <v>6005</v>
      </c>
      <c r="AP110" s="28" t="s">
        <v>5182</v>
      </c>
      <c r="AQ110" s="28"/>
      <c r="AR110" s="23"/>
      <c r="AS110" s="23"/>
      <c r="AT110" s="23"/>
      <c r="AU110" s="23"/>
      <c r="AV110" s="23"/>
    </row>
    <row r="111">
      <c r="A111" s="28" t="s">
        <v>5161</v>
      </c>
      <c r="B111" s="28" t="s">
        <v>5162</v>
      </c>
      <c r="C111" s="23" t="str">
        <f t="shared" si="1"/>
        <v>Mingyu (Carl) Huo</v>
      </c>
      <c r="D111" s="28" t="s">
        <v>6006</v>
      </c>
      <c r="E111" s="28" t="s">
        <v>6007</v>
      </c>
      <c r="F111" s="28">
        <v>811.0</v>
      </c>
      <c r="G111" s="28">
        <v>1244.0</v>
      </c>
      <c r="H111" s="28">
        <v>344.0</v>
      </c>
      <c r="I111" s="28" t="s">
        <v>239</v>
      </c>
      <c r="J111" s="28" t="s">
        <v>5833</v>
      </c>
      <c r="K111" s="28" t="s">
        <v>5186</v>
      </c>
      <c r="L111" s="28" t="s">
        <v>5165</v>
      </c>
      <c r="M111" s="56" t="s">
        <v>6008</v>
      </c>
      <c r="N111" s="57">
        <v>44244.544444444444</v>
      </c>
      <c r="O111" s="58">
        <v>38061.0</v>
      </c>
      <c r="P111" s="28">
        <f t="shared" si="8"/>
        <v>22</v>
      </c>
      <c r="Q111" s="28" t="s">
        <v>240</v>
      </c>
      <c r="R111" s="28" t="s">
        <v>6009</v>
      </c>
      <c r="S111" s="28">
        <v>6.0</v>
      </c>
      <c r="T111" s="28">
        <v>16.0</v>
      </c>
      <c r="U111" s="28">
        <v>40.0</v>
      </c>
      <c r="V111" s="28">
        <v>20.0</v>
      </c>
      <c r="W111" s="28" t="s">
        <v>1173</v>
      </c>
      <c r="X111" s="28" t="s">
        <v>272</v>
      </c>
      <c r="Y111" s="28" t="s">
        <v>6010</v>
      </c>
      <c r="Z111" s="28" t="s">
        <v>5189</v>
      </c>
      <c r="AA111" s="28" t="s">
        <v>619</v>
      </c>
      <c r="AB111" s="28">
        <v>20.0</v>
      </c>
      <c r="AC111" s="28" t="s">
        <v>25</v>
      </c>
      <c r="AD111" s="23"/>
      <c r="AE111" s="28" t="s">
        <v>8</v>
      </c>
      <c r="AF111" s="23" t="str">
        <f>IFERROR(__xludf.DUMMYFUNCTION("TEXTJOIN("", "", TRUE,
  FILTER(Champions!C:C,
    ISNUMBER(SEARCH(C111, Champions!W:W))
  )
)"),"Amy Sit, Louise Malone")</f>
        <v>Amy Sit, Louise Malone</v>
      </c>
      <c r="AG111" s="26" t="s">
        <v>5697</v>
      </c>
      <c r="AH111" s="23" t="str">
        <f>IFERROR(__xludf.DUMMYFUNCTION("IF(
ISNUMBER(MATCH(
C111,
IMPORTRANGE(""https://docs.google.com/spreadsheets/d/1yTh1ELC33JHYOeEdgIiEclxPRyh0zOKtlawDltfUay8"",""'Interns'!A:A""),
0
)),
""Outreach Conducted"",
"""")"),"")</f>
        <v/>
      </c>
      <c r="AI111" s="23"/>
      <c r="AJ111" s="23"/>
      <c r="AK111" s="23" t="str">
        <f>IFERROR(__xludf.DUMMYFUNCTION("XLOOKUP(C111, 
   IMPORTRANGE(""1RdEdgHYrZ33LJ7RUHj_h-qkAFL92bcVjtIdVa-UlsCw"", ""Interns!D:D""), 
   IMPORTRANGE(""1RdEdgHYrZ33LJ7RUHj_h-qkAFL92bcVjtIdVa-UlsCw"", ""Interns!M:M""), 
   ""Not Found"")"),"In Communication")</f>
        <v>In Communication</v>
      </c>
      <c r="AL111" s="23" t="str">
        <f>IFERROR(__xludf.DUMMYFUNCTION("XLOOKUP(C111, 
   IMPORTRANGE(""1RdEdgHYrZ33LJ7RUHj_h-qkAFL92bcVjtIdVa-UlsCw"", ""Interns!D:D""), 
   IMPORTRANGE(""1RdEdgHYrZ33LJ7RUHj_h-qkAFL92bcVjtIdVa-UlsCw"", ""Interns!N:N""), 
   ""Not Found"")"),"#Cheers4Careers")</f>
        <v>#Cheers4Careers</v>
      </c>
      <c r="AM111" s="23" t="str">
        <f>IFERROR(__xludf.DUMMYFUNCTION("XLOOKUP(C111, 
   IMPORTRANGE(""1RdEdgHYrZ33LJ7RUHj_h-qkAFL92bcVjtIdVa-UlsCw"", ""Interns!D:D""), 
   IMPORTRANGE(""1RdEdgHYrZ33LJ7RUHj_h-qkAFL92bcVjtIdVa-UlsCw"", ""Interns!O:O""), 
   ""Not Found"")"),"Hetal reached out by email 3/24 Carl Registered and got on the HUB
Hetal reached out on 4/10 by whatsapp for April 18th #Cheers4Careers")</f>
        <v>Hetal reached out by email 3/24 Carl Registered and got on the HUB
Hetal reached out on 4/10 by whatsapp for April 18th #Cheers4Careers</v>
      </c>
      <c r="AN111" s="23"/>
      <c r="AO111" s="23" t="s">
        <v>6011</v>
      </c>
      <c r="AP111" s="28" t="s">
        <v>5182</v>
      </c>
      <c r="AQ111" s="28" t="s">
        <v>70</v>
      </c>
      <c r="AR111" s="23" t="s">
        <v>6012</v>
      </c>
      <c r="AS111" s="23"/>
      <c r="AT111" s="23"/>
      <c r="AU111" s="23"/>
      <c r="AV111" s="23"/>
    </row>
    <row r="112">
      <c r="A112" s="28" t="s">
        <v>5161</v>
      </c>
      <c r="B112" s="28" t="s">
        <v>5162</v>
      </c>
      <c r="C112" s="23" t="str">
        <f t="shared" si="1"/>
        <v>Yafei Huang</v>
      </c>
      <c r="D112" s="28" t="s">
        <v>6013</v>
      </c>
      <c r="E112" s="28" t="s">
        <v>6014</v>
      </c>
      <c r="F112" s="23">
        <f t="array" ref="F112">IFERROR(
    INDEX('Hub Interns 226'!A:A, MATCH(C112, 'Hub Interns 226'!B:B, 0)),"")</f>
        <v>1211</v>
      </c>
      <c r="G112" s="23">
        <f t="array" ref="G112">IFERROR(
    INDEX('Hub Users 226'!A:A, MATCH(C112, 'Hub Users 226'!B:B, 0)),"")</f>
        <v>1644</v>
      </c>
      <c r="H112" s="28">
        <v>518.0</v>
      </c>
      <c r="I112" s="28" t="s">
        <v>425</v>
      </c>
      <c r="J112" s="28" t="s">
        <v>5833</v>
      </c>
      <c r="K112" s="28" t="s">
        <v>5186</v>
      </c>
      <c r="L112" s="28" t="s">
        <v>5196</v>
      </c>
      <c r="M112" s="56" t="s">
        <v>6015</v>
      </c>
      <c r="N112" s="57">
        <v>44476.65833333333</v>
      </c>
      <c r="O112" s="58">
        <v>38299.0</v>
      </c>
      <c r="P112" s="28">
        <f t="shared" si="8"/>
        <v>21</v>
      </c>
      <c r="Q112" s="28" t="s">
        <v>6016</v>
      </c>
      <c r="R112" s="28" t="s">
        <v>6017</v>
      </c>
      <c r="S112" s="28">
        <v>6.0</v>
      </c>
      <c r="T112" s="28">
        <v>16.0</v>
      </c>
      <c r="U112" s="28">
        <v>25.0</v>
      </c>
      <c r="V112" s="28">
        <v>20.0</v>
      </c>
      <c r="W112" s="28" t="s">
        <v>1173</v>
      </c>
      <c r="X112" s="28" t="s">
        <v>272</v>
      </c>
      <c r="Y112" s="28" t="s">
        <v>6018</v>
      </c>
      <c r="Z112" s="28" t="s">
        <v>5189</v>
      </c>
      <c r="AA112" s="28" t="s">
        <v>619</v>
      </c>
      <c r="AB112" s="28">
        <v>20.0</v>
      </c>
      <c r="AC112" s="28" t="s">
        <v>25</v>
      </c>
      <c r="AD112" s="23"/>
      <c r="AE112" s="28" t="s">
        <v>10</v>
      </c>
      <c r="AF112" s="23" t="str">
        <f>IFERROR(__xludf.DUMMYFUNCTION("TEXTJOIN("", "", TRUE,
  FILTER(Champions!C:C,
    ISNUMBER(SEARCH(C112, Champions!W:W))
  )
)"),"Annie Camey Kuo, Debaleena Majumdar")</f>
        <v>Annie Camey Kuo, Debaleena Majumdar</v>
      </c>
      <c r="AG112" s="23"/>
      <c r="AH112" s="23" t="str">
        <f>IFERROR(__xludf.DUMMYFUNCTION("IF(
ISNUMBER(MATCH(
C112,
IMPORTRANGE(""https://docs.google.com/spreadsheets/d/1yTh1ELC33JHYOeEdgIiEclxPRyh0zOKtlawDltfUay8"",""'Interns'!A:A""),
0
)),
""Outreach Conducted"",
"""")"),"")</f>
        <v/>
      </c>
      <c r="AI112" s="23"/>
      <c r="AJ112" s="23"/>
      <c r="AK112" s="23" t="str">
        <f>IFERROR(__xludf.DUMMYFUNCTION("XLOOKUP(C112, 
   IMPORTRANGE(""1RdEdgHYrZ33LJ7RUHj_h-qkAFL92bcVjtIdVa-UlsCw"", ""Interns!D:D""), 
   IMPORTRANGE(""1RdEdgHYrZ33LJ7RUHj_h-qkAFL92bcVjtIdVa-UlsCw"", ""Interns!M:M""), 
   ""Not Found"")"),"Contacted")</f>
        <v>Contacted</v>
      </c>
      <c r="AL112" s="23" t="str">
        <f>IFERROR(__xludf.DUMMYFUNCTION("XLOOKUP(C112, 
   IMPORTRANGE(""1RdEdgHYrZ33LJ7RUHj_h-qkAFL92bcVjtIdVa-UlsCw"", ""Interns!D:D""), 
   IMPORTRANGE(""1RdEdgHYrZ33LJ7RUHj_h-qkAFL92bcVjtIdVa-UlsCw"", ""Interns!N:N""), 
   ""Not Found"")"),"#Cheers4Careers")</f>
        <v>#Cheers4Careers</v>
      </c>
      <c r="AM112" s="23" t="str">
        <f>IFERROR(__xludf.DUMMYFUNCTION("XLOOKUP(C112, 
   IMPORTRANGE(""1RdEdgHYrZ33LJ7RUHj_h-qkAFL92bcVjtIdVa-UlsCw"", ""Interns!D:D""), 
   IMPORTRANGE(""1RdEdgHYrZ33LJ7RUHj_h-qkAFL92bcVjtIdVa-UlsCw"", ""Interns!O:O""), 
   ""Not Found"")"),"Hetal reached out by email 3/27 followed by text")</f>
        <v>Hetal reached out by email 3/27 followed by text</v>
      </c>
      <c r="AN112" s="23"/>
      <c r="AO112" s="23" t="s">
        <v>6019</v>
      </c>
      <c r="AP112" s="28" t="s">
        <v>5191</v>
      </c>
      <c r="AQ112" s="28" t="s">
        <v>6020</v>
      </c>
      <c r="AR112" s="23" t="s">
        <v>6021</v>
      </c>
      <c r="AS112" s="23"/>
      <c r="AT112" s="23"/>
      <c r="AU112" s="23"/>
      <c r="AV112" s="23"/>
    </row>
    <row r="113">
      <c r="A113" s="28" t="s">
        <v>5161</v>
      </c>
      <c r="B113" s="28" t="s">
        <v>5162</v>
      </c>
      <c r="C113" s="23" t="str">
        <f t="shared" si="1"/>
        <v>Bohan Yang</v>
      </c>
      <c r="D113" s="28" t="s">
        <v>6022</v>
      </c>
      <c r="E113" s="28" t="s">
        <v>5832</v>
      </c>
      <c r="F113" s="23">
        <f t="array" ref="F113">IFERROR(
    INDEX('Hub Interns 226'!A:A, MATCH(C113, 'Hub Interns 226'!B:B, 0)),"")</f>
        <v>304</v>
      </c>
      <c r="G113" s="23">
        <f t="array" ref="G113">IFERROR(
    INDEX('Hub Users 226'!A:A, MATCH(C113, 'Hub Users 226'!B:B, 0)),"")</f>
        <v>737</v>
      </c>
      <c r="H113" s="28">
        <v>521.0</v>
      </c>
      <c r="I113" s="28" t="s">
        <v>239</v>
      </c>
      <c r="J113" s="28" t="s">
        <v>5833</v>
      </c>
      <c r="K113" s="28" t="s">
        <v>5186</v>
      </c>
      <c r="L113" s="28" t="s">
        <v>5165</v>
      </c>
      <c r="M113" s="56" t="s">
        <v>6023</v>
      </c>
      <c r="N113" s="57">
        <v>44476.6625</v>
      </c>
      <c r="O113" s="58">
        <v>38359.0</v>
      </c>
      <c r="P113" s="28">
        <f t="shared" si="8"/>
        <v>21</v>
      </c>
      <c r="Q113" s="28" t="s">
        <v>240</v>
      </c>
      <c r="R113" s="28" t="s">
        <v>6024</v>
      </c>
      <c r="S113" s="28">
        <v>6.0</v>
      </c>
      <c r="T113" s="28">
        <v>16.0</v>
      </c>
      <c r="U113" s="28">
        <v>40.0</v>
      </c>
      <c r="V113" s="28">
        <v>20.0</v>
      </c>
      <c r="W113" s="28" t="s">
        <v>1173</v>
      </c>
      <c r="X113" s="28" t="s">
        <v>272</v>
      </c>
      <c r="Y113" s="28" t="s">
        <v>6025</v>
      </c>
      <c r="Z113" s="28" t="s">
        <v>5189</v>
      </c>
      <c r="AA113" s="28" t="s">
        <v>619</v>
      </c>
      <c r="AB113" s="28">
        <v>20.0</v>
      </c>
      <c r="AC113" s="28" t="s">
        <v>25</v>
      </c>
      <c r="AD113" s="23"/>
      <c r="AE113" s="28" t="s">
        <v>10</v>
      </c>
      <c r="AF113" s="23" t="str">
        <f>IFERROR(__xludf.DUMMYFUNCTION("TEXTJOIN("", "", TRUE,
  FILTER(Champions!C:C,
    ISNUMBER(SEARCH(C113, Champions!W:W))
  )
)"),"Dave Landa, Yan Guan")</f>
        <v>Dave Landa, Yan Guan</v>
      </c>
      <c r="AG113" s="23"/>
      <c r="AH113" s="23" t="str">
        <f>IFERROR(__xludf.DUMMYFUNCTION("IF(
ISNUMBER(MATCH(
C113,
IMPORTRANGE(""https://docs.google.com/spreadsheets/d/1yTh1ELC33JHYOeEdgIiEclxPRyh0zOKtlawDltfUay8"",""'Interns'!A:A""),
0
)),
""Outreach Conducted"",
"""")"),"")</f>
        <v/>
      </c>
      <c r="AI113" s="23"/>
      <c r="AJ113" s="23"/>
      <c r="AK113" s="23" t="str">
        <f>IFERROR(__xludf.DUMMYFUNCTION("XLOOKUP(C113, 
   IMPORTRANGE(""1RdEdgHYrZ33LJ7RUHj_h-qkAFL92bcVjtIdVa-UlsCw"", ""Interns!D:D""), 
   IMPORTRANGE(""1RdEdgHYrZ33LJ7RUHj_h-qkAFL92bcVjtIdVa-UlsCw"", ""Interns!M:M""), 
   ""Not Found"")"),"Contacted")</f>
        <v>Contacted</v>
      </c>
      <c r="AL113" s="23" t="str">
        <f>IFERROR(__xludf.DUMMYFUNCTION("XLOOKUP(C113, 
   IMPORTRANGE(""1RdEdgHYrZ33LJ7RUHj_h-qkAFL92bcVjtIdVa-UlsCw"", ""Interns!D:D""), 
   IMPORTRANGE(""1RdEdgHYrZ33LJ7RUHj_h-qkAFL92bcVjtIdVa-UlsCw"", ""Interns!N:N""), 
   ""Not Found"")"),"#Cheers4Careers")</f>
        <v>#Cheers4Careers</v>
      </c>
      <c r="AM113" s="23" t="str">
        <f>IFERROR(__xludf.DUMMYFUNCTION("XLOOKUP(C113, 
   IMPORTRANGE(""1RdEdgHYrZ33LJ7RUHj_h-qkAFL92bcVjtIdVa-UlsCw"", ""Interns!D:D""), 
   IMPORTRANGE(""1RdEdgHYrZ33LJ7RUHj_h-qkAFL92bcVjtIdVa-UlsCw"", ""Interns!O:O""), 
   ""Not Found"")"),"Hetal reached out by email 3/27 followed by text")</f>
        <v>Hetal reached out by email 3/27 followed by text</v>
      </c>
      <c r="AN113" s="23"/>
      <c r="AO113" s="23" t="s">
        <v>6026</v>
      </c>
      <c r="AP113" s="28" t="s">
        <v>5182</v>
      </c>
      <c r="AQ113" s="28" t="s">
        <v>6027</v>
      </c>
      <c r="AR113" s="23" t="s">
        <v>6028</v>
      </c>
      <c r="AS113" s="23"/>
      <c r="AT113" s="23"/>
      <c r="AU113" s="23"/>
      <c r="AV113" s="23"/>
    </row>
    <row r="114">
      <c r="A114" s="28" t="s">
        <v>5161</v>
      </c>
      <c r="B114" s="28" t="s">
        <v>5162</v>
      </c>
      <c r="C114" s="23" t="str">
        <f t="shared" si="1"/>
        <v>Zhihui Guo</v>
      </c>
      <c r="D114" s="28" t="s">
        <v>6029</v>
      </c>
      <c r="E114" s="28" t="s">
        <v>6030</v>
      </c>
      <c r="F114" s="23">
        <f t="array" ref="F114">IFERROR(
    INDEX('Hub Interns 226'!A:A, MATCH(C114, 'Hub Interns 226'!B:B, 0)),"")</f>
        <v>1258</v>
      </c>
      <c r="G114" s="23">
        <f t="array" ref="G114">IFERROR(
    INDEX('Hub Users 226'!A:A, MATCH(C114, 'Hub Users 226'!B:B, 0)),"")</f>
        <v>1691</v>
      </c>
      <c r="H114" s="28">
        <v>552.0</v>
      </c>
      <c r="I114" s="28" t="s">
        <v>1235</v>
      </c>
      <c r="J114" s="28" t="s">
        <v>5833</v>
      </c>
      <c r="K114" s="28" t="s">
        <v>5186</v>
      </c>
      <c r="L114" s="28" t="s">
        <v>5165</v>
      </c>
      <c r="M114" s="56" t="s">
        <v>6031</v>
      </c>
      <c r="N114" s="57">
        <v>44477.55486111111</v>
      </c>
      <c r="O114" s="58">
        <v>38326.0</v>
      </c>
      <c r="P114" s="28">
        <f t="shared" si="8"/>
        <v>21</v>
      </c>
      <c r="Q114" s="28" t="s">
        <v>240</v>
      </c>
      <c r="R114" s="28" t="s">
        <v>6032</v>
      </c>
      <c r="S114" s="28">
        <v>6.0</v>
      </c>
      <c r="T114" s="28">
        <v>16.0</v>
      </c>
      <c r="U114" s="28">
        <v>25.0</v>
      </c>
      <c r="V114" s="28">
        <v>20.0</v>
      </c>
      <c r="W114" s="28" t="s">
        <v>1173</v>
      </c>
      <c r="X114" s="28" t="s">
        <v>272</v>
      </c>
      <c r="Y114" s="28" t="s">
        <v>6033</v>
      </c>
      <c r="Z114" s="28" t="s">
        <v>5189</v>
      </c>
      <c r="AA114" s="28" t="s">
        <v>619</v>
      </c>
      <c r="AB114" s="28">
        <v>20.0</v>
      </c>
      <c r="AC114" s="28" t="s">
        <v>25</v>
      </c>
      <c r="AD114" s="23"/>
      <c r="AE114" s="28" t="s">
        <v>10</v>
      </c>
      <c r="AF114" s="23" t="str">
        <f>IFERROR(__xludf.DUMMYFUNCTION("TEXTJOIN("", "", TRUE,
  FILTER(Champions!C:C,
    ISNUMBER(SEARCH(C114, Champions!W:W))
  )
)"),"Nuoya Li, Priyanka Mara")</f>
        <v>Nuoya Li, Priyanka Mara</v>
      </c>
      <c r="AG114" s="23"/>
      <c r="AH114" s="23" t="str">
        <f>IFERROR(__xludf.DUMMYFUNCTION("IF(
ISNUMBER(MATCH(
C114,
IMPORTRANGE(""https://docs.google.com/spreadsheets/d/1yTh1ELC33JHYOeEdgIiEclxPRyh0zOKtlawDltfUay8"",""'Interns'!A:A""),
0
)),
""Outreach Conducted"",
"""")"),"")</f>
        <v/>
      </c>
      <c r="AI114" s="23"/>
      <c r="AJ114" s="23"/>
      <c r="AK114" s="23" t="str">
        <f>IFERROR(__xludf.DUMMYFUNCTION("XLOOKUP(C114, 
   IMPORTRANGE(""1RdEdgHYrZ33LJ7RUHj_h-qkAFL92bcVjtIdVa-UlsCw"", ""Interns!D:D""), 
   IMPORTRANGE(""1RdEdgHYrZ33LJ7RUHj_h-qkAFL92bcVjtIdVa-UlsCw"", ""Interns!M:M""), 
   ""Not Found"")"),"Contacted")</f>
        <v>Contacted</v>
      </c>
      <c r="AL114" s="23" t="str">
        <f>IFERROR(__xludf.DUMMYFUNCTION("XLOOKUP(C114, 
   IMPORTRANGE(""1RdEdgHYrZ33LJ7RUHj_h-qkAFL92bcVjtIdVa-UlsCw"", ""Interns!D:D""), 
   IMPORTRANGE(""1RdEdgHYrZ33LJ7RUHj_h-qkAFL92bcVjtIdVa-UlsCw"", ""Interns!N:N""), 
   ""Not Found"")"),"#Cheers4Careers")</f>
        <v>#Cheers4Careers</v>
      </c>
      <c r="AM114" s="23" t="str">
        <f>IFERROR(__xludf.DUMMYFUNCTION("XLOOKUP(C114, 
   IMPORTRANGE(""1RdEdgHYrZ33LJ7RUHj_h-qkAFL92bcVjtIdVa-UlsCw"", ""Interns!D:D""), 
   IMPORTRANGE(""1RdEdgHYrZ33LJ7RUHj_h-qkAFL92bcVjtIdVa-UlsCw"", ""Interns!O:O""), 
   ""Not Found"")"),"Hetal reached out by email 3/27 followed by text")</f>
        <v>Hetal reached out by email 3/27 followed by text</v>
      </c>
      <c r="AN114" s="23"/>
      <c r="AO114" s="23" t="s">
        <v>6034</v>
      </c>
      <c r="AP114" s="28" t="s">
        <v>5989</v>
      </c>
      <c r="AQ114" s="28" t="s">
        <v>6035</v>
      </c>
      <c r="AR114" s="23" t="s">
        <v>6033</v>
      </c>
      <c r="AS114" s="23"/>
      <c r="AT114" s="23"/>
      <c r="AU114" s="23"/>
      <c r="AV114" s="23"/>
    </row>
    <row r="115">
      <c r="A115" s="28" t="s">
        <v>5161</v>
      </c>
      <c r="B115" s="28" t="s">
        <v>5162</v>
      </c>
      <c r="C115" s="23" t="str">
        <f t="shared" si="1"/>
        <v>Siyan Wu</v>
      </c>
      <c r="D115" s="28" t="s">
        <v>6036</v>
      </c>
      <c r="E115" s="28" t="s">
        <v>4282</v>
      </c>
      <c r="F115" s="23">
        <f t="array" ref="F115">IFERROR(
    INDEX('Hub Interns 226'!A:A, MATCH(C115, 'Hub Interns 226'!B:B, 0)),"")</f>
        <v>1106</v>
      </c>
      <c r="G115" s="23">
        <f t="array" ref="G115">IFERROR(
    INDEX('Hub Users 226'!A:A, MATCH(C115, 'Hub Users 226'!B:B, 0)),"")</f>
        <v>1539</v>
      </c>
      <c r="H115" s="28">
        <v>560.0</v>
      </c>
      <c r="I115" s="28" t="s">
        <v>425</v>
      </c>
      <c r="J115" s="28" t="s">
        <v>5833</v>
      </c>
      <c r="K115" s="28" t="s">
        <v>5186</v>
      </c>
      <c r="L115" s="28" t="s">
        <v>5196</v>
      </c>
      <c r="M115" s="56" t="s">
        <v>6037</v>
      </c>
      <c r="N115" s="57">
        <v>44477.86041666667</v>
      </c>
      <c r="O115" s="58">
        <v>38493.0</v>
      </c>
      <c r="P115" s="28">
        <f t="shared" si="8"/>
        <v>20</v>
      </c>
      <c r="Q115" s="28" t="s">
        <v>240</v>
      </c>
      <c r="R115" s="28" t="s">
        <v>6038</v>
      </c>
      <c r="S115" s="28">
        <v>6.0</v>
      </c>
      <c r="T115" s="28">
        <v>16.0</v>
      </c>
      <c r="U115" s="28">
        <v>40.0</v>
      </c>
      <c r="V115" s="28">
        <v>19.0</v>
      </c>
      <c r="W115" s="28" t="s">
        <v>1173</v>
      </c>
      <c r="X115" s="28" t="s">
        <v>272</v>
      </c>
      <c r="Y115" s="28" t="s">
        <v>6039</v>
      </c>
      <c r="Z115" s="28" t="s">
        <v>5189</v>
      </c>
      <c r="AA115" s="28" t="s">
        <v>619</v>
      </c>
      <c r="AB115" s="28">
        <v>20.0</v>
      </c>
      <c r="AC115" s="28" t="s">
        <v>25</v>
      </c>
      <c r="AD115" s="23"/>
      <c r="AE115" s="28" t="s">
        <v>10</v>
      </c>
      <c r="AF115" s="23" t="str">
        <f>IFERROR(__xludf.DUMMYFUNCTION("TEXTJOIN("", "", TRUE,
  FILTER(Champions!C:C,
    ISNUMBER(SEARCH(C115, Champions!W:W))
  )
)"),"Debaleena Majumdar, Yodit Haile")</f>
        <v>Debaleena Majumdar, Yodit Haile</v>
      </c>
      <c r="AG115" s="23"/>
      <c r="AH115" s="23" t="str">
        <f>IFERROR(__xludf.DUMMYFUNCTION("IF(
ISNUMBER(MATCH(
C115,
IMPORTRANGE(""https://docs.google.com/spreadsheets/d/1yTh1ELC33JHYOeEdgIiEclxPRyh0zOKtlawDltfUay8"",""'Interns'!A:A""),
0
)),
""Outreach Conducted"",
"""")"),"")</f>
        <v/>
      </c>
      <c r="AI115" s="23"/>
      <c r="AJ115" s="23"/>
      <c r="AK115" s="23" t="str">
        <f>IFERROR(__xludf.DUMMYFUNCTION("XLOOKUP(C115, 
   IMPORTRANGE(""1RdEdgHYrZ33LJ7RUHj_h-qkAFL92bcVjtIdVa-UlsCw"", ""Interns!D:D""), 
   IMPORTRANGE(""1RdEdgHYrZ33LJ7RUHj_h-qkAFL92bcVjtIdVa-UlsCw"", ""Interns!M:M""), 
   ""Not Found"")"),"Contacted")</f>
        <v>Contacted</v>
      </c>
      <c r="AL115" s="23" t="str">
        <f>IFERROR(__xludf.DUMMYFUNCTION("XLOOKUP(C115, 
   IMPORTRANGE(""1RdEdgHYrZ33LJ7RUHj_h-qkAFL92bcVjtIdVa-UlsCw"", ""Interns!D:D""), 
   IMPORTRANGE(""1RdEdgHYrZ33LJ7RUHj_h-qkAFL92bcVjtIdVa-UlsCw"", ""Interns!N:N""), 
   ""Not Found"")"),"#Cheers4Careers")</f>
        <v>#Cheers4Careers</v>
      </c>
      <c r="AM115" s="23" t="str">
        <f>IFERROR(__xludf.DUMMYFUNCTION("XLOOKUP(C115, 
   IMPORTRANGE(""1RdEdgHYrZ33LJ7RUHj_h-qkAFL92bcVjtIdVa-UlsCw"", ""Interns!D:D""), 
   IMPORTRANGE(""1RdEdgHYrZ33LJ7RUHj_h-qkAFL92bcVjtIdVa-UlsCw"", ""Interns!O:O""), 
   ""Not Found"")"),"Hetal reached out by email 3/27 followed by text")</f>
        <v>Hetal reached out by email 3/27 followed by text</v>
      </c>
      <c r="AN115" s="23"/>
      <c r="AO115" s="23" t="s">
        <v>6040</v>
      </c>
      <c r="AP115" s="28" t="s">
        <v>5182</v>
      </c>
      <c r="AQ115" s="28" t="s">
        <v>6041</v>
      </c>
      <c r="AR115" s="23" t="s">
        <v>6042</v>
      </c>
      <c r="AS115" s="23"/>
      <c r="AT115" s="23"/>
      <c r="AU115" s="23"/>
      <c r="AV115" s="23"/>
    </row>
    <row r="116">
      <c r="A116" s="28" t="s">
        <v>5161</v>
      </c>
      <c r="B116" s="28" t="s">
        <v>5162</v>
      </c>
      <c r="C116" s="23" t="str">
        <f t="shared" si="1"/>
        <v>Zhihao Huang</v>
      </c>
      <c r="D116" s="28" t="s">
        <v>6043</v>
      </c>
      <c r="E116" s="28" t="s">
        <v>6014</v>
      </c>
      <c r="F116" s="23">
        <f t="array" ref="F116">IFERROR(
    INDEX('Hub Interns 226'!A:A, MATCH(C116, 'Hub Interns 226'!B:B, 0)),"")</f>
        <v>1257</v>
      </c>
      <c r="G116" s="23">
        <f t="array" ref="G116">IFERROR(
    INDEX('Hub Users 226'!A:A, MATCH(C116, 'Hub Users 226'!B:B, 0)),"")</f>
        <v>1690</v>
      </c>
      <c r="H116" s="28">
        <v>523.0</v>
      </c>
      <c r="I116" s="28" t="s">
        <v>608</v>
      </c>
      <c r="J116" s="28" t="s">
        <v>5833</v>
      </c>
      <c r="K116" s="28" t="s">
        <v>5186</v>
      </c>
      <c r="L116" s="28" t="s">
        <v>5165</v>
      </c>
      <c r="M116" s="56" t="s">
        <v>6044</v>
      </c>
      <c r="N116" s="57">
        <v>44476.66527777778</v>
      </c>
      <c r="O116" s="58">
        <v>38433.0</v>
      </c>
      <c r="P116" s="28">
        <f t="shared" si="8"/>
        <v>21</v>
      </c>
      <c r="Q116" s="28" t="s">
        <v>240</v>
      </c>
      <c r="R116" s="28" t="s">
        <v>6045</v>
      </c>
      <c r="S116" s="28">
        <v>6.0</v>
      </c>
      <c r="T116" s="28">
        <v>16.0</v>
      </c>
      <c r="U116" s="28">
        <v>40.0</v>
      </c>
      <c r="V116" s="28">
        <v>20.0</v>
      </c>
      <c r="W116" s="28" t="s">
        <v>1173</v>
      </c>
      <c r="X116" s="28" t="s">
        <v>272</v>
      </c>
      <c r="Y116" s="28" t="s">
        <v>6046</v>
      </c>
      <c r="Z116" s="28" t="s">
        <v>5189</v>
      </c>
      <c r="AA116" s="28" t="s">
        <v>619</v>
      </c>
      <c r="AB116" s="28">
        <v>20.0</v>
      </c>
      <c r="AC116" s="28" t="s">
        <v>25</v>
      </c>
      <c r="AD116" s="23"/>
      <c r="AE116" s="28" t="s">
        <v>10</v>
      </c>
      <c r="AF116" s="23" t="str">
        <f>IFERROR(__xludf.DUMMYFUNCTION("TEXTJOIN("", "", TRUE,
  FILTER(Champions!C:C,
    ISNUMBER(SEARCH(C116, Champions!W:W))
  )
)"),"Anne Tam, Jennifer Go")</f>
        <v>Anne Tam, Jennifer Go</v>
      </c>
      <c r="AG116" s="23"/>
      <c r="AH116" s="23" t="str">
        <f>IFERROR(__xludf.DUMMYFUNCTION("IF(
ISNUMBER(MATCH(
C116,
IMPORTRANGE(""https://docs.google.com/spreadsheets/d/1yTh1ELC33JHYOeEdgIiEclxPRyh0zOKtlawDltfUay8"",""'Interns'!A:A""),
0
)),
""Outreach Conducted"",
"""")"),"")</f>
        <v/>
      </c>
      <c r="AI116" s="23"/>
      <c r="AJ116" s="23"/>
      <c r="AK116" s="23" t="str">
        <f>IFERROR(__xludf.DUMMYFUNCTION("XLOOKUP(C116, 
   IMPORTRANGE(""1RdEdgHYrZ33LJ7RUHj_h-qkAFL92bcVjtIdVa-UlsCw"", ""Interns!D:D""), 
   IMPORTRANGE(""1RdEdgHYrZ33LJ7RUHj_h-qkAFL92bcVjtIdVa-UlsCw"", ""Interns!M:M""), 
   ""Not Found"")"),"In Communication")</f>
        <v>In Communication</v>
      </c>
      <c r="AL116" s="23" t="str">
        <f>IFERROR(__xludf.DUMMYFUNCTION("XLOOKUP(C116, 
   IMPORTRANGE(""1RdEdgHYrZ33LJ7RUHj_h-qkAFL92bcVjtIdVa-UlsCw"", ""Interns!D:D""), 
   IMPORTRANGE(""1RdEdgHYrZ33LJ7RUHj_h-qkAFL92bcVjtIdVa-UlsCw"", ""Interns!N:N""), 
   ""Not Found"")"),"#Cheers4Careers")</f>
        <v>#Cheers4Careers</v>
      </c>
      <c r="AM116" s="23" t="str">
        <f>IFERROR(__xludf.DUMMYFUNCTION("XLOOKUP(C116, 
   IMPORTRANGE(""1RdEdgHYrZ33LJ7RUHj_h-qkAFL92bcVjtIdVa-UlsCw"", ""Interns!D:D""), 
   IMPORTRANGE(""1RdEdgHYrZ33LJ7RUHj_h-qkAFL92bcVjtIdVa-UlsCw"", ""Interns!O:O""), 
   ""Not Found"")"),"Hetal reached out by email 3/27 followed by text and he responded saying he is at Binghamton for college -- can reach out for others. Tried to log into hub but change to his personal 
Hetal reached out on 4/10 by whatsapp for April 18th #Cheers4Careers")</f>
        <v>Hetal reached out by email 3/27 followed by text and he responded saying he is at Binghamton for college -- can reach out for others. Tried to log into hub but change to his personal 
Hetal reached out on 4/10 by whatsapp for April 18th #Cheers4Careers</v>
      </c>
      <c r="AN116" s="23"/>
      <c r="AO116" s="23" t="s">
        <v>6047</v>
      </c>
      <c r="AP116" s="28" t="s">
        <v>5182</v>
      </c>
      <c r="AQ116" s="28" t="s">
        <v>6044</v>
      </c>
      <c r="AR116" s="23" t="s">
        <v>6048</v>
      </c>
      <c r="AS116" s="23"/>
      <c r="AT116" s="23"/>
      <c r="AU116" s="23"/>
      <c r="AV116" s="23"/>
    </row>
    <row r="117">
      <c r="A117" s="28" t="s">
        <v>5161</v>
      </c>
      <c r="B117" s="28" t="s">
        <v>5162</v>
      </c>
      <c r="C117" s="23" t="str">
        <f t="shared" si="1"/>
        <v>Jingru Feng</v>
      </c>
      <c r="D117" s="28" t="s">
        <v>6049</v>
      </c>
      <c r="E117" s="28" t="s">
        <v>6050</v>
      </c>
      <c r="F117" s="23">
        <f t="array" ref="F117">IFERROR(
    INDEX('Hub Interns 226'!A:A, MATCH(C117, 'Hub Interns 226'!B:B, 0)),"")</f>
        <v>669</v>
      </c>
      <c r="G117" s="23">
        <f t="array" ref="G117">IFERROR(
    INDEX('Hub Users 226'!A:A, MATCH(C117, 'Hub Users 226'!B:B, 0)),"")</f>
        <v>1102</v>
      </c>
      <c r="H117" s="28">
        <v>627.0</v>
      </c>
      <c r="I117" s="28" t="s">
        <v>407</v>
      </c>
      <c r="J117" s="28" t="s">
        <v>5833</v>
      </c>
      <c r="K117" s="28" t="s">
        <v>5186</v>
      </c>
      <c r="L117" s="28" t="s">
        <v>5196</v>
      </c>
      <c r="M117" s="56" t="s">
        <v>6051</v>
      </c>
      <c r="N117" s="59">
        <v>44496.850694444445</v>
      </c>
      <c r="O117" s="58">
        <v>37930.0</v>
      </c>
      <c r="P117" s="28">
        <f t="shared" si="8"/>
        <v>22</v>
      </c>
      <c r="Q117" s="28" t="s">
        <v>240</v>
      </c>
      <c r="R117" s="28" t="s">
        <v>6052</v>
      </c>
      <c r="S117" s="28">
        <v>6.0</v>
      </c>
      <c r="T117" s="28">
        <v>16.0</v>
      </c>
      <c r="U117" s="28">
        <v>25.0</v>
      </c>
      <c r="V117" s="28">
        <v>20.0</v>
      </c>
      <c r="W117" s="28" t="s">
        <v>1173</v>
      </c>
      <c r="X117" s="28" t="s">
        <v>272</v>
      </c>
      <c r="Y117" s="28" t="s">
        <v>6053</v>
      </c>
      <c r="Z117" s="28" t="s">
        <v>5189</v>
      </c>
      <c r="AA117" s="28" t="s">
        <v>619</v>
      </c>
      <c r="AB117" s="28">
        <v>20.0</v>
      </c>
      <c r="AC117" s="28" t="s">
        <v>25</v>
      </c>
      <c r="AD117" s="23"/>
      <c r="AE117" s="28" t="s">
        <v>10</v>
      </c>
      <c r="AF117" s="23" t="str">
        <f>IFERROR(__xludf.DUMMYFUNCTION("TEXTJOIN("", "", TRUE,
  FILTER(Champions!C:C,
    ISNUMBER(SEARCH(C117, Champions!W:W))
  )
)"),"Elise George, Ping Wang")</f>
        <v>Elise George, Ping Wang</v>
      </c>
      <c r="AG117" s="23"/>
      <c r="AH117" s="23" t="str">
        <f>IFERROR(__xludf.DUMMYFUNCTION("IF(
ISNUMBER(MATCH(
C117,
IMPORTRANGE(""https://docs.google.com/spreadsheets/d/1yTh1ELC33JHYOeEdgIiEclxPRyh0zOKtlawDltfUay8"",""'Interns'!A:A""),
0
)),
""Outreach Conducted"",
"""")"),"")</f>
        <v/>
      </c>
      <c r="AI117" s="23"/>
      <c r="AJ117" s="23"/>
      <c r="AK117" s="23" t="str">
        <f>IFERROR(__xludf.DUMMYFUNCTION("XLOOKUP(C117, 
   IMPORTRANGE(""1RdEdgHYrZ33LJ7RUHj_h-qkAFL92bcVjtIdVa-UlsCw"", ""Interns!D:D""), 
   IMPORTRANGE(""1RdEdgHYrZ33LJ7RUHj_h-qkAFL92bcVjtIdVa-UlsCw"", ""Interns!M:M""), 
   ""Not Found"")"),"Contacted")</f>
        <v>Contacted</v>
      </c>
      <c r="AL117" s="23" t="str">
        <f>IFERROR(__xludf.DUMMYFUNCTION("XLOOKUP(C117, 
   IMPORTRANGE(""1RdEdgHYrZ33LJ7RUHj_h-qkAFL92bcVjtIdVa-UlsCw"", ""Interns!D:D""), 
   IMPORTRANGE(""1RdEdgHYrZ33LJ7RUHj_h-qkAFL92bcVjtIdVa-UlsCw"", ""Interns!N:N""), 
   ""Not Found"")"),"#Cheers4Careers")</f>
        <v>#Cheers4Careers</v>
      </c>
      <c r="AM117" s="23" t="str">
        <f>IFERROR(__xludf.DUMMYFUNCTION("XLOOKUP(C117, 
   IMPORTRANGE(""1RdEdgHYrZ33LJ7RUHj_h-qkAFL92bcVjtIdVa-UlsCw"", ""Interns!D:D""), 
   IMPORTRANGE(""1RdEdgHYrZ33LJ7RUHj_h-qkAFL92bcVjtIdVa-UlsCw"", ""Interns!O:O""), 
   ""Not Found"")"),"Hetal reached out by email 3/27 followed by text")</f>
        <v>Hetal reached out by email 3/27 followed by text</v>
      </c>
      <c r="AN117" s="23"/>
      <c r="AO117" s="23" t="s">
        <v>6054</v>
      </c>
      <c r="AP117" s="28" t="s">
        <v>5191</v>
      </c>
      <c r="AQ117" s="28" t="s">
        <v>6055</v>
      </c>
      <c r="AR117" s="23" t="s">
        <v>6056</v>
      </c>
      <c r="AS117" s="23"/>
      <c r="AT117" s="23"/>
      <c r="AU117" s="23"/>
      <c r="AV117" s="23"/>
    </row>
    <row r="118">
      <c r="A118" s="28" t="s">
        <v>5161</v>
      </c>
      <c r="B118" s="28" t="s">
        <v>5162</v>
      </c>
      <c r="C118" s="23" t="str">
        <f t="shared" si="1"/>
        <v>Edison Lam</v>
      </c>
      <c r="D118" s="28" t="s">
        <v>6057</v>
      </c>
      <c r="E118" s="28" t="s">
        <v>6058</v>
      </c>
      <c r="F118" s="23">
        <f t="array" ref="F118">IFERROR(
    INDEX('Hub Interns 226'!A:A, MATCH(C118, 'Hub Interns 226'!B:B, 0)),"")</f>
        <v>762</v>
      </c>
      <c r="G118" s="23">
        <f t="array" ref="G118">IFERROR(
    INDEX('Hub Users 226'!A:A, MATCH(C118, 'Hub Users 226'!B:B, 0)),"")</f>
        <v>1195</v>
      </c>
      <c r="H118" s="28">
        <v>620.0</v>
      </c>
      <c r="I118" s="28" t="s">
        <v>1235</v>
      </c>
      <c r="J118" s="28" t="s">
        <v>5833</v>
      </c>
      <c r="K118" s="28" t="s">
        <v>5186</v>
      </c>
      <c r="L118" s="28" t="s">
        <v>5165</v>
      </c>
      <c r="M118" s="56" t="s">
        <v>6059</v>
      </c>
      <c r="N118" s="59">
        <v>44495.55069444444</v>
      </c>
      <c r="O118" s="58">
        <v>38565.0</v>
      </c>
      <c r="P118" s="28">
        <f t="shared" si="8"/>
        <v>20</v>
      </c>
      <c r="Q118" s="28" t="s">
        <v>240</v>
      </c>
      <c r="R118" s="28" t="s">
        <v>6060</v>
      </c>
      <c r="S118" s="28">
        <v>6.0</v>
      </c>
      <c r="T118" s="28">
        <v>16.0</v>
      </c>
      <c r="U118" s="28">
        <v>25.0</v>
      </c>
      <c r="V118" s="28">
        <v>20.0</v>
      </c>
      <c r="W118" s="28" t="s">
        <v>1173</v>
      </c>
      <c r="X118" s="28" t="s">
        <v>272</v>
      </c>
      <c r="Y118" s="28" t="s">
        <v>6061</v>
      </c>
      <c r="Z118" s="28" t="s">
        <v>5189</v>
      </c>
      <c r="AA118" s="28" t="s">
        <v>619</v>
      </c>
      <c r="AB118" s="28">
        <v>20.0</v>
      </c>
      <c r="AC118" s="28" t="s">
        <v>25</v>
      </c>
      <c r="AD118" s="23"/>
      <c r="AE118" s="28" t="s">
        <v>10</v>
      </c>
      <c r="AF118" s="23" t="str">
        <f>IFERROR(__xludf.DUMMYFUNCTION("TEXTJOIN("", "", TRUE,
  FILTER(Champions!C:C,
    ISNUMBER(SEARCH(C118, Champions!W:W))
  )
)"),"Sharon Shi, Sandhya Jain-Patel")</f>
        <v>Sharon Shi, Sandhya Jain-Patel</v>
      </c>
      <c r="AG118" s="23"/>
      <c r="AH118" s="23" t="str">
        <f>IFERROR(__xludf.DUMMYFUNCTION("IF(
ISNUMBER(MATCH(
C118,
IMPORTRANGE(""https://docs.google.com/spreadsheets/d/1yTh1ELC33JHYOeEdgIiEclxPRyh0zOKtlawDltfUay8"",""'Interns'!A:A""),
0
)),
""Outreach Conducted"",
"""")"),"")</f>
        <v/>
      </c>
      <c r="AI118" s="23"/>
      <c r="AJ118" s="23"/>
      <c r="AK118" s="23" t="str">
        <f>IFERROR(__xludf.DUMMYFUNCTION("XLOOKUP(C118, 
   IMPORTRANGE(""1RdEdgHYrZ33LJ7RUHj_h-qkAFL92bcVjtIdVa-UlsCw"", ""Interns!D:D""), 
   IMPORTRANGE(""1RdEdgHYrZ33LJ7RUHj_h-qkAFL92bcVjtIdVa-UlsCw"", ""Interns!M:M""), 
   ""Not Found"")"),"Contacted")</f>
        <v>Contacted</v>
      </c>
      <c r="AL118" s="23" t="str">
        <f>IFERROR(__xludf.DUMMYFUNCTION("XLOOKUP(C118, 
   IMPORTRANGE(""1RdEdgHYrZ33LJ7RUHj_h-qkAFL92bcVjtIdVa-UlsCw"", ""Interns!D:D""), 
   IMPORTRANGE(""1RdEdgHYrZ33LJ7RUHj_h-qkAFL92bcVjtIdVa-UlsCw"", ""Interns!N:N""), 
   ""Not Found"")"),"#Cheers4Careers")</f>
        <v>#Cheers4Careers</v>
      </c>
      <c r="AM118" s="23" t="str">
        <f>IFERROR(__xludf.DUMMYFUNCTION("XLOOKUP(C118, 
   IMPORTRANGE(""1RdEdgHYrZ33LJ7RUHj_h-qkAFL92bcVjtIdVa-UlsCw"", ""Interns!D:D""), 
   IMPORTRANGE(""1RdEdgHYrZ33LJ7RUHj_h-qkAFL92bcVjtIdVa-UlsCw"", ""Interns!O:O""), 
   ""Not Found"")"),"Hetal reached out by email 3/27 followed by text")</f>
        <v>Hetal reached out by email 3/27 followed by text</v>
      </c>
      <c r="AN118" s="23"/>
      <c r="AO118" s="23" t="s">
        <v>6062</v>
      </c>
      <c r="AP118" s="28" t="s">
        <v>5191</v>
      </c>
      <c r="AQ118" s="28" t="s">
        <v>6059</v>
      </c>
      <c r="AR118" s="23" t="s">
        <v>6061</v>
      </c>
      <c r="AS118" s="23"/>
      <c r="AT118" s="23"/>
      <c r="AU118" s="23"/>
      <c r="AV118" s="23"/>
    </row>
    <row r="119">
      <c r="A119" s="28" t="s">
        <v>5202</v>
      </c>
      <c r="B119" s="28" t="s">
        <v>5162</v>
      </c>
      <c r="C119" s="23" t="str">
        <f t="shared" si="1"/>
        <v>JiaJing Li</v>
      </c>
      <c r="D119" s="28" t="s">
        <v>6063</v>
      </c>
      <c r="E119" s="28" t="s">
        <v>2714</v>
      </c>
      <c r="F119" s="23">
        <f t="array" ref="F119">IFERROR(
    INDEX('Hub Interns 226'!A:A, MATCH(C119, 'Hub Interns 226'!B:B, 0)),"")</f>
        <v>667</v>
      </c>
      <c r="G119" s="23">
        <f t="array" ref="G119">IFERROR(
    INDEX('Hub Users 226'!A:A, MATCH(C119, 'Hub Users 226'!B:B, 0)),"")</f>
        <v>1100</v>
      </c>
      <c r="H119" s="28">
        <v>526.0</v>
      </c>
      <c r="I119" s="28" t="s">
        <v>239</v>
      </c>
      <c r="J119" s="28" t="s">
        <v>5833</v>
      </c>
      <c r="K119" s="28" t="s">
        <v>5186</v>
      </c>
      <c r="L119" s="28" t="s">
        <v>5165</v>
      </c>
      <c r="M119" s="56" t="s">
        <v>6064</v>
      </c>
      <c r="N119" s="57">
        <v>44476.67569444444</v>
      </c>
      <c r="O119" s="58">
        <v>38121.0</v>
      </c>
      <c r="P119" s="28">
        <f t="shared" si="8"/>
        <v>22</v>
      </c>
      <c r="Q119" s="28" t="s">
        <v>6065</v>
      </c>
      <c r="R119" s="28" t="s">
        <v>6066</v>
      </c>
      <c r="S119" s="28">
        <v>14.0</v>
      </c>
      <c r="T119" s="28">
        <v>11.0</v>
      </c>
      <c r="U119" s="28">
        <v>27.0</v>
      </c>
      <c r="V119" s="28">
        <v>19.0</v>
      </c>
      <c r="W119" s="28" t="s">
        <v>1173</v>
      </c>
      <c r="X119" s="28" t="s">
        <v>272</v>
      </c>
      <c r="Y119" s="28" t="s">
        <v>6067</v>
      </c>
      <c r="Z119" s="28" t="s">
        <v>5189</v>
      </c>
      <c r="AA119" s="28" t="s">
        <v>619</v>
      </c>
      <c r="AB119" s="28">
        <v>20.0</v>
      </c>
      <c r="AC119" s="28" t="s">
        <v>25</v>
      </c>
      <c r="AD119" s="23"/>
      <c r="AE119" s="28" t="s">
        <v>10</v>
      </c>
      <c r="AF119" s="23" t="str">
        <f>IFERROR(__xludf.DUMMYFUNCTION("TEXTJOIN("", "", TRUE,
  FILTER(Champions!C:C,
    ISNUMBER(SEARCH(C119, Champions!W:W))
  )
)"),"Anne Tam, Dominique Kagele")</f>
        <v>Anne Tam, Dominique Kagele</v>
      </c>
      <c r="AG119" s="23"/>
      <c r="AH119" s="23" t="str">
        <f>IFERROR(__xludf.DUMMYFUNCTION("IF(
ISNUMBER(MATCH(
C119,
IMPORTRANGE(""https://docs.google.com/spreadsheets/d/1yTh1ELC33JHYOeEdgIiEclxPRyh0zOKtlawDltfUay8"",""'Interns'!A:A""),
0
)),
""Outreach Conducted"",
"""")"),"")</f>
        <v/>
      </c>
      <c r="AI119" s="23"/>
      <c r="AJ119" s="23"/>
      <c r="AK119" s="23" t="str">
        <f>IFERROR(__xludf.DUMMYFUNCTION("XLOOKUP(C119, 
   IMPORTRANGE(""1RdEdgHYrZ33LJ7RUHj_h-qkAFL92bcVjtIdVa-UlsCw"", ""Interns!D:D""), 
   IMPORTRANGE(""1RdEdgHYrZ33LJ7RUHj_h-qkAFL92bcVjtIdVa-UlsCw"", ""Interns!M:M""), 
   ""Not Found"")"),"")</f>
        <v/>
      </c>
      <c r="AL119" s="23" t="str">
        <f>IFERROR(__xludf.DUMMYFUNCTION("XLOOKUP(C119, 
   IMPORTRANGE(""1RdEdgHYrZ33LJ7RUHj_h-qkAFL92bcVjtIdVa-UlsCw"", ""Interns!D:D""), 
   IMPORTRANGE(""1RdEdgHYrZ33LJ7RUHj_h-qkAFL92bcVjtIdVa-UlsCw"", ""Interns!N:N""), 
   ""Not Found"")"),"")</f>
        <v/>
      </c>
      <c r="AM119" s="23" t="str">
        <f>IFERROR(__xludf.DUMMYFUNCTION("XLOOKUP(C119, 
   IMPORTRANGE(""1RdEdgHYrZ33LJ7RUHj_h-qkAFL92bcVjtIdVa-UlsCw"", ""Interns!D:D""), 
   IMPORTRANGE(""1RdEdgHYrZ33LJ7RUHj_h-qkAFL92bcVjtIdVa-UlsCw"", ""Interns!O:O""), 
   ""Not Found"")"),"")</f>
        <v/>
      </c>
      <c r="AN119" s="23"/>
      <c r="AO119" s="23" t="s">
        <v>6068</v>
      </c>
      <c r="AP119" s="28" t="s">
        <v>5641</v>
      </c>
      <c r="AQ119" s="28" t="s">
        <v>6069</v>
      </c>
      <c r="AR119" s="23" t="s">
        <v>6067</v>
      </c>
      <c r="AS119" s="23"/>
      <c r="AT119" s="23"/>
      <c r="AU119" s="23"/>
      <c r="AV119" s="23"/>
    </row>
    <row r="120">
      <c r="A120" s="28" t="s">
        <v>5202</v>
      </c>
      <c r="B120" s="28" t="s">
        <v>5162</v>
      </c>
      <c r="C120" s="23" t="str">
        <f t="shared" si="1"/>
        <v>Wanting Huang</v>
      </c>
      <c r="D120" s="28" t="s">
        <v>6070</v>
      </c>
      <c r="E120" s="28" t="s">
        <v>6014</v>
      </c>
      <c r="F120" s="23">
        <f t="array" ref="F120">IFERROR(
    INDEX('Hub Interns 226'!A:A, MATCH(C120, 'Hub Interns 226'!B:B, 0)),"")</f>
        <v>1181</v>
      </c>
      <c r="G120" s="23">
        <f t="array" ref="G120">IFERROR(
    INDEX('Hub Users 226'!A:A, MATCH(C120, 'Hub Users 226'!B:B, 0)),"")</f>
        <v>1614</v>
      </c>
      <c r="H120" s="28">
        <v>611.0</v>
      </c>
      <c r="I120" s="28" t="s">
        <v>407</v>
      </c>
      <c r="J120" s="28" t="s">
        <v>5833</v>
      </c>
      <c r="K120" s="28" t="s">
        <v>5186</v>
      </c>
      <c r="L120" s="28" t="s">
        <v>5196</v>
      </c>
      <c r="M120" s="56" t="s">
        <v>6071</v>
      </c>
      <c r="N120" s="59">
        <v>44490.67361111111</v>
      </c>
      <c r="O120" s="58">
        <v>37682.0</v>
      </c>
      <c r="P120" s="28">
        <f t="shared" si="8"/>
        <v>23</v>
      </c>
      <c r="Q120" s="28" t="s">
        <v>240</v>
      </c>
      <c r="R120" s="28" t="s">
        <v>6072</v>
      </c>
      <c r="S120" s="28">
        <v>6.0</v>
      </c>
      <c r="T120" s="28">
        <v>16.0</v>
      </c>
      <c r="U120" s="28">
        <v>25.0</v>
      </c>
      <c r="V120" s="28">
        <v>20.0</v>
      </c>
      <c r="W120" s="28" t="s">
        <v>1173</v>
      </c>
      <c r="X120" s="28" t="s">
        <v>272</v>
      </c>
      <c r="Y120" s="28" t="s">
        <v>6073</v>
      </c>
      <c r="Z120" s="28" t="s">
        <v>5189</v>
      </c>
      <c r="AA120" s="28" t="s">
        <v>619</v>
      </c>
      <c r="AB120" s="28">
        <v>20.0</v>
      </c>
      <c r="AC120" s="28" t="s">
        <v>25</v>
      </c>
      <c r="AD120" s="23"/>
      <c r="AE120" s="28" t="s">
        <v>10</v>
      </c>
      <c r="AF120" s="23" t="str">
        <f>IFERROR(__xludf.DUMMYFUNCTION("TEXTJOIN("", "", TRUE,
  FILTER(Champions!C:C,
    ISNUMBER(SEARCH(C120, Champions!W:W))
  )
)"),"Debaleena Majumdar, Francis Asprec")</f>
        <v>Debaleena Majumdar, Francis Asprec</v>
      </c>
      <c r="AG120" s="23"/>
      <c r="AH120" s="23" t="str">
        <f>IFERROR(__xludf.DUMMYFUNCTION("IF(
ISNUMBER(MATCH(
C120,
IMPORTRANGE(""https://docs.google.com/spreadsheets/d/1yTh1ELC33JHYOeEdgIiEclxPRyh0zOKtlawDltfUay8"",""'Interns'!A:A""),
0
)),
""Outreach Conducted"",
"""")"),"")</f>
        <v/>
      </c>
      <c r="AI120" s="23"/>
      <c r="AJ120" s="23"/>
      <c r="AK120" s="23" t="str">
        <f>IFERROR(__xludf.DUMMYFUNCTION("XLOOKUP(C120, 
   IMPORTRANGE(""1RdEdgHYrZ33LJ7RUHj_h-qkAFL92bcVjtIdVa-UlsCw"", ""Interns!D:D""), 
   IMPORTRANGE(""1RdEdgHYrZ33LJ7RUHj_h-qkAFL92bcVjtIdVa-UlsCw"", ""Interns!M:M""), 
   ""Not Found"")"),"")</f>
        <v/>
      </c>
      <c r="AL120" s="23" t="str">
        <f>IFERROR(__xludf.DUMMYFUNCTION("XLOOKUP(C120, 
   IMPORTRANGE(""1RdEdgHYrZ33LJ7RUHj_h-qkAFL92bcVjtIdVa-UlsCw"", ""Interns!D:D""), 
   IMPORTRANGE(""1RdEdgHYrZ33LJ7RUHj_h-qkAFL92bcVjtIdVa-UlsCw"", ""Interns!N:N""), 
   ""Not Found"")"),"")</f>
        <v/>
      </c>
      <c r="AM120" s="23" t="str">
        <f>IFERROR(__xludf.DUMMYFUNCTION("XLOOKUP(C120, 
   IMPORTRANGE(""1RdEdgHYrZ33LJ7RUHj_h-qkAFL92bcVjtIdVa-UlsCw"", ""Interns!D:D""), 
   IMPORTRANGE(""1RdEdgHYrZ33LJ7RUHj_h-qkAFL92bcVjtIdVa-UlsCw"", ""Interns!O:O""), 
   ""Not Found"")"),"")</f>
        <v/>
      </c>
      <c r="AN120" s="23"/>
      <c r="AO120" s="23" t="s">
        <v>6074</v>
      </c>
      <c r="AP120" s="28" t="s">
        <v>5182</v>
      </c>
      <c r="AQ120" s="28" t="s">
        <v>6075</v>
      </c>
      <c r="AR120" s="23" t="s">
        <v>6076</v>
      </c>
      <c r="AS120" s="23"/>
      <c r="AT120" s="23"/>
      <c r="AU120" s="23"/>
      <c r="AV120" s="23"/>
    </row>
    <row r="121">
      <c r="A121" s="28" t="s">
        <v>5161</v>
      </c>
      <c r="B121" s="28" t="s">
        <v>5162</v>
      </c>
      <c r="C121" s="23" t="str">
        <f t="shared" si="1"/>
        <v>Liuyi Qiu</v>
      </c>
      <c r="D121" s="28" t="s">
        <v>6077</v>
      </c>
      <c r="E121" s="28" t="s">
        <v>6078</v>
      </c>
      <c r="F121" s="23">
        <f t="array" ref="F121">IFERROR(
    INDEX('Hub Interns 226'!A:A, MATCH(C121, 'Hub Interns 226'!B:B, 0)),"")</f>
        <v>1002</v>
      </c>
      <c r="G121" s="23">
        <f t="array" ref="G121">IFERROR(
    INDEX('Hub Users 226'!A:A, MATCH(C121, 'Hub Users 226'!B:B, 0)),"")</f>
        <v>1435</v>
      </c>
      <c r="H121" s="28">
        <v>510.0</v>
      </c>
      <c r="I121" s="28" t="s">
        <v>407</v>
      </c>
      <c r="J121" s="28" t="s">
        <v>5833</v>
      </c>
      <c r="K121" s="28" t="s">
        <v>5186</v>
      </c>
      <c r="L121" s="28" t="s">
        <v>5165</v>
      </c>
      <c r="M121" s="56" t="s">
        <v>6079</v>
      </c>
      <c r="N121" s="57">
        <v>44476.64375</v>
      </c>
      <c r="O121" s="58">
        <v>38351.0</v>
      </c>
      <c r="P121" s="28">
        <f t="shared" si="8"/>
        <v>21</v>
      </c>
      <c r="Q121" s="28" t="s">
        <v>240</v>
      </c>
      <c r="R121" s="28" t="s">
        <v>6080</v>
      </c>
      <c r="S121" s="28">
        <v>6.0</v>
      </c>
      <c r="T121" s="28">
        <v>16.0</v>
      </c>
      <c r="U121" s="28">
        <v>40.0</v>
      </c>
      <c r="V121" s="28">
        <v>20.0</v>
      </c>
      <c r="W121" s="28" t="s">
        <v>1173</v>
      </c>
      <c r="X121" s="28" t="s">
        <v>272</v>
      </c>
      <c r="Y121" s="28" t="s">
        <v>6081</v>
      </c>
      <c r="Z121" s="28" t="s">
        <v>5189</v>
      </c>
      <c r="AA121" s="28" t="s">
        <v>619</v>
      </c>
      <c r="AB121" s="28">
        <v>20.0</v>
      </c>
      <c r="AC121" s="28" t="s">
        <v>25</v>
      </c>
      <c r="AD121" s="23"/>
      <c r="AE121" s="28" t="s">
        <v>10</v>
      </c>
      <c r="AF121" s="23" t="str">
        <f>IFERROR(__xludf.DUMMYFUNCTION("TEXTJOIN("", "", TRUE,
  FILTER(Champions!C:C,
    ISNUMBER(SEARCH(C121, Champions!W:W))
  )
)"),"Lindsay Katherine LoBello, Sunaina Mehta")</f>
        <v>Lindsay Katherine LoBello, Sunaina Mehta</v>
      </c>
      <c r="AG121" s="23"/>
      <c r="AH121" s="23" t="str">
        <f>IFERROR(__xludf.DUMMYFUNCTION("IF(
ISNUMBER(MATCH(
C121,
IMPORTRANGE(""https://docs.google.com/spreadsheets/d/1yTh1ELC33JHYOeEdgIiEclxPRyh0zOKtlawDltfUay8"",""'Interns'!A:A""),
0
)),
""Outreach Conducted"",
"""")"),"")</f>
        <v/>
      </c>
      <c r="AI121" s="23"/>
      <c r="AJ121" s="23"/>
      <c r="AK121" s="23" t="str">
        <f>IFERROR(__xludf.DUMMYFUNCTION("XLOOKUP(C121, 
   IMPORTRANGE(""1RdEdgHYrZ33LJ7RUHj_h-qkAFL92bcVjtIdVa-UlsCw"", ""Interns!D:D""), 
   IMPORTRANGE(""1RdEdgHYrZ33LJ7RUHj_h-qkAFL92bcVjtIdVa-UlsCw"", ""Interns!M:M""), 
   ""Not Found"")"),"Contacted")</f>
        <v>Contacted</v>
      </c>
      <c r="AL121" s="23" t="str">
        <f>IFERROR(__xludf.DUMMYFUNCTION("XLOOKUP(C121, 
   IMPORTRANGE(""1RdEdgHYrZ33LJ7RUHj_h-qkAFL92bcVjtIdVa-UlsCw"", ""Interns!D:D""), 
   IMPORTRANGE(""1RdEdgHYrZ33LJ7RUHj_h-qkAFL92bcVjtIdVa-UlsCw"", ""Interns!N:N""), 
   ""Not Found"")"),"#Cheers4Careers")</f>
        <v>#Cheers4Careers</v>
      </c>
      <c r="AM121" s="23" t="str">
        <f>IFERROR(__xludf.DUMMYFUNCTION("XLOOKUP(C121, 
   IMPORTRANGE(""1RdEdgHYrZ33LJ7RUHj_h-qkAFL92bcVjtIdVa-UlsCw"", ""Interns!D:D""), 
   IMPORTRANGE(""1RdEdgHYrZ33LJ7RUHj_h-qkAFL92bcVjtIdVa-UlsCw"", ""Interns!O:O""), 
   ""Not Found"")"),"Hetal reached out by email 3/27 followed by text")</f>
        <v>Hetal reached out by email 3/27 followed by text</v>
      </c>
      <c r="AN121" s="23"/>
      <c r="AO121" s="23" t="s">
        <v>6082</v>
      </c>
      <c r="AP121" s="28" t="s">
        <v>5182</v>
      </c>
      <c r="AQ121" s="28" t="s">
        <v>6079</v>
      </c>
      <c r="AR121" s="23" t="s">
        <v>6083</v>
      </c>
      <c r="AS121" s="23"/>
      <c r="AT121" s="23"/>
      <c r="AU121" s="23"/>
      <c r="AV121" s="23"/>
    </row>
    <row r="122">
      <c r="A122" s="28" t="s">
        <v>5161</v>
      </c>
      <c r="B122" s="28" t="s">
        <v>5162</v>
      </c>
      <c r="C122" s="23" t="str">
        <f t="shared" si="1"/>
        <v>Jiaying Zhu</v>
      </c>
      <c r="D122" s="28" t="s">
        <v>6084</v>
      </c>
      <c r="E122" s="28" t="s">
        <v>6085</v>
      </c>
      <c r="F122" s="23">
        <f t="array" ref="F122">IFERROR(
    INDEX('Hub Interns 226'!A:A, MATCH(C122, 'Hub Interns 226'!B:B, 0)),"")</f>
        <v>612</v>
      </c>
      <c r="G122" s="23">
        <f t="array" ref="G122">IFERROR(
    INDEX('Hub Users 226'!A:A, MATCH(C122, 'Hub Users 226'!B:B, 0)),"")</f>
        <v>1045</v>
      </c>
      <c r="H122" s="28">
        <v>356.0</v>
      </c>
      <c r="I122" s="28" t="s">
        <v>425</v>
      </c>
      <c r="J122" s="28" t="s">
        <v>5833</v>
      </c>
      <c r="K122" s="28" t="s">
        <v>5186</v>
      </c>
      <c r="L122" s="28" t="s">
        <v>5196</v>
      </c>
      <c r="M122" s="56" t="s">
        <v>6086</v>
      </c>
      <c r="N122" s="57">
        <v>44247.20277777778</v>
      </c>
      <c r="O122" s="58">
        <v>38039.0</v>
      </c>
      <c r="P122" s="28">
        <f t="shared" si="8"/>
        <v>22</v>
      </c>
      <c r="Q122" s="28" t="s">
        <v>6087</v>
      </c>
      <c r="R122" s="28" t="s">
        <v>6088</v>
      </c>
      <c r="S122" s="28">
        <v>3.0</v>
      </c>
      <c r="T122" s="28">
        <v>11.0</v>
      </c>
      <c r="U122" s="28">
        <v>40.0</v>
      </c>
      <c r="V122" s="28">
        <v>19.0</v>
      </c>
      <c r="W122" s="28" t="s">
        <v>1173</v>
      </c>
      <c r="X122" s="28" t="s">
        <v>272</v>
      </c>
      <c r="Y122" s="28" t="s">
        <v>6089</v>
      </c>
      <c r="Z122" s="28" t="s">
        <v>5189</v>
      </c>
      <c r="AA122" s="28" t="s">
        <v>619</v>
      </c>
      <c r="AB122" s="28">
        <v>20.0</v>
      </c>
      <c r="AC122" s="28" t="s">
        <v>25</v>
      </c>
      <c r="AD122" s="23"/>
      <c r="AE122" s="28" t="s">
        <v>8</v>
      </c>
      <c r="AF122" s="23" t="str">
        <f>IFERROR(__xludf.DUMMYFUNCTION("TEXTJOIN("", "", TRUE,
  FILTER(Champions!C:C,
    ISNUMBER(SEARCH(C122, Champions!W:W))
  )
)"),"Ashley Wu, Lily Chu")</f>
        <v>Ashley Wu, Lily Chu</v>
      </c>
      <c r="AG122" s="23"/>
      <c r="AH122" s="23" t="str">
        <f>IFERROR(__xludf.DUMMYFUNCTION("IF(
ISNUMBER(MATCH(
C122,
IMPORTRANGE(""https://docs.google.com/spreadsheets/d/1yTh1ELC33JHYOeEdgIiEclxPRyh0zOKtlawDltfUay8"",""'Interns'!A:A""),
0
)),
""Outreach Conducted"",
"""")"),"")</f>
        <v/>
      </c>
      <c r="AI122" s="23"/>
      <c r="AJ122" s="23"/>
      <c r="AK122" s="23" t="str">
        <f>IFERROR(__xludf.DUMMYFUNCTION("XLOOKUP(C122, 
   IMPORTRANGE(""1RdEdgHYrZ33LJ7RUHj_h-qkAFL92bcVjtIdVa-UlsCw"", ""Interns!D:D""), 
   IMPORTRANGE(""1RdEdgHYrZ33LJ7RUHj_h-qkAFL92bcVjtIdVa-UlsCw"", ""Interns!M:M""), 
   ""Not Found"")"),"Contacted")</f>
        <v>Contacted</v>
      </c>
      <c r="AL122" s="23" t="str">
        <f>IFERROR(__xludf.DUMMYFUNCTION("XLOOKUP(C122, 
   IMPORTRANGE(""1RdEdgHYrZ33LJ7RUHj_h-qkAFL92bcVjtIdVa-UlsCw"", ""Interns!D:D""), 
   IMPORTRANGE(""1RdEdgHYrZ33LJ7RUHj_h-qkAFL92bcVjtIdVa-UlsCw"", ""Interns!N:N""), 
   ""Not Found"")"),"#Cheers4Careers")</f>
        <v>#Cheers4Careers</v>
      </c>
      <c r="AM122" s="23" t="str">
        <f>IFERROR(__xludf.DUMMYFUNCTION("XLOOKUP(C122, 
   IMPORTRANGE(""1RdEdgHYrZ33LJ7RUHj_h-qkAFL92bcVjtIdVa-UlsCw"", ""Interns!D:D""), 
   IMPORTRANGE(""1RdEdgHYrZ33LJ7RUHj_h-qkAFL92bcVjtIdVa-UlsCw"", ""Interns!O:O""), 
   ""Not Found"")"),"Hetal reached out by email 3/27 followed by text")</f>
        <v>Hetal reached out by email 3/27 followed by text</v>
      </c>
      <c r="AN122" s="23"/>
      <c r="AO122" s="23" t="s">
        <v>6090</v>
      </c>
      <c r="AP122" s="28" t="s">
        <v>5908</v>
      </c>
      <c r="AQ122" s="28" t="s">
        <v>6091</v>
      </c>
      <c r="AR122" s="23" t="s">
        <v>6092</v>
      </c>
      <c r="AS122" s="23"/>
      <c r="AT122" s="23"/>
      <c r="AU122" s="23"/>
      <c r="AV122" s="23"/>
    </row>
    <row r="123">
      <c r="A123" s="28" t="s">
        <v>5202</v>
      </c>
      <c r="B123" s="28" t="s">
        <v>5162</v>
      </c>
      <c r="C123" s="23" t="str">
        <f t="shared" si="1"/>
        <v>Yuxin Gong</v>
      </c>
      <c r="D123" s="28" t="s">
        <v>6093</v>
      </c>
      <c r="E123" s="28" t="s">
        <v>6094</v>
      </c>
      <c r="F123" s="23">
        <f t="array" ref="F123">IFERROR(
    INDEX('Hub Interns 226'!A:A, MATCH(C123, 'Hub Interns 226'!B:B, 0)),"")</f>
        <v>533</v>
      </c>
      <c r="G123" s="23">
        <f t="array" ref="G123">IFERROR(
    INDEX('Hub Users 226'!A:A, MATCH(C123, 'Hub Users 226'!B:B, 0)),"")</f>
        <v>966</v>
      </c>
      <c r="H123" s="28">
        <v>945.0</v>
      </c>
      <c r="I123" s="28"/>
      <c r="J123" s="28" t="s">
        <v>5833</v>
      </c>
      <c r="K123" s="28" t="s">
        <v>5186</v>
      </c>
      <c r="L123" s="28" t="s">
        <v>5196</v>
      </c>
      <c r="M123" s="56" t="s">
        <v>6095</v>
      </c>
      <c r="N123" s="57">
        <v>44610.83819444444</v>
      </c>
      <c r="O123" s="58">
        <v>38762.0</v>
      </c>
      <c r="P123" s="28">
        <f t="shared" si="8"/>
        <v>20</v>
      </c>
      <c r="Q123" s="28" t="s">
        <v>6096</v>
      </c>
      <c r="R123" s="28" t="s">
        <v>6097</v>
      </c>
      <c r="S123" s="28">
        <v>6.0</v>
      </c>
      <c r="T123" s="28">
        <v>16.0</v>
      </c>
      <c r="U123" s="28">
        <v>40.0</v>
      </c>
      <c r="V123" s="28">
        <v>20.0</v>
      </c>
      <c r="W123" s="28" t="s">
        <v>1173</v>
      </c>
      <c r="X123" s="28" t="s">
        <v>272</v>
      </c>
      <c r="Y123" s="28" t="s">
        <v>6098</v>
      </c>
      <c r="Z123" s="28" t="s">
        <v>5189</v>
      </c>
      <c r="AA123" s="28" t="s">
        <v>619</v>
      </c>
      <c r="AB123" s="28">
        <v>20.0</v>
      </c>
      <c r="AC123" s="28" t="s">
        <v>24</v>
      </c>
      <c r="AD123" s="23"/>
      <c r="AE123" s="28" t="s">
        <v>10</v>
      </c>
      <c r="AF123" s="23"/>
      <c r="AG123" s="23"/>
      <c r="AH123" s="23" t="str">
        <f>IFERROR(__xludf.DUMMYFUNCTION("IF(
ISNUMBER(MATCH(
C123,
IMPORTRANGE(""https://docs.google.com/spreadsheets/d/1yTh1ELC33JHYOeEdgIiEclxPRyh0zOKtlawDltfUay8"",""'Interns'!A:A""),
0
)),
""Outreach Conducted"",
"""")"),"")</f>
        <v/>
      </c>
      <c r="AI123" s="23"/>
      <c r="AJ123" s="23"/>
      <c r="AK123" s="23" t="str">
        <f>IFERROR(__xludf.DUMMYFUNCTION("XLOOKUP(C123, 
   IMPORTRANGE(""1RdEdgHYrZ33LJ7RUHj_h-qkAFL92bcVjtIdVa-UlsCw"", ""Interns!D:D""), 
   IMPORTRANGE(""1RdEdgHYrZ33LJ7RUHj_h-qkAFL92bcVjtIdVa-UlsCw"", ""Interns!M:M""), 
   ""Not Found"")"),"")</f>
        <v/>
      </c>
      <c r="AL123" s="23" t="str">
        <f>IFERROR(__xludf.DUMMYFUNCTION("XLOOKUP(C123, 
   IMPORTRANGE(""1RdEdgHYrZ33LJ7RUHj_h-qkAFL92bcVjtIdVa-UlsCw"", ""Interns!D:D""), 
   IMPORTRANGE(""1RdEdgHYrZ33LJ7RUHj_h-qkAFL92bcVjtIdVa-UlsCw"", ""Interns!N:N""), 
   ""Not Found"")"),"")</f>
        <v/>
      </c>
      <c r="AM123" s="23" t="str">
        <f>IFERROR(__xludf.DUMMYFUNCTION("XLOOKUP(C123, 
   IMPORTRANGE(""1RdEdgHYrZ33LJ7RUHj_h-qkAFL92bcVjtIdVa-UlsCw"", ""Interns!D:D""), 
   IMPORTRANGE(""1RdEdgHYrZ33LJ7RUHj_h-qkAFL92bcVjtIdVa-UlsCw"", ""Interns!O:O""), 
   ""Not Found"")"),"")</f>
        <v/>
      </c>
      <c r="AN123" s="23"/>
      <c r="AO123" s="23" t="s">
        <v>6099</v>
      </c>
      <c r="AP123" s="28" t="s">
        <v>5173</v>
      </c>
      <c r="AQ123" s="28"/>
      <c r="AR123" s="23"/>
      <c r="AS123" s="23"/>
      <c r="AT123" s="23"/>
      <c r="AU123" s="23"/>
      <c r="AV123" s="23"/>
    </row>
    <row r="124">
      <c r="A124" s="28" t="s">
        <v>5161</v>
      </c>
      <c r="B124" s="28" t="s">
        <v>5162</v>
      </c>
      <c r="C124" s="23" t="str">
        <f t="shared" si="1"/>
        <v>Rongze Yu</v>
      </c>
      <c r="D124" s="28" t="s">
        <v>6100</v>
      </c>
      <c r="E124" s="28" t="s">
        <v>6101</v>
      </c>
      <c r="F124" s="23">
        <f t="array" ref="F124">IFERROR(
    INDEX('Hub Interns 226'!A:A, MATCH(C124, 'Hub Interns 226'!B:B, 0)),"")</f>
        <v>63</v>
      </c>
      <c r="G124" s="23">
        <f t="array" ref="G124">IFERROR(
    INDEX('Hub Users 226'!A:A, MATCH(C124, 'Hub Users 226'!B:B, 0)),"")</f>
        <v>496</v>
      </c>
      <c r="H124" s="28">
        <v>715.0</v>
      </c>
      <c r="I124" s="28" t="s">
        <v>239</v>
      </c>
      <c r="J124" s="28" t="s">
        <v>5833</v>
      </c>
      <c r="K124" s="28" t="s">
        <v>5186</v>
      </c>
      <c r="L124" s="28" t="s">
        <v>5165</v>
      </c>
      <c r="M124" s="56" t="s">
        <v>6102</v>
      </c>
      <c r="N124" s="59">
        <v>44547.64097222222</v>
      </c>
      <c r="O124" s="58">
        <v>37928.0</v>
      </c>
      <c r="P124" s="28">
        <f t="shared" si="8"/>
        <v>22</v>
      </c>
      <c r="Q124" s="28" t="s">
        <v>6103</v>
      </c>
      <c r="R124" s="28" t="s">
        <v>6104</v>
      </c>
      <c r="S124" s="28">
        <v>10.0</v>
      </c>
      <c r="T124" s="28">
        <v>27.0</v>
      </c>
      <c r="U124" s="28">
        <v>65.0</v>
      </c>
      <c r="V124" s="28">
        <v>33.0</v>
      </c>
      <c r="W124" s="28" t="s">
        <v>271</v>
      </c>
      <c r="X124" s="28" t="s">
        <v>272</v>
      </c>
      <c r="Y124" s="28" t="s">
        <v>6105</v>
      </c>
      <c r="Z124" s="28" t="s">
        <v>5259</v>
      </c>
      <c r="AA124" s="28" t="s">
        <v>704</v>
      </c>
      <c r="AB124" s="28">
        <v>2.0</v>
      </c>
      <c r="AC124" s="28" t="s">
        <v>25</v>
      </c>
      <c r="AD124" s="23"/>
      <c r="AE124" s="28" t="s">
        <v>10</v>
      </c>
      <c r="AF124" s="23" t="str">
        <f>IFERROR(__xludf.DUMMYFUNCTION("TEXTJOIN("", "", TRUE,
  FILTER(Champions!C:C,
    ISNUMBER(SEARCH(C124, Champions!W:W))
  )
)"),"Carmelo DeLeon, Benazir Fateh")</f>
        <v>Carmelo DeLeon, Benazir Fateh</v>
      </c>
      <c r="AG124" s="23"/>
      <c r="AH124" s="23" t="str">
        <f>IFERROR(__xludf.DUMMYFUNCTION("IF(
ISNUMBER(MATCH(
C124,
IMPORTRANGE(""https://docs.google.com/spreadsheets/d/1yTh1ELC33JHYOeEdgIiEclxPRyh0zOKtlawDltfUay8"",""'Interns'!A:A""),
0
)),
""Outreach Conducted"",
"""")"),"")</f>
        <v/>
      </c>
      <c r="AI124" s="23"/>
      <c r="AJ124" s="23"/>
      <c r="AK124" s="23" t="str">
        <f>IFERROR(__xludf.DUMMYFUNCTION("XLOOKUP(C124, 
   IMPORTRANGE(""1RdEdgHYrZ33LJ7RUHj_h-qkAFL92bcVjtIdVa-UlsCw"", ""Interns!D:D""), 
   IMPORTRANGE(""1RdEdgHYrZ33LJ7RUHj_h-qkAFL92bcVjtIdVa-UlsCw"", ""Interns!M:M""), 
   ""Not Found"")"),"")</f>
        <v/>
      </c>
      <c r="AL124" s="23" t="str">
        <f>IFERROR(__xludf.DUMMYFUNCTION("XLOOKUP(C124, 
   IMPORTRANGE(""1RdEdgHYrZ33LJ7RUHj_h-qkAFL92bcVjtIdVa-UlsCw"", ""Interns!D:D""), 
   IMPORTRANGE(""1RdEdgHYrZ33LJ7RUHj_h-qkAFL92bcVjtIdVa-UlsCw"", ""Interns!N:N""), 
   ""Not Found"")"),"")</f>
        <v/>
      </c>
      <c r="AM124" s="23" t="str">
        <f>IFERROR(__xludf.DUMMYFUNCTION("XLOOKUP(C124, 
   IMPORTRANGE(""1RdEdgHYrZ33LJ7RUHj_h-qkAFL92bcVjtIdVa-UlsCw"", ""Interns!D:D""), 
   IMPORTRANGE(""1RdEdgHYrZ33LJ7RUHj_h-qkAFL92bcVjtIdVa-UlsCw"", ""Interns!O:O""), 
   ""Not Found"")"),"")</f>
        <v/>
      </c>
      <c r="AN124" s="23"/>
      <c r="AO124" s="23" t="s">
        <v>6106</v>
      </c>
      <c r="AP124" s="28" t="s">
        <v>5240</v>
      </c>
      <c r="AQ124" s="28" t="s">
        <v>6107</v>
      </c>
      <c r="AR124" s="23" t="s">
        <v>6108</v>
      </c>
      <c r="AS124" s="23"/>
      <c r="AT124" s="23"/>
      <c r="AU124" s="23"/>
      <c r="AV124" s="23"/>
    </row>
    <row r="125">
      <c r="A125" s="28" t="s">
        <v>5161</v>
      </c>
      <c r="B125" s="28" t="s">
        <v>5162</v>
      </c>
      <c r="C125" s="23" t="str">
        <f t="shared" si="1"/>
        <v>Yongqiang Tan</v>
      </c>
      <c r="D125" s="28" t="s">
        <v>6109</v>
      </c>
      <c r="E125" s="28" t="s">
        <v>1819</v>
      </c>
      <c r="F125" s="23">
        <f t="array" ref="F125">IFERROR(
    INDEX('Hub Interns 226'!A:A, MATCH(C125, 'Hub Interns 226'!B:B, 0)),"")</f>
        <v>1210</v>
      </c>
      <c r="G125" s="23">
        <f t="array" ref="G125">IFERROR(
    INDEX('Hub Users 226'!A:A, MATCH(C125, 'Hub Users 226'!B:B, 0)),"")</f>
        <v>1643</v>
      </c>
      <c r="H125" s="28">
        <v>353.0</v>
      </c>
      <c r="I125" s="28" t="s">
        <v>239</v>
      </c>
      <c r="J125" s="28" t="s">
        <v>5833</v>
      </c>
      <c r="K125" s="28" t="s">
        <v>5186</v>
      </c>
      <c r="L125" s="28" t="s">
        <v>5165</v>
      </c>
      <c r="M125" s="56" t="s">
        <v>6110</v>
      </c>
      <c r="N125" s="57">
        <v>44246.64027777778</v>
      </c>
      <c r="O125" s="58">
        <v>37860.0</v>
      </c>
      <c r="P125" s="28">
        <f t="shared" si="8"/>
        <v>22</v>
      </c>
      <c r="Q125" s="28" t="s">
        <v>240</v>
      </c>
      <c r="R125" s="28" t="s">
        <v>6111</v>
      </c>
      <c r="S125" s="28">
        <v>6.0</v>
      </c>
      <c r="T125" s="28">
        <v>16.0</v>
      </c>
      <c r="U125" s="28">
        <v>25.0</v>
      </c>
      <c r="V125" s="28">
        <v>19.0</v>
      </c>
      <c r="W125" s="28" t="s">
        <v>1173</v>
      </c>
      <c r="X125" s="28" t="s">
        <v>272</v>
      </c>
      <c r="Y125" s="28" t="s">
        <v>6112</v>
      </c>
      <c r="Z125" s="28" t="s">
        <v>5189</v>
      </c>
      <c r="AA125" s="28" t="s">
        <v>619</v>
      </c>
      <c r="AB125" s="28">
        <v>20.0</v>
      </c>
      <c r="AC125" s="28" t="s">
        <v>25</v>
      </c>
      <c r="AD125" s="23"/>
      <c r="AE125" s="28" t="s">
        <v>8</v>
      </c>
      <c r="AF125" s="23" t="str">
        <f>IFERROR(__xludf.DUMMYFUNCTION("TEXTJOIN("", "", TRUE,
  FILTER(Champions!C:C,
    ISNUMBER(SEARCH(C125, Champions!W:W))
  )
)"),"Amy Sit, Jasmine Zheng")</f>
        <v>Amy Sit, Jasmine Zheng</v>
      </c>
      <c r="AG125" s="23"/>
      <c r="AH125" s="23" t="str">
        <f>IFERROR(__xludf.DUMMYFUNCTION("IF(
ISNUMBER(MATCH(
C125,
IMPORTRANGE(""https://docs.google.com/spreadsheets/d/1yTh1ELC33JHYOeEdgIiEclxPRyh0zOKtlawDltfUay8"",""'Interns'!A:A""),
0
)),
""Outreach Conducted"",
"""")"),"")</f>
        <v/>
      </c>
      <c r="AI125" s="23"/>
      <c r="AJ125" s="23"/>
      <c r="AK125" s="23" t="str">
        <f>IFERROR(__xludf.DUMMYFUNCTION("XLOOKUP(C125, 
   IMPORTRANGE(""1RdEdgHYrZ33LJ7RUHj_h-qkAFL92bcVjtIdVa-UlsCw"", ""Interns!D:D""), 
   IMPORTRANGE(""1RdEdgHYrZ33LJ7RUHj_h-qkAFL92bcVjtIdVa-UlsCw"", ""Interns!M:M""), 
   ""Not Found"")"),"Contacted")</f>
        <v>Contacted</v>
      </c>
      <c r="AL125" s="23" t="str">
        <f>IFERROR(__xludf.DUMMYFUNCTION("XLOOKUP(C125, 
   IMPORTRANGE(""1RdEdgHYrZ33LJ7RUHj_h-qkAFL92bcVjtIdVa-UlsCw"", ""Interns!D:D""), 
   IMPORTRANGE(""1RdEdgHYrZ33LJ7RUHj_h-qkAFL92bcVjtIdVa-UlsCw"", ""Interns!N:N""), 
   ""Not Found"")"),"#Cheers4Careers")</f>
        <v>#Cheers4Careers</v>
      </c>
      <c r="AM125" s="23" t="str">
        <f>IFERROR(__xludf.DUMMYFUNCTION("XLOOKUP(C125, 
   IMPORTRANGE(""1RdEdgHYrZ33LJ7RUHj_h-qkAFL92bcVjtIdVa-UlsCw"", ""Interns!D:D""), 
   IMPORTRANGE(""1RdEdgHYrZ33LJ7RUHj_h-qkAFL92bcVjtIdVa-UlsCw"", ""Interns!O:O""), 
   ""Not Found"")"),"Hetal reached out by email 3/27 followed by text")</f>
        <v>Hetal reached out by email 3/27 followed by text</v>
      </c>
      <c r="AN125" s="23"/>
      <c r="AO125" s="23" t="s">
        <v>6113</v>
      </c>
      <c r="AP125" s="28" t="s">
        <v>5182</v>
      </c>
      <c r="AQ125" s="28" t="s">
        <v>6114</v>
      </c>
      <c r="AR125" s="23" t="s">
        <v>6115</v>
      </c>
      <c r="AS125" s="23"/>
      <c r="AT125" s="23"/>
      <c r="AU125" s="23"/>
      <c r="AV125" s="23"/>
    </row>
    <row r="126">
      <c r="A126" s="28" t="s">
        <v>5161</v>
      </c>
      <c r="B126" s="28" t="s">
        <v>31</v>
      </c>
      <c r="C126" s="23" t="str">
        <f t="shared" si="1"/>
        <v>Fernanda Marte Vasquez</v>
      </c>
      <c r="D126" s="28" t="s">
        <v>3827</v>
      </c>
      <c r="E126" s="28" t="s">
        <v>6116</v>
      </c>
      <c r="F126" s="23">
        <f t="array" ref="F126">IFERROR(
    INDEX('Hub Interns 226'!A:A, MATCH(C126, 'Hub Interns 226'!B:B, 0)),"")</f>
        <v>523</v>
      </c>
      <c r="G126" s="23">
        <f t="array" ref="G126">IFERROR(
    INDEX('Hub Users 226'!A:A, MATCH(C126, 'Hub Users 226'!B:B, 0)),"")</f>
        <v>956</v>
      </c>
      <c r="H126" s="28">
        <v>318.0</v>
      </c>
      <c r="I126" s="28" t="s">
        <v>290</v>
      </c>
      <c r="J126" s="28"/>
      <c r="K126" s="28"/>
      <c r="L126" s="28" t="s">
        <v>5196</v>
      </c>
      <c r="M126" s="56" t="s">
        <v>6117</v>
      </c>
      <c r="N126" s="57">
        <v>44236.486805555556</v>
      </c>
      <c r="O126" s="58">
        <v>37766.0</v>
      </c>
      <c r="P126" s="28">
        <f t="shared" si="8"/>
        <v>22</v>
      </c>
      <c r="Q126" s="28" t="s">
        <v>6118</v>
      </c>
      <c r="R126" s="28" t="s">
        <v>6119</v>
      </c>
      <c r="S126" s="28"/>
      <c r="T126" s="28"/>
      <c r="U126" s="28"/>
      <c r="V126" s="28"/>
      <c r="W126" s="28" t="s">
        <v>859</v>
      </c>
      <c r="X126" s="28" t="s">
        <v>272</v>
      </c>
      <c r="Y126" s="28" t="s">
        <v>6120</v>
      </c>
      <c r="Z126" s="28" t="s">
        <v>5310</v>
      </c>
      <c r="AA126" s="28" t="s">
        <v>362</v>
      </c>
      <c r="AB126" s="28">
        <v>16.0</v>
      </c>
      <c r="AC126" s="28" t="s">
        <v>28</v>
      </c>
      <c r="AD126" s="23"/>
      <c r="AE126" s="28" t="s">
        <v>8</v>
      </c>
      <c r="AF126" s="23"/>
      <c r="AG126" s="23"/>
      <c r="AH126" s="23" t="str">
        <f>IFERROR(__xludf.DUMMYFUNCTION("IF(
ISNUMBER(MATCH(
C126,
IMPORTRANGE(""https://docs.google.com/spreadsheets/d/1yTh1ELC33JHYOeEdgIiEclxPRyh0zOKtlawDltfUay8"",""'Interns'!A:A""),
0
)),
""Outreach Conducted"",
"""")"),"")</f>
        <v/>
      </c>
      <c r="AI126" s="23"/>
      <c r="AJ126" s="28" t="s">
        <v>6121</v>
      </c>
      <c r="AK126" s="23" t="str">
        <f>IFERROR(__xludf.DUMMYFUNCTION("XLOOKUP(C126, 
   IMPORTRANGE(""1RdEdgHYrZ33LJ7RUHj_h-qkAFL92bcVjtIdVa-UlsCw"", ""Interns!D:D""), 
   IMPORTRANGE(""1RdEdgHYrZ33LJ7RUHj_h-qkAFL92bcVjtIdVa-UlsCw"", ""Interns!M:M""), 
   ""Not Found"")"),"")</f>
        <v/>
      </c>
      <c r="AL126" s="23" t="str">
        <f>IFERROR(__xludf.DUMMYFUNCTION("XLOOKUP(C126, 
   IMPORTRANGE(""1RdEdgHYrZ33LJ7RUHj_h-qkAFL92bcVjtIdVa-UlsCw"", ""Interns!D:D""), 
   IMPORTRANGE(""1RdEdgHYrZ33LJ7RUHj_h-qkAFL92bcVjtIdVa-UlsCw"", ""Interns!N:N""), 
   ""Not Found"")"),"")</f>
        <v/>
      </c>
      <c r="AM126" s="23" t="str">
        <f>IFERROR(__xludf.DUMMYFUNCTION("XLOOKUP(C126, 
   IMPORTRANGE(""1RdEdgHYrZ33LJ7RUHj_h-qkAFL92bcVjtIdVa-UlsCw"", ""Interns!D:D""), 
   IMPORTRANGE(""1RdEdgHYrZ33LJ7RUHj_h-qkAFL92bcVjtIdVa-UlsCw"", ""Interns!O:O""), 
   ""Not Found"")"),"")</f>
        <v/>
      </c>
      <c r="AN126" s="23"/>
      <c r="AO126" s="23" t="s">
        <v>6122</v>
      </c>
      <c r="AP126" s="28" t="s">
        <v>5191</v>
      </c>
      <c r="AQ126" s="28" t="s">
        <v>6123</v>
      </c>
      <c r="AR126" s="23" t="s">
        <v>6124</v>
      </c>
      <c r="AS126" s="23"/>
      <c r="AT126" s="23"/>
      <c r="AU126" s="23"/>
      <c r="AV126" s="23"/>
    </row>
    <row r="127">
      <c r="A127" s="28" t="s">
        <v>5202</v>
      </c>
      <c r="B127" s="28" t="s">
        <v>5162</v>
      </c>
      <c r="C127" s="23" t="str">
        <f t="shared" si="1"/>
        <v>Chuanxun Li</v>
      </c>
      <c r="D127" s="28" t="s">
        <v>6125</v>
      </c>
      <c r="E127" s="28" t="s">
        <v>2714</v>
      </c>
      <c r="F127" s="23">
        <f t="array" ref="F127">IFERROR(
    INDEX('Hub Interns 226'!A:A, MATCH(C127, 'Hub Interns 226'!B:B, 0)),"")</f>
        <v>371</v>
      </c>
      <c r="G127" s="23">
        <f t="array" ref="G127">IFERROR(
    INDEX('Hub Users 226'!A:A, MATCH(C127, 'Hub Users 226'!B:B, 0)),"")</f>
        <v>804</v>
      </c>
      <c r="H127" s="28">
        <v>598.0</v>
      </c>
      <c r="I127" s="28" t="s">
        <v>302</v>
      </c>
      <c r="J127" s="28" t="s">
        <v>5833</v>
      </c>
      <c r="K127" s="28" t="s">
        <v>5186</v>
      </c>
      <c r="L127" s="28" t="s">
        <v>5165</v>
      </c>
      <c r="M127" s="56" t="s">
        <v>6126</v>
      </c>
      <c r="N127" s="59">
        <v>44490.62708333333</v>
      </c>
      <c r="O127" s="58">
        <v>38235.0</v>
      </c>
      <c r="P127" s="28">
        <f t="shared" si="8"/>
        <v>21</v>
      </c>
      <c r="Q127" s="28" t="s">
        <v>240</v>
      </c>
      <c r="R127" s="28" t="s">
        <v>6127</v>
      </c>
      <c r="S127" s="28">
        <v>6.0</v>
      </c>
      <c r="T127" s="28">
        <v>16.0</v>
      </c>
      <c r="U127" s="28">
        <v>40.0</v>
      </c>
      <c r="V127" s="28">
        <v>20.0</v>
      </c>
      <c r="W127" s="28" t="s">
        <v>1173</v>
      </c>
      <c r="X127" s="28" t="s">
        <v>272</v>
      </c>
      <c r="Y127" s="28" t="s">
        <v>6128</v>
      </c>
      <c r="Z127" s="28" t="s">
        <v>5189</v>
      </c>
      <c r="AA127" s="28" t="s">
        <v>619</v>
      </c>
      <c r="AB127" s="28">
        <v>20.0</v>
      </c>
      <c r="AC127" s="28" t="s">
        <v>25</v>
      </c>
      <c r="AD127" s="23"/>
      <c r="AE127" s="28" t="s">
        <v>10</v>
      </c>
      <c r="AF127" s="23" t="str">
        <f>IFERROR(__xludf.DUMMYFUNCTION("TEXTJOIN("", "", TRUE,
  FILTER(Champions!C:C,
    ISNUMBER(SEARCH(C127, Champions!W:W))
  )
)"),"Joanne Hsu, Nuoya Li, Johnny Wang")</f>
        <v>Joanne Hsu, Nuoya Li, Johnny Wang</v>
      </c>
      <c r="AG127" s="23"/>
      <c r="AH127" s="23" t="str">
        <f>IFERROR(__xludf.DUMMYFUNCTION("IF(
ISNUMBER(MATCH(
C127,
IMPORTRANGE(""https://docs.google.com/spreadsheets/d/1yTh1ELC33JHYOeEdgIiEclxPRyh0zOKtlawDltfUay8"",""'Interns'!A:A""),
0
)),
""Outreach Conducted"",
"""")"),"")</f>
        <v/>
      </c>
      <c r="AI127" s="23"/>
      <c r="AJ127" s="23"/>
      <c r="AK127" s="23" t="str">
        <f>IFERROR(__xludf.DUMMYFUNCTION("XLOOKUP(C127, 
   IMPORTRANGE(""1RdEdgHYrZ33LJ7RUHj_h-qkAFL92bcVjtIdVa-UlsCw"", ""Interns!D:D""), 
   IMPORTRANGE(""1RdEdgHYrZ33LJ7RUHj_h-qkAFL92bcVjtIdVa-UlsCw"", ""Interns!M:M""), 
   ""Not Found"")"),"")</f>
        <v/>
      </c>
      <c r="AL127" s="23" t="str">
        <f>IFERROR(__xludf.DUMMYFUNCTION("XLOOKUP(C127, 
   IMPORTRANGE(""1RdEdgHYrZ33LJ7RUHj_h-qkAFL92bcVjtIdVa-UlsCw"", ""Interns!D:D""), 
   IMPORTRANGE(""1RdEdgHYrZ33LJ7RUHj_h-qkAFL92bcVjtIdVa-UlsCw"", ""Interns!N:N""), 
   ""Not Found"")"),"")</f>
        <v/>
      </c>
      <c r="AM127" s="23" t="str">
        <f>IFERROR(__xludf.DUMMYFUNCTION("XLOOKUP(C127, 
   IMPORTRANGE(""1RdEdgHYrZ33LJ7RUHj_h-qkAFL92bcVjtIdVa-UlsCw"", ""Interns!D:D""), 
   IMPORTRANGE(""1RdEdgHYrZ33LJ7RUHj_h-qkAFL92bcVjtIdVa-UlsCw"", ""Interns!O:O""), 
   ""Not Found"")"),"")</f>
        <v/>
      </c>
      <c r="AN127" s="23"/>
      <c r="AO127" s="23" t="s">
        <v>6129</v>
      </c>
      <c r="AP127" s="28" t="s">
        <v>5182</v>
      </c>
      <c r="AQ127" s="28" t="s">
        <v>6130</v>
      </c>
      <c r="AR127" s="23" t="s">
        <v>6128</v>
      </c>
      <c r="AS127" s="23"/>
      <c r="AT127" s="23"/>
      <c r="AU127" s="23"/>
      <c r="AV127" s="23"/>
    </row>
    <row r="128">
      <c r="A128" s="28" t="s">
        <v>5202</v>
      </c>
      <c r="B128" s="28" t="s">
        <v>5162</v>
      </c>
      <c r="C128" s="23" t="str">
        <f t="shared" si="1"/>
        <v>Chenghao Yang</v>
      </c>
      <c r="D128" s="28" t="s">
        <v>6131</v>
      </c>
      <c r="E128" s="28" t="s">
        <v>5832</v>
      </c>
      <c r="F128" s="23">
        <f t="array" ref="F128">IFERROR(
    INDEX('Hub Interns 226'!A:A, MATCH(C128, 'Hub Interns 226'!B:B, 0)),"")</f>
        <v>357</v>
      </c>
      <c r="G128" s="23">
        <f t="array" ref="G128">IFERROR(
    INDEX('Hub Users 226'!A:A, MATCH(C128, 'Hub Users 226'!B:B, 0)),"")</f>
        <v>790</v>
      </c>
      <c r="H128" s="28">
        <v>577.0</v>
      </c>
      <c r="I128" s="28" t="s">
        <v>269</v>
      </c>
      <c r="J128" s="28" t="s">
        <v>5833</v>
      </c>
      <c r="K128" s="28" t="s">
        <v>5186</v>
      </c>
      <c r="L128" s="28" t="s">
        <v>5165</v>
      </c>
      <c r="M128" s="56" t="s">
        <v>6132</v>
      </c>
      <c r="N128" s="59">
        <v>44481.552083333336</v>
      </c>
      <c r="O128" s="58">
        <v>38416.0</v>
      </c>
      <c r="P128" s="28">
        <f t="shared" si="8"/>
        <v>21</v>
      </c>
      <c r="Q128" s="28" t="s">
        <v>240</v>
      </c>
      <c r="R128" s="28" t="s">
        <v>6133</v>
      </c>
      <c r="S128" s="28">
        <v>6.0</v>
      </c>
      <c r="T128" s="28">
        <v>16.0</v>
      </c>
      <c r="U128" s="28">
        <v>40.0</v>
      </c>
      <c r="V128" s="28">
        <v>20.0</v>
      </c>
      <c r="W128" s="28" t="s">
        <v>1173</v>
      </c>
      <c r="X128" s="28" t="s">
        <v>272</v>
      </c>
      <c r="Y128" s="28" t="s">
        <v>6134</v>
      </c>
      <c r="Z128" s="28" t="s">
        <v>5189</v>
      </c>
      <c r="AA128" s="28" t="s">
        <v>619</v>
      </c>
      <c r="AB128" s="28">
        <v>20.0</v>
      </c>
      <c r="AC128" s="28" t="s">
        <v>25</v>
      </c>
      <c r="AD128" s="23"/>
      <c r="AE128" s="28" t="s">
        <v>10</v>
      </c>
      <c r="AF128" s="23" t="str">
        <f>IFERROR(__xludf.DUMMYFUNCTION("TEXTJOIN("", "", TRUE,
  FILTER(Champions!C:C,
    ISNUMBER(SEARCH(C128, Champions!W:W))
  )
)"),"Nuoya Li, Ping Wang")</f>
        <v>Nuoya Li, Ping Wang</v>
      </c>
      <c r="AG128" s="23"/>
      <c r="AH128" s="23" t="str">
        <f>IFERROR(__xludf.DUMMYFUNCTION("IF(
ISNUMBER(MATCH(
C128,
IMPORTRANGE(""https://docs.google.com/spreadsheets/d/1yTh1ELC33JHYOeEdgIiEclxPRyh0zOKtlawDltfUay8"",""'Interns'!A:A""),
0
)),
""Outreach Conducted"",
"""")"),"")</f>
        <v/>
      </c>
      <c r="AI128" s="23"/>
      <c r="AJ128" s="23"/>
      <c r="AK128" s="23" t="str">
        <f>IFERROR(__xludf.DUMMYFUNCTION("XLOOKUP(C128, 
   IMPORTRANGE(""1RdEdgHYrZ33LJ7RUHj_h-qkAFL92bcVjtIdVa-UlsCw"", ""Interns!D:D""), 
   IMPORTRANGE(""1RdEdgHYrZ33LJ7RUHj_h-qkAFL92bcVjtIdVa-UlsCw"", ""Interns!M:M""), 
   ""Not Found"")"),"")</f>
        <v/>
      </c>
      <c r="AL128" s="23" t="str">
        <f>IFERROR(__xludf.DUMMYFUNCTION("XLOOKUP(C128, 
   IMPORTRANGE(""1RdEdgHYrZ33LJ7RUHj_h-qkAFL92bcVjtIdVa-UlsCw"", ""Interns!D:D""), 
   IMPORTRANGE(""1RdEdgHYrZ33LJ7RUHj_h-qkAFL92bcVjtIdVa-UlsCw"", ""Interns!N:N""), 
   ""Not Found"")"),"")</f>
        <v/>
      </c>
      <c r="AM128" s="23" t="str">
        <f>IFERROR(__xludf.DUMMYFUNCTION("XLOOKUP(C128, 
   IMPORTRANGE(""1RdEdgHYrZ33LJ7RUHj_h-qkAFL92bcVjtIdVa-UlsCw"", ""Interns!D:D""), 
   IMPORTRANGE(""1RdEdgHYrZ33LJ7RUHj_h-qkAFL92bcVjtIdVa-UlsCw"", ""Interns!O:O""), 
   ""Not Found"")"),"")</f>
        <v/>
      </c>
      <c r="AN128" s="23"/>
      <c r="AO128" s="23" t="s">
        <v>6135</v>
      </c>
      <c r="AP128" s="28" t="s">
        <v>5182</v>
      </c>
      <c r="AQ128" s="28" t="s">
        <v>6136</v>
      </c>
      <c r="AR128" s="23" t="s">
        <v>6137</v>
      </c>
      <c r="AS128" s="23"/>
      <c r="AT128" s="23"/>
      <c r="AU128" s="23"/>
      <c r="AV128" s="23"/>
    </row>
    <row r="129">
      <c r="A129" s="28" t="s">
        <v>5161</v>
      </c>
      <c r="B129" s="28" t="s">
        <v>5162</v>
      </c>
      <c r="C129" s="23" t="str">
        <f t="shared" si="1"/>
        <v>Xuyuan Zhao</v>
      </c>
      <c r="D129" s="28" t="s">
        <v>6138</v>
      </c>
      <c r="E129" s="28" t="s">
        <v>6139</v>
      </c>
      <c r="F129" s="23">
        <f t="array" ref="F129">IFERROR(
    INDEX('Hub Interns 226'!A:A, MATCH(C129, 'Hub Interns 226'!B:B, 0)),"")</f>
        <v>72</v>
      </c>
      <c r="G129" s="23">
        <f t="array" ref="G129">IFERROR(
    INDEX('Hub Users 226'!A:A, MATCH(C129, 'Hub Users 226'!B:B, 0)),"")</f>
        <v>505</v>
      </c>
      <c r="H129" s="28">
        <v>712.0</v>
      </c>
      <c r="I129" s="28" t="s">
        <v>239</v>
      </c>
      <c r="J129" s="28" t="s">
        <v>5833</v>
      </c>
      <c r="K129" s="28" t="s">
        <v>5186</v>
      </c>
      <c r="L129" s="28" t="s">
        <v>5165</v>
      </c>
      <c r="M129" s="56" t="s">
        <v>6140</v>
      </c>
      <c r="N129" s="59">
        <v>44547.60486111111</v>
      </c>
      <c r="O129" s="58">
        <v>38191.0</v>
      </c>
      <c r="P129" s="28">
        <f t="shared" si="8"/>
        <v>21</v>
      </c>
      <c r="Q129" s="28" t="s">
        <v>240</v>
      </c>
      <c r="R129" s="28" t="s">
        <v>6141</v>
      </c>
      <c r="S129" s="28">
        <v>10.0</v>
      </c>
      <c r="T129" s="28">
        <v>27.0</v>
      </c>
      <c r="U129" s="28">
        <v>65.0</v>
      </c>
      <c r="V129" s="28">
        <v>1.0</v>
      </c>
      <c r="W129" s="28" t="s">
        <v>271</v>
      </c>
      <c r="X129" s="28" t="s">
        <v>272</v>
      </c>
      <c r="Y129" s="28" t="s">
        <v>6142</v>
      </c>
      <c r="Z129" s="28" t="s">
        <v>5259</v>
      </c>
      <c r="AA129" s="28" t="s">
        <v>704</v>
      </c>
      <c r="AB129" s="28">
        <v>2.0</v>
      </c>
      <c r="AC129" s="28" t="s">
        <v>25</v>
      </c>
      <c r="AD129" s="23"/>
      <c r="AE129" s="28" t="s">
        <v>10</v>
      </c>
      <c r="AF129" s="23" t="str">
        <f>IFERROR(__xludf.DUMMYFUNCTION("TEXTJOIN("", "", TRUE,
  FILTER(Champions!C:C,
    ISNUMBER(SEARCH(C129, Champions!W:W))
  )
)"),"Anna Butuzova, Benazir Fateh")</f>
        <v>Anna Butuzova, Benazir Fateh</v>
      </c>
      <c r="AG129" s="23"/>
      <c r="AH129" s="23" t="str">
        <f>IFERROR(__xludf.DUMMYFUNCTION("IF(
ISNUMBER(MATCH(
C129,
IMPORTRANGE(""https://docs.google.com/spreadsheets/d/1yTh1ELC33JHYOeEdgIiEclxPRyh0zOKtlawDltfUay8"",""'Interns'!A:A""),
0
)),
""Outreach Conducted"",
"""")"),"")</f>
        <v/>
      </c>
      <c r="AI129" s="23"/>
      <c r="AJ129" s="23"/>
      <c r="AK129" s="23" t="str">
        <f>IFERROR(__xludf.DUMMYFUNCTION("XLOOKUP(C129, 
   IMPORTRANGE(""1RdEdgHYrZ33LJ7RUHj_h-qkAFL92bcVjtIdVa-UlsCw"", ""Interns!D:D""), 
   IMPORTRANGE(""1RdEdgHYrZ33LJ7RUHj_h-qkAFL92bcVjtIdVa-UlsCw"", ""Interns!M:M""), 
   ""Not Found"")"),"")</f>
        <v/>
      </c>
      <c r="AL129" s="23" t="str">
        <f>IFERROR(__xludf.DUMMYFUNCTION("XLOOKUP(C129, 
   IMPORTRANGE(""1RdEdgHYrZ33LJ7RUHj_h-qkAFL92bcVjtIdVa-UlsCw"", ""Interns!D:D""), 
   IMPORTRANGE(""1RdEdgHYrZ33LJ7RUHj_h-qkAFL92bcVjtIdVa-UlsCw"", ""Interns!N:N""), 
   ""Not Found"")"),"")</f>
        <v/>
      </c>
      <c r="AM129" s="23" t="str">
        <f>IFERROR(__xludf.DUMMYFUNCTION("XLOOKUP(C129, 
   IMPORTRANGE(""1RdEdgHYrZ33LJ7RUHj_h-qkAFL92bcVjtIdVa-UlsCw"", ""Interns!D:D""), 
   IMPORTRANGE(""1RdEdgHYrZ33LJ7RUHj_h-qkAFL92bcVjtIdVa-UlsCw"", ""Interns!O:O""), 
   ""Not Found"")"),"")</f>
        <v/>
      </c>
      <c r="AN129" s="23"/>
      <c r="AO129" s="23" t="s">
        <v>6143</v>
      </c>
      <c r="AP129" s="28" t="s">
        <v>5191</v>
      </c>
      <c r="AQ129" s="28" t="s">
        <v>6144</v>
      </c>
      <c r="AR129" s="23" t="s">
        <v>6145</v>
      </c>
      <c r="AS129" s="23"/>
      <c r="AT129" s="23"/>
      <c r="AU129" s="23"/>
      <c r="AV129" s="23"/>
    </row>
    <row r="130">
      <c r="A130" s="28" t="s">
        <v>5161</v>
      </c>
      <c r="B130" s="28" t="s">
        <v>5162</v>
      </c>
      <c r="C130" s="23" t="str">
        <f t="shared" si="1"/>
        <v>Kaite Cai</v>
      </c>
      <c r="D130" s="28" t="s">
        <v>6146</v>
      </c>
      <c r="E130" s="28" t="s">
        <v>6147</v>
      </c>
      <c r="F130" s="23">
        <f t="array" ref="F130">IFERROR(
    INDEX('Hub Interns 226'!A:A, MATCH(C130, 'Hub Interns 226'!B:B, 0)),"")</f>
        <v>717</v>
      </c>
      <c r="G130" s="23">
        <f t="array" ref="G130">IFERROR(
    INDEX('Hub Users 226'!A:A, MATCH(C130, 'Hub Users 226'!B:B, 0)),"")</f>
        <v>1150</v>
      </c>
      <c r="H130" s="28">
        <v>532.0</v>
      </c>
      <c r="I130" s="28" t="s">
        <v>407</v>
      </c>
      <c r="J130" s="28" t="s">
        <v>5833</v>
      </c>
      <c r="K130" s="28" t="s">
        <v>5186</v>
      </c>
      <c r="L130" s="28" t="s">
        <v>5165</v>
      </c>
      <c r="M130" s="56" t="s">
        <v>6148</v>
      </c>
      <c r="N130" s="57">
        <v>44477.53125</v>
      </c>
      <c r="O130" s="58">
        <v>38562.0</v>
      </c>
      <c r="P130" s="28">
        <f t="shared" si="8"/>
        <v>20</v>
      </c>
      <c r="Q130" s="28" t="s">
        <v>240</v>
      </c>
      <c r="R130" s="28" t="s">
        <v>6149</v>
      </c>
      <c r="S130" s="28">
        <v>14.0</v>
      </c>
      <c r="T130" s="28">
        <v>11.0</v>
      </c>
      <c r="U130" s="28">
        <v>27.0</v>
      </c>
      <c r="V130" s="28">
        <v>19.0</v>
      </c>
      <c r="W130" s="28" t="s">
        <v>1173</v>
      </c>
      <c r="X130" s="28" t="s">
        <v>272</v>
      </c>
      <c r="Y130" s="28" t="s">
        <v>6150</v>
      </c>
      <c r="Z130" s="28" t="s">
        <v>5189</v>
      </c>
      <c r="AA130" s="28" t="s">
        <v>619</v>
      </c>
      <c r="AB130" s="28">
        <v>20.0</v>
      </c>
      <c r="AC130" s="28" t="s">
        <v>25</v>
      </c>
      <c r="AD130" s="23"/>
      <c r="AE130" s="28" t="s">
        <v>10</v>
      </c>
      <c r="AF130" s="23" t="str">
        <f>IFERROR(__xludf.DUMMYFUNCTION("TEXTJOIN("", "", TRUE,
  FILTER(Champions!C:C,
    ISNUMBER(SEARCH(C130, Champions!W:W))
  )
)"),"Rex Xiong, Dave Landa")</f>
        <v>Rex Xiong, Dave Landa</v>
      </c>
      <c r="AG130" s="23"/>
      <c r="AH130" s="23" t="str">
        <f>IFERROR(__xludf.DUMMYFUNCTION("IF(
ISNUMBER(MATCH(
C130,
IMPORTRANGE(""https://docs.google.com/spreadsheets/d/1yTh1ELC33JHYOeEdgIiEclxPRyh0zOKtlawDltfUay8"",""'Interns'!A:A""),
0
)),
""Outreach Conducted"",
"""")"),"")</f>
        <v/>
      </c>
      <c r="AI130" s="23"/>
      <c r="AJ130" s="23"/>
      <c r="AK130" s="23" t="str">
        <f>IFERROR(__xludf.DUMMYFUNCTION("XLOOKUP(C130, 
   IMPORTRANGE(""1RdEdgHYrZ33LJ7RUHj_h-qkAFL92bcVjtIdVa-UlsCw"", ""Interns!D:D""), 
   IMPORTRANGE(""1RdEdgHYrZ33LJ7RUHj_h-qkAFL92bcVjtIdVa-UlsCw"", ""Interns!M:M""), 
   ""Not Found"")"),"Contacted")</f>
        <v>Contacted</v>
      </c>
      <c r="AL130" s="23" t="str">
        <f>IFERROR(__xludf.DUMMYFUNCTION("XLOOKUP(C130, 
   IMPORTRANGE(""1RdEdgHYrZ33LJ7RUHj_h-qkAFL92bcVjtIdVa-UlsCw"", ""Interns!D:D""), 
   IMPORTRANGE(""1RdEdgHYrZ33LJ7RUHj_h-qkAFL92bcVjtIdVa-UlsCw"", ""Interns!N:N""), 
   ""Not Found"")"),"#Cheers4Careers")</f>
        <v>#Cheers4Careers</v>
      </c>
      <c r="AM130" s="23" t="str">
        <f>IFERROR(__xludf.DUMMYFUNCTION("XLOOKUP(C130, 
   IMPORTRANGE(""1RdEdgHYrZ33LJ7RUHj_h-qkAFL92bcVjtIdVa-UlsCw"", ""Interns!D:D""), 
   IMPORTRANGE(""1RdEdgHYrZ33LJ7RUHj_h-qkAFL92bcVjtIdVa-UlsCw"", ""Interns!O:O""), 
   ""Not Found"")"),"Hetal reached out by email 3/27 followed by text")</f>
        <v>Hetal reached out by email 3/27 followed by text</v>
      </c>
      <c r="AN130" s="23"/>
      <c r="AO130" s="23" t="s">
        <v>6151</v>
      </c>
      <c r="AP130" s="28" t="s">
        <v>5240</v>
      </c>
      <c r="AQ130" s="28" t="s">
        <v>6152</v>
      </c>
      <c r="AR130" s="23" t="s">
        <v>6153</v>
      </c>
      <c r="AS130" s="23"/>
      <c r="AT130" s="23"/>
      <c r="AU130" s="23"/>
      <c r="AV130" s="23"/>
    </row>
    <row r="131">
      <c r="A131" s="28" t="s">
        <v>5161</v>
      </c>
      <c r="B131" s="28" t="s">
        <v>5162</v>
      </c>
      <c r="C131" s="23" t="str">
        <f t="shared" si="1"/>
        <v>Yeling Lin</v>
      </c>
      <c r="D131" s="28" t="s">
        <v>6154</v>
      </c>
      <c r="E131" s="28" t="s">
        <v>5976</v>
      </c>
      <c r="F131" s="23">
        <f t="array" ref="F131">IFERROR(
    INDEX('Hub Interns 226'!A:A, MATCH(C131, 'Hub Interns 226'!B:B, 0)),"")</f>
        <v>1226</v>
      </c>
      <c r="G131" s="23">
        <f t="array" ref="G131">IFERROR(
    INDEX('Hub Users 226'!A:A, MATCH(C131, 'Hub Users 226'!B:B, 0)),"")</f>
        <v>1659</v>
      </c>
      <c r="H131" s="28">
        <v>544.0</v>
      </c>
      <c r="I131" s="28" t="s">
        <v>425</v>
      </c>
      <c r="J131" s="28" t="s">
        <v>5833</v>
      </c>
      <c r="K131" s="28" t="s">
        <v>5186</v>
      </c>
      <c r="L131" s="28" t="s">
        <v>5196</v>
      </c>
      <c r="M131" s="56" t="s">
        <v>6155</v>
      </c>
      <c r="N131" s="57">
        <v>44477.54791666667</v>
      </c>
      <c r="O131" s="58">
        <v>38428.0</v>
      </c>
      <c r="P131" s="28">
        <f t="shared" si="8"/>
        <v>21</v>
      </c>
      <c r="Q131" s="28" t="s">
        <v>6156</v>
      </c>
      <c r="R131" s="28" t="s">
        <v>6157</v>
      </c>
      <c r="S131" s="28">
        <v>6.0</v>
      </c>
      <c r="T131" s="28">
        <v>16.0</v>
      </c>
      <c r="U131" s="28">
        <v>40.0</v>
      </c>
      <c r="V131" s="28">
        <v>20.0</v>
      </c>
      <c r="W131" s="28" t="s">
        <v>1173</v>
      </c>
      <c r="X131" s="28" t="s">
        <v>272</v>
      </c>
      <c r="Y131" s="28" t="s">
        <v>6158</v>
      </c>
      <c r="Z131" s="28" t="s">
        <v>5189</v>
      </c>
      <c r="AA131" s="28" t="s">
        <v>619</v>
      </c>
      <c r="AB131" s="28">
        <v>20.0</v>
      </c>
      <c r="AC131" s="28" t="s">
        <v>25</v>
      </c>
      <c r="AD131" s="23"/>
      <c r="AE131" s="28" t="s">
        <v>10</v>
      </c>
      <c r="AF131" s="23" t="str">
        <f>IFERROR(__xludf.DUMMYFUNCTION("TEXTJOIN("", "", TRUE,
  FILTER(Champions!C:C,
    ISNUMBER(SEARCH(C131, Champions!W:W))
  )
)"),"Annie Camey Kuo, Dave Landa")</f>
        <v>Annie Camey Kuo, Dave Landa</v>
      </c>
      <c r="AG131" s="23"/>
      <c r="AH131" s="23" t="str">
        <f>IFERROR(__xludf.DUMMYFUNCTION("IF(
ISNUMBER(MATCH(
C131,
IMPORTRANGE(""https://docs.google.com/spreadsheets/d/1yTh1ELC33JHYOeEdgIiEclxPRyh0zOKtlawDltfUay8"",""'Interns'!A:A""),
0
)),
""Outreach Conducted"",
"""")"),"")</f>
        <v/>
      </c>
      <c r="AI131" s="23"/>
      <c r="AJ131" s="23"/>
      <c r="AK131" s="23" t="str">
        <f>IFERROR(__xludf.DUMMYFUNCTION("XLOOKUP(C131, 
   IMPORTRANGE(""1RdEdgHYrZ33LJ7RUHj_h-qkAFL92bcVjtIdVa-UlsCw"", ""Interns!D:D""), 
   IMPORTRANGE(""1RdEdgHYrZ33LJ7RUHj_h-qkAFL92bcVjtIdVa-UlsCw"", ""Interns!M:M""), 
   ""Not Found"")"),"Contacted")</f>
        <v>Contacted</v>
      </c>
      <c r="AL131" s="23" t="str">
        <f>IFERROR(__xludf.DUMMYFUNCTION("XLOOKUP(C131, 
   IMPORTRANGE(""1RdEdgHYrZ33LJ7RUHj_h-qkAFL92bcVjtIdVa-UlsCw"", ""Interns!D:D""), 
   IMPORTRANGE(""1RdEdgHYrZ33LJ7RUHj_h-qkAFL92bcVjtIdVa-UlsCw"", ""Interns!N:N""), 
   ""Not Found"")"),"#Cheers4Careers")</f>
        <v>#Cheers4Careers</v>
      </c>
      <c r="AM131" s="23" t="str">
        <f>IFERROR(__xludf.DUMMYFUNCTION("XLOOKUP(C131, 
   IMPORTRANGE(""1RdEdgHYrZ33LJ7RUHj_h-qkAFL92bcVjtIdVa-UlsCw"", ""Interns!D:D""), 
   IMPORTRANGE(""1RdEdgHYrZ33LJ7RUHj_h-qkAFL92bcVjtIdVa-UlsCw"", ""Interns!O:O""), 
   ""Not Found"")"),"Hetal reached out by email 3/27 followed by text")</f>
        <v>Hetal reached out by email 3/27 followed by text</v>
      </c>
      <c r="AN131" s="23"/>
      <c r="AO131" s="23" t="s">
        <v>6159</v>
      </c>
      <c r="AP131" s="28" t="s">
        <v>5182</v>
      </c>
      <c r="AQ131" s="28" t="s">
        <v>6160</v>
      </c>
      <c r="AR131" s="23" t="s">
        <v>6161</v>
      </c>
      <c r="AS131" s="23"/>
      <c r="AT131" s="23"/>
      <c r="AU131" s="23"/>
      <c r="AV131" s="23"/>
    </row>
    <row r="132">
      <c r="A132" s="28" t="s">
        <v>5161</v>
      </c>
      <c r="B132" s="28" t="s">
        <v>5162</v>
      </c>
      <c r="C132" s="23" t="str">
        <f t="shared" si="1"/>
        <v>Hanbin Wan</v>
      </c>
      <c r="D132" s="28" t="s">
        <v>6162</v>
      </c>
      <c r="E132" s="28" t="s">
        <v>6163</v>
      </c>
      <c r="F132" s="23">
        <f t="array" ref="F132">IFERROR(
    INDEX('Hub Interns 226'!A:A, MATCH(C132, 'Hub Interns 226'!B:B, 0)),"")</f>
        <v>565</v>
      </c>
      <c r="G132" s="23">
        <f t="array" ref="G132">IFERROR(
    INDEX('Hub Users 226'!A:A, MATCH(C132, 'Hub Users 226'!B:B, 0)),"")</f>
        <v>998</v>
      </c>
      <c r="H132" s="28">
        <v>337.0</v>
      </c>
      <c r="I132" s="28" t="s">
        <v>407</v>
      </c>
      <c r="J132" s="28" t="s">
        <v>5833</v>
      </c>
      <c r="K132" s="28" t="s">
        <v>5186</v>
      </c>
      <c r="L132" s="28" t="s">
        <v>5165</v>
      </c>
      <c r="M132" s="56" t="s">
        <v>6164</v>
      </c>
      <c r="N132" s="57">
        <v>44243.470138888886</v>
      </c>
      <c r="O132" s="58">
        <v>37090.0</v>
      </c>
      <c r="P132" s="28">
        <f t="shared" si="8"/>
        <v>24</v>
      </c>
      <c r="Q132" s="28" t="s">
        <v>6165</v>
      </c>
      <c r="R132" s="28" t="s">
        <v>6166</v>
      </c>
      <c r="S132" s="28">
        <v>6.0</v>
      </c>
      <c r="T132" s="28">
        <v>16.0</v>
      </c>
      <c r="U132" s="28">
        <v>40.0</v>
      </c>
      <c r="V132" s="28">
        <v>20.0</v>
      </c>
      <c r="W132" s="28" t="s">
        <v>1173</v>
      </c>
      <c r="X132" s="28" t="s">
        <v>272</v>
      </c>
      <c r="Y132" s="28" t="s">
        <v>6167</v>
      </c>
      <c r="Z132" s="28" t="s">
        <v>5189</v>
      </c>
      <c r="AA132" s="28" t="s">
        <v>619</v>
      </c>
      <c r="AB132" s="28">
        <v>20.0</v>
      </c>
      <c r="AC132" s="28" t="s">
        <v>25</v>
      </c>
      <c r="AD132" s="28" t="s">
        <v>101</v>
      </c>
      <c r="AE132" s="28" t="s">
        <v>8</v>
      </c>
      <c r="AF132" s="23" t="str">
        <f>IFERROR(__xludf.DUMMYFUNCTION("TEXTJOIN("", "", TRUE,
  FILTER(Champions!C:C,
    ISNUMBER(SEARCH(C132, Champions!W:W))
  )
)"),"Olga Patel, Ashley Wu")</f>
        <v>Olga Patel, Ashley Wu</v>
      </c>
      <c r="AG132" s="23"/>
      <c r="AH132" s="23" t="str">
        <f>IFERROR(__xludf.DUMMYFUNCTION("IF(
ISNUMBER(MATCH(
C132,
IMPORTRANGE(""https://docs.google.com/spreadsheets/d/1yTh1ELC33JHYOeEdgIiEclxPRyh0zOKtlawDltfUay8"",""'Interns'!A:A""),
0
)),
""Outreach Conducted"",
"""")"),"")</f>
        <v/>
      </c>
      <c r="AI132" s="23"/>
      <c r="AJ132" s="23"/>
      <c r="AK132" s="23" t="str">
        <f>IFERROR(__xludf.DUMMYFUNCTION("XLOOKUP(C132, 
   IMPORTRANGE(""1RdEdgHYrZ33LJ7RUHj_h-qkAFL92bcVjtIdVa-UlsCw"", ""Interns!D:D""), 
   IMPORTRANGE(""1RdEdgHYrZ33LJ7RUHj_h-qkAFL92bcVjtIdVa-UlsCw"", ""Interns!M:M""), 
   ""Not Found"")"),"Contacted")</f>
        <v>Contacted</v>
      </c>
      <c r="AL132" s="23" t="str">
        <f>IFERROR(__xludf.DUMMYFUNCTION("XLOOKUP(C132, 
   IMPORTRANGE(""1RdEdgHYrZ33LJ7RUHj_h-qkAFL92bcVjtIdVa-UlsCw"", ""Interns!D:D""), 
   IMPORTRANGE(""1RdEdgHYrZ33LJ7RUHj_h-qkAFL92bcVjtIdVa-UlsCw"", ""Interns!N:N""), 
   ""Not Found"")"),"#Cheers4Careers")</f>
        <v>#Cheers4Careers</v>
      </c>
      <c r="AM132" s="23" t="str">
        <f>IFERROR(__xludf.DUMMYFUNCTION("XLOOKUP(C132, 
   IMPORTRANGE(""1RdEdgHYrZ33LJ7RUHj_h-qkAFL92bcVjtIdVa-UlsCw"", ""Interns!D:D""), 
   IMPORTRANGE(""1RdEdgHYrZ33LJ7RUHj_h-qkAFL92bcVjtIdVa-UlsCw"", ""Interns!O:O""), 
   ""Not Found"")"),"Hetal reached out by email 3/27 followed by text")</f>
        <v>Hetal reached out by email 3/27 followed by text</v>
      </c>
      <c r="AN132" s="23"/>
      <c r="AO132" s="23" t="s">
        <v>6168</v>
      </c>
      <c r="AP132" s="28" t="s">
        <v>5182</v>
      </c>
      <c r="AQ132" s="28" t="s">
        <v>6169</v>
      </c>
      <c r="AR132" s="23" t="s">
        <v>6170</v>
      </c>
      <c r="AS132" s="23"/>
      <c r="AT132" s="23"/>
      <c r="AU132" s="23"/>
      <c r="AV132" s="23"/>
    </row>
    <row r="133">
      <c r="A133" s="28" t="s">
        <v>5161</v>
      </c>
      <c r="B133" s="28" t="s">
        <v>5162</v>
      </c>
      <c r="C133" s="23" t="str">
        <f t="shared" si="1"/>
        <v>Longyu Lin</v>
      </c>
      <c r="D133" s="28" t="s">
        <v>6171</v>
      </c>
      <c r="E133" s="28" t="s">
        <v>5976</v>
      </c>
      <c r="F133" s="23">
        <f t="array" ref="F133">IFERROR(
    INDEX('Hub Interns 226'!A:A, MATCH(C133, 'Hub Interns 226'!B:B, 0)),"")</f>
        <v>791</v>
      </c>
      <c r="G133" s="23">
        <f t="array" ref="G133">IFERROR(
    INDEX('Hub Users 226'!A:A, MATCH(C133, 'Hub Users 226'!B:B, 0)),"")</f>
        <v>1224</v>
      </c>
      <c r="H133" s="28">
        <v>546.0</v>
      </c>
      <c r="I133" s="28" t="s">
        <v>1235</v>
      </c>
      <c r="J133" s="28" t="s">
        <v>5833</v>
      </c>
      <c r="K133" s="28" t="s">
        <v>5186</v>
      </c>
      <c r="L133" s="28" t="s">
        <v>5165</v>
      </c>
      <c r="M133" s="56" t="s">
        <v>6172</v>
      </c>
      <c r="N133" s="57">
        <v>44477.55069444444</v>
      </c>
      <c r="O133" s="58">
        <v>38327.0</v>
      </c>
      <c r="P133" s="28">
        <f t="shared" si="8"/>
        <v>21</v>
      </c>
      <c r="Q133" s="28" t="s">
        <v>240</v>
      </c>
      <c r="R133" s="28" t="s">
        <v>6173</v>
      </c>
      <c r="S133" s="28">
        <v>6.0</v>
      </c>
      <c r="T133" s="28">
        <v>16.0</v>
      </c>
      <c r="U133" s="28">
        <v>40.0</v>
      </c>
      <c r="V133" s="28">
        <v>20.0</v>
      </c>
      <c r="W133" s="28" t="s">
        <v>1173</v>
      </c>
      <c r="X133" s="28" t="s">
        <v>272</v>
      </c>
      <c r="Y133" s="28" t="s">
        <v>6174</v>
      </c>
      <c r="Z133" s="28" t="s">
        <v>5189</v>
      </c>
      <c r="AA133" s="28" t="s">
        <v>619</v>
      </c>
      <c r="AB133" s="28">
        <v>20.0</v>
      </c>
      <c r="AC133" s="28" t="s">
        <v>25</v>
      </c>
      <c r="AD133" s="23"/>
      <c r="AE133" s="28" t="s">
        <v>10</v>
      </c>
      <c r="AF133" s="23" t="str">
        <f>IFERROR(__xludf.DUMMYFUNCTION("TEXTJOIN("", "", TRUE,
  FILTER(Champions!C:C,
    ISNUMBER(SEARCH(C133, Champions!W:W))
  )
)"),"Francis Asprec, Sandhya Jain-Patel")</f>
        <v>Francis Asprec, Sandhya Jain-Patel</v>
      </c>
      <c r="AG133" s="23"/>
      <c r="AH133" s="23" t="str">
        <f>IFERROR(__xludf.DUMMYFUNCTION("IF(
ISNUMBER(MATCH(
C133,
IMPORTRANGE(""https://docs.google.com/spreadsheets/d/1yTh1ELC33JHYOeEdgIiEclxPRyh0zOKtlawDltfUay8"",""'Interns'!A:A""),
0
)),
""Outreach Conducted"",
"""")"),"")</f>
        <v/>
      </c>
      <c r="AI133" s="23"/>
      <c r="AJ133" s="23"/>
      <c r="AK133" s="23" t="str">
        <f>IFERROR(__xludf.DUMMYFUNCTION("XLOOKUP(C133, 
   IMPORTRANGE(""1RdEdgHYrZ33LJ7RUHj_h-qkAFL92bcVjtIdVa-UlsCw"", ""Interns!D:D""), 
   IMPORTRANGE(""1RdEdgHYrZ33LJ7RUHj_h-qkAFL92bcVjtIdVa-UlsCw"", ""Interns!M:M""), 
   ""Not Found"")"),"Contacted")</f>
        <v>Contacted</v>
      </c>
      <c r="AL133" s="23" t="str">
        <f>IFERROR(__xludf.DUMMYFUNCTION("XLOOKUP(C133, 
   IMPORTRANGE(""1RdEdgHYrZ33LJ7RUHj_h-qkAFL92bcVjtIdVa-UlsCw"", ""Interns!D:D""), 
   IMPORTRANGE(""1RdEdgHYrZ33LJ7RUHj_h-qkAFL92bcVjtIdVa-UlsCw"", ""Interns!N:N""), 
   ""Not Found"")"),"#Cheers4Careers")</f>
        <v>#Cheers4Careers</v>
      </c>
      <c r="AM133" s="23" t="str">
        <f>IFERROR(__xludf.DUMMYFUNCTION("XLOOKUP(C133, 
   IMPORTRANGE(""1RdEdgHYrZ33LJ7RUHj_h-qkAFL92bcVjtIdVa-UlsCw"", ""Interns!D:D""), 
   IMPORTRANGE(""1RdEdgHYrZ33LJ7RUHj_h-qkAFL92bcVjtIdVa-UlsCw"", ""Interns!O:O""), 
   ""Not Found"")"),"Hetal reached out by email 3/27 followed by text")</f>
        <v>Hetal reached out by email 3/27 followed by text</v>
      </c>
      <c r="AN133" s="23"/>
      <c r="AO133" s="23" t="s">
        <v>6175</v>
      </c>
      <c r="AP133" s="28" t="s">
        <v>5191</v>
      </c>
      <c r="AQ133" s="28" t="s">
        <v>6176</v>
      </c>
      <c r="AR133" s="23" t="s">
        <v>6177</v>
      </c>
      <c r="AS133" s="23"/>
      <c r="AT133" s="23"/>
      <c r="AU133" s="23"/>
      <c r="AV133" s="23"/>
    </row>
    <row r="134">
      <c r="A134" s="28" t="s">
        <v>5202</v>
      </c>
      <c r="B134" s="28" t="s">
        <v>5162</v>
      </c>
      <c r="C134" s="23" t="str">
        <f t="shared" si="1"/>
        <v>Shengmin(Jayden) Jin</v>
      </c>
      <c r="D134" s="28" t="s">
        <v>6178</v>
      </c>
      <c r="E134" s="28" t="s">
        <v>6179</v>
      </c>
      <c r="F134" s="23">
        <f t="array" ref="F134">IFERROR(
    INDEX('Hub Interns 226'!A:A, MATCH(C134, 'Hub Interns 226'!B:B, 0)),"")</f>
        <v>632</v>
      </c>
      <c r="G134" s="23">
        <f t="array" ref="G134">IFERROR(
    INDEX('Hub Users 226'!A:A, MATCH(C134, 'Hub Users 226'!B:B, 0)),"")</f>
        <v>1065</v>
      </c>
      <c r="H134" s="28">
        <v>886.0</v>
      </c>
      <c r="I134" s="28"/>
      <c r="J134" s="28" t="s">
        <v>5833</v>
      </c>
      <c r="K134" s="28" t="s">
        <v>5186</v>
      </c>
      <c r="L134" s="28" t="s">
        <v>5165</v>
      </c>
      <c r="M134" s="56" t="s">
        <v>6180</v>
      </c>
      <c r="N134" s="57">
        <v>44601.52847222222</v>
      </c>
      <c r="O134" s="58">
        <v>38525.0</v>
      </c>
      <c r="P134" s="28">
        <f t="shared" si="8"/>
        <v>20</v>
      </c>
      <c r="Q134" s="28" t="s">
        <v>240</v>
      </c>
      <c r="R134" s="28" t="s">
        <v>6181</v>
      </c>
      <c r="S134" s="28">
        <v>6.0</v>
      </c>
      <c r="T134" s="28">
        <v>16.0</v>
      </c>
      <c r="U134" s="28">
        <v>40.0</v>
      </c>
      <c r="V134" s="28">
        <v>20.0</v>
      </c>
      <c r="W134" s="28" t="s">
        <v>1173</v>
      </c>
      <c r="X134" s="28" t="s">
        <v>272</v>
      </c>
      <c r="Y134" s="28" t="s">
        <v>6182</v>
      </c>
      <c r="Z134" s="28" t="s">
        <v>5189</v>
      </c>
      <c r="AA134" s="28" t="s">
        <v>619</v>
      </c>
      <c r="AB134" s="28">
        <v>20.0</v>
      </c>
      <c r="AC134" s="28" t="s">
        <v>24</v>
      </c>
      <c r="AD134" s="23"/>
      <c r="AE134" s="28" t="s">
        <v>10</v>
      </c>
      <c r="AF134" s="23"/>
      <c r="AG134" s="23"/>
      <c r="AH134" s="23" t="str">
        <f>IFERROR(__xludf.DUMMYFUNCTION("IF(
ISNUMBER(MATCH(
C134,
IMPORTRANGE(""https://docs.google.com/spreadsheets/d/1yTh1ELC33JHYOeEdgIiEclxPRyh0zOKtlawDltfUay8"",""'Interns'!A:A""),
0
)),
""Outreach Conducted"",
"""")"),"")</f>
        <v/>
      </c>
      <c r="AI134" s="23"/>
      <c r="AJ134" s="23"/>
      <c r="AK134" s="23" t="str">
        <f>IFERROR(__xludf.DUMMYFUNCTION("XLOOKUP(C134, 
   IMPORTRANGE(""1RdEdgHYrZ33LJ7RUHj_h-qkAFL92bcVjtIdVa-UlsCw"", ""Interns!D:D""), 
   IMPORTRANGE(""1RdEdgHYrZ33LJ7RUHj_h-qkAFL92bcVjtIdVa-UlsCw"", ""Interns!M:M""), 
   ""Not Found"")"),"")</f>
        <v/>
      </c>
      <c r="AL134" s="23" t="str">
        <f>IFERROR(__xludf.DUMMYFUNCTION("XLOOKUP(C134, 
   IMPORTRANGE(""1RdEdgHYrZ33LJ7RUHj_h-qkAFL92bcVjtIdVa-UlsCw"", ""Interns!D:D""), 
   IMPORTRANGE(""1RdEdgHYrZ33LJ7RUHj_h-qkAFL92bcVjtIdVa-UlsCw"", ""Interns!N:N""), 
   ""Not Found"")"),"")</f>
        <v/>
      </c>
      <c r="AM134" s="23" t="str">
        <f>IFERROR(__xludf.DUMMYFUNCTION("XLOOKUP(C134, 
   IMPORTRANGE(""1RdEdgHYrZ33LJ7RUHj_h-qkAFL92bcVjtIdVa-UlsCw"", ""Interns!D:D""), 
   IMPORTRANGE(""1RdEdgHYrZ33LJ7RUHj_h-qkAFL92bcVjtIdVa-UlsCw"", ""Interns!O:O""), 
   ""Not Found"")"),"")</f>
        <v/>
      </c>
      <c r="AN134" s="23"/>
      <c r="AO134" s="23" t="s">
        <v>6183</v>
      </c>
      <c r="AP134" s="28" t="s">
        <v>5191</v>
      </c>
      <c r="AQ134" s="28"/>
      <c r="AR134" s="23"/>
      <c r="AS134" s="23"/>
      <c r="AT134" s="23"/>
      <c r="AU134" s="23"/>
      <c r="AV134" s="23"/>
    </row>
    <row r="135">
      <c r="A135" s="28" t="s">
        <v>5161</v>
      </c>
      <c r="B135" s="28" t="s">
        <v>5162</v>
      </c>
      <c r="C135" s="23" t="str">
        <f t="shared" si="1"/>
        <v>Xiuyan Piao</v>
      </c>
      <c r="D135" s="28" t="s">
        <v>6184</v>
      </c>
      <c r="E135" s="28" t="s">
        <v>6185</v>
      </c>
      <c r="F135" s="23">
        <f t="array" ref="F135">IFERROR(
    INDEX('Hub Interns 226'!A:A, MATCH(C135, 'Hub Interns 226'!B:B, 0)),"")</f>
        <v>1202</v>
      </c>
      <c r="G135" s="23">
        <f t="array" ref="G135">IFERROR(
    INDEX('Hub Users 226'!A:A, MATCH(C135, 'Hub Users 226'!B:B, 0)),"")</f>
        <v>1635</v>
      </c>
      <c r="H135" s="28">
        <v>340.0</v>
      </c>
      <c r="I135" s="28" t="s">
        <v>239</v>
      </c>
      <c r="J135" s="28" t="s">
        <v>5833</v>
      </c>
      <c r="K135" s="28" t="s">
        <v>5186</v>
      </c>
      <c r="L135" s="28" t="s">
        <v>5196</v>
      </c>
      <c r="M135" s="56" t="s">
        <v>6186</v>
      </c>
      <c r="N135" s="57">
        <v>44243.8625</v>
      </c>
      <c r="O135" s="58">
        <v>37908.0</v>
      </c>
      <c r="P135" s="28">
        <f t="shared" si="8"/>
        <v>22</v>
      </c>
      <c r="Q135" s="28" t="s">
        <v>6187</v>
      </c>
      <c r="R135" s="28" t="s">
        <v>6188</v>
      </c>
      <c r="S135" s="28">
        <v>6.0</v>
      </c>
      <c r="T135" s="28">
        <v>16.0</v>
      </c>
      <c r="U135" s="28">
        <v>40.0</v>
      </c>
      <c r="V135" s="28">
        <v>20.0</v>
      </c>
      <c r="W135" s="28" t="s">
        <v>1173</v>
      </c>
      <c r="X135" s="28" t="s">
        <v>272</v>
      </c>
      <c r="Y135" s="28" t="s">
        <v>6189</v>
      </c>
      <c r="Z135" s="28" t="s">
        <v>5189</v>
      </c>
      <c r="AA135" s="28" t="s">
        <v>619</v>
      </c>
      <c r="AB135" s="28">
        <v>20.0</v>
      </c>
      <c r="AC135" s="28" t="s">
        <v>25</v>
      </c>
      <c r="AD135" s="23"/>
      <c r="AE135" s="28" t="s">
        <v>8</v>
      </c>
      <c r="AF135" s="23" t="str">
        <f>IFERROR(__xludf.DUMMYFUNCTION("TEXTJOIN("", "", TRUE,
  FILTER(Champions!C:C,
    ISNUMBER(SEARCH(C135, Champions!W:W))
  )
)"),"Anna Carina Radulovich (D), Stephanie Zhou")</f>
        <v>Anna Carina Radulovich (D), Stephanie Zhou</v>
      </c>
      <c r="AG135" s="23"/>
      <c r="AH135" s="23" t="str">
        <f>IFERROR(__xludf.DUMMYFUNCTION("IF(
ISNUMBER(MATCH(
C135,
IMPORTRANGE(""https://docs.google.com/spreadsheets/d/1yTh1ELC33JHYOeEdgIiEclxPRyh0zOKtlawDltfUay8"",""'Interns'!A:A""),
0
)),
""Outreach Conducted"",
"""")"),"")</f>
        <v/>
      </c>
      <c r="AI135" s="23"/>
      <c r="AJ135" s="23"/>
      <c r="AK135" s="23" t="str">
        <f>IFERROR(__xludf.DUMMYFUNCTION("XLOOKUP(C135, 
   IMPORTRANGE(""1RdEdgHYrZ33LJ7RUHj_h-qkAFL92bcVjtIdVa-UlsCw"", ""Interns!D:D""), 
   IMPORTRANGE(""1RdEdgHYrZ33LJ7RUHj_h-qkAFL92bcVjtIdVa-UlsCw"", ""Interns!M:M""), 
   ""Not Found"")"),"Contacted")</f>
        <v>Contacted</v>
      </c>
      <c r="AL135" s="23" t="str">
        <f>IFERROR(__xludf.DUMMYFUNCTION("XLOOKUP(C135, 
   IMPORTRANGE(""1RdEdgHYrZ33LJ7RUHj_h-qkAFL92bcVjtIdVa-UlsCw"", ""Interns!D:D""), 
   IMPORTRANGE(""1RdEdgHYrZ33LJ7RUHj_h-qkAFL92bcVjtIdVa-UlsCw"", ""Interns!N:N""), 
   ""Not Found"")"),"#Cheers4Careers")</f>
        <v>#Cheers4Careers</v>
      </c>
      <c r="AM135" s="23" t="str">
        <f>IFERROR(__xludf.DUMMYFUNCTION("XLOOKUP(C135, 
   IMPORTRANGE(""1RdEdgHYrZ33LJ7RUHj_h-qkAFL92bcVjtIdVa-UlsCw"", ""Interns!D:D""), 
   IMPORTRANGE(""1RdEdgHYrZ33LJ7RUHj_h-qkAFL92bcVjtIdVa-UlsCw"", ""Interns!O:O""), 
   ""Not Found"")"),"Hetal reached out by email 3/27 followed by text")</f>
        <v>Hetal reached out by email 3/27 followed by text</v>
      </c>
      <c r="AN135" s="23"/>
      <c r="AO135" s="23" t="s">
        <v>6190</v>
      </c>
      <c r="AP135" s="28" t="s">
        <v>5182</v>
      </c>
      <c r="AQ135" s="28" t="s">
        <v>6191</v>
      </c>
      <c r="AR135" s="23" t="s">
        <v>6192</v>
      </c>
      <c r="AS135" s="23"/>
      <c r="AT135" s="23"/>
      <c r="AU135" s="23"/>
      <c r="AV135" s="23"/>
    </row>
    <row r="136">
      <c r="A136" s="28" t="s">
        <v>5202</v>
      </c>
      <c r="B136" s="28" t="s">
        <v>5162</v>
      </c>
      <c r="C136" s="23" t="str">
        <f t="shared" si="1"/>
        <v>Jiahe(Emily) Xu</v>
      </c>
      <c r="D136" s="28" t="s">
        <v>6193</v>
      </c>
      <c r="E136" s="28" t="s">
        <v>6194</v>
      </c>
      <c r="F136" s="23">
        <f t="array" ref="F136">IFERROR(
    INDEX('Hub Interns 226'!A:A, MATCH(C136, 'Hub Interns 226'!B:B, 0)),"")</f>
        <v>1201</v>
      </c>
      <c r="G136" s="23">
        <f t="array" ref="G136">IFERROR(
    INDEX('Hub Users 226'!A:A, MATCH(C136, 'Hub Users 226'!B:B, 0)),"")</f>
        <v>1634</v>
      </c>
      <c r="H136" s="28">
        <v>890.0</v>
      </c>
      <c r="I136" s="28"/>
      <c r="J136" s="28" t="s">
        <v>5833</v>
      </c>
      <c r="K136" s="28" t="s">
        <v>5186</v>
      </c>
      <c r="L136" s="28" t="s">
        <v>5196</v>
      </c>
      <c r="M136" s="56" t="s">
        <v>6195</v>
      </c>
      <c r="N136" s="57">
        <v>44601.53125</v>
      </c>
      <c r="O136" s="58">
        <v>38783.0</v>
      </c>
      <c r="P136" s="28">
        <f t="shared" si="8"/>
        <v>20</v>
      </c>
      <c r="Q136" s="28" t="s">
        <v>240</v>
      </c>
      <c r="R136" s="28" t="s">
        <v>6196</v>
      </c>
      <c r="S136" s="28">
        <v>6.0</v>
      </c>
      <c r="T136" s="28">
        <v>16.0</v>
      </c>
      <c r="U136" s="28">
        <v>40.0</v>
      </c>
      <c r="V136" s="28">
        <v>20.0</v>
      </c>
      <c r="W136" s="28" t="s">
        <v>1173</v>
      </c>
      <c r="X136" s="28" t="s">
        <v>272</v>
      </c>
      <c r="Y136" s="28" t="s">
        <v>6197</v>
      </c>
      <c r="Z136" s="28" t="s">
        <v>5189</v>
      </c>
      <c r="AA136" s="28" t="s">
        <v>619</v>
      </c>
      <c r="AB136" s="28">
        <v>20.0</v>
      </c>
      <c r="AC136" s="28" t="s">
        <v>24</v>
      </c>
      <c r="AD136" s="23"/>
      <c r="AE136" s="28" t="s">
        <v>10</v>
      </c>
      <c r="AF136" s="23"/>
      <c r="AG136" s="23"/>
      <c r="AH136" s="23" t="str">
        <f>IFERROR(__xludf.DUMMYFUNCTION("IF(
ISNUMBER(MATCH(
C136,
IMPORTRANGE(""https://docs.google.com/spreadsheets/d/1yTh1ELC33JHYOeEdgIiEclxPRyh0zOKtlawDltfUay8"",""'Interns'!A:A""),
0
)),
""Outreach Conducted"",
"""")"),"")</f>
        <v/>
      </c>
      <c r="AI136" s="23"/>
      <c r="AJ136" s="23"/>
      <c r="AK136" s="23" t="str">
        <f>IFERROR(__xludf.DUMMYFUNCTION("XLOOKUP(C136, 
   IMPORTRANGE(""1RdEdgHYrZ33LJ7RUHj_h-qkAFL92bcVjtIdVa-UlsCw"", ""Interns!D:D""), 
   IMPORTRANGE(""1RdEdgHYrZ33LJ7RUHj_h-qkAFL92bcVjtIdVa-UlsCw"", ""Interns!M:M""), 
   ""Not Found"")"),"")</f>
        <v/>
      </c>
      <c r="AL136" s="23" t="str">
        <f>IFERROR(__xludf.DUMMYFUNCTION("XLOOKUP(C136, 
   IMPORTRANGE(""1RdEdgHYrZ33LJ7RUHj_h-qkAFL92bcVjtIdVa-UlsCw"", ""Interns!D:D""), 
   IMPORTRANGE(""1RdEdgHYrZ33LJ7RUHj_h-qkAFL92bcVjtIdVa-UlsCw"", ""Interns!N:N""), 
   ""Not Found"")"),"")</f>
        <v/>
      </c>
      <c r="AM136" s="23" t="str">
        <f>IFERROR(__xludf.DUMMYFUNCTION("XLOOKUP(C136, 
   IMPORTRANGE(""1RdEdgHYrZ33LJ7RUHj_h-qkAFL92bcVjtIdVa-UlsCw"", ""Interns!D:D""), 
   IMPORTRANGE(""1RdEdgHYrZ33LJ7RUHj_h-qkAFL92bcVjtIdVa-UlsCw"", ""Interns!O:O""), 
   ""Not Found"")"),"")</f>
        <v/>
      </c>
      <c r="AN136" s="23"/>
      <c r="AO136" s="23" t="s">
        <v>6198</v>
      </c>
      <c r="AP136" s="28" t="s">
        <v>5182</v>
      </c>
      <c r="AQ136" s="28"/>
      <c r="AR136" s="23"/>
      <c r="AS136" s="23"/>
      <c r="AT136" s="23"/>
      <c r="AU136" s="23"/>
      <c r="AV136" s="23"/>
    </row>
    <row r="137">
      <c r="A137" s="28" t="s">
        <v>5161</v>
      </c>
      <c r="B137" s="28" t="s">
        <v>5162</v>
      </c>
      <c r="C137" s="23" t="str">
        <f t="shared" si="1"/>
        <v>Janice He</v>
      </c>
      <c r="D137" s="28" t="s">
        <v>5119</v>
      </c>
      <c r="E137" s="28" t="s">
        <v>6199</v>
      </c>
      <c r="F137" s="23">
        <f t="array" ref="F137">IFERROR(
    INDEX('Hub Interns 226'!A:A, MATCH(C137, 'Hub Interns 226'!B:B, 0)),"")</f>
        <v>1327</v>
      </c>
      <c r="G137" s="23">
        <f t="array" ref="G137">IFERROR(
    INDEX('Hub Users 226'!A:A, MATCH(C137, 'Hub Users 226'!B:B, 0)),"")</f>
        <v>1829</v>
      </c>
      <c r="H137" s="28">
        <v>1695.0</v>
      </c>
      <c r="I137" s="28"/>
      <c r="J137" s="28" t="s">
        <v>5833</v>
      </c>
      <c r="K137" s="28" t="s">
        <v>5186</v>
      </c>
      <c r="L137" s="28" t="s">
        <v>5196</v>
      </c>
      <c r="M137" s="56" t="s">
        <v>6200</v>
      </c>
      <c r="N137" s="59">
        <v>45250.92916666667</v>
      </c>
      <c r="O137" s="58">
        <v>40189.0</v>
      </c>
      <c r="P137" s="28">
        <f t="shared" si="8"/>
        <v>16</v>
      </c>
      <c r="Q137" s="28" t="s">
        <v>240</v>
      </c>
      <c r="R137" s="28" t="s">
        <v>6201</v>
      </c>
      <c r="S137" s="28">
        <v>6.0</v>
      </c>
      <c r="T137" s="28">
        <v>13.0</v>
      </c>
      <c r="U137" s="28">
        <v>30.0</v>
      </c>
      <c r="V137" s="28">
        <v>25.0</v>
      </c>
      <c r="W137" s="28" t="s">
        <v>1173</v>
      </c>
      <c r="X137" s="28" t="s">
        <v>272</v>
      </c>
      <c r="Y137" s="28" t="s">
        <v>6202</v>
      </c>
      <c r="Z137" s="28" t="s">
        <v>5170</v>
      </c>
      <c r="AA137" s="28" t="s">
        <v>5171</v>
      </c>
      <c r="AB137" s="28">
        <v>30.0</v>
      </c>
      <c r="AC137" s="28" t="s">
        <v>23</v>
      </c>
      <c r="AD137" s="23"/>
      <c r="AE137" s="28" t="s">
        <v>18</v>
      </c>
      <c r="AF137" s="23"/>
      <c r="AG137" s="23"/>
      <c r="AH137" s="23" t="str">
        <f>IFERROR(__xludf.DUMMYFUNCTION("IF(
ISNUMBER(MATCH(
C137,
IMPORTRANGE(""https://docs.google.com/spreadsheets/d/1yTh1ELC33JHYOeEdgIiEclxPRyh0zOKtlawDltfUay8"",""'Interns'!A:A""),
0
)),
""Outreach Conducted"",
"""")"),"")</f>
        <v/>
      </c>
      <c r="AI137" s="23"/>
      <c r="AJ137" s="23"/>
      <c r="AK137" s="23" t="str">
        <f>IFERROR(__xludf.DUMMYFUNCTION("XLOOKUP(C137, 
   IMPORTRANGE(""1RdEdgHYrZ33LJ7RUHj_h-qkAFL92bcVjtIdVa-UlsCw"", ""Interns!D:D""), 
   IMPORTRANGE(""1RdEdgHYrZ33LJ7RUHj_h-qkAFL92bcVjtIdVa-UlsCw"", ""Interns!M:M""), 
   ""Not Found"")"),"Contacted")</f>
        <v>Contacted</v>
      </c>
      <c r="AL137" s="23" t="str">
        <f>IFERROR(__xludf.DUMMYFUNCTION("XLOOKUP(C137, 
   IMPORTRANGE(""1RdEdgHYrZ33LJ7RUHj_h-qkAFL92bcVjtIdVa-UlsCw"", ""Interns!D:D""), 
   IMPORTRANGE(""1RdEdgHYrZ33LJ7RUHj_h-qkAFL92bcVjtIdVa-UlsCw"", ""Interns!N:N""), 
   ""Not Found"")"),"#Cheers4Careers")</f>
        <v>#Cheers4Careers</v>
      </c>
      <c r="AM137" s="23" t="str">
        <f>IFERROR(__xludf.DUMMYFUNCTION("XLOOKUP(C137, 
   IMPORTRANGE(""1RdEdgHYrZ33LJ7RUHj_h-qkAFL92bcVjtIdVa-UlsCw"", ""Interns!D:D""), 
   IMPORTRANGE(""1RdEdgHYrZ33LJ7RUHj_h-qkAFL92bcVjtIdVa-UlsCw"", ""Interns!O:O""), 
   ""Not Found"")"),"Hetal reached out March 27 for March #Cheers4 Careers ")</f>
        <v>Hetal reached out March 27 for March #Cheers4 Careers </v>
      </c>
      <c r="AN137" s="23"/>
      <c r="AO137" s="23" t="s">
        <v>6203</v>
      </c>
      <c r="AP137" s="28" t="s">
        <v>5182</v>
      </c>
      <c r="AQ137" s="28" t="s">
        <v>6204</v>
      </c>
      <c r="AR137" s="23" t="s">
        <v>6205</v>
      </c>
      <c r="AS137" s="23"/>
      <c r="AT137" s="23"/>
      <c r="AU137" s="23"/>
      <c r="AV137" s="23"/>
    </row>
    <row r="138">
      <c r="A138" s="28" t="s">
        <v>5161</v>
      </c>
      <c r="B138" s="28" t="s">
        <v>5162</v>
      </c>
      <c r="C138" s="23" t="str">
        <f t="shared" si="1"/>
        <v>Evelyn L</v>
      </c>
      <c r="D138" s="22" t="s">
        <v>6206</v>
      </c>
      <c r="E138" s="22" t="s">
        <v>6207</v>
      </c>
      <c r="F138" s="23"/>
      <c r="G138" s="23"/>
      <c r="H138" s="22">
        <v>1966.0</v>
      </c>
      <c r="I138" s="28"/>
      <c r="J138" s="28" t="s">
        <v>5833</v>
      </c>
      <c r="K138" s="28" t="s">
        <v>5186</v>
      </c>
      <c r="L138" s="28" t="s">
        <v>5196</v>
      </c>
      <c r="M138" s="29" t="s">
        <v>6208</v>
      </c>
      <c r="N138" s="63">
        <v>45645.38333333333</v>
      </c>
      <c r="O138" s="25">
        <v>40694.0</v>
      </c>
      <c r="P138" s="28">
        <f t="shared" si="8"/>
        <v>14</v>
      </c>
      <c r="Q138" s="62" t="s">
        <v>6209</v>
      </c>
      <c r="R138" s="22" t="s">
        <v>6210</v>
      </c>
      <c r="S138" s="28">
        <v>6.0</v>
      </c>
      <c r="T138" s="28">
        <v>13.0</v>
      </c>
      <c r="U138" s="28">
        <v>30.0</v>
      </c>
      <c r="V138" s="28">
        <v>25.0</v>
      </c>
      <c r="W138" s="28" t="s">
        <v>1173</v>
      </c>
      <c r="X138" s="28" t="s">
        <v>272</v>
      </c>
      <c r="Y138" s="22" t="s">
        <v>6211</v>
      </c>
      <c r="Z138" s="22" t="s">
        <v>5520</v>
      </c>
      <c r="AA138" s="28" t="s">
        <v>5171</v>
      </c>
      <c r="AB138" s="28">
        <v>30.0</v>
      </c>
      <c r="AC138" s="28" t="s">
        <v>23</v>
      </c>
      <c r="AD138" s="23"/>
      <c r="AE138" s="28" t="s">
        <v>19</v>
      </c>
      <c r="AF138" s="23"/>
      <c r="AG138" s="23"/>
      <c r="AH138" s="23" t="str">
        <f>IFERROR(__xludf.DUMMYFUNCTION("IF(
ISNUMBER(MATCH(
C138,
IMPORTRANGE(""https://docs.google.com/spreadsheets/d/1yTh1ELC33JHYOeEdgIiEclxPRyh0zOKtlawDltfUay8"",""'Interns'!A:A""),
0
)),
""Outreach Conducted"",
"""")"),"")</f>
        <v/>
      </c>
      <c r="AI138" s="23"/>
      <c r="AJ138" s="23"/>
      <c r="AK138" s="23"/>
      <c r="AL138" s="23" t="str">
        <f>IFERROR(__xludf.DUMMYFUNCTION("XLOOKUP(C138, 
   IMPORTRANGE(""1RdEdgHYrZ33LJ7RUHj_h-qkAFL92bcVjtIdVa-UlsCw"", ""Interns!D:D""), 
   IMPORTRANGE(""1RdEdgHYrZ33LJ7RUHj_h-qkAFL92bcVjtIdVa-UlsCw"", ""Interns!N:N""), 
   ""Not Found"")"),"Not Found")</f>
        <v>Not Found</v>
      </c>
      <c r="AM138" s="23" t="str">
        <f>IFERROR(__xludf.DUMMYFUNCTION("XLOOKUP(C138, 
   IMPORTRANGE(""1RdEdgHYrZ33LJ7RUHj_h-qkAFL92bcVjtIdVa-UlsCw"", ""Interns!D:D""), 
   IMPORTRANGE(""1RdEdgHYrZ33LJ7RUHj_h-qkAFL92bcVjtIdVa-UlsCw"", ""Interns!O:O""), 
   ""Not Found"")"),"Not Found")</f>
        <v>Not Found</v>
      </c>
      <c r="AN138" s="23"/>
      <c r="AO138" s="23" t="s">
        <v>6212</v>
      </c>
      <c r="AP138" s="28" t="s">
        <v>5182</v>
      </c>
      <c r="AQ138" s="28" t="s">
        <v>6213</v>
      </c>
      <c r="AR138" s="23">
        <v>2.122627579E9</v>
      </c>
      <c r="AS138" s="23"/>
      <c r="AT138" s="23"/>
      <c r="AU138" s="23"/>
      <c r="AV138" s="23"/>
    </row>
    <row r="139">
      <c r="A139" s="28" t="s">
        <v>5161</v>
      </c>
      <c r="B139" s="28" t="s">
        <v>5162</v>
      </c>
      <c r="C139" s="23" t="str">
        <f t="shared" si="1"/>
        <v>Ziyi Lin</v>
      </c>
      <c r="D139" s="28" t="s">
        <v>6214</v>
      </c>
      <c r="E139" s="28" t="s">
        <v>5976</v>
      </c>
      <c r="F139" s="23">
        <f t="array" ref="F139">IFERROR(
    INDEX('Hub Interns 226'!A:A, MATCH(C139, 'Hub Interns 226'!B:B, 0)),"")</f>
        <v>1261</v>
      </c>
      <c r="G139" s="23">
        <f t="array" ref="G139">IFERROR(
    INDEX('Hub Users 226'!A:A, MATCH(C139, 'Hub Users 226'!B:B, 0)),"")</f>
        <v>1694</v>
      </c>
      <c r="H139" s="28">
        <v>570.0</v>
      </c>
      <c r="I139" s="28" t="s">
        <v>1963</v>
      </c>
      <c r="J139" s="28" t="s">
        <v>5833</v>
      </c>
      <c r="K139" s="28" t="s">
        <v>5186</v>
      </c>
      <c r="L139" s="28" t="s">
        <v>5196</v>
      </c>
      <c r="M139" s="56" t="s">
        <v>6215</v>
      </c>
      <c r="N139" s="59">
        <v>44479.86875</v>
      </c>
      <c r="O139" s="58">
        <v>38249.0</v>
      </c>
      <c r="P139" s="28">
        <f t="shared" si="8"/>
        <v>21</v>
      </c>
      <c r="Q139" s="28" t="s">
        <v>240</v>
      </c>
      <c r="R139" s="28" t="s">
        <v>6216</v>
      </c>
      <c r="S139" s="28">
        <v>6.0</v>
      </c>
      <c r="T139" s="28">
        <v>16.0</v>
      </c>
      <c r="U139" s="28">
        <v>40.0</v>
      </c>
      <c r="V139" s="28">
        <v>20.0</v>
      </c>
      <c r="W139" s="28" t="s">
        <v>1173</v>
      </c>
      <c r="X139" s="28" t="s">
        <v>272</v>
      </c>
      <c r="Y139" s="28" t="s">
        <v>6217</v>
      </c>
      <c r="Z139" s="28" t="s">
        <v>5189</v>
      </c>
      <c r="AA139" s="28" t="s">
        <v>619</v>
      </c>
      <c r="AB139" s="28">
        <v>20.0</v>
      </c>
      <c r="AC139" s="28" t="s">
        <v>25</v>
      </c>
      <c r="AD139" s="23"/>
      <c r="AE139" s="28" t="s">
        <v>10</v>
      </c>
      <c r="AF139" s="23" t="str">
        <f>IFERROR(__xludf.DUMMYFUNCTION("TEXTJOIN("", "", TRUE,
  FILTER(Champions!C:C,
    ISNUMBER(SEARCH(C139, Champions!W:W))
  )
)"),"Bindu Krishna, Joanne Hsu, Bindu Krishna (D)")</f>
        <v>Bindu Krishna, Joanne Hsu, Bindu Krishna (D)</v>
      </c>
      <c r="AG139" s="23"/>
      <c r="AH139" s="23" t="str">
        <f>IFERROR(__xludf.DUMMYFUNCTION("IF(
ISNUMBER(MATCH(
C139,
IMPORTRANGE(""https://docs.google.com/spreadsheets/d/1yTh1ELC33JHYOeEdgIiEclxPRyh0zOKtlawDltfUay8"",""'Interns'!A:A""),
0
)),
""Outreach Conducted"",
"""")"),"")</f>
        <v/>
      </c>
      <c r="AI139" s="23"/>
      <c r="AJ139" s="28" t="s">
        <v>6218</v>
      </c>
      <c r="AK139" s="23" t="str">
        <f>IFERROR(__xludf.DUMMYFUNCTION("XLOOKUP(C139, 
   IMPORTRANGE(""1RdEdgHYrZ33LJ7RUHj_h-qkAFL92bcVjtIdVa-UlsCw"", ""Interns!D:D""), 
   IMPORTRANGE(""1RdEdgHYrZ33LJ7RUHj_h-qkAFL92bcVjtIdVa-UlsCw"", ""Interns!M:M""), 
   ""Not Found"")"),"Contacted")</f>
        <v>Contacted</v>
      </c>
      <c r="AL139" s="23" t="str">
        <f>IFERROR(__xludf.DUMMYFUNCTION("XLOOKUP(C139, 
   IMPORTRANGE(""1RdEdgHYrZ33LJ7RUHj_h-qkAFL92bcVjtIdVa-UlsCw"", ""Interns!D:D""), 
   IMPORTRANGE(""1RdEdgHYrZ33LJ7RUHj_h-qkAFL92bcVjtIdVa-UlsCw"", ""Interns!N:N""), 
   ""Not Found"")"),"#Cheers4Careers")</f>
        <v>#Cheers4Careers</v>
      </c>
      <c r="AM139" s="23" t="str">
        <f>IFERROR(__xludf.DUMMYFUNCTION("XLOOKUP(C139, 
   IMPORTRANGE(""1RdEdgHYrZ33LJ7RUHj_h-qkAFL92bcVjtIdVa-UlsCw"", ""Interns!D:D""), 
   IMPORTRANGE(""1RdEdgHYrZ33LJ7RUHj_h-qkAFL92bcVjtIdVa-UlsCw"", ""Interns!O:O""), 
   ""Not Found"")"),"Hetal reached out by email 3/27 followed by text")</f>
        <v>Hetal reached out by email 3/27 followed by text</v>
      </c>
      <c r="AN139" s="23"/>
      <c r="AO139" s="23" t="s">
        <v>6219</v>
      </c>
      <c r="AP139" s="28" t="s">
        <v>5182</v>
      </c>
      <c r="AQ139" s="28" t="s">
        <v>6220</v>
      </c>
      <c r="AR139" s="23" t="s">
        <v>6221</v>
      </c>
      <c r="AS139" s="23"/>
      <c r="AT139" s="23"/>
      <c r="AU139" s="23"/>
      <c r="AV139" s="23"/>
    </row>
    <row r="140">
      <c r="A140" s="28" t="s">
        <v>5202</v>
      </c>
      <c r="B140" s="28" t="s">
        <v>5162</v>
      </c>
      <c r="C140" s="23" t="str">
        <f t="shared" si="1"/>
        <v>Shiqing Wei</v>
      </c>
      <c r="D140" s="28" t="s">
        <v>6222</v>
      </c>
      <c r="E140" s="28" t="s">
        <v>5959</v>
      </c>
      <c r="F140" s="23">
        <f t="array" ref="F140">IFERROR(
    INDEX('Hub Interns 226'!A:A, MATCH(C140, 'Hub Interns 226'!B:B, 0)),"")</f>
        <v>1184</v>
      </c>
      <c r="G140" s="23">
        <f t="array" ref="G140">IFERROR(
    INDEX('Hub Users 226'!A:A, MATCH(C140, 'Hub Users 226'!B:B, 0)),"")</f>
        <v>1617</v>
      </c>
      <c r="H140" s="28">
        <v>591.0</v>
      </c>
      <c r="I140" s="28" t="s">
        <v>417</v>
      </c>
      <c r="J140" s="28" t="s">
        <v>5833</v>
      </c>
      <c r="K140" s="28" t="s">
        <v>5186</v>
      </c>
      <c r="L140" s="28" t="s">
        <v>5196</v>
      </c>
      <c r="M140" s="56" t="s">
        <v>6223</v>
      </c>
      <c r="N140" s="59">
        <v>44485.77013888889</v>
      </c>
      <c r="O140" s="58">
        <v>37429.0</v>
      </c>
      <c r="P140" s="28">
        <f t="shared" si="8"/>
        <v>23</v>
      </c>
      <c r="Q140" s="28" t="s">
        <v>6224</v>
      </c>
      <c r="R140" s="28" t="s">
        <v>6225</v>
      </c>
      <c r="S140" s="28">
        <v>8.0</v>
      </c>
      <c r="T140" s="28">
        <v>22.0</v>
      </c>
      <c r="U140" s="28">
        <v>45.0</v>
      </c>
      <c r="V140" s="28">
        <v>48.0</v>
      </c>
      <c r="W140" s="28" t="s">
        <v>294</v>
      </c>
      <c r="X140" s="28" t="s">
        <v>272</v>
      </c>
      <c r="Y140" s="28" t="s">
        <v>6226</v>
      </c>
      <c r="Z140" s="28" t="s">
        <v>5963</v>
      </c>
      <c r="AA140" s="28" t="s">
        <v>1923</v>
      </c>
      <c r="AB140" s="28">
        <v>1.0</v>
      </c>
      <c r="AC140" s="28" t="s">
        <v>25</v>
      </c>
      <c r="AD140" s="23"/>
      <c r="AE140" s="28" t="s">
        <v>10</v>
      </c>
      <c r="AF140" s="23" t="str">
        <f>IFERROR(__xludf.DUMMYFUNCTION("TEXTJOIN("", "", TRUE,
  FILTER(Champions!C:C,
    ISNUMBER(SEARCH(C140, Champions!W:W))
  )
)"),"#N/A")</f>
        <v>#N/A</v>
      </c>
      <c r="AG140" s="23"/>
      <c r="AH140" s="23" t="str">
        <f>IFERROR(__xludf.DUMMYFUNCTION("IF(
ISNUMBER(MATCH(
C140,
IMPORTRANGE(""https://docs.google.com/spreadsheets/d/1yTh1ELC33JHYOeEdgIiEclxPRyh0zOKtlawDltfUay8"",""'Interns'!A:A""),
0
)),
""Outreach Conducted"",
"""")"),"")</f>
        <v/>
      </c>
      <c r="AI140" s="23"/>
      <c r="AJ140" s="23"/>
      <c r="AK140" s="23" t="str">
        <f>IFERROR(__xludf.DUMMYFUNCTION("XLOOKUP(C140, 
   IMPORTRANGE(""1RdEdgHYrZ33LJ7RUHj_h-qkAFL92bcVjtIdVa-UlsCw"", ""Interns!D:D""), 
   IMPORTRANGE(""1RdEdgHYrZ33LJ7RUHj_h-qkAFL92bcVjtIdVa-UlsCw"", ""Interns!M:M""), 
   ""Not Found"")"),"")</f>
        <v/>
      </c>
      <c r="AL140" s="23" t="str">
        <f>IFERROR(__xludf.DUMMYFUNCTION("XLOOKUP(C140, 
   IMPORTRANGE(""1RdEdgHYrZ33LJ7RUHj_h-qkAFL92bcVjtIdVa-UlsCw"", ""Interns!D:D""), 
   IMPORTRANGE(""1RdEdgHYrZ33LJ7RUHj_h-qkAFL92bcVjtIdVa-UlsCw"", ""Interns!N:N""), 
   ""Not Found"")"),"")</f>
        <v/>
      </c>
      <c r="AM140" s="23" t="str">
        <f>IFERROR(__xludf.DUMMYFUNCTION("XLOOKUP(C140, 
   IMPORTRANGE(""1RdEdgHYrZ33LJ7RUHj_h-qkAFL92bcVjtIdVa-UlsCw"", ""Interns!D:D""), 
   IMPORTRANGE(""1RdEdgHYrZ33LJ7RUHj_h-qkAFL92bcVjtIdVa-UlsCw"", ""Interns!O:O""), 
   ""Not Found"")"),"")</f>
        <v/>
      </c>
      <c r="AN140" s="23"/>
      <c r="AO140" s="23" t="s">
        <v>6227</v>
      </c>
      <c r="AP140" s="28" t="s">
        <v>5182</v>
      </c>
      <c r="AQ140" s="28" t="s">
        <v>6228</v>
      </c>
      <c r="AR140" s="23" t="s">
        <v>6229</v>
      </c>
      <c r="AS140" s="23"/>
      <c r="AT140" s="23"/>
      <c r="AU140" s="23"/>
      <c r="AV140" s="23"/>
    </row>
    <row r="141">
      <c r="A141" s="28" t="s">
        <v>5202</v>
      </c>
      <c r="B141" s="28" t="s">
        <v>5162</v>
      </c>
      <c r="C141" s="23" t="str">
        <f t="shared" si="1"/>
        <v>Eric Jiang</v>
      </c>
      <c r="D141" s="28" t="s">
        <v>6230</v>
      </c>
      <c r="E141" s="28" t="s">
        <v>6231</v>
      </c>
      <c r="F141" s="23">
        <f t="array" ref="F141">IFERROR(
    INDEX('Hub Interns 226'!A:A, MATCH(C141, 'Hub Interns 226'!B:B, 0)),"")</f>
        <v>611</v>
      </c>
      <c r="G141" s="23">
        <f t="array" ref="G141">IFERROR(
    INDEX('Hub Users 226'!A:A, MATCH(C141, 'Hub Users 226'!B:B, 0)),"")</f>
        <v>1044</v>
      </c>
      <c r="H141" s="28">
        <v>947.0</v>
      </c>
      <c r="I141" s="28"/>
      <c r="J141" s="28" t="s">
        <v>5833</v>
      </c>
      <c r="K141" s="28" t="s">
        <v>5186</v>
      </c>
      <c r="L141" s="28" t="s">
        <v>5165</v>
      </c>
      <c r="M141" s="56" t="s">
        <v>6232</v>
      </c>
      <c r="N141" s="57">
        <v>44610.84652777778</v>
      </c>
      <c r="O141" s="58">
        <v>38898.0</v>
      </c>
      <c r="P141" s="28">
        <f t="shared" si="8"/>
        <v>19</v>
      </c>
      <c r="Q141" s="28" t="s">
        <v>6233</v>
      </c>
      <c r="R141" s="28" t="s">
        <v>6234</v>
      </c>
      <c r="S141" s="28"/>
      <c r="T141" s="28"/>
      <c r="U141" s="28"/>
      <c r="V141" s="28"/>
      <c r="W141" s="28" t="s">
        <v>1173</v>
      </c>
      <c r="X141" s="28" t="s">
        <v>272</v>
      </c>
      <c r="Y141" s="28">
        <v>9.097573263E9</v>
      </c>
      <c r="Z141" s="28" t="s">
        <v>5189</v>
      </c>
      <c r="AA141" s="28" t="s">
        <v>619</v>
      </c>
      <c r="AB141" s="28">
        <v>20.0</v>
      </c>
      <c r="AC141" s="28" t="s">
        <v>24</v>
      </c>
      <c r="AD141" s="23"/>
      <c r="AE141" s="28" t="s">
        <v>10</v>
      </c>
      <c r="AF141" s="23"/>
      <c r="AG141" s="23"/>
      <c r="AH141" s="23" t="str">
        <f>IFERROR(__xludf.DUMMYFUNCTION("IF(
ISNUMBER(MATCH(
C141,
IMPORTRANGE(""https://docs.google.com/spreadsheets/d/1yTh1ELC33JHYOeEdgIiEclxPRyh0zOKtlawDltfUay8"",""'Interns'!A:A""),
0
)),
""Outreach Conducted"",
"""")"),"")</f>
        <v/>
      </c>
      <c r="AI141" s="23"/>
      <c r="AJ141" s="23"/>
      <c r="AK141" s="23" t="str">
        <f>IFERROR(__xludf.DUMMYFUNCTION("XLOOKUP(C141, 
   IMPORTRANGE(""1RdEdgHYrZ33LJ7RUHj_h-qkAFL92bcVjtIdVa-UlsCw"", ""Interns!D:D""), 
   IMPORTRANGE(""1RdEdgHYrZ33LJ7RUHj_h-qkAFL92bcVjtIdVa-UlsCw"", ""Interns!M:M""), 
   ""Not Found"")"),"")</f>
        <v/>
      </c>
      <c r="AL141" s="23" t="str">
        <f>IFERROR(__xludf.DUMMYFUNCTION("XLOOKUP(C141, 
   IMPORTRANGE(""1RdEdgHYrZ33LJ7RUHj_h-qkAFL92bcVjtIdVa-UlsCw"", ""Interns!D:D""), 
   IMPORTRANGE(""1RdEdgHYrZ33LJ7RUHj_h-qkAFL92bcVjtIdVa-UlsCw"", ""Interns!N:N""), 
   ""Not Found"")"),"")</f>
        <v/>
      </c>
      <c r="AM141" s="23" t="str">
        <f>IFERROR(__xludf.DUMMYFUNCTION("XLOOKUP(C141, 
   IMPORTRANGE(""1RdEdgHYrZ33LJ7RUHj_h-qkAFL92bcVjtIdVa-UlsCw"", ""Interns!D:D""), 
   IMPORTRANGE(""1RdEdgHYrZ33LJ7RUHj_h-qkAFL92bcVjtIdVa-UlsCw"", ""Interns!O:O""), 
   ""Not Found"")"),"")</f>
        <v/>
      </c>
      <c r="AN141" s="23"/>
      <c r="AO141" s="23" t="s">
        <v>5833</v>
      </c>
      <c r="AP141" s="28" t="s">
        <v>5191</v>
      </c>
      <c r="AQ141" s="28"/>
      <c r="AR141" s="23"/>
      <c r="AS141" s="23"/>
      <c r="AT141" s="23"/>
      <c r="AU141" s="23"/>
      <c r="AV141" s="23"/>
    </row>
    <row r="142">
      <c r="A142" s="28" t="s">
        <v>5161</v>
      </c>
      <c r="B142" s="28" t="s">
        <v>5162</v>
      </c>
      <c r="C142" s="23" t="str">
        <f t="shared" si="1"/>
        <v>Steven Chen</v>
      </c>
      <c r="D142" s="22" t="s">
        <v>3100</v>
      </c>
      <c r="E142" s="22" t="s">
        <v>1741</v>
      </c>
      <c r="F142" s="23"/>
      <c r="G142" s="23"/>
      <c r="H142" s="22">
        <v>2014.0</v>
      </c>
      <c r="I142" s="28"/>
      <c r="J142" s="28" t="s">
        <v>5833</v>
      </c>
      <c r="K142" s="28" t="s">
        <v>5186</v>
      </c>
      <c r="L142" s="28" t="s">
        <v>5165</v>
      </c>
      <c r="M142" s="29" t="s">
        <v>6235</v>
      </c>
      <c r="N142" s="63">
        <v>45615.50833333333</v>
      </c>
      <c r="O142" s="25">
        <v>41486.0</v>
      </c>
      <c r="P142" s="28">
        <f t="shared" si="8"/>
        <v>12</v>
      </c>
      <c r="Q142" s="62" t="s">
        <v>6236</v>
      </c>
      <c r="R142" s="22" t="s">
        <v>6237</v>
      </c>
      <c r="S142" s="28">
        <v>6.0</v>
      </c>
      <c r="T142" s="28">
        <v>13.0</v>
      </c>
      <c r="U142" s="28">
        <v>30.0</v>
      </c>
      <c r="V142" s="28">
        <v>25.0</v>
      </c>
      <c r="W142" s="28" t="s">
        <v>1173</v>
      </c>
      <c r="X142" s="28" t="s">
        <v>272</v>
      </c>
      <c r="Y142" s="22">
        <v>9.294352373E9</v>
      </c>
      <c r="Z142" s="22" t="s">
        <v>5536</v>
      </c>
      <c r="AA142" s="28" t="s">
        <v>5287</v>
      </c>
      <c r="AB142" s="28">
        <v>26.0</v>
      </c>
      <c r="AC142" s="28" t="s">
        <v>27</v>
      </c>
      <c r="AD142" s="23"/>
      <c r="AE142" s="28" t="s">
        <v>19</v>
      </c>
      <c r="AF142" s="23"/>
      <c r="AG142" s="23"/>
      <c r="AH142" s="23" t="str">
        <f>IFERROR(__xludf.DUMMYFUNCTION("IF(
ISNUMBER(MATCH(
C142,
IMPORTRANGE(""https://docs.google.com/spreadsheets/d/1yTh1ELC33JHYOeEdgIiEclxPRyh0zOKtlawDltfUay8"",""'Interns'!A:A""),
0
)),
""Outreach Conducted"",
"""")"),"")</f>
        <v/>
      </c>
      <c r="AI142" s="23"/>
      <c r="AJ142" s="23"/>
      <c r="AK142" s="23" t="str">
        <f>IFERROR(__xludf.DUMMYFUNCTION("XLOOKUP(C142, 
   IMPORTRANGE(""1RdEdgHYrZ33LJ7RUHj_h-qkAFL92bcVjtIdVa-UlsCw"", ""Interns!D:D""), 
   IMPORTRANGE(""1RdEdgHYrZ33LJ7RUHj_h-qkAFL92bcVjtIdVa-UlsCw"", ""Interns!M:M""), 
   ""Not Found"")"),"Not Found")</f>
        <v>Not Found</v>
      </c>
      <c r="AL142" s="23" t="str">
        <f>IFERROR(__xludf.DUMMYFUNCTION("XLOOKUP(C142, 
   IMPORTRANGE(""1RdEdgHYrZ33LJ7RUHj_h-qkAFL92bcVjtIdVa-UlsCw"", ""Interns!D:D""), 
   IMPORTRANGE(""1RdEdgHYrZ33LJ7RUHj_h-qkAFL92bcVjtIdVa-UlsCw"", ""Interns!N:N""), 
   ""Not Found"")"),"Not Found")</f>
        <v>Not Found</v>
      </c>
      <c r="AM142" s="23" t="str">
        <f>IFERROR(__xludf.DUMMYFUNCTION("XLOOKUP(C142, 
   IMPORTRANGE(""1RdEdgHYrZ33LJ7RUHj_h-qkAFL92bcVjtIdVa-UlsCw"", ""Interns!D:D""), 
   IMPORTRANGE(""1RdEdgHYrZ33LJ7RUHj_h-qkAFL92bcVjtIdVa-UlsCw"", ""Interns!O:O""), 
   ""Not Found"")"),"Not Found")</f>
        <v>Not Found</v>
      </c>
      <c r="AN142" s="23"/>
      <c r="AO142" s="23" t="s">
        <v>6238</v>
      </c>
      <c r="AP142" s="28" t="s">
        <v>5182</v>
      </c>
      <c r="AQ142" s="28" t="s">
        <v>6239</v>
      </c>
      <c r="AR142" s="23">
        <v>7.187106735E9</v>
      </c>
      <c r="AS142" s="23"/>
      <c r="AT142" s="23"/>
      <c r="AU142" s="23"/>
      <c r="AV142" s="23"/>
    </row>
    <row r="143">
      <c r="A143" s="28" t="s">
        <v>5202</v>
      </c>
      <c r="B143" s="28" t="s">
        <v>5162</v>
      </c>
      <c r="C143" s="23" t="str">
        <f t="shared" si="1"/>
        <v>Siyu Liu</v>
      </c>
      <c r="D143" s="28" t="s">
        <v>6240</v>
      </c>
      <c r="E143" s="28" t="s">
        <v>6241</v>
      </c>
      <c r="F143" s="23">
        <f t="array" ref="F143">IFERROR(
    INDEX('Hub Interns 226'!A:A, MATCH(C143, 'Hub Interns 226'!B:B, 0)),"")</f>
        <v>1107</v>
      </c>
      <c r="G143" s="23">
        <f t="array" ref="G143">IFERROR(
    INDEX('Hub Users 226'!A:A, MATCH(C143, 'Hub Users 226'!B:B, 0)),"")</f>
        <v>1540</v>
      </c>
      <c r="H143" s="28">
        <v>612.0</v>
      </c>
      <c r="I143" s="28" t="s">
        <v>407</v>
      </c>
      <c r="J143" s="28" t="s">
        <v>5833</v>
      </c>
      <c r="K143" s="28" t="s">
        <v>5186</v>
      </c>
      <c r="L143" s="28" t="s">
        <v>5196</v>
      </c>
      <c r="M143" s="56" t="s">
        <v>6242</v>
      </c>
      <c r="N143" s="59">
        <v>44490.69236111111</v>
      </c>
      <c r="O143" s="58">
        <v>38576.0</v>
      </c>
      <c r="P143" s="28">
        <f t="shared" si="8"/>
        <v>20</v>
      </c>
      <c r="Q143" s="28" t="s">
        <v>6243</v>
      </c>
      <c r="R143" s="28" t="s">
        <v>6244</v>
      </c>
      <c r="S143" s="28"/>
      <c r="T143" s="28"/>
      <c r="U143" s="28"/>
      <c r="V143" s="28"/>
      <c r="W143" s="28" t="s">
        <v>1173</v>
      </c>
      <c r="X143" s="28" t="s">
        <v>272</v>
      </c>
      <c r="Y143" s="28" t="s">
        <v>6245</v>
      </c>
      <c r="Z143" s="28" t="s">
        <v>5189</v>
      </c>
      <c r="AA143" s="28" t="s">
        <v>619</v>
      </c>
      <c r="AB143" s="28">
        <v>20.0</v>
      </c>
      <c r="AC143" s="28" t="s">
        <v>25</v>
      </c>
      <c r="AD143" s="23"/>
      <c r="AE143" s="28" t="s">
        <v>10</v>
      </c>
      <c r="AF143" s="23" t="str">
        <f>IFERROR(__xludf.DUMMYFUNCTION("TEXTJOIN("", "", TRUE,
  FILTER(Champions!C:C,
    ISNUMBER(SEARCH(C143, Champions!W:W))
  )
)"),"Debaleena Majumdar, Sharon Shi")</f>
        <v>Debaleena Majumdar, Sharon Shi</v>
      </c>
      <c r="AG143" s="23"/>
      <c r="AH143" s="23" t="str">
        <f>IFERROR(__xludf.DUMMYFUNCTION("IF(
ISNUMBER(MATCH(
C143,
IMPORTRANGE(""https://docs.google.com/spreadsheets/d/1yTh1ELC33JHYOeEdgIiEclxPRyh0zOKtlawDltfUay8"",""'Interns'!A:A""),
0
)),
""Outreach Conducted"",
"""")"),"")</f>
        <v/>
      </c>
      <c r="AI143" s="23"/>
      <c r="AJ143" s="23"/>
      <c r="AK143" s="23" t="str">
        <f>IFERROR(__xludf.DUMMYFUNCTION("XLOOKUP(C143, 
   IMPORTRANGE(""1RdEdgHYrZ33LJ7RUHj_h-qkAFL92bcVjtIdVa-UlsCw"", ""Interns!D:D""), 
   IMPORTRANGE(""1RdEdgHYrZ33LJ7RUHj_h-qkAFL92bcVjtIdVa-UlsCw"", ""Interns!M:M""), 
   ""Not Found"")"),"Contacted")</f>
        <v>Contacted</v>
      </c>
      <c r="AL143" s="23" t="str">
        <f>IFERROR(__xludf.DUMMYFUNCTION("XLOOKUP(C143, 
   IMPORTRANGE(""1RdEdgHYrZ33LJ7RUHj_h-qkAFL92bcVjtIdVa-UlsCw"", ""Interns!D:D""), 
   IMPORTRANGE(""1RdEdgHYrZ33LJ7RUHj_h-qkAFL92bcVjtIdVa-UlsCw"", ""Interns!N:N""), 
   ""Not Found"")"),"#Cheers4Careers")</f>
        <v>#Cheers4Careers</v>
      </c>
      <c r="AM143" s="23" t="str">
        <f>IFERROR(__xludf.DUMMYFUNCTION("XLOOKUP(C143, 
   IMPORTRANGE(""1RdEdgHYrZ33LJ7RUHj_h-qkAFL92bcVjtIdVa-UlsCw"", ""Interns!D:D""), 
   IMPORTRANGE(""1RdEdgHYrZ33LJ7RUHj_h-qkAFL92bcVjtIdVa-UlsCw"", ""Interns!O:O""), 
   ""Not Found"")"),"Hetal reached out by email 3/27 followed by text")</f>
        <v>Hetal reached out by email 3/27 followed by text</v>
      </c>
      <c r="AN143" s="23"/>
      <c r="AO143" s="23" t="s">
        <v>6246</v>
      </c>
      <c r="AP143" s="28" t="s">
        <v>5182</v>
      </c>
      <c r="AQ143" s="28" t="s">
        <v>6247</v>
      </c>
      <c r="AR143" s="23" t="s">
        <v>6248</v>
      </c>
      <c r="AS143" s="23"/>
      <c r="AT143" s="23"/>
      <c r="AU143" s="23"/>
      <c r="AV143" s="23"/>
    </row>
    <row r="144">
      <c r="A144" s="28" t="s">
        <v>5161</v>
      </c>
      <c r="B144" s="28" t="s">
        <v>5162</v>
      </c>
      <c r="C144" s="23" t="str">
        <f t="shared" si="1"/>
        <v>Chenming Tian</v>
      </c>
      <c r="D144" s="28" t="s">
        <v>6249</v>
      </c>
      <c r="E144" s="28" t="s">
        <v>6250</v>
      </c>
      <c r="F144" s="23">
        <f t="array" ref="F144">IFERROR(
    INDEX('Hub Interns 226'!A:A, MATCH(C144, 'Hub Interns 226'!B:B, 0)),"")</f>
        <v>394</v>
      </c>
      <c r="G144" s="23">
        <f t="array" ref="G144">IFERROR(
    INDEX('Hub Users 226'!A:A, MATCH(C144, 'Hub Users 226'!B:B, 0)),"")</f>
        <v>827</v>
      </c>
      <c r="H144" s="28">
        <v>355.0</v>
      </c>
      <c r="I144" s="28" t="s">
        <v>407</v>
      </c>
      <c r="J144" s="28" t="s">
        <v>5833</v>
      </c>
      <c r="K144" s="28" t="s">
        <v>5186</v>
      </c>
      <c r="L144" s="28" t="s">
        <v>5196</v>
      </c>
      <c r="M144" s="56" t="s">
        <v>6251</v>
      </c>
      <c r="N144" s="57">
        <v>44246.91388888889</v>
      </c>
      <c r="O144" s="58">
        <v>37709.0</v>
      </c>
      <c r="P144" s="28">
        <f t="shared" si="8"/>
        <v>23</v>
      </c>
      <c r="Q144" s="28" t="s">
        <v>240</v>
      </c>
      <c r="R144" s="28" t="s">
        <v>6252</v>
      </c>
      <c r="S144" s="28">
        <v>6.0</v>
      </c>
      <c r="T144" s="28">
        <v>16.0</v>
      </c>
      <c r="U144" s="28">
        <v>40.0</v>
      </c>
      <c r="V144" s="28">
        <v>20.0</v>
      </c>
      <c r="W144" s="28" t="s">
        <v>1173</v>
      </c>
      <c r="X144" s="28" t="s">
        <v>272</v>
      </c>
      <c r="Y144" s="28" t="s">
        <v>6253</v>
      </c>
      <c r="Z144" s="28" t="s">
        <v>5189</v>
      </c>
      <c r="AA144" s="28" t="s">
        <v>619</v>
      </c>
      <c r="AB144" s="28">
        <v>20.0</v>
      </c>
      <c r="AC144" s="28" t="s">
        <v>25</v>
      </c>
      <c r="AD144" s="23"/>
      <c r="AE144" s="28" t="s">
        <v>8</v>
      </c>
      <c r="AF144" s="23" t="str">
        <f>IFERROR(__xludf.DUMMYFUNCTION("TEXTJOIN("", "", TRUE,
  FILTER(Champions!C:C,
    ISNUMBER(SEARCH(C144, Champions!W:W))
  )
)"),"Jasmine Zheng, Ashley Wu")</f>
        <v>Jasmine Zheng, Ashley Wu</v>
      </c>
      <c r="AG144" s="23"/>
      <c r="AH144" s="23" t="str">
        <f>IFERROR(__xludf.DUMMYFUNCTION("IF(
ISNUMBER(MATCH(
C144,
IMPORTRANGE(""https://docs.google.com/spreadsheets/d/1yTh1ELC33JHYOeEdgIiEclxPRyh0zOKtlawDltfUay8"",""'Interns'!A:A""),
0
)),
""Outreach Conducted"",
"""")"),"")</f>
        <v/>
      </c>
      <c r="AI144" s="23"/>
      <c r="AJ144" s="23"/>
      <c r="AK144" s="23" t="str">
        <f>IFERROR(__xludf.DUMMYFUNCTION("XLOOKUP(C144, 
   IMPORTRANGE(""1RdEdgHYrZ33LJ7RUHj_h-qkAFL92bcVjtIdVa-UlsCw"", ""Interns!D:D""), 
   IMPORTRANGE(""1RdEdgHYrZ33LJ7RUHj_h-qkAFL92bcVjtIdVa-UlsCw"", ""Interns!M:M""), 
   ""Not Found"")"),"Contacted")</f>
        <v>Contacted</v>
      </c>
      <c r="AL144" s="23" t="str">
        <f>IFERROR(__xludf.DUMMYFUNCTION("XLOOKUP(C144, 
   IMPORTRANGE(""1RdEdgHYrZ33LJ7RUHj_h-qkAFL92bcVjtIdVa-UlsCw"", ""Interns!D:D""), 
   IMPORTRANGE(""1RdEdgHYrZ33LJ7RUHj_h-qkAFL92bcVjtIdVa-UlsCw"", ""Interns!N:N""), 
   ""Not Found"")"),"#Cheers4Careers")</f>
        <v>#Cheers4Careers</v>
      </c>
      <c r="AM144" s="23" t="str">
        <f>IFERROR(__xludf.DUMMYFUNCTION("XLOOKUP(C144, 
   IMPORTRANGE(""1RdEdgHYrZ33LJ7RUHj_h-qkAFL92bcVjtIdVa-UlsCw"", ""Interns!D:D""), 
   IMPORTRANGE(""1RdEdgHYrZ33LJ7RUHj_h-qkAFL92bcVjtIdVa-UlsCw"", ""Interns!O:O""), 
   ""Not Found"")"),"Hetal reached out by email 3/27 followed by text")</f>
        <v>Hetal reached out by email 3/27 followed by text</v>
      </c>
      <c r="AN144" s="23"/>
      <c r="AO144" s="23" t="s">
        <v>6254</v>
      </c>
      <c r="AP144" s="28" t="s">
        <v>5191</v>
      </c>
      <c r="AQ144" s="28" t="s">
        <v>6255</v>
      </c>
      <c r="AR144" s="23" t="s">
        <v>6256</v>
      </c>
      <c r="AS144" s="23"/>
      <c r="AT144" s="23"/>
      <c r="AU144" s="23"/>
      <c r="AV144" s="23"/>
    </row>
    <row r="145">
      <c r="A145" s="28" t="s">
        <v>5202</v>
      </c>
      <c r="B145" s="28" t="s">
        <v>5162</v>
      </c>
      <c r="C145" s="23" t="str">
        <f t="shared" si="1"/>
        <v>Yechi Ma</v>
      </c>
      <c r="D145" s="28" t="s">
        <v>6257</v>
      </c>
      <c r="E145" s="28" t="s">
        <v>6258</v>
      </c>
      <c r="F145" s="23">
        <f t="array" ref="F145">IFERROR(
    INDEX('Hub Interns 226'!A:A, MATCH(C145, 'Hub Interns 226'!B:B, 0)),"")</f>
        <v>1224</v>
      </c>
      <c r="G145" s="23">
        <f t="array" ref="G145">IFERROR(
    INDEX('Hub Users 226'!A:A, MATCH(C145, 'Hub Users 226'!B:B, 0)),"")</f>
        <v>1657</v>
      </c>
      <c r="H145" s="28">
        <v>563.0</v>
      </c>
      <c r="I145" s="28" t="s">
        <v>260</v>
      </c>
      <c r="J145" s="28" t="s">
        <v>5833</v>
      </c>
      <c r="K145" s="28" t="s">
        <v>5186</v>
      </c>
      <c r="L145" s="28" t="s">
        <v>5165</v>
      </c>
      <c r="M145" s="56" t="s">
        <v>6259</v>
      </c>
      <c r="N145" s="57">
        <v>44478.447222222225</v>
      </c>
      <c r="O145" s="58">
        <v>38589.0</v>
      </c>
      <c r="P145" s="28">
        <f t="shared" si="8"/>
        <v>20</v>
      </c>
      <c r="Q145" s="28" t="s">
        <v>240</v>
      </c>
      <c r="R145" s="28" t="s">
        <v>6260</v>
      </c>
      <c r="S145" s="28"/>
      <c r="T145" s="28"/>
      <c r="U145" s="28"/>
      <c r="V145" s="28"/>
      <c r="W145" s="28" t="s">
        <v>1173</v>
      </c>
      <c r="X145" s="28" t="s">
        <v>272</v>
      </c>
      <c r="Y145" s="28" t="s">
        <v>6261</v>
      </c>
      <c r="Z145" s="28" t="s">
        <v>5189</v>
      </c>
      <c r="AA145" s="28" t="s">
        <v>619</v>
      </c>
      <c r="AB145" s="28">
        <v>20.0</v>
      </c>
      <c r="AC145" s="28" t="s">
        <v>25</v>
      </c>
      <c r="AD145" s="23"/>
      <c r="AE145" s="28" t="s">
        <v>10</v>
      </c>
      <c r="AF145" s="23" t="str">
        <f>IFERROR(__xludf.DUMMYFUNCTION("TEXTJOIN("", "", TRUE,
  FILTER(Champions!C:C,
    ISNUMBER(SEARCH(C145, Champions!W:W))
  )
)"),"Anne Tam, Joanne Hsu")</f>
        <v>Anne Tam, Joanne Hsu</v>
      </c>
      <c r="AG145" s="23"/>
      <c r="AH145" s="23" t="str">
        <f>IFERROR(__xludf.DUMMYFUNCTION("IF(
ISNUMBER(MATCH(
C145,
IMPORTRANGE(""https://docs.google.com/spreadsheets/d/1yTh1ELC33JHYOeEdgIiEclxPRyh0zOKtlawDltfUay8"",""'Interns'!A:A""),
0
)),
""Outreach Conducted"",
"""")"),"")</f>
        <v/>
      </c>
      <c r="AI145" s="23"/>
      <c r="AJ145" s="23"/>
      <c r="AK145" s="23" t="str">
        <f>IFERROR(__xludf.DUMMYFUNCTION("XLOOKUP(C145, 
   IMPORTRANGE(""1RdEdgHYrZ33LJ7RUHj_h-qkAFL92bcVjtIdVa-UlsCw"", ""Interns!D:D""), 
   IMPORTRANGE(""1RdEdgHYrZ33LJ7RUHj_h-qkAFL92bcVjtIdVa-UlsCw"", ""Interns!M:M""), 
   ""Not Found"")"),"")</f>
        <v/>
      </c>
      <c r="AL145" s="23" t="str">
        <f>IFERROR(__xludf.DUMMYFUNCTION("XLOOKUP(C145, 
   IMPORTRANGE(""1RdEdgHYrZ33LJ7RUHj_h-qkAFL92bcVjtIdVa-UlsCw"", ""Interns!D:D""), 
   IMPORTRANGE(""1RdEdgHYrZ33LJ7RUHj_h-qkAFL92bcVjtIdVa-UlsCw"", ""Interns!N:N""), 
   ""Not Found"")"),"")</f>
        <v/>
      </c>
      <c r="AM145" s="23" t="str">
        <f>IFERROR(__xludf.DUMMYFUNCTION("XLOOKUP(C145, 
   IMPORTRANGE(""1RdEdgHYrZ33LJ7RUHj_h-qkAFL92bcVjtIdVa-UlsCw"", ""Interns!D:D""), 
   IMPORTRANGE(""1RdEdgHYrZ33LJ7RUHj_h-qkAFL92bcVjtIdVa-UlsCw"", ""Interns!O:O""), 
   ""Not Found"")"),"")</f>
        <v/>
      </c>
      <c r="AN145" s="23"/>
      <c r="AO145" s="23" t="s">
        <v>6262</v>
      </c>
      <c r="AP145" s="28" t="s">
        <v>5182</v>
      </c>
      <c r="AQ145" s="28" t="s">
        <v>6263</v>
      </c>
      <c r="AR145" s="23" t="s">
        <v>6264</v>
      </c>
      <c r="AS145" s="23"/>
      <c r="AT145" s="23"/>
      <c r="AU145" s="23"/>
      <c r="AV145" s="23"/>
    </row>
    <row r="146">
      <c r="A146" s="28" t="s">
        <v>5202</v>
      </c>
      <c r="B146" s="28" t="s">
        <v>5162</v>
      </c>
      <c r="C146" s="23" t="str">
        <f t="shared" si="1"/>
        <v>Guan Pan</v>
      </c>
      <c r="D146" s="28" t="s">
        <v>3643</v>
      </c>
      <c r="E146" s="28" t="s">
        <v>6265</v>
      </c>
      <c r="F146" s="23" t="str">
        <f t="array" ref="F146">IFERROR(
    INDEX('Hub Interns 226'!A:A, MATCH(C146, 'Hub Interns 226'!B:B, 0)),"")</f>
        <v/>
      </c>
      <c r="G146" s="23" t="str">
        <f t="array" ref="G146">IFERROR(
    INDEX('Hub Users 226'!A:A, MATCH(C146, 'Hub Users 226'!B:B, 0)),"")</f>
        <v/>
      </c>
      <c r="H146" s="28">
        <v>31.0</v>
      </c>
      <c r="I146" s="28" t="s">
        <v>290</v>
      </c>
      <c r="J146" s="28" t="s">
        <v>5833</v>
      </c>
      <c r="K146" s="28" t="s">
        <v>5186</v>
      </c>
      <c r="L146" s="28" t="s">
        <v>5196</v>
      </c>
      <c r="M146" s="28"/>
      <c r="N146" s="57">
        <v>43741.63055555556</v>
      </c>
      <c r="O146" s="58"/>
      <c r="P146" s="28"/>
      <c r="Q146" s="28" t="s">
        <v>240</v>
      </c>
      <c r="R146" s="23"/>
      <c r="S146" s="28"/>
      <c r="T146" s="28"/>
      <c r="U146" s="28"/>
      <c r="V146" s="28"/>
      <c r="W146" s="28" t="s">
        <v>380</v>
      </c>
      <c r="X146" s="28" t="s">
        <v>381</v>
      </c>
      <c r="Y146" s="28" t="s">
        <v>6266</v>
      </c>
      <c r="Z146" s="28" t="s">
        <v>5491</v>
      </c>
      <c r="AA146" s="28" t="s">
        <v>5492</v>
      </c>
      <c r="AB146" s="28">
        <v>47.0</v>
      </c>
      <c r="AC146" s="28" t="s">
        <v>25</v>
      </c>
      <c r="AD146" s="23"/>
      <c r="AE146" s="28" t="s">
        <v>4</v>
      </c>
      <c r="AF146" s="23" t="str">
        <f>IFERROR(__xludf.DUMMYFUNCTION("TEXTJOIN("", "", TRUE,
  FILTER(Champions!C:C,
    ISNUMBER(SEARCH(C146, Champions!W:W))
  )
)"),"#N/A")</f>
        <v>#N/A</v>
      </c>
      <c r="AG146" s="23"/>
      <c r="AH146" s="23" t="str">
        <f>IFERROR(__xludf.DUMMYFUNCTION("IF(
ISNUMBER(MATCH(
C146,
IMPORTRANGE(""https://docs.google.com/spreadsheets/d/1yTh1ELC33JHYOeEdgIiEclxPRyh0zOKtlawDltfUay8"",""'Interns'!A:A""),
0
)),
""Outreach Conducted"",
"""")"),"")</f>
        <v/>
      </c>
      <c r="AI146" s="23"/>
      <c r="AJ146" s="23"/>
      <c r="AK146" s="23" t="str">
        <f>IFERROR(__xludf.DUMMYFUNCTION("XLOOKUP(C146, 
   IMPORTRANGE(""1RdEdgHYrZ33LJ7RUHj_h-qkAFL92bcVjtIdVa-UlsCw"", ""Interns!D:D""), 
   IMPORTRANGE(""1RdEdgHYrZ33LJ7RUHj_h-qkAFL92bcVjtIdVa-UlsCw"", ""Interns!M:M""), 
   ""Not Found"")"),"")</f>
        <v/>
      </c>
      <c r="AL146" s="23" t="str">
        <f>IFERROR(__xludf.DUMMYFUNCTION("XLOOKUP(C146, 
   IMPORTRANGE(""1RdEdgHYrZ33LJ7RUHj_h-qkAFL92bcVjtIdVa-UlsCw"", ""Interns!D:D""), 
   IMPORTRANGE(""1RdEdgHYrZ33LJ7RUHj_h-qkAFL92bcVjtIdVa-UlsCw"", ""Interns!N:N""), 
   ""Not Found"")"),"")</f>
        <v/>
      </c>
      <c r="AM146" s="23">
        <f>IFERROR(__xludf.DUMMYFUNCTION("XLOOKUP(C146, 
   IMPORTRANGE(""1RdEdgHYrZ33LJ7RUHj_h-qkAFL92bcVjtIdVa-UlsCw"", ""Interns!D:D""), 
   IMPORTRANGE(""1RdEdgHYrZ33LJ7RUHj_h-qkAFL92bcVjtIdVa-UlsCw"", ""Interns!O:O""), 
   ""Not Found"")"),79.0)</f>
        <v>79</v>
      </c>
      <c r="AN146" s="23"/>
      <c r="AO146" s="23" t="s">
        <v>6267</v>
      </c>
      <c r="AP146" s="28" t="s">
        <v>5182</v>
      </c>
      <c r="AQ146" s="28" t="s">
        <v>6267</v>
      </c>
      <c r="AR146" s="23">
        <v>9.177752577E9</v>
      </c>
      <c r="AS146" s="23"/>
      <c r="AT146" s="23"/>
      <c r="AU146" s="23"/>
      <c r="AV146" s="23"/>
    </row>
    <row r="147">
      <c r="A147" s="28" t="s">
        <v>5202</v>
      </c>
      <c r="B147" s="28" t="s">
        <v>5162</v>
      </c>
      <c r="C147" s="23" t="str">
        <f t="shared" si="1"/>
        <v>MingYan Sun</v>
      </c>
      <c r="D147" s="28" t="s">
        <v>6268</v>
      </c>
      <c r="E147" s="28" t="s">
        <v>1847</v>
      </c>
      <c r="F147" s="23" t="str">
        <f t="array" ref="F147">IFERROR(
    INDEX('Hub Interns 226'!A:A, MATCH(C147, 'Hub Interns 226'!B:B, 0)),"")</f>
        <v/>
      </c>
      <c r="G147" s="23" t="str">
        <f t="array" ref="G147">IFERROR(
    INDEX('Hub Users 226'!A:A, MATCH(C147, 'Hub Users 226'!B:B, 0)),"")</f>
        <v/>
      </c>
      <c r="H147" s="28">
        <v>27.0</v>
      </c>
      <c r="I147" s="28"/>
      <c r="J147" s="28" t="s">
        <v>5833</v>
      </c>
      <c r="K147" s="28" t="s">
        <v>5186</v>
      </c>
      <c r="L147" s="28" t="s">
        <v>5196</v>
      </c>
      <c r="M147" s="28"/>
      <c r="N147" s="57">
        <v>43741.63055555556</v>
      </c>
      <c r="O147" s="58"/>
      <c r="P147" s="28"/>
      <c r="Q147" s="28" t="s">
        <v>240</v>
      </c>
      <c r="R147" s="23"/>
      <c r="S147" s="28"/>
      <c r="T147" s="28"/>
      <c r="U147" s="28"/>
      <c r="V147" s="28"/>
      <c r="W147" s="28" t="s">
        <v>380</v>
      </c>
      <c r="X147" s="28" t="s">
        <v>381</v>
      </c>
      <c r="Y147" s="28" t="s">
        <v>6269</v>
      </c>
      <c r="Z147" s="28" t="s">
        <v>5491</v>
      </c>
      <c r="AA147" s="28" t="s">
        <v>5492</v>
      </c>
      <c r="AB147" s="28">
        <v>47.0</v>
      </c>
      <c r="AC147" s="28" t="s">
        <v>25</v>
      </c>
      <c r="AD147" s="23"/>
      <c r="AE147" s="28" t="s">
        <v>4</v>
      </c>
      <c r="AF147" s="23" t="str">
        <f>IFERROR(__xludf.DUMMYFUNCTION("TEXTJOIN("", "", TRUE,
  FILTER(Champions!C:C,
    ISNUMBER(SEARCH(C147, Champions!W:W))
  )
)"),"#N/A")</f>
        <v>#N/A</v>
      </c>
      <c r="AG147" s="23"/>
      <c r="AH147" s="23" t="str">
        <f>IFERROR(__xludf.DUMMYFUNCTION("IF(
ISNUMBER(MATCH(
C147,
IMPORTRANGE(""https://docs.google.com/spreadsheets/d/1yTh1ELC33JHYOeEdgIiEclxPRyh0zOKtlawDltfUay8"",""'Interns'!A:A""),
0
)),
""Outreach Conducted"",
"""")"),"")</f>
        <v/>
      </c>
      <c r="AI147" s="23"/>
      <c r="AJ147" s="23"/>
      <c r="AK147" s="23" t="str">
        <f>IFERROR(__xludf.DUMMYFUNCTION("XLOOKUP(C147, 
   IMPORTRANGE(""1RdEdgHYrZ33LJ7RUHj_h-qkAFL92bcVjtIdVa-UlsCw"", ""Interns!D:D""), 
   IMPORTRANGE(""1RdEdgHYrZ33LJ7RUHj_h-qkAFL92bcVjtIdVa-UlsCw"", ""Interns!M:M""), 
   ""Not Found"")"),"")</f>
        <v/>
      </c>
      <c r="AL147" s="23" t="str">
        <f>IFERROR(__xludf.DUMMYFUNCTION("XLOOKUP(C147, 
   IMPORTRANGE(""1RdEdgHYrZ33LJ7RUHj_h-qkAFL92bcVjtIdVa-UlsCw"", ""Interns!D:D""), 
   IMPORTRANGE(""1RdEdgHYrZ33LJ7RUHj_h-qkAFL92bcVjtIdVa-UlsCw"", ""Interns!N:N""), 
   ""Not Found"")"),"")</f>
        <v/>
      </c>
      <c r="AM147" s="23" t="str">
        <f>IFERROR(__xludf.DUMMYFUNCTION("XLOOKUP(C147, 
   IMPORTRANGE(""1RdEdgHYrZ33LJ7RUHj_h-qkAFL92bcVjtIdVa-UlsCw"", ""Interns!D:D""), 
   IMPORTRANGE(""1RdEdgHYrZ33LJ7RUHj_h-qkAFL92bcVjtIdVa-UlsCw"", ""Interns!O:O""), 
   ""Not Found"")"),"")</f>
        <v/>
      </c>
      <c r="AN147" s="23"/>
      <c r="AO147" s="23" t="s">
        <v>6270</v>
      </c>
      <c r="AP147" s="28" t="s">
        <v>5182</v>
      </c>
      <c r="AQ147" s="28" t="s">
        <v>6270</v>
      </c>
      <c r="AR147" s="23" t="s">
        <v>6271</v>
      </c>
      <c r="AS147" s="23"/>
      <c r="AT147" s="23"/>
      <c r="AU147" s="23"/>
      <c r="AV147" s="23"/>
    </row>
    <row r="148">
      <c r="A148" s="28" t="s">
        <v>5202</v>
      </c>
      <c r="B148" s="28" t="s">
        <v>5162</v>
      </c>
      <c r="C148" s="23" t="str">
        <f t="shared" si="1"/>
        <v>Yi Chen</v>
      </c>
      <c r="D148" s="28" t="s">
        <v>6272</v>
      </c>
      <c r="E148" s="28" t="s">
        <v>1741</v>
      </c>
      <c r="F148" s="23" t="str">
        <f t="array" ref="F148">IFERROR(
    INDEX('Hub Interns 226'!A:A, MATCH(C148, 'Hub Interns 226'!B:B, 0)),"")</f>
        <v/>
      </c>
      <c r="G148" s="23">
        <f t="array" ref="G148">IFERROR(
    INDEX('Hub Users 226'!A:A, MATCH(C148, 'Hub Users 226'!B:B, 0)),"")</f>
        <v>791</v>
      </c>
      <c r="H148" s="28">
        <v>115.0</v>
      </c>
      <c r="I148" s="28" t="s">
        <v>260</v>
      </c>
      <c r="J148" s="28" t="s">
        <v>5833</v>
      </c>
      <c r="K148" s="28" t="s">
        <v>5186</v>
      </c>
      <c r="L148" s="28" t="s">
        <v>5196</v>
      </c>
      <c r="M148" s="56" t="s">
        <v>6273</v>
      </c>
      <c r="N148" s="57">
        <v>43772.771527777775</v>
      </c>
      <c r="O148" s="58"/>
      <c r="P148" s="28"/>
      <c r="Q148" s="28" t="s">
        <v>240</v>
      </c>
      <c r="R148" s="23"/>
      <c r="S148" s="28"/>
      <c r="T148" s="28"/>
      <c r="U148" s="28"/>
      <c r="V148" s="28"/>
      <c r="W148" s="28" t="s">
        <v>1173</v>
      </c>
      <c r="X148" s="28" t="s">
        <v>272</v>
      </c>
      <c r="Y148" s="28">
        <v>6.464203516E9</v>
      </c>
      <c r="Z148" s="28" t="s">
        <v>5303</v>
      </c>
      <c r="AA148" s="28" t="s">
        <v>395</v>
      </c>
      <c r="AB148" s="28">
        <v>20.0</v>
      </c>
      <c r="AC148" s="28" t="s">
        <v>25</v>
      </c>
      <c r="AD148" s="28" t="s">
        <v>101</v>
      </c>
      <c r="AE148" s="28" t="s">
        <v>6</v>
      </c>
      <c r="AF148" s="23" t="str">
        <f>IFERROR(__xludf.DUMMYFUNCTION("TEXTJOIN("", "", TRUE,
  FILTER(Champions!C:C,
    ISNUMBER(SEARCH(C148, Champions!W:W))
  )
)"),"Jamie Huang Chu")</f>
        <v>Jamie Huang Chu</v>
      </c>
      <c r="AG148" s="23"/>
      <c r="AH148" s="23" t="str">
        <f>IFERROR(__xludf.DUMMYFUNCTION("IF(
ISNUMBER(MATCH(
C148,
IMPORTRANGE(""https://docs.google.com/spreadsheets/d/1yTh1ELC33JHYOeEdgIiEclxPRyh0zOKtlawDltfUay8"",""'Interns'!A:A""),
0
)),
""Outreach Conducted"",
"""")"),"")</f>
        <v/>
      </c>
      <c r="AI148" s="23"/>
      <c r="AJ148" s="23"/>
      <c r="AK148" s="23" t="str">
        <f>IFERROR(__xludf.DUMMYFUNCTION("XLOOKUP(C148, 
   IMPORTRANGE(""1RdEdgHYrZ33LJ7RUHj_h-qkAFL92bcVjtIdVa-UlsCw"", ""Interns!D:D""), 
   IMPORTRANGE(""1RdEdgHYrZ33LJ7RUHj_h-qkAFL92bcVjtIdVa-UlsCw"", ""Interns!M:M""), 
   ""Not Found"")"),"")</f>
        <v/>
      </c>
      <c r="AL148" s="23" t="str">
        <f>IFERROR(__xludf.DUMMYFUNCTION("XLOOKUP(C148, 
   IMPORTRANGE(""1RdEdgHYrZ33LJ7RUHj_h-qkAFL92bcVjtIdVa-UlsCw"", ""Interns!D:D""), 
   IMPORTRANGE(""1RdEdgHYrZ33LJ7RUHj_h-qkAFL92bcVjtIdVa-UlsCw"", ""Interns!N:N""), 
   ""Not Found"")"),"")</f>
        <v/>
      </c>
      <c r="AM148" s="23" t="str">
        <f>IFERROR(__xludf.DUMMYFUNCTION("XLOOKUP(C148, 
   IMPORTRANGE(""1RdEdgHYrZ33LJ7RUHj_h-qkAFL92bcVjtIdVa-UlsCw"", ""Interns!D:D""), 
   IMPORTRANGE(""1RdEdgHYrZ33LJ7RUHj_h-qkAFL92bcVjtIdVa-UlsCw"", ""Interns!O:O""), 
   ""Not Found"")"),"")</f>
        <v/>
      </c>
      <c r="AN148" s="23"/>
      <c r="AO148" s="23" t="s">
        <v>6274</v>
      </c>
      <c r="AP148" s="28" t="s">
        <v>5191</v>
      </c>
      <c r="AQ148" s="28" t="s">
        <v>6275</v>
      </c>
      <c r="AR148" s="23" t="s">
        <v>6276</v>
      </c>
      <c r="AS148" s="23"/>
      <c r="AT148" s="23"/>
      <c r="AU148" s="23"/>
      <c r="AV148" s="23"/>
    </row>
    <row r="149">
      <c r="A149" s="28" t="s">
        <v>5202</v>
      </c>
      <c r="B149" s="28" t="s">
        <v>5162</v>
      </c>
      <c r="C149" s="23" t="str">
        <f t="shared" si="1"/>
        <v>Sharon Gomez</v>
      </c>
      <c r="D149" s="28" t="s">
        <v>3095</v>
      </c>
      <c r="E149" s="28" t="s">
        <v>6277</v>
      </c>
      <c r="F149" s="23">
        <f t="array" ref="F149">IFERROR(
    INDEX('Hub Interns 226'!A:A, MATCH(C149, 'Hub Interns 226'!B:B, 0)),"")</f>
        <v>1095</v>
      </c>
      <c r="G149" s="23">
        <f t="array" ref="G149">IFERROR(
    INDEX('Hub Users 226'!A:A, MATCH(C149, 'Hub Users 226'!B:B, 0)),"")</f>
        <v>1528</v>
      </c>
      <c r="H149" s="28">
        <v>1387.0</v>
      </c>
      <c r="I149" s="28" t="s">
        <v>260</v>
      </c>
      <c r="J149" s="28" t="s">
        <v>5766</v>
      </c>
      <c r="K149" s="28" t="s">
        <v>5463</v>
      </c>
      <c r="L149" s="28" t="s">
        <v>5196</v>
      </c>
      <c r="M149" s="56" t="s">
        <v>6278</v>
      </c>
      <c r="N149" s="59">
        <v>44862.527083333334</v>
      </c>
      <c r="O149" s="58">
        <v>40238.0</v>
      </c>
      <c r="P149" s="28">
        <f t="shared" ref="P149:P176" si="9">DATEDIF(O149, TODAY(), "Y")</f>
        <v>16</v>
      </c>
      <c r="Q149" s="28" t="s">
        <v>6279</v>
      </c>
      <c r="R149" s="28" t="s">
        <v>6280</v>
      </c>
      <c r="S149" s="28">
        <v>6.0</v>
      </c>
      <c r="T149" s="28">
        <v>12.0</v>
      </c>
      <c r="U149" s="28">
        <v>30.0</v>
      </c>
      <c r="V149" s="28">
        <v>26.0</v>
      </c>
      <c r="W149" s="28" t="s">
        <v>1173</v>
      </c>
      <c r="X149" s="28" t="s">
        <v>272</v>
      </c>
      <c r="Y149" s="28" t="s">
        <v>6281</v>
      </c>
      <c r="Z149" s="28" t="s">
        <v>5352</v>
      </c>
      <c r="AA149" s="28" t="s">
        <v>5287</v>
      </c>
      <c r="AB149" s="28">
        <v>26.0</v>
      </c>
      <c r="AC149" s="28" t="s">
        <v>23</v>
      </c>
      <c r="AD149" s="28" t="s">
        <v>101</v>
      </c>
      <c r="AE149" s="28" t="s">
        <v>15</v>
      </c>
      <c r="AF149" s="23"/>
      <c r="AG149" s="23"/>
      <c r="AH149" s="23" t="str">
        <f>IFERROR(__xludf.DUMMYFUNCTION("IF(
ISNUMBER(MATCH(
C149,
IMPORTRANGE(""https://docs.google.com/spreadsheets/d/1yTh1ELC33JHYOeEdgIiEclxPRyh0zOKtlawDltfUay8"",""'Interns'!A:A""),
0
)),
""Outreach Conducted"",
"""")"),"")</f>
        <v/>
      </c>
      <c r="AI149" s="23"/>
      <c r="AJ149" s="23"/>
      <c r="AK149" s="23" t="str">
        <f>IFERROR(__xludf.DUMMYFUNCTION("XLOOKUP(C149, 
   IMPORTRANGE(""1RdEdgHYrZ33LJ7RUHj_h-qkAFL92bcVjtIdVa-UlsCw"", ""Interns!D:D""), 
   IMPORTRANGE(""1RdEdgHYrZ33LJ7RUHj_h-qkAFL92bcVjtIdVa-UlsCw"", ""Interns!M:M""), 
   ""Not Found"")"),"")</f>
        <v/>
      </c>
      <c r="AL149" s="23" t="str">
        <f>IFERROR(__xludf.DUMMYFUNCTION("XLOOKUP(C149, 
   IMPORTRANGE(""1RdEdgHYrZ33LJ7RUHj_h-qkAFL92bcVjtIdVa-UlsCw"", ""Interns!D:D""), 
   IMPORTRANGE(""1RdEdgHYrZ33LJ7RUHj_h-qkAFL92bcVjtIdVa-UlsCw"", ""Interns!N:N""), 
   ""Not Found"")"),"")</f>
        <v/>
      </c>
      <c r="AM149" s="23" t="str">
        <f>IFERROR(__xludf.DUMMYFUNCTION("XLOOKUP(C149, 
   IMPORTRANGE(""1RdEdgHYrZ33LJ7RUHj_h-qkAFL92bcVjtIdVa-UlsCw"", ""Interns!D:D""), 
   IMPORTRANGE(""1RdEdgHYrZ33LJ7RUHj_h-qkAFL92bcVjtIdVa-UlsCw"", ""Interns!O:O""), 
   ""Not Found"")"),"")</f>
        <v/>
      </c>
      <c r="AN149" s="23"/>
      <c r="AO149" s="23" t="s">
        <v>6282</v>
      </c>
      <c r="AP149" s="28" t="s">
        <v>5182</v>
      </c>
      <c r="AQ149" s="28"/>
      <c r="AR149" s="23"/>
      <c r="AS149" s="23"/>
      <c r="AT149" s="23"/>
      <c r="AU149" s="23"/>
      <c r="AV149" s="23"/>
    </row>
    <row r="150">
      <c r="A150" s="28" t="s">
        <v>5161</v>
      </c>
      <c r="B150" s="28" t="s">
        <v>5162</v>
      </c>
      <c r="C150" s="23" t="str">
        <f t="shared" si="1"/>
        <v>Xinyao Yang</v>
      </c>
      <c r="D150" s="28" t="s">
        <v>6283</v>
      </c>
      <c r="E150" s="28" t="s">
        <v>5832</v>
      </c>
      <c r="F150" s="23">
        <f t="array" ref="F150">IFERROR(
    INDEX('Hub Interns 226'!A:A, MATCH(C150, 'Hub Interns 226'!B:B, 0)),"")</f>
        <v>1205</v>
      </c>
      <c r="G150" s="23">
        <f t="array" ref="G150">IFERROR(
    INDEX('Hub Users 226'!A:A, MATCH(C150, 'Hub Users 226'!B:B, 0)),"")</f>
        <v>1638</v>
      </c>
      <c r="H150" s="28">
        <v>336.0</v>
      </c>
      <c r="I150" s="28" t="s">
        <v>407</v>
      </c>
      <c r="J150" s="28" t="s">
        <v>5833</v>
      </c>
      <c r="K150" s="28" t="s">
        <v>5186</v>
      </c>
      <c r="L150" s="28" t="s">
        <v>5196</v>
      </c>
      <c r="M150" s="56" t="s">
        <v>6284</v>
      </c>
      <c r="N150" s="57">
        <v>44243.39513888889</v>
      </c>
      <c r="O150" s="58">
        <v>37900.0</v>
      </c>
      <c r="P150" s="28">
        <f t="shared" si="9"/>
        <v>22</v>
      </c>
      <c r="Q150" s="28" t="s">
        <v>240</v>
      </c>
      <c r="R150" s="28" t="s">
        <v>6285</v>
      </c>
      <c r="S150" s="28">
        <v>6.0</v>
      </c>
      <c r="T150" s="28">
        <v>16.0</v>
      </c>
      <c r="U150" s="28">
        <v>40.0</v>
      </c>
      <c r="V150" s="28">
        <v>20.0</v>
      </c>
      <c r="W150" s="28" t="s">
        <v>1173</v>
      </c>
      <c r="X150" s="28" t="s">
        <v>272</v>
      </c>
      <c r="Y150" s="28" t="s">
        <v>6286</v>
      </c>
      <c r="Z150" s="28" t="s">
        <v>5189</v>
      </c>
      <c r="AA150" s="28" t="s">
        <v>619</v>
      </c>
      <c r="AB150" s="28">
        <v>20.0</v>
      </c>
      <c r="AC150" s="28" t="s">
        <v>25</v>
      </c>
      <c r="AD150" s="23"/>
      <c r="AE150" s="28" t="s">
        <v>8</v>
      </c>
      <c r="AF150" s="23" t="str">
        <f>IFERROR(__xludf.DUMMYFUNCTION("TEXTJOIN("", "", TRUE,
  FILTER(Champions!C:C,
    ISNUMBER(SEARCH(C150, Champions!W:W))
  )
)"),"Casey Burry, Ashley Wu")</f>
        <v>Casey Burry, Ashley Wu</v>
      </c>
      <c r="AG150" s="23"/>
      <c r="AH150" s="23" t="str">
        <f>IFERROR(__xludf.DUMMYFUNCTION("IF(
ISNUMBER(MATCH(
C150,
IMPORTRANGE(""https://docs.google.com/spreadsheets/d/1yTh1ELC33JHYOeEdgIiEclxPRyh0zOKtlawDltfUay8"",""'Interns'!A:A""),
0
)),
""Outreach Conducted"",
"""")"),"")</f>
        <v/>
      </c>
      <c r="AI150" s="23"/>
      <c r="AJ150" s="23"/>
      <c r="AK150" s="23" t="str">
        <f>IFERROR(__xludf.DUMMYFUNCTION("XLOOKUP(C150, 
   IMPORTRANGE(""1RdEdgHYrZ33LJ7RUHj_h-qkAFL92bcVjtIdVa-UlsCw"", ""Interns!D:D""), 
   IMPORTRANGE(""1RdEdgHYrZ33LJ7RUHj_h-qkAFL92bcVjtIdVa-UlsCw"", ""Interns!M:M""), 
   ""Not Found"")"),"Contacted")</f>
        <v>Contacted</v>
      </c>
      <c r="AL150" s="23" t="str">
        <f>IFERROR(__xludf.DUMMYFUNCTION("XLOOKUP(C150, 
   IMPORTRANGE(""1RdEdgHYrZ33LJ7RUHj_h-qkAFL92bcVjtIdVa-UlsCw"", ""Interns!D:D""), 
   IMPORTRANGE(""1RdEdgHYrZ33LJ7RUHj_h-qkAFL92bcVjtIdVa-UlsCw"", ""Interns!N:N""), 
   ""Not Found"")"),"#Cheers4Careers")</f>
        <v>#Cheers4Careers</v>
      </c>
      <c r="AM150" s="23" t="str">
        <f>IFERROR(__xludf.DUMMYFUNCTION("XLOOKUP(C150, 
   IMPORTRANGE(""1RdEdgHYrZ33LJ7RUHj_h-qkAFL92bcVjtIdVa-UlsCw"", ""Interns!D:D""), 
   IMPORTRANGE(""1RdEdgHYrZ33LJ7RUHj_h-qkAFL92bcVjtIdVa-UlsCw"", ""Interns!O:O""), 
   ""Not Found"")"),"Hetal reached out by email 3/27 followed by text")</f>
        <v>Hetal reached out by email 3/27 followed by text</v>
      </c>
      <c r="AN150" s="23"/>
      <c r="AO150" s="23" t="s">
        <v>6287</v>
      </c>
      <c r="AP150" s="28" t="s">
        <v>5989</v>
      </c>
      <c r="AQ150" s="28" t="s">
        <v>6288</v>
      </c>
      <c r="AR150" s="23" t="s">
        <v>6289</v>
      </c>
      <c r="AS150" s="23"/>
      <c r="AT150" s="23"/>
      <c r="AU150" s="23"/>
      <c r="AV150" s="23"/>
    </row>
    <row r="151">
      <c r="A151" s="28" t="s">
        <v>5161</v>
      </c>
      <c r="B151" s="28" t="s">
        <v>5162</v>
      </c>
      <c r="C151" s="23" t="str">
        <f t="shared" si="1"/>
        <v>Yongjian Dai</v>
      </c>
      <c r="D151" s="28" t="s">
        <v>6290</v>
      </c>
      <c r="E151" s="28" t="s">
        <v>6291</v>
      </c>
      <c r="F151" s="23">
        <f t="array" ref="F151">IFERROR(
    INDEX('Hub Interns 226'!A:A, MATCH(C151, 'Hub Interns 226'!B:B, 0)),"")</f>
        <v>1238</v>
      </c>
      <c r="G151" s="23">
        <f t="array" ref="G151">IFERROR(
    INDEX('Hub Users 226'!A:A, MATCH(C151, 'Hub Users 226'!B:B, 0)),"")</f>
        <v>1671</v>
      </c>
      <c r="H151" s="28">
        <v>632.0</v>
      </c>
      <c r="I151" s="28" t="s">
        <v>260</v>
      </c>
      <c r="J151" s="28" t="s">
        <v>5833</v>
      </c>
      <c r="K151" s="28" t="s">
        <v>5186</v>
      </c>
      <c r="L151" s="28" t="s">
        <v>5165</v>
      </c>
      <c r="M151" s="56" t="s">
        <v>6292</v>
      </c>
      <c r="N151" s="59">
        <v>44498.48333333333</v>
      </c>
      <c r="O151" s="58">
        <v>38491.0</v>
      </c>
      <c r="P151" s="28">
        <f t="shared" si="9"/>
        <v>21</v>
      </c>
      <c r="Q151" s="28" t="s">
        <v>6293</v>
      </c>
      <c r="R151" s="28" t="s">
        <v>6294</v>
      </c>
      <c r="S151" s="28">
        <v>6.0</v>
      </c>
      <c r="T151" s="28">
        <v>16.0</v>
      </c>
      <c r="U151" s="28">
        <v>25.0</v>
      </c>
      <c r="V151" s="28">
        <v>20.0</v>
      </c>
      <c r="W151" s="28" t="s">
        <v>1173</v>
      </c>
      <c r="X151" s="28" t="s">
        <v>272</v>
      </c>
      <c r="Y151" s="28" t="s">
        <v>6295</v>
      </c>
      <c r="Z151" s="28" t="s">
        <v>5189</v>
      </c>
      <c r="AA151" s="28" t="s">
        <v>619</v>
      </c>
      <c r="AB151" s="28">
        <v>20.0</v>
      </c>
      <c r="AC151" s="28" t="s">
        <v>25</v>
      </c>
      <c r="AD151" s="23"/>
      <c r="AE151" s="28" t="s">
        <v>10</v>
      </c>
      <c r="AF151" s="23" t="str">
        <f>IFERROR(__xludf.DUMMYFUNCTION("TEXTJOIN("", "", TRUE,
  FILTER(Champions!C:C,
    ISNUMBER(SEARCH(C151, Champions!W:W))
  )
)"),"Elise George, Ping Wang")</f>
        <v>Elise George, Ping Wang</v>
      </c>
      <c r="AG151" s="23"/>
      <c r="AH151" s="23" t="str">
        <f>IFERROR(__xludf.DUMMYFUNCTION("IF(
ISNUMBER(MATCH(
C151,
IMPORTRANGE(""https://docs.google.com/spreadsheets/d/1yTh1ELC33JHYOeEdgIiEclxPRyh0zOKtlawDltfUay8"",""'Interns'!A:A""),
0
)),
""Outreach Conducted"",
"""")"),"")</f>
        <v/>
      </c>
      <c r="AI151" s="23"/>
      <c r="AJ151" s="23"/>
      <c r="AK151" s="23" t="str">
        <f>IFERROR(__xludf.DUMMYFUNCTION("XLOOKUP(C151, 
   IMPORTRANGE(""1RdEdgHYrZ33LJ7RUHj_h-qkAFL92bcVjtIdVa-UlsCw"", ""Interns!D:D""), 
   IMPORTRANGE(""1RdEdgHYrZ33LJ7RUHj_h-qkAFL92bcVjtIdVa-UlsCw"", ""Interns!M:M""), 
   ""Not Found"")"),"Contacted")</f>
        <v>Contacted</v>
      </c>
      <c r="AL151" s="23" t="str">
        <f>IFERROR(__xludf.DUMMYFUNCTION("XLOOKUP(C151, 
   IMPORTRANGE(""1RdEdgHYrZ33LJ7RUHj_h-qkAFL92bcVjtIdVa-UlsCw"", ""Interns!D:D""), 
   IMPORTRANGE(""1RdEdgHYrZ33LJ7RUHj_h-qkAFL92bcVjtIdVa-UlsCw"", ""Interns!N:N""), 
   ""Not Found"")"),"#Cheers4Careers")</f>
        <v>#Cheers4Careers</v>
      </c>
      <c r="AM151" s="23" t="str">
        <f>IFERROR(__xludf.DUMMYFUNCTION("XLOOKUP(C151, 
   IMPORTRANGE(""1RdEdgHYrZ33LJ7RUHj_h-qkAFL92bcVjtIdVa-UlsCw"", ""Interns!D:D""), 
   IMPORTRANGE(""1RdEdgHYrZ33LJ7RUHj_h-qkAFL92bcVjtIdVa-UlsCw"", ""Interns!O:O""), 
   ""Not Found"")"),"Hetal reached out by email 3/27 followed by text")</f>
        <v>Hetal reached out by email 3/27 followed by text</v>
      </c>
      <c r="AN151" s="23"/>
      <c r="AO151" s="23" t="s">
        <v>6296</v>
      </c>
      <c r="AP151" s="28" t="s">
        <v>5182</v>
      </c>
      <c r="AQ151" s="28" t="s">
        <v>6292</v>
      </c>
      <c r="AR151" s="23" t="s">
        <v>6297</v>
      </c>
      <c r="AS151" s="23"/>
      <c r="AT151" s="23"/>
      <c r="AU151" s="23"/>
      <c r="AV151" s="23"/>
    </row>
    <row r="152">
      <c r="A152" s="28" t="s">
        <v>5161</v>
      </c>
      <c r="B152" s="28" t="s">
        <v>5162</v>
      </c>
      <c r="C152" s="23" t="str">
        <f t="shared" si="1"/>
        <v>Sijia Su</v>
      </c>
      <c r="D152" s="28" t="s">
        <v>6298</v>
      </c>
      <c r="E152" s="28" t="s">
        <v>6299</v>
      </c>
      <c r="F152" s="23">
        <f t="array" ref="F152">IFERROR(
    INDEX('Hub Interns 226'!A:A, MATCH(C152, 'Hub Interns 226'!B:B, 0)),"")</f>
        <v>1103</v>
      </c>
      <c r="G152" s="23">
        <f t="array" ref="G152">IFERROR(
    INDEX('Hub Users 226'!A:A, MATCH(C152, 'Hub Users 226'!B:B, 0)),"")</f>
        <v>1536</v>
      </c>
      <c r="H152" s="28">
        <v>569.0</v>
      </c>
      <c r="I152" s="28" t="s">
        <v>302</v>
      </c>
      <c r="J152" s="28" t="s">
        <v>5833</v>
      </c>
      <c r="K152" s="28" t="s">
        <v>5186</v>
      </c>
      <c r="L152" s="28" t="s">
        <v>5196</v>
      </c>
      <c r="M152" s="56" t="s">
        <v>6300</v>
      </c>
      <c r="N152" s="59">
        <v>44479.85</v>
      </c>
      <c r="O152" s="58">
        <v>37934.0</v>
      </c>
      <c r="P152" s="28">
        <f t="shared" si="9"/>
        <v>22</v>
      </c>
      <c r="Q152" s="28" t="s">
        <v>240</v>
      </c>
      <c r="R152" s="28" t="s">
        <v>6301</v>
      </c>
      <c r="S152" s="28">
        <v>6.0</v>
      </c>
      <c r="T152" s="28">
        <v>16.0</v>
      </c>
      <c r="U152" s="28">
        <v>40.0</v>
      </c>
      <c r="V152" s="28">
        <v>20.0</v>
      </c>
      <c r="W152" s="28" t="s">
        <v>1173</v>
      </c>
      <c r="X152" s="28" t="s">
        <v>272</v>
      </c>
      <c r="Y152" s="28" t="s">
        <v>6302</v>
      </c>
      <c r="Z152" s="28" t="s">
        <v>5189</v>
      </c>
      <c r="AA152" s="28" t="s">
        <v>619</v>
      </c>
      <c r="AB152" s="28">
        <v>20.0</v>
      </c>
      <c r="AC152" s="28" t="s">
        <v>25</v>
      </c>
      <c r="AD152" s="23"/>
      <c r="AE152" s="28" t="s">
        <v>10</v>
      </c>
      <c r="AF152" s="23" t="str">
        <f>IFERROR(__xludf.DUMMYFUNCTION("TEXTJOIN("", "", TRUE,
  FILTER(Champions!C:C,
    ISNUMBER(SEARCH(C152, Champions!W:W))
  )
)"),"Debaleena Majumdar, Samar Deen, Johnny Wang")</f>
        <v>Debaleena Majumdar, Samar Deen, Johnny Wang</v>
      </c>
      <c r="AG152" s="23"/>
      <c r="AH152" s="23" t="str">
        <f>IFERROR(__xludf.DUMMYFUNCTION("IF(
ISNUMBER(MATCH(
C152,
IMPORTRANGE(""https://docs.google.com/spreadsheets/d/1yTh1ELC33JHYOeEdgIiEclxPRyh0zOKtlawDltfUay8"",""'Interns'!A:A""),
0
)),
""Outreach Conducted"",
"""")"),"")</f>
        <v/>
      </c>
      <c r="AI152" s="23"/>
      <c r="AJ152" s="23"/>
      <c r="AK152" s="23" t="str">
        <f>IFERROR(__xludf.DUMMYFUNCTION("XLOOKUP(C152, 
   IMPORTRANGE(""1RdEdgHYrZ33LJ7RUHj_h-qkAFL92bcVjtIdVa-UlsCw"", ""Interns!D:D""), 
   IMPORTRANGE(""1RdEdgHYrZ33LJ7RUHj_h-qkAFL92bcVjtIdVa-UlsCw"", ""Interns!M:M""), 
   ""Not Found"")"),"Contacted")</f>
        <v>Contacted</v>
      </c>
      <c r="AL152" s="23" t="str">
        <f>IFERROR(__xludf.DUMMYFUNCTION("XLOOKUP(C152, 
   IMPORTRANGE(""1RdEdgHYrZ33LJ7RUHj_h-qkAFL92bcVjtIdVa-UlsCw"", ""Interns!D:D""), 
   IMPORTRANGE(""1RdEdgHYrZ33LJ7RUHj_h-qkAFL92bcVjtIdVa-UlsCw"", ""Interns!N:N""), 
   ""Not Found"")"),"#Cheers4Careers")</f>
        <v>#Cheers4Careers</v>
      </c>
      <c r="AM152" s="23" t="str">
        <f>IFERROR(__xludf.DUMMYFUNCTION("XLOOKUP(C152, 
   IMPORTRANGE(""1RdEdgHYrZ33LJ7RUHj_h-qkAFL92bcVjtIdVa-UlsCw"", ""Interns!D:D""), 
   IMPORTRANGE(""1RdEdgHYrZ33LJ7RUHj_h-qkAFL92bcVjtIdVa-UlsCw"", ""Interns!O:O""), 
   ""Not Found"")"),"Hetal reached out by email 3/27 followed by text")</f>
        <v>Hetal reached out by email 3/27 followed by text</v>
      </c>
      <c r="AN152" s="23"/>
      <c r="AO152" s="23" t="s">
        <v>6303</v>
      </c>
      <c r="AP152" s="28" t="s">
        <v>5191</v>
      </c>
      <c r="AQ152" s="28" t="s">
        <v>6300</v>
      </c>
      <c r="AR152" s="23" t="s">
        <v>6302</v>
      </c>
      <c r="AS152" s="23"/>
      <c r="AT152" s="23"/>
      <c r="AU152" s="23"/>
      <c r="AV152" s="23"/>
    </row>
    <row r="153">
      <c r="A153" s="28" t="s">
        <v>5161</v>
      </c>
      <c r="B153" s="28" t="s">
        <v>5162</v>
      </c>
      <c r="C153" s="23" t="str">
        <f t="shared" si="1"/>
        <v>Shichuan Zhou</v>
      </c>
      <c r="D153" s="28" t="s">
        <v>6304</v>
      </c>
      <c r="E153" s="28" t="s">
        <v>3318</v>
      </c>
      <c r="F153" s="23">
        <f t="array" ref="F153">IFERROR(
    INDEX('Hub Interns 226'!A:A, MATCH(C153, 'Hub Interns 226'!B:B, 0)),"")</f>
        <v>1099</v>
      </c>
      <c r="G153" s="23">
        <f t="array" ref="G153">IFERROR(
    INDEX('Hub Users 226'!A:A, MATCH(C153, 'Hub Users 226'!B:B, 0)),"")</f>
        <v>1532</v>
      </c>
      <c r="H153" s="28">
        <v>619.0</v>
      </c>
      <c r="I153" s="28" t="s">
        <v>407</v>
      </c>
      <c r="J153" s="28" t="s">
        <v>5833</v>
      </c>
      <c r="K153" s="28" t="s">
        <v>5186</v>
      </c>
      <c r="L153" s="28" t="s">
        <v>5165</v>
      </c>
      <c r="M153" s="56" t="s">
        <v>6305</v>
      </c>
      <c r="N153" s="59">
        <v>44495.55</v>
      </c>
      <c r="O153" s="58">
        <v>38461.0</v>
      </c>
      <c r="P153" s="28">
        <f t="shared" si="9"/>
        <v>21</v>
      </c>
      <c r="Q153" s="28" t="s">
        <v>6306</v>
      </c>
      <c r="R153" s="28" t="s">
        <v>6307</v>
      </c>
      <c r="S153" s="28">
        <v>6.0</v>
      </c>
      <c r="T153" s="28">
        <v>16.0</v>
      </c>
      <c r="U153" s="28">
        <v>25.0</v>
      </c>
      <c r="V153" s="28">
        <v>20.0</v>
      </c>
      <c r="W153" s="28" t="s">
        <v>1173</v>
      </c>
      <c r="X153" s="28" t="s">
        <v>272</v>
      </c>
      <c r="Y153" s="28" t="s">
        <v>6308</v>
      </c>
      <c r="Z153" s="28" t="s">
        <v>5189</v>
      </c>
      <c r="AA153" s="28" t="s">
        <v>619</v>
      </c>
      <c r="AB153" s="28">
        <v>20.0</v>
      </c>
      <c r="AC153" s="28" t="s">
        <v>25</v>
      </c>
      <c r="AD153" s="23"/>
      <c r="AE153" s="28" t="s">
        <v>10</v>
      </c>
      <c r="AF153" s="23" t="str">
        <f>IFERROR(__xludf.DUMMYFUNCTION("TEXTJOIN("", "", TRUE,
  FILTER(Champions!C:C,
    ISNUMBER(SEARCH(C153, Champions!W:W))
  )
)"),"Elise George, Yeji Lee")</f>
        <v>Elise George, Yeji Lee</v>
      </c>
      <c r="AG153" s="23"/>
      <c r="AH153" s="23" t="str">
        <f>IFERROR(__xludf.DUMMYFUNCTION("IF(
ISNUMBER(MATCH(
C153,
IMPORTRANGE(""https://docs.google.com/spreadsheets/d/1yTh1ELC33JHYOeEdgIiEclxPRyh0zOKtlawDltfUay8"",""'Interns'!A:A""),
0
)),
""Outreach Conducted"",
"""")"),"")</f>
        <v/>
      </c>
      <c r="AI153" s="23"/>
      <c r="AJ153" s="23"/>
      <c r="AK153" s="23" t="str">
        <f>IFERROR(__xludf.DUMMYFUNCTION("XLOOKUP(C153, 
   IMPORTRANGE(""1RdEdgHYrZ33LJ7RUHj_h-qkAFL92bcVjtIdVa-UlsCw"", ""Interns!D:D""), 
   IMPORTRANGE(""1RdEdgHYrZ33LJ7RUHj_h-qkAFL92bcVjtIdVa-UlsCw"", ""Interns!M:M""), 
   ""Not Found"")"),"Contacted")</f>
        <v>Contacted</v>
      </c>
      <c r="AL153" s="23" t="str">
        <f>IFERROR(__xludf.DUMMYFUNCTION("XLOOKUP(C153, 
   IMPORTRANGE(""1RdEdgHYrZ33LJ7RUHj_h-qkAFL92bcVjtIdVa-UlsCw"", ""Interns!D:D""), 
   IMPORTRANGE(""1RdEdgHYrZ33LJ7RUHj_h-qkAFL92bcVjtIdVa-UlsCw"", ""Interns!N:N""), 
   ""Not Found"")"),"#Cheers4Careers")</f>
        <v>#Cheers4Careers</v>
      </c>
      <c r="AM153" s="23" t="str">
        <f>IFERROR(__xludf.DUMMYFUNCTION("XLOOKUP(C153, 
   IMPORTRANGE(""1RdEdgHYrZ33LJ7RUHj_h-qkAFL92bcVjtIdVa-UlsCw"", ""Interns!D:D""), 
   IMPORTRANGE(""1RdEdgHYrZ33LJ7RUHj_h-qkAFL92bcVjtIdVa-UlsCw"", ""Interns!O:O""), 
   ""Not Found"")"),"Hetal reached out by email 3/27 followed by text")</f>
        <v>Hetal reached out by email 3/27 followed by text</v>
      </c>
      <c r="AN153" s="23"/>
      <c r="AO153" s="23" t="s">
        <v>6309</v>
      </c>
      <c r="AP153" s="28" t="s">
        <v>5641</v>
      </c>
      <c r="AQ153" s="28" t="s">
        <v>6305</v>
      </c>
      <c r="AR153" s="23" t="s">
        <v>6310</v>
      </c>
      <c r="AS153" s="23"/>
      <c r="AT153" s="23"/>
      <c r="AU153" s="23"/>
      <c r="AV153" s="23"/>
    </row>
    <row r="154">
      <c r="A154" s="28" t="s">
        <v>5161</v>
      </c>
      <c r="B154" s="28" t="s">
        <v>5162</v>
      </c>
      <c r="C154" s="23" t="str">
        <f t="shared" si="1"/>
        <v>Brian Chen</v>
      </c>
      <c r="D154" s="22" t="s">
        <v>3996</v>
      </c>
      <c r="E154" s="22" t="s">
        <v>1741</v>
      </c>
      <c r="F154" s="23"/>
      <c r="G154" s="23"/>
      <c r="H154" s="22">
        <v>2025.0</v>
      </c>
      <c r="I154" s="28"/>
      <c r="J154" s="28" t="s">
        <v>5833</v>
      </c>
      <c r="K154" s="28" t="s">
        <v>5186</v>
      </c>
      <c r="L154" s="28" t="s">
        <v>5165</v>
      </c>
      <c r="M154" s="29" t="s">
        <v>6311</v>
      </c>
      <c r="N154" s="63">
        <v>45589.65972222222</v>
      </c>
      <c r="O154" s="25">
        <v>40546.0</v>
      </c>
      <c r="P154" s="28">
        <f t="shared" si="9"/>
        <v>15</v>
      </c>
      <c r="Q154" s="62" t="s">
        <v>240</v>
      </c>
      <c r="R154" s="22" t="s">
        <v>6312</v>
      </c>
      <c r="S154" s="28">
        <v>6.0</v>
      </c>
      <c r="T154" s="28">
        <v>12.0</v>
      </c>
      <c r="U154" s="28">
        <v>30.0</v>
      </c>
      <c r="V154" s="28">
        <v>30.0</v>
      </c>
      <c r="W154" s="28" t="s">
        <v>1173</v>
      </c>
      <c r="X154" s="28" t="s">
        <v>272</v>
      </c>
      <c r="Y154" s="22">
        <v>9.173026051E9</v>
      </c>
      <c r="Z154" s="22" t="s">
        <v>6313</v>
      </c>
      <c r="AA154" s="28" t="s">
        <v>5512</v>
      </c>
      <c r="AB154" s="28">
        <v>30.0</v>
      </c>
      <c r="AC154" s="28" t="s">
        <v>23</v>
      </c>
      <c r="AD154" s="23"/>
      <c r="AE154" s="28" t="s">
        <v>19</v>
      </c>
      <c r="AF154" s="23"/>
      <c r="AG154" s="23"/>
      <c r="AH154" s="23" t="str">
        <f>IFERROR(__xludf.DUMMYFUNCTION("IF(
ISNUMBER(MATCH(
C154,
IMPORTRANGE(""https://docs.google.com/spreadsheets/d/1yTh1ELC33JHYOeEdgIiEclxPRyh0zOKtlawDltfUay8"",""'Interns'!A:A""),
0
)),
""Outreach Conducted"",
"""")"),"")</f>
        <v/>
      </c>
      <c r="AI154" s="23"/>
      <c r="AJ154" s="23"/>
      <c r="AK154" s="23" t="str">
        <f>IFERROR(__xludf.DUMMYFUNCTION("XLOOKUP(C154, 
   IMPORTRANGE(""1RdEdgHYrZ33LJ7RUHj_h-qkAFL92bcVjtIdVa-UlsCw"", ""Interns!D:D""), 
   IMPORTRANGE(""1RdEdgHYrZ33LJ7RUHj_h-qkAFL92bcVjtIdVa-UlsCw"", ""Interns!M:M""), 
   ""Not Found"")"),"Not Found")</f>
        <v>Not Found</v>
      </c>
      <c r="AL154" s="23" t="str">
        <f>IFERROR(__xludf.DUMMYFUNCTION("XLOOKUP(C154, 
   IMPORTRANGE(""1RdEdgHYrZ33LJ7RUHj_h-qkAFL92bcVjtIdVa-UlsCw"", ""Interns!D:D""), 
   IMPORTRANGE(""1RdEdgHYrZ33LJ7RUHj_h-qkAFL92bcVjtIdVa-UlsCw"", ""Interns!N:N""), 
   ""Not Found"")"),"Not Found")</f>
        <v>Not Found</v>
      </c>
      <c r="AM154" s="23" t="str">
        <f>IFERROR(__xludf.DUMMYFUNCTION("XLOOKUP(C154, 
   IMPORTRANGE(""1RdEdgHYrZ33LJ7RUHj_h-qkAFL92bcVjtIdVa-UlsCw"", ""Interns!D:D""), 
   IMPORTRANGE(""1RdEdgHYrZ33LJ7RUHj_h-qkAFL92bcVjtIdVa-UlsCw"", ""Interns!O:O""), 
   ""Not Found"")"),"Not Found")</f>
        <v>Not Found</v>
      </c>
      <c r="AN154" s="23"/>
      <c r="AO154" s="23" t="s">
        <v>6314</v>
      </c>
      <c r="AP154" s="28" t="s">
        <v>5182</v>
      </c>
      <c r="AQ154" s="28" t="s">
        <v>6315</v>
      </c>
      <c r="AR154" s="23">
        <v>9.173026051E9</v>
      </c>
      <c r="AS154" s="23"/>
      <c r="AT154" s="23"/>
      <c r="AU154" s="23"/>
      <c r="AV154" s="23"/>
    </row>
    <row r="155">
      <c r="A155" s="28" t="s">
        <v>5161</v>
      </c>
      <c r="B155" s="28" t="s">
        <v>5162</v>
      </c>
      <c r="C155" s="23" t="str">
        <f t="shared" si="1"/>
        <v>Sophie Zhang</v>
      </c>
      <c r="D155" s="28" t="s">
        <v>6316</v>
      </c>
      <c r="E155" s="28" t="s">
        <v>5993</v>
      </c>
      <c r="F155" s="23" t="str">
        <f t="array" ref="F155">IFERROR(
    INDEX('Hub Interns 226'!A:A, MATCH(C155, 'Hub Interns 226'!B:B, 0)),"")</f>
        <v/>
      </c>
      <c r="G155" s="23">
        <f t="array" ref="G155">IFERROR(
    INDEX('Hub Users 226'!A:A, MATCH(C155, 'Hub Users 226'!B:B, 0)),"")</f>
        <v>2042</v>
      </c>
      <c r="H155" s="28">
        <v>1836.0</v>
      </c>
      <c r="I155" s="28" t="s">
        <v>260</v>
      </c>
      <c r="J155" s="28" t="s">
        <v>5833</v>
      </c>
      <c r="K155" s="28" t="s">
        <v>5186</v>
      </c>
      <c r="L155" s="28" t="s">
        <v>5196</v>
      </c>
      <c r="M155" s="56" t="s">
        <v>6317</v>
      </c>
      <c r="N155" s="57">
        <v>45503.97986111111</v>
      </c>
      <c r="O155" s="58">
        <v>41045.0</v>
      </c>
      <c r="P155" s="28">
        <f t="shared" si="9"/>
        <v>14</v>
      </c>
      <c r="Q155" s="28" t="s">
        <v>6318</v>
      </c>
      <c r="R155" s="28" t="s">
        <v>6319</v>
      </c>
      <c r="S155" s="28">
        <v>6.0</v>
      </c>
      <c r="T155" s="28">
        <v>12.0</v>
      </c>
      <c r="U155" s="28">
        <v>30.0</v>
      </c>
      <c r="V155" s="28">
        <v>30.0</v>
      </c>
      <c r="W155" s="28" t="s">
        <v>1173</v>
      </c>
      <c r="X155" s="28" t="s">
        <v>272</v>
      </c>
      <c r="Y155" s="28">
        <v>3.477726926E9</v>
      </c>
      <c r="Z155" s="23"/>
      <c r="AA155" s="28" t="s">
        <v>5512</v>
      </c>
      <c r="AB155" s="28">
        <v>30.0</v>
      </c>
      <c r="AC155" s="28" t="s">
        <v>23</v>
      </c>
      <c r="AD155" s="23"/>
      <c r="AE155" s="28" t="s">
        <v>19</v>
      </c>
      <c r="AF155" s="23"/>
      <c r="AG155" s="23"/>
      <c r="AH155" s="23" t="str">
        <f>IFERROR(__xludf.DUMMYFUNCTION("IF(
ISNUMBER(MATCH(
C155,
IMPORTRANGE(""https://docs.google.com/spreadsheets/d/1yTh1ELC33JHYOeEdgIiEclxPRyh0zOKtlawDltfUay8"",""'Interns'!A:A""),
0
)),
""Outreach Conducted"",
"""")"),"")</f>
        <v/>
      </c>
      <c r="AI155" s="23"/>
      <c r="AJ155" s="23"/>
      <c r="AK155" s="23" t="str">
        <f>IFERROR(__xludf.DUMMYFUNCTION("XLOOKUP(C155, 
   IMPORTRANGE(""1RdEdgHYrZ33LJ7RUHj_h-qkAFL92bcVjtIdVa-UlsCw"", ""Interns!D:D""), 
   IMPORTRANGE(""1RdEdgHYrZ33LJ7RUHj_h-qkAFL92bcVjtIdVa-UlsCw"", ""Interns!M:M""), 
   ""Not Found"")"),"Contacted")</f>
        <v>Contacted</v>
      </c>
      <c r="AL155" s="23" t="str">
        <f>IFERROR(__xludf.DUMMYFUNCTION("XLOOKUP(C155, 
   IMPORTRANGE(""1RdEdgHYrZ33LJ7RUHj_h-qkAFL92bcVjtIdVa-UlsCw"", ""Interns!D:D""), 
   IMPORTRANGE(""1RdEdgHYrZ33LJ7RUHj_h-qkAFL92bcVjtIdVa-UlsCw"", ""Interns!N:N""), 
   ""Not Found"")"),"#Cheers4Careers")</f>
        <v>#Cheers4Careers</v>
      </c>
      <c r="AM155" s="23" t="str">
        <f>IFERROR(__xludf.DUMMYFUNCTION("XLOOKUP(C155,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55" s="23"/>
      <c r="AO155" s="23" t="s">
        <v>3095</v>
      </c>
      <c r="AP155" s="28" t="s">
        <v>5182</v>
      </c>
      <c r="AQ155" s="28" t="s">
        <v>6320</v>
      </c>
      <c r="AR155" s="23" t="s">
        <v>6321</v>
      </c>
      <c r="AS155" s="23"/>
      <c r="AT155" s="23"/>
      <c r="AU155" s="23"/>
      <c r="AV155" s="23"/>
    </row>
    <row r="156">
      <c r="A156" s="28" t="s">
        <v>5161</v>
      </c>
      <c r="B156" s="28" t="s">
        <v>5162</v>
      </c>
      <c r="C156" s="23" t="str">
        <f t="shared" si="1"/>
        <v>Long Xiong Long</v>
      </c>
      <c r="D156" s="28" t="s">
        <v>6322</v>
      </c>
      <c r="E156" s="28" t="s">
        <v>6323</v>
      </c>
      <c r="F156" s="23">
        <f t="array" ref="F156">IFERROR(
    INDEX('Hub Interns 226'!A:A, MATCH(C156, 'Hub Interns 226'!B:B, 0)),"")</f>
        <v>808</v>
      </c>
      <c r="G156" s="23">
        <f t="array" ref="G156">IFERROR(
    INDEX('Hub Users 226'!A:A, MATCH(C156, 'Hub Users 226'!B:B, 0)),"")</f>
        <v>1241</v>
      </c>
      <c r="H156" s="28">
        <v>534.0</v>
      </c>
      <c r="I156" s="28" t="s">
        <v>1235</v>
      </c>
      <c r="J156" s="28" t="s">
        <v>5833</v>
      </c>
      <c r="K156" s="28" t="s">
        <v>5186</v>
      </c>
      <c r="L156" s="28" t="s">
        <v>5165</v>
      </c>
      <c r="M156" s="56" t="s">
        <v>6324</v>
      </c>
      <c r="N156" s="57">
        <v>44477.53402777778</v>
      </c>
      <c r="O156" s="58">
        <v>37903.0</v>
      </c>
      <c r="P156" s="28">
        <f t="shared" si="9"/>
        <v>22</v>
      </c>
      <c r="Q156" s="28" t="s">
        <v>240</v>
      </c>
      <c r="R156" s="28" t="s">
        <v>6325</v>
      </c>
      <c r="S156" s="28">
        <v>6.0</v>
      </c>
      <c r="T156" s="28">
        <v>16.0</v>
      </c>
      <c r="U156" s="28">
        <v>25.0</v>
      </c>
      <c r="V156" s="28">
        <v>20.0</v>
      </c>
      <c r="W156" s="28" t="s">
        <v>1173</v>
      </c>
      <c r="X156" s="28" t="s">
        <v>272</v>
      </c>
      <c r="Y156" s="28" t="s">
        <v>6326</v>
      </c>
      <c r="Z156" s="28" t="s">
        <v>5189</v>
      </c>
      <c r="AA156" s="28" t="s">
        <v>619</v>
      </c>
      <c r="AB156" s="28">
        <v>20.0</v>
      </c>
      <c r="AC156" s="28" t="s">
        <v>25</v>
      </c>
      <c r="AD156" s="23"/>
      <c r="AE156" s="28" t="s">
        <v>10</v>
      </c>
      <c r="AF156" s="23" t="str">
        <f>IFERROR(__xludf.DUMMYFUNCTION("TEXTJOIN("", "", TRUE,
  FILTER(Champions!C:C,
    ISNUMBER(SEARCH(C156, Champions!W:W))
  )
)"),"Dave Landa, Nuoya Li")</f>
        <v>Dave Landa, Nuoya Li</v>
      </c>
      <c r="AG156" s="23"/>
      <c r="AH156" s="23" t="str">
        <f>IFERROR(__xludf.DUMMYFUNCTION("IF(
ISNUMBER(MATCH(
C156,
IMPORTRANGE(""https://docs.google.com/spreadsheets/d/1yTh1ELC33JHYOeEdgIiEclxPRyh0zOKtlawDltfUay8"",""'Interns'!A:A""),
0
)),
""Outreach Conducted"",
"""")"),"")</f>
        <v/>
      </c>
      <c r="AI156" s="23"/>
      <c r="AJ156" s="23"/>
      <c r="AK156" s="23" t="str">
        <f>IFERROR(__xludf.DUMMYFUNCTION("XLOOKUP(C156, 
   IMPORTRANGE(""1RdEdgHYrZ33LJ7RUHj_h-qkAFL92bcVjtIdVa-UlsCw"", ""Interns!D:D""), 
   IMPORTRANGE(""1RdEdgHYrZ33LJ7RUHj_h-qkAFL92bcVjtIdVa-UlsCw"", ""Interns!M:M""), 
   ""Not Found"")"),"Contacted")</f>
        <v>Contacted</v>
      </c>
      <c r="AL156" s="23" t="str">
        <f>IFERROR(__xludf.DUMMYFUNCTION("XLOOKUP(C156, 
   IMPORTRANGE(""1RdEdgHYrZ33LJ7RUHj_h-qkAFL92bcVjtIdVa-UlsCw"", ""Interns!D:D""), 
   IMPORTRANGE(""1RdEdgHYrZ33LJ7RUHj_h-qkAFL92bcVjtIdVa-UlsCw"", ""Interns!N:N""), 
   ""Not Found"")"),"#Cheers4Careers")</f>
        <v>#Cheers4Careers</v>
      </c>
      <c r="AM156" s="23" t="str">
        <f>IFERROR(__xludf.DUMMYFUNCTION("XLOOKUP(C156, 
   IMPORTRANGE(""1RdEdgHYrZ33LJ7RUHj_h-qkAFL92bcVjtIdVa-UlsCw"", ""Interns!D:D""), 
   IMPORTRANGE(""1RdEdgHYrZ33LJ7RUHj_h-qkAFL92bcVjtIdVa-UlsCw"", ""Interns!O:O""), 
   ""Not Found"")"),"Hetal reached out by email 3/27 followed by text")</f>
        <v>Hetal reached out by email 3/27 followed by text</v>
      </c>
      <c r="AN156" s="23"/>
      <c r="AO156" s="23" t="s">
        <v>6327</v>
      </c>
      <c r="AP156" s="28" t="s">
        <v>5908</v>
      </c>
      <c r="AQ156" s="28" t="s">
        <v>6328</v>
      </c>
      <c r="AR156" s="23" t="s">
        <v>6329</v>
      </c>
      <c r="AS156" s="23"/>
      <c r="AT156" s="23"/>
      <c r="AU156" s="23"/>
      <c r="AV156" s="23"/>
    </row>
    <row r="157">
      <c r="A157" s="28" t="s">
        <v>5161</v>
      </c>
      <c r="B157" s="28" t="s">
        <v>5162</v>
      </c>
      <c r="C157" s="23" t="str">
        <f t="shared" si="1"/>
        <v>Veronica Liu</v>
      </c>
      <c r="D157" s="22" t="s">
        <v>4117</v>
      </c>
      <c r="E157" s="22" t="s">
        <v>6241</v>
      </c>
      <c r="F157" s="23"/>
      <c r="G157" s="23"/>
      <c r="H157" s="22">
        <v>2023.0</v>
      </c>
      <c r="I157" s="28"/>
      <c r="J157" s="28" t="s">
        <v>5833</v>
      </c>
      <c r="K157" s="28" t="s">
        <v>5186</v>
      </c>
      <c r="L157" s="28" t="s">
        <v>5196</v>
      </c>
      <c r="M157" s="29" t="s">
        <v>6330</v>
      </c>
      <c r="N157" s="63">
        <v>45589.663194444445</v>
      </c>
      <c r="O157" s="25">
        <v>41341.0</v>
      </c>
      <c r="P157" s="28">
        <f t="shared" si="9"/>
        <v>13</v>
      </c>
      <c r="Q157" s="62" t="s">
        <v>240</v>
      </c>
      <c r="R157" s="22" t="s">
        <v>6331</v>
      </c>
      <c r="S157" s="28">
        <v>6.0</v>
      </c>
      <c r="T157" s="28">
        <v>12.0</v>
      </c>
      <c r="U157" s="28">
        <v>30.0</v>
      </c>
      <c r="V157" s="28">
        <v>3.0</v>
      </c>
      <c r="W157" s="28" t="s">
        <v>1173</v>
      </c>
      <c r="X157" s="28" t="s">
        <v>272</v>
      </c>
      <c r="Y157" s="64"/>
      <c r="Z157" s="22" t="s">
        <v>6332</v>
      </c>
      <c r="AA157" s="28" t="s">
        <v>5512</v>
      </c>
      <c r="AB157" s="28">
        <v>30.0</v>
      </c>
      <c r="AC157" s="28" t="s">
        <v>23</v>
      </c>
      <c r="AD157" s="23"/>
      <c r="AE157" s="28" t="s">
        <v>19</v>
      </c>
      <c r="AF157" s="23"/>
      <c r="AG157" s="23"/>
      <c r="AH157" s="23" t="str">
        <f>IFERROR(__xludf.DUMMYFUNCTION("IF(
ISNUMBER(MATCH(
C157,
IMPORTRANGE(""https://docs.google.com/spreadsheets/d/1yTh1ELC33JHYOeEdgIiEclxPRyh0zOKtlawDltfUay8"",""'Interns'!A:A""),
0
)),
""Outreach Conducted"",
"""")"),"")</f>
        <v/>
      </c>
      <c r="AI157" s="23"/>
      <c r="AJ157" s="23"/>
      <c r="AK157" s="23" t="str">
        <f>IFERROR(__xludf.DUMMYFUNCTION("XLOOKUP(C157, 
   IMPORTRANGE(""1RdEdgHYrZ33LJ7RUHj_h-qkAFL92bcVjtIdVa-UlsCw"", ""Interns!D:D""), 
   IMPORTRANGE(""1RdEdgHYrZ33LJ7RUHj_h-qkAFL92bcVjtIdVa-UlsCw"", ""Interns!M:M""), 
   ""Not Found"")"),"Not Found")</f>
        <v>Not Found</v>
      </c>
      <c r="AL157" s="23" t="str">
        <f>IFERROR(__xludf.DUMMYFUNCTION("XLOOKUP(C157, 
   IMPORTRANGE(""1RdEdgHYrZ33LJ7RUHj_h-qkAFL92bcVjtIdVa-UlsCw"", ""Interns!D:D""), 
   IMPORTRANGE(""1RdEdgHYrZ33LJ7RUHj_h-qkAFL92bcVjtIdVa-UlsCw"", ""Interns!N:N""), 
   ""Not Found"")"),"Not Found")</f>
        <v>Not Found</v>
      </c>
      <c r="AM157" s="23" t="str">
        <f>IFERROR(__xludf.DUMMYFUNCTION("XLOOKUP(C157, 
   IMPORTRANGE(""1RdEdgHYrZ33LJ7RUHj_h-qkAFL92bcVjtIdVa-UlsCw"", ""Interns!D:D""), 
   IMPORTRANGE(""1RdEdgHYrZ33LJ7RUHj_h-qkAFL92bcVjtIdVa-UlsCw"", ""Interns!O:O""), 
   ""Not Found"")"),"Not Found")</f>
        <v>Not Found</v>
      </c>
      <c r="AN157" s="23"/>
      <c r="AO157" s="23" t="s">
        <v>6333</v>
      </c>
      <c r="AP157" s="28" t="s">
        <v>5182</v>
      </c>
      <c r="AQ157" s="28" t="s">
        <v>6334</v>
      </c>
      <c r="AR157" s="23" t="s">
        <v>6335</v>
      </c>
      <c r="AS157" s="23"/>
      <c r="AT157" s="23"/>
      <c r="AU157" s="23"/>
      <c r="AV157" s="23"/>
    </row>
    <row r="158">
      <c r="A158" s="28" t="s">
        <v>5202</v>
      </c>
      <c r="B158" s="28" t="s">
        <v>5162</v>
      </c>
      <c r="C158" s="23" t="str">
        <f t="shared" si="1"/>
        <v>CATALINA ORTIZ</v>
      </c>
      <c r="D158" s="28" t="s">
        <v>6336</v>
      </c>
      <c r="E158" s="28" t="s">
        <v>6337</v>
      </c>
      <c r="F158" s="23">
        <f t="array" ref="F158">IFERROR(
    INDEX('Hub Interns 226'!A:A, MATCH(C158, 'Hub Interns 226'!B:B, 0)),"")</f>
        <v>343</v>
      </c>
      <c r="G158" s="23">
        <f t="array" ref="G158">IFERROR(
    INDEX('Hub Users 226'!A:A, MATCH(C158, 'Hub Users 226'!B:B, 0)),"")</f>
        <v>776</v>
      </c>
      <c r="H158" s="28">
        <v>905.0</v>
      </c>
      <c r="I158" s="28" t="s">
        <v>260</v>
      </c>
      <c r="J158" s="28" t="s">
        <v>5766</v>
      </c>
      <c r="K158" s="28" t="s">
        <v>5463</v>
      </c>
      <c r="L158" s="28" t="s">
        <v>5196</v>
      </c>
      <c r="M158" s="56" t="s">
        <v>6338</v>
      </c>
      <c r="N158" s="57">
        <v>44601.53680555556</v>
      </c>
      <c r="O158" s="58">
        <v>38582.0</v>
      </c>
      <c r="P158" s="28">
        <f t="shared" si="9"/>
        <v>20</v>
      </c>
      <c r="Q158" s="28" t="s">
        <v>240</v>
      </c>
      <c r="R158" s="28" t="s">
        <v>6339</v>
      </c>
      <c r="S158" s="28">
        <v>6.0</v>
      </c>
      <c r="T158" s="28">
        <v>16.0</v>
      </c>
      <c r="U158" s="28">
        <v>25.0</v>
      </c>
      <c r="V158" s="28">
        <v>20.0</v>
      </c>
      <c r="W158" s="28" t="s">
        <v>1173</v>
      </c>
      <c r="X158" s="28" t="s">
        <v>272</v>
      </c>
      <c r="Y158" s="28" t="s">
        <v>6340</v>
      </c>
      <c r="Z158" s="28" t="s">
        <v>5189</v>
      </c>
      <c r="AA158" s="28" t="s">
        <v>619</v>
      </c>
      <c r="AB158" s="28">
        <v>20.0</v>
      </c>
      <c r="AC158" s="28" t="s">
        <v>24</v>
      </c>
      <c r="AD158" s="23"/>
      <c r="AE158" s="28" t="s">
        <v>10</v>
      </c>
      <c r="AF158" s="23"/>
      <c r="AG158" s="23"/>
      <c r="AH158" s="23" t="str">
        <f>IFERROR(__xludf.DUMMYFUNCTION("IF(
ISNUMBER(MATCH(
C158,
IMPORTRANGE(""https://docs.google.com/spreadsheets/d/1yTh1ELC33JHYOeEdgIiEclxPRyh0zOKtlawDltfUay8"",""'Interns'!A:A""),
0
)),
""Outreach Conducted"",
"""")"),"")</f>
        <v/>
      </c>
      <c r="AI158" s="23"/>
      <c r="AJ158" s="23"/>
      <c r="AK158" s="23" t="str">
        <f>IFERROR(__xludf.DUMMYFUNCTION("XLOOKUP(C158, 
   IMPORTRANGE(""1RdEdgHYrZ33LJ7RUHj_h-qkAFL92bcVjtIdVa-UlsCw"", ""Interns!D:D""), 
   IMPORTRANGE(""1RdEdgHYrZ33LJ7RUHj_h-qkAFL92bcVjtIdVa-UlsCw"", ""Interns!M:M""), 
   ""Not Found"")"),"")</f>
        <v/>
      </c>
      <c r="AL158" s="23" t="str">
        <f>IFERROR(__xludf.DUMMYFUNCTION("XLOOKUP(C158, 
   IMPORTRANGE(""1RdEdgHYrZ33LJ7RUHj_h-qkAFL92bcVjtIdVa-UlsCw"", ""Interns!D:D""), 
   IMPORTRANGE(""1RdEdgHYrZ33LJ7RUHj_h-qkAFL92bcVjtIdVa-UlsCw"", ""Interns!N:N""), 
   ""Not Found"")"),"")</f>
        <v/>
      </c>
      <c r="AM158" s="23" t="str">
        <f>IFERROR(__xludf.DUMMYFUNCTION("XLOOKUP(C158, 
   IMPORTRANGE(""1RdEdgHYrZ33LJ7RUHj_h-qkAFL92bcVjtIdVa-UlsCw"", ""Interns!D:D""), 
   IMPORTRANGE(""1RdEdgHYrZ33LJ7RUHj_h-qkAFL92bcVjtIdVa-UlsCw"", ""Interns!O:O""), 
   ""Not Found"")"),"")</f>
        <v/>
      </c>
      <c r="AN158" s="23"/>
      <c r="AO158" s="23" t="s">
        <v>6341</v>
      </c>
      <c r="AP158" s="28" t="s">
        <v>5182</v>
      </c>
      <c r="AQ158" s="28"/>
      <c r="AR158" s="23"/>
      <c r="AS158" s="23"/>
      <c r="AT158" s="23"/>
      <c r="AU158" s="23"/>
      <c r="AV158" s="23"/>
    </row>
    <row r="159">
      <c r="A159" s="28" t="s">
        <v>5161</v>
      </c>
      <c r="B159" s="28" t="s">
        <v>5162</v>
      </c>
      <c r="C159" s="23" t="str">
        <f t="shared" si="1"/>
        <v>Ethan Lin</v>
      </c>
      <c r="D159" s="22" t="s">
        <v>6342</v>
      </c>
      <c r="E159" s="22" t="s">
        <v>5976</v>
      </c>
      <c r="F159" s="23"/>
      <c r="G159" s="23"/>
      <c r="H159" s="22">
        <v>2020.0</v>
      </c>
      <c r="I159" s="28"/>
      <c r="J159" s="28" t="s">
        <v>5833</v>
      </c>
      <c r="K159" s="28" t="s">
        <v>5186</v>
      </c>
      <c r="L159" s="28" t="s">
        <v>5165</v>
      </c>
      <c r="M159" s="29" t="s">
        <v>6343</v>
      </c>
      <c r="N159" s="61">
        <v>45603.79791666667</v>
      </c>
      <c r="O159" s="25">
        <v>41052.0</v>
      </c>
      <c r="P159" s="28">
        <f t="shared" si="9"/>
        <v>13</v>
      </c>
      <c r="Q159" s="62" t="s">
        <v>6344</v>
      </c>
      <c r="R159" s="22" t="s">
        <v>6345</v>
      </c>
      <c r="S159" s="28">
        <v>6.0</v>
      </c>
      <c r="T159" s="28">
        <v>12.0</v>
      </c>
      <c r="U159" s="28">
        <v>30.0</v>
      </c>
      <c r="V159" s="28">
        <v>30.0</v>
      </c>
      <c r="W159" s="28" t="s">
        <v>1173</v>
      </c>
      <c r="X159" s="28" t="s">
        <v>272</v>
      </c>
      <c r="Y159" s="64"/>
      <c r="Z159" s="22" t="s">
        <v>6346</v>
      </c>
      <c r="AA159" s="28" t="s">
        <v>5512</v>
      </c>
      <c r="AB159" s="28">
        <v>30.0</v>
      </c>
      <c r="AC159" s="28" t="s">
        <v>23</v>
      </c>
      <c r="AD159" s="23"/>
      <c r="AE159" s="28" t="s">
        <v>19</v>
      </c>
      <c r="AF159" s="23"/>
      <c r="AG159" s="23"/>
      <c r="AH159" s="23" t="str">
        <f>IFERROR(__xludf.DUMMYFUNCTION("IF(
ISNUMBER(MATCH(
C159,
IMPORTRANGE(""https://docs.google.com/spreadsheets/d/1yTh1ELC33JHYOeEdgIiEclxPRyh0zOKtlawDltfUay8"",""'Interns'!A:A""),
0
)),
""Outreach Conducted"",
"""")"),"")</f>
        <v/>
      </c>
      <c r="AI159" s="23"/>
      <c r="AJ159" s="23"/>
      <c r="AK159" s="23" t="str">
        <f>IFERROR(__xludf.DUMMYFUNCTION("XLOOKUP(C159, 
   IMPORTRANGE(""1RdEdgHYrZ33LJ7RUHj_h-qkAFL92bcVjtIdVa-UlsCw"", ""Interns!D:D""), 
   IMPORTRANGE(""1RdEdgHYrZ33LJ7RUHj_h-qkAFL92bcVjtIdVa-UlsCw"", ""Interns!M:M""), 
   ""Not Found"")"),"Not Found")</f>
        <v>Not Found</v>
      </c>
      <c r="AL159" s="23" t="str">
        <f>IFERROR(__xludf.DUMMYFUNCTION("XLOOKUP(C159, 
   IMPORTRANGE(""1RdEdgHYrZ33LJ7RUHj_h-qkAFL92bcVjtIdVa-UlsCw"", ""Interns!D:D""), 
   IMPORTRANGE(""1RdEdgHYrZ33LJ7RUHj_h-qkAFL92bcVjtIdVa-UlsCw"", ""Interns!N:N""), 
   ""Not Found"")"),"Not Found")</f>
        <v>Not Found</v>
      </c>
      <c r="AM159" s="23" t="str">
        <f>IFERROR(__xludf.DUMMYFUNCTION("XLOOKUP(C159, 
   IMPORTRANGE(""1RdEdgHYrZ33LJ7RUHj_h-qkAFL92bcVjtIdVa-UlsCw"", ""Interns!D:D""), 
   IMPORTRANGE(""1RdEdgHYrZ33LJ7RUHj_h-qkAFL92bcVjtIdVa-UlsCw"", ""Interns!O:O""), 
   ""Not Found"")"),"Not Found")</f>
        <v>Not Found</v>
      </c>
      <c r="AN159" s="23"/>
      <c r="AO159" s="23" t="s">
        <v>6347</v>
      </c>
      <c r="AP159" s="28" t="s">
        <v>5191</v>
      </c>
      <c r="AQ159" s="28" t="s">
        <v>6348</v>
      </c>
      <c r="AR159" s="23" t="s">
        <v>6349</v>
      </c>
      <c r="AS159" s="23"/>
      <c r="AT159" s="23"/>
      <c r="AU159" s="23"/>
      <c r="AV159" s="23"/>
    </row>
    <row r="160">
      <c r="A160" s="28" t="s">
        <v>5161</v>
      </c>
      <c r="B160" s="28" t="s">
        <v>5162</v>
      </c>
      <c r="C160" s="23" t="str">
        <f t="shared" si="1"/>
        <v>Ada Pun</v>
      </c>
      <c r="D160" s="28" t="s">
        <v>6350</v>
      </c>
      <c r="E160" s="28" t="s">
        <v>6351</v>
      </c>
      <c r="F160" s="23">
        <f t="array" ref="F160">IFERROR(
    INDEX('Hub Interns 226'!A:A, MATCH(C160, 'Hub Interns 226'!B:B, 0)),"")</f>
        <v>1467</v>
      </c>
      <c r="G160" s="23">
        <f t="array" ref="G160">IFERROR(
    INDEX('Hub Users 226'!A:A, MATCH(C160, 'Hub Users 226'!B:B, 0)),"")</f>
        <v>2043</v>
      </c>
      <c r="H160" s="28">
        <v>1832.0</v>
      </c>
      <c r="I160" s="28" t="s">
        <v>269</v>
      </c>
      <c r="J160" s="28" t="s">
        <v>5833</v>
      </c>
      <c r="K160" s="28" t="s">
        <v>5186</v>
      </c>
      <c r="L160" s="28" t="s">
        <v>5196</v>
      </c>
      <c r="M160" s="56" t="s">
        <v>6352</v>
      </c>
      <c r="N160" s="57">
        <v>45503.97777777778</v>
      </c>
      <c r="O160" s="58">
        <v>40952.0</v>
      </c>
      <c r="P160" s="28">
        <f t="shared" si="9"/>
        <v>14</v>
      </c>
      <c r="Q160" s="28" t="s">
        <v>240</v>
      </c>
      <c r="R160" s="28" t="s">
        <v>6353</v>
      </c>
      <c r="S160" s="28">
        <v>6.0</v>
      </c>
      <c r="T160" s="28">
        <v>15.0</v>
      </c>
      <c r="U160" s="28">
        <v>28.0</v>
      </c>
      <c r="V160" s="28">
        <v>30.0</v>
      </c>
      <c r="W160" s="28" t="s">
        <v>1173</v>
      </c>
      <c r="X160" s="28" t="s">
        <v>272</v>
      </c>
      <c r="Y160" s="23"/>
      <c r="Z160" s="23"/>
      <c r="AA160" s="28" t="s">
        <v>5512</v>
      </c>
      <c r="AB160" s="28">
        <v>30.0</v>
      </c>
      <c r="AC160" s="28" t="s">
        <v>23</v>
      </c>
      <c r="AD160" s="23"/>
      <c r="AE160" s="28" t="s">
        <v>19</v>
      </c>
      <c r="AF160" s="23"/>
      <c r="AG160" s="23"/>
      <c r="AH160" s="23" t="str">
        <f>IFERROR(__xludf.DUMMYFUNCTION("IF(
ISNUMBER(MATCH(
C160,
IMPORTRANGE(""https://docs.google.com/spreadsheets/d/1yTh1ELC33JHYOeEdgIiEclxPRyh0zOKtlawDltfUay8"",""'Interns'!A:A""),
0
)),
""Outreach Conducted"",
"""")"),"")</f>
        <v/>
      </c>
      <c r="AI160" s="23"/>
      <c r="AJ160" s="23"/>
      <c r="AK160" s="23" t="str">
        <f>IFERROR(__xludf.DUMMYFUNCTION("XLOOKUP(C160, 
   IMPORTRANGE(""1RdEdgHYrZ33LJ7RUHj_h-qkAFL92bcVjtIdVa-UlsCw"", ""Interns!D:D""), 
   IMPORTRANGE(""1RdEdgHYrZ33LJ7RUHj_h-qkAFL92bcVjtIdVa-UlsCw"", ""Interns!M:M""), 
   ""Not Found"")"),"Contacted")</f>
        <v>Contacted</v>
      </c>
      <c r="AL160" s="23" t="str">
        <f>IFERROR(__xludf.DUMMYFUNCTION("XLOOKUP(C160, 
   IMPORTRANGE(""1RdEdgHYrZ33LJ7RUHj_h-qkAFL92bcVjtIdVa-UlsCw"", ""Interns!D:D""), 
   IMPORTRANGE(""1RdEdgHYrZ33LJ7RUHj_h-qkAFL92bcVjtIdVa-UlsCw"", ""Interns!N:N""), 
   ""Not Found"")"),"#Cheers4Careers")</f>
        <v>#Cheers4Careers</v>
      </c>
      <c r="AM160" s="23" t="str">
        <f>IFERROR(__xludf.DUMMYFUNCTION("XLOOKUP(C160,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60" s="23"/>
      <c r="AO160" s="23" t="s">
        <v>6354</v>
      </c>
      <c r="AP160" s="28" t="s">
        <v>5191</v>
      </c>
      <c r="AQ160" s="28" t="s">
        <v>6352</v>
      </c>
      <c r="AR160" s="23" t="s">
        <v>6355</v>
      </c>
      <c r="AS160" s="23"/>
      <c r="AT160" s="23"/>
      <c r="AU160" s="23"/>
      <c r="AV160" s="23"/>
    </row>
    <row r="161">
      <c r="A161" s="28" t="s">
        <v>5202</v>
      </c>
      <c r="B161" s="28" t="s">
        <v>5162</v>
      </c>
      <c r="C161" s="23" t="str">
        <f t="shared" si="1"/>
        <v>Steffania Molina</v>
      </c>
      <c r="D161" s="28" t="s">
        <v>6356</v>
      </c>
      <c r="E161" s="28" t="s">
        <v>6357</v>
      </c>
      <c r="F161" s="23">
        <f t="array" ref="F161">IFERROR(
    INDEX('Hub Interns 226'!A:A, MATCH(C161, 'Hub Interns 226'!B:B, 0)),"")</f>
        <v>1120</v>
      </c>
      <c r="G161" s="23">
        <f t="array" ref="G161">IFERROR(
    INDEX('Hub Users 226'!A:A, MATCH(C161, 'Hub Users 226'!B:B, 0)),"")</f>
        <v>1553</v>
      </c>
      <c r="H161" s="28">
        <v>704.0</v>
      </c>
      <c r="I161" s="28" t="s">
        <v>407</v>
      </c>
      <c r="J161" s="28" t="s">
        <v>5766</v>
      </c>
      <c r="K161" s="28" t="s">
        <v>5463</v>
      </c>
      <c r="L161" s="28" t="s">
        <v>5196</v>
      </c>
      <c r="M161" s="56" t="s">
        <v>6358</v>
      </c>
      <c r="N161" s="59">
        <v>44546.833333333336</v>
      </c>
      <c r="O161" s="58">
        <v>38760.0</v>
      </c>
      <c r="P161" s="28">
        <f t="shared" si="9"/>
        <v>20</v>
      </c>
      <c r="Q161" s="28" t="s">
        <v>240</v>
      </c>
      <c r="R161" s="28" t="s">
        <v>6359</v>
      </c>
      <c r="S161" s="28">
        <v>7.0</v>
      </c>
      <c r="T161" s="28">
        <v>12.0</v>
      </c>
      <c r="U161" s="28">
        <v>30.0</v>
      </c>
      <c r="V161" s="28">
        <v>25.0</v>
      </c>
      <c r="W161" s="28" t="s">
        <v>1173</v>
      </c>
      <c r="X161" s="28" t="s">
        <v>272</v>
      </c>
      <c r="Y161" s="28" t="s">
        <v>6360</v>
      </c>
      <c r="Z161" s="28" t="s">
        <v>5483</v>
      </c>
      <c r="AA161" s="28" t="s">
        <v>457</v>
      </c>
      <c r="AB161" s="28">
        <v>25.0</v>
      </c>
      <c r="AC161" s="28" t="s">
        <v>25</v>
      </c>
      <c r="AD161" s="23"/>
      <c r="AE161" s="28" t="s">
        <v>10</v>
      </c>
      <c r="AF161" s="23" t="str">
        <f>IFERROR(__xludf.DUMMYFUNCTION("TEXTJOIN("", "", TRUE,
  FILTER(Champions!C:C,
    ISNUMBER(SEARCH(C161, Champions!W:W))
  )
)"),"Divya Padgaonkar, Oishee Dasgupta Dasgupta")</f>
        <v>Divya Padgaonkar, Oishee Dasgupta Dasgupta</v>
      </c>
      <c r="AG161" s="23"/>
      <c r="AH161" s="23" t="str">
        <f>IFERROR(__xludf.DUMMYFUNCTION("IF(
ISNUMBER(MATCH(
C161,
IMPORTRANGE(""https://docs.google.com/spreadsheets/d/1yTh1ELC33JHYOeEdgIiEclxPRyh0zOKtlawDltfUay8"",""'Interns'!A:A""),
0
)),
""Outreach Conducted"",
"""")"),"")</f>
        <v/>
      </c>
      <c r="AI161" s="23"/>
      <c r="AJ161" s="23"/>
      <c r="AK161" s="23" t="str">
        <f>IFERROR(__xludf.DUMMYFUNCTION("XLOOKUP(C161, 
   IMPORTRANGE(""1RdEdgHYrZ33LJ7RUHj_h-qkAFL92bcVjtIdVa-UlsCw"", ""Interns!D:D""), 
   IMPORTRANGE(""1RdEdgHYrZ33LJ7RUHj_h-qkAFL92bcVjtIdVa-UlsCw"", ""Interns!M:M""), 
   ""Not Found"")"),"")</f>
        <v/>
      </c>
      <c r="AL161" s="23" t="str">
        <f>IFERROR(__xludf.DUMMYFUNCTION("XLOOKUP(C161, 
   IMPORTRANGE(""1RdEdgHYrZ33LJ7RUHj_h-qkAFL92bcVjtIdVa-UlsCw"", ""Interns!D:D""), 
   IMPORTRANGE(""1RdEdgHYrZ33LJ7RUHj_h-qkAFL92bcVjtIdVa-UlsCw"", ""Interns!N:N""), 
   ""Not Found"")"),"")</f>
        <v/>
      </c>
      <c r="AM161" s="23" t="str">
        <f>IFERROR(__xludf.DUMMYFUNCTION("XLOOKUP(C161, 
   IMPORTRANGE(""1RdEdgHYrZ33LJ7RUHj_h-qkAFL92bcVjtIdVa-UlsCw"", ""Interns!D:D""), 
   IMPORTRANGE(""1RdEdgHYrZ33LJ7RUHj_h-qkAFL92bcVjtIdVa-UlsCw"", ""Interns!O:O""), 
   ""Not Found"")"),"")</f>
        <v/>
      </c>
      <c r="AN161" s="23"/>
      <c r="AO161" s="23" t="s">
        <v>6361</v>
      </c>
      <c r="AP161" s="28" t="s">
        <v>5191</v>
      </c>
      <c r="AQ161" s="28" t="s">
        <v>6362</v>
      </c>
      <c r="AR161" s="23" t="s">
        <v>6363</v>
      </c>
      <c r="AS161" s="23"/>
      <c r="AT161" s="23"/>
      <c r="AU161" s="23"/>
      <c r="AV161" s="23"/>
    </row>
    <row r="162">
      <c r="A162" s="28" t="s">
        <v>5161</v>
      </c>
      <c r="B162" s="28" t="s">
        <v>5162</v>
      </c>
      <c r="C162" s="23" t="str">
        <f t="shared" si="1"/>
        <v>Kevin Chen</v>
      </c>
      <c r="D162" s="28" t="s">
        <v>3690</v>
      </c>
      <c r="E162" s="28" t="s">
        <v>1741</v>
      </c>
      <c r="F162" s="23">
        <f t="array" ref="F162">IFERROR(
    INDEX('Hub Interns 226'!A:A, MATCH(C162, 'Hub Interns 226'!B:B, 0)),"")</f>
        <v>1465</v>
      </c>
      <c r="G162" s="23">
        <f t="array" ref="G162">IFERROR(
    INDEX('Hub Users 226'!A:A, MATCH(C162, 'Hub Users 226'!B:B, 0)),"")</f>
        <v>2041</v>
      </c>
      <c r="H162" s="28">
        <v>1842.0</v>
      </c>
      <c r="I162" s="28" t="s">
        <v>239</v>
      </c>
      <c r="J162" s="28" t="s">
        <v>5833</v>
      </c>
      <c r="K162" s="28" t="s">
        <v>5186</v>
      </c>
      <c r="L162" s="28" t="s">
        <v>5196</v>
      </c>
      <c r="M162" s="56" t="s">
        <v>6364</v>
      </c>
      <c r="N162" s="57">
        <v>45503.98263888889</v>
      </c>
      <c r="O162" s="58">
        <v>40422.0</v>
      </c>
      <c r="P162" s="28">
        <f t="shared" si="9"/>
        <v>15</v>
      </c>
      <c r="Q162" s="28" t="s">
        <v>240</v>
      </c>
      <c r="R162" s="28" t="s">
        <v>6365</v>
      </c>
      <c r="S162" s="28">
        <v>6.0</v>
      </c>
      <c r="T162" s="28">
        <v>15.0</v>
      </c>
      <c r="U162" s="28">
        <v>28.0</v>
      </c>
      <c r="V162" s="28">
        <v>30.0</v>
      </c>
      <c r="W162" s="28" t="s">
        <v>1173</v>
      </c>
      <c r="X162" s="28" t="s">
        <v>272</v>
      </c>
      <c r="Y162" s="23"/>
      <c r="Z162" s="23"/>
      <c r="AA162" s="28" t="s">
        <v>5512</v>
      </c>
      <c r="AB162" s="28">
        <v>30.0</v>
      </c>
      <c r="AC162" s="28" t="s">
        <v>23</v>
      </c>
      <c r="AD162" s="28" t="s">
        <v>101</v>
      </c>
      <c r="AE162" s="28" t="s">
        <v>19</v>
      </c>
      <c r="AF162" s="23"/>
      <c r="AG162" s="23"/>
      <c r="AH162" s="23" t="str">
        <f>IFERROR(__xludf.DUMMYFUNCTION("IF(
ISNUMBER(MATCH(
C162,
IMPORTRANGE(""https://docs.google.com/spreadsheets/d/1yTh1ELC33JHYOeEdgIiEclxPRyh0zOKtlawDltfUay8"",""'Interns'!A:A""),
0
)),
""Outreach Conducted"",
"""")"),"")</f>
        <v/>
      </c>
      <c r="AI162" s="23"/>
      <c r="AJ162" s="23"/>
      <c r="AK162" s="23" t="str">
        <f>IFERROR(__xludf.DUMMYFUNCTION("XLOOKUP(C162, 
   IMPORTRANGE(""1RdEdgHYrZ33LJ7RUHj_h-qkAFL92bcVjtIdVa-UlsCw"", ""Interns!D:D""), 
   IMPORTRANGE(""1RdEdgHYrZ33LJ7RUHj_h-qkAFL92bcVjtIdVa-UlsCw"", ""Interns!M:M""), 
   ""Not Found"")"),"Contacted")</f>
        <v>Contacted</v>
      </c>
      <c r="AL162" s="23" t="str">
        <f>IFERROR(__xludf.DUMMYFUNCTION("XLOOKUP(C162, 
   IMPORTRANGE(""1RdEdgHYrZ33LJ7RUHj_h-qkAFL92bcVjtIdVa-UlsCw"", ""Interns!D:D""), 
   IMPORTRANGE(""1RdEdgHYrZ33LJ7RUHj_h-qkAFL92bcVjtIdVa-UlsCw"", ""Interns!N:N""), 
   ""Not Found"")"),"#Cheers4Careers")</f>
        <v>#Cheers4Careers</v>
      </c>
      <c r="AM162" s="23" t="str">
        <f>IFERROR(__xludf.DUMMYFUNCTION("XLOOKUP(C162, 
   IMPORTRANGE(""1RdEdgHYrZ33LJ7RUHj_h-qkAFL92bcVjtIdVa-UlsCw"", ""Interns!D:D""), 
   IMPORTRANGE(""1RdEdgHYrZ33LJ7RUHj_h-qkAFL92bcVjtIdVa-UlsCw"", ""Interns!O:O""), 
   ""Not Found"")"),"Hetal reached out March 27 for March #Cheers4 Careers ")</f>
        <v>Hetal reached out March 27 for March #Cheers4 Careers </v>
      </c>
      <c r="AN162" s="23"/>
      <c r="AO162" s="23" t="s">
        <v>6366</v>
      </c>
      <c r="AP162" s="28" t="s">
        <v>5182</v>
      </c>
      <c r="AQ162" s="28" t="s">
        <v>6364</v>
      </c>
      <c r="AR162" s="23" t="s">
        <v>6367</v>
      </c>
      <c r="AS162" s="23"/>
      <c r="AT162" s="23"/>
      <c r="AU162" s="23"/>
      <c r="AV162" s="23"/>
    </row>
    <row r="163">
      <c r="A163" s="28" t="s">
        <v>5161</v>
      </c>
      <c r="B163" s="28" t="s">
        <v>5162</v>
      </c>
      <c r="C163" s="23" t="str">
        <f t="shared" si="1"/>
        <v>Jessie Rao</v>
      </c>
      <c r="D163" s="28" t="s">
        <v>4771</v>
      </c>
      <c r="E163" s="28" t="s">
        <v>2663</v>
      </c>
      <c r="F163" s="23">
        <f t="array" ref="F163">IFERROR(
    INDEX('Hub Interns 226'!A:A, MATCH(C163, 'Hub Interns 226'!B:B, 0)),"")</f>
        <v>1478</v>
      </c>
      <c r="G163" s="23">
        <f t="array" ref="G163">IFERROR(
    INDEX('Hub Users 226'!A:A, MATCH(C163, 'Hub Users 226'!B:B, 0)),"")</f>
        <v>2054</v>
      </c>
      <c r="H163" s="28">
        <v>1840.0</v>
      </c>
      <c r="I163" s="28" t="s">
        <v>260</v>
      </c>
      <c r="J163" s="28" t="s">
        <v>5833</v>
      </c>
      <c r="K163" s="28" t="s">
        <v>5186</v>
      </c>
      <c r="L163" s="28" t="s">
        <v>5196</v>
      </c>
      <c r="M163" s="56" t="s">
        <v>6368</v>
      </c>
      <c r="N163" s="57">
        <v>45503.98125</v>
      </c>
      <c r="O163" s="58">
        <v>41122.0</v>
      </c>
      <c r="P163" s="28">
        <f t="shared" si="9"/>
        <v>13</v>
      </c>
      <c r="Q163" s="28" t="s">
        <v>240</v>
      </c>
      <c r="R163" s="28" t="s">
        <v>6369</v>
      </c>
      <c r="S163" s="28">
        <v>6.0</v>
      </c>
      <c r="T163" s="28">
        <v>12.0</v>
      </c>
      <c r="U163" s="28">
        <v>30.0</v>
      </c>
      <c r="V163" s="28">
        <v>30.0</v>
      </c>
      <c r="W163" s="28" t="s">
        <v>1173</v>
      </c>
      <c r="X163" s="28" t="s">
        <v>272</v>
      </c>
      <c r="Y163" s="23"/>
      <c r="Z163" s="28" t="s">
        <v>5403</v>
      </c>
      <c r="AA163" s="28" t="s">
        <v>5512</v>
      </c>
      <c r="AB163" s="28">
        <v>30.0</v>
      </c>
      <c r="AC163" s="28" t="s">
        <v>23</v>
      </c>
      <c r="AD163" s="23"/>
      <c r="AE163" s="28" t="s">
        <v>19</v>
      </c>
      <c r="AF163" s="23"/>
      <c r="AG163" s="23"/>
      <c r="AH163" s="23" t="str">
        <f>IFERROR(__xludf.DUMMYFUNCTION("IF(
ISNUMBER(MATCH(
C163,
IMPORTRANGE(""https://docs.google.com/spreadsheets/d/1yTh1ELC33JHYOeEdgIiEclxPRyh0zOKtlawDltfUay8"",""'Interns'!A:A""),
0
)),
""Outreach Conducted"",
"""")"),"")</f>
        <v/>
      </c>
      <c r="AI163" s="23"/>
      <c r="AJ163" s="28" t="s">
        <v>6370</v>
      </c>
      <c r="AK163" s="23" t="str">
        <f>IFERROR(__xludf.DUMMYFUNCTION("XLOOKUP(C163, 
   IMPORTRANGE(""1RdEdgHYrZ33LJ7RUHj_h-qkAFL92bcVjtIdVa-UlsCw"", ""Interns!D:D""), 
   IMPORTRANGE(""1RdEdgHYrZ33LJ7RUHj_h-qkAFL92bcVjtIdVa-UlsCw"", ""Interns!M:M""), 
   ""Not Found"")"),"Contacted")</f>
        <v>Contacted</v>
      </c>
      <c r="AL163" s="23" t="str">
        <f>IFERROR(__xludf.DUMMYFUNCTION("XLOOKUP(C163, 
   IMPORTRANGE(""1RdEdgHYrZ33LJ7RUHj_h-qkAFL92bcVjtIdVa-UlsCw"", ""Interns!D:D""), 
   IMPORTRANGE(""1RdEdgHYrZ33LJ7RUHj_h-qkAFL92bcVjtIdVa-UlsCw"", ""Interns!N:N""), 
   ""Not Found"")"),"#Cheers4Careers")</f>
        <v>#Cheers4Careers</v>
      </c>
      <c r="AM163" s="23" t="str">
        <f>IFERROR(__xludf.DUMMYFUNCTION("XLOOKUP(C163,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63" s="23"/>
      <c r="AO163" s="23" t="s">
        <v>6371</v>
      </c>
      <c r="AP163" s="28" t="s">
        <v>5182</v>
      </c>
      <c r="AQ163" s="28" t="s">
        <v>6372</v>
      </c>
      <c r="AR163" s="23">
        <v>9.178631979E9</v>
      </c>
      <c r="AS163" s="23"/>
      <c r="AT163" s="23"/>
      <c r="AU163" s="23"/>
      <c r="AV163" s="23"/>
    </row>
    <row r="164">
      <c r="A164" s="28" t="s">
        <v>5161</v>
      </c>
      <c r="B164" s="28" t="s">
        <v>5162</v>
      </c>
      <c r="C164" s="23" t="str">
        <f t="shared" si="1"/>
        <v>Zexuan (Ethan) Liu</v>
      </c>
      <c r="D164" s="28" t="s">
        <v>6373</v>
      </c>
      <c r="E164" s="28" t="s">
        <v>6241</v>
      </c>
      <c r="F164" s="23">
        <f t="array" ref="F164">IFERROR(
    INDEX('Hub Interns 226'!A:A, MATCH("Ethan", 'Hub Interns 226'!B:B, 0)),"")</f>
        <v>1526</v>
      </c>
      <c r="G164" s="23">
        <f t="array" ref="G164">IFERROR(
    INDEX('Hub Users 226'!A:A, MATCH("Zexuan Liu", 'Hub Users 226'!B:B, 0)),"")</f>
        <v>2052</v>
      </c>
      <c r="H164" s="28">
        <v>1843.0</v>
      </c>
      <c r="I164" s="28" t="s">
        <v>107</v>
      </c>
      <c r="J164" s="28" t="s">
        <v>5833</v>
      </c>
      <c r="K164" s="28" t="s">
        <v>5186</v>
      </c>
      <c r="L164" s="28" t="s">
        <v>5165</v>
      </c>
      <c r="M164" s="56" t="s">
        <v>6374</v>
      </c>
      <c r="N164" s="57">
        <v>45503.98263888889</v>
      </c>
      <c r="O164" s="58">
        <v>45481.0</v>
      </c>
      <c r="P164" s="28">
        <f t="shared" si="9"/>
        <v>1</v>
      </c>
      <c r="Q164" s="28" t="s">
        <v>240</v>
      </c>
      <c r="R164" s="28" t="s">
        <v>6375</v>
      </c>
      <c r="S164" s="28">
        <v>6.0</v>
      </c>
      <c r="T164" s="28">
        <v>12.0</v>
      </c>
      <c r="U164" s="28">
        <v>30.0</v>
      </c>
      <c r="V164" s="28">
        <v>30.0</v>
      </c>
      <c r="W164" s="28" t="s">
        <v>1173</v>
      </c>
      <c r="X164" s="28" t="s">
        <v>272</v>
      </c>
      <c r="Y164" s="23"/>
      <c r="Z164" s="23"/>
      <c r="AA164" s="28" t="s">
        <v>5512</v>
      </c>
      <c r="AB164" s="28">
        <v>30.0</v>
      </c>
      <c r="AC164" s="28" t="s">
        <v>23</v>
      </c>
      <c r="AD164" s="28" t="s">
        <v>101</v>
      </c>
      <c r="AE164" s="28" t="s">
        <v>19</v>
      </c>
      <c r="AF164" s="23"/>
      <c r="AG164" s="23"/>
      <c r="AH164" s="23" t="str">
        <f>IFERROR(__xludf.DUMMYFUNCTION("IF(
ISNUMBER(MATCH(
C164,
IMPORTRANGE(""https://docs.google.com/spreadsheets/d/1yTh1ELC33JHYOeEdgIiEclxPRyh0zOKtlawDltfUay8"",""'Interns'!A:A""),
0
)),
""Outreach Conducted"",
"""")"),"")</f>
        <v/>
      </c>
      <c r="AI164" s="23"/>
      <c r="AJ164" s="23"/>
      <c r="AK164" s="23" t="str">
        <f>IFERROR(__xludf.DUMMYFUNCTION("XLOOKUP(C164, 
   IMPORTRANGE(""1RdEdgHYrZ33LJ7RUHj_h-qkAFL92bcVjtIdVa-UlsCw"", ""Interns!D:D""), 
   IMPORTRANGE(""1RdEdgHYrZ33LJ7RUHj_h-qkAFL92bcVjtIdVa-UlsCw"", ""Interns!M:M""), 
   ""Not Found"")"),"In Communication")</f>
        <v>In Communication</v>
      </c>
      <c r="AL164" s="23" t="str">
        <f>IFERROR(__xludf.DUMMYFUNCTION("XLOOKUP(C164, 
   IMPORTRANGE(""1RdEdgHYrZ33LJ7RUHj_h-qkAFL92bcVjtIdVa-UlsCw"", ""Interns!D:D""), 
   IMPORTRANGE(""1RdEdgHYrZ33LJ7RUHj_h-qkAFL92bcVjtIdVa-UlsCw"", ""Interns!N:N""), 
   ""Not Found"")"),"#Cheers4Careers")</f>
        <v>#Cheers4Careers</v>
      </c>
      <c r="AM164" s="23" t="str">
        <f>IFERROR(__xludf.DUMMYFUNCTION("XLOOKUP(C164, 
   IMPORTRANGE(""1RdEdgHYrZ33LJ7RUHj_h-qkAFL92bcVjtIdVa-UlsCw"", ""Interns!D:D""), 
   IMPORTRANGE(""1RdEdgHYrZ33LJ7RUHj_h-qkAFL92bcVjtIdVa-UlsCw"", ""Interns!O:O""), 
   ""Not Found"")"),"Hetal reached out March 27 for March #Cheers4 Careers - email blocked; Hetal sent whatsapp to mom on 3/28
Hetal reached out on 4/10 by whatsapp and his mom said she shared with Ethan ")</f>
        <v>Hetal reached out March 27 for March #Cheers4 Careers - email blocked; Hetal sent whatsapp to mom on 3/28
Hetal reached out on 4/10 by whatsapp and his mom said she shared with Ethan </v>
      </c>
      <c r="AN164" s="23"/>
      <c r="AO164" s="23" t="s">
        <v>6376</v>
      </c>
      <c r="AP164" s="28" t="s">
        <v>5182</v>
      </c>
      <c r="AQ164" s="28" t="s">
        <v>6374</v>
      </c>
      <c r="AR164" s="23">
        <v>6.462690432E9</v>
      </c>
      <c r="AS164" s="23"/>
      <c r="AT164" s="23"/>
      <c r="AU164" s="23"/>
      <c r="AV164" s="23"/>
    </row>
    <row r="165">
      <c r="A165" s="28" t="s">
        <v>5202</v>
      </c>
      <c r="B165" s="28" t="s">
        <v>5162</v>
      </c>
      <c r="C165" s="23" t="str">
        <f t="shared" si="1"/>
        <v>Santiago Diaz</v>
      </c>
      <c r="D165" s="28" t="s">
        <v>6377</v>
      </c>
      <c r="E165" s="28" t="s">
        <v>6378</v>
      </c>
      <c r="F165" s="23">
        <f t="array" ref="F165">IFERROR(
    INDEX('Hub Interns 226'!A:A, MATCH(C165, 'Hub Interns 226'!B:B, 0)),"")</f>
        <v>1067</v>
      </c>
      <c r="G165" s="23">
        <f t="array" ref="G165">IFERROR(
    INDEX('Hub Users 226'!A:A, MATCH(C165, 'Hub Users 226'!B:B, 0)),"")</f>
        <v>1500</v>
      </c>
      <c r="H165" s="28">
        <v>628.0</v>
      </c>
      <c r="I165" s="28" t="s">
        <v>785</v>
      </c>
      <c r="J165" s="28" t="s">
        <v>5766</v>
      </c>
      <c r="K165" s="28" t="s">
        <v>5463</v>
      </c>
      <c r="L165" s="28" t="s">
        <v>5165</v>
      </c>
      <c r="M165" s="56" t="s">
        <v>6379</v>
      </c>
      <c r="N165" s="59">
        <v>44497.425</v>
      </c>
      <c r="O165" s="58">
        <v>38499.0</v>
      </c>
      <c r="P165" s="28">
        <f t="shared" si="9"/>
        <v>20</v>
      </c>
      <c r="Q165" s="28" t="s">
        <v>240</v>
      </c>
      <c r="R165" s="28" t="s">
        <v>6380</v>
      </c>
      <c r="S165" s="65">
        <v>6.0</v>
      </c>
      <c r="T165" s="65">
        <v>13.0</v>
      </c>
      <c r="U165" s="65">
        <v>39.0</v>
      </c>
      <c r="V165" s="28">
        <v>25.0</v>
      </c>
      <c r="W165" s="28" t="s">
        <v>1173</v>
      </c>
      <c r="X165" s="28" t="s">
        <v>272</v>
      </c>
      <c r="Y165" s="28" t="s">
        <v>6381</v>
      </c>
      <c r="Z165" s="28" t="s">
        <v>5189</v>
      </c>
      <c r="AA165" s="28" t="s">
        <v>619</v>
      </c>
      <c r="AB165" s="28">
        <v>20.0</v>
      </c>
      <c r="AC165" s="28" t="s">
        <v>25</v>
      </c>
      <c r="AD165" s="23"/>
      <c r="AE165" s="28" t="s">
        <v>10</v>
      </c>
      <c r="AF165" s="23" t="str">
        <f>IFERROR(__xludf.DUMMYFUNCTION("TEXTJOIN("", "", TRUE,
  FILTER(Champions!C:C,
    ISNUMBER(SEARCH(C165, Champions!W:W))
  )
)"),"Erycka Montoya, Jason Alafgani")</f>
        <v>Erycka Montoya, Jason Alafgani</v>
      </c>
      <c r="AG165" s="23"/>
      <c r="AH165" s="23" t="str">
        <f>IFERROR(__xludf.DUMMYFUNCTION("IF(
ISNUMBER(MATCH(
C165,
IMPORTRANGE(""https://docs.google.com/spreadsheets/d/1yTh1ELC33JHYOeEdgIiEclxPRyh0zOKtlawDltfUay8"",""'Interns'!A:A""),
0
)),
""Outreach Conducted"",
"""")"),"")</f>
        <v/>
      </c>
      <c r="AI165" s="23"/>
      <c r="AJ165" s="23"/>
      <c r="AK165" s="23" t="str">
        <f>IFERROR(__xludf.DUMMYFUNCTION("XLOOKUP(C165, 
   IMPORTRANGE(""1RdEdgHYrZ33LJ7RUHj_h-qkAFL92bcVjtIdVa-UlsCw"", ""Interns!D:D""), 
   IMPORTRANGE(""1RdEdgHYrZ33LJ7RUHj_h-qkAFL92bcVjtIdVa-UlsCw"", ""Interns!M:M""), 
   ""Not Found"")"),"")</f>
        <v/>
      </c>
      <c r="AL165" s="23" t="str">
        <f>IFERROR(__xludf.DUMMYFUNCTION("XLOOKUP(C165, 
   IMPORTRANGE(""1RdEdgHYrZ33LJ7RUHj_h-qkAFL92bcVjtIdVa-UlsCw"", ""Interns!D:D""), 
   IMPORTRANGE(""1RdEdgHYrZ33LJ7RUHj_h-qkAFL92bcVjtIdVa-UlsCw"", ""Interns!N:N""), 
   ""Not Found"")"),"")</f>
        <v/>
      </c>
      <c r="AM165" s="23" t="str">
        <f>IFERROR(__xludf.DUMMYFUNCTION("XLOOKUP(C165, 
   IMPORTRANGE(""1RdEdgHYrZ33LJ7RUHj_h-qkAFL92bcVjtIdVa-UlsCw"", ""Interns!D:D""), 
   IMPORTRANGE(""1RdEdgHYrZ33LJ7RUHj_h-qkAFL92bcVjtIdVa-UlsCw"", ""Interns!O:O""), 
   ""Not Found"")"),"")</f>
        <v/>
      </c>
      <c r="AN165" s="23"/>
      <c r="AO165" s="23" t="s">
        <v>6382</v>
      </c>
      <c r="AP165" s="28" t="s">
        <v>5191</v>
      </c>
      <c r="AQ165" s="28" t="s">
        <v>6383</v>
      </c>
      <c r="AR165" s="23" t="s">
        <v>6384</v>
      </c>
      <c r="AS165" s="23"/>
      <c r="AT165" s="23"/>
      <c r="AU165" s="23"/>
      <c r="AV165" s="23"/>
    </row>
    <row r="166">
      <c r="A166" s="28" t="s">
        <v>5161</v>
      </c>
      <c r="B166" s="28" t="s">
        <v>5162</v>
      </c>
      <c r="C166" s="23" t="str">
        <f t="shared" si="1"/>
        <v>Katrina Zheng</v>
      </c>
      <c r="D166" s="28" t="s">
        <v>5069</v>
      </c>
      <c r="E166" s="28" t="s">
        <v>1873</v>
      </c>
      <c r="F166" s="23" t="str">
        <f t="array" ref="F166">IFERROR(
    INDEX('Hub Interns 226'!A:A, MATCH(C166, 'Hub Interns 226'!B:B, 0)),"")</f>
        <v/>
      </c>
      <c r="G166" s="23">
        <f t="array" ref="G166">IFERROR(
    INDEX('Hub Users 226'!A:A, MATCH(C166, 'Hub Users 226'!B:B, 0)),"")</f>
        <v>2093</v>
      </c>
      <c r="H166" s="28">
        <v>1857.0</v>
      </c>
      <c r="I166" s="28" t="s">
        <v>107</v>
      </c>
      <c r="J166" s="28" t="s">
        <v>5833</v>
      </c>
      <c r="K166" s="28" t="s">
        <v>5186</v>
      </c>
      <c r="L166" s="28" t="s">
        <v>5196</v>
      </c>
      <c r="M166" s="56" t="s">
        <v>6385</v>
      </c>
      <c r="N166" s="59">
        <v>45583.85763888889</v>
      </c>
      <c r="O166" s="58">
        <v>41155.0</v>
      </c>
      <c r="P166" s="28">
        <f t="shared" si="9"/>
        <v>13</v>
      </c>
      <c r="Q166" s="28" t="s">
        <v>6386</v>
      </c>
      <c r="R166" s="28" t="s">
        <v>6387</v>
      </c>
      <c r="S166" s="28">
        <v>6.0</v>
      </c>
      <c r="T166" s="28">
        <v>15.0</v>
      </c>
      <c r="U166" s="28">
        <v>28.0</v>
      </c>
      <c r="V166" s="28">
        <v>30.0</v>
      </c>
      <c r="W166" s="28" t="s">
        <v>271</v>
      </c>
      <c r="X166" s="28" t="s">
        <v>272</v>
      </c>
      <c r="Y166" s="23"/>
      <c r="Z166" s="28" t="s">
        <v>6332</v>
      </c>
      <c r="AA166" s="28" t="s">
        <v>5512</v>
      </c>
      <c r="AB166" s="28">
        <v>30.0</v>
      </c>
      <c r="AC166" s="28" t="s">
        <v>23</v>
      </c>
      <c r="AD166" s="23"/>
      <c r="AE166" s="28" t="s">
        <v>19</v>
      </c>
      <c r="AF166" s="23"/>
      <c r="AG166" s="23"/>
      <c r="AH166" s="23" t="str">
        <f>IFERROR(__xludf.DUMMYFUNCTION("IF(
ISNUMBER(MATCH(
C166,
IMPORTRANGE(""https://docs.google.com/spreadsheets/d/1yTh1ELC33JHYOeEdgIiEclxPRyh0zOKtlawDltfUay8"",""'Interns'!A:A""),
0
)),
""Outreach Conducted"",
"""")"),"")</f>
        <v/>
      </c>
      <c r="AI166" s="23"/>
      <c r="AJ166" s="23"/>
      <c r="AK166" s="23" t="str">
        <f>IFERROR(__xludf.DUMMYFUNCTION("XLOOKUP(C166, 
   IMPORTRANGE(""1RdEdgHYrZ33LJ7RUHj_h-qkAFL92bcVjtIdVa-UlsCw"", ""Interns!D:D""), 
   IMPORTRANGE(""1RdEdgHYrZ33LJ7RUHj_h-qkAFL92bcVjtIdVa-UlsCw"", ""Interns!M:M""), 
   ""Not Found"")"),"Contacted")</f>
        <v>Contacted</v>
      </c>
      <c r="AL166" s="23" t="str">
        <f>IFERROR(__xludf.DUMMYFUNCTION("XLOOKUP(C166, 
   IMPORTRANGE(""1RdEdgHYrZ33LJ7RUHj_h-qkAFL92bcVjtIdVa-UlsCw"", ""Interns!D:D""), 
   IMPORTRANGE(""1RdEdgHYrZ33LJ7RUHj_h-qkAFL92bcVjtIdVa-UlsCw"", ""Interns!N:N""), 
   ""Not Found"")"),"#Cheers4Careers")</f>
        <v>#Cheers4Careers</v>
      </c>
      <c r="AM166" s="23" t="str">
        <f>IFERROR(__xludf.DUMMYFUNCTION("XLOOKUP(C166,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66" s="23"/>
      <c r="AO166" s="23" t="s">
        <v>6388</v>
      </c>
      <c r="AP166" s="28" t="s">
        <v>5182</v>
      </c>
      <c r="AQ166" s="28" t="s">
        <v>6389</v>
      </c>
      <c r="AR166" s="23" t="s">
        <v>6390</v>
      </c>
      <c r="AS166" s="23"/>
      <c r="AT166" s="23"/>
      <c r="AU166" s="23"/>
      <c r="AV166" s="23"/>
    </row>
    <row r="167">
      <c r="A167" s="28" t="s">
        <v>5202</v>
      </c>
      <c r="B167" s="28" t="s">
        <v>5162</v>
      </c>
      <c r="C167" s="23" t="str">
        <f t="shared" si="1"/>
        <v>Miguel Gonzalez</v>
      </c>
      <c r="D167" s="28" t="s">
        <v>6391</v>
      </c>
      <c r="E167" s="28" t="s">
        <v>1377</v>
      </c>
      <c r="F167" s="23">
        <f t="array" ref="F167">IFERROR(
    INDEX('Hub Interns 226'!A:A, MATCH(C167, 'Hub Interns 226'!B:B, 0)),"")</f>
        <v>886</v>
      </c>
      <c r="G167" s="23">
        <f t="array" ref="G167">IFERROR(
    INDEX('Hub Users 226'!A:A, MATCH(C167, 'Hub Users 226'!B:B, 0)),"")</f>
        <v>1319</v>
      </c>
      <c r="H167" s="28">
        <v>758.0</v>
      </c>
      <c r="I167" s="28" t="s">
        <v>407</v>
      </c>
      <c r="J167" s="28" t="s">
        <v>5766</v>
      </c>
      <c r="K167" s="28" t="s">
        <v>5463</v>
      </c>
      <c r="L167" s="28" t="s">
        <v>5165</v>
      </c>
      <c r="M167" s="56" t="s">
        <v>6392</v>
      </c>
      <c r="N167" s="59">
        <v>44551.58888888889</v>
      </c>
      <c r="O167" s="58">
        <v>37708.0</v>
      </c>
      <c r="P167" s="28">
        <f t="shared" si="9"/>
        <v>23</v>
      </c>
      <c r="Q167" s="28" t="s">
        <v>240</v>
      </c>
      <c r="R167" s="28" t="s">
        <v>6393</v>
      </c>
      <c r="S167" s="28">
        <v>5.0</v>
      </c>
      <c r="T167" s="28">
        <v>14.0</v>
      </c>
      <c r="U167" s="28">
        <v>28.0</v>
      </c>
      <c r="V167" s="28">
        <v>29.0</v>
      </c>
      <c r="W167" s="28" t="s">
        <v>1173</v>
      </c>
      <c r="X167" s="28" t="s">
        <v>272</v>
      </c>
      <c r="Y167" s="28" t="s">
        <v>6394</v>
      </c>
      <c r="Z167" s="28" t="s">
        <v>5483</v>
      </c>
      <c r="AA167" s="28" t="s">
        <v>457</v>
      </c>
      <c r="AB167" s="28">
        <v>25.0</v>
      </c>
      <c r="AC167" s="28" t="s">
        <v>25</v>
      </c>
      <c r="AD167" s="23"/>
      <c r="AE167" s="28" t="s">
        <v>10</v>
      </c>
      <c r="AF167" s="23" t="str">
        <f>IFERROR(__xludf.DUMMYFUNCTION("TEXTJOIN("", "", TRUE,
  FILTER(Champions!C:C,
    ISNUMBER(SEARCH(C167, Champions!W:W))
  )
)"),"Loren Hernandez, Sarah Anne Mead Lupberger")</f>
        <v>Loren Hernandez, Sarah Anne Mead Lupberger</v>
      </c>
      <c r="AG167" s="23"/>
      <c r="AH167" s="23" t="str">
        <f>IFERROR(__xludf.DUMMYFUNCTION("IF(
ISNUMBER(MATCH(
C167,
IMPORTRANGE(""https://docs.google.com/spreadsheets/d/1yTh1ELC33JHYOeEdgIiEclxPRyh0zOKtlawDltfUay8"",""'Interns'!A:A""),
0
)),
""Outreach Conducted"",
"""")"),"")</f>
        <v/>
      </c>
      <c r="AI167" s="23"/>
      <c r="AJ167" s="23"/>
      <c r="AK167" s="23" t="str">
        <f>IFERROR(__xludf.DUMMYFUNCTION("XLOOKUP(C167, 
   IMPORTRANGE(""1RdEdgHYrZ33LJ7RUHj_h-qkAFL92bcVjtIdVa-UlsCw"", ""Interns!D:D""), 
   IMPORTRANGE(""1RdEdgHYrZ33LJ7RUHj_h-qkAFL92bcVjtIdVa-UlsCw"", ""Interns!M:M""), 
   ""Not Found"")"),"")</f>
        <v/>
      </c>
      <c r="AL167" s="23" t="str">
        <f>IFERROR(__xludf.DUMMYFUNCTION("XLOOKUP(C167, 
   IMPORTRANGE(""1RdEdgHYrZ33LJ7RUHj_h-qkAFL92bcVjtIdVa-UlsCw"", ""Interns!D:D""), 
   IMPORTRANGE(""1RdEdgHYrZ33LJ7RUHj_h-qkAFL92bcVjtIdVa-UlsCw"", ""Interns!N:N""), 
   ""Not Found"")"),"")</f>
        <v/>
      </c>
      <c r="AM167" s="23" t="str">
        <f>IFERROR(__xludf.DUMMYFUNCTION("XLOOKUP(C167, 
   IMPORTRANGE(""1RdEdgHYrZ33LJ7RUHj_h-qkAFL92bcVjtIdVa-UlsCw"", ""Interns!D:D""), 
   IMPORTRANGE(""1RdEdgHYrZ33LJ7RUHj_h-qkAFL92bcVjtIdVa-UlsCw"", ""Interns!O:O""), 
   ""Not Found"")"),"")</f>
        <v/>
      </c>
      <c r="AN167" s="23"/>
      <c r="AO167" s="23" t="s">
        <v>6395</v>
      </c>
      <c r="AP167" s="28" t="s">
        <v>5182</v>
      </c>
      <c r="AQ167" s="28" t="s">
        <v>6392</v>
      </c>
      <c r="AR167" s="23" t="s">
        <v>6396</v>
      </c>
      <c r="AS167" s="23"/>
      <c r="AT167" s="23"/>
      <c r="AU167" s="23"/>
      <c r="AV167" s="23"/>
    </row>
    <row r="168">
      <c r="A168" s="28" t="s">
        <v>5202</v>
      </c>
      <c r="B168" s="28" t="s">
        <v>5162</v>
      </c>
      <c r="C168" s="23" t="str">
        <f t="shared" si="1"/>
        <v>Santiago Narvaez</v>
      </c>
      <c r="D168" s="28" t="s">
        <v>6377</v>
      </c>
      <c r="E168" s="28" t="s">
        <v>6397</v>
      </c>
      <c r="F168" s="23">
        <f t="array" ref="F168">IFERROR(
    INDEX('Hub Interns 226'!A:A, MATCH(C168, 'Hub Interns 226'!B:B, 0)),"")</f>
        <v>992</v>
      </c>
      <c r="G168" s="23">
        <f t="array" ref="G168">IFERROR(
    INDEX('Hub Users 226'!A:A, MATCH(C168, 'Hub Users 226'!B:B, 0)),"")</f>
        <v>1425</v>
      </c>
      <c r="H168" s="28">
        <v>912.0</v>
      </c>
      <c r="I168" s="28" t="s">
        <v>239</v>
      </c>
      <c r="J168" s="28" t="s">
        <v>5766</v>
      </c>
      <c r="K168" s="28" t="s">
        <v>5463</v>
      </c>
      <c r="L168" s="28" t="s">
        <v>5165</v>
      </c>
      <c r="M168" s="56" t="s">
        <v>6398</v>
      </c>
      <c r="N168" s="57">
        <v>44601.603472222225</v>
      </c>
      <c r="O168" s="58">
        <v>38742.0</v>
      </c>
      <c r="P168" s="28">
        <f t="shared" si="9"/>
        <v>20</v>
      </c>
      <c r="Q168" s="28" t="s">
        <v>6399</v>
      </c>
      <c r="R168" s="28" t="s">
        <v>6400</v>
      </c>
      <c r="S168" s="28">
        <v>14.0</v>
      </c>
      <c r="T168" s="28">
        <v>11.0</v>
      </c>
      <c r="U168" s="28">
        <v>27.0</v>
      </c>
      <c r="V168" s="28">
        <v>19.0</v>
      </c>
      <c r="W168" s="28" t="s">
        <v>1173</v>
      </c>
      <c r="X168" s="28" t="s">
        <v>272</v>
      </c>
      <c r="Y168" s="28" t="s">
        <v>6401</v>
      </c>
      <c r="Z168" s="28" t="s">
        <v>5189</v>
      </c>
      <c r="AA168" s="28" t="s">
        <v>619</v>
      </c>
      <c r="AB168" s="28">
        <v>20.0</v>
      </c>
      <c r="AC168" s="28" t="s">
        <v>24</v>
      </c>
      <c r="AD168" s="23"/>
      <c r="AE168" s="28" t="s">
        <v>10</v>
      </c>
      <c r="AF168" s="23"/>
      <c r="AG168" s="23"/>
      <c r="AH168" s="23" t="str">
        <f>IFERROR(__xludf.DUMMYFUNCTION("IF(
ISNUMBER(MATCH(
C168,
IMPORTRANGE(""https://docs.google.com/spreadsheets/d/1yTh1ELC33JHYOeEdgIiEclxPRyh0zOKtlawDltfUay8"",""'Interns'!A:A""),
0
)),
""Outreach Conducted"",
"""")"),"")</f>
        <v/>
      </c>
      <c r="AI168" s="23"/>
      <c r="AJ168" s="23"/>
      <c r="AK168" s="23" t="str">
        <f>IFERROR(__xludf.DUMMYFUNCTION("XLOOKUP(C168, 
   IMPORTRANGE(""1RdEdgHYrZ33LJ7RUHj_h-qkAFL92bcVjtIdVa-UlsCw"", ""Interns!D:D""), 
   IMPORTRANGE(""1RdEdgHYrZ33LJ7RUHj_h-qkAFL92bcVjtIdVa-UlsCw"", ""Interns!M:M""), 
   ""Not Found"")"),"")</f>
        <v/>
      </c>
      <c r="AL168" s="23" t="str">
        <f>IFERROR(__xludf.DUMMYFUNCTION("XLOOKUP(C168, 
   IMPORTRANGE(""1RdEdgHYrZ33LJ7RUHj_h-qkAFL92bcVjtIdVa-UlsCw"", ""Interns!D:D""), 
   IMPORTRANGE(""1RdEdgHYrZ33LJ7RUHj_h-qkAFL92bcVjtIdVa-UlsCw"", ""Interns!N:N""), 
   ""Not Found"")"),"")</f>
        <v/>
      </c>
      <c r="AM168" s="23" t="str">
        <f>IFERROR(__xludf.DUMMYFUNCTION("XLOOKUP(C168, 
   IMPORTRANGE(""1RdEdgHYrZ33LJ7RUHj_h-qkAFL92bcVjtIdVa-UlsCw"", ""Interns!D:D""), 
   IMPORTRANGE(""1RdEdgHYrZ33LJ7RUHj_h-qkAFL92bcVjtIdVa-UlsCw"", ""Interns!O:O""), 
   ""Not Found"")"),"")</f>
        <v/>
      </c>
      <c r="AN168" s="23"/>
      <c r="AO168" s="23" t="s">
        <v>6402</v>
      </c>
      <c r="AP168" s="28" t="s">
        <v>5182</v>
      </c>
      <c r="AQ168" s="28"/>
      <c r="AR168" s="23"/>
      <c r="AS168" s="23"/>
      <c r="AT168" s="23"/>
      <c r="AU168" s="23"/>
      <c r="AV168" s="23"/>
    </row>
    <row r="169">
      <c r="A169" s="28" t="s">
        <v>5161</v>
      </c>
      <c r="B169" s="28" t="s">
        <v>5162</v>
      </c>
      <c r="C169" s="23" t="str">
        <f t="shared" si="1"/>
        <v>Dainna Zheng</v>
      </c>
      <c r="D169" s="28" t="s">
        <v>6403</v>
      </c>
      <c r="E169" s="28" t="s">
        <v>1873</v>
      </c>
      <c r="F169" s="23" t="str">
        <f t="array" ref="F169">IFERROR(
    INDEX('Hub Interns 226'!A:A, MATCH(C169, 'Hub Interns 226'!B:B, 0)),"")</f>
        <v/>
      </c>
      <c r="G169" s="23">
        <f t="array" ref="G169">IFERROR(
    INDEX('Hub Users 226'!A:A, MATCH(C169, 'Hub Users 226'!B:B, 0)),"")</f>
        <v>2100</v>
      </c>
      <c r="H169" s="28">
        <v>1852.0</v>
      </c>
      <c r="I169" s="28" t="s">
        <v>260</v>
      </c>
      <c r="J169" s="28" t="s">
        <v>5833</v>
      </c>
      <c r="K169" s="28" t="s">
        <v>5186</v>
      </c>
      <c r="L169" s="28" t="s">
        <v>5196</v>
      </c>
      <c r="M169" s="56" t="s">
        <v>6404</v>
      </c>
      <c r="N169" s="59">
        <v>45583.788194444445</v>
      </c>
      <c r="O169" s="58">
        <v>41159.0</v>
      </c>
      <c r="P169" s="28">
        <f t="shared" si="9"/>
        <v>13</v>
      </c>
      <c r="Q169" s="28" t="s">
        <v>240</v>
      </c>
      <c r="R169" s="28" t="s">
        <v>6405</v>
      </c>
      <c r="S169" s="28">
        <v>6.0</v>
      </c>
      <c r="T169" s="28">
        <v>15.0</v>
      </c>
      <c r="U169" s="28">
        <v>28.0</v>
      </c>
      <c r="V169" s="28">
        <v>30.0</v>
      </c>
      <c r="W169" s="28" t="s">
        <v>271</v>
      </c>
      <c r="X169" s="28" t="s">
        <v>272</v>
      </c>
      <c r="Y169" s="28">
        <v>6.469439107E9</v>
      </c>
      <c r="Z169" s="28" t="s">
        <v>6332</v>
      </c>
      <c r="AA169" s="28" t="s">
        <v>5512</v>
      </c>
      <c r="AB169" s="28">
        <v>30.0</v>
      </c>
      <c r="AC169" s="28" t="s">
        <v>23</v>
      </c>
      <c r="AD169" s="23"/>
      <c r="AE169" s="28" t="s">
        <v>19</v>
      </c>
      <c r="AF169" s="23"/>
      <c r="AG169" s="23"/>
      <c r="AH169" s="23" t="str">
        <f>IFERROR(__xludf.DUMMYFUNCTION("IF(
ISNUMBER(MATCH(
C169,
IMPORTRANGE(""https://docs.google.com/spreadsheets/d/1yTh1ELC33JHYOeEdgIiEclxPRyh0zOKtlawDltfUay8"",""'Interns'!A:A""),
0
)),
""Outreach Conducted"",
"""")"),"")</f>
        <v/>
      </c>
      <c r="AI169" s="23"/>
      <c r="AJ169" s="23"/>
      <c r="AK169" s="23" t="str">
        <f>IFERROR(__xludf.DUMMYFUNCTION("XLOOKUP(C169, 
   IMPORTRANGE(""1RdEdgHYrZ33LJ7RUHj_h-qkAFL92bcVjtIdVa-UlsCw"", ""Interns!D:D""), 
   IMPORTRANGE(""1RdEdgHYrZ33LJ7RUHj_h-qkAFL92bcVjtIdVa-UlsCw"", ""Interns!M:M""), 
   ""Not Found"")"),"Contacted")</f>
        <v>Contacted</v>
      </c>
      <c r="AL169" s="23" t="str">
        <f>IFERROR(__xludf.DUMMYFUNCTION("XLOOKUP(C169, 
   IMPORTRANGE(""1RdEdgHYrZ33LJ7RUHj_h-qkAFL92bcVjtIdVa-UlsCw"", ""Interns!D:D""), 
   IMPORTRANGE(""1RdEdgHYrZ33LJ7RUHj_h-qkAFL92bcVjtIdVa-UlsCw"", ""Interns!N:N""), 
   ""Not Found"")"),"#Cheers4Careers")</f>
        <v>#Cheers4Careers</v>
      </c>
      <c r="AM169" s="23" t="str">
        <f>IFERROR(__xludf.DUMMYFUNCTION("XLOOKUP(C169, 
   IMPORTRANGE(""1RdEdgHYrZ33LJ7RUHj_h-qkAFL92bcVjtIdVa-UlsCw"", ""Interns!D:D""), 
   IMPORTRANGE(""1RdEdgHYrZ33LJ7RUHj_h-qkAFL92bcVjtIdVa-UlsCw"", ""Interns!O:O""), 
   ""Not Found"")"),"Hetal reached out March 27 for March #Cheers4 Careers ")</f>
        <v>Hetal reached out March 27 for March #Cheers4 Careers </v>
      </c>
      <c r="AN169" s="23"/>
      <c r="AO169" s="23" t="s">
        <v>6406</v>
      </c>
      <c r="AP169" s="28" t="s">
        <v>5182</v>
      </c>
      <c r="AQ169" s="28" t="s">
        <v>6407</v>
      </c>
      <c r="AR169" s="23">
        <v>6.469439107E9</v>
      </c>
      <c r="AS169" s="23"/>
      <c r="AT169" s="23"/>
      <c r="AU169" s="23"/>
      <c r="AV169" s="23"/>
    </row>
    <row r="170">
      <c r="A170" s="28" t="s">
        <v>5202</v>
      </c>
      <c r="B170" s="28" t="s">
        <v>5162</v>
      </c>
      <c r="C170" s="23" t="str">
        <f t="shared" si="1"/>
        <v>Maria Cogollo</v>
      </c>
      <c r="D170" s="28" t="s">
        <v>2308</v>
      </c>
      <c r="E170" s="28" t="s">
        <v>6408</v>
      </c>
      <c r="F170" s="23">
        <f t="array" ref="F170">IFERROR(
    INDEX('Hub Interns 226'!A:A, MATCH(C170, 'Hub Interns 226'!B:B, 0)),"")</f>
        <v>178</v>
      </c>
      <c r="G170" s="23">
        <f t="array" ref="G170">IFERROR(
    INDEX('Hub Users 226'!A:A, MATCH(C170, 'Hub Users 226'!B:B, 0)),"")</f>
        <v>611</v>
      </c>
      <c r="H170" s="28">
        <v>885.0</v>
      </c>
      <c r="I170" s="28" t="s">
        <v>290</v>
      </c>
      <c r="J170" s="28" t="s">
        <v>5766</v>
      </c>
      <c r="K170" s="28" t="s">
        <v>5463</v>
      </c>
      <c r="L170" s="28" t="s">
        <v>5196</v>
      </c>
      <c r="M170" s="56" t="s">
        <v>6409</v>
      </c>
      <c r="N170" s="57">
        <v>44601.527083333334</v>
      </c>
      <c r="O170" s="58">
        <v>38283.0</v>
      </c>
      <c r="P170" s="28">
        <f t="shared" si="9"/>
        <v>21</v>
      </c>
      <c r="Q170" s="28" t="s">
        <v>240</v>
      </c>
      <c r="R170" s="28" t="s">
        <v>6410</v>
      </c>
      <c r="S170" s="28">
        <v>14.0</v>
      </c>
      <c r="T170" s="28">
        <v>11.0</v>
      </c>
      <c r="U170" s="28">
        <v>27.0</v>
      </c>
      <c r="V170" s="28">
        <v>19.0</v>
      </c>
      <c r="W170" s="28" t="s">
        <v>1173</v>
      </c>
      <c r="X170" s="28" t="s">
        <v>272</v>
      </c>
      <c r="Y170" s="28" t="s">
        <v>6411</v>
      </c>
      <c r="Z170" s="28" t="s">
        <v>5189</v>
      </c>
      <c r="AA170" s="28" t="s">
        <v>619</v>
      </c>
      <c r="AB170" s="28">
        <v>20.0</v>
      </c>
      <c r="AC170" s="28" t="s">
        <v>24</v>
      </c>
      <c r="AD170" s="23"/>
      <c r="AE170" s="28" t="s">
        <v>10</v>
      </c>
      <c r="AF170" s="23"/>
      <c r="AG170" s="23"/>
      <c r="AH170" s="23" t="str">
        <f>IFERROR(__xludf.DUMMYFUNCTION("IF(
ISNUMBER(MATCH(
C170,
IMPORTRANGE(""https://docs.google.com/spreadsheets/d/1yTh1ELC33JHYOeEdgIiEclxPRyh0zOKtlawDltfUay8"",""'Interns'!A:A""),
0
)),
""Outreach Conducted"",
"""")"),"")</f>
        <v/>
      </c>
      <c r="AI170" s="23"/>
      <c r="AJ170" s="23"/>
      <c r="AK170" s="23" t="str">
        <f>IFERROR(__xludf.DUMMYFUNCTION("XLOOKUP(C170, 
   IMPORTRANGE(""1RdEdgHYrZ33LJ7RUHj_h-qkAFL92bcVjtIdVa-UlsCw"", ""Interns!D:D""), 
   IMPORTRANGE(""1RdEdgHYrZ33LJ7RUHj_h-qkAFL92bcVjtIdVa-UlsCw"", ""Interns!M:M""), 
   ""Not Found"")"),"")</f>
        <v/>
      </c>
      <c r="AL170" s="23" t="str">
        <f>IFERROR(__xludf.DUMMYFUNCTION("XLOOKUP(C170, 
   IMPORTRANGE(""1RdEdgHYrZ33LJ7RUHj_h-qkAFL92bcVjtIdVa-UlsCw"", ""Interns!D:D""), 
   IMPORTRANGE(""1RdEdgHYrZ33LJ7RUHj_h-qkAFL92bcVjtIdVa-UlsCw"", ""Interns!N:N""), 
   ""Not Found"")"),"")</f>
        <v/>
      </c>
      <c r="AM170" s="23" t="str">
        <f>IFERROR(__xludf.DUMMYFUNCTION("XLOOKUP(C170, 
   IMPORTRANGE(""1RdEdgHYrZ33LJ7RUHj_h-qkAFL92bcVjtIdVa-UlsCw"", ""Interns!D:D""), 
   IMPORTRANGE(""1RdEdgHYrZ33LJ7RUHj_h-qkAFL92bcVjtIdVa-UlsCw"", ""Interns!O:O""), 
   ""Not Found"")"),"")</f>
        <v/>
      </c>
      <c r="AN170" s="23"/>
      <c r="AO170" s="23" t="s">
        <v>6412</v>
      </c>
      <c r="AP170" s="28" t="s">
        <v>5182</v>
      </c>
      <c r="AQ170" s="28"/>
      <c r="AR170" s="23"/>
      <c r="AS170" s="23"/>
      <c r="AT170" s="23"/>
      <c r="AU170" s="23"/>
      <c r="AV170" s="23"/>
    </row>
    <row r="171">
      <c r="A171" s="28" t="s">
        <v>5161</v>
      </c>
      <c r="B171" s="28" t="s">
        <v>5162</v>
      </c>
      <c r="C171" s="23" t="str">
        <f t="shared" si="1"/>
        <v>Dingyan Ni</v>
      </c>
      <c r="D171" s="22" t="s">
        <v>6413</v>
      </c>
      <c r="E171" s="22" t="s">
        <v>6414</v>
      </c>
      <c r="F171" s="23"/>
      <c r="G171" s="23"/>
      <c r="H171" s="22">
        <v>1894.0</v>
      </c>
      <c r="I171" s="28"/>
      <c r="J171" s="28" t="s">
        <v>5833</v>
      </c>
      <c r="K171" s="28" t="s">
        <v>5186</v>
      </c>
      <c r="L171" s="28" t="s">
        <v>5165</v>
      </c>
      <c r="M171" s="29" t="s">
        <v>6415</v>
      </c>
      <c r="N171" s="22"/>
      <c r="O171" s="25">
        <v>38227.0</v>
      </c>
      <c r="P171" s="28">
        <f t="shared" si="9"/>
        <v>21</v>
      </c>
      <c r="Q171" s="62" t="s">
        <v>6416</v>
      </c>
      <c r="R171" s="22" t="s">
        <v>6417</v>
      </c>
      <c r="S171" s="28">
        <v>7.0</v>
      </c>
      <c r="T171" s="28">
        <v>15.0</v>
      </c>
      <c r="U171" s="28">
        <v>38.0</v>
      </c>
      <c r="V171" s="28">
        <v>32.0</v>
      </c>
      <c r="W171" s="28" t="s">
        <v>1173</v>
      </c>
      <c r="X171" s="28" t="s">
        <v>272</v>
      </c>
      <c r="Y171" s="22" t="s">
        <v>6418</v>
      </c>
      <c r="Z171" s="24"/>
      <c r="AA171" s="28" t="s">
        <v>5822</v>
      </c>
      <c r="AB171" s="28">
        <v>30.0</v>
      </c>
      <c r="AC171" s="28" t="s">
        <v>27</v>
      </c>
      <c r="AD171" s="23"/>
      <c r="AE171" s="28" t="s">
        <v>20</v>
      </c>
      <c r="AF171" s="23"/>
      <c r="AG171" s="23"/>
      <c r="AH171" s="23" t="str">
        <f>IFERROR(__xludf.DUMMYFUNCTION("IF(
ISNUMBER(MATCH(
C171,
IMPORTRANGE(""https://docs.google.com/spreadsheets/d/1yTh1ELC33JHYOeEdgIiEclxPRyh0zOKtlawDltfUay8"",""'Interns'!A:A""),
0
)),
""Outreach Conducted"",
"""")"),"")</f>
        <v/>
      </c>
      <c r="AI171" s="23"/>
      <c r="AJ171" s="23"/>
      <c r="AK171" s="23"/>
      <c r="AL171" s="23" t="str">
        <f>IFERROR(__xludf.DUMMYFUNCTION("XLOOKUP(C171, 
   IMPORTRANGE(""1RdEdgHYrZ33LJ7RUHj_h-qkAFL92bcVjtIdVa-UlsCw"", ""Interns!D:D""), 
   IMPORTRANGE(""1RdEdgHYrZ33LJ7RUHj_h-qkAFL92bcVjtIdVa-UlsCw"", ""Interns!N:N""), 
   ""Not Found"")"),"#Cheers4Careers")</f>
        <v>#Cheers4Careers</v>
      </c>
      <c r="AM171" s="23" t="str">
        <f>IFERROR(__xludf.DUMMYFUNCTION("XLOOKUP(C171, 
   IMPORTRANGE(""1RdEdgHYrZ33LJ7RUHj_h-qkAFL92bcVjtIdVa-UlsCw"", ""Interns!D:D""), 
   IMPORTRANGE(""1RdEdgHYrZ33LJ7RUHj_h-qkAFL92bcVjtIdVa-UlsCw"", ""Interns!O:O""), 
   ""Not Found"")"),"Hetal reached out March 27 for March #Cheers4 Careers ")</f>
        <v>Hetal reached out March 27 for March #Cheers4 Careers </v>
      </c>
      <c r="AN171" s="23"/>
      <c r="AO171" s="23" t="s">
        <v>6419</v>
      </c>
      <c r="AP171" s="28" t="s">
        <v>5182</v>
      </c>
      <c r="AQ171" s="28" t="s">
        <v>6420</v>
      </c>
      <c r="AR171" s="23" t="s">
        <v>6421</v>
      </c>
      <c r="AS171" s="23"/>
      <c r="AT171" s="23"/>
      <c r="AU171" s="23"/>
      <c r="AV171" s="23"/>
    </row>
    <row r="172">
      <c r="A172" s="28" t="s">
        <v>5202</v>
      </c>
      <c r="B172" s="28" t="s">
        <v>5162</v>
      </c>
      <c r="C172" s="23" t="str">
        <f t="shared" si="1"/>
        <v>Juana Verdecia</v>
      </c>
      <c r="D172" s="28" t="s">
        <v>6422</v>
      </c>
      <c r="E172" s="28" t="s">
        <v>6423</v>
      </c>
      <c r="F172" s="23">
        <f t="array" ref="F172">IFERROR(
    INDEX('Hub Interns 226'!A:A, MATCH(C172, 'Hub Interns 226'!B:B, 0)),"")</f>
        <v>703</v>
      </c>
      <c r="G172" s="23">
        <f t="array" ref="G172">IFERROR(
    INDEX('Hub Users 226'!A:A, MATCH(C172, 'Hub Users 226'!B:B, 0)),"")</f>
        <v>1136</v>
      </c>
      <c r="H172" s="28">
        <v>814.0</v>
      </c>
      <c r="I172" s="28" t="s">
        <v>107</v>
      </c>
      <c r="J172" s="28" t="s">
        <v>6424</v>
      </c>
      <c r="K172" s="28" t="s">
        <v>6425</v>
      </c>
      <c r="L172" s="28" t="s">
        <v>5196</v>
      </c>
      <c r="M172" s="56" t="s">
        <v>6426</v>
      </c>
      <c r="N172" s="57">
        <v>44569.87986111111</v>
      </c>
      <c r="O172" s="58">
        <v>38812.0</v>
      </c>
      <c r="P172" s="28">
        <f t="shared" si="9"/>
        <v>20</v>
      </c>
      <c r="Q172" s="28" t="s">
        <v>6427</v>
      </c>
      <c r="R172" s="28" t="s">
        <v>6428</v>
      </c>
      <c r="S172" s="28">
        <v>13.0</v>
      </c>
      <c r="T172" s="28">
        <v>31.0</v>
      </c>
      <c r="U172" s="28">
        <v>71.0</v>
      </c>
      <c r="V172" s="28">
        <v>10.0</v>
      </c>
      <c r="W172" s="28" t="s">
        <v>271</v>
      </c>
      <c r="X172" s="28" t="s">
        <v>272</v>
      </c>
      <c r="Y172" s="28" t="s">
        <v>6429</v>
      </c>
      <c r="Z172" s="28" t="s">
        <v>5341</v>
      </c>
      <c r="AA172" s="28" t="s">
        <v>1085</v>
      </c>
      <c r="AB172" s="28">
        <v>10.0</v>
      </c>
      <c r="AC172" s="28" t="s">
        <v>25</v>
      </c>
      <c r="AD172" s="23"/>
      <c r="AE172" s="28" t="s">
        <v>10</v>
      </c>
      <c r="AF172" s="23" t="str">
        <f>IFERROR(__xludf.DUMMYFUNCTION("TEXTJOIN("", "", TRUE,
  FILTER(Champions!C:C,
    ISNUMBER(SEARCH(C172, Champions!W:W))
  )
)"),"Dragana Glumac")</f>
        <v>Dragana Glumac</v>
      </c>
      <c r="AG172" s="26" t="s">
        <v>5342</v>
      </c>
      <c r="AH172" s="23" t="str">
        <f>IFERROR(__xludf.DUMMYFUNCTION("IF(
ISNUMBER(MATCH(
C172,
IMPORTRANGE(""https://docs.google.com/spreadsheets/d/1yTh1ELC33JHYOeEdgIiEclxPRyh0zOKtlawDltfUay8"",""'Interns'!A:A""),
0
)),
""Outreach Conducted"",
"""")"),"")</f>
        <v/>
      </c>
      <c r="AI172" s="23"/>
      <c r="AJ172" s="23"/>
      <c r="AK172" s="23" t="str">
        <f>IFERROR(__xludf.DUMMYFUNCTION("XLOOKUP(C172, 
   IMPORTRANGE(""1RdEdgHYrZ33LJ7RUHj_h-qkAFL92bcVjtIdVa-UlsCw"", ""Interns!D:D""), 
   IMPORTRANGE(""1RdEdgHYrZ33LJ7RUHj_h-qkAFL92bcVjtIdVa-UlsCw"", ""Interns!M:M""), 
   ""Not Found"")"),"")</f>
        <v/>
      </c>
      <c r="AL172" s="23" t="str">
        <f>IFERROR(__xludf.DUMMYFUNCTION("XLOOKUP(C172, 
   IMPORTRANGE(""1RdEdgHYrZ33LJ7RUHj_h-qkAFL92bcVjtIdVa-UlsCw"", ""Interns!D:D""), 
   IMPORTRANGE(""1RdEdgHYrZ33LJ7RUHj_h-qkAFL92bcVjtIdVa-UlsCw"", ""Interns!N:N""), 
   ""Not Found"")"),"")</f>
        <v/>
      </c>
      <c r="AM172" s="23" t="str">
        <f>IFERROR(__xludf.DUMMYFUNCTION("XLOOKUP(C172, 
   IMPORTRANGE(""1RdEdgHYrZ33LJ7RUHj_h-qkAFL92bcVjtIdVa-UlsCw"", ""Interns!D:D""), 
   IMPORTRANGE(""1RdEdgHYrZ33LJ7RUHj_h-qkAFL92bcVjtIdVa-UlsCw"", ""Interns!O:O""), 
   ""Not Found"")"),"")</f>
        <v/>
      </c>
      <c r="AN172" s="23"/>
      <c r="AO172" s="23" t="s">
        <v>6430</v>
      </c>
      <c r="AP172" s="28" t="s">
        <v>5191</v>
      </c>
      <c r="AQ172" s="28" t="s">
        <v>6431</v>
      </c>
      <c r="AR172" s="23" t="s">
        <v>6432</v>
      </c>
      <c r="AS172" s="23"/>
      <c r="AT172" s="23"/>
      <c r="AU172" s="23"/>
      <c r="AV172" s="23"/>
    </row>
    <row r="173">
      <c r="A173" s="28" t="s">
        <v>5161</v>
      </c>
      <c r="B173" s="28" t="s">
        <v>5162</v>
      </c>
      <c r="C173" s="23" t="str">
        <f t="shared" si="1"/>
        <v>Sabrina Chen</v>
      </c>
      <c r="D173" s="28" t="s">
        <v>6433</v>
      </c>
      <c r="E173" s="28" t="s">
        <v>1741</v>
      </c>
      <c r="F173" s="23">
        <f t="array" ref="F173">IFERROR(
    INDEX('Hub Interns 226'!A:A, MATCH(C173, 'Hub Interns 226'!B:B, 0)),"")</f>
        <v>1338</v>
      </c>
      <c r="G173" s="23">
        <f t="array" ref="G173">IFERROR(
    INDEX('Hub Users 226'!A:A, MATCH(C173, 'Hub Users 226'!B:B, 0)),"")</f>
        <v>1860</v>
      </c>
      <c r="H173" s="28">
        <v>1689.0</v>
      </c>
      <c r="I173" s="28" t="s">
        <v>239</v>
      </c>
      <c r="J173" s="28" t="s">
        <v>5833</v>
      </c>
      <c r="K173" s="28" t="s">
        <v>5186</v>
      </c>
      <c r="L173" s="28" t="s">
        <v>5196</v>
      </c>
      <c r="M173" s="56" t="s">
        <v>6434</v>
      </c>
      <c r="N173" s="59">
        <v>45249.93680555555</v>
      </c>
      <c r="O173" s="58">
        <v>41158.0</v>
      </c>
      <c r="P173" s="28">
        <f t="shared" si="9"/>
        <v>13</v>
      </c>
      <c r="Q173" s="28" t="s">
        <v>240</v>
      </c>
      <c r="R173" s="28" t="s">
        <v>6435</v>
      </c>
      <c r="S173" s="28">
        <v>6.0</v>
      </c>
      <c r="T173" s="28">
        <v>13.0</v>
      </c>
      <c r="U173" s="28">
        <v>39.0</v>
      </c>
      <c r="V173" s="28">
        <v>25.0</v>
      </c>
      <c r="W173" s="28" t="s">
        <v>1173</v>
      </c>
      <c r="X173" s="28" t="s">
        <v>272</v>
      </c>
      <c r="Y173" s="28">
        <v>6.464622785E9</v>
      </c>
      <c r="Z173" s="28" t="s">
        <v>5170</v>
      </c>
      <c r="AA173" s="28" t="s">
        <v>5171</v>
      </c>
      <c r="AB173" s="28">
        <v>30.0</v>
      </c>
      <c r="AC173" s="28" t="s">
        <v>23</v>
      </c>
      <c r="AD173" s="28" t="s">
        <v>101</v>
      </c>
      <c r="AE173" s="28" t="s">
        <v>18</v>
      </c>
      <c r="AF173" s="23"/>
      <c r="AG173" s="23"/>
      <c r="AH173" s="23" t="str">
        <f>IFERROR(__xludf.DUMMYFUNCTION("IF(
ISNUMBER(MATCH(
C173,
IMPORTRANGE(""https://docs.google.com/spreadsheets/d/1yTh1ELC33JHYOeEdgIiEclxPRyh0zOKtlawDltfUay8"",""'Interns'!A:A""),
0
)),
""Outreach Conducted"",
"""")"),"")</f>
        <v/>
      </c>
      <c r="AI173" s="23"/>
      <c r="AJ173" s="23"/>
      <c r="AK173" s="23" t="str">
        <f>IFERROR(__xludf.DUMMYFUNCTION("XLOOKUP(C173, 
   IMPORTRANGE(""1RdEdgHYrZ33LJ7RUHj_h-qkAFL92bcVjtIdVa-UlsCw"", ""Interns!D:D""), 
   IMPORTRANGE(""1RdEdgHYrZ33LJ7RUHj_h-qkAFL92bcVjtIdVa-UlsCw"", ""Interns!M:M""), 
   ""Not Found"")"),"Contacted")</f>
        <v>Contacted</v>
      </c>
      <c r="AL173" s="23" t="str">
        <f>IFERROR(__xludf.DUMMYFUNCTION("XLOOKUP(C173, 
   IMPORTRANGE(""1RdEdgHYrZ33LJ7RUHj_h-qkAFL92bcVjtIdVa-UlsCw"", ""Interns!D:D""), 
   IMPORTRANGE(""1RdEdgHYrZ33LJ7RUHj_h-qkAFL92bcVjtIdVa-UlsCw"", ""Interns!N:N""), 
   ""Not Found"")"),"#Cheers4Careers")</f>
        <v>#Cheers4Careers</v>
      </c>
      <c r="AM173" s="23" t="str">
        <f>IFERROR(__xludf.DUMMYFUNCTION("XLOOKUP(C173, 
   IMPORTRANGE(""1RdEdgHYrZ33LJ7RUHj_h-qkAFL92bcVjtIdVa-UlsCw"", ""Interns!D:D""), 
   IMPORTRANGE(""1RdEdgHYrZ33LJ7RUHj_h-qkAFL92bcVjtIdVa-UlsCw"", ""Interns!O:O""), 
   ""Not Found"")"),"Hetal reached out March 27 for March #Cheers4 Careers ")</f>
        <v>Hetal reached out March 27 for March #Cheers4 Careers </v>
      </c>
      <c r="AN173" s="23"/>
      <c r="AO173" s="23" t="s">
        <v>6436</v>
      </c>
      <c r="AP173" s="28" t="s">
        <v>5182</v>
      </c>
      <c r="AQ173" s="28" t="s">
        <v>6437</v>
      </c>
      <c r="AR173" s="23">
        <v>3.055626221E9</v>
      </c>
      <c r="AS173" s="23"/>
      <c r="AT173" s="23"/>
      <c r="AU173" s="23"/>
      <c r="AV173" s="23"/>
    </row>
    <row r="174">
      <c r="A174" s="28" t="s">
        <v>5161</v>
      </c>
      <c r="B174" s="28" t="s">
        <v>5162</v>
      </c>
      <c r="C174" s="23" t="str">
        <f t="shared" si="1"/>
        <v>Meiyu Chen</v>
      </c>
      <c r="D174" s="28" t="s">
        <v>6438</v>
      </c>
      <c r="E174" s="28" t="s">
        <v>1741</v>
      </c>
      <c r="F174" s="23">
        <f t="array" ref="F174">IFERROR(
    INDEX('Hub Interns 226'!A:A, MATCH(C174, 'Hub Interns 226'!B:B, 0)),"")</f>
        <v>55</v>
      </c>
      <c r="G174" s="23">
        <f t="array" ref="G174">IFERROR(
    INDEX('Hub Users 226'!A:A, MATCH(C174, 'Hub Users 226'!B:B, 0)),"")</f>
        <v>488</v>
      </c>
      <c r="H174" s="28">
        <v>841.0</v>
      </c>
      <c r="I174" s="28" t="s">
        <v>290</v>
      </c>
      <c r="J174" s="28" t="s">
        <v>5833</v>
      </c>
      <c r="K174" s="28" t="s">
        <v>5186</v>
      </c>
      <c r="L174" s="28" t="s">
        <v>5196</v>
      </c>
      <c r="M174" s="56" t="s">
        <v>6439</v>
      </c>
      <c r="N174" s="57">
        <v>44582.40416666667</v>
      </c>
      <c r="O174" s="58">
        <v>38314.0</v>
      </c>
      <c r="P174" s="28">
        <f t="shared" si="9"/>
        <v>21</v>
      </c>
      <c r="Q174" s="28" t="s">
        <v>240</v>
      </c>
      <c r="R174" s="28" t="s">
        <v>6440</v>
      </c>
      <c r="S174" s="28">
        <v>11.0</v>
      </c>
      <c r="T174" s="28">
        <v>17.0</v>
      </c>
      <c r="U174" s="28">
        <v>47.0</v>
      </c>
      <c r="V174" s="28">
        <v>43.0</v>
      </c>
      <c r="W174" s="28" t="s">
        <v>294</v>
      </c>
      <c r="X174" s="28" t="s">
        <v>272</v>
      </c>
      <c r="Y174" s="28" t="s">
        <v>6441</v>
      </c>
      <c r="Z174" s="28" t="s">
        <v>5259</v>
      </c>
      <c r="AA174" s="28" t="s">
        <v>704</v>
      </c>
      <c r="AB174" s="28">
        <v>2.0</v>
      </c>
      <c r="AC174" s="28" t="s">
        <v>24</v>
      </c>
      <c r="AD174" s="23"/>
      <c r="AE174" s="28" t="s">
        <v>10</v>
      </c>
      <c r="AF174" s="23"/>
      <c r="AG174" s="23"/>
      <c r="AH174" s="23" t="str">
        <f>IFERROR(__xludf.DUMMYFUNCTION("IF(
ISNUMBER(MATCH(
C174,
IMPORTRANGE(""https://docs.google.com/spreadsheets/d/1yTh1ELC33JHYOeEdgIiEclxPRyh0zOKtlawDltfUay8"",""'Interns'!A:A""),
0
)),
""Outreach Conducted"",
"""")"),"")</f>
        <v/>
      </c>
      <c r="AI174" s="23"/>
      <c r="AJ174" s="23"/>
      <c r="AK174" s="23" t="str">
        <f>IFERROR(__xludf.DUMMYFUNCTION("XLOOKUP(C174, 
   IMPORTRANGE(""1RdEdgHYrZ33LJ7RUHj_h-qkAFL92bcVjtIdVa-UlsCw"", ""Interns!D:D""), 
   IMPORTRANGE(""1RdEdgHYrZ33LJ7RUHj_h-qkAFL92bcVjtIdVa-UlsCw"", ""Interns!M:M""), 
   ""Not Found"")"),"Contacted")</f>
        <v>Contacted</v>
      </c>
      <c r="AL174" s="23" t="str">
        <f>IFERROR(__xludf.DUMMYFUNCTION("XLOOKUP(C174, 
   IMPORTRANGE(""1RdEdgHYrZ33LJ7RUHj_h-qkAFL92bcVjtIdVa-UlsCw"", ""Interns!D:D""), 
   IMPORTRANGE(""1RdEdgHYrZ33LJ7RUHj_h-qkAFL92bcVjtIdVa-UlsCw"", ""Interns!N:N""), 
   ""Not Found"")"),"#Cheers4Careers")</f>
        <v>#Cheers4Careers</v>
      </c>
      <c r="AM174" s="23" t="str">
        <f>IFERROR(__xludf.DUMMYFUNCTION("XLOOKUP(C174, 
   IMPORTRANGE(""1RdEdgHYrZ33LJ7RUHj_h-qkAFL92bcVjtIdVa-UlsCw"", ""Interns!D:D""), 
   IMPORTRANGE(""1RdEdgHYrZ33LJ7RUHj_h-qkAFL92bcVjtIdVa-UlsCw"", ""Interns!O:O""), 
   ""Not Found"")"),"Ousmane reached out by email 3/26 and reach out by text 3/28")</f>
        <v>Ousmane reached out by email 3/26 and reach out by text 3/28</v>
      </c>
      <c r="AN174" s="23"/>
      <c r="AO174" s="23" t="s">
        <v>6442</v>
      </c>
      <c r="AP174" s="28" t="s">
        <v>5191</v>
      </c>
      <c r="AQ174" s="28"/>
      <c r="AR174" s="23"/>
      <c r="AS174" s="23"/>
      <c r="AT174" s="23"/>
      <c r="AU174" s="23"/>
      <c r="AV174" s="23"/>
    </row>
    <row r="175">
      <c r="A175" s="28" t="s">
        <v>5161</v>
      </c>
      <c r="B175" s="28" t="s">
        <v>5162</v>
      </c>
      <c r="C175" s="23" t="str">
        <f t="shared" si="1"/>
        <v>Alan Li</v>
      </c>
      <c r="D175" s="28" t="s">
        <v>6443</v>
      </c>
      <c r="E175" s="28" t="s">
        <v>2714</v>
      </c>
      <c r="F175" s="23">
        <f t="array" ref="F175">IFERROR(
    INDEX('Hub Interns 226'!A:A, MATCH(C175, 'Hub Interns 226'!B:B, 0)),"")</f>
        <v>1784</v>
      </c>
      <c r="G175" s="23">
        <f t="array" ref="G175">IFERROR(
    INDEX('Hub Users 226'!A:A, MATCH(C175, 'Hub Users 226'!B:B, 0)),"")</f>
        <v>2614</v>
      </c>
      <c r="H175" s="28">
        <v>1637.0</v>
      </c>
      <c r="I175" s="28" t="s">
        <v>239</v>
      </c>
      <c r="J175" s="28" t="s">
        <v>5833</v>
      </c>
      <c r="K175" s="28" t="s">
        <v>5186</v>
      </c>
      <c r="L175" s="28" t="s">
        <v>5165</v>
      </c>
      <c r="M175" s="56" t="s">
        <v>6444</v>
      </c>
      <c r="N175" s="57">
        <v>45116.955555555556</v>
      </c>
      <c r="O175" s="58">
        <v>38990.0</v>
      </c>
      <c r="P175" s="28">
        <f t="shared" si="9"/>
        <v>19</v>
      </c>
      <c r="Q175" s="28" t="s">
        <v>6445</v>
      </c>
      <c r="R175" s="28" t="s">
        <v>6446</v>
      </c>
      <c r="S175" s="28">
        <v>10.0</v>
      </c>
      <c r="T175" s="28">
        <v>17.0</v>
      </c>
      <c r="U175" s="28">
        <v>49.0</v>
      </c>
      <c r="V175" s="28">
        <v>43.0</v>
      </c>
      <c r="W175" s="28" t="s">
        <v>294</v>
      </c>
      <c r="X175" s="28" t="s">
        <v>272</v>
      </c>
      <c r="Y175" s="28" t="s">
        <v>6447</v>
      </c>
      <c r="Z175" s="28" t="s">
        <v>6448</v>
      </c>
      <c r="AA175" s="28" t="s">
        <v>5639</v>
      </c>
      <c r="AB175" s="23"/>
      <c r="AC175" s="28" t="s">
        <v>27</v>
      </c>
      <c r="AD175" s="23"/>
      <c r="AE175" s="28" t="s">
        <v>18</v>
      </c>
      <c r="AF175" s="23"/>
      <c r="AG175" s="23"/>
      <c r="AH175" s="23" t="str">
        <f>IFERROR(__xludf.DUMMYFUNCTION("IF(
ISNUMBER(MATCH(
C175,
IMPORTRANGE(""https://docs.google.com/spreadsheets/d/1yTh1ELC33JHYOeEdgIiEclxPRyh0zOKtlawDltfUay8"",""'Interns'!A:A""),
0
)),
""Outreach Conducted"",
"""")"),"")</f>
        <v/>
      </c>
      <c r="AI175" s="23"/>
      <c r="AJ175" s="23"/>
      <c r="AK175" s="23" t="str">
        <f>IFERROR(__xludf.DUMMYFUNCTION("XLOOKUP(C175, 
   IMPORTRANGE(""1RdEdgHYrZ33LJ7RUHj_h-qkAFL92bcVjtIdVa-UlsCw"", ""Interns!D:D""), 
   IMPORTRANGE(""1RdEdgHYrZ33LJ7RUHj_h-qkAFL92bcVjtIdVa-UlsCw"", ""Interns!M:M""), 
   ""Not Found"")"),"Contacted")</f>
        <v>Contacted</v>
      </c>
      <c r="AL175" s="23" t="str">
        <f>IFERROR(__xludf.DUMMYFUNCTION("XLOOKUP(C175, 
   IMPORTRANGE(""1RdEdgHYrZ33LJ7RUHj_h-qkAFL92bcVjtIdVa-UlsCw"", ""Interns!D:D""), 
   IMPORTRANGE(""1RdEdgHYrZ33LJ7RUHj_h-qkAFL92bcVjtIdVa-UlsCw"", ""Interns!N:N""), 
   ""Not Found"")"),"#Cheers4Careers")</f>
        <v>#Cheers4Careers</v>
      </c>
      <c r="AM175" s="23" t="str">
        <f>IFERROR(__xludf.DUMMYFUNCTION("XLOOKUP(C175, 
   IMPORTRANGE(""1RdEdgHYrZ33LJ7RUHj_h-qkAFL92bcVjtIdVa-UlsCw"", ""Interns!D:D""), 
   IMPORTRANGE(""1RdEdgHYrZ33LJ7RUHj_h-qkAFL92bcVjtIdVa-UlsCw"", ""Interns!O:O""), 
   ""Not Found"")"),"Hetal reached out by text 3/27 for #Cheers4Careers and whatsapp on 3/28
Hetal reached out on 4/10 by whatsapp for April 18th #Cheers4Careers")</f>
        <v>Hetal reached out by text 3/27 for #Cheers4Careers and whatsapp on 3/28
Hetal reached out on 4/10 by whatsapp for April 18th #Cheers4Careers</v>
      </c>
      <c r="AN175" s="23"/>
      <c r="AO175" s="23" t="s">
        <v>6449</v>
      </c>
      <c r="AP175" s="28" t="s">
        <v>6450</v>
      </c>
      <c r="AQ175" s="28" t="s">
        <v>6451</v>
      </c>
      <c r="AR175" s="23">
        <v>3.472001345E9</v>
      </c>
      <c r="AS175" s="23"/>
      <c r="AT175" s="23"/>
      <c r="AU175" s="23"/>
      <c r="AV175" s="23"/>
    </row>
    <row r="176">
      <c r="A176" s="28" t="s">
        <v>5161</v>
      </c>
      <c r="B176" s="28" t="s">
        <v>5162</v>
      </c>
      <c r="C176" s="23" t="str">
        <f t="shared" si="1"/>
        <v>Luofeng Lin</v>
      </c>
      <c r="D176" s="28" t="s">
        <v>6452</v>
      </c>
      <c r="E176" s="28" t="s">
        <v>5976</v>
      </c>
      <c r="F176" s="23">
        <f t="array" ref="F176">IFERROR(
    INDEX('Hub Interns 226'!A:A, MATCH(C176, 'Hub Interns 226'!B:B, 0)),"")</f>
        <v>806</v>
      </c>
      <c r="G176" s="23">
        <f t="array" ref="G176">IFERROR(
    INDEX('Hub Users 226'!A:A, MATCH(C176, 'Hub Users 226'!B:B, 0)),"")</f>
        <v>1239</v>
      </c>
      <c r="H176" s="28">
        <v>515.0</v>
      </c>
      <c r="I176" s="28" t="s">
        <v>239</v>
      </c>
      <c r="J176" s="28" t="s">
        <v>5833</v>
      </c>
      <c r="K176" s="28" t="s">
        <v>5186</v>
      </c>
      <c r="L176" s="28" t="s">
        <v>5165</v>
      </c>
      <c r="M176" s="56" t="s">
        <v>6453</v>
      </c>
      <c r="N176" s="57">
        <v>44476.65277777778</v>
      </c>
      <c r="O176" s="58">
        <v>44476.0</v>
      </c>
      <c r="P176" s="28">
        <f t="shared" si="9"/>
        <v>4</v>
      </c>
      <c r="Q176" s="28" t="s">
        <v>6454</v>
      </c>
      <c r="R176" s="28" t="s">
        <v>6455</v>
      </c>
      <c r="S176" s="28"/>
      <c r="T176" s="28"/>
      <c r="U176" s="28"/>
      <c r="V176" s="28"/>
      <c r="W176" s="28" t="s">
        <v>1173</v>
      </c>
      <c r="X176" s="28" t="s">
        <v>272</v>
      </c>
      <c r="Y176" s="28" t="s">
        <v>6456</v>
      </c>
      <c r="Z176" s="28" t="s">
        <v>5189</v>
      </c>
      <c r="AA176" s="28" t="s">
        <v>619</v>
      </c>
      <c r="AB176" s="28">
        <v>20.0</v>
      </c>
      <c r="AC176" s="28" t="s">
        <v>25</v>
      </c>
      <c r="AD176" s="23"/>
      <c r="AE176" s="28" t="s">
        <v>10</v>
      </c>
      <c r="AF176" s="23" t="str">
        <f>IFERROR(__xludf.DUMMYFUNCTION("TEXTJOIN("", "", TRUE,
  FILTER(Champions!C:C,
    ISNUMBER(SEARCH(C176, Champions!W:W))
  )
)"),"Rex Xiong, Dave Landa")</f>
        <v>Rex Xiong, Dave Landa</v>
      </c>
      <c r="AG176" s="23"/>
      <c r="AH176" s="23" t="str">
        <f>IFERROR(__xludf.DUMMYFUNCTION("IF(
ISNUMBER(MATCH(
C176,
IMPORTRANGE(""https://docs.google.com/spreadsheets/d/1yTh1ELC33JHYOeEdgIiEclxPRyh0zOKtlawDltfUay8"",""'Interns'!A:A""),
0
)),
""Outreach Conducted"",
"""")"),"")</f>
        <v/>
      </c>
      <c r="AI176" s="23"/>
      <c r="AJ176" s="23"/>
      <c r="AK176" s="23" t="str">
        <f>IFERROR(__xludf.DUMMYFUNCTION("XLOOKUP(C176, 
   IMPORTRANGE(""1RdEdgHYrZ33LJ7RUHj_h-qkAFL92bcVjtIdVa-UlsCw"", ""Interns!D:D""), 
   IMPORTRANGE(""1RdEdgHYrZ33LJ7RUHj_h-qkAFL92bcVjtIdVa-UlsCw"", ""Interns!M:M""), 
   ""Not Found"")"),"Contacted")</f>
        <v>Contacted</v>
      </c>
      <c r="AL176" s="23" t="str">
        <f>IFERROR(__xludf.DUMMYFUNCTION("XLOOKUP(C176, 
   IMPORTRANGE(""1RdEdgHYrZ33LJ7RUHj_h-qkAFL92bcVjtIdVa-UlsCw"", ""Interns!D:D""), 
   IMPORTRANGE(""1RdEdgHYrZ33LJ7RUHj_h-qkAFL92bcVjtIdVa-UlsCw"", ""Interns!N:N""), 
   ""Not Found"")"),"#Cheers4Careers")</f>
        <v>#Cheers4Careers</v>
      </c>
      <c r="AM176" s="23" t="str">
        <f>IFERROR(__xludf.DUMMYFUNCTION("XLOOKUP(C176, 
   IMPORTRANGE(""1RdEdgHYrZ33LJ7RUHj_h-qkAFL92bcVjtIdVa-UlsCw"", ""Interns!D:D""), 
   IMPORTRANGE(""1RdEdgHYrZ33LJ7RUHj_h-qkAFL92bcVjtIdVa-UlsCw"", ""Interns!O:O""), 
   ""Not Found"")"),"Hetal reached out by email 3/27 followed by text")</f>
        <v>Hetal reached out by email 3/27 followed by text</v>
      </c>
      <c r="AN176" s="23"/>
      <c r="AO176" s="23" t="s">
        <v>6457</v>
      </c>
      <c r="AP176" s="28" t="s">
        <v>5191</v>
      </c>
      <c r="AQ176" s="28" t="s">
        <v>6453</v>
      </c>
      <c r="AR176" s="23" t="s">
        <v>6458</v>
      </c>
      <c r="AS176" s="23"/>
      <c r="AT176" s="23"/>
      <c r="AU176" s="23"/>
      <c r="AV176" s="23"/>
    </row>
    <row r="177">
      <c r="A177" s="28" t="s">
        <v>5161</v>
      </c>
      <c r="B177" s="28" t="s">
        <v>5162</v>
      </c>
      <c r="C177" s="23" t="str">
        <f t="shared" si="1"/>
        <v>JingJing Zhang</v>
      </c>
      <c r="D177" s="28" t="s">
        <v>6459</v>
      </c>
      <c r="E177" s="28" t="s">
        <v>5993</v>
      </c>
      <c r="F177" s="23" t="str">
        <f t="array" ref="F177">IFERROR(
    INDEX('Hub Interns 226'!A:A, MATCH(C177, 'Hub Interns 226'!B:B, 0)),"")</f>
        <v/>
      </c>
      <c r="G177" s="23" t="str">
        <f t="array" ref="G177">IFERROR(
    INDEX('Hub Users 226'!A:A, MATCH(C177, 'Hub Users 226'!B:B, 0)),"")</f>
        <v/>
      </c>
      <c r="H177" s="28">
        <v>37.0</v>
      </c>
      <c r="I177" s="28" t="s">
        <v>260</v>
      </c>
      <c r="J177" s="28" t="s">
        <v>5833</v>
      </c>
      <c r="K177" s="28" t="s">
        <v>5186</v>
      </c>
      <c r="L177" s="28" t="s">
        <v>5196</v>
      </c>
      <c r="M177" s="23"/>
      <c r="N177" s="57">
        <v>43741.63055555556</v>
      </c>
      <c r="O177" s="58"/>
      <c r="P177" s="28"/>
      <c r="Q177" s="28" t="s">
        <v>6460</v>
      </c>
      <c r="R177" s="23"/>
      <c r="S177" s="28"/>
      <c r="T177" s="28"/>
      <c r="U177" s="28"/>
      <c r="V177" s="28"/>
      <c r="W177" s="28" t="s">
        <v>380</v>
      </c>
      <c r="X177" s="28" t="s">
        <v>381</v>
      </c>
      <c r="Y177" s="28" t="s">
        <v>6461</v>
      </c>
      <c r="Z177" s="28" t="s">
        <v>5491</v>
      </c>
      <c r="AA177" s="28" t="s">
        <v>5492</v>
      </c>
      <c r="AB177" s="28">
        <v>47.0</v>
      </c>
      <c r="AC177" s="28" t="s">
        <v>25</v>
      </c>
      <c r="AD177" s="23"/>
      <c r="AE177" s="28" t="s">
        <v>4</v>
      </c>
      <c r="AF177" s="23" t="str">
        <f>IFERROR(__xludf.DUMMYFUNCTION("TEXTJOIN("", "", TRUE,
  FILTER(Champions!C:C,
    ISNUMBER(SEARCH(C177, Champions!W:W))
  )
)"),"#N/A")</f>
        <v>#N/A</v>
      </c>
      <c r="AG177" s="23"/>
      <c r="AH177" s="23" t="str">
        <f>IFERROR(__xludf.DUMMYFUNCTION("IF(
ISNUMBER(MATCH(
C177,
IMPORTRANGE(""https://docs.google.com/spreadsheets/d/1yTh1ELC33JHYOeEdgIiEclxPRyh0zOKtlawDltfUay8"",""'Interns'!A:A""),
0
)),
""Outreach Conducted"",
"""")"),"")</f>
        <v/>
      </c>
      <c r="AI177" s="23"/>
      <c r="AJ177" s="23"/>
      <c r="AK177" s="23" t="str">
        <f>IFERROR(__xludf.DUMMYFUNCTION("XLOOKUP(C177, 
   IMPORTRANGE(""1RdEdgHYrZ33LJ7RUHj_h-qkAFL92bcVjtIdVa-UlsCw"", ""Interns!D:D""), 
   IMPORTRANGE(""1RdEdgHYrZ33LJ7RUHj_h-qkAFL92bcVjtIdVa-UlsCw"", ""Interns!M:M""), 
   ""Not Found"")"),"")</f>
        <v/>
      </c>
      <c r="AL177" s="23" t="str">
        <f>IFERROR(__xludf.DUMMYFUNCTION("XLOOKUP(C177, 
   IMPORTRANGE(""1RdEdgHYrZ33LJ7RUHj_h-qkAFL92bcVjtIdVa-UlsCw"", ""Interns!D:D""), 
   IMPORTRANGE(""1RdEdgHYrZ33LJ7RUHj_h-qkAFL92bcVjtIdVa-UlsCw"", ""Interns!N:N""), 
   ""Not Found"")"),"")</f>
        <v/>
      </c>
      <c r="AM177" s="23" t="str">
        <f>IFERROR(__xludf.DUMMYFUNCTION("XLOOKUP(C177, 
   IMPORTRANGE(""1RdEdgHYrZ33LJ7RUHj_h-qkAFL92bcVjtIdVa-UlsCw"", ""Interns!D:D""), 
   IMPORTRANGE(""1RdEdgHYrZ33LJ7RUHj_h-qkAFL92bcVjtIdVa-UlsCw"", ""Interns!O:O""), 
   ""Not Found"")"),"")</f>
        <v/>
      </c>
      <c r="AN177" s="23"/>
      <c r="AO177" s="23" t="s">
        <v>6462</v>
      </c>
      <c r="AP177" s="28" t="s">
        <v>5191</v>
      </c>
      <c r="AQ177" s="28" t="s">
        <v>6462</v>
      </c>
      <c r="AR177" s="23">
        <v>2.155009643E9</v>
      </c>
      <c r="AS177" s="23"/>
      <c r="AT177" s="23"/>
      <c r="AU177" s="23"/>
      <c r="AV177" s="23"/>
    </row>
    <row r="178">
      <c r="A178" s="28" t="s">
        <v>5161</v>
      </c>
      <c r="B178" s="28" t="s">
        <v>5162</v>
      </c>
      <c r="C178" s="23" t="str">
        <f t="shared" si="1"/>
        <v>Winnie Zhao</v>
      </c>
      <c r="D178" s="28" t="s">
        <v>6463</v>
      </c>
      <c r="E178" s="28" t="s">
        <v>6139</v>
      </c>
      <c r="F178" s="23" t="str">
        <f t="array" ref="F178">IFERROR(
    INDEX('Hub Interns 226'!A:A, MATCH(C178, 'Hub Interns 226'!B:B, 0)),"")</f>
        <v/>
      </c>
      <c r="G178" s="23" t="str">
        <f t="array" ref="G178">IFERROR(
    INDEX('Hub Users 226'!A:A, MATCH(C178, 'Hub Users 226'!B:B, 0)),"")</f>
        <v/>
      </c>
      <c r="H178" s="28">
        <v>33.0</v>
      </c>
      <c r="I178" s="28" t="s">
        <v>260</v>
      </c>
      <c r="J178" s="28" t="s">
        <v>5833</v>
      </c>
      <c r="K178" s="28" t="s">
        <v>5186</v>
      </c>
      <c r="L178" s="28" t="s">
        <v>5196</v>
      </c>
      <c r="M178" s="23"/>
      <c r="N178" s="57">
        <v>43741.63055555556</v>
      </c>
      <c r="O178" s="58">
        <v>37043.0</v>
      </c>
      <c r="P178" s="28">
        <f t="shared" ref="P178:P179" si="10">DATEDIF(O178, TODAY(), "Y")</f>
        <v>24</v>
      </c>
      <c r="Q178" s="28" t="s">
        <v>6464</v>
      </c>
      <c r="R178" s="23"/>
      <c r="S178" s="28"/>
      <c r="T178" s="28"/>
      <c r="U178" s="28"/>
      <c r="V178" s="28"/>
      <c r="W178" s="28" t="s">
        <v>380</v>
      </c>
      <c r="X178" s="28" t="s">
        <v>381</v>
      </c>
      <c r="Y178" s="28" t="s">
        <v>6465</v>
      </c>
      <c r="Z178" s="28" t="s">
        <v>5491</v>
      </c>
      <c r="AA178" s="28" t="s">
        <v>5492</v>
      </c>
      <c r="AB178" s="28">
        <v>47.0</v>
      </c>
      <c r="AC178" s="28" t="s">
        <v>25</v>
      </c>
      <c r="AD178" s="23"/>
      <c r="AE178" s="28" t="s">
        <v>4</v>
      </c>
      <c r="AF178" s="23" t="str">
        <f>IFERROR(__xludf.DUMMYFUNCTION("TEXTJOIN("", "", TRUE,
  FILTER(Champions!C:C,
    ISNUMBER(SEARCH(C178, Champions!W:W))
  )
)"),"#N/A")</f>
        <v>#N/A</v>
      </c>
      <c r="AG178" s="23"/>
      <c r="AH178" s="23" t="str">
        <f>IFERROR(__xludf.DUMMYFUNCTION("IF(
ISNUMBER(MATCH(
C178,
IMPORTRANGE(""https://docs.google.com/spreadsheets/d/1yTh1ELC33JHYOeEdgIiEclxPRyh0zOKtlawDltfUay8"",""'Interns'!A:A""),
0
)),
""Outreach Conducted"",
"""")"),"")</f>
        <v/>
      </c>
      <c r="AI178" s="23"/>
      <c r="AJ178" s="23"/>
      <c r="AK178" s="23" t="str">
        <f>IFERROR(__xludf.DUMMYFUNCTION("XLOOKUP(C178, 
   IMPORTRANGE(""1RdEdgHYrZ33LJ7RUHj_h-qkAFL92bcVjtIdVa-UlsCw"", ""Interns!D:D""), 
   IMPORTRANGE(""1RdEdgHYrZ33LJ7RUHj_h-qkAFL92bcVjtIdVa-UlsCw"", ""Interns!M:M""), 
   ""Not Found"")"),"")</f>
        <v/>
      </c>
      <c r="AL178" s="23" t="str">
        <f>IFERROR(__xludf.DUMMYFUNCTION("XLOOKUP(C178, 
   IMPORTRANGE(""1RdEdgHYrZ33LJ7RUHj_h-qkAFL92bcVjtIdVa-UlsCw"", ""Interns!D:D""), 
   IMPORTRANGE(""1RdEdgHYrZ33LJ7RUHj_h-qkAFL92bcVjtIdVa-UlsCw"", ""Interns!N:N""), 
   ""Not Found"")"),"")</f>
        <v/>
      </c>
      <c r="AM178" s="23" t="str">
        <f>IFERROR(__xludf.DUMMYFUNCTION("XLOOKUP(C178, 
   IMPORTRANGE(""1RdEdgHYrZ33LJ7RUHj_h-qkAFL92bcVjtIdVa-UlsCw"", ""Interns!D:D""), 
   IMPORTRANGE(""1RdEdgHYrZ33LJ7RUHj_h-qkAFL92bcVjtIdVa-UlsCw"", ""Interns!O:O""), 
   ""Not Found"")"),"Hetal reached out on 4/10 by whatsapp for April 18th #Cheers4Careers")</f>
        <v>Hetal reached out on 4/10 by whatsapp for April 18th #Cheers4Careers</v>
      </c>
      <c r="AN178" s="23"/>
      <c r="AO178" s="23" t="s">
        <v>6466</v>
      </c>
      <c r="AP178" s="28" t="s">
        <v>5182</v>
      </c>
      <c r="AQ178" s="28" t="s">
        <v>6467</v>
      </c>
      <c r="AR178" s="23" t="s">
        <v>6468</v>
      </c>
      <c r="AS178" s="23"/>
      <c r="AT178" s="23"/>
      <c r="AU178" s="23"/>
      <c r="AV178" s="23"/>
    </row>
    <row r="179">
      <c r="A179" s="28" t="s">
        <v>5202</v>
      </c>
      <c r="B179" s="28" t="s">
        <v>5162</v>
      </c>
      <c r="C179" s="23" t="str">
        <f t="shared" si="1"/>
        <v>Paula Arias</v>
      </c>
      <c r="D179" s="28" t="s">
        <v>6469</v>
      </c>
      <c r="E179" s="28" t="s">
        <v>6470</v>
      </c>
      <c r="F179" s="23">
        <f t="array" ref="F179">IFERROR(
    INDEX('Hub Interns 226'!A:A, MATCH(C179, 'Hub Interns 226'!B:B, 0)),"")</f>
        <v>989</v>
      </c>
      <c r="G179" s="23">
        <f t="array" ref="G179">IFERROR(
    INDEX('Hub Users 226'!A:A, MATCH(C179, 'Hub Users 226'!B:B, 0)),"")</f>
        <v>1422</v>
      </c>
      <c r="H179" s="28">
        <v>683.0</v>
      </c>
      <c r="I179" s="28" t="s">
        <v>290</v>
      </c>
      <c r="J179" s="28" t="s">
        <v>2388</v>
      </c>
      <c r="K179" s="28" t="s">
        <v>5463</v>
      </c>
      <c r="L179" s="28" t="s">
        <v>5196</v>
      </c>
      <c r="M179" s="56" t="s">
        <v>6471</v>
      </c>
      <c r="N179" s="59">
        <v>44546.52916666667</v>
      </c>
      <c r="O179" s="58">
        <v>38633.0</v>
      </c>
      <c r="P179" s="28">
        <f t="shared" si="10"/>
        <v>20</v>
      </c>
      <c r="Q179" s="28" t="s">
        <v>6472</v>
      </c>
      <c r="R179" s="28" t="s">
        <v>6473</v>
      </c>
      <c r="S179" s="28">
        <v>7.0</v>
      </c>
      <c r="T179" s="28">
        <v>12.0</v>
      </c>
      <c r="U179" s="28">
        <v>30.0</v>
      </c>
      <c r="V179" s="28">
        <v>26.0</v>
      </c>
      <c r="W179" s="28" t="s">
        <v>1173</v>
      </c>
      <c r="X179" s="28" t="s">
        <v>272</v>
      </c>
      <c r="Y179" s="28" t="s">
        <v>6474</v>
      </c>
      <c r="Z179" s="28" t="s">
        <v>5483</v>
      </c>
      <c r="AA179" s="28" t="s">
        <v>457</v>
      </c>
      <c r="AB179" s="28">
        <v>25.0</v>
      </c>
      <c r="AC179" s="28" t="s">
        <v>25</v>
      </c>
      <c r="AD179" s="23"/>
      <c r="AE179" s="28" t="s">
        <v>10</v>
      </c>
      <c r="AF179" s="23" t="str">
        <f>IFERROR(__xludf.DUMMYFUNCTION("TEXTJOIN("", "", TRUE,
  FILTER(Champions!C:C,
    ISNUMBER(SEARCH(C179, Champions!W:W))
  )
)"),"Joshua Foster, Ryane Montanez")</f>
        <v>Joshua Foster, Ryane Montanez</v>
      </c>
      <c r="AG179" s="23"/>
      <c r="AH179" s="23" t="str">
        <f>IFERROR(__xludf.DUMMYFUNCTION("IF(
ISNUMBER(MATCH(
C179,
IMPORTRANGE(""https://docs.google.com/spreadsheets/d/1yTh1ELC33JHYOeEdgIiEclxPRyh0zOKtlawDltfUay8"",""'Interns'!A:A""),
0
)),
""Outreach Conducted"",
"""")"),"")</f>
        <v/>
      </c>
      <c r="AI179" s="23"/>
      <c r="AJ179" s="23"/>
      <c r="AK179" s="23" t="str">
        <f>IFERROR(__xludf.DUMMYFUNCTION("XLOOKUP(C179, 
   IMPORTRANGE(""1RdEdgHYrZ33LJ7RUHj_h-qkAFL92bcVjtIdVa-UlsCw"", ""Interns!D:D""), 
   IMPORTRANGE(""1RdEdgHYrZ33LJ7RUHj_h-qkAFL92bcVjtIdVa-UlsCw"", ""Interns!M:M""), 
   ""Not Found"")"),"")</f>
        <v/>
      </c>
      <c r="AL179" s="23" t="str">
        <f>IFERROR(__xludf.DUMMYFUNCTION("XLOOKUP(C179, 
   IMPORTRANGE(""1RdEdgHYrZ33LJ7RUHj_h-qkAFL92bcVjtIdVa-UlsCw"", ""Interns!D:D""), 
   IMPORTRANGE(""1RdEdgHYrZ33LJ7RUHj_h-qkAFL92bcVjtIdVa-UlsCw"", ""Interns!N:N""), 
   ""Not Found"")"),"")</f>
        <v/>
      </c>
      <c r="AM179" s="23" t="str">
        <f>IFERROR(__xludf.DUMMYFUNCTION("XLOOKUP(C179, 
   IMPORTRANGE(""1RdEdgHYrZ33LJ7RUHj_h-qkAFL92bcVjtIdVa-UlsCw"", ""Interns!D:D""), 
   IMPORTRANGE(""1RdEdgHYrZ33LJ7RUHj_h-qkAFL92bcVjtIdVa-UlsCw"", ""Interns!O:O""), 
   ""Not Found"")"),"")</f>
        <v/>
      </c>
      <c r="AN179" s="23"/>
      <c r="AO179" s="23" t="s">
        <v>6475</v>
      </c>
      <c r="AP179" s="28" t="s">
        <v>5182</v>
      </c>
      <c r="AQ179" s="28" t="s">
        <v>6476</v>
      </c>
      <c r="AR179" s="23" t="s">
        <v>6477</v>
      </c>
      <c r="AS179" s="23"/>
      <c r="AT179" s="23"/>
      <c r="AU179" s="23"/>
      <c r="AV179" s="23"/>
    </row>
    <row r="180">
      <c r="A180" s="28" t="s">
        <v>5161</v>
      </c>
      <c r="B180" s="28" t="s">
        <v>5162</v>
      </c>
      <c r="C180" s="23" t="str">
        <f t="shared" si="1"/>
        <v>Gabriella Bella</v>
      </c>
      <c r="D180" s="28" t="s">
        <v>6478</v>
      </c>
      <c r="E180" s="28" t="s">
        <v>6479</v>
      </c>
      <c r="F180" s="23" t="str">
        <f t="array" ref="F180">IFERROR(
    INDEX('Hub Interns 226'!A:A, MATCH(C180, 'Hub Interns 226'!B:B, 0)),"")</f>
        <v/>
      </c>
      <c r="G180" s="23" t="str">
        <f t="array" ref="G180">IFERROR(
    INDEX('Hub Users 226'!A:A, MATCH(C180, 'Hub Users 226'!B:B, 0)),"")</f>
        <v/>
      </c>
      <c r="H180" s="28">
        <v>15.0</v>
      </c>
      <c r="I180" s="28" t="s">
        <v>608</v>
      </c>
      <c r="J180" s="28" t="s">
        <v>6480</v>
      </c>
      <c r="K180" s="28" t="s">
        <v>6481</v>
      </c>
      <c r="L180" s="28" t="s">
        <v>5196</v>
      </c>
      <c r="M180" s="56" t="s">
        <v>6482</v>
      </c>
      <c r="N180" s="57">
        <v>43741.63055555556</v>
      </c>
      <c r="O180" s="28">
        <v>16.0</v>
      </c>
      <c r="P180" s="28">
        <f>YEAR(TODAY())-2018+O180</f>
        <v>24</v>
      </c>
      <c r="Q180" s="28" t="s">
        <v>6483</v>
      </c>
      <c r="R180" s="23"/>
      <c r="S180" s="28"/>
      <c r="T180" s="28"/>
      <c r="U180" s="28"/>
      <c r="V180" s="28"/>
      <c r="W180" s="28" t="s">
        <v>271</v>
      </c>
      <c r="X180" s="28" t="s">
        <v>272</v>
      </c>
      <c r="Y180" s="28" t="s">
        <v>6484</v>
      </c>
      <c r="Z180" s="28" t="s">
        <v>6485</v>
      </c>
      <c r="AA180" s="28" t="s">
        <v>6485</v>
      </c>
      <c r="AB180" s="28">
        <v>1.0</v>
      </c>
      <c r="AC180" s="28" t="s">
        <v>25</v>
      </c>
      <c r="AD180" s="23"/>
      <c r="AE180" s="28" t="s">
        <v>4</v>
      </c>
      <c r="AF180" s="23" t="str">
        <f>IFERROR(__xludf.DUMMYFUNCTION("TEXTJOIN("", "", TRUE,
  FILTER(Champions!C:C,
    ISNUMBER(SEARCH(C180, Champions!W:W))
  )
)"),"Lauren Amelia Varga, Nisha Mathew")</f>
        <v>Lauren Amelia Varga, Nisha Mathew</v>
      </c>
      <c r="AG180" s="23"/>
      <c r="AH180" s="23" t="str">
        <f>IFERROR(__xludf.DUMMYFUNCTION("IF(
ISNUMBER(MATCH(
C180,
IMPORTRANGE(""https://docs.google.com/spreadsheets/d/1yTh1ELC33JHYOeEdgIiEclxPRyh0zOKtlawDltfUay8"",""'Interns'!A:A""),
0
)),
""Outreach Conducted"",
"""")"),"")</f>
        <v/>
      </c>
      <c r="AI180" s="23"/>
      <c r="AJ180" s="23"/>
      <c r="AK180" s="23" t="str">
        <f>IFERROR(__xludf.DUMMYFUNCTION("XLOOKUP(C180, 
   IMPORTRANGE(""1RdEdgHYrZ33LJ7RUHj_h-qkAFL92bcVjtIdVa-UlsCw"", ""Interns!D:D""), 
   IMPORTRANGE(""1RdEdgHYrZ33LJ7RUHj_h-qkAFL92bcVjtIdVa-UlsCw"", ""Interns!M:M""), 
   ""Not Found"")"),"Contacted")</f>
        <v>Contacted</v>
      </c>
      <c r="AL180" s="23" t="str">
        <f>IFERROR(__xludf.DUMMYFUNCTION("XLOOKUP(C180, 
   IMPORTRANGE(""1RdEdgHYrZ33LJ7RUHj_h-qkAFL92bcVjtIdVa-UlsCw"", ""Interns!D:D""), 
   IMPORTRANGE(""1RdEdgHYrZ33LJ7RUHj_h-qkAFL92bcVjtIdVa-UlsCw"", ""Interns!N:N""), 
   ""Not Found"")"),"#Cheers4Careers")</f>
        <v>#Cheers4Careers</v>
      </c>
      <c r="AM180" s="23" t="str">
        <f>IFERROR(__xludf.DUMMYFUNCTION("XLOOKUP(C180, 
   IMPORTRANGE(""1RdEdgHYrZ33LJ7RUHj_h-qkAFL92bcVjtIdVa-UlsCw"", ""Interns!D:D""), 
   IMPORTRANGE(""1RdEdgHYrZ33LJ7RUHj_h-qkAFL92bcVjtIdVa-UlsCw"", ""Interns!O:O""), 
   ""Not Found"")"),"Hetal reached out March 27 for March #Cheers4 Careers")</f>
        <v>Hetal reached out March 27 for March #Cheers4 Careers</v>
      </c>
      <c r="AN180" s="23"/>
      <c r="AO180" s="23" t="s">
        <v>6486</v>
      </c>
      <c r="AP180" s="28" t="s">
        <v>5191</v>
      </c>
      <c r="AQ180" s="28" t="s">
        <v>6486</v>
      </c>
      <c r="AR180" s="23" t="s">
        <v>6487</v>
      </c>
      <c r="AS180" s="23"/>
      <c r="AT180" s="23"/>
      <c r="AU180" s="23"/>
      <c r="AV180" s="23"/>
    </row>
    <row r="181">
      <c r="A181" s="28" t="s">
        <v>5161</v>
      </c>
      <c r="B181" s="28" t="s">
        <v>5162</v>
      </c>
      <c r="C181" s="23" t="str">
        <f t="shared" si="1"/>
        <v>Nicol Gutierrez</v>
      </c>
      <c r="D181" s="22" t="s">
        <v>6488</v>
      </c>
      <c r="E181" s="22" t="s">
        <v>6489</v>
      </c>
      <c r="F181" s="23"/>
      <c r="G181" s="23"/>
      <c r="H181" s="22">
        <v>1947.0</v>
      </c>
      <c r="I181" s="28"/>
      <c r="J181" s="28" t="s">
        <v>5766</v>
      </c>
      <c r="K181" s="28" t="s">
        <v>5463</v>
      </c>
      <c r="L181" s="28" t="s">
        <v>5196</v>
      </c>
      <c r="M181" s="29" t="s">
        <v>6490</v>
      </c>
      <c r="N181" s="61">
        <v>45727.521527777775</v>
      </c>
      <c r="O181" s="25">
        <v>39936.0</v>
      </c>
      <c r="P181" s="28">
        <f t="shared" ref="P181:P298" si="11">DATEDIF(O181, TODAY(), "Y")</f>
        <v>17</v>
      </c>
      <c r="Q181" s="62" t="s">
        <v>6491</v>
      </c>
      <c r="R181" s="22" t="s">
        <v>6492</v>
      </c>
      <c r="S181" s="28"/>
      <c r="T181" s="28"/>
      <c r="U181" s="28"/>
      <c r="V181" s="28"/>
      <c r="W181" s="23"/>
      <c r="X181" s="28" t="s">
        <v>272</v>
      </c>
      <c r="Y181" s="22" t="s">
        <v>6493</v>
      </c>
      <c r="Z181" s="22" t="s">
        <v>5365</v>
      </c>
      <c r="AA181" s="28" t="s">
        <v>5366</v>
      </c>
      <c r="AB181" s="28">
        <v>26.0</v>
      </c>
      <c r="AC181" s="28" t="s">
        <v>23</v>
      </c>
      <c r="AD181" s="23"/>
      <c r="AE181" s="28" t="s">
        <v>19</v>
      </c>
      <c r="AF181" s="23"/>
      <c r="AG181" s="23"/>
      <c r="AH181" s="23" t="str">
        <f>IFERROR(__xludf.DUMMYFUNCTION("IF(
ISNUMBER(MATCH(
C181,
IMPORTRANGE(""https://docs.google.com/spreadsheets/d/1yTh1ELC33JHYOeEdgIiEclxPRyh0zOKtlawDltfUay8"",""'Interns'!A:A""),
0
)),
""Outreach Conducted"",
"""")"),"")</f>
        <v/>
      </c>
      <c r="AI181" s="23"/>
      <c r="AJ181" s="23"/>
      <c r="AK181" s="23"/>
      <c r="AL181" s="23" t="str">
        <f>IFERROR(__xludf.DUMMYFUNCTION("XLOOKUP(C181, 
   IMPORTRANGE(""1RdEdgHYrZ33LJ7RUHj_h-qkAFL92bcVjtIdVa-UlsCw"", ""Interns!D:D""), 
   IMPORTRANGE(""1RdEdgHYrZ33LJ7RUHj_h-qkAFL92bcVjtIdVa-UlsCw"", ""Interns!N:N""), 
   ""Not Found"")"),"#Cheers4Careers")</f>
        <v>#Cheers4Careers</v>
      </c>
      <c r="AM181" s="23" t="str">
        <f>IFERROR(__xludf.DUMMYFUNCTION("XLOOKUP(C181, 
   IMPORTRANGE(""1RdEdgHYrZ33LJ7RUHj_h-qkAFL92bcVjtIdVa-UlsCw"", ""Interns!D:D""), 
   IMPORTRANGE(""1RdEdgHYrZ33LJ7RUHj_h-qkAFL92bcVjtIdVa-UlsCw"", ""Interns!O:O""), 
   ""Not Found"")"),"Hetal reached out March 27 for March #Cheers4 Careers ")</f>
        <v>Hetal reached out March 27 for March #Cheers4 Careers </v>
      </c>
      <c r="AN181" s="23"/>
      <c r="AO181" s="23" t="s">
        <v>6494</v>
      </c>
      <c r="AP181" s="28" t="s">
        <v>5182</v>
      </c>
      <c r="AQ181" s="28" t="s">
        <v>6495</v>
      </c>
      <c r="AR181" s="23" t="s">
        <v>6496</v>
      </c>
      <c r="AS181" s="23"/>
      <c r="AT181" s="23"/>
      <c r="AU181" s="23"/>
      <c r="AV181" s="23"/>
    </row>
    <row r="182">
      <c r="A182" s="28" t="s">
        <v>5161</v>
      </c>
      <c r="B182" s="28" t="s">
        <v>5162</v>
      </c>
      <c r="C182" s="23" t="str">
        <f t="shared" si="1"/>
        <v>Dayanara Angulo Riascos</v>
      </c>
      <c r="D182" s="28" t="s">
        <v>6497</v>
      </c>
      <c r="E182" s="28" t="s">
        <v>6498</v>
      </c>
      <c r="F182" s="23">
        <f t="array" ref="F182">IFERROR(
    INDEX('Hub Interns 226'!A:A, MATCH(C182, 'Hub Interns 226'!B:B, 0)),"")</f>
        <v>423</v>
      </c>
      <c r="G182" s="23">
        <f t="array" ref="G182">IFERROR(
    INDEX('Hub Users 226'!A:A, MATCH(C182, 'Hub Users 226'!B:B, 0)),"")</f>
        <v>856</v>
      </c>
      <c r="H182" s="28">
        <v>673.0</v>
      </c>
      <c r="I182" s="28" t="s">
        <v>260</v>
      </c>
      <c r="J182" s="28" t="s">
        <v>5766</v>
      </c>
      <c r="K182" s="28" t="s">
        <v>5463</v>
      </c>
      <c r="L182" s="28" t="s">
        <v>5196</v>
      </c>
      <c r="M182" s="56" t="s">
        <v>6499</v>
      </c>
      <c r="N182" s="59">
        <v>44546.46388888889</v>
      </c>
      <c r="O182" s="58">
        <v>37841.0</v>
      </c>
      <c r="P182" s="28">
        <f t="shared" si="11"/>
        <v>22</v>
      </c>
      <c r="Q182" s="28" t="s">
        <v>240</v>
      </c>
      <c r="R182" s="28" t="s">
        <v>6500</v>
      </c>
      <c r="S182" s="28">
        <v>5.0</v>
      </c>
      <c r="T182" s="28">
        <v>15.0</v>
      </c>
      <c r="U182" s="28">
        <v>23.0</v>
      </c>
      <c r="V182" s="28">
        <v>32.0</v>
      </c>
      <c r="W182" s="28" t="s">
        <v>1173</v>
      </c>
      <c r="X182" s="28" t="s">
        <v>272</v>
      </c>
      <c r="Y182" s="28" t="s">
        <v>6501</v>
      </c>
      <c r="Z182" s="28" t="s">
        <v>5483</v>
      </c>
      <c r="AA182" s="28" t="s">
        <v>457</v>
      </c>
      <c r="AB182" s="28">
        <v>25.0</v>
      </c>
      <c r="AC182" s="28" t="s">
        <v>25</v>
      </c>
      <c r="AD182" s="23"/>
      <c r="AE182" s="28" t="s">
        <v>10</v>
      </c>
      <c r="AF182" s="23" t="str">
        <f>IFERROR(__xludf.DUMMYFUNCTION("TEXTJOIN("", "", TRUE,
  FILTER(Champions!C:C,
    ISNUMBER(SEARCH(C182, Champions!W:W))
  )
)"),"Divya Padgaonkar, Mary Anne Maples, Kemi Shoyinka")</f>
        <v>Divya Padgaonkar, Mary Anne Maples, Kemi Shoyinka</v>
      </c>
      <c r="AG182" s="23"/>
      <c r="AH182" s="23" t="str">
        <f>IFERROR(__xludf.DUMMYFUNCTION("IF(
ISNUMBER(MATCH(
C182,
IMPORTRANGE(""https://docs.google.com/spreadsheets/d/1yTh1ELC33JHYOeEdgIiEclxPRyh0zOKtlawDltfUay8"",""'Interns'!A:A""),
0
)),
""Outreach Conducted"",
"""")"),"")</f>
        <v/>
      </c>
      <c r="AI182" s="23"/>
      <c r="AJ182" s="23"/>
      <c r="AK182" s="23" t="str">
        <f>IFERROR(__xludf.DUMMYFUNCTION("XLOOKUP(C182, 
   IMPORTRANGE(""1RdEdgHYrZ33LJ7RUHj_h-qkAFL92bcVjtIdVa-UlsCw"", ""Interns!D:D""), 
   IMPORTRANGE(""1RdEdgHYrZ33LJ7RUHj_h-qkAFL92bcVjtIdVa-UlsCw"", ""Interns!M:M""), 
   ""Not Found"")"),"Contacted")</f>
        <v>Contacted</v>
      </c>
      <c r="AL182" s="23" t="str">
        <f>IFERROR(__xludf.DUMMYFUNCTION("XLOOKUP(C182, 
   IMPORTRANGE(""1RdEdgHYrZ33LJ7RUHj_h-qkAFL92bcVjtIdVa-UlsCw"", ""Interns!D:D""), 
   IMPORTRANGE(""1RdEdgHYrZ33LJ7RUHj_h-qkAFL92bcVjtIdVa-UlsCw"", ""Interns!N:N""), 
   ""Not Found"")"),"#Cheers4Careers")</f>
        <v>#Cheers4Careers</v>
      </c>
      <c r="AM182" s="23" t="str">
        <f>IFERROR(__xludf.DUMMYFUNCTION("XLOOKUP(C182, 
   IMPORTRANGE(""1RdEdgHYrZ33LJ7RUHj_h-qkAFL92bcVjtIdVa-UlsCw"", ""Interns!D:D""), 
   IMPORTRANGE(""1RdEdgHYrZ33LJ7RUHj_h-qkAFL92bcVjtIdVa-UlsCw"", ""Interns!O:O""), 
   ""Not Found"")"),"Hetal reached out by email 3/27")</f>
        <v>Hetal reached out by email 3/27</v>
      </c>
      <c r="AN182" s="23"/>
      <c r="AO182" s="23" t="s">
        <v>6502</v>
      </c>
      <c r="AP182" s="28" t="s">
        <v>5182</v>
      </c>
      <c r="AQ182" s="28" t="s">
        <v>6503</v>
      </c>
      <c r="AR182" s="23" t="s">
        <v>6504</v>
      </c>
      <c r="AS182" s="23"/>
      <c r="AT182" s="23"/>
      <c r="AU182" s="23"/>
      <c r="AV182" s="23"/>
    </row>
    <row r="183">
      <c r="A183" s="28" t="s">
        <v>5161</v>
      </c>
      <c r="B183" s="28" t="s">
        <v>5162</v>
      </c>
      <c r="C183" s="23" t="str">
        <f t="shared" si="1"/>
        <v>Alejandra Mayorga</v>
      </c>
      <c r="D183" s="28" t="s">
        <v>6505</v>
      </c>
      <c r="E183" s="28" t="s">
        <v>6506</v>
      </c>
      <c r="F183" s="23">
        <f t="array" ref="F183">IFERROR(
    INDEX('Hub Interns 226'!A:A, MATCH(C183, 'Hub Interns 226'!B:B, 0)),"")</f>
        <v>1775</v>
      </c>
      <c r="G183" s="23">
        <f t="array" ref="G183">IFERROR(
    INDEX('Hub Users 226'!A:A, MATCH(C183, 'Hub Users 226'!B:B, 0)),"")</f>
        <v>2605</v>
      </c>
      <c r="H183" s="28">
        <v>1648.0</v>
      </c>
      <c r="I183" s="28" t="s">
        <v>107</v>
      </c>
      <c r="J183" s="28" t="s">
        <v>5766</v>
      </c>
      <c r="K183" s="28" t="s">
        <v>5463</v>
      </c>
      <c r="L183" s="28" t="s">
        <v>5196</v>
      </c>
      <c r="M183" s="56" t="s">
        <v>6507</v>
      </c>
      <c r="N183" s="57">
        <v>45117.40555555555</v>
      </c>
      <c r="O183" s="58">
        <v>38839.0</v>
      </c>
      <c r="P183" s="28">
        <f t="shared" si="11"/>
        <v>20</v>
      </c>
      <c r="Q183" s="28" t="s">
        <v>240</v>
      </c>
      <c r="R183" s="28" t="s">
        <v>6508</v>
      </c>
      <c r="S183" s="28">
        <v>14.0</v>
      </c>
      <c r="T183" s="28">
        <v>11.0</v>
      </c>
      <c r="U183" s="28">
        <v>27.0</v>
      </c>
      <c r="V183" s="28">
        <v>19.0</v>
      </c>
      <c r="W183" s="28" t="s">
        <v>1173</v>
      </c>
      <c r="X183" s="28" t="s">
        <v>272</v>
      </c>
      <c r="Y183" s="28" t="s">
        <v>6509</v>
      </c>
      <c r="Z183" s="28" t="s">
        <v>6510</v>
      </c>
      <c r="AA183" s="28" t="s">
        <v>5639</v>
      </c>
      <c r="AB183" s="23"/>
      <c r="AC183" s="28" t="s">
        <v>27</v>
      </c>
      <c r="AD183" s="23"/>
      <c r="AE183" s="28" t="s">
        <v>18</v>
      </c>
      <c r="AF183" s="23"/>
      <c r="AG183" s="23"/>
      <c r="AH183" s="23" t="str">
        <f>IFERROR(__xludf.DUMMYFUNCTION("IF(
ISNUMBER(MATCH(
C183,
IMPORTRANGE(""https://docs.google.com/spreadsheets/d/1yTh1ELC33JHYOeEdgIiEclxPRyh0zOKtlawDltfUay8"",""'Interns'!A:A""),
0
)),
""Outreach Conducted"",
"""")"),"")</f>
        <v/>
      </c>
      <c r="AI183" s="23"/>
      <c r="AJ183" s="23"/>
      <c r="AK183" s="23" t="str">
        <f>IFERROR(__xludf.DUMMYFUNCTION("XLOOKUP(C183, 
   IMPORTRANGE(""1RdEdgHYrZ33LJ7RUHj_h-qkAFL92bcVjtIdVa-UlsCw"", ""Interns!D:D""), 
   IMPORTRANGE(""1RdEdgHYrZ33LJ7RUHj_h-qkAFL92bcVjtIdVa-UlsCw"", ""Interns!M:M""), 
   ""Not Found"")"),"Contacted")</f>
        <v>Contacted</v>
      </c>
      <c r="AL183" s="23" t="str">
        <f>IFERROR(__xludf.DUMMYFUNCTION("XLOOKUP(C183, 
   IMPORTRANGE(""1RdEdgHYrZ33LJ7RUHj_h-qkAFL92bcVjtIdVa-UlsCw"", ""Interns!D:D""), 
   IMPORTRANGE(""1RdEdgHYrZ33LJ7RUHj_h-qkAFL92bcVjtIdVa-UlsCw"", ""Interns!N:N""), 
   ""Not Found"")"),"#Cheers4Careers")</f>
        <v>#Cheers4Careers</v>
      </c>
      <c r="AM183" s="23" t="str">
        <f>IFERROR(__xludf.DUMMYFUNCTION("XLOOKUP(C183, 
   IMPORTRANGE(""1RdEdgHYrZ33LJ7RUHj_h-qkAFL92bcVjtIdVa-UlsCw"", ""Interns!D:D""), 
   IMPORTRANGE(""1RdEdgHYrZ33LJ7RUHj_h-qkAFL92bcVjtIdVa-UlsCw"", ""Interns!O:O""), 
   ""Not Found"")"),"Hetal reached out by text 3/27 for #Cheers4Careers and Hetal reached out by whatsapp on 3/28
Hetal reached out on 4/10 by whatsapp for April 18th #Cheers4Careers")</f>
        <v>Hetal reached out by text 3/27 for #Cheers4Careers and Hetal reached out by whatsapp on 3/28
Hetal reached out on 4/10 by whatsapp for April 18th #Cheers4Careers</v>
      </c>
      <c r="AN183" s="23"/>
      <c r="AO183" s="23" t="s">
        <v>6511</v>
      </c>
      <c r="AP183" s="28" t="s">
        <v>5182</v>
      </c>
      <c r="AQ183" s="28"/>
      <c r="AR183" s="23"/>
      <c r="AS183" s="23"/>
      <c r="AT183" s="23"/>
      <c r="AU183" s="23"/>
      <c r="AV183" s="23"/>
    </row>
    <row r="184">
      <c r="A184" s="28" t="s">
        <v>5202</v>
      </c>
      <c r="B184" s="28" t="s">
        <v>5162</v>
      </c>
      <c r="C184" s="23" t="str">
        <f t="shared" si="1"/>
        <v>Kiara Paulino</v>
      </c>
      <c r="D184" s="28" t="s">
        <v>6512</v>
      </c>
      <c r="E184" s="28" t="s">
        <v>6513</v>
      </c>
      <c r="F184" s="23">
        <f t="array" ref="F184">IFERROR(
    INDEX('Hub Interns 226'!A:A, MATCH(C184, 'Hub Interns 226'!B:B, 0)),"")</f>
        <v>748</v>
      </c>
      <c r="G184" s="23">
        <f t="array" ref="G184">IFERROR(
    INDEX('Hub Users 226'!A:A, MATCH(C184, 'Hub Users 226'!B:B, 0)),"")</f>
        <v>1181</v>
      </c>
      <c r="H184" s="28">
        <v>842.0</v>
      </c>
      <c r="I184" s="28" t="s">
        <v>107</v>
      </c>
      <c r="J184" s="28" t="s">
        <v>5336</v>
      </c>
      <c r="K184" s="28" t="s">
        <v>5177</v>
      </c>
      <c r="L184" s="28" t="s">
        <v>5196</v>
      </c>
      <c r="M184" s="56" t="s">
        <v>6514</v>
      </c>
      <c r="N184" s="57">
        <v>44582.606944444444</v>
      </c>
      <c r="O184" s="58">
        <v>38539.0</v>
      </c>
      <c r="P184" s="28">
        <f t="shared" si="11"/>
        <v>20</v>
      </c>
      <c r="Q184" s="28" t="s">
        <v>240</v>
      </c>
      <c r="R184" s="28">
        <v>10456.0</v>
      </c>
      <c r="S184" s="28"/>
      <c r="T184" s="28"/>
      <c r="U184" s="28"/>
      <c r="V184" s="28"/>
      <c r="W184" s="23"/>
      <c r="X184" s="23"/>
      <c r="Y184" s="28" t="s">
        <v>6515</v>
      </c>
      <c r="Z184" s="28" t="s">
        <v>5310</v>
      </c>
      <c r="AA184" s="28" t="s">
        <v>362</v>
      </c>
      <c r="AB184" s="28">
        <v>16.0</v>
      </c>
      <c r="AC184" s="28" t="s">
        <v>25</v>
      </c>
      <c r="AD184" s="23"/>
      <c r="AE184" s="28" t="s">
        <v>10</v>
      </c>
      <c r="AF184" s="23" t="str">
        <f>IFERROR(__xludf.DUMMYFUNCTION("TEXTJOIN("", "", TRUE,
  FILTER(Champions!C:C,
    ISNUMBER(SEARCH(C184, Champions!W:W))
  )
)"),"Golnaz Agahi, Frank Weber")</f>
        <v>Golnaz Agahi, Frank Weber</v>
      </c>
      <c r="AG184" s="23"/>
      <c r="AH184" s="23" t="str">
        <f>IFERROR(__xludf.DUMMYFUNCTION("IF(
ISNUMBER(MATCH(
C184,
IMPORTRANGE(""https://docs.google.com/spreadsheets/d/1yTh1ELC33JHYOeEdgIiEclxPRyh0zOKtlawDltfUay8"",""'Interns'!A:A""),
0
)),
""Outreach Conducted"",
"""")"),"")</f>
        <v/>
      </c>
      <c r="AI184" s="23"/>
      <c r="AJ184" s="23"/>
      <c r="AK184" s="23" t="str">
        <f>IFERROR(__xludf.DUMMYFUNCTION("XLOOKUP(C184, 
   IMPORTRANGE(""1RdEdgHYrZ33LJ7RUHj_h-qkAFL92bcVjtIdVa-UlsCw"", ""Interns!D:D""), 
   IMPORTRANGE(""1RdEdgHYrZ33LJ7RUHj_h-qkAFL92bcVjtIdVa-UlsCw"", ""Interns!M:M""), 
   ""Not Found"")"),"")</f>
        <v/>
      </c>
      <c r="AL184" s="23" t="str">
        <f>IFERROR(__xludf.DUMMYFUNCTION("XLOOKUP(C184, 
   IMPORTRANGE(""1RdEdgHYrZ33LJ7RUHj_h-qkAFL92bcVjtIdVa-UlsCw"", ""Interns!D:D""), 
   IMPORTRANGE(""1RdEdgHYrZ33LJ7RUHj_h-qkAFL92bcVjtIdVa-UlsCw"", ""Interns!N:N""), 
   ""Not Found"")"),"")</f>
        <v/>
      </c>
      <c r="AM184" s="23" t="str">
        <f>IFERROR(__xludf.DUMMYFUNCTION("XLOOKUP(C184, 
   IMPORTRANGE(""1RdEdgHYrZ33LJ7RUHj_h-qkAFL92bcVjtIdVa-UlsCw"", ""Interns!D:D""), 
   IMPORTRANGE(""1RdEdgHYrZ33LJ7RUHj_h-qkAFL92bcVjtIdVa-UlsCw"", ""Interns!O:O""), 
   ""Not Found"")"),"")</f>
        <v/>
      </c>
      <c r="AN184" s="23"/>
      <c r="AO184" s="23" t="s">
        <v>6516</v>
      </c>
      <c r="AP184" s="28" t="s">
        <v>5191</v>
      </c>
      <c r="AQ184" s="28" t="s">
        <v>6517</v>
      </c>
      <c r="AR184" s="23" t="s">
        <v>6518</v>
      </c>
      <c r="AS184" s="23"/>
      <c r="AT184" s="23"/>
      <c r="AU184" s="23"/>
      <c r="AV184" s="23"/>
    </row>
    <row r="185">
      <c r="A185" s="28" t="s">
        <v>5202</v>
      </c>
      <c r="B185" s="28" t="s">
        <v>5162</v>
      </c>
      <c r="C185" s="23" t="str">
        <f t="shared" si="1"/>
        <v>Genesis Munoz</v>
      </c>
      <c r="D185" s="28" t="s">
        <v>6519</v>
      </c>
      <c r="E185" s="28" t="s">
        <v>6520</v>
      </c>
      <c r="F185" s="23">
        <f t="array" ref="F185">IFERROR(
    INDEX('Hub Interns 226'!A:A, MATCH(C185, 'Hub Interns 226'!B:B, 0)),"")</f>
        <v>541</v>
      </c>
      <c r="G185" s="23">
        <f t="array" ref="G185">IFERROR(
    INDEX('Hub Users 226'!A:A, MATCH(C185, 'Hub Users 226'!B:B, 0)),"")</f>
        <v>974</v>
      </c>
      <c r="H185" s="28">
        <v>777.0</v>
      </c>
      <c r="I185" s="28" t="s">
        <v>260</v>
      </c>
      <c r="J185" s="28" t="s">
        <v>5336</v>
      </c>
      <c r="K185" s="28" t="s">
        <v>5177</v>
      </c>
      <c r="L185" s="28" t="s">
        <v>5196</v>
      </c>
      <c r="M185" s="56" t="s">
        <v>6521</v>
      </c>
      <c r="N185" s="59">
        <v>44553.427083333336</v>
      </c>
      <c r="O185" s="58">
        <v>38370.0</v>
      </c>
      <c r="P185" s="28">
        <f t="shared" si="11"/>
        <v>21</v>
      </c>
      <c r="Q185" s="28" t="s">
        <v>6522</v>
      </c>
      <c r="R185" s="28" t="s">
        <v>6523</v>
      </c>
      <c r="S185" s="28">
        <v>5.0</v>
      </c>
      <c r="T185" s="28">
        <v>15.0</v>
      </c>
      <c r="U185" s="28">
        <v>23.0</v>
      </c>
      <c r="V185" s="28">
        <v>32.0</v>
      </c>
      <c r="W185" s="28" t="s">
        <v>1173</v>
      </c>
      <c r="X185" s="28" t="s">
        <v>272</v>
      </c>
      <c r="Y185" s="28" t="s">
        <v>6524</v>
      </c>
      <c r="Z185" s="28" t="s">
        <v>5483</v>
      </c>
      <c r="AA185" s="28" t="s">
        <v>457</v>
      </c>
      <c r="AB185" s="28">
        <v>25.0</v>
      </c>
      <c r="AC185" s="28" t="s">
        <v>25</v>
      </c>
      <c r="AD185" s="23"/>
      <c r="AE185" s="28" t="s">
        <v>10</v>
      </c>
      <c r="AF185" s="23" t="str">
        <f>IFERROR(__xludf.DUMMYFUNCTION("TEXTJOIN("", "", TRUE,
  FILTER(Champions!C:C,
    ISNUMBER(SEARCH(C185, Champions!W:W))
  )
)"),"Divya Padgaonkar")</f>
        <v>Divya Padgaonkar</v>
      </c>
      <c r="AG185" s="23"/>
      <c r="AH185" s="23" t="str">
        <f>IFERROR(__xludf.DUMMYFUNCTION("IF(
ISNUMBER(MATCH(
C185,
IMPORTRANGE(""https://docs.google.com/spreadsheets/d/1yTh1ELC33JHYOeEdgIiEclxPRyh0zOKtlawDltfUay8"",""'Interns'!A:A""),
0
)),
""Outreach Conducted"",
"""")"),"")</f>
        <v/>
      </c>
      <c r="AI185" s="23"/>
      <c r="AJ185" s="23"/>
      <c r="AK185" s="23" t="str">
        <f>IFERROR(__xludf.DUMMYFUNCTION("XLOOKUP(C185, 
   IMPORTRANGE(""1RdEdgHYrZ33LJ7RUHj_h-qkAFL92bcVjtIdVa-UlsCw"", ""Interns!D:D""), 
   IMPORTRANGE(""1RdEdgHYrZ33LJ7RUHj_h-qkAFL92bcVjtIdVa-UlsCw"", ""Interns!M:M""), 
   ""Not Found"")"),"")</f>
        <v/>
      </c>
      <c r="AL185" s="23" t="str">
        <f>IFERROR(__xludf.DUMMYFUNCTION("XLOOKUP(C185, 
   IMPORTRANGE(""1RdEdgHYrZ33LJ7RUHj_h-qkAFL92bcVjtIdVa-UlsCw"", ""Interns!D:D""), 
   IMPORTRANGE(""1RdEdgHYrZ33LJ7RUHj_h-qkAFL92bcVjtIdVa-UlsCw"", ""Interns!N:N""), 
   ""Not Found"")"),"")</f>
        <v/>
      </c>
      <c r="AM185" s="23" t="str">
        <f>IFERROR(__xludf.DUMMYFUNCTION("XLOOKUP(C185, 
   IMPORTRANGE(""1RdEdgHYrZ33LJ7RUHj_h-qkAFL92bcVjtIdVa-UlsCw"", ""Interns!D:D""), 
   IMPORTRANGE(""1RdEdgHYrZ33LJ7RUHj_h-qkAFL92bcVjtIdVa-UlsCw"", ""Interns!O:O""), 
   ""Not Found"")"),"")</f>
        <v/>
      </c>
      <c r="AN185" s="23"/>
      <c r="AO185" s="23" t="s">
        <v>6525</v>
      </c>
      <c r="AP185" s="28" t="s">
        <v>5182</v>
      </c>
      <c r="AQ185" s="28" t="s">
        <v>6526</v>
      </c>
      <c r="AR185" s="23" t="s">
        <v>6527</v>
      </c>
      <c r="AS185" s="23"/>
      <c r="AT185" s="23"/>
      <c r="AU185" s="23"/>
      <c r="AV185" s="23"/>
    </row>
    <row r="186">
      <c r="A186" s="28" t="s">
        <v>5202</v>
      </c>
      <c r="B186" s="28" t="s">
        <v>5162</v>
      </c>
      <c r="C186" s="23" t="str">
        <f t="shared" si="1"/>
        <v>Rassiel Munoz Gomez</v>
      </c>
      <c r="D186" s="28" t="s">
        <v>6528</v>
      </c>
      <c r="E186" s="28" t="s">
        <v>6529</v>
      </c>
      <c r="F186" s="23">
        <f t="array" ref="F186">IFERROR(
    INDEX('Hub Interns 226'!A:A, MATCH(C186, 'Hub Interns 226'!B:B, 0)),"")</f>
        <v>552</v>
      </c>
      <c r="G186" s="23">
        <f t="array" ref="G186">IFERROR(
    INDEX('Hub Users 226'!A:A, MATCH(C186, 'Hub Users 226'!B:B, 0)),"")</f>
        <v>985</v>
      </c>
      <c r="H186" s="28">
        <v>724.0</v>
      </c>
      <c r="I186" s="28" t="s">
        <v>260</v>
      </c>
      <c r="J186" s="28" t="s">
        <v>5336</v>
      </c>
      <c r="K186" s="28" t="s">
        <v>5177</v>
      </c>
      <c r="L186" s="28" t="s">
        <v>5196</v>
      </c>
      <c r="M186" s="56" t="s">
        <v>6530</v>
      </c>
      <c r="N186" s="59">
        <v>44550.39791666667</v>
      </c>
      <c r="O186" s="58">
        <v>37896.0</v>
      </c>
      <c r="P186" s="28">
        <f t="shared" si="11"/>
        <v>22</v>
      </c>
      <c r="Q186" s="28" t="s">
        <v>240</v>
      </c>
      <c r="R186" s="28" t="s">
        <v>6531</v>
      </c>
      <c r="S186" s="28">
        <v>5.0</v>
      </c>
      <c r="T186" s="28">
        <v>15.0</v>
      </c>
      <c r="U186" s="28">
        <v>23.0</v>
      </c>
      <c r="V186" s="28">
        <v>32.0</v>
      </c>
      <c r="W186" s="28" t="s">
        <v>1173</v>
      </c>
      <c r="X186" s="28" t="s">
        <v>272</v>
      </c>
      <c r="Y186" s="28" t="s">
        <v>6532</v>
      </c>
      <c r="Z186" s="28" t="s">
        <v>5483</v>
      </c>
      <c r="AA186" s="28" t="s">
        <v>457</v>
      </c>
      <c r="AB186" s="28">
        <v>25.0</v>
      </c>
      <c r="AC186" s="28" t="s">
        <v>25</v>
      </c>
      <c r="AD186" s="23"/>
      <c r="AE186" s="28" t="s">
        <v>10</v>
      </c>
      <c r="AF186" s="23" t="str">
        <f>IFERROR(__xludf.DUMMYFUNCTION("TEXTJOIN("", "", TRUE,
  FILTER(Champions!C:C,
    ISNUMBER(SEARCH(C186, Champions!W:W))
  )
)"),"Lena K Dandy, Jody Kramer, Lena K Dandy (D)")</f>
        <v>Lena K Dandy, Jody Kramer, Lena K Dandy (D)</v>
      </c>
      <c r="AG186" s="23"/>
      <c r="AH186" s="23" t="str">
        <f>IFERROR(__xludf.DUMMYFUNCTION("IF(
ISNUMBER(MATCH(
C186,
IMPORTRANGE(""https://docs.google.com/spreadsheets/d/1yTh1ELC33JHYOeEdgIiEclxPRyh0zOKtlawDltfUay8"",""'Interns'!A:A""),
0
)),
""Outreach Conducted"",
"""")"),"")</f>
        <v/>
      </c>
      <c r="AI186" s="23"/>
      <c r="AJ186" s="23"/>
      <c r="AK186" s="23" t="str">
        <f>IFERROR(__xludf.DUMMYFUNCTION("XLOOKUP(C186, 
   IMPORTRANGE(""1RdEdgHYrZ33LJ7RUHj_h-qkAFL92bcVjtIdVa-UlsCw"", ""Interns!D:D""), 
   IMPORTRANGE(""1RdEdgHYrZ33LJ7RUHj_h-qkAFL92bcVjtIdVa-UlsCw"", ""Interns!M:M""), 
   ""Not Found"")"),"")</f>
        <v/>
      </c>
      <c r="AL186" s="23" t="str">
        <f>IFERROR(__xludf.DUMMYFUNCTION("XLOOKUP(C186, 
   IMPORTRANGE(""1RdEdgHYrZ33LJ7RUHj_h-qkAFL92bcVjtIdVa-UlsCw"", ""Interns!D:D""), 
   IMPORTRANGE(""1RdEdgHYrZ33LJ7RUHj_h-qkAFL92bcVjtIdVa-UlsCw"", ""Interns!N:N""), 
   ""Not Found"")"),"")</f>
        <v/>
      </c>
      <c r="AM186" s="23" t="str">
        <f>IFERROR(__xludf.DUMMYFUNCTION("XLOOKUP(C186, 
   IMPORTRANGE(""1RdEdgHYrZ33LJ7RUHj_h-qkAFL92bcVjtIdVa-UlsCw"", ""Interns!D:D""), 
   IMPORTRANGE(""1RdEdgHYrZ33LJ7RUHj_h-qkAFL92bcVjtIdVa-UlsCw"", ""Interns!O:O""), 
   ""Not Found"")"),"")</f>
        <v/>
      </c>
      <c r="AN186" s="23"/>
      <c r="AO186" s="23" t="s">
        <v>6525</v>
      </c>
      <c r="AP186" s="28" t="s">
        <v>5182</v>
      </c>
      <c r="AQ186" s="28" t="s">
        <v>6526</v>
      </c>
      <c r="AR186" s="23" t="s">
        <v>6527</v>
      </c>
      <c r="AS186" s="23"/>
      <c r="AT186" s="23"/>
      <c r="AU186" s="23"/>
      <c r="AV186" s="23"/>
    </row>
    <row r="187">
      <c r="A187" s="28" t="s">
        <v>5161</v>
      </c>
      <c r="B187" s="28" t="s">
        <v>5162</v>
      </c>
      <c r="C187" s="23" t="str">
        <f t="shared" si="1"/>
        <v>Tatiana Cardona</v>
      </c>
      <c r="D187" s="28" t="s">
        <v>3374</v>
      </c>
      <c r="E187" s="28" t="s">
        <v>6533</v>
      </c>
      <c r="F187" s="23">
        <f t="array" ref="F187">IFERROR(
    INDEX('Hub Interns 226'!A:A, MATCH(C187, 'Hub Interns 226'!B:B, 0)),"")</f>
        <v>1142</v>
      </c>
      <c r="G187" s="23">
        <f t="array" ref="G187">IFERROR(
    INDEX('Hub Users 226'!A:A, MATCH(C187, 'Hub Users 226'!B:B, 0)),"")</f>
        <v>1575</v>
      </c>
      <c r="H187" s="28">
        <v>519.0</v>
      </c>
      <c r="I187" s="28" t="s">
        <v>290</v>
      </c>
      <c r="J187" s="28" t="s">
        <v>5766</v>
      </c>
      <c r="K187" s="28" t="s">
        <v>5463</v>
      </c>
      <c r="L187" s="28" t="s">
        <v>5196</v>
      </c>
      <c r="M187" s="56" t="s">
        <v>6534</v>
      </c>
      <c r="N187" s="57">
        <v>44476.66180555556</v>
      </c>
      <c r="O187" s="58">
        <v>38587.0</v>
      </c>
      <c r="P187" s="28">
        <f t="shared" si="11"/>
        <v>20</v>
      </c>
      <c r="Q187" s="28" t="s">
        <v>240</v>
      </c>
      <c r="R187" s="28" t="s">
        <v>6535</v>
      </c>
      <c r="S187" s="28">
        <v>6.0</v>
      </c>
      <c r="T187" s="28">
        <v>16.0</v>
      </c>
      <c r="U187" s="28">
        <v>25.0</v>
      </c>
      <c r="V187" s="28">
        <v>20.0</v>
      </c>
      <c r="W187" s="28" t="s">
        <v>1173</v>
      </c>
      <c r="X187" s="28" t="s">
        <v>272</v>
      </c>
      <c r="Y187" s="28" t="s">
        <v>6536</v>
      </c>
      <c r="Z187" s="28" t="s">
        <v>5189</v>
      </c>
      <c r="AA187" s="28" t="s">
        <v>619</v>
      </c>
      <c r="AB187" s="28">
        <v>20.0</v>
      </c>
      <c r="AC187" s="28" t="s">
        <v>25</v>
      </c>
      <c r="AD187" s="23"/>
      <c r="AE187" s="28" t="s">
        <v>10</v>
      </c>
      <c r="AF187" s="23" t="str">
        <f>IFERROR(__xludf.DUMMYFUNCTION("TEXTJOIN("", "", TRUE,
  FILTER(Champions!C:C,
    ISNUMBER(SEARCH(C187, Champions!W:W))
  )
)"),"AUGUSTO SALCEDO, Sandra Llontop")</f>
        <v>AUGUSTO SALCEDO, Sandra Llontop</v>
      </c>
      <c r="AG187" s="23"/>
      <c r="AH187" s="23" t="str">
        <f>IFERROR(__xludf.DUMMYFUNCTION("IF(
ISNUMBER(MATCH(
C187,
IMPORTRANGE(""https://docs.google.com/spreadsheets/d/1yTh1ELC33JHYOeEdgIiEclxPRyh0zOKtlawDltfUay8"",""'Interns'!A:A""),
0
)),
""Outreach Conducted"",
"""")"),"")</f>
        <v/>
      </c>
      <c r="AI187" s="23"/>
      <c r="AJ187" s="23"/>
      <c r="AK187" s="23" t="str">
        <f>IFERROR(__xludf.DUMMYFUNCTION("XLOOKUP(C187, 
   IMPORTRANGE(""1RdEdgHYrZ33LJ7RUHj_h-qkAFL92bcVjtIdVa-UlsCw"", ""Interns!D:D""), 
   IMPORTRANGE(""1RdEdgHYrZ33LJ7RUHj_h-qkAFL92bcVjtIdVa-UlsCw"", ""Interns!M:M""), 
   ""Not Found"")"),"Contacted")</f>
        <v>Contacted</v>
      </c>
      <c r="AL187" s="23" t="str">
        <f>IFERROR(__xludf.DUMMYFUNCTION("XLOOKUP(C187, 
   IMPORTRANGE(""1RdEdgHYrZ33LJ7RUHj_h-qkAFL92bcVjtIdVa-UlsCw"", ""Interns!D:D""), 
   IMPORTRANGE(""1RdEdgHYrZ33LJ7RUHj_h-qkAFL92bcVjtIdVa-UlsCw"", ""Interns!N:N""), 
   ""Not Found"")"),"#Cheers4Careers")</f>
        <v>#Cheers4Careers</v>
      </c>
      <c r="AM187" s="23" t="str">
        <f>IFERROR(__xludf.DUMMYFUNCTION("XLOOKUP(C187, 
   IMPORTRANGE(""1RdEdgHYrZ33LJ7RUHj_h-qkAFL92bcVjtIdVa-UlsCw"", ""Interns!D:D""), 
   IMPORTRANGE(""1RdEdgHYrZ33LJ7RUHj_h-qkAFL92bcVjtIdVa-UlsCw"", ""Interns!O:O""), 
   ""Not Found"")"),"Hetal reached out by email 3/27 followed by text")</f>
        <v>Hetal reached out by email 3/27 followed by text</v>
      </c>
      <c r="AN187" s="23"/>
      <c r="AO187" s="23" t="s">
        <v>6537</v>
      </c>
      <c r="AP187" s="28" t="s">
        <v>5182</v>
      </c>
      <c r="AQ187" s="28" t="s">
        <v>6538</v>
      </c>
      <c r="AR187" s="23" t="s">
        <v>6539</v>
      </c>
      <c r="AS187" s="23"/>
      <c r="AT187" s="23"/>
      <c r="AU187" s="23"/>
      <c r="AV187" s="23"/>
    </row>
    <row r="188">
      <c r="A188" s="28" t="s">
        <v>5161</v>
      </c>
      <c r="B188" s="28" t="s">
        <v>5162</v>
      </c>
      <c r="C188" s="23" t="str">
        <f t="shared" si="1"/>
        <v>Manuela Salazar</v>
      </c>
      <c r="D188" s="28" t="s">
        <v>6540</v>
      </c>
      <c r="E188" s="28" t="s">
        <v>6541</v>
      </c>
      <c r="F188" s="23">
        <f t="array" ref="F188">IFERROR(
    INDEX('Hub Interns 226'!A:A, MATCH(C188, 'Hub Interns 226'!B:B, 0)),"")</f>
        <v>833</v>
      </c>
      <c r="G188" s="23">
        <f t="array" ref="G188">IFERROR(
    INDEX('Hub Users 226'!A:A, MATCH(C188, 'Hub Users 226'!B:B, 0)),"")</f>
        <v>1266</v>
      </c>
      <c r="H188" s="28">
        <v>335.0</v>
      </c>
      <c r="I188" s="28" t="s">
        <v>260</v>
      </c>
      <c r="J188" s="28" t="s">
        <v>5766</v>
      </c>
      <c r="K188" s="28" t="s">
        <v>5463</v>
      </c>
      <c r="L188" s="28" t="s">
        <v>5196</v>
      </c>
      <c r="M188" s="56" t="s">
        <v>6542</v>
      </c>
      <c r="N188" s="57">
        <v>44242.50902777778</v>
      </c>
      <c r="O188" s="58">
        <v>37207.0</v>
      </c>
      <c r="P188" s="28">
        <f t="shared" si="11"/>
        <v>24</v>
      </c>
      <c r="Q188" s="28" t="s">
        <v>6543</v>
      </c>
      <c r="R188" s="28" t="s">
        <v>6544</v>
      </c>
      <c r="S188" s="28">
        <v>6.0</v>
      </c>
      <c r="T188" s="28">
        <v>16.0</v>
      </c>
      <c r="U188" s="28">
        <v>40.0</v>
      </c>
      <c r="V188" s="28">
        <v>20.0</v>
      </c>
      <c r="W188" s="28" t="s">
        <v>1173</v>
      </c>
      <c r="X188" s="28" t="s">
        <v>272</v>
      </c>
      <c r="Y188" s="28" t="s">
        <v>6545</v>
      </c>
      <c r="Z188" s="28" t="s">
        <v>5189</v>
      </c>
      <c r="AA188" s="28" t="s">
        <v>619</v>
      </c>
      <c r="AB188" s="28">
        <v>20.0</v>
      </c>
      <c r="AC188" s="28" t="s">
        <v>25</v>
      </c>
      <c r="AD188" s="28" t="s">
        <v>101</v>
      </c>
      <c r="AE188" s="28" t="s">
        <v>8</v>
      </c>
      <c r="AF188" s="23" t="str">
        <f>IFERROR(__xludf.DUMMYFUNCTION("TEXTJOIN("", "", TRUE,
  FILTER(Champions!C:C,
    ISNUMBER(SEARCH(C188, Champions!W:W))
  )
)"),"Mariana Silva Aranha, Swathi Koundinya")</f>
        <v>Mariana Silva Aranha, Swathi Koundinya</v>
      </c>
      <c r="AG188" s="23"/>
      <c r="AH188" s="23" t="str">
        <f>IFERROR(__xludf.DUMMYFUNCTION("IF(
ISNUMBER(MATCH(
C188,
IMPORTRANGE(""https://docs.google.com/spreadsheets/d/1yTh1ELC33JHYOeEdgIiEclxPRyh0zOKtlawDltfUay8"",""'Interns'!A:A""),
0
)),
""Outreach Conducted"",
"""")"),"")</f>
        <v/>
      </c>
      <c r="AI188" s="23"/>
      <c r="AJ188" s="23"/>
      <c r="AK188" s="23" t="str">
        <f>IFERROR(__xludf.DUMMYFUNCTION("XLOOKUP(C188, 
   IMPORTRANGE(""1RdEdgHYrZ33LJ7RUHj_h-qkAFL92bcVjtIdVa-UlsCw"", ""Interns!D:D""), 
   IMPORTRANGE(""1RdEdgHYrZ33LJ7RUHj_h-qkAFL92bcVjtIdVa-UlsCw"", ""Interns!M:M""), 
   ""Not Found"")"),"Contacted")</f>
        <v>Contacted</v>
      </c>
      <c r="AL188" s="23" t="str">
        <f>IFERROR(__xludf.DUMMYFUNCTION("XLOOKUP(C188, 
   IMPORTRANGE(""1RdEdgHYrZ33LJ7RUHj_h-qkAFL92bcVjtIdVa-UlsCw"", ""Interns!D:D""), 
   IMPORTRANGE(""1RdEdgHYrZ33LJ7RUHj_h-qkAFL92bcVjtIdVa-UlsCw"", ""Interns!N:N""), 
   ""Not Found"")"),"#Cheers4Careers")</f>
        <v>#Cheers4Careers</v>
      </c>
      <c r="AM188" s="23" t="str">
        <f>IFERROR(__xludf.DUMMYFUNCTION("XLOOKUP(C188, 
   IMPORTRANGE(""1RdEdgHYrZ33LJ7RUHj_h-qkAFL92bcVjtIdVa-UlsCw"", ""Interns!D:D""), 
   IMPORTRANGE(""1RdEdgHYrZ33LJ7RUHj_h-qkAFL92bcVjtIdVa-UlsCw"", ""Interns!O:O""), 
   ""Not Found"")"),"Hetal reached out by email 3/27 followed by text")</f>
        <v>Hetal reached out by email 3/27 followed by text</v>
      </c>
      <c r="AN188" s="23"/>
      <c r="AO188" s="23" t="s">
        <v>6546</v>
      </c>
      <c r="AP188" s="28" t="s">
        <v>5182</v>
      </c>
      <c r="AQ188" s="28" t="s">
        <v>6547</v>
      </c>
      <c r="AR188" s="23" t="s">
        <v>6548</v>
      </c>
      <c r="AS188" s="23"/>
      <c r="AT188" s="23"/>
      <c r="AU188" s="23"/>
      <c r="AV188" s="23"/>
    </row>
    <row r="189">
      <c r="A189" s="28" t="s">
        <v>5202</v>
      </c>
      <c r="B189" s="28" t="s">
        <v>5162</v>
      </c>
      <c r="C189" s="23" t="str">
        <f t="shared" si="1"/>
        <v>Heiscelys Campusano</v>
      </c>
      <c r="D189" s="28" t="s">
        <v>6549</v>
      </c>
      <c r="E189" s="28" t="s">
        <v>6550</v>
      </c>
      <c r="F189" s="23">
        <f t="array" ref="F189">IFERROR(
    INDEX('Hub Interns 226'!A:A, MATCH(C189, 'Hub Interns 226'!B:B, 0)),"")</f>
        <v>574</v>
      </c>
      <c r="G189" s="23">
        <f t="array" ref="G189">IFERROR(
    INDEX('Hub Users 226'!A:A, MATCH(C189, 'Hub Users 226'!B:B, 0)),"")</f>
        <v>1007</v>
      </c>
      <c r="H189" s="28">
        <v>806.0</v>
      </c>
      <c r="I189" s="28" t="s">
        <v>260</v>
      </c>
      <c r="J189" s="28" t="s">
        <v>5336</v>
      </c>
      <c r="K189" s="28" t="s">
        <v>5177</v>
      </c>
      <c r="L189" s="28" t="s">
        <v>5196</v>
      </c>
      <c r="M189" s="56" t="s">
        <v>6551</v>
      </c>
      <c r="N189" s="57">
        <v>44568.43472222222</v>
      </c>
      <c r="O189" s="58">
        <v>38910.0</v>
      </c>
      <c r="P189" s="28">
        <f t="shared" si="11"/>
        <v>19</v>
      </c>
      <c r="Q189" s="28" t="s">
        <v>6552</v>
      </c>
      <c r="R189" s="28" t="s">
        <v>6553</v>
      </c>
      <c r="S189" s="28">
        <v>15.0</v>
      </c>
      <c r="T189" s="28">
        <v>32.0</v>
      </c>
      <c r="U189" s="28">
        <v>79.0</v>
      </c>
      <c r="V189" s="28">
        <v>16.0</v>
      </c>
      <c r="W189" s="28" t="s">
        <v>859</v>
      </c>
      <c r="X189" s="28" t="s">
        <v>272</v>
      </c>
      <c r="Y189" s="28" t="s">
        <v>6554</v>
      </c>
      <c r="Z189" s="28" t="s">
        <v>5341</v>
      </c>
      <c r="AA189" s="28" t="s">
        <v>1085</v>
      </c>
      <c r="AB189" s="28">
        <v>10.0</v>
      </c>
      <c r="AC189" s="28" t="s">
        <v>25</v>
      </c>
      <c r="AD189" s="23"/>
      <c r="AE189" s="28" t="s">
        <v>10</v>
      </c>
      <c r="AF189" s="23" t="str">
        <f>IFERROR(__xludf.DUMMYFUNCTION("TEXTJOIN("", "", TRUE,
  FILTER(Champions!C:C,
    ISNUMBER(SEARCH(C189, Champions!W:W))
  )
)"),"Bindu Krishna, Bindu Krishna (D)")</f>
        <v>Bindu Krishna, Bindu Krishna (D)</v>
      </c>
      <c r="AG189" s="23"/>
      <c r="AH189" s="23" t="str">
        <f>IFERROR(__xludf.DUMMYFUNCTION("IF(
ISNUMBER(MATCH(
C189,
IMPORTRANGE(""https://docs.google.com/spreadsheets/d/1yTh1ELC33JHYOeEdgIiEclxPRyh0zOKtlawDltfUay8"",""'Interns'!A:A""),
0
)),
""Outreach Conducted"",
"""")"),"")</f>
        <v/>
      </c>
      <c r="AI189" s="23"/>
      <c r="AJ189" s="23"/>
      <c r="AK189" s="23" t="str">
        <f>IFERROR(__xludf.DUMMYFUNCTION("XLOOKUP(C189, 
   IMPORTRANGE(""1RdEdgHYrZ33LJ7RUHj_h-qkAFL92bcVjtIdVa-UlsCw"", ""Interns!D:D""), 
   IMPORTRANGE(""1RdEdgHYrZ33LJ7RUHj_h-qkAFL92bcVjtIdVa-UlsCw"", ""Interns!M:M""), 
   ""Not Found"")"),"")</f>
        <v/>
      </c>
      <c r="AL189" s="23" t="str">
        <f>IFERROR(__xludf.DUMMYFUNCTION("XLOOKUP(C189, 
   IMPORTRANGE(""1RdEdgHYrZ33LJ7RUHj_h-qkAFL92bcVjtIdVa-UlsCw"", ""Interns!D:D""), 
   IMPORTRANGE(""1RdEdgHYrZ33LJ7RUHj_h-qkAFL92bcVjtIdVa-UlsCw"", ""Interns!N:N""), 
   ""Not Found"")"),"")</f>
        <v/>
      </c>
      <c r="AM189" s="23" t="str">
        <f>IFERROR(__xludf.DUMMYFUNCTION("XLOOKUP(C189, 
   IMPORTRANGE(""1RdEdgHYrZ33LJ7RUHj_h-qkAFL92bcVjtIdVa-UlsCw"", ""Interns!D:D""), 
   IMPORTRANGE(""1RdEdgHYrZ33LJ7RUHj_h-qkAFL92bcVjtIdVa-UlsCw"", ""Interns!O:O""), 
   ""Not Found"")"),"")</f>
        <v/>
      </c>
      <c r="AN189" s="23"/>
      <c r="AO189" s="23" t="s">
        <v>6555</v>
      </c>
      <c r="AP189" s="28" t="s">
        <v>5182</v>
      </c>
      <c r="AQ189" s="28" t="s">
        <v>6556</v>
      </c>
      <c r="AR189" s="23" t="s">
        <v>6557</v>
      </c>
      <c r="AS189" s="23"/>
      <c r="AT189" s="23"/>
      <c r="AU189" s="23"/>
      <c r="AV189" s="23"/>
    </row>
    <row r="190">
      <c r="A190" s="28" t="s">
        <v>5161</v>
      </c>
      <c r="B190" s="28" t="s">
        <v>5162</v>
      </c>
      <c r="C190" s="23" t="str">
        <f t="shared" si="1"/>
        <v>Manuela Osorno</v>
      </c>
      <c r="D190" s="28" t="s">
        <v>6540</v>
      </c>
      <c r="E190" s="28" t="s">
        <v>6558</v>
      </c>
      <c r="F190" s="23">
        <f t="array" ref="F190">IFERROR(
    INDEX('Hub Interns 226'!A:A, MATCH(C190, 'Hub Interns 226'!B:B, 0)),"")</f>
        <v>1013</v>
      </c>
      <c r="G190" s="23">
        <f t="array" ref="G190">IFERROR(
    INDEX('Hub Users 226'!A:A, MATCH(C190, 'Hub Users 226'!B:B, 0)),"")</f>
        <v>1446</v>
      </c>
      <c r="H190" s="28">
        <v>513.0</v>
      </c>
      <c r="I190" s="28" t="s">
        <v>260</v>
      </c>
      <c r="J190" s="28" t="s">
        <v>5766</v>
      </c>
      <c r="K190" s="28" t="s">
        <v>5463</v>
      </c>
      <c r="L190" s="28" t="s">
        <v>5196</v>
      </c>
      <c r="M190" s="56" t="s">
        <v>6559</v>
      </c>
      <c r="N190" s="57">
        <v>44476.65138888889</v>
      </c>
      <c r="O190" s="58">
        <v>38134.0</v>
      </c>
      <c r="P190" s="28">
        <f t="shared" si="11"/>
        <v>21</v>
      </c>
      <c r="Q190" s="28" t="s">
        <v>6560</v>
      </c>
      <c r="R190" s="28" t="s">
        <v>6561</v>
      </c>
      <c r="S190" s="28">
        <v>6.0</v>
      </c>
      <c r="T190" s="28">
        <v>16.0</v>
      </c>
      <c r="U190" s="28">
        <v>40.0</v>
      </c>
      <c r="V190" s="28">
        <v>20.0</v>
      </c>
      <c r="W190" s="28" t="s">
        <v>1173</v>
      </c>
      <c r="X190" s="28" t="s">
        <v>272</v>
      </c>
      <c r="Y190" s="28" t="s">
        <v>6562</v>
      </c>
      <c r="Z190" s="28" t="s">
        <v>5189</v>
      </c>
      <c r="AA190" s="28" t="s">
        <v>619</v>
      </c>
      <c r="AB190" s="28">
        <v>20.0</v>
      </c>
      <c r="AC190" s="28" t="s">
        <v>25</v>
      </c>
      <c r="AD190" s="23"/>
      <c r="AE190" s="28" t="s">
        <v>10</v>
      </c>
      <c r="AF190" s="23" t="str">
        <f>IFERROR(__xludf.DUMMYFUNCTION("TEXTJOIN("", "", TRUE,
  FILTER(Champions!C:C,
    ISNUMBER(SEARCH(C190, Champions!W:W))
  )
)"),"Adelina Longoria, Marinee Lees")</f>
        <v>Adelina Longoria, Marinee Lees</v>
      </c>
      <c r="AG190" s="23"/>
      <c r="AH190" s="23" t="str">
        <f>IFERROR(__xludf.DUMMYFUNCTION("IF(
ISNUMBER(MATCH(
C190,
IMPORTRANGE(""https://docs.google.com/spreadsheets/d/1yTh1ELC33JHYOeEdgIiEclxPRyh0zOKtlawDltfUay8"",""'Interns'!A:A""),
0
)),
""Outreach Conducted"",
"""")"),"")</f>
        <v/>
      </c>
      <c r="AI190" s="23"/>
      <c r="AJ190" s="23"/>
      <c r="AK190" s="23" t="str">
        <f>IFERROR(__xludf.DUMMYFUNCTION("XLOOKUP(C190, 
   IMPORTRANGE(""1RdEdgHYrZ33LJ7RUHj_h-qkAFL92bcVjtIdVa-UlsCw"", ""Interns!D:D""), 
   IMPORTRANGE(""1RdEdgHYrZ33LJ7RUHj_h-qkAFL92bcVjtIdVa-UlsCw"", ""Interns!M:M""), 
   ""Not Found"")"),"Contacted")</f>
        <v>Contacted</v>
      </c>
      <c r="AL190" s="23" t="str">
        <f>IFERROR(__xludf.DUMMYFUNCTION("XLOOKUP(C190, 
   IMPORTRANGE(""1RdEdgHYrZ33LJ7RUHj_h-qkAFL92bcVjtIdVa-UlsCw"", ""Interns!D:D""), 
   IMPORTRANGE(""1RdEdgHYrZ33LJ7RUHj_h-qkAFL92bcVjtIdVa-UlsCw"", ""Interns!N:N""), 
   ""Not Found"")"),"#Cheers4Careers")</f>
        <v>#Cheers4Careers</v>
      </c>
      <c r="AM190" s="23" t="str">
        <f>IFERROR(__xludf.DUMMYFUNCTION("XLOOKUP(C190, 
   IMPORTRANGE(""1RdEdgHYrZ33LJ7RUHj_h-qkAFL92bcVjtIdVa-UlsCw"", ""Interns!D:D""), 
   IMPORTRANGE(""1RdEdgHYrZ33LJ7RUHj_h-qkAFL92bcVjtIdVa-UlsCw"", ""Interns!O:O""), 
   ""Not Found"")"),"Hetal reached out by email 3/27 followed by text")</f>
        <v>Hetal reached out by email 3/27 followed by text</v>
      </c>
      <c r="AN190" s="23"/>
      <c r="AO190" s="23" t="s">
        <v>6563</v>
      </c>
      <c r="AP190" s="28" t="s">
        <v>5182</v>
      </c>
      <c r="AQ190" s="28" t="s">
        <v>6564</v>
      </c>
      <c r="AR190" s="23" t="s">
        <v>6565</v>
      </c>
      <c r="AS190" s="23"/>
      <c r="AT190" s="23"/>
      <c r="AU190" s="23"/>
      <c r="AV190" s="23"/>
    </row>
    <row r="191">
      <c r="A191" s="28" t="s">
        <v>5161</v>
      </c>
      <c r="B191" s="28" t="s">
        <v>5162</v>
      </c>
      <c r="C191" s="23" t="str">
        <f t="shared" si="1"/>
        <v>Gabriela Rojas</v>
      </c>
      <c r="D191" s="28" t="s">
        <v>1413</v>
      </c>
      <c r="E191" s="28" t="s">
        <v>6566</v>
      </c>
      <c r="F191" s="23">
        <f t="array" ref="F191">IFERROR(
    INDEX('Hub Interns 226'!A:A, MATCH(C191, 'Hub Interns 226'!B:B, 0)),"")</f>
        <v>1485</v>
      </c>
      <c r="G191" s="23">
        <f t="array" ref="G191">IFERROR(
    INDEX('Hub Users 226'!A:A, MATCH(C191, 'Hub Users 226'!B:B, 0)),"")</f>
        <v>2063</v>
      </c>
      <c r="H191" s="28">
        <v>1837.0</v>
      </c>
      <c r="I191" s="28" t="s">
        <v>1235</v>
      </c>
      <c r="J191" s="28" t="s">
        <v>5766</v>
      </c>
      <c r="K191" s="28" t="s">
        <v>5463</v>
      </c>
      <c r="L191" s="28" t="s">
        <v>5196</v>
      </c>
      <c r="M191" s="56" t="s">
        <v>6567</v>
      </c>
      <c r="N191" s="57">
        <v>45503.98055555556</v>
      </c>
      <c r="O191" s="58">
        <v>45484.0</v>
      </c>
      <c r="P191" s="28">
        <f t="shared" si="11"/>
        <v>1</v>
      </c>
      <c r="Q191" s="28" t="s">
        <v>6568</v>
      </c>
      <c r="R191" s="28" t="s">
        <v>6569</v>
      </c>
      <c r="S191" s="28">
        <v>3.0</v>
      </c>
      <c r="T191" s="28">
        <v>11.0</v>
      </c>
      <c r="U191" s="28">
        <v>27.0</v>
      </c>
      <c r="V191" s="28">
        <v>19.0</v>
      </c>
      <c r="W191" s="28" t="s">
        <v>1173</v>
      </c>
      <c r="X191" s="28" t="s">
        <v>272</v>
      </c>
      <c r="Y191" s="28">
        <v>3.47720782E9</v>
      </c>
      <c r="Z191" s="23"/>
      <c r="AA191" s="28" t="s">
        <v>5512</v>
      </c>
      <c r="AB191" s="28">
        <v>30.0</v>
      </c>
      <c r="AC191" s="28" t="s">
        <v>23</v>
      </c>
      <c r="AD191" s="23"/>
      <c r="AE191" s="28" t="s">
        <v>19</v>
      </c>
      <c r="AF191" s="23"/>
      <c r="AG191" s="23"/>
      <c r="AH191" s="23" t="str">
        <f>IFERROR(__xludf.DUMMYFUNCTION("IF(
ISNUMBER(MATCH(
C191,
IMPORTRANGE(""https://docs.google.com/spreadsheets/d/1yTh1ELC33JHYOeEdgIiEclxPRyh0zOKtlawDltfUay8"",""'Interns'!A:A""),
0
)),
""Outreach Conducted"",
"""")"),"")</f>
        <v/>
      </c>
      <c r="AI191" s="23"/>
      <c r="AJ191" s="23"/>
      <c r="AK191" s="23" t="str">
        <f>IFERROR(__xludf.DUMMYFUNCTION("XLOOKUP(C191, 
   IMPORTRANGE(""1RdEdgHYrZ33LJ7RUHj_h-qkAFL92bcVjtIdVa-UlsCw"", ""Interns!D:D""), 
   IMPORTRANGE(""1RdEdgHYrZ33LJ7RUHj_h-qkAFL92bcVjtIdVa-UlsCw"", ""Interns!M:M""), 
   ""Not Found"")"),"Contacted")</f>
        <v>Contacted</v>
      </c>
      <c r="AL191" s="23" t="str">
        <f>IFERROR(__xludf.DUMMYFUNCTION("XLOOKUP(C191, 
   IMPORTRANGE(""1RdEdgHYrZ33LJ7RUHj_h-qkAFL92bcVjtIdVa-UlsCw"", ""Interns!D:D""), 
   IMPORTRANGE(""1RdEdgHYrZ33LJ7RUHj_h-qkAFL92bcVjtIdVa-UlsCw"", ""Interns!N:N""), 
   ""Not Found"")"),"#Cheers4Careers")</f>
        <v>#Cheers4Careers</v>
      </c>
      <c r="AM191" s="23" t="str">
        <f>IFERROR(__xludf.DUMMYFUNCTION("XLOOKUP(C191,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91" s="23"/>
      <c r="AO191" s="23" t="s">
        <v>6570</v>
      </c>
      <c r="AP191" s="28" t="s">
        <v>5182</v>
      </c>
      <c r="AQ191" s="28" t="s">
        <v>6571</v>
      </c>
      <c r="AR191" s="23">
        <v>3.477405505E9</v>
      </c>
      <c r="AS191" s="23"/>
      <c r="AT191" s="23"/>
      <c r="AU191" s="23"/>
      <c r="AV191" s="23"/>
    </row>
    <row r="192">
      <c r="A192" s="28" t="s">
        <v>5161</v>
      </c>
      <c r="B192" s="28" t="s">
        <v>5162</v>
      </c>
      <c r="C192" s="23" t="str">
        <f t="shared" si="1"/>
        <v>Melanny Pinzon</v>
      </c>
      <c r="D192" s="28" t="s">
        <v>6572</v>
      </c>
      <c r="E192" s="28" t="s">
        <v>6573</v>
      </c>
      <c r="F192" s="23">
        <f t="array" ref="F192">IFERROR(
    INDEX('Hub Interns 226'!A:A, MATCH(C192, 'Hub Interns 226'!B:B, 0)),"")</f>
        <v>177</v>
      </c>
      <c r="G192" s="23">
        <f t="array" ref="G192">IFERROR(
    INDEX('Hub Users 226'!A:A, MATCH(C192, 'Hub Users 226'!B:B, 0)),"")</f>
        <v>610</v>
      </c>
      <c r="H192" s="28">
        <v>541.0</v>
      </c>
      <c r="I192" s="28" t="s">
        <v>1153</v>
      </c>
      <c r="J192" s="28" t="s">
        <v>5766</v>
      </c>
      <c r="K192" s="28" t="s">
        <v>5463</v>
      </c>
      <c r="L192" s="28" t="s">
        <v>5196</v>
      </c>
      <c r="M192" s="56" t="s">
        <v>6574</v>
      </c>
      <c r="N192" s="57">
        <v>44477.544444444444</v>
      </c>
      <c r="O192" s="58">
        <v>38572.0</v>
      </c>
      <c r="P192" s="28">
        <f t="shared" si="11"/>
        <v>20</v>
      </c>
      <c r="Q192" s="28" t="s">
        <v>240</v>
      </c>
      <c r="R192" s="28" t="s">
        <v>6575</v>
      </c>
      <c r="S192" s="28">
        <v>6.0</v>
      </c>
      <c r="T192" s="28">
        <v>16.0</v>
      </c>
      <c r="U192" s="28">
        <v>40.0</v>
      </c>
      <c r="V192" s="28">
        <v>20.0</v>
      </c>
      <c r="W192" s="28" t="s">
        <v>1173</v>
      </c>
      <c r="X192" s="28" t="s">
        <v>272</v>
      </c>
      <c r="Y192" s="28" t="s">
        <v>6576</v>
      </c>
      <c r="Z192" s="28" t="s">
        <v>5189</v>
      </c>
      <c r="AA192" s="28" t="s">
        <v>619</v>
      </c>
      <c r="AB192" s="28">
        <v>20.0</v>
      </c>
      <c r="AC192" s="28" t="s">
        <v>25</v>
      </c>
      <c r="AD192" s="23"/>
      <c r="AE192" s="28" t="s">
        <v>10</v>
      </c>
      <c r="AF192" s="23" t="str">
        <f>IFERROR(__xludf.DUMMYFUNCTION("TEXTJOIN("", "", TRUE,
  FILTER(Champions!C:C,
    ISNUMBER(SEARCH(C192, Champions!W:W))
  )
)"),"Erycka Montoya, Jan Panchalingam")</f>
        <v>Erycka Montoya, Jan Panchalingam</v>
      </c>
      <c r="AG192" s="23"/>
      <c r="AH192" s="23" t="str">
        <f>IFERROR(__xludf.DUMMYFUNCTION("IF(
ISNUMBER(MATCH(
C192,
IMPORTRANGE(""https://docs.google.com/spreadsheets/d/1yTh1ELC33JHYOeEdgIiEclxPRyh0zOKtlawDltfUay8"",""'Interns'!A:A""),
0
)),
""Outreach Conducted"",
"""")"),"")</f>
        <v/>
      </c>
      <c r="AI192" s="23"/>
      <c r="AJ192" s="23"/>
      <c r="AK192" s="23" t="str">
        <f>IFERROR(__xludf.DUMMYFUNCTION("XLOOKUP(C192, 
   IMPORTRANGE(""1RdEdgHYrZ33LJ7RUHj_h-qkAFL92bcVjtIdVa-UlsCw"", ""Interns!D:D""), 
   IMPORTRANGE(""1RdEdgHYrZ33LJ7RUHj_h-qkAFL92bcVjtIdVa-UlsCw"", ""Interns!M:M""), 
   ""Not Found"")"),"Contacted")</f>
        <v>Contacted</v>
      </c>
      <c r="AL192" s="23" t="str">
        <f>IFERROR(__xludf.DUMMYFUNCTION("XLOOKUP(C192, 
   IMPORTRANGE(""1RdEdgHYrZ33LJ7RUHj_h-qkAFL92bcVjtIdVa-UlsCw"", ""Interns!D:D""), 
   IMPORTRANGE(""1RdEdgHYrZ33LJ7RUHj_h-qkAFL92bcVjtIdVa-UlsCw"", ""Interns!N:N""), 
   ""Not Found"")"),"#Cheers4Careers")</f>
        <v>#Cheers4Careers</v>
      </c>
      <c r="AM192" s="23" t="str">
        <f>IFERROR(__xludf.DUMMYFUNCTION("XLOOKUP(C192, 
   IMPORTRANGE(""1RdEdgHYrZ33LJ7RUHj_h-qkAFL92bcVjtIdVa-UlsCw"", ""Interns!D:D""), 
   IMPORTRANGE(""1RdEdgHYrZ33LJ7RUHj_h-qkAFL92bcVjtIdVa-UlsCw"", ""Interns!O:O""), 
   ""Not Found"")"),"Hetal reached out by email 3/27 followed by text")</f>
        <v>Hetal reached out by email 3/27 followed by text</v>
      </c>
      <c r="AN192" s="23"/>
      <c r="AO192" s="23" t="s">
        <v>6577</v>
      </c>
      <c r="AP192" s="28" t="s">
        <v>5182</v>
      </c>
      <c r="AQ192" s="28" t="s">
        <v>6578</v>
      </c>
      <c r="AR192" s="23" t="s">
        <v>6579</v>
      </c>
      <c r="AS192" s="23"/>
      <c r="AT192" s="23"/>
      <c r="AU192" s="23"/>
      <c r="AV192" s="23"/>
    </row>
    <row r="193">
      <c r="A193" s="28" t="s">
        <v>5161</v>
      </c>
      <c r="B193" s="28" t="s">
        <v>5162</v>
      </c>
      <c r="C193" s="23" t="str">
        <f t="shared" si="1"/>
        <v>Michell Benavidez</v>
      </c>
      <c r="D193" s="28" t="s">
        <v>6580</v>
      </c>
      <c r="E193" s="28" t="s">
        <v>6581</v>
      </c>
      <c r="F193" s="23">
        <f t="array" ref="F193">IFERROR(
    INDEX('Hub Interns 226'!A:A, MATCH(C193, 'Hub Interns 226'!B:B, 0)),"")</f>
        <v>1603</v>
      </c>
      <c r="G193" s="23">
        <f t="array" ref="G193">IFERROR(
    INDEX('Hub Users 226'!A:A, MATCH(C193, 'Hub Users 226'!B:B, 0)),"")</f>
        <v>2211</v>
      </c>
      <c r="H193" s="28">
        <v>1872.0</v>
      </c>
      <c r="I193" s="28"/>
      <c r="J193" s="28" t="s">
        <v>5766</v>
      </c>
      <c r="K193" s="28" t="s">
        <v>5463</v>
      </c>
      <c r="L193" s="28" t="s">
        <v>5196</v>
      </c>
      <c r="M193" s="56" t="s">
        <v>6582</v>
      </c>
      <c r="N193" s="66">
        <v>45692.58611111111</v>
      </c>
      <c r="O193" s="58">
        <v>39324.0</v>
      </c>
      <c r="P193" s="28">
        <f t="shared" si="11"/>
        <v>18</v>
      </c>
      <c r="Q193" s="23"/>
      <c r="R193" s="28" t="s">
        <v>6583</v>
      </c>
      <c r="S193" s="28">
        <v>7.0</v>
      </c>
      <c r="T193" s="28">
        <v>18.0</v>
      </c>
      <c r="U193" s="28">
        <v>54.0</v>
      </c>
      <c r="V193" s="28">
        <v>37.0</v>
      </c>
      <c r="W193" s="28" t="s">
        <v>294</v>
      </c>
      <c r="X193" s="28" t="s">
        <v>272</v>
      </c>
      <c r="Y193" s="28" t="s">
        <v>6584</v>
      </c>
      <c r="Z193" s="28" t="s">
        <v>5853</v>
      </c>
      <c r="AA193" s="28" t="s">
        <v>704</v>
      </c>
      <c r="AB193" s="28">
        <v>2.0</v>
      </c>
      <c r="AC193" s="28" t="s">
        <v>25</v>
      </c>
      <c r="AD193" s="23"/>
      <c r="AE193" s="28" t="s">
        <v>19</v>
      </c>
      <c r="AF193" s="23" t="str">
        <f>IFERROR(__xludf.DUMMYFUNCTION("TEXTJOIN("", "", TRUE,
  FILTER(Champions!C:C,
    ISNUMBER(SEARCH(C193, Champions!W:W))
  )
)"),"Angelo Rodriguez, Wendy Velasquez Ebanks")</f>
        <v>Angelo Rodriguez, Wendy Velasquez Ebanks</v>
      </c>
      <c r="AG193" s="23"/>
      <c r="AH193" s="23" t="str">
        <f>IFERROR(__xludf.DUMMYFUNCTION("IF(
ISNUMBER(MATCH(
C193,
IMPORTRANGE(""https://docs.google.com/spreadsheets/d/1yTh1ELC33JHYOeEdgIiEclxPRyh0zOKtlawDltfUay8"",""'Interns'!A:A""),
0
)),
""Outreach Conducted"",
"""")"),"")</f>
        <v/>
      </c>
      <c r="AI193" s="23"/>
      <c r="AJ193" s="23"/>
      <c r="AK193" s="23" t="str">
        <f>IFERROR(__xludf.DUMMYFUNCTION("XLOOKUP(C193, 
   IMPORTRANGE(""1RdEdgHYrZ33LJ7RUHj_h-qkAFL92bcVjtIdVa-UlsCw"", ""Interns!D:D""), 
   IMPORTRANGE(""1RdEdgHYrZ33LJ7RUHj_h-qkAFL92bcVjtIdVa-UlsCw"", ""Interns!M:M""), 
   ""Not Found"")"),"Contacted")</f>
        <v>Contacted</v>
      </c>
      <c r="AL193" s="23" t="str">
        <f>IFERROR(__xludf.DUMMYFUNCTION("XLOOKUP(C193, 
   IMPORTRANGE(""1RdEdgHYrZ33LJ7RUHj_h-qkAFL92bcVjtIdVa-UlsCw"", ""Interns!D:D""), 
   IMPORTRANGE(""1RdEdgHYrZ33LJ7RUHj_h-qkAFL92bcVjtIdVa-UlsCw"", ""Interns!N:N""), 
   ""Not Found"")"),"#Cheers4Careers")</f>
        <v>#Cheers4Careers</v>
      </c>
      <c r="AM193" s="23" t="str">
        <f>IFERROR(__xludf.DUMMYFUNCTION("XLOOKUP(C193, 
   IMPORTRANGE(""1RdEdgHYrZ33LJ7RUHj_h-qkAFL92bcVjtIdVa-UlsCw"", ""Interns!D:D""), 
   IMPORTRANGE(""1RdEdgHYrZ33LJ7RUHj_h-qkAFL92bcVjtIdVa-UlsCw"", ""Interns!O:O""), 
   ""Not Found"")"),"Ousmane reached out by email 3/26 and reach out by text 3/28")</f>
        <v>Ousmane reached out by email 3/26 and reach out by text 3/28</v>
      </c>
      <c r="AN193" s="23"/>
      <c r="AO193" s="23" t="s">
        <v>6585</v>
      </c>
      <c r="AP193" s="28" t="s">
        <v>5182</v>
      </c>
      <c r="AQ193" s="28" t="s">
        <v>6586</v>
      </c>
      <c r="AR193" s="23" t="s">
        <v>6587</v>
      </c>
      <c r="AS193" s="23"/>
      <c r="AT193" s="23"/>
      <c r="AU193" s="23"/>
      <c r="AV193" s="23"/>
    </row>
    <row r="194">
      <c r="A194" s="28" t="s">
        <v>5161</v>
      </c>
      <c r="B194" s="28" t="s">
        <v>5162</v>
      </c>
      <c r="C194" s="23" t="str">
        <f t="shared" si="1"/>
        <v>Tomas Mantoilla</v>
      </c>
      <c r="D194" s="22" t="s">
        <v>6588</v>
      </c>
      <c r="E194" s="22" t="s">
        <v>6589</v>
      </c>
      <c r="F194" s="23"/>
      <c r="G194" s="23"/>
      <c r="H194" s="22">
        <v>1941.0</v>
      </c>
      <c r="I194" s="28"/>
      <c r="J194" s="28" t="s">
        <v>5766</v>
      </c>
      <c r="K194" s="28" t="s">
        <v>5463</v>
      </c>
      <c r="L194" s="28" t="s">
        <v>5165</v>
      </c>
      <c r="M194" s="29" t="s">
        <v>6590</v>
      </c>
      <c r="N194" s="61">
        <v>45729.51111111111</v>
      </c>
      <c r="O194" s="25">
        <v>39495.0</v>
      </c>
      <c r="P194" s="28">
        <f t="shared" si="11"/>
        <v>18</v>
      </c>
      <c r="Q194" s="62" t="s">
        <v>240</v>
      </c>
      <c r="R194" s="22" t="s">
        <v>6591</v>
      </c>
      <c r="S194" s="28">
        <v>7.0</v>
      </c>
      <c r="T194" s="28">
        <v>12.0</v>
      </c>
      <c r="U194" s="28">
        <v>37.0</v>
      </c>
      <c r="V194" s="28">
        <v>1.0</v>
      </c>
      <c r="W194" s="28" t="s">
        <v>271</v>
      </c>
      <c r="X194" s="28" t="s">
        <v>272</v>
      </c>
      <c r="Y194" s="22" t="s">
        <v>6592</v>
      </c>
      <c r="Z194" s="22" t="s">
        <v>5365</v>
      </c>
      <c r="AA194" s="28" t="s">
        <v>5366</v>
      </c>
      <c r="AB194" s="28">
        <v>26.0</v>
      </c>
      <c r="AC194" s="28" t="s">
        <v>23</v>
      </c>
      <c r="AD194" s="23"/>
      <c r="AE194" s="28" t="s">
        <v>19</v>
      </c>
      <c r="AF194" s="23"/>
      <c r="AG194" s="23"/>
      <c r="AH194" s="23" t="str">
        <f>IFERROR(__xludf.DUMMYFUNCTION("IF(
ISNUMBER(MATCH(
C194,
IMPORTRANGE(""https://docs.google.com/spreadsheets/d/1yTh1ELC33JHYOeEdgIiEclxPRyh0zOKtlawDltfUay8"",""'Interns'!A:A""),
0
)),
""Outreach Conducted"",
"""")"),"")</f>
        <v/>
      </c>
      <c r="AI194" s="23"/>
      <c r="AJ194" s="23"/>
      <c r="AK194" s="23"/>
      <c r="AL194" s="23" t="str">
        <f>IFERROR(__xludf.DUMMYFUNCTION("XLOOKUP(C194, 
   IMPORTRANGE(""1RdEdgHYrZ33LJ7RUHj_h-qkAFL92bcVjtIdVa-UlsCw"", ""Interns!D:D""), 
   IMPORTRANGE(""1RdEdgHYrZ33LJ7RUHj_h-qkAFL92bcVjtIdVa-UlsCw"", ""Interns!N:N""), 
   ""Not Found"")"),"#Cheers4Careers")</f>
        <v>#Cheers4Careers</v>
      </c>
      <c r="AM194" s="23" t="str">
        <f>IFERROR(__xludf.DUMMYFUNCTION("XLOOKUP(C194, 
   IMPORTRANGE(""1RdEdgHYrZ33LJ7RUHj_h-qkAFL92bcVjtIdVa-UlsCw"", ""Interns!D:D""), 
   IMPORTRANGE(""1RdEdgHYrZ33LJ7RUHj_h-qkAFL92bcVjtIdVa-UlsCw"", ""Interns!O:O""), 
   ""Not Found"")"),"Hetal reached out March 27 for March #Cheers4 Careers ")</f>
        <v>Hetal reached out March 27 for March #Cheers4 Careers </v>
      </c>
      <c r="AN194" s="23"/>
      <c r="AO194" s="23" t="s">
        <v>6593</v>
      </c>
      <c r="AP194" s="28" t="s">
        <v>6594</v>
      </c>
      <c r="AQ194" s="28" t="s">
        <v>6590</v>
      </c>
      <c r="AR194" s="23" t="s">
        <v>6592</v>
      </c>
      <c r="AS194" s="23"/>
      <c r="AT194" s="23"/>
      <c r="AU194" s="23"/>
      <c r="AV194" s="23"/>
    </row>
    <row r="195">
      <c r="A195" s="28" t="s">
        <v>5161</v>
      </c>
      <c r="B195" s="28" t="s">
        <v>5162</v>
      </c>
      <c r="C195" s="23" t="str">
        <f t="shared" si="1"/>
        <v>Valentina Guerrero</v>
      </c>
      <c r="D195" s="28" t="s">
        <v>3440</v>
      </c>
      <c r="E195" s="28" t="s">
        <v>2134</v>
      </c>
      <c r="F195" s="23">
        <f t="array" ref="F195">IFERROR(
    INDEX('Hub Interns 226'!A:A, MATCH(C195, 'Hub Interns 226'!B:B, 0)),"")</f>
        <v>1165</v>
      </c>
      <c r="G195" s="23">
        <f t="array" ref="G195">IFERROR(
    INDEX('Hub Users 226'!A:A, MATCH(C195, 'Hub Users 226'!B:B, 0)),"")</f>
        <v>1598</v>
      </c>
      <c r="H195" s="28">
        <v>554.0</v>
      </c>
      <c r="I195" s="28" t="s">
        <v>260</v>
      </c>
      <c r="J195" s="28" t="s">
        <v>5766</v>
      </c>
      <c r="K195" s="28" t="s">
        <v>5463</v>
      </c>
      <c r="L195" s="28" t="s">
        <v>5196</v>
      </c>
      <c r="M195" s="56" t="s">
        <v>6595</v>
      </c>
      <c r="N195" s="57">
        <v>44477.5625</v>
      </c>
      <c r="O195" s="58">
        <v>38074.0</v>
      </c>
      <c r="P195" s="28">
        <f t="shared" si="11"/>
        <v>22</v>
      </c>
      <c r="Q195" s="28" t="s">
        <v>240</v>
      </c>
      <c r="R195" s="28" t="s">
        <v>6596</v>
      </c>
      <c r="S195" s="28">
        <v>14.0</v>
      </c>
      <c r="T195" s="28">
        <v>11.0</v>
      </c>
      <c r="U195" s="28">
        <v>27.0</v>
      </c>
      <c r="V195" s="28">
        <v>19.0</v>
      </c>
      <c r="W195" s="28" t="s">
        <v>1173</v>
      </c>
      <c r="X195" s="28" t="s">
        <v>272</v>
      </c>
      <c r="Y195" s="28" t="s">
        <v>6597</v>
      </c>
      <c r="Z195" s="28" t="s">
        <v>5189</v>
      </c>
      <c r="AA195" s="28" t="s">
        <v>619</v>
      </c>
      <c r="AB195" s="28">
        <v>20.0</v>
      </c>
      <c r="AC195" s="28" t="s">
        <v>25</v>
      </c>
      <c r="AD195" s="23"/>
      <c r="AE195" s="28" t="s">
        <v>10</v>
      </c>
      <c r="AF195" s="23" t="str">
        <f>IFERROR(__xludf.DUMMYFUNCTION("TEXTJOIN("", "", TRUE,
  FILTER(Champions!C:C,
    ISNUMBER(SEARCH(C195, Champions!W:W))
  )
)"),"Erycka Montoya, Sandra Llontop")</f>
        <v>Erycka Montoya, Sandra Llontop</v>
      </c>
      <c r="AG195" s="23"/>
      <c r="AH195" s="23" t="str">
        <f>IFERROR(__xludf.DUMMYFUNCTION("IF(
ISNUMBER(MATCH(
C195,
IMPORTRANGE(""https://docs.google.com/spreadsheets/d/1yTh1ELC33JHYOeEdgIiEclxPRyh0zOKtlawDltfUay8"",""'Interns'!A:A""),
0
)),
""Outreach Conducted"",
"""")"),"")</f>
        <v/>
      </c>
      <c r="AI195" s="23"/>
      <c r="AJ195" s="23"/>
      <c r="AK195" s="23" t="str">
        <f>IFERROR(__xludf.DUMMYFUNCTION("XLOOKUP(C195, 
   IMPORTRANGE(""1RdEdgHYrZ33LJ7RUHj_h-qkAFL92bcVjtIdVa-UlsCw"", ""Interns!D:D""), 
   IMPORTRANGE(""1RdEdgHYrZ33LJ7RUHj_h-qkAFL92bcVjtIdVa-UlsCw"", ""Interns!M:M""), 
   ""Not Found"")"),"Contacted")</f>
        <v>Contacted</v>
      </c>
      <c r="AL195" s="23" t="str">
        <f>IFERROR(__xludf.DUMMYFUNCTION("XLOOKUP(C195, 
   IMPORTRANGE(""1RdEdgHYrZ33LJ7RUHj_h-qkAFL92bcVjtIdVa-UlsCw"", ""Interns!D:D""), 
   IMPORTRANGE(""1RdEdgHYrZ33LJ7RUHj_h-qkAFL92bcVjtIdVa-UlsCw"", ""Interns!N:N""), 
   ""Not Found"")"),"#Cheers4Careers")</f>
        <v>#Cheers4Careers</v>
      </c>
      <c r="AM195" s="23" t="str">
        <f>IFERROR(__xludf.DUMMYFUNCTION("XLOOKUP(C195, 
   IMPORTRANGE(""1RdEdgHYrZ33LJ7RUHj_h-qkAFL92bcVjtIdVa-UlsCw"", ""Interns!D:D""), 
   IMPORTRANGE(""1RdEdgHYrZ33LJ7RUHj_h-qkAFL92bcVjtIdVa-UlsCw"", ""Interns!O:O""), 
   ""Not Found"")"),"Hetal reached out by email 3/27 followed by text")</f>
        <v>Hetal reached out by email 3/27 followed by text</v>
      </c>
      <c r="AN195" s="23"/>
      <c r="AO195" s="23" t="s">
        <v>6598</v>
      </c>
      <c r="AP195" s="28" t="s">
        <v>5182</v>
      </c>
      <c r="AQ195" s="28" t="s">
        <v>6599</v>
      </c>
      <c r="AR195" s="23" t="s">
        <v>6600</v>
      </c>
      <c r="AS195" s="23"/>
      <c r="AT195" s="23"/>
      <c r="AU195" s="23"/>
      <c r="AV195" s="23"/>
    </row>
    <row r="196">
      <c r="A196" s="28" t="s">
        <v>5161</v>
      </c>
      <c r="B196" s="28" t="s">
        <v>5162</v>
      </c>
      <c r="C196" s="23" t="str">
        <f t="shared" si="1"/>
        <v>Samira Vivas</v>
      </c>
      <c r="D196" s="28" t="s">
        <v>6601</v>
      </c>
      <c r="E196" s="28" t="s">
        <v>6602</v>
      </c>
      <c r="F196" s="23">
        <f t="array" ref="F196">IFERROR(
    INDEX('Hub Interns 226'!A:A, MATCH(C196, 'Hub Interns 226'!B:B, 0)),"")</f>
        <v>65</v>
      </c>
      <c r="G196" s="23">
        <f t="array" ref="G196">IFERROR(
    INDEX('Hub Users 226'!A:A, MATCH(C196, 'Hub Users 226'!B:B, 0)),"")</f>
        <v>498</v>
      </c>
      <c r="H196" s="28">
        <v>751.0</v>
      </c>
      <c r="I196" s="28" t="s">
        <v>260</v>
      </c>
      <c r="J196" s="28" t="s">
        <v>5766</v>
      </c>
      <c r="K196" s="28" t="s">
        <v>5463</v>
      </c>
      <c r="L196" s="28" t="s">
        <v>5196</v>
      </c>
      <c r="M196" s="56" t="s">
        <v>6603</v>
      </c>
      <c r="N196" s="59">
        <v>44551.569444444445</v>
      </c>
      <c r="O196" s="58">
        <v>38156.0</v>
      </c>
      <c r="P196" s="28">
        <f t="shared" si="11"/>
        <v>21</v>
      </c>
      <c r="Q196" s="28" t="s">
        <v>240</v>
      </c>
      <c r="R196" s="28" t="s">
        <v>6604</v>
      </c>
      <c r="S196" s="28">
        <v>13.0</v>
      </c>
      <c r="T196" s="28">
        <v>29.0</v>
      </c>
      <c r="U196" s="28">
        <v>68.0</v>
      </c>
      <c r="V196" s="28">
        <v>9.0</v>
      </c>
      <c r="W196" s="28" t="s">
        <v>271</v>
      </c>
      <c r="X196" s="28" t="s">
        <v>272</v>
      </c>
      <c r="Y196" s="28" t="s">
        <v>6605</v>
      </c>
      <c r="Z196" s="28" t="s">
        <v>5259</v>
      </c>
      <c r="AA196" s="28" t="s">
        <v>704</v>
      </c>
      <c r="AB196" s="28">
        <v>2.0</v>
      </c>
      <c r="AC196" s="28" t="s">
        <v>25</v>
      </c>
      <c r="AD196" s="23"/>
      <c r="AE196" s="28" t="s">
        <v>10</v>
      </c>
      <c r="AF196" s="23" t="str">
        <f>IFERROR(__xludf.DUMMYFUNCTION("TEXTJOIN("", "", TRUE,
  FILTER(Champions!C:C,
    ISNUMBER(SEARCH(C196, Champions!W:W))
  )
)"),"Elise George, Golnaz Agahi")</f>
        <v>Elise George, Golnaz Agahi</v>
      </c>
      <c r="AG196" s="23"/>
      <c r="AH196" s="23" t="str">
        <f>IFERROR(__xludf.DUMMYFUNCTION("IF(
ISNUMBER(MATCH(
C196,
IMPORTRANGE(""https://docs.google.com/spreadsheets/d/1yTh1ELC33JHYOeEdgIiEclxPRyh0zOKtlawDltfUay8"",""'Interns'!A:A""),
0
)),
""Outreach Conducted"",
"""")"),"")</f>
        <v/>
      </c>
      <c r="AI196" s="23"/>
      <c r="AJ196" s="23"/>
      <c r="AK196" s="23" t="str">
        <f>IFERROR(__xludf.DUMMYFUNCTION("XLOOKUP(C196, 
   IMPORTRANGE(""1RdEdgHYrZ33LJ7RUHj_h-qkAFL92bcVjtIdVa-UlsCw"", ""Interns!D:D""), 
   IMPORTRANGE(""1RdEdgHYrZ33LJ7RUHj_h-qkAFL92bcVjtIdVa-UlsCw"", ""Interns!M:M""), 
   ""Not Found"")"),"Contacted")</f>
        <v>Contacted</v>
      </c>
      <c r="AL196" s="23" t="str">
        <f>IFERROR(__xludf.DUMMYFUNCTION("XLOOKUP(C196, 
   IMPORTRANGE(""1RdEdgHYrZ33LJ7RUHj_h-qkAFL92bcVjtIdVa-UlsCw"", ""Interns!D:D""), 
   IMPORTRANGE(""1RdEdgHYrZ33LJ7RUHj_h-qkAFL92bcVjtIdVa-UlsCw"", ""Interns!N:N""), 
   ""Not Found"")"),"#Cheers4Careers")</f>
        <v>#Cheers4Careers</v>
      </c>
      <c r="AM196" s="23" t="str">
        <f>IFERROR(__xludf.DUMMYFUNCTION("XLOOKUP(C196, 
   IMPORTRANGE(""1RdEdgHYrZ33LJ7RUHj_h-qkAFL92bcVjtIdVa-UlsCw"", ""Interns!D:D""), 
   IMPORTRANGE(""1RdEdgHYrZ33LJ7RUHj_h-qkAFL92bcVjtIdVa-UlsCw"", ""Interns!O:O""), 
   ""Not Found"")"),"Ousmane reached out by email 3/26 and reach out by text 3/28")</f>
        <v>Ousmane reached out by email 3/26 and reach out by text 3/28</v>
      </c>
      <c r="AN196" s="23"/>
      <c r="AO196" s="23" t="s">
        <v>6606</v>
      </c>
      <c r="AP196" s="28" t="s">
        <v>5191</v>
      </c>
      <c r="AQ196" s="28" t="s">
        <v>6607</v>
      </c>
      <c r="AR196" s="23" t="s">
        <v>6608</v>
      </c>
      <c r="AS196" s="23"/>
      <c r="AT196" s="23"/>
      <c r="AU196" s="23"/>
      <c r="AV196" s="23"/>
    </row>
    <row r="197">
      <c r="A197" s="28" t="s">
        <v>5161</v>
      </c>
      <c r="B197" s="28" t="s">
        <v>5162</v>
      </c>
      <c r="C197" s="23" t="str">
        <f t="shared" si="1"/>
        <v>Brenda Lara Mendoza</v>
      </c>
      <c r="D197" s="28" t="s">
        <v>738</v>
      </c>
      <c r="E197" s="28" t="s">
        <v>6609</v>
      </c>
      <c r="F197" s="23">
        <f t="array" ref="F197">IFERROR(
    INDEX('Hub Interns 226'!A:A, MATCH(C197, 'Hub Interns 226'!B:B, 0)),"")</f>
        <v>1437</v>
      </c>
      <c r="G197" s="23">
        <f t="array" ref="G197">IFERROR(
    INDEX('Hub Users 226'!A:A, MATCH(C197, 'Hub Users 226'!B:B, 0)),"")</f>
        <v>1998</v>
      </c>
      <c r="H197" s="28">
        <v>1823.0</v>
      </c>
      <c r="I197" s="28" t="s">
        <v>290</v>
      </c>
      <c r="J197" s="28" t="s">
        <v>5766</v>
      </c>
      <c r="K197" s="28" t="s">
        <v>5463</v>
      </c>
      <c r="L197" s="28" t="s">
        <v>5196</v>
      </c>
      <c r="M197" s="56" t="s">
        <v>6610</v>
      </c>
      <c r="N197" s="57">
        <v>45419.59097222222</v>
      </c>
      <c r="O197" s="58">
        <v>36572.0</v>
      </c>
      <c r="P197" s="28">
        <f t="shared" si="11"/>
        <v>26</v>
      </c>
      <c r="Q197" s="28" t="s">
        <v>240</v>
      </c>
      <c r="R197" s="28" t="s">
        <v>6611</v>
      </c>
      <c r="S197" s="28">
        <v>14.0</v>
      </c>
      <c r="T197" s="28">
        <v>11.0</v>
      </c>
      <c r="U197" s="28">
        <v>27.0</v>
      </c>
      <c r="V197" s="28">
        <v>19.0</v>
      </c>
      <c r="W197" s="28" t="s">
        <v>1173</v>
      </c>
      <c r="X197" s="28" t="s">
        <v>272</v>
      </c>
      <c r="Y197" s="28">
        <v>9.298990771E9</v>
      </c>
      <c r="Z197" s="23"/>
      <c r="AA197" s="23"/>
      <c r="AB197" s="23"/>
      <c r="AC197" s="28" t="s">
        <v>25</v>
      </c>
      <c r="AD197" s="23"/>
      <c r="AE197" s="28" t="s">
        <v>18</v>
      </c>
      <c r="AF197" s="23" t="str">
        <f>IFERROR(__xludf.DUMMYFUNCTION("TEXTJOIN("", "", TRUE,
  FILTER(Champions!C:C,
    ISNUMBER(SEARCH(C197, Champions!W:W))
  )
)"),"Esteban Proaño")</f>
        <v>Esteban Proaño</v>
      </c>
      <c r="AG197" s="26" t="s">
        <v>6612</v>
      </c>
      <c r="AH197" s="23" t="str">
        <f>IFERROR(__xludf.DUMMYFUNCTION("IF(
ISNUMBER(MATCH(
C197,
IMPORTRANGE(""https://docs.google.com/spreadsheets/d/1yTh1ELC33JHYOeEdgIiEclxPRyh0zOKtlawDltfUay8"",""'Interns'!A:A""),
0
)),
""Outreach Conducted"",
"""")"),"")</f>
        <v/>
      </c>
      <c r="AI197" s="23"/>
      <c r="AJ197" s="23"/>
      <c r="AK197" s="23" t="str">
        <f>IFERROR(__xludf.DUMMYFUNCTION("XLOOKUP(C197, 
   IMPORTRANGE(""1RdEdgHYrZ33LJ7RUHj_h-qkAFL92bcVjtIdVa-UlsCw"", ""Interns!D:D""), 
   IMPORTRANGE(""1RdEdgHYrZ33LJ7RUHj_h-qkAFL92bcVjtIdVa-UlsCw"", ""Interns!M:M""), 
   ""Not Found"")"),"")</f>
        <v/>
      </c>
      <c r="AL197" s="23" t="str">
        <f>IFERROR(__xludf.DUMMYFUNCTION("XLOOKUP(C197, 
   IMPORTRANGE(""1RdEdgHYrZ33LJ7RUHj_h-qkAFL92bcVjtIdVa-UlsCw"", ""Interns!D:D""), 
   IMPORTRANGE(""1RdEdgHYrZ33LJ7RUHj_h-qkAFL92bcVjtIdVa-UlsCw"", ""Interns!N:N""), 
   ""Not Found"")"),"")</f>
        <v/>
      </c>
      <c r="AM197" s="23" t="str">
        <f>IFERROR(__xludf.DUMMYFUNCTION("XLOOKUP(C197, 
   IMPORTRANGE(""1RdEdgHYrZ33LJ7RUHj_h-qkAFL92bcVjtIdVa-UlsCw"", ""Interns!D:D""), 
   IMPORTRANGE(""1RdEdgHYrZ33LJ7RUHj_h-qkAFL92bcVjtIdVa-UlsCw"", ""Interns!O:O""), 
   ""Not Found"")"),"")</f>
        <v/>
      </c>
      <c r="AN197" s="23"/>
      <c r="AO197" s="23" t="s">
        <v>6613</v>
      </c>
      <c r="AP197" s="28" t="s">
        <v>5182</v>
      </c>
      <c r="AQ197" s="28" t="s">
        <v>6614</v>
      </c>
      <c r="AR197" s="23">
        <v>3.473378658E9</v>
      </c>
      <c r="AS197" s="23"/>
      <c r="AT197" s="23"/>
      <c r="AU197" s="23"/>
      <c r="AV197" s="23"/>
    </row>
    <row r="198">
      <c r="A198" s="28" t="s">
        <v>5202</v>
      </c>
      <c r="B198" s="28" t="s">
        <v>5162</v>
      </c>
      <c r="C198" s="23" t="str">
        <f t="shared" si="1"/>
        <v>Oskarina Cepeda</v>
      </c>
      <c r="D198" s="28" t="s">
        <v>6615</v>
      </c>
      <c r="E198" s="28" t="s">
        <v>6616</v>
      </c>
      <c r="F198" s="23">
        <f t="array" ref="F198">IFERROR(
    INDEX('Hub Interns 226'!A:A, MATCH(C198, 'Hub Interns 226'!B:B, 0)),"")</f>
        <v>348</v>
      </c>
      <c r="G198" s="23">
        <f t="array" ref="G198">IFERROR(
    INDEX('Hub Users 226'!A:A, MATCH(C198, 'Hub Users 226'!B:B, 0)),"")</f>
        <v>781</v>
      </c>
      <c r="H198" s="28">
        <v>266.0</v>
      </c>
      <c r="I198" s="28" t="s">
        <v>260</v>
      </c>
      <c r="J198" s="28" t="s">
        <v>5336</v>
      </c>
      <c r="K198" s="28" t="s">
        <v>5177</v>
      </c>
      <c r="L198" s="28" t="s">
        <v>5196</v>
      </c>
      <c r="M198" s="56" t="s">
        <v>6617</v>
      </c>
      <c r="N198" s="57">
        <v>44207.424305555556</v>
      </c>
      <c r="O198" s="58">
        <v>38481.0</v>
      </c>
      <c r="P198" s="28">
        <f t="shared" si="11"/>
        <v>21</v>
      </c>
      <c r="Q198" s="28" t="s">
        <v>6618</v>
      </c>
      <c r="R198" s="28" t="s">
        <v>6619</v>
      </c>
      <c r="S198" s="28">
        <v>15.0</v>
      </c>
      <c r="T198" s="28">
        <v>32.0</v>
      </c>
      <c r="U198" s="28">
        <v>77.0</v>
      </c>
      <c r="V198" s="28">
        <v>16.0</v>
      </c>
      <c r="W198" s="28" t="s">
        <v>859</v>
      </c>
      <c r="X198" s="28" t="s">
        <v>272</v>
      </c>
      <c r="Y198" s="23"/>
      <c r="Z198" s="28" t="s">
        <v>5918</v>
      </c>
      <c r="AA198" s="28" t="s">
        <v>477</v>
      </c>
      <c r="AB198" s="28">
        <v>15.0</v>
      </c>
      <c r="AC198" s="28" t="s">
        <v>25</v>
      </c>
      <c r="AD198" s="23"/>
      <c r="AE198" s="28" t="s">
        <v>8</v>
      </c>
      <c r="AF198" s="23" t="str">
        <f>IFERROR(__xludf.DUMMYFUNCTION("TEXTJOIN("", "", TRUE,
  FILTER(Champions!C:C,
    ISNUMBER(SEARCH(C198, Champions!W:W))
  )
)"),"Sara Benavent, Mariann Melicharek Kessler")</f>
        <v>Sara Benavent, Mariann Melicharek Kessler</v>
      </c>
      <c r="AG198" s="23"/>
      <c r="AH198" s="23" t="str">
        <f>IFERROR(__xludf.DUMMYFUNCTION("IF(
ISNUMBER(MATCH(
C198,
IMPORTRANGE(""https://docs.google.com/spreadsheets/d/1yTh1ELC33JHYOeEdgIiEclxPRyh0zOKtlawDltfUay8"",""'Interns'!A:A""),
0
)),
""Outreach Conducted"",
"""")"),"")</f>
        <v/>
      </c>
      <c r="AI198" s="23"/>
      <c r="AJ198" s="23"/>
      <c r="AK198" s="23" t="str">
        <f>IFERROR(__xludf.DUMMYFUNCTION("XLOOKUP(C198, 
   IMPORTRANGE(""1RdEdgHYrZ33LJ7RUHj_h-qkAFL92bcVjtIdVa-UlsCw"", ""Interns!D:D""), 
   IMPORTRANGE(""1RdEdgHYrZ33LJ7RUHj_h-qkAFL92bcVjtIdVa-UlsCw"", ""Interns!M:M""), 
   ""Not Found"")"),"")</f>
        <v/>
      </c>
      <c r="AL198" s="23" t="str">
        <f>IFERROR(__xludf.DUMMYFUNCTION("XLOOKUP(C198, 
   IMPORTRANGE(""1RdEdgHYrZ33LJ7RUHj_h-qkAFL92bcVjtIdVa-UlsCw"", ""Interns!D:D""), 
   IMPORTRANGE(""1RdEdgHYrZ33LJ7RUHj_h-qkAFL92bcVjtIdVa-UlsCw"", ""Interns!N:N""), 
   ""Not Found"")"),"")</f>
        <v/>
      </c>
      <c r="AM198" s="23" t="str">
        <f>IFERROR(__xludf.DUMMYFUNCTION("XLOOKUP(C198, 
   IMPORTRANGE(""1RdEdgHYrZ33LJ7RUHj_h-qkAFL92bcVjtIdVa-UlsCw"", ""Interns!D:D""), 
   IMPORTRANGE(""1RdEdgHYrZ33LJ7RUHj_h-qkAFL92bcVjtIdVa-UlsCw"", ""Interns!O:O""), 
   ""Not Found"")"),"")</f>
        <v/>
      </c>
      <c r="AN198" s="23"/>
      <c r="AO198" s="23" t="s">
        <v>6620</v>
      </c>
      <c r="AP198" s="28" t="s">
        <v>5191</v>
      </c>
      <c r="AQ198" s="28" t="s">
        <v>6621</v>
      </c>
      <c r="AR198" s="23">
        <v>9.293628146E9</v>
      </c>
      <c r="AS198" s="23"/>
      <c r="AT198" s="23"/>
      <c r="AU198" s="23"/>
      <c r="AV198" s="23"/>
    </row>
    <row r="199">
      <c r="A199" s="28" t="s">
        <v>5161</v>
      </c>
      <c r="B199" s="28" t="s">
        <v>5162</v>
      </c>
      <c r="C199" s="23" t="str">
        <f t="shared" si="1"/>
        <v>Erick Buitrago</v>
      </c>
      <c r="D199" s="28" t="s">
        <v>6622</v>
      </c>
      <c r="E199" s="28" t="s">
        <v>6623</v>
      </c>
      <c r="F199" s="23">
        <f t="array" ref="F199">IFERROR(
    INDEX('Hub Interns 226'!A:A, MATCH(C199, 'Hub Interns 226'!B:B, 0)),"")</f>
        <v>495</v>
      </c>
      <c r="G199" s="23">
        <f t="array" ref="G199">IFERROR(
    INDEX('Hub Users 226'!A:A, MATCH(C199, 'Hub Users 226'!B:B, 0)),"")</f>
        <v>928</v>
      </c>
      <c r="H199" s="28">
        <v>556.0</v>
      </c>
      <c r="I199" s="28" t="s">
        <v>290</v>
      </c>
      <c r="J199" s="28" t="s">
        <v>5766</v>
      </c>
      <c r="K199" s="28" t="s">
        <v>5463</v>
      </c>
      <c r="L199" s="28" t="s">
        <v>5165</v>
      </c>
      <c r="M199" s="56" t="s">
        <v>6624</v>
      </c>
      <c r="N199" s="57">
        <v>44477.59930555556</v>
      </c>
      <c r="O199" s="58">
        <v>38436.0</v>
      </c>
      <c r="P199" s="28">
        <f t="shared" si="11"/>
        <v>21</v>
      </c>
      <c r="Q199" s="28" t="s">
        <v>240</v>
      </c>
      <c r="R199" s="28" t="s">
        <v>6625</v>
      </c>
      <c r="S199" s="28">
        <v>14.0</v>
      </c>
      <c r="T199" s="28">
        <v>11.0</v>
      </c>
      <c r="U199" s="28">
        <v>27.0</v>
      </c>
      <c r="V199" s="28">
        <v>19.0</v>
      </c>
      <c r="W199" s="28" t="s">
        <v>1173</v>
      </c>
      <c r="X199" s="28" t="s">
        <v>272</v>
      </c>
      <c r="Y199" s="28" t="s">
        <v>6626</v>
      </c>
      <c r="Z199" s="28" t="s">
        <v>5189</v>
      </c>
      <c r="AA199" s="28" t="s">
        <v>619</v>
      </c>
      <c r="AB199" s="28">
        <v>20.0</v>
      </c>
      <c r="AC199" s="28" t="s">
        <v>25</v>
      </c>
      <c r="AD199" s="23"/>
      <c r="AE199" s="28" t="s">
        <v>10</v>
      </c>
      <c r="AF199" s="23" t="str">
        <f>IFERROR(__xludf.DUMMYFUNCTION("TEXTJOIN("", "", TRUE,
  FILTER(Champions!C:C,
    ISNUMBER(SEARCH(C199, Champions!W:W))
  )
)"),"Romina Tome, Lizbeth Álvarez")</f>
        <v>Romina Tome, Lizbeth Álvarez</v>
      </c>
      <c r="AG199" s="23"/>
      <c r="AH199" s="23" t="str">
        <f>IFERROR(__xludf.DUMMYFUNCTION("IF(
ISNUMBER(MATCH(
C199,
IMPORTRANGE(""https://docs.google.com/spreadsheets/d/1yTh1ELC33JHYOeEdgIiEclxPRyh0zOKtlawDltfUay8"",""'Interns'!A:A""),
0
)),
""Outreach Conducted"",
"""")"),"")</f>
        <v/>
      </c>
      <c r="AI199" s="23"/>
      <c r="AJ199" s="23"/>
      <c r="AK199" s="23" t="str">
        <f>IFERROR(__xludf.DUMMYFUNCTION("XLOOKUP(C199, 
   IMPORTRANGE(""1RdEdgHYrZ33LJ7RUHj_h-qkAFL92bcVjtIdVa-UlsCw"", ""Interns!D:D""), 
   IMPORTRANGE(""1RdEdgHYrZ33LJ7RUHj_h-qkAFL92bcVjtIdVa-UlsCw"", ""Interns!M:M""), 
   ""Not Found"")"),"Contacted")</f>
        <v>Contacted</v>
      </c>
      <c r="AL199" s="23" t="str">
        <f>IFERROR(__xludf.DUMMYFUNCTION("XLOOKUP(C199, 
   IMPORTRANGE(""1RdEdgHYrZ33LJ7RUHj_h-qkAFL92bcVjtIdVa-UlsCw"", ""Interns!D:D""), 
   IMPORTRANGE(""1RdEdgHYrZ33LJ7RUHj_h-qkAFL92bcVjtIdVa-UlsCw"", ""Interns!N:N""), 
   ""Not Found"")"),"#Cheers4Careers")</f>
        <v>#Cheers4Careers</v>
      </c>
      <c r="AM199" s="23" t="str">
        <f>IFERROR(__xludf.DUMMYFUNCTION("XLOOKUP(C199, 
   IMPORTRANGE(""1RdEdgHYrZ33LJ7RUHj_h-qkAFL92bcVjtIdVa-UlsCw"", ""Interns!D:D""), 
   IMPORTRANGE(""1RdEdgHYrZ33LJ7RUHj_h-qkAFL92bcVjtIdVa-UlsCw"", ""Interns!O:O""), 
   ""Not Found"")"),"Hetal reached out by email 3/27 followed by text")</f>
        <v>Hetal reached out by email 3/27 followed by text</v>
      </c>
      <c r="AN199" s="23"/>
      <c r="AO199" s="23" t="s">
        <v>6627</v>
      </c>
      <c r="AP199" s="28" t="s">
        <v>5182</v>
      </c>
      <c r="AQ199" s="28" t="s">
        <v>6628</v>
      </c>
      <c r="AR199" s="23" t="s">
        <v>6629</v>
      </c>
      <c r="AS199" s="23"/>
      <c r="AT199" s="23"/>
      <c r="AU199" s="23"/>
      <c r="AV199" s="23"/>
    </row>
    <row r="200">
      <c r="A200" s="28" t="s">
        <v>5161</v>
      </c>
      <c r="B200" s="28" t="s">
        <v>5162</v>
      </c>
      <c r="C200" s="23" t="str">
        <f t="shared" si="1"/>
        <v>Julian Duarte</v>
      </c>
      <c r="D200" s="28" t="s">
        <v>6630</v>
      </c>
      <c r="E200" s="28" t="s">
        <v>1698</v>
      </c>
      <c r="F200" s="23">
        <f t="array" ref="F200">IFERROR(
    INDEX('Hub Interns 226'!A:A, MATCH(C200, 'Hub Interns 226'!B:B, 0)),"")</f>
        <v>645</v>
      </c>
      <c r="G200" s="23">
        <f t="array" ref="G200">IFERROR(
    INDEX('Hub Users 226'!A:A, MATCH(C200, 'Hub Users 226'!B:B, 0)),"")</f>
        <v>1078</v>
      </c>
      <c r="H200" s="28">
        <v>1459.0</v>
      </c>
      <c r="I200" s="28" t="s">
        <v>260</v>
      </c>
      <c r="J200" s="28" t="s">
        <v>5766</v>
      </c>
      <c r="K200" s="28" t="s">
        <v>5463</v>
      </c>
      <c r="L200" s="28" t="s">
        <v>5165</v>
      </c>
      <c r="M200" s="56" t="s">
        <v>6631</v>
      </c>
      <c r="N200" s="57">
        <v>44935.60555555556</v>
      </c>
      <c r="O200" s="58">
        <v>39350.0</v>
      </c>
      <c r="P200" s="28">
        <f t="shared" si="11"/>
        <v>18</v>
      </c>
      <c r="Q200" s="28" t="s">
        <v>6632</v>
      </c>
      <c r="R200" s="28" t="s">
        <v>6633</v>
      </c>
      <c r="S200" s="28">
        <v>15.0</v>
      </c>
      <c r="T200" s="28">
        <v>32.0</v>
      </c>
      <c r="U200" s="28">
        <v>86.0</v>
      </c>
      <c r="V200" s="28">
        <v>15.0</v>
      </c>
      <c r="W200" s="28" t="s">
        <v>859</v>
      </c>
      <c r="X200" s="28" t="s">
        <v>272</v>
      </c>
      <c r="Y200" s="28" t="s">
        <v>6634</v>
      </c>
      <c r="Z200" s="28" t="s">
        <v>5918</v>
      </c>
      <c r="AA200" s="28" t="s">
        <v>477</v>
      </c>
      <c r="AB200" s="28">
        <v>15.0</v>
      </c>
      <c r="AC200" s="28" t="s">
        <v>25</v>
      </c>
      <c r="AD200" s="28" t="s">
        <v>101</v>
      </c>
      <c r="AE200" s="28" t="s">
        <v>17</v>
      </c>
      <c r="AF200" s="23" t="str">
        <f>IFERROR(__xludf.DUMMYFUNCTION("TEXTJOIN("", "", TRUE,
  FILTER(Champions!C:C,
    ISNUMBER(SEARCH(C200, Champions!W:W))
  )
)"),"AUGUSTO SALCEDO, Divya Padgaonkar, Luz Santana, Maria Graciela Burn, Esteban Proaño")</f>
        <v>AUGUSTO SALCEDO, Divya Padgaonkar, Luz Santana, Maria Graciela Burn, Esteban Proaño</v>
      </c>
      <c r="AG200" s="23"/>
      <c r="AH200" s="23" t="str">
        <f>IFERROR(__xludf.DUMMYFUNCTION("IF(
ISNUMBER(MATCH(
C200,
IMPORTRANGE(""https://docs.google.com/spreadsheets/d/1yTh1ELC33JHYOeEdgIiEclxPRyh0zOKtlawDltfUay8"",""'Interns'!A:A""),
0
)),
""Outreach Conducted"",
"""")"),"")</f>
        <v/>
      </c>
      <c r="AI200" s="23"/>
      <c r="AJ200" s="23"/>
      <c r="AK200" s="23" t="str">
        <f>IFERROR(__xludf.DUMMYFUNCTION("XLOOKUP(C200, 
   IMPORTRANGE(""1RdEdgHYrZ33LJ7RUHj_h-qkAFL92bcVjtIdVa-UlsCw"", ""Interns!D:D""), 
   IMPORTRANGE(""1RdEdgHYrZ33LJ7RUHj_h-qkAFL92bcVjtIdVa-UlsCw"", ""Interns!M:M""), 
   ""Not Found"")"),"")</f>
        <v/>
      </c>
      <c r="AL200" s="23" t="str">
        <f>IFERROR(__xludf.DUMMYFUNCTION("XLOOKUP(C200, 
   IMPORTRANGE(""1RdEdgHYrZ33LJ7RUHj_h-qkAFL92bcVjtIdVa-UlsCw"", ""Interns!D:D""), 
   IMPORTRANGE(""1RdEdgHYrZ33LJ7RUHj_h-qkAFL92bcVjtIdVa-UlsCw"", ""Interns!N:N""), 
   ""Not Found"")"),"")</f>
        <v/>
      </c>
      <c r="AM200" s="23" t="str">
        <f>IFERROR(__xludf.DUMMYFUNCTION("XLOOKUP(C200, 
   IMPORTRANGE(""1RdEdgHYrZ33LJ7RUHj_h-qkAFL92bcVjtIdVa-UlsCw"", ""Interns!D:D""), 
   IMPORTRANGE(""1RdEdgHYrZ33LJ7RUHj_h-qkAFL92bcVjtIdVa-UlsCw"", ""Interns!O:O""), 
   ""Not Found"")"),"")</f>
        <v/>
      </c>
      <c r="AN200" s="23"/>
      <c r="AO200" s="23" t="s">
        <v>6635</v>
      </c>
      <c r="AP200" s="28" t="s">
        <v>5182</v>
      </c>
      <c r="AQ200" s="28" t="s">
        <v>6636</v>
      </c>
      <c r="AR200" s="23" t="s">
        <v>6634</v>
      </c>
      <c r="AS200" s="23"/>
      <c r="AT200" s="23"/>
      <c r="AU200" s="23"/>
      <c r="AV200" s="23"/>
    </row>
    <row r="201">
      <c r="A201" s="28" t="s">
        <v>5161</v>
      </c>
      <c r="B201" s="28" t="s">
        <v>5162</v>
      </c>
      <c r="C201" s="23" t="str">
        <f t="shared" si="1"/>
        <v>Jesus (Daniel) Leon</v>
      </c>
      <c r="D201" s="28" t="s">
        <v>6637</v>
      </c>
      <c r="E201" s="28" t="s">
        <v>3146</v>
      </c>
      <c r="F201" s="23" t="str">
        <f t="array" ref="F201">IFERROR(
    INDEX('Hub Interns 226'!A:A, MATCH(C201, 'Hub Interns 226'!B:B, 0)),"")</f>
        <v/>
      </c>
      <c r="G201" s="28">
        <v>2214.0</v>
      </c>
      <c r="H201" s="28">
        <v>1873.0</v>
      </c>
      <c r="I201" s="28"/>
      <c r="J201" s="28" t="s">
        <v>5766</v>
      </c>
      <c r="K201" s="28" t="s">
        <v>5463</v>
      </c>
      <c r="L201" s="28" t="s">
        <v>5165</v>
      </c>
      <c r="M201" s="56" t="s">
        <v>6638</v>
      </c>
      <c r="N201" s="62">
        <v>45692.58819444444</v>
      </c>
      <c r="O201" s="58">
        <v>39427.0</v>
      </c>
      <c r="P201" s="28">
        <f t="shared" si="11"/>
        <v>18</v>
      </c>
      <c r="Q201" s="28" t="s">
        <v>6639</v>
      </c>
      <c r="R201" s="28" t="s">
        <v>6640</v>
      </c>
      <c r="S201" s="28">
        <v>10.0</v>
      </c>
      <c r="T201" s="28">
        <v>27.0</v>
      </c>
      <c r="U201" s="28">
        <v>65.0</v>
      </c>
      <c r="V201" s="28">
        <v>2.0</v>
      </c>
      <c r="W201" s="28" t="s">
        <v>271</v>
      </c>
      <c r="X201" s="28" t="s">
        <v>272</v>
      </c>
      <c r="Y201" s="28" t="s">
        <v>6641</v>
      </c>
      <c r="Z201" s="28" t="s">
        <v>5853</v>
      </c>
      <c r="AA201" s="28" t="s">
        <v>704</v>
      </c>
      <c r="AB201" s="28">
        <v>2.0</v>
      </c>
      <c r="AC201" s="28" t="s">
        <v>25</v>
      </c>
      <c r="AD201" s="23"/>
      <c r="AE201" s="28" t="s">
        <v>19</v>
      </c>
      <c r="AF201" s="23" t="str">
        <f>IFERROR(__xludf.DUMMYFUNCTION("TEXTJOIN("", "", TRUE,
  FILTER(Champions!C:C,
    ISNUMBER(SEARCH(C201, Champions!W:W))
  )
)"),"Angelo Rodriguez, Wendy Velasquez Ebanks")</f>
        <v>Angelo Rodriguez, Wendy Velasquez Ebanks</v>
      </c>
      <c r="AG201" s="23"/>
      <c r="AH201" s="23" t="str">
        <f>IFERROR(__xludf.DUMMYFUNCTION("IF(
ISNUMBER(MATCH(
C201,
IMPORTRANGE(""https://docs.google.com/spreadsheets/d/1yTh1ELC33JHYOeEdgIiEclxPRyh0zOKtlawDltfUay8"",""'Interns'!A:A""),
0
)),
""Outreach Conducted"",
"""")"),"")</f>
        <v/>
      </c>
      <c r="AI201" s="23"/>
      <c r="AJ201" s="23"/>
      <c r="AK201" s="23" t="str">
        <f>IFERROR(__xludf.DUMMYFUNCTION("XLOOKUP(C201, 
   IMPORTRANGE(""1RdEdgHYrZ33LJ7RUHj_h-qkAFL92bcVjtIdVa-UlsCw"", ""Interns!D:D""), 
   IMPORTRANGE(""1RdEdgHYrZ33LJ7RUHj_h-qkAFL92bcVjtIdVa-UlsCw"", ""Interns!M:M""), 
   ""Not Found"")"),"Contacted")</f>
        <v>Contacted</v>
      </c>
      <c r="AL201" s="23" t="str">
        <f>IFERROR(__xludf.DUMMYFUNCTION("XLOOKUP(C201, 
   IMPORTRANGE(""1RdEdgHYrZ33LJ7RUHj_h-qkAFL92bcVjtIdVa-UlsCw"", ""Interns!D:D""), 
   IMPORTRANGE(""1RdEdgHYrZ33LJ7RUHj_h-qkAFL92bcVjtIdVa-UlsCw"", ""Interns!N:N""), 
   ""Not Found"")"),"#Cheers4Careers")</f>
        <v>#Cheers4Careers</v>
      </c>
      <c r="AM201" s="23" t="str">
        <f>IFERROR(__xludf.DUMMYFUNCTION("XLOOKUP(C201, 
   IMPORTRANGE(""1RdEdgHYrZ33LJ7RUHj_h-qkAFL92bcVjtIdVa-UlsCw"", ""Interns!D:D""), 
   IMPORTRANGE(""1RdEdgHYrZ33LJ7RUHj_h-qkAFL92bcVjtIdVa-UlsCw"", ""Interns!O:O""), 
   ""Not Found"")"),"Ousmane reached out by email 3/26 and reach out by text 3/28")</f>
        <v>Ousmane reached out by email 3/26 and reach out by text 3/28</v>
      </c>
      <c r="AN201" s="23"/>
      <c r="AO201" s="23" t="s">
        <v>6642</v>
      </c>
      <c r="AP201" s="28" t="s">
        <v>5182</v>
      </c>
      <c r="AQ201" s="28" t="s">
        <v>6643</v>
      </c>
      <c r="AR201" s="23" t="s">
        <v>6644</v>
      </c>
      <c r="AS201" s="23"/>
      <c r="AT201" s="23"/>
      <c r="AU201" s="23"/>
      <c r="AV201" s="23"/>
    </row>
    <row r="202">
      <c r="A202" s="28" t="s">
        <v>5161</v>
      </c>
      <c r="B202" s="28" t="s">
        <v>5162</v>
      </c>
      <c r="C202" s="23" t="str">
        <f t="shared" si="1"/>
        <v>Susana Franco Lopez</v>
      </c>
      <c r="D202" s="28" t="s">
        <v>6645</v>
      </c>
      <c r="E202" s="28" t="s">
        <v>6646</v>
      </c>
      <c r="F202" s="23">
        <f t="array" ref="F202">IFERROR(
    INDEX('Hub Interns 226'!A:A, MATCH(C202, 'Hub Interns 226'!B:B, 0)),"")</f>
        <v>1134</v>
      </c>
      <c r="G202" s="23">
        <f t="array" ref="G202">IFERROR(
    INDEX('Hub Users 226'!A:A, MATCH(C202, 'Hub Users 226'!B:B, 0)),"")</f>
        <v>1567</v>
      </c>
      <c r="H202" s="28">
        <v>512.0</v>
      </c>
      <c r="I202" s="28" t="s">
        <v>425</v>
      </c>
      <c r="J202" s="28" t="s">
        <v>5766</v>
      </c>
      <c r="K202" s="28" t="s">
        <v>5463</v>
      </c>
      <c r="L202" s="28" t="s">
        <v>6647</v>
      </c>
      <c r="M202" s="56" t="s">
        <v>6648</v>
      </c>
      <c r="N202" s="57">
        <v>44476.65069444444</v>
      </c>
      <c r="O202" s="58">
        <v>38472.0</v>
      </c>
      <c r="P202" s="28">
        <f t="shared" si="11"/>
        <v>21</v>
      </c>
      <c r="Q202" s="28" t="s">
        <v>240</v>
      </c>
      <c r="R202" s="28" t="s">
        <v>6649</v>
      </c>
      <c r="S202" s="28">
        <v>14.0</v>
      </c>
      <c r="T202" s="28">
        <v>11.0</v>
      </c>
      <c r="U202" s="28">
        <v>27.0</v>
      </c>
      <c r="V202" s="28">
        <v>19.0</v>
      </c>
      <c r="W202" s="28" t="s">
        <v>1173</v>
      </c>
      <c r="X202" s="28" t="s">
        <v>272</v>
      </c>
      <c r="Y202" s="28" t="s">
        <v>6650</v>
      </c>
      <c r="Z202" s="28" t="s">
        <v>5189</v>
      </c>
      <c r="AA202" s="28" t="s">
        <v>619</v>
      </c>
      <c r="AB202" s="28">
        <v>20.0</v>
      </c>
      <c r="AC202" s="28" t="s">
        <v>25</v>
      </c>
      <c r="AD202" s="23"/>
      <c r="AE202" s="28" t="s">
        <v>10</v>
      </c>
      <c r="AF202" s="23" t="str">
        <f>IFERROR(__xludf.DUMMYFUNCTION("TEXTJOIN("", "", TRUE,
  FILTER(Champions!C:C,
    ISNUMBER(SEARCH(C202, Champions!W:W))
  )
)"),"Lata Murti, Yodit Haile")</f>
        <v>Lata Murti, Yodit Haile</v>
      </c>
      <c r="AG202" s="23"/>
      <c r="AH202" s="23" t="str">
        <f>IFERROR(__xludf.DUMMYFUNCTION("IF(
ISNUMBER(MATCH(
C202,
IMPORTRANGE(""https://docs.google.com/spreadsheets/d/1yTh1ELC33JHYOeEdgIiEclxPRyh0zOKtlawDltfUay8"",""'Interns'!A:A""),
0
)),
""Outreach Conducted"",
"""")"),"")</f>
        <v/>
      </c>
      <c r="AI202" s="23"/>
      <c r="AJ202" s="23"/>
      <c r="AK202" s="23" t="str">
        <f>IFERROR(__xludf.DUMMYFUNCTION("XLOOKUP(C202, 
   IMPORTRANGE(""1RdEdgHYrZ33LJ7RUHj_h-qkAFL92bcVjtIdVa-UlsCw"", ""Interns!D:D""), 
   IMPORTRANGE(""1RdEdgHYrZ33LJ7RUHj_h-qkAFL92bcVjtIdVa-UlsCw"", ""Interns!M:M""), 
   ""Not Found"")"),"Contacted")</f>
        <v>Contacted</v>
      </c>
      <c r="AL202" s="23" t="str">
        <f>IFERROR(__xludf.DUMMYFUNCTION("XLOOKUP(C202, 
   IMPORTRANGE(""1RdEdgHYrZ33LJ7RUHj_h-qkAFL92bcVjtIdVa-UlsCw"", ""Interns!D:D""), 
   IMPORTRANGE(""1RdEdgHYrZ33LJ7RUHj_h-qkAFL92bcVjtIdVa-UlsCw"", ""Interns!N:N""), 
   ""Not Found"")"),"#Cheers4Careers")</f>
        <v>#Cheers4Careers</v>
      </c>
      <c r="AM202" s="23" t="str">
        <f>IFERROR(__xludf.DUMMYFUNCTION("XLOOKUP(C202, 
   IMPORTRANGE(""1RdEdgHYrZ33LJ7RUHj_h-qkAFL92bcVjtIdVa-UlsCw"", ""Interns!D:D""), 
   IMPORTRANGE(""1RdEdgHYrZ33LJ7RUHj_h-qkAFL92bcVjtIdVa-UlsCw"", ""Interns!O:O""), 
   ""Not Found"")"),"Hetal reached out by email 3/27 followed by text")</f>
        <v>Hetal reached out by email 3/27 followed by text</v>
      </c>
      <c r="AN202" s="23"/>
      <c r="AO202" s="23" t="s">
        <v>6651</v>
      </c>
      <c r="AP202" s="28" t="s">
        <v>5182</v>
      </c>
      <c r="AQ202" s="28" t="s">
        <v>6652</v>
      </c>
      <c r="AR202" s="23" t="s">
        <v>6653</v>
      </c>
      <c r="AS202" s="23"/>
      <c r="AT202" s="23"/>
      <c r="AU202" s="23"/>
      <c r="AV202" s="23"/>
    </row>
    <row r="203">
      <c r="A203" s="28" t="s">
        <v>5202</v>
      </c>
      <c r="B203" s="28" t="s">
        <v>5162</v>
      </c>
      <c r="C203" s="23" t="str">
        <f t="shared" si="1"/>
        <v>omar rosario disla</v>
      </c>
      <c r="D203" s="28" t="s">
        <v>6654</v>
      </c>
      <c r="E203" s="28" t="s">
        <v>6655</v>
      </c>
      <c r="F203" s="23">
        <f t="array" ref="F203">IFERROR(
    INDEX('Hub Interns 226'!A:A, MATCH(C203, 'Hub Interns 226'!B:B, 0)),"")</f>
        <v>961</v>
      </c>
      <c r="G203" s="23">
        <f t="array" ref="G203">IFERROR(
    INDEX('Hub Users 226'!A:A, MATCH(C203, 'Hub Users 226'!B:B, 0)),"")</f>
        <v>1394</v>
      </c>
      <c r="H203" s="28">
        <v>975.0</v>
      </c>
      <c r="I203" s="28" t="s">
        <v>260</v>
      </c>
      <c r="J203" s="28" t="s">
        <v>5336</v>
      </c>
      <c r="K203" s="28" t="s">
        <v>5177</v>
      </c>
      <c r="L203" s="28" t="s">
        <v>5165</v>
      </c>
      <c r="M203" s="56" t="s">
        <v>6656</v>
      </c>
      <c r="N203" s="57">
        <v>44642.56527777778</v>
      </c>
      <c r="O203" s="58">
        <v>37873.0</v>
      </c>
      <c r="P203" s="28">
        <f t="shared" si="11"/>
        <v>22</v>
      </c>
      <c r="Q203" s="28" t="s">
        <v>240</v>
      </c>
      <c r="R203" s="28" t="s">
        <v>6657</v>
      </c>
      <c r="S203" s="28">
        <v>9.0</v>
      </c>
      <c r="T203" s="28">
        <v>19.0</v>
      </c>
      <c r="U203" s="28">
        <v>58.0</v>
      </c>
      <c r="V203" s="28">
        <v>41.0</v>
      </c>
      <c r="W203" s="28" t="s">
        <v>294</v>
      </c>
      <c r="X203" s="28" t="s">
        <v>272</v>
      </c>
      <c r="Y203" s="28" t="s">
        <v>6658</v>
      </c>
      <c r="Z203" s="28" t="s">
        <v>5589</v>
      </c>
      <c r="AA203" s="28" t="s">
        <v>5590</v>
      </c>
      <c r="AB203" s="28">
        <v>35.0</v>
      </c>
      <c r="AC203" s="28" t="s">
        <v>24</v>
      </c>
      <c r="AD203" s="23"/>
      <c r="AE203" s="28" t="s">
        <v>10</v>
      </c>
      <c r="AF203" s="23"/>
      <c r="AG203" s="23"/>
      <c r="AH203" s="23" t="str">
        <f>IFERROR(__xludf.DUMMYFUNCTION("IF(
ISNUMBER(MATCH(
C203,
IMPORTRANGE(""https://docs.google.com/spreadsheets/d/1yTh1ELC33JHYOeEdgIiEclxPRyh0zOKtlawDltfUay8"",""'Interns'!A:A""),
0
)),
""Outreach Conducted"",
"""")"),"")</f>
        <v/>
      </c>
      <c r="AI203" s="23"/>
      <c r="AJ203" s="23"/>
      <c r="AK203" s="23" t="str">
        <f>IFERROR(__xludf.DUMMYFUNCTION("XLOOKUP(C203, 
   IMPORTRANGE(""1RdEdgHYrZ33LJ7RUHj_h-qkAFL92bcVjtIdVa-UlsCw"", ""Interns!D:D""), 
   IMPORTRANGE(""1RdEdgHYrZ33LJ7RUHj_h-qkAFL92bcVjtIdVa-UlsCw"", ""Interns!M:M""), 
   ""Not Found"")"),"")</f>
        <v/>
      </c>
      <c r="AL203" s="23" t="str">
        <f>IFERROR(__xludf.DUMMYFUNCTION("XLOOKUP(C203, 
   IMPORTRANGE(""1RdEdgHYrZ33LJ7RUHj_h-qkAFL92bcVjtIdVa-UlsCw"", ""Interns!D:D""), 
   IMPORTRANGE(""1RdEdgHYrZ33LJ7RUHj_h-qkAFL92bcVjtIdVa-UlsCw"", ""Interns!N:N""), 
   ""Not Found"")"),"")</f>
        <v/>
      </c>
      <c r="AM203" s="23" t="str">
        <f>IFERROR(__xludf.DUMMYFUNCTION("XLOOKUP(C203, 
   IMPORTRANGE(""1RdEdgHYrZ33LJ7RUHj_h-qkAFL92bcVjtIdVa-UlsCw"", ""Interns!D:D""), 
   IMPORTRANGE(""1RdEdgHYrZ33LJ7RUHj_h-qkAFL92bcVjtIdVa-UlsCw"", ""Interns!O:O""), 
   ""Not Found"")"),"")</f>
        <v/>
      </c>
      <c r="AN203" s="23"/>
      <c r="AO203" s="23" t="s">
        <v>6659</v>
      </c>
      <c r="AP203" s="28" t="s">
        <v>5191</v>
      </c>
      <c r="AQ203" s="28"/>
      <c r="AR203" s="23"/>
      <c r="AS203" s="23"/>
      <c r="AT203" s="23"/>
      <c r="AU203" s="23"/>
      <c r="AV203" s="23"/>
    </row>
    <row r="204">
      <c r="A204" s="28" t="s">
        <v>5161</v>
      </c>
      <c r="B204" s="28" t="s">
        <v>5162</v>
      </c>
      <c r="C204" s="23" t="str">
        <f t="shared" si="1"/>
        <v>Valentina Jaque</v>
      </c>
      <c r="D204" s="28" t="s">
        <v>3440</v>
      </c>
      <c r="E204" s="28" t="s">
        <v>6660</v>
      </c>
      <c r="F204" s="23">
        <f t="array" ref="F204">IFERROR(
    INDEX('Hub Interns 226'!A:A, MATCH(C204, 'Hub Interns 226'!B:B, 0)),"")</f>
        <v>1166</v>
      </c>
      <c r="G204" s="23">
        <f t="array" ref="G204">IFERROR(
    INDEX('Hub Users 226'!A:A, MATCH(C204, 'Hub Users 226'!B:B, 0)),"")</f>
        <v>1599</v>
      </c>
      <c r="H204" s="28">
        <v>861.0</v>
      </c>
      <c r="I204" s="28" t="s">
        <v>260</v>
      </c>
      <c r="J204" s="28" t="s">
        <v>5766</v>
      </c>
      <c r="K204" s="28" t="s">
        <v>5463</v>
      </c>
      <c r="L204" s="28" t="s">
        <v>5196</v>
      </c>
      <c r="M204" s="56" t="s">
        <v>6661</v>
      </c>
      <c r="N204" s="57">
        <v>44594.91736111111</v>
      </c>
      <c r="O204" s="58">
        <v>37412.0</v>
      </c>
      <c r="P204" s="28">
        <f t="shared" si="11"/>
        <v>23</v>
      </c>
      <c r="Q204" s="28" t="s">
        <v>240</v>
      </c>
      <c r="R204" s="28" t="s">
        <v>6662</v>
      </c>
      <c r="S204" s="28">
        <v>14.0</v>
      </c>
      <c r="T204" s="28">
        <v>13.0</v>
      </c>
      <c r="U204" s="28">
        <v>34.0</v>
      </c>
      <c r="V204" s="28">
        <v>25.0</v>
      </c>
      <c r="W204" s="28" t="s">
        <v>1173</v>
      </c>
      <c r="X204" s="28" t="s">
        <v>272</v>
      </c>
      <c r="Y204" s="28" t="s">
        <v>6663</v>
      </c>
      <c r="Z204" s="28" t="s">
        <v>5483</v>
      </c>
      <c r="AA204" s="28" t="s">
        <v>457</v>
      </c>
      <c r="AB204" s="28">
        <v>25.0</v>
      </c>
      <c r="AC204" s="28" t="s">
        <v>25</v>
      </c>
      <c r="AD204" s="23"/>
      <c r="AE204" s="28" t="s">
        <v>10</v>
      </c>
      <c r="AF204" s="23" t="str">
        <f>IFERROR(__xludf.DUMMYFUNCTION("TEXTJOIN("", "", TRUE,
  FILTER(Champions!C:C,
    ISNUMBER(SEARCH(C204, Champions!W:W))
  )
)"),"Annie Camey Kuo, Vanessa Ballenas")</f>
        <v>Annie Camey Kuo, Vanessa Ballenas</v>
      </c>
      <c r="AG204" s="23"/>
      <c r="AH204" s="23" t="str">
        <f>IFERROR(__xludf.DUMMYFUNCTION("IF(
ISNUMBER(MATCH(
C204,
IMPORTRANGE(""https://docs.google.com/spreadsheets/d/1yTh1ELC33JHYOeEdgIiEclxPRyh0zOKtlawDltfUay8"",""'Interns'!A:A""),
0
)),
""Outreach Conducted"",
"""")"),"")</f>
        <v/>
      </c>
      <c r="AI204" s="23"/>
      <c r="AJ204" s="23"/>
      <c r="AK204" s="23" t="str">
        <f>IFERROR(__xludf.DUMMYFUNCTION("XLOOKUP(C204, 
   IMPORTRANGE(""1RdEdgHYrZ33LJ7RUHj_h-qkAFL92bcVjtIdVa-UlsCw"", ""Interns!D:D""), 
   IMPORTRANGE(""1RdEdgHYrZ33LJ7RUHj_h-qkAFL92bcVjtIdVa-UlsCw"", ""Interns!M:M""), 
   ""Not Found"")"),"Contacted")</f>
        <v>Contacted</v>
      </c>
      <c r="AL204" s="23" t="str">
        <f>IFERROR(__xludf.DUMMYFUNCTION("XLOOKUP(C204, 
   IMPORTRANGE(""1RdEdgHYrZ33LJ7RUHj_h-qkAFL92bcVjtIdVa-UlsCw"", ""Interns!D:D""), 
   IMPORTRANGE(""1RdEdgHYrZ33LJ7RUHj_h-qkAFL92bcVjtIdVa-UlsCw"", ""Interns!N:N""), 
   ""Not Found"")"),"#Cheers4Careers")</f>
        <v>#Cheers4Careers</v>
      </c>
      <c r="AM204" s="23" t="str">
        <f>IFERROR(__xludf.DUMMYFUNCTION("XLOOKUP(C204, 
   IMPORTRANGE(""1RdEdgHYrZ33LJ7RUHj_h-qkAFL92bcVjtIdVa-UlsCw"", ""Interns!D:D""), 
   IMPORTRANGE(""1RdEdgHYrZ33LJ7RUHj_h-qkAFL92bcVjtIdVa-UlsCw"", ""Interns!O:O""), 
   ""Not Found"")"),"Hetal reached out by email 3/27")</f>
        <v>Hetal reached out by email 3/27</v>
      </c>
      <c r="AN204" s="23"/>
      <c r="AO204" s="23" t="s">
        <v>6664</v>
      </c>
      <c r="AP204" s="28" t="s">
        <v>5182</v>
      </c>
      <c r="AQ204" s="28" t="s">
        <v>6665</v>
      </c>
      <c r="AR204" s="23" t="s">
        <v>6666</v>
      </c>
      <c r="AS204" s="23"/>
      <c r="AT204" s="23"/>
      <c r="AU204" s="23"/>
      <c r="AV204" s="23"/>
    </row>
    <row r="205">
      <c r="A205" s="28" t="s">
        <v>5202</v>
      </c>
      <c r="B205" s="28" t="s">
        <v>5162</v>
      </c>
      <c r="C205" s="23" t="str">
        <f t="shared" si="1"/>
        <v>Joustin Hiraldo</v>
      </c>
      <c r="D205" s="28" t="s">
        <v>6667</v>
      </c>
      <c r="E205" s="28" t="s">
        <v>6668</v>
      </c>
      <c r="F205" s="23">
        <f t="array" ref="F205">IFERROR(
    INDEX('Hub Interns 226'!A:A, MATCH(C205, 'Hub Interns 226'!B:B, 0)),"")</f>
        <v>1291</v>
      </c>
      <c r="G205" s="23">
        <f t="array" ref="G205">IFERROR(
    INDEX('Hub Users 226'!A:A, MATCH(C205, 'Hub Users 226'!B:B, 0)),"")</f>
        <v>1784</v>
      </c>
      <c r="H205" s="28">
        <v>1680.0</v>
      </c>
      <c r="I205" s="28" t="s">
        <v>269</v>
      </c>
      <c r="J205" s="28" t="s">
        <v>5336</v>
      </c>
      <c r="K205" s="28" t="s">
        <v>5177</v>
      </c>
      <c r="L205" s="28" t="s">
        <v>5165</v>
      </c>
      <c r="M205" s="56" t="s">
        <v>6669</v>
      </c>
      <c r="N205" s="59">
        <v>45226.01666666667</v>
      </c>
      <c r="O205" s="58">
        <v>38611.0</v>
      </c>
      <c r="P205" s="28">
        <f t="shared" si="11"/>
        <v>20</v>
      </c>
      <c r="Q205" s="28" t="s">
        <v>6670</v>
      </c>
      <c r="R205" s="28" t="s">
        <v>6671</v>
      </c>
      <c r="S205" s="28">
        <v>14.0</v>
      </c>
      <c r="T205" s="28">
        <v>32.0</v>
      </c>
      <c r="U205" s="28">
        <v>85.0</v>
      </c>
      <c r="V205" s="28">
        <v>16.0</v>
      </c>
      <c r="W205" s="28" t="s">
        <v>859</v>
      </c>
      <c r="X205" s="28" t="s">
        <v>272</v>
      </c>
      <c r="Y205" s="28">
        <v>3.478722614E9</v>
      </c>
      <c r="Z205" s="28" t="s">
        <v>5918</v>
      </c>
      <c r="AA205" s="28" t="s">
        <v>477</v>
      </c>
      <c r="AB205" s="28">
        <v>15.0</v>
      </c>
      <c r="AC205" s="28" t="s">
        <v>25</v>
      </c>
      <c r="AD205" s="23"/>
      <c r="AE205" s="28" t="s">
        <v>18</v>
      </c>
      <c r="AF205" s="23" t="str">
        <f>IFERROR(__xludf.DUMMYFUNCTION("TEXTJOIN("", "", TRUE,
  FILTER(Champions!C:C,
    ISNUMBER(SEARCH(C205, Champions!W:W))
  )
)"),"AUGUSTO SALCEDO")</f>
        <v>AUGUSTO SALCEDO</v>
      </c>
      <c r="AG205" s="23"/>
      <c r="AH205" s="23" t="str">
        <f>IFERROR(__xludf.DUMMYFUNCTION("IF(
ISNUMBER(MATCH(
C205,
IMPORTRANGE(""https://docs.google.com/spreadsheets/d/1yTh1ELC33JHYOeEdgIiEclxPRyh0zOKtlawDltfUay8"",""'Interns'!A:A""),
0
)),
""Outreach Conducted"",
"""")"),"")</f>
        <v/>
      </c>
      <c r="AI205" s="23"/>
      <c r="AJ205" s="23"/>
      <c r="AK205" s="23" t="str">
        <f>IFERROR(__xludf.DUMMYFUNCTION("XLOOKUP(C205, 
   IMPORTRANGE(""1RdEdgHYrZ33LJ7RUHj_h-qkAFL92bcVjtIdVa-UlsCw"", ""Interns!D:D""), 
   IMPORTRANGE(""1RdEdgHYrZ33LJ7RUHj_h-qkAFL92bcVjtIdVa-UlsCw"", ""Interns!M:M""), 
   ""Not Found"")"),"")</f>
        <v/>
      </c>
      <c r="AL205" s="23" t="str">
        <f>IFERROR(__xludf.DUMMYFUNCTION("XLOOKUP(C205, 
   IMPORTRANGE(""1RdEdgHYrZ33LJ7RUHj_h-qkAFL92bcVjtIdVa-UlsCw"", ""Interns!D:D""), 
   IMPORTRANGE(""1RdEdgHYrZ33LJ7RUHj_h-qkAFL92bcVjtIdVa-UlsCw"", ""Interns!N:N""), 
   ""Not Found"")"),"")</f>
        <v/>
      </c>
      <c r="AM205" s="23" t="str">
        <f>IFERROR(__xludf.DUMMYFUNCTION("XLOOKUP(C205, 
   IMPORTRANGE(""1RdEdgHYrZ33LJ7RUHj_h-qkAFL92bcVjtIdVa-UlsCw"", ""Interns!D:D""), 
   IMPORTRANGE(""1RdEdgHYrZ33LJ7RUHj_h-qkAFL92bcVjtIdVa-UlsCw"", ""Interns!O:O""), 
   ""Not Found"")"),"")</f>
        <v/>
      </c>
      <c r="AN205" s="23"/>
      <c r="AO205" s="23" t="s">
        <v>6672</v>
      </c>
      <c r="AP205" s="28" t="s">
        <v>5182</v>
      </c>
      <c r="AQ205" s="28" t="s">
        <v>6673</v>
      </c>
      <c r="AR205" s="23">
        <v>3.478722614E9</v>
      </c>
      <c r="AS205" s="23"/>
      <c r="AT205" s="23"/>
      <c r="AU205" s="23"/>
      <c r="AV205" s="23"/>
    </row>
    <row r="206">
      <c r="A206" s="28" t="s">
        <v>5161</v>
      </c>
      <c r="B206" s="28" t="s">
        <v>5162</v>
      </c>
      <c r="C206" s="23" t="str">
        <f t="shared" si="1"/>
        <v>Tomas David Mantillasalazar</v>
      </c>
      <c r="D206" s="22" t="s">
        <v>6674</v>
      </c>
      <c r="E206" s="22" t="s">
        <v>6675</v>
      </c>
      <c r="F206" s="23"/>
      <c r="G206" s="23"/>
      <c r="H206" s="22">
        <v>1949.0</v>
      </c>
      <c r="I206" s="28"/>
      <c r="J206" s="28" t="s">
        <v>5766</v>
      </c>
      <c r="K206" s="28" t="s">
        <v>5463</v>
      </c>
      <c r="L206" s="28" t="s">
        <v>5165</v>
      </c>
      <c r="M206" s="29" t="s">
        <v>6676</v>
      </c>
      <c r="N206" s="61">
        <v>45723.521527777775</v>
      </c>
      <c r="O206" s="25">
        <v>45723.0</v>
      </c>
      <c r="P206" s="28">
        <f t="shared" si="11"/>
        <v>1</v>
      </c>
      <c r="Q206" s="62" t="s">
        <v>240</v>
      </c>
      <c r="R206" s="22" t="s">
        <v>6677</v>
      </c>
      <c r="S206" s="28">
        <v>14.0</v>
      </c>
      <c r="T206" s="28">
        <v>13.0</v>
      </c>
      <c r="U206" s="28">
        <v>34.0</v>
      </c>
      <c r="V206" s="28">
        <v>25.0</v>
      </c>
      <c r="W206" s="23"/>
      <c r="X206" s="23"/>
      <c r="Y206" s="22" t="s">
        <v>6678</v>
      </c>
      <c r="Z206" s="22" t="s">
        <v>5365</v>
      </c>
      <c r="AA206" s="28" t="s">
        <v>5366</v>
      </c>
      <c r="AB206" s="28">
        <v>26.0</v>
      </c>
      <c r="AC206" s="28" t="s">
        <v>23</v>
      </c>
      <c r="AD206" s="23"/>
      <c r="AE206" s="28" t="s">
        <v>19</v>
      </c>
      <c r="AF206" s="23"/>
      <c r="AG206" s="23"/>
      <c r="AH206" s="23" t="str">
        <f>IFERROR(__xludf.DUMMYFUNCTION("IF(
ISNUMBER(MATCH(
C206,
IMPORTRANGE(""https://docs.google.com/spreadsheets/d/1yTh1ELC33JHYOeEdgIiEclxPRyh0zOKtlawDltfUay8"",""'Interns'!A:A""),
0
)),
""Outreach Conducted"",
"""")"),"")</f>
        <v/>
      </c>
      <c r="AI206" s="23"/>
      <c r="AJ206" s="23"/>
      <c r="AK206" s="23"/>
      <c r="AL206" s="23" t="str">
        <f>IFERROR(__xludf.DUMMYFUNCTION("XLOOKUP(C206, 
   IMPORTRANGE(""1RdEdgHYrZ33LJ7RUHj_h-qkAFL92bcVjtIdVa-UlsCw"", ""Interns!D:D""), 
   IMPORTRANGE(""1RdEdgHYrZ33LJ7RUHj_h-qkAFL92bcVjtIdVa-UlsCw"", ""Interns!N:N""), 
   ""Not Found"")"),"#Cheers4Careers")</f>
        <v>#Cheers4Careers</v>
      </c>
      <c r="AM206" s="23" t="str">
        <f>IFERROR(__xludf.DUMMYFUNCTION("XLOOKUP(C206, 
   IMPORTRANGE(""1RdEdgHYrZ33LJ7RUHj_h-qkAFL92bcVjtIdVa-UlsCw"", ""Interns!D:D""), 
   IMPORTRANGE(""1RdEdgHYrZ33LJ7RUHj_h-qkAFL92bcVjtIdVa-UlsCw"", ""Interns!O:O""), 
   ""Not Found"")"),"Hetal reached out March 27 for March #Cheers4 Careers ")</f>
        <v>Hetal reached out March 27 for March #Cheers4 Careers </v>
      </c>
      <c r="AN206" s="23"/>
      <c r="AO206" s="23" t="s">
        <v>6679</v>
      </c>
      <c r="AP206" s="28" t="s">
        <v>5182</v>
      </c>
      <c r="AQ206" s="28" t="s">
        <v>6680</v>
      </c>
      <c r="AR206" s="23" t="s">
        <v>6678</v>
      </c>
      <c r="AS206" s="23"/>
      <c r="AT206" s="23"/>
      <c r="AU206" s="23"/>
      <c r="AV206" s="23"/>
    </row>
    <row r="207">
      <c r="A207" s="28" t="s">
        <v>5161</v>
      </c>
      <c r="B207" s="28" t="s">
        <v>5162</v>
      </c>
      <c r="C207" s="23" t="str">
        <f t="shared" si="1"/>
        <v>Oscar Pardo</v>
      </c>
      <c r="D207" s="28" t="s">
        <v>6681</v>
      </c>
      <c r="E207" s="28" t="s">
        <v>6682</v>
      </c>
      <c r="F207" s="23">
        <f t="array" ref="F207">IFERROR(
    INDEX('Hub Interns 226'!A:A, MATCH(C207, 'Hub Interns 226'!B:B, 0)),"")</f>
        <v>960</v>
      </c>
      <c r="G207" s="23">
        <f t="array" ref="G207">IFERROR(
    INDEX('Hub Users 226'!A:A, MATCH(C207, 'Hub Users 226'!B:B, 0)),"")</f>
        <v>1393</v>
      </c>
      <c r="H207" s="28">
        <v>511.0</v>
      </c>
      <c r="I207" s="28" t="s">
        <v>407</v>
      </c>
      <c r="J207" s="28" t="s">
        <v>5766</v>
      </c>
      <c r="K207" s="28" t="s">
        <v>5463</v>
      </c>
      <c r="L207" s="28" t="s">
        <v>5165</v>
      </c>
      <c r="M207" s="56" t="s">
        <v>6683</v>
      </c>
      <c r="N207" s="57">
        <v>44476.65</v>
      </c>
      <c r="O207" s="58">
        <v>38093.0</v>
      </c>
      <c r="P207" s="28">
        <f t="shared" si="11"/>
        <v>22</v>
      </c>
      <c r="Q207" s="28" t="s">
        <v>240</v>
      </c>
      <c r="R207" s="28" t="s">
        <v>6684</v>
      </c>
      <c r="S207" s="28">
        <v>14.0</v>
      </c>
      <c r="T207" s="28">
        <v>13.0</v>
      </c>
      <c r="U207" s="28">
        <v>34.0</v>
      </c>
      <c r="V207" s="28">
        <v>25.0</v>
      </c>
      <c r="W207" s="28" t="s">
        <v>1173</v>
      </c>
      <c r="X207" s="28" t="s">
        <v>272</v>
      </c>
      <c r="Y207" s="28" t="s">
        <v>6685</v>
      </c>
      <c r="Z207" s="28" t="s">
        <v>5189</v>
      </c>
      <c r="AA207" s="28" t="s">
        <v>619</v>
      </c>
      <c r="AB207" s="28">
        <v>20.0</v>
      </c>
      <c r="AC207" s="28" t="s">
        <v>25</v>
      </c>
      <c r="AD207" s="23"/>
      <c r="AE207" s="28" t="s">
        <v>10</v>
      </c>
      <c r="AF207" s="23" t="str">
        <f>IFERROR(__xludf.DUMMYFUNCTION("TEXTJOIN("", "", TRUE,
  FILTER(Champions!C:C,
    ISNUMBER(SEARCH(C207, Champions!W:W))
  )
)"),"Missie Miranda, Carolina Parra")</f>
        <v>Missie Miranda, Carolina Parra</v>
      </c>
      <c r="AG207" s="23"/>
      <c r="AH207" s="23" t="str">
        <f>IFERROR(__xludf.DUMMYFUNCTION("IF(
ISNUMBER(MATCH(
C207,
IMPORTRANGE(""https://docs.google.com/spreadsheets/d/1yTh1ELC33JHYOeEdgIiEclxPRyh0zOKtlawDltfUay8"",""'Interns'!A:A""),
0
)),
""Outreach Conducted"",
"""")"),"")</f>
        <v/>
      </c>
      <c r="AI207" s="23"/>
      <c r="AJ207" s="23"/>
      <c r="AK207" s="23" t="str">
        <f>IFERROR(__xludf.DUMMYFUNCTION("XLOOKUP(C207, 
   IMPORTRANGE(""1RdEdgHYrZ33LJ7RUHj_h-qkAFL92bcVjtIdVa-UlsCw"", ""Interns!D:D""), 
   IMPORTRANGE(""1RdEdgHYrZ33LJ7RUHj_h-qkAFL92bcVjtIdVa-UlsCw"", ""Interns!M:M""), 
   ""Not Found"")"),"Contacted")</f>
        <v>Contacted</v>
      </c>
      <c r="AL207" s="23" t="str">
        <f>IFERROR(__xludf.DUMMYFUNCTION("XLOOKUP(C207, 
   IMPORTRANGE(""1RdEdgHYrZ33LJ7RUHj_h-qkAFL92bcVjtIdVa-UlsCw"", ""Interns!D:D""), 
   IMPORTRANGE(""1RdEdgHYrZ33LJ7RUHj_h-qkAFL92bcVjtIdVa-UlsCw"", ""Interns!N:N""), 
   ""Not Found"")"),"#Cheers4Careers")</f>
        <v>#Cheers4Careers</v>
      </c>
      <c r="AM207" s="23" t="str">
        <f>IFERROR(__xludf.DUMMYFUNCTION("XLOOKUP(C207, 
   IMPORTRANGE(""1RdEdgHYrZ33LJ7RUHj_h-qkAFL92bcVjtIdVa-UlsCw"", ""Interns!D:D""), 
   IMPORTRANGE(""1RdEdgHYrZ33LJ7RUHj_h-qkAFL92bcVjtIdVa-UlsCw"", ""Interns!O:O""), 
   ""Not Found"")"),"Hetal reached out by email 3/27 followed by text Hetal reached out by whatsapp on 3/28
Hetal reached out on 4/10 by whatsapp for April 18th #Cheers4Careers")</f>
        <v>Hetal reached out by email 3/27 followed by text Hetal reached out by whatsapp on 3/28
Hetal reached out on 4/10 by whatsapp for April 18th #Cheers4Careers</v>
      </c>
      <c r="AN207" s="23"/>
      <c r="AO207" s="23" t="s">
        <v>6686</v>
      </c>
      <c r="AP207" s="28" t="s">
        <v>5182</v>
      </c>
      <c r="AQ207" s="28" t="s">
        <v>6687</v>
      </c>
      <c r="AR207" s="23" t="s">
        <v>6688</v>
      </c>
      <c r="AS207" s="23"/>
      <c r="AT207" s="23"/>
      <c r="AU207" s="23"/>
      <c r="AV207" s="23"/>
    </row>
    <row r="208">
      <c r="A208" s="28" t="s">
        <v>5161</v>
      </c>
      <c r="B208" s="28" t="s">
        <v>5162</v>
      </c>
      <c r="C208" s="23" t="str">
        <f t="shared" si="1"/>
        <v>Luis Cardenas</v>
      </c>
      <c r="D208" s="28" t="s">
        <v>6689</v>
      </c>
      <c r="E208" s="28" t="s">
        <v>6690</v>
      </c>
      <c r="F208" s="23">
        <f t="array" ref="F208">IFERROR(
    INDEX('Hub Interns 226'!A:A, MATCH(C208, 'Hub Interns 226'!B:B, 0)),"")</f>
        <v>801</v>
      </c>
      <c r="G208" s="23">
        <f t="array" ref="G208">IFERROR(
    INDEX('Hub Users 226'!A:A, MATCH(C208, 'Hub Users 226'!B:B, 0)),"")</f>
        <v>1234</v>
      </c>
      <c r="H208" s="28">
        <v>564.0</v>
      </c>
      <c r="I208" s="28" t="s">
        <v>407</v>
      </c>
      <c r="J208" s="28" t="s">
        <v>5766</v>
      </c>
      <c r="K208" s="28" t="s">
        <v>5463</v>
      </c>
      <c r="L208" s="28" t="s">
        <v>5165</v>
      </c>
      <c r="M208" s="56" t="s">
        <v>6691</v>
      </c>
      <c r="N208" s="57">
        <v>44478.541666666664</v>
      </c>
      <c r="O208" s="58">
        <v>38422.0</v>
      </c>
      <c r="P208" s="28">
        <f t="shared" si="11"/>
        <v>21</v>
      </c>
      <c r="Q208" s="28" t="s">
        <v>240</v>
      </c>
      <c r="R208" s="28" t="s">
        <v>6692</v>
      </c>
      <c r="S208" s="28">
        <v>14.0</v>
      </c>
      <c r="T208" s="28">
        <v>13.0</v>
      </c>
      <c r="U208" s="28">
        <v>34.0</v>
      </c>
      <c r="V208" s="28">
        <v>25.0</v>
      </c>
      <c r="W208" s="28" t="s">
        <v>1173</v>
      </c>
      <c r="X208" s="28" t="s">
        <v>272</v>
      </c>
      <c r="Y208" s="28" t="s">
        <v>6693</v>
      </c>
      <c r="Z208" s="28" t="s">
        <v>5189</v>
      </c>
      <c r="AA208" s="28" t="s">
        <v>619</v>
      </c>
      <c r="AB208" s="28">
        <v>20.0</v>
      </c>
      <c r="AC208" s="28" t="s">
        <v>25</v>
      </c>
      <c r="AD208" s="23"/>
      <c r="AE208" s="28" t="s">
        <v>10</v>
      </c>
      <c r="AF208" s="23" t="str">
        <f>IFERROR(__xludf.DUMMYFUNCTION("TEXTJOIN("", "", TRUE,
  FILTER(Champions!C:C,
    ISNUMBER(SEARCH(C208, Champions!W:W))
  )
)"),"Tiffany Soojung Park, Sandhya Jain-Patel")</f>
        <v>Tiffany Soojung Park, Sandhya Jain-Patel</v>
      </c>
      <c r="AG208" s="23"/>
      <c r="AH208" s="23" t="str">
        <f>IFERROR(__xludf.DUMMYFUNCTION("IF(
ISNUMBER(MATCH(
C208,
IMPORTRANGE(""https://docs.google.com/spreadsheets/d/1yTh1ELC33JHYOeEdgIiEclxPRyh0zOKtlawDltfUay8"",""'Interns'!A:A""),
0
)),
""Outreach Conducted"",
"""")"),"")</f>
        <v/>
      </c>
      <c r="AI208" s="23"/>
      <c r="AJ208" s="23"/>
      <c r="AK208" s="23" t="str">
        <f>IFERROR(__xludf.DUMMYFUNCTION("XLOOKUP(C208, 
   IMPORTRANGE(""1RdEdgHYrZ33LJ7RUHj_h-qkAFL92bcVjtIdVa-UlsCw"", ""Interns!D:D""), 
   IMPORTRANGE(""1RdEdgHYrZ33LJ7RUHj_h-qkAFL92bcVjtIdVa-UlsCw"", ""Interns!M:M""), 
   ""Not Found"")"),"Contacted")</f>
        <v>Contacted</v>
      </c>
      <c r="AL208" s="23" t="str">
        <f>IFERROR(__xludf.DUMMYFUNCTION("XLOOKUP(C208, 
   IMPORTRANGE(""1RdEdgHYrZ33LJ7RUHj_h-qkAFL92bcVjtIdVa-UlsCw"", ""Interns!D:D""), 
   IMPORTRANGE(""1RdEdgHYrZ33LJ7RUHj_h-qkAFL92bcVjtIdVa-UlsCw"", ""Interns!N:N""), 
   ""Not Found"")"),"#Cheers4Careers")</f>
        <v>#Cheers4Careers</v>
      </c>
      <c r="AM208" s="23" t="str">
        <f>IFERROR(__xludf.DUMMYFUNCTION("XLOOKUP(C208, 
   IMPORTRANGE(""1RdEdgHYrZ33LJ7RUHj_h-qkAFL92bcVjtIdVa-UlsCw"", ""Interns!D:D""), 
   IMPORTRANGE(""1RdEdgHYrZ33LJ7RUHj_h-qkAFL92bcVjtIdVa-UlsCw"", ""Interns!O:O""), 
   ""Not Found"")"),"Hetal reached out by email 3/27 followed by text")</f>
        <v>Hetal reached out by email 3/27 followed by text</v>
      </c>
      <c r="AN208" s="23"/>
      <c r="AO208" s="23" t="s">
        <v>6694</v>
      </c>
      <c r="AP208" s="28" t="s">
        <v>5182</v>
      </c>
      <c r="AQ208" s="28" t="s">
        <v>6695</v>
      </c>
      <c r="AR208" s="23" t="s">
        <v>6696</v>
      </c>
      <c r="AS208" s="23"/>
      <c r="AT208" s="23"/>
      <c r="AU208" s="23"/>
      <c r="AV208" s="23"/>
    </row>
    <row r="209">
      <c r="A209" s="28" t="s">
        <v>5202</v>
      </c>
      <c r="B209" s="28" t="s">
        <v>5162</v>
      </c>
      <c r="C209" s="23" t="str">
        <f t="shared" si="1"/>
        <v>Jose Romero</v>
      </c>
      <c r="D209" s="28" t="s">
        <v>6697</v>
      </c>
      <c r="E209" s="28" t="s">
        <v>6698</v>
      </c>
      <c r="F209" s="23">
        <f t="array" ref="F209">IFERROR(
    INDEX('Hub Interns 226'!A:A, MATCH(C209, 'Hub Interns 226'!B:B, 0)),"")</f>
        <v>254</v>
      </c>
      <c r="G209" s="23">
        <f t="array" ref="G209">IFERROR(
    INDEX('Hub Users 226'!A:A, MATCH(C209, 'Hub Users 226'!B:B, 0)),"")</f>
        <v>687</v>
      </c>
      <c r="H209" s="28">
        <v>752.0</v>
      </c>
      <c r="I209" s="28" t="s">
        <v>239</v>
      </c>
      <c r="J209" s="28" t="s">
        <v>5336</v>
      </c>
      <c r="K209" s="28" t="s">
        <v>5177</v>
      </c>
      <c r="L209" s="28" t="s">
        <v>5165</v>
      </c>
      <c r="M209" s="56" t="s">
        <v>6699</v>
      </c>
      <c r="N209" s="59">
        <v>44551.575694444444</v>
      </c>
      <c r="O209" s="58">
        <v>37478.0</v>
      </c>
      <c r="P209" s="28">
        <f t="shared" si="11"/>
        <v>23</v>
      </c>
      <c r="Q209" s="28" t="s">
        <v>240</v>
      </c>
      <c r="R209" s="28" t="s">
        <v>6700</v>
      </c>
      <c r="S209" s="28">
        <v>5.0</v>
      </c>
      <c r="T209" s="28">
        <v>10.0</v>
      </c>
      <c r="U209" s="28">
        <v>32.0</v>
      </c>
      <c r="V209" s="28">
        <v>28.0</v>
      </c>
      <c r="W209" s="28" t="s">
        <v>1173</v>
      </c>
      <c r="X209" s="28" t="s">
        <v>272</v>
      </c>
      <c r="Y209" s="28" t="s">
        <v>6701</v>
      </c>
      <c r="Z209" s="28" t="s">
        <v>5483</v>
      </c>
      <c r="AA209" s="28" t="s">
        <v>457</v>
      </c>
      <c r="AB209" s="28">
        <v>25.0</v>
      </c>
      <c r="AC209" s="28" t="s">
        <v>25</v>
      </c>
      <c r="AD209" s="23"/>
      <c r="AE209" s="28" t="s">
        <v>10</v>
      </c>
      <c r="AF209" s="23" t="str">
        <f>IFERROR(__xludf.DUMMYFUNCTION("TEXTJOIN("", "", TRUE,
  FILTER(Champions!C:C,
    ISNUMBER(SEARCH(C209, Champions!W:W))
  )
)"),"Mohammed Baldiwala, Olga Patel")</f>
        <v>Mohammed Baldiwala, Olga Patel</v>
      </c>
      <c r="AG209" s="23"/>
      <c r="AH209" s="23" t="str">
        <f>IFERROR(__xludf.DUMMYFUNCTION("IF(
ISNUMBER(MATCH(
C209,
IMPORTRANGE(""https://docs.google.com/spreadsheets/d/1yTh1ELC33JHYOeEdgIiEclxPRyh0zOKtlawDltfUay8"",""'Interns'!A:A""),
0
)),
""Outreach Conducted"",
"""")"),"")</f>
        <v/>
      </c>
      <c r="AI209" s="23"/>
      <c r="AJ209" s="23"/>
      <c r="AK209" s="23" t="str">
        <f>IFERROR(__xludf.DUMMYFUNCTION("XLOOKUP(C209, 
   IMPORTRANGE(""1RdEdgHYrZ33LJ7RUHj_h-qkAFL92bcVjtIdVa-UlsCw"", ""Interns!D:D""), 
   IMPORTRANGE(""1RdEdgHYrZ33LJ7RUHj_h-qkAFL92bcVjtIdVa-UlsCw"", ""Interns!M:M""), 
   ""Not Found"")"),"")</f>
        <v/>
      </c>
      <c r="AL209" s="23" t="str">
        <f>IFERROR(__xludf.DUMMYFUNCTION("XLOOKUP(C209, 
   IMPORTRANGE(""1RdEdgHYrZ33LJ7RUHj_h-qkAFL92bcVjtIdVa-UlsCw"", ""Interns!D:D""), 
   IMPORTRANGE(""1RdEdgHYrZ33LJ7RUHj_h-qkAFL92bcVjtIdVa-UlsCw"", ""Interns!N:N""), 
   ""Not Found"")"),"")</f>
        <v/>
      </c>
      <c r="AM209" s="23" t="str">
        <f>IFERROR(__xludf.DUMMYFUNCTION("XLOOKUP(C209, 
   IMPORTRANGE(""1RdEdgHYrZ33LJ7RUHj_h-qkAFL92bcVjtIdVa-UlsCw"", ""Interns!D:D""), 
   IMPORTRANGE(""1RdEdgHYrZ33LJ7RUHj_h-qkAFL92bcVjtIdVa-UlsCw"", ""Interns!O:O""), 
   ""Not Found"")"),"")</f>
        <v/>
      </c>
      <c r="AN209" s="23"/>
      <c r="AO209" s="23" t="s">
        <v>6702</v>
      </c>
      <c r="AP209" s="28" t="s">
        <v>5182</v>
      </c>
      <c r="AQ209" s="28" t="s">
        <v>6703</v>
      </c>
      <c r="AR209" s="23" t="s">
        <v>6704</v>
      </c>
      <c r="AS209" s="23"/>
      <c r="AT209" s="23"/>
      <c r="AU209" s="23"/>
      <c r="AV209" s="23"/>
    </row>
    <row r="210">
      <c r="A210" s="28" t="s">
        <v>5161</v>
      </c>
      <c r="B210" s="28" t="s">
        <v>5162</v>
      </c>
      <c r="C210" s="23" t="str">
        <f t="shared" si="1"/>
        <v>Santiago Posse</v>
      </c>
      <c r="D210" s="22" t="s">
        <v>6377</v>
      </c>
      <c r="E210" s="22" t="s">
        <v>6705</v>
      </c>
      <c r="F210" s="23"/>
      <c r="G210" s="23"/>
      <c r="H210" s="22">
        <v>1939.0</v>
      </c>
      <c r="I210" s="28"/>
      <c r="J210" s="28" t="s">
        <v>5766</v>
      </c>
      <c r="K210" s="28" t="s">
        <v>5463</v>
      </c>
      <c r="L210" s="28" t="s">
        <v>5165</v>
      </c>
      <c r="M210" s="29" t="s">
        <v>6706</v>
      </c>
      <c r="N210" s="61">
        <v>45730.51597222222</v>
      </c>
      <c r="O210" s="25">
        <v>45730.0</v>
      </c>
      <c r="P210" s="28">
        <f t="shared" si="11"/>
        <v>1</v>
      </c>
      <c r="Q210" s="62" t="s">
        <v>240</v>
      </c>
      <c r="R210" s="22" t="s">
        <v>6707</v>
      </c>
      <c r="S210" s="28">
        <v>7.0</v>
      </c>
      <c r="T210" s="28">
        <v>12.0</v>
      </c>
      <c r="U210" s="28">
        <v>37.0</v>
      </c>
      <c r="V210" s="28">
        <v>26.0</v>
      </c>
      <c r="W210" s="28" t="s">
        <v>1173</v>
      </c>
      <c r="X210" s="28" t="s">
        <v>272</v>
      </c>
      <c r="Y210" s="22" t="s">
        <v>6708</v>
      </c>
      <c r="Z210" s="22" t="s">
        <v>5365</v>
      </c>
      <c r="AA210" s="28" t="s">
        <v>5366</v>
      </c>
      <c r="AB210" s="28">
        <v>26.0</v>
      </c>
      <c r="AC210" s="28" t="s">
        <v>23</v>
      </c>
      <c r="AD210" s="23"/>
      <c r="AE210" s="28" t="s">
        <v>19</v>
      </c>
      <c r="AF210" s="23"/>
      <c r="AG210" s="23"/>
      <c r="AH210" s="23" t="str">
        <f>IFERROR(__xludf.DUMMYFUNCTION("IF(
ISNUMBER(MATCH(
C210,
IMPORTRANGE(""https://docs.google.com/spreadsheets/d/1yTh1ELC33JHYOeEdgIiEclxPRyh0zOKtlawDltfUay8"",""'Interns'!A:A""),
0
)),
""Outreach Conducted"",
"""")"),"")</f>
        <v/>
      </c>
      <c r="AI210" s="23"/>
      <c r="AJ210" s="23"/>
      <c r="AK210" s="23"/>
      <c r="AL210" s="23" t="str">
        <f>IFERROR(__xludf.DUMMYFUNCTION("XLOOKUP(C210, 
   IMPORTRANGE(""1RdEdgHYrZ33LJ7RUHj_h-qkAFL92bcVjtIdVa-UlsCw"", ""Interns!D:D""), 
   IMPORTRANGE(""1RdEdgHYrZ33LJ7RUHj_h-qkAFL92bcVjtIdVa-UlsCw"", ""Interns!N:N""), 
   ""Not Found"")"),"#Cheers4Careers")</f>
        <v>#Cheers4Careers</v>
      </c>
      <c r="AM210" s="23" t="str">
        <f>IFERROR(__xludf.DUMMYFUNCTION("XLOOKUP(C210, 
   IMPORTRANGE(""1RdEdgHYrZ33LJ7RUHj_h-qkAFL92bcVjtIdVa-UlsCw"", ""Interns!D:D""), 
   IMPORTRANGE(""1RdEdgHYrZ33LJ7RUHj_h-qkAFL92bcVjtIdVa-UlsCw"", ""Interns!O:O""), 
   ""Not Found"")"),"Hetal reached out March 27 for March #Cheers4 Careers and texted")</f>
        <v>Hetal reached out March 27 for March #Cheers4 Careers and texted</v>
      </c>
      <c r="AN210" s="23"/>
      <c r="AO210" s="23" t="s">
        <v>6709</v>
      </c>
      <c r="AP210" s="28" t="s">
        <v>5182</v>
      </c>
      <c r="AQ210" s="28" t="s">
        <v>6706</v>
      </c>
      <c r="AR210" s="23" t="s">
        <v>6708</v>
      </c>
      <c r="AS210" s="23"/>
      <c r="AT210" s="23"/>
      <c r="AU210" s="23"/>
      <c r="AV210" s="23"/>
    </row>
    <row r="211">
      <c r="A211" s="28" t="s">
        <v>5161</v>
      </c>
      <c r="B211" s="28" t="s">
        <v>5162</v>
      </c>
      <c r="C211" s="23" t="str">
        <f t="shared" si="1"/>
        <v>David Cometta</v>
      </c>
      <c r="D211" s="28" t="s">
        <v>1068</v>
      </c>
      <c r="E211" s="28" t="s">
        <v>6710</v>
      </c>
      <c r="F211" s="23">
        <f t="array" ref="F211">IFERROR(
    INDEX('Hub Interns 226'!A:A, MATCH(C211, 'Hub Interns 226'!B:B, 0)),"")</f>
        <v>1785</v>
      </c>
      <c r="G211" s="23">
        <f t="array" ref="G211">IFERROR(
    INDEX('Hub Users 226'!A:A, MATCH(C211, 'Hub Users 226'!B:B, 0)),"")</f>
        <v>2615</v>
      </c>
      <c r="H211" s="28">
        <v>1632.0</v>
      </c>
      <c r="I211" s="28" t="s">
        <v>269</v>
      </c>
      <c r="J211" s="28" t="s">
        <v>5766</v>
      </c>
      <c r="K211" s="28" t="s">
        <v>5463</v>
      </c>
      <c r="L211" s="28" t="s">
        <v>5165</v>
      </c>
      <c r="M211" s="56" t="s">
        <v>6711</v>
      </c>
      <c r="N211" s="57">
        <v>45116.50625</v>
      </c>
      <c r="O211" s="58">
        <v>39291.0</v>
      </c>
      <c r="P211" s="28">
        <f t="shared" si="11"/>
        <v>18</v>
      </c>
      <c r="Q211" s="28" t="s">
        <v>6712</v>
      </c>
      <c r="R211" s="28" t="s">
        <v>6713</v>
      </c>
      <c r="S211" s="28">
        <v>14.0</v>
      </c>
      <c r="T211" s="28">
        <v>34.0</v>
      </c>
      <c r="U211" s="28">
        <v>82.0</v>
      </c>
      <c r="V211" s="28">
        <v>13.0</v>
      </c>
      <c r="W211" s="28" t="s">
        <v>859</v>
      </c>
      <c r="X211" s="28" t="s">
        <v>272</v>
      </c>
      <c r="Y211" s="28">
        <v>3.219489085E9</v>
      </c>
      <c r="Z211" s="28" t="s">
        <v>6714</v>
      </c>
      <c r="AA211" s="28" t="s">
        <v>5639</v>
      </c>
      <c r="AB211" s="23"/>
      <c r="AC211" s="28" t="s">
        <v>27</v>
      </c>
      <c r="AD211" s="23"/>
      <c r="AE211" s="28" t="s">
        <v>18</v>
      </c>
      <c r="AF211" s="23"/>
      <c r="AG211" s="23"/>
      <c r="AH211" s="23" t="str">
        <f>IFERROR(__xludf.DUMMYFUNCTION("IF(
ISNUMBER(MATCH(
C211,
IMPORTRANGE(""https://docs.google.com/spreadsheets/d/1yTh1ELC33JHYOeEdgIiEclxPRyh0zOKtlawDltfUay8"",""'Interns'!A:A""),
0
)),
""Outreach Conducted"",
"""")"),"")</f>
        <v/>
      </c>
      <c r="AI211" s="23"/>
      <c r="AJ211" s="23"/>
      <c r="AK211" s="23" t="str">
        <f>IFERROR(__xludf.DUMMYFUNCTION("XLOOKUP(C211, 
   IMPORTRANGE(""1RdEdgHYrZ33LJ7RUHj_h-qkAFL92bcVjtIdVa-UlsCw"", ""Interns!D:D""), 
   IMPORTRANGE(""1RdEdgHYrZ33LJ7RUHj_h-qkAFL92bcVjtIdVa-UlsCw"", ""Interns!M:M""), 
   ""Not Found"")"),"Contacted")</f>
        <v>Contacted</v>
      </c>
      <c r="AL211" s="23" t="str">
        <f>IFERROR(__xludf.DUMMYFUNCTION("XLOOKUP(C211, 
   IMPORTRANGE(""1RdEdgHYrZ33LJ7RUHj_h-qkAFL92bcVjtIdVa-UlsCw"", ""Interns!D:D""), 
   IMPORTRANGE(""1RdEdgHYrZ33LJ7RUHj_h-qkAFL92bcVjtIdVa-UlsCw"", ""Interns!N:N""), 
   ""Not Found"")"),"#Cheers4Careers")</f>
        <v>#Cheers4Careers</v>
      </c>
      <c r="AM211" s="23" t="str">
        <f>IFERROR(__xludf.DUMMYFUNCTION("XLOOKUP(C211, 
   IMPORTRANGE(""1RdEdgHYrZ33LJ7RUHj_h-qkAFL92bcVjtIdVa-UlsCw"", ""Interns!D:D""), 
   IMPORTRANGE(""1RdEdgHYrZ33LJ7RUHj_h-qkAFL92bcVjtIdVa-UlsCw"", ""Interns!O:O""), 
   ""Not Found"")"),"Hetal reached out by text 3/27 for #Cheers4Careers and whatsapp on 3/28
Hetal reached out on 4/10 by whatsapp for April 18th #Cheers4Careers")</f>
        <v>Hetal reached out by text 3/27 for #Cheers4Careers and whatsapp on 3/28
Hetal reached out on 4/10 by whatsapp for April 18th #Cheers4Careers</v>
      </c>
      <c r="AN211" s="23"/>
      <c r="AO211" s="23" t="s">
        <v>6715</v>
      </c>
      <c r="AP211" s="28"/>
      <c r="AQ211" s="28"/>
      <c r="AR211" s="23">
        <v>6.462953853E9</v>
      </c>
      <c r="AS211" s="23"/>
      <c r="AT211" s="23"/>
      <c r="AU211" s="23"/>
      <c r="AV211" s="23"/>
    </row>
    <row r="212">
      <c r="A212" s="28" t="s">
        <v>5161</v>
      </c>
      <c r="B212" s="28" t="s">
        <v>5162</v>
      </c>
      <c r="C212" s="23" t="str">
        <f t="shared" si="1"/>
        <v>Miguel Angel Duarte Guiterrez</v>
      </c>
      <c r="D212" s="28" t="s">
        <v>6716</v>
      </c>
      <c r="E212" s="28" t="s">
        <v>6717</v>
      </c>
      <c r="F212" s="23">
        <f t="array" ref="F212">IFERROR(
    INDEX('Hub Interns 226'!A:A, MATCH(C212, 'Hub Interns 226'!B:B, 0)),"")</f>
        <v>1016</v>
      </c>
      <c r="G212" s="23">
        <f t="array" ref="G212">IFERROR(
    INDEX('Hub Users 226'!A:A, MATCH(C212, 'Hub Users 226'!B:B, 0)),"")</f>
        <v>1449</v>
      </c>
      <c r="H212" s="28">
        <v>1471.0</v>
      </c>
      <c r="I212" s="28" t="s">
        <v>425</v>
      </c>
      <c r="J212" s="28" t="s">
        <v>5766</v>
      </c>
      <c r="K212" s="28" t="s">
        <v>5463</v>
      </c>
      <c r="L212" s="28" t="s">
        <v>5165</v>
      </c>
      <c r="M212" s="56" t="s">
        <v>6718</v>
      </c>
      <c r="N212" s="57">
        <v>44939.49375</v>
      </c>
      <c r="O212" s="58">
        <v>39822.0</v>
      </c>
      <c r="P212" s="28">
        <f t="shared" si="11"/>
        <v>17</v>
      </c>
      <c r="Q212" s="28" t="s">
        <v>6719</v>
      </c>
      <c r="R212" s="28" t="s">
        <v>6720</v>
      </c>
      <c r="S212" s="28">
        <v>15.0</v>
      </c>
      <c r="T212" s="28">
        <v>33.0</v>
      </c>
      <c r="U212" s="28">
        <v>81.0</v>
      </c>
      <c r="V212" s="28">
        <v>11.0</v>
      </c>
      <c r="W212" s="28" t="s">
        <v>859</v>
      </c>
      <c r="X212" s="28" t="s">
        <v>272</v>
      </c>
      <c r="Y212" s="28" t="s">
        <v>6721</v>
      </c>
      <c r="Z212" s="28" t="s">
        <v>5918</v>
      </c>
      <c r="AA212" s="28" t="s">
        <v>477</v>
      </c>
      <c r="AB212" s="28">
        <v>15.0</v>
      </c>
      <c r="AC212" s="28" t="s">
        <v>25</v>
      </c>
      <c r="AD212" s="23"/>
      <c r="AE212" s="28" t="s">
        <v>17</v>
      </c>
      <c r="AF212" s="23" t="str">
        <f>IFERROR(__xludf.DUMMYFUNCTION("TEXTJOIN("", "", TRUE,
  FILTER(Champions!C:C,
    ISNUMBER(SEARCH(C212, Champions!W:W))
  )
)"),"AUGUSTO SALCEDO, Leif Castren, Madhuri Sesha Sarma, Reina Teeger, Esteban Proaño")</f>
        <v>AUGUSTO SALCEDO, Leif Castren, Madhuri Sesha Sarma, Reina Teeger, Esteban Proaño</v>
      </c>
      <c r="AG212" s="23"/>
      <c r="AH212" s="23" t="str">
        <f>IFERROR(__xludf.DUMMYFUNCTION("IF(
ISNUMBER(MATCH(
C212,
IMPORTRANGE(""https://docs.google.com/spreadsheets/d/1yTh1ELC33JHYOeEdgIiEclxPRyh0zOKtlawDltfUay8"",""'Interns'!A:A""),
0
)),
""Outreach Conducted"",
"""")"),"")</f>
        <v/>
      </c>
      <c r="AI212" s="23"/>
      <c r="AJ212" s="23"/>
      <c r="AK212" s="23" t="str">
        <f>IFERROR(__xludf.DUMMYFUNCTION("XLOOKUP(C212, 
   IMPORTRANGE(""1RdEdgHYrZ33LJ7RUHj_h-qkAFL92bcVjtIdVa-UlsCw"", ""Interns!D:D""), 
   IMPORTRANGE(""1RdEdgHYrZ33LJ7RUHj_h-qkAFL92bcVjtIdVa-UlsCw"", ""Interns!M:M""), 
   ""Not Found"")"),"")</f>
        <v/>
      </c>
      <c r="AL212" s="23" t="str">
        <f>IFERROR(__xludf.DUMMYFUNCTION("XLOOKUP(C212, 
   IMPORTRANGE(""1RdEdgHYrZ33LJ7RUHj_h-qkAFL92bcVjtIdVa-UlsCw"", ""Interns!D:D""), 
   IMPORTRANGE(""1RdEdgHYrZ33LJ7RUHj_h-qkAFL92bcVjtIdVa-UlsCw"", ""Interns!N:N""), 
   ""Not Found"")"),"")</f>
        <v/>
      </c>
      <c r="AM212" s="23" t="str">
        <f>IFERROR(__xludf.DUMMYFUNCTION("XLOOKUP(C212, 
   IMPORTRANGE(""1RdEdgHYrZ33LJ7RUHj_h-qkAFL92bcVjtIdVa-UlsCw"", ""Interns!D:D""), 
   IMPORTRANGE(""1RdEdgHYrZ33LJ7RUHj_h-qkAFL92bcVjtIdVa-UlsCw"", ""Interns!O:O""), 
   ""Not Found"")"),"")</f>
        <v/>
      </c>
      <c r="AN212" s="23"/>
      <c r="AO212" s="23" t="s">
        <v>6722</v>
      </c>
      <c r="AP212" s="28" t="s">
        <v>5182</v>
      </c>
      <c r="AQ212" s="28" t="s">
        <v>6723</v>
      </c>
      <c r="AR212" s="23" t="s">
        <v>6721</v>
      </c>
      <c r="AS212" s="23"/>
      <c r="AT212" s="23"/>
      <c r="AU212" s="23"/>
      <c r="AV212" s="23"/>
    </row>
    <row r="213">
      <c r="A213" s="28" t="s">
        <v>5202</v>
      </c>
      <c r="B213" s="28" t="s">
        <v>5162</v>
      </c>
      <c r="C213" s="23" t="str">
        <f t="shared" si="1"/>
        <v>Justin Lora</v>
      </c>
      <c r="D213" s="28" t="s">
        <v>6724</v>
      </c>
      <c r="E213" s="28" t="s">
        <v>6725</v>
      </c>
      <c r="F213" s="23">
        <f t="array" ref="F213">IFERROR(
    INDEX('Hub Interns 226'!A:A, MATCH(C213, 'Hub Interns 226'!B:B, 0)),"")</f>
        <v>706</v>
      </c>
      <c r="G213" s="23">
        <f t="array" ref="G213">IFERROR(
    INDEX('Hub Users 226'!A:A, MATCH(C213, 'Hub Users 226'!B:B, 0)),"")</f>
        <v>1139</v>
      </c>
      <c r="H213" s="28">
        <v>1247.0</v>
      </c>
      <c r="I213" s="28" t="s">
        <v>269</v>
      </c>
      <c r="J213" s="28" t="s">
        <v>5336</v>
      </c>
      <c r="K213" s="28" t="s">
        <v>5177</v>
      </c>
      <c r="L213" s="28" t="s">
        <v>5165</v>
      </c>
      <c r="M213" s="56" t="s">
        <v>6726</v>
      </c>
      <c r="N213" s="57">
        <v>44840.464583333334</v>
      </c>
      <c r="O213" s="58">
        <v>39043.0</v>
      </c>
      <c r="P213" s="28">
        <f t="shared" si="11"/>
        <v>19</v>
      </c>
      <c r="Q213" s="28" t="s">
        <v>6727</v>
      </c>
      <c r="R213" s="28" t="s">
        <v>6728</v>
      </c>
      <c r="S213" s="28">
        <v>15.0</v>
      </c>
      <c r="T213" s="28">
        <v>29.0</v>
      </c>
      <c r="U213" s="28">
        <v>77.0</v>
      </c>
      <c r="V213" s="28">
        <v>16.0</v>
      </c>
      <c r="W213" s="28" t="s">
        <v>859</v>
      </c>
      <c r="X213" s="28" t="s">
        <v>272</v>
      </c>
      <c r="Y213" s="28" t="s">
        <v>6729</v>
      </c>
      <c r="Z213" s="28" t="s">
        <v>5341</v>
      </c>
      <c r="AA213" s="28" t="s">
        <v>1085</v>
      </c>
      <c r="AB213" s="28">
        <v>10.0</v>
      </c>
      <c r="AC213" s="28" t="s">
        <v>25</v>
      </c>
      <c r="AD213" s="23"/>
      <c r="AE213" s="28" t="s">
        <v>15</v>
      </c>
      <c r="AF213" s="23" t="str">
        <f>IFERROR(__xludf.DUMMYFUNCTION("TEXTJOIN("", "", TRUE,
  FILTER(Champions!C:C,
    ISNUMBER(SEARCH(C213, Champions!W:W))
  )
)"),"Frank Guia")</f>
        <v>Frank Guia</v>
      </c>
      <c r="AG213" s="26" t="s">
        <v>5342</v>
      </c>
      <c r="AH213" s="23" t="str">
        <f>IFERROR(__xludf.DUMMYFUNCTION("IF(
ISNUMBER(MATCH(
C213,
IMPORTRANGE(""https://docs.google.com/spreadsheets/d/1yTh1ELC33JHYOeEdgIiEclxPRyh0zOKtlawDltfUay8"",""'Interns'!A:A""),
0
)),
""Outreach Conducted"",
"""")"),"")</f>
        <v/>
      </c>
      <c r="AI213" s="23"/>
      <c r="AJ213" s="23"/>
      <c r="AK213" s="23" t="str">
        <f>IFERROR(__xludf.DUMMYFUNCTION("XLOOKUP(C213, 
   IMPORTRANGE(""1RdEdgHYrZ33LJ7RUHj_h-qkAFL92bcVjtIdVa-UlsCw"", ""Interns!D:D""), 
   IMPORTRANGE(""1RdEdgHYrZ33LJ7RUHj_h-qkAFL92bcVjtIdVa-UlsCw"", ""Interns!M:M""), 
   ""Not Found"")"),"")</f>
        <v/>
      </c>
      <c r="AL213" s="23" t="str">
        <f>IFERROR(__xludf.DUMMYFUNCTION("XLOOKUP(C213, 
   IMPORTRANGE(""1RdEdgHYrZ33LJ7RUHj_h-qkAFL92bcVjtIdVa-UlsCw"", ""Interns!D:D""), 
   IMPORTRANGE(""1RdEdgHYrZ33LJ7RUHj_h-qkAFL92bcVjtIdVa-UlsCw"", ""Interns!N:N""), 
   ""Not Found"")"),"")</f>
        <v/>
      </c>
      <c r="AM213" s="23" t="str">
        <f>IFERROR(__xludf.DUMMYFUNCTION("XLOOKUP(C213, 
   IMPORTRANGE(""1RdEdgHYrZ33LJ7RUHj_h-qkAFL92bcVjtIdVa-UlsCw"", ""Interns!D:D""), 
   IMPORTRANGE(""1RdEdgHYrZ33LJ7RUHj_h-qkAFL92bcVjtIdVa-UlsCw"", ""Interns!O:O""), 
   ""Not Found"")"),"")</f>
        <v/>
      </c>
      <c r="AN213" s="23"/>
      <c r="AO213" s="23" t="s">
        <v>6730</v>
      </c>
      <c r="AP213" s="28" t="s">
        <v>5182</v>
      </c>
      <c r="AQ213" s="28" t="s">
        <v>6731</v>
      </c>
      <c r="AR213" s="23" t="s">
        <v>6732</v>
      </c>
      <c r="AS213" s="23"/>
      <c r="AT213" s="23"/>
      <c r="AU213" s="23"/>
      <c r="AV213" s="23"/>
    </row>
    <row r="214">
      <c r="A214" s="28" t="s">
        <v>5161</v>
      </c>
      <c r="B214" s="28" t="s">
        <v>5162</v>
      </c>
      <c r="C214" s="23" t="str">
        <f t="shared" si="1"/>
        <v>Sebastian Perez Obregon</v>
      </c>
      <c r="D214" s="28" t="s">
        <v>6733</v>
      </c>
      <c r="E214" s="28" t="s">
        <v>6734</v>
      </c>
      <c r="F214" s="23">
        <f t="array" ref="F214">IFERROR(
    INDEX('Hub Interns 226'!A:A, MATCH(C214, 'Hub Interns 226'!B:B, 0)),"")</f>
        <v>1745</v>
      </c>
      <c r="G214" s="23">
        <f t="array" ref="G214">IFERROR(
    INDEX('Hub Users 226'!A:A, MATCH(C214, 'Hub Users 226'!B:B, 0)),"")</f>
        <v>2575</v>
      </c>
      <c r="H214" s="28">
        <v>1820.0</v>
      </c>
      <c r="I214" s="28" t="s">
        <v>269</v>
      </c>
      <c r="J214" s="28" t="s">
        <v>5766</v>
      </c>
      <c r="K214" s="28" t="s">
        <v>5463</v>
      </c>
      <c r="L214" s="28" t="s">
        <v>5165</v>
      </c>
      <c r="M214" s="56" t="s">
        <v>6735</v>
      </c>
      <c r="N214" s="57">
        <v>45415.58888888889</v>
      </c>
      <c r="O214" s="58">
        <v>40516.0</v>
      </c>
      <c r="P214" s="28">
        <f t="shared" si="11"/>
        <v>15</v>
      </c>
      <c r="Q214" s="28" t="s">
        <v>240</v>
      </c>
      <c r="R214" s="28" t="s">
        <v>6736</v>
      </c>
      <c r="S214" s="28"/>
      <c r="T214" s="28"/>
      <c r="U214" s="28"/>
      <c r="V214" s="28"/>
      <c r="W214" s="28" t="s">
        <v>1173</v>
      </c>
      <c r="X214" s="28" t="s">
        <v>272</v>
      </c>
      <c r="Y214" s="28" t="s">
        <v>6737</v>
      </c>
      <c r="Z214" s="28" t="s">
        <v>5352</v>
      </c>
      <c r="AA214" s="28" t="s">
        <v>5287</v>
      </c>
      <c r="AB214" s="28">
        <v>26.0</v>
      </c>
      <c r="AC214" s="28" t="s">
        <v>27</v>
      </c>
      <c r="AD214" s="23"/>
      <c r="AE214" s="28" t="s">
        <v>18</v>
      </c>
      <c r="AF214" s="23"/>
      <c r="AG214" s="23"/>
      <c r="AH214" s="23" t="str">
        <f>IFERROR(__xludf.DUMMYFUNCTION("IF(
ISNUMBER(MATCH(
C214,
IMPORTRANGE(""https://docs.google.com/spreadsheets/d/1yTh1ELC33JHYOeEdgIiEclxPRyh0zOKtlawDltfUay8"",""'Interns'!A:A""),
0
)),
""Outreach Conducted"",
"""")"),"")</f>
        <v/>
      </c>
      <c r="AI214" s="23"/>
      <c r="AJ214" s="23"/>
      <c r="AK214" s="23" t="str">
        <f>IFERROR(__xludf.DUMMYFUNCTION("XLOOKUP(C214, 
   IMPORTRANGE(""1RdEdgHYrZ33LJ7RUHj_h-qkAFL92bcVjtIdVa-UlsCw"", ""Interns!D:D""), 
   IMPORTRANGE(""1RdEdgHYrZ33LJ7RUHj_h-qkAFL92bcVjtIdVa-UlsCw"", ""Interns!M:M""), 
   ""Not Found"")"),"Contacted")</f>
        <v>Contacted</v>
      </c>
      <c r="AL214" s="23" t="str">
        <f>IFERROR(__xludf.DUMMYFUNCTION("XLOOKUP(C214, 
   IMPORTRANGE(""1RdEdgHYrZ33LJ7RUHj_h-qkAFL92bcVjtIdVa-UlsCw"", ""Interns!D:D""), 
   IMPORTRANGE(""1RdEdgHYrZ33LJ7RUHj_h-qkAFL92bcVjtIdVa-UlsCw"", ""Interns!N:N""), 
   ""Not Found"")"),"#Cheers4Careers")</f>
        <v>#Cheers4Careers</v>
      </c>
      <c r="AM214" s="23" t="str">
        <f>IFERROR(__xludf.DUMMYFUNCTION("XLOOKUP(C214, 
   IMPORTRANGE(""1RdEdgHYrZ33LJ7RUHj_h-qkAFL92bcVjtIdVa-UlsCw"", ""Interns!D:D""), 
   IMPORTRANGE(""1RdEdgHYrZ33LJ7RUHj_h-qkAFL92bcVjtIdVa-UlsCw"", ""Interns!O:O""), 
   ""Not Found"")"),"Hetal reached out by email 3/27")</f>
        <v>Hetal reached out by email 3/27</v>
      </c>
      <c r="AN214" s="23"/>
      <c r="AO214" s="23" t="s">
        <v>6738</v>
      </c>
      <c r="AP214" s="28" t="s">
        <v>5182</v>
      </c>
      <c r="AQ214" s="28"/>
      <c r="AR214" s="23"/>
      <c r="AS214" s="23"/>
      <c r="AT214" s="23"/>
      <c r="AU214" s="23"/>
      <c r="AV214" s="23"/>
    </row>
    <row r="215">
      <c r="A215" s="28" t="s">
        <v>5161</v>
      </c>
      <c r="B215" s="28" t="s">
        <v>5162</v>
      </c>
      <c r="C215" s="23" t="str">
        <f t="shared" si="1"/>
        <v>Alison Torres</v>
      </c>
      <c r="D215" s="28" t="s">
        <v>5461</v>
      </c>
      <c r="E215" s="28" t="s">
        <v>6739</v>
      </c>
      <c r="F215" s="23">
        <f t="array" ref="F215">IFERROR(
    INDEX('Hub Interns 226'!A:A, MATCH("Alison Torres Cualchi", 'Hub Interns 226'!B:B, 0)),"")</f>
        <v>74</v>
      </c>
      <c r="G215" s="23">
        <f t="array" ref="G215">IFERROR(
    INDEX('Hub Users 226'!A:A, MATCH("Alison Torres Cualchi", 'Hub Users 226'!B:B, 0)),"")</f>
        <v>507</v>
      </c>
      <c r="H215" s="28">
        <v>1495.0</v>
      </c>
      <c r="I215" s="28" t="s">
        <v>407</v>
      </c>
      <c r="J215" s="28" t="s">
        <v>2388</v>
      </c>
      <c r="K215" s="28" t="s">
        <v>5463</v>
      </c>
      <c r="L215" s="28" t="s">
        <v>5196</v>
      </c>
      <c r="M215" s="56" t="s">
        <v>6740</v>
      </c>
      <c r="N215" s="57">
        <v>44949.645833333336</v>
      </c>
      <c r="O215" s="58">
        <v>37837.0</v>
      </c>
      <c r="P215" s="28">
        <f t="shared" si="11"/>
        <v>22</v>
      </c>
      <c r="Q215" s="28" t="s">
        <v>240</v>
      </c>
      <c r="R215" s="28" t="s">
        <v>6741</v>
      </c>
      <c r="S215" s="28">
        <v>5.0</v>
      </c>
      <c r="T215" s="28">
        <v>15.0</v>
      </c>
      <c r="U215" s="28">
        <v>38.0</v>
      </c>
      <c r="V215" s="28">
        <v>29.0</v>
      </c>
      <c r="W215" s="28" t="s">
        <v>1173</v>
      </c>
      <c r="X215" s="28" t="s">
        <v>272</v>
      </c>
      <c r="Y215" s="28" t="s">
        <v>6742</v>
      </c>
      <c r="Z215" s="28" t="s">
        <v>5259</v>
      </c>
      <c r="AA215" s="28" t="s">
        <v>704</v>
      </c>
      <c r="AB215" s="28">
        <v>2.0</v>
      </c>
      <c r="AC215" s="28" t="s">
        <v>23</v>
      </c>
      <c r="AD215" s="28" t="s">
        <v>101</v>
      </c>
      <c r="AE215" s="28" t="s">
        <v>15</v>
      </c>
      <c r="AF215" s="23"/>
      <c r="AG215" s="23"/>
      <c r="AH215" s="23" t="str">
        <f>IFERROR(__xludf.DUMMYFUNCTION("IF(
ISNUMBER(MATCH(
C215,
IMPORTRANGE(""https://docs.google.com/spreadsheets/d/1yTh1ELC33JHYOeEdgIiEclxPRyh0zOKtlawDltfUay8"",""'Interns'!A:A""),
0
)),
""Outreach Conducted"",
"""")"),"")</f>
        <v/>
      </c>
      <c r="AI215" s="23"/>
      <c r="AJ215" s="23"/>
      <c r="AK215" s="23" t="str">
        <f>IFERROR(__xludf.DUMMYFUNCTION("XLOOKUP(C215, 
   IMPORTRANGE(""1RdEdgHYrZ33LJ7RUHj_h-qkAFL92bcVjtIdVa-UlsCw"", ""Interns!D:D""), 
   IMPORTRANGE(""1RdEdgHYrZ33LJ7RUHj_h-qkAFL92bcVjtIdVa-UlsCw"", ""Interns!M:M""), 
   ""Not Found"")"),"Contacted")</f>
        <v>Contacted</v>
      </c>
      <c r="AL215" s="23" t="str">
        <f>IFERROR(__xludf.DUMMYFUNCTION("XLOOKUP(C215, 
   IMPORTRANGE(""1RdEdgHYrZ33LJ7RUHj_h-qkAFL92bcVjtIdVa-UlsCw"", ""Interns!D:D""), 
   IMPORTRANGE(""1RdEdgHYrZ33LJ7RUHj_h-qkAFL92bcVjtIdVa-UlsCw"", ""Interns!N:N""), 
   ""Not Found"")"),"#Cheers4Careers")</f>
        <v>#Cheers4Careers</v>
      </c>
      <c r="AM215" s="23" t="str">
        <f>IFERROR(__xludf.DUMMYFUNCTION("XLOOKUP(C215, 
   IMPORTRANGE(""1RdEdgHYrZ33LJ7RUHj_h-qkAFL92bcVjtIdVa-UlsCw"", ""Interns!D:D""), 
   IMPORTRANGE(""1RdEdgHYrZ33LJ7RUHj_h-qkAFL92bcVjtIdVa-UlsCw"", ""Interns!O:O""), 
   ""Not Found"")"),"Ousmane reached out by email 3/26 and reach out by text 3/28")</f>
        <v>Ousmane reached out by email 3/26 and reach out by text 3/28</v>
      </c>
      <c r="AN215" s="23"/>
      <c r="AO215" s="23" t="s">
        <v>6743</v>
      </c>
      <c r="AP215" s="28" t="s">
        <v>5182</v>
      </c>
      <c r="AQ215" s="28"/>
      <c r="AR215" s="23"/>
      <c r="AS215" s="23"/>
      <c r="AT215" s="23"/>
      <c r="AU215" s="23"/>
      <c r="AV215" s="23"/>
    </row>
    <row r="216">
      <c r="A216" s="28" t="s">
        <v>5161</v>
      </c>
      <c r="B216" s="28" t="s">
        <v>5162</v>
      </c>
      <c r="C216" s="23" t="str">
        <f t="shared" si="1"/>
        <v>Jhan Motta</v>
      </c>
      <c r="D216" s="28" t="s">
        <v>6744</v>
      </c>
      <c r="E216" s="28" t="s">
        <v>6745</v>
      </c>
      <c r="F216" s="23">
        <f t="array" ref="F216">IFERROR(
    INDEX('Hub Interns 226'!A:A, MATCH(C216, 'Hub Interns 226'!B:B, 0)),"")</f>
        <v>659</v>
      </c>
      <c r="G216" s="23">
        <f t="array" ref="G216">IFERROR(
    INDEX('Hub Users 226'!A:A, MATCH(C216, 'Hub Users 226'!B:B, 0)),"")</f>
        <v>1092</v>
      </c>
      <c r="H216" s="28">
        <v>1479.0</v>
      </c>
      <c r="I216" s="28" t="s">
        <v>269</v>
      </c>
      <c r="J216" s="28" t="s">
        <v>5766</v>
      </c>
      <c r="K216" s="28" t="s">
        <v>5463</v>
      </c>
      <c r="L216" s="28" t="s">
        <v>5165</v>
      </c>
      <c r="M216" s="56" t="s">
        <v>54</v>
      </c>
      <c r="N216" s="57">
        <v>44939.614583333336</v>
      </c>
      <c r="O216" s="58">
        <v>38071.0</v>
      </c>
      <c r="P216" s="28">
        <f t="shared" si="11"/>
        <v>22</v>
      </c>
      <c r="Q216" s="28" t="s">
        <v>6746</v>
      </c>
      <c r="R216" s="28" t="s">
        <v>6747</v>
      </c>
      <c r="S216" s="28">
        <v>14.0</v>
      </c>
      <c r="T216" s="28">
        <v>13.0</v>
      </c>
      <c r="U216" s="28">
        <v>39.0</v>
      </c>
      <c r="V216" s="28">
        <v>25.0</v>
      </c>
      <c r="W216" s="28" t="s">
        <v>1173</v>
      </c>
      <c r="X216" s="28" t="s">
        <v>272</v>
      </c>
      <c r="Y216" s="28" t="s">
        <v>6748</v>
      </c>
      <c r="Z216" s="28" t="s">
        <v>5259</v>
      </c>
      <c r="AA216" s="28" t="s">
        <v>704</v>
      </c>
      <c r="AB216" s="28">
        <v>2.0</v>
      </c>
      <c r="AC216" s="28" t="s">
        <v>25</v>
      </c>
      <c r="AD216" s="28" t="s">
        <v>101</v>
      </c>
      <c r="AE216" s="28" t="s">
        <v>15</v>
      </c>
      <c r="AF216" s="23" t="str">
        <f>IFERROR(__xludf.DUMMYFUNCTION("TEXTJOIN("", "", TRUE,
  FILTER(Champions!C:C,
    ISNUMBER(SEARCH(C216, Champions!W:W))
  )
)"),"Diane French, Rosie Chu")</f>
        <v>Diane French, Rosie Chu</v>
      </c>
      <c r="AG216" s="26" t="s">
        <v>5697</v>
      </c>
      <c r="AH216" s="23" t="str">
        <f>IFERROR(__xludf.DUMMYFUNCTION("IF(
ISNUMBER(MATCH(
C216,
IMPORTRANGE(""https://docs.google.com/spreadsheets/d/1yTh1ELC33JHYOeEdgIiEclxPRyh0zOKtlawDltfUay8"",""'Interns'!A:A""),
0
)),
""Outreach Conducted"",
"""")"),"")</f>
        <v/>
      </c>
      <c r="AI216" s="23"/>
      <c r="AJ216" s="23"/>
      <c r="AK216" s="23" t="str">
        <f>IFERROR(__xludf.DUMMYFUNCTION("XLOOKUP(C216, 
   IMPORTRANGE(""1RdEdgHYrZ33LJ7RUHj_h-qkAFL92bcVjtIdVa-UlsCw"", ""Interns!D:D""), 
   IMPORTRANGE(""1RdEdgHYrZ33LJ7RUHj_h-qkAFL92bcVjtIdVa-UlsCw"", ""Interns!M:M""), 
   ""Not Found"")"),"")</f>
        <v/>
      </c>
      <c r="AL216" s="23" t="str">
        <f>IFERROR(__xludf.DUMMYFUNCTION("XLOOKUP(C216, 
   IMPORTRANGE(""1RdEdgHYrZ33LJ7RUHj_h-qkAFL92bcVjtIdVa-UlsCw"", ""Interns!D:D""), 
   IMPORTRANGE(""1RdEdgHYrZ33LJ7RUHj_h-qkAFL92bcVjtIdVa-UlsCw"", ""Interns!N:N""), 
   ""Not Found"")"),"")</f>
        <v/>
      </c>
      <c r="AM216" s="23" t="str">
        <f>IFERROR(__xludf.DUMMYFUNCTION("XLOOKUP(C216, 
   IMPORTRANGE(""1RdEdgHYrZ33LJ7RUHj_h-qkAFL92bcVjtIdVa-UlsCw"", ""Interns!D:D""), 
   IMPORTRANGE(""1RdEdgHYrZ33LJ7RUHj_h-qkAFL92bcVjtIdVa-UlsCw"", ""Interns!O:O""), 
   ""Not Found"")"),"")</f>
        <v/>
      </c>
      <c r="AN216" s="23"/>
      <c r="AO216" s="23" t="s">
        <v>6749</v>
      </c>
      <c r="AP216" s="28" t="s">
        <v>5182</v>
      </c>
      <c r="AQ216" s="28" t="s">
        <v>6750</v>
      </c>
      <c r="AR216" s="23" t="s">
        <v>6751</v>
      </c>
      <c r="AS216" s="23"/>
      <c r="AT216" s="23"/>
      <c r="AU216" s="23"/>
      <c r="AV216" s="23"/>
    </row>
    <row r="217">
      <c r="A217" s="28" t="s">
        <v>5161</v>
      </c>
      <c r="B217" s="28" t="s">
        <v>5162</v>
      </c>
      <c r="C217" s="23" t="str">
        <f t="shared" si="1"/>
        <v>Laura Puentes</v>
      </c>
      <c r="D217" s="28" t="s">
        <v>2065</v>
      </c>
      <c r="E217" s="28" t="s">
        <v>6752</v>
      </c>
      <c r="F217" s="23">
        <f t="array" ref="F217">IFERROR(
    INDEX('Hub Interns 226'!A:A, MATCH(C217, 'Hub Interns 226'!B:B, 0)),"")</f>
        <v>446</v>
      </c>
      <c r="G217" s="23">
        <f t="array" ref="G217">IFERROR(
    INDEX('Hub Users 226'!A:A, MATCH(C217, 'Hub Users 226'!B:B, 0)),"")</f>
        <v>879</v>
      </c>
      <c r="H217" s="28">
        <v>565.0</v>
      </c>
      <c r="I217" s="28" t="s">
        <v>407</v>
      </c>
      <c r="J217" s="28" t="s">
        <v>5766</v>
      </c>
      <c r="K217" s="28" t="s">
        <v>5463</v>
      </c>
      <c r="L217" s="28" t="s">
        <v>5196</v>
      </c>
      <c r="M217" s="56" t="s">
        <v>6753</v>
      </c>
      <c r="N217" s="57">
        <v>44478.604166666664</v>
      </c>
      <c r="O217" s="58">
        <v>38230.0</v>
      </c>
      <c r="P217" s="28">
        <f t="shared" si="11"/>
        <v>21</v>
      </c>
      <c r="Q217" s="28" t="s">
        <v>240</v>
      </c>
      <c r="R217" s="28" t="s">
        <v>6754</v>
      </c>
      <c r="S217" s="28">
        <v>7.0</v>
      </c>
      <c r="T217" s="28">
        <v>12.0</v>
      </c>
      <c r="U217" s="28">
        <v>37.0</v>
      </c>
      <c r="V217" s="28">
        <v>26.0</v>
      </c>
      <c r="W217" s="28" t="s">
        <v>1173</v>
      </c>
      <c r="X217" s="28" t="s">
        <v>272</v>
      </c>
      <c r="Y217" s="28" t="s">
        <v>6755</v>
      </c>
      <c r="Z217" s="28" t="s">
        <v>5189</v>
      </c>
      <c r="AA217" s="28" t="s">
        <v>619</v>
      </c>
      <c r="AB217" s="28">
        <v>20.0</v>
      </c>
      <c r="AC217" s="28" t="s">
        <v>25</v>
      </c>
      <c r="AD217" s="23"/>
      <c r="AE217" s="28" t="s">
        <v>10</v>
      </c>
      <c r="AF217" s="23" t="str">
        <f>IFERROR(__xludf.DUMMYFUNCTION("TEXTJOIN("", "", TRUE,
  FILTER(Champions!C:C,
    ISNUMBER(SEARCH(C217, Champions!W:W))
  )
)"),"Lata Murti, Tiffany Soojung Park")</f>
        <v>Lata Murti, Tiffany Soojung Park</v>
      </c>
      <c r="AG217" s="23"/>
      <c r="AH217" s="23" t="str">
        <f>IFERROR(__xludf.DUMMYFUNCTION("IF(
ISNUMBER(MATCH(
C217,
IMPORTRANGE(""https://docs.google.com/spreadsheets/d/1yTh1ELC33JHYOeEdgIiEclxPRyh0zOKtlawDltfUay8"",""'Interns'!A:A""),
0
)),
""Outreach Conducted"",
"""")"),"")</f>
        <v/>
      </c>
      <c r="AI217" s="23"/>
      <c r="AJ217" s="23"/>
      <c r="AK217" s="23" t="str">
        <f>IFERROR(__xludf.DUMMYFUNCTION("XLOOKUP(C217, 
   IMPORTRANGE(""1RdEdgHYrZ33LJ7RUHj_h-qkAFL92bcVjtIdVa-UlsCw"", ""Interns!D:D""), 
   IMPORTRANGE(""1RdEdgHYrZ33LJ7RUHj_h-qkAFL92bcVjtIdVa-UlsCw"", ""Interns!M:M""), 
   ""Not Found"")"),"Contacted")</f>
        <v>Contacted</v>
      </c>
      <c r="AL217" s="23" t="str">
        <f>IFERROR(__xludf.DUMMYFUNCTION("XLOOKUP(C217, 
   IMPORTRANGE(""1RdEdgHYrZ33LJ7RUHj_h-qkAFL92bcVjtIdVa-UlsCw"", ""Interns!D:D""), 
   IMPORTRANGE(""1RdEdgHYrZ33LJ7RUHj_h-qkAFL92bcVjtIdVa-UlsCw"", ""Interns!N:N""), 
   ""Not Found"")"),"#Cheers4Careers")</f>
        <v>#Cheers4Careers</v>
      </c>
      <c r="AM217" s="23" t="str">
        <f>IFERROR(__xludf.DUMMYFUNCTION("XLOOKUP(C217, 
   IMPORTRANGE(""1RdEdgHYrZ33LJ7RUHj_h-qkAFL92bcVjtIdVa-UlsCw"", ""Interns!D:D""), 
   IMPORTRANGE(""1RdEdgHYrZ33LJ7RUHj_h-qkAFL92bcVjtIdVa-UlsCw"", ""Interns!O:O""), 
   ""Not Found"")"),"Hetal reached out by email 3/27 followed by text")</f>
        <v>Hetal reached out by email 3/27 followed by text</v>
      </c>
      <c r="AN217" s="23"/>
      <c r="AO217" s="23" t="s">
        <v>6756</v>
      </c>
      <c r="AP217" s="28" t="s">
        <v>5182</v>
      </c>
      <c r="AQ217" s="28" t="s">
        <v>6757</v>
      </c>
      <c r="AR217" s="23" t="s">
        <v>6758</v>
      </c>
      <c r="AS217" s="23"/>
      <c r="AT217" s="23"/>
      <c r="AU217" s="23"/>
      <c r="AV217" s="23"/>
    </row>
    <row r="218">
      <c r="A218" s="28" t="s">
        <v>5161</v>
      </c>
      <c r="B218" s="28" t="s">
        <v>5162</v>
      </c>
      <c r="C218" s="23" t="str">
        <f t="shared" si="1"/>
        <v>Andrea Moreno</v>
      </c>
      <c r="D218" s="28" t="s">
        <v>422</v>
      </c>
      <c r="E218" s="28" t="s">
        <v>6759</v>
      </c>
      <c r="F218" s="23">
        <f t="array" ref="F218">IFERROR(
    INDEX('Hub Interns 226'!A:A, MATCH(C218, 'Hub Interns 226'!B:B, 0)),"")</f>
        <v>1616</v>
      </c>
      <c r="G218" s="23">
        <f t="array" ref="G218">IFERROR(
    INDEX('Hub Users 226'!A:A, MATCH(C218, 'Hub Users 226'!B:B, 0)),"")</f>
        <v>2220</v>
      </c>
      <c r="H218" s="28">
        <v>1876.0</v>
      </c>
      <c r="I218" s="28"/>
      <c r="J218" s="28" t="s">
        <v>5766</v>
      </c>
      <c r="K218" s="28" t="s">
        <v>5463</v>
      </c>
      <c r="L218" s="28" t="s">
        <v>5196</v>
      </c>
      <c r="M218" s="56" t="s">
        <v>6760</v>
      </c>
      <c r="N218" s="62">
        <v>45693.561111111114</v>
      </c>
      <c r="O218" s="58">
        <v>39090.0</v>
      </c>
      <c r="P218" s="28">
        <f t="shared" si="11"/>
        <v>19</v>
      </c>
      <c r="Q218" s="23"/>
      <c r="R218" s="28" t="s">
        <v>6761</v>
      </c>
      <c r="S218" s="28">
        <v>13.0</v>
      </c>
      <c r="T218" s="28">
        <v>31.0</v>
      </c>
      <c r="U218" s="28">
        <v>72.0</v>
      </c>
      <c r="V218" s="28">
        <v>10.0</v>
      </c>
      <c r="W218" s="28" t="s">
        <v>271</v>
      </c>
      <c r="X218" s="28" t="s">
        <v>272</v>
      </c>
      <c r="Y218" s="28" t="s">
        <v>6762</v>
      </c>
      <c r="Z218" s="28" t="s">
        <v>5853</v>
      </c>
      <c r="AA218" s="28" t="s">
        <v>704</v>
      </c>
      <c r="AB218" s="28">
        <v>2.0</v>
      </c>
      <c r="AC218" s="28" t="s">
        <v>25</v>
      </c>
      <c r="AD218" s="23"/>
      <c r="AE218" s="28" t="s">
        <v>19</v>
      </c>
      <c r="AF218" s="23" t="str">
        <f>IFERROR(__xludf.DUMMYFUNCTION("TEXTJOIN("", "", TRUE,
  FILTER(Champions!C:C,
    ISNUMBER(SEARCH(C218, Champions!W:W))
  )
)"),"Michael Dougherty, Prasanna Vijayanathan")</f>
        <v>Michael Dougherty, Prasanna Vijayanathan</v>
      </c>
      <c r="AG218" s="23"/>
      <c r="AH218" s="23" t="str">
        <f>IFERROR(__xludf.DUMMYFUNCTION("IF(
ISNUMBER(MATCH(
C218,
IMPORTRANGE(""https://docs.google.com/spreadsheets/d/1yTh1ELC33JHYOeEdgIiEclxPRyh0zOKtlawDltfUay8"",""'Interns'!A:A""),
0
)),
""Outreach Conducted"",
"""")"),"")</f>
        <v/>
      </c>
      <c r="AI218" s="23"/>
      <c r="AJ218" s="23"/>
      <c r="AK218" s="23" t="str">
        <f>IFERROR(__xludf.DUMMYFUNCTION("XLOOKUP(C218, 
   IMPORTRANGE(""1RdEdgHYrZ33LJ7RUHj_h-qkAFL92bcVjtIdVa-UlsCw"", ""Interns!D:D""), 
   IMPORTRANGE(""1RdEdgHYrZ33LJ7RUHj_h-qkAFL92bcVjtIdVa-UlsCw"", ""Interns!M:M""), 
   ""Not Found"")"),"Contacted")</f>
        <v>Contacted</v>
      </c>
      <c r="AL218" s="23" t="str">
        <f>IFERROR(__xludf.DUMMYFUNCTION("XLOOKUP(C218, 
   IMPORTRANGE(""1RdEdgHYrZ33LJ7RUHj_h-qkAFL92bcVjtIdVa-UlsCw"", ""Interns!D:D""), 
   IMPORTRANGE(""1RdEdgHYrZ33LJ7RUHj_h-qkAFL92bcVjtIdVa-UlsCw"", ""Interns!N:N""), 
   ""Not Found"")"),"#Cheers4Careers")</f>
        <v>#Cheers4Careers</v>
      </c>
      <c r="AM218" s="23" t="str">
        <f>IFERROR(__xludf.DUMMYFUNCTION("XLOOKUP(C218, 
   IMPORTRANGE(""1RdEdgHYrZ33LJ7RUHj_h-qkAFL92bcVjtIdVa-UlsCw"", ""Interns!D:D""), 
   IMPORTRANGE(""1RdEdgHYrZ33LJ7RUHj_h-qkAFL92bcVjtIdVa-UlsCw"", ""Interns!O:O""), 
   ""Not Found"")"),"Ousmane reached out by email 3/26 and reach out by text 3/28")</f>
        <v>Ousmane reached out by email 3/26 and reach out by text 3/28</v>
      </c>
      <c r="AN218" s="23"/>
      <c r="AO218" s="23" t="s">
        <v>6763</v>
      </c>
      <c r="AP218" s="28" t="s">
        <v>5182</v>
      </c>
      <c r="AQ218" s="28" t="s">
        <v>6764</v>
      </c>
      <c r="AR218" s="23" t="s">
        <v>6765</v>
      </c>
      <c r="AS218" s="23"/>
      <c r="AT218" s="23"/>
      <c r="AU218" s="23"/>
      <c r="AV218" s="23"/>
    </row>
    <row r="219">
      <c r="A219" s="28" t="s">
        <v>5161</v>
      </c>
      <c r="B219" s="28" t="s">
        <v>5162</v>
      </c>
      <c r="C219" s="23" t="str">
        <f t="shared" si="1"/>
        <v>Alison Torres Cualchi</v>
      </c>
      <c r="D219" s="28" t="s">
        <v>5461</v>
      </c>
      <c r="E219" s="28" t="s">
        <v>6766</v>
      </c>
      <c r="F219" s="23">
        <f t="array" ref="F219">IFERROR(
    INDEX('Hub Interns 226'!A:A, MATCH(C219, 'Hub Interns 226'!B:B, 0)),"")</f>
        <v>74</v>
      </c>
      <c r="G219" s="23">
        <f t="array" ref="G219">IFERROR(
    INDEX('Hub Users 226'!A:A, MATCH(C219, 'Hub Users 226'!B:B, 0)),"")</f>
        <v>507</v>
      </c>
      <c r="H219" s="28">
        <v>1151.0</v>
      </c>
      <c r="I219" s="28" t="s">
        <v>407</v>
      </c>
      <c r="J219" s="28" t="s">
        <v>2388</v>
      </c>
      <c r="K219" s="28" t="s">
        <v>5463</v>
      </c>
      <c r="L219" s="28" t="s">
        <v>5196</v>
      </c>
      <c r="M219" s="56" t="s">
        <v>6740</v>
      </c>
      <c r="N219" s="57">
        <v>44749.67291666667</v>
      </c>
      <c r="O219" s="58">
        <v>37837.0</v>
      </c>
      <c r="P219" s="28">
        <f t="shared" si="11"/>
        <v>22</v>
      </c>
      <c r="Q219" s="28" t="s">
        <v>240</v>
      </c>
      <c r="R219" s="28" t="s">
        <v>6767</v>
      </c>
      <c r="S219" s="28">
        <v>10.0</v>
      </c>
      <c r="T219" s="28">
        <v>27.0</v>
      </c>
      <c r="U219" s="28">
        <v>74.0</v>
      </c>
      <c r="V219" s="28">
        <v>2.0</v>
      </c>
      <c r="W219" s="28" t="s">
        <v>271</v>
      </c>
      <c r="X219" s="28" t="s">
        <v>272</v>
      </c>
      <c r="Y219" s="28" t="s">
        <v>6742</v>
      </c>
      <c r="Z219" s="28" t="s">
        <v>5259</v>
      </c>
      <c r="AA219" s="28" t="s">
        <v>704</v>
      </c>
      <c r="AB219" s="28">
        <v>2.0</v>
      </c>
      <c r="AC219" s="28" t="s">
        <v>23</v>
      </c>
      <c r="AD219" s="23"/>
      <c r="AE219" s="28" t="s">
        <v>15</v>
      </c>
      <c r="AF219" s="23"/>
      <c r="AG219" s="23"/>
      <c r="AH219" s="23" t="str">
        <f>IFERROR(__xludf.DUMMYFUNCTION("IF(
ISNUMBER(MATCH(
C219,
IMPORTRANGE(""https://docs.google.com/spreadsheets/d/1yTh1ELC33JHYOeEdgIiEclxPRyh0zOKtlawDltfUay8"",""'Interns'!A:A""),
0
)),
""Outreach Conducted"",
"""")"),"")</f>
        <v/>
      </c>
      <c r="AI219" s="23"/>
      <c r="AJ219" s="23"/>
      <c r="AK219" s="23" t="str">
        <f>IFERROR(__xludf.DUMMYFUNCTION("XLOOKUP(C219, 
   IMPORTRANGE(""1RdEdgHYrZ33LJ7RUHj_h-qkAFL92bcVjtIdVa-UlsCw"", ""Interns!D:D""), 
   IMPORTRANGE(""1RdEdgHYrZ33LJ7RUHj_h-qkAFL92bcVjtIdVa-UlsCw"", ""Interns!M:M""), 
   ""Not Found"")"),"Contacted")</f>
        <v>Contacted</v>
      </c>
      <c r="AL219" s="23" t="str">
        <f>IFERROR(__xludf.DUMMYFUNCTION("XLOOKUP(C219, 
   IMPORTRANGE(""1RdEdgHYrZ33LJ7RUHj_h-qkAFL92bcVjtIdVa-UlsCw"", ""Interns!D:D""), 
   IMPORTRANGE(""1RdEdgHYrZ33LJ7RUHj_h-qkAFL92bcVjtIdVa-UlsCw"", ""Interns!N:N""), 
   ""Not Found"")"),"#Cheers4Careers")</f>
        <v>#Cheers4Careers</v>
      </c>
      <c r="AM219" s="23" t="str">
        <f>IFERROR(__xludf.DUMMYFUNCTION("XLOOKUP(C219, 
   IMPORTRANGE(""1RdEdgHYrZ33LJ7RUHj_h-qkAFL92bcVjtIdVa-UlsCw"", ""Interns!D:D""), 
   IMPORTRANGE(""1RdEdgHYrZ33LJ7RUHj_h-qkAFL92bcVjtIdVa-UlsCw"", ""Interns!O:O""), 
   ""Not Found"")"),"Ousmane reached out by email 3/26 and reach out by text 3/28")</f>
        <v>Ousmane reached out by email 3/26 and reach out by text 3/28</v>
      </c>
      <c r="AN219" s="23"/>
      <c r="AO219" s="23" t="s">
        <v>6743</v>
      </c>
      <c r="AP219" s="28" t="s">
        <v>5182</v>
      </c>
      <c r="AQ219" s="28"/>
      <c r="AR219" s="23"/>
      <c r="AS219" s="23"/>
      <c r="AT219" s="23"/>
      <c r="AU219" s="23"/>
      <c r="AV219" s="23"/>
    </row>
    <row r="220">
      <c r="A220" s="28" t="s">
        <v>5202</v>
      </c>
      <c r="B220" s="28" t="s">
        <v>5162</v>
      </c>
      <c r="C220" s="23" t="str">
        <f t="shared" si="1"/>
        <v>naomy martinez</v>
      </c>
      <c r="D220" s="28" t="s">
        <v>6768</v>
      </c>
      <c r="E220" s="28" t="s">
        <v>6769</v>
      </c>
      <c r="F220" s="23">
        <f t="array" ref="F220">IFERROR(
    INDEX('Hub Interns 226'!A:A, MATCH(C220, 'Hub Interns 226'!B:B, 0)),"")</f>
        <v>917</v>
      </c>
      <c r="G220" s="23">
        <f t="array" ref="G220">IFERROR(
    INDEX('Hub Users 226'!A:A, MATCH(C220, 'Hub Users 226'!B:B, 0)),"")</f>
        <v>1350</v>
      </c>
      <c r="H220" s="28">
        <v>931.0</v>
      </c>
      <c r="I220" s="28" t="s">
        <v>107</v>
      </c>
      <c r="J220" s="28" t="s">
        <v>5336</v>
      </c>
      <c r="K220" s="28" t="s">
        <v>5177</v>
      </c>
      <c r="L220" s="28" t="s">
        <v>5196</v>
      </c>
      <c r="M220" s="56" t="s">
        <v>6770</v>
      </c>
      <c r="N220" s="57">
        <v>44603.48055555556</v>
      </c>
      <c r="O220" s="58">
        <v>38694.0</v>
      </c>
      <c r="P220" s="28">
        <f t="shared" si="11"/>
        <v>20</v>
      </c>
      <c r="Q220" s="28" t="s">
        <v>240</v>
      </c>
      <c r="R220" s="28" t="s">
        <v>6771</v>
      </c>
      <c r="S220" s="28">
        <v>14.0</v>
      </c>
      <c r="T220" s="28">
        <v>34.0</v>
      </c>
      <c r="U220" s="28">
        <v>85.0</v>
      </c>
      <c r="V220" s="28">
        <v>18.0</v>
      </c>
      <c r="W220" s="28" t="s">
        <v>859</v>
      </c>
      <c r="X220" s="28" t="s">
        <v>272</v>
      </c>
      <c r="Y220" s="28" t="s">
        <v>6772</v>
      </c>
      <c r="Z220" s="28" t="s">
        <v>5208</v>
      </c>
      <c r="AA220" s="28" t="s">
        <v>2141</v>
      </c>
      <c r="AB220" s="28">
        <v>8.0</v>
      </c>
      <c r="AC220" s="28" t="s">
        <v>24</v>
      </c>
      <c r="AD220" s="23"/>
      <c r="AE220" s="28" t="s">
        <v>10</v>
      </c>
      <c r="AF220" s="23"/>
      <c r="AG220" s="23"/>
      <c r="AH220" s="23" t="str">
        <f>IFERROR(__xludf.DUMMYFUNCTION("IF(
ISNUMBER(MATCH(
C220,
IMPORTRANGE(""https://docs.google.com/spreadsheets/d/1yTh1ELC33JHYOeEdgIiEclxPRyh0zOKtlawDltfUay8"",""'Interns'!A:A""),
0
)),
""Outreach Conducted"",
"""")"),"")</f>
        <v/>
      </c>
      <c r="AI220" s="23"/>
      <c r="AJ220" s="23"/>
      <c r="AK220" s="23" t="str">
        <f>IFERROR(__xludf.DUMMYFUNCTION("XLOOKUP(C220, 
   IMPORTRANGE(""1RdEdgHYrZ33LJ7RUHj_h-qkAFL92bcVjtIdVa-UlsCw"", ""Interns!D:D""), 
   IMPORTRANGE(""1RdEdgHYrZ33LJ7RUHj_h-qkAFL92bcVjtIdVa-UlsCw"", ""Interns!M:M""), 
   ""Not Found"")"),"")</f>
        <v/>
      </c>
      <c r="AL220" s="23" t="str">
        <f>IFERROR(__xludf.DUMMYFUNCTION("XLOOKUP(C220, 
   IMPORTRANGE(""1RdEdgHYrZ33LJ7RUHj_h-qkAFL92bcVjtIdVa-UlsCw"", ""Interns!D:D""), 
   IMPORTRANGE(""1RdEdgHYrZ33LJ7RUHj_h-qkAFL92bcVjtIdVa-UlsCw"", ""Interns!N:N""), 
   ""Not Found"")"),"")</f>
        <v/>
      </c>
      <c r="AM220" s="23" t="str">
        <f>IFERROR(__xludf.DUMMYFUNCTION("XLOOKUP(C220, 
   IMPORTRANGE(""1RdEdgHYrZ33LJ7RUHj_h-qkAFL92bcVjtIdVa-UlsCw"", ""Interns!D:D""), 
   IMPORTRANGE(""1RdEdgHYrZ33LJ7RUHj_h-qkAFL92bcVjtIdVa-UlsCw"", ""Interns!O:O""), 
   ""Not Found"")"),"")</f>
        <v/>
      </c>
      <c r="AN220" s="23"/>
      <c r="AO220" s="23" t="s">
        <v>6773</v>
      </c>
      <c r="AP220" s="28" t="s">
        <v>5182</v>
      </c>
      <c r="AQ220" s="28"/>
      <c r="AR220" s="23"/>
      <c r="AS220" s="23"/>
      <c r="AT220" s="23"/>
      <c r="AU220" s="23"/>
      <c r="AV220" s="23"/>
    </row>
    <row r="221">
      <c r="A221" s="28" t="s">
        <v>5161</v>
      </c>
      <c r="B221" s="28" t="s">
        <v>5162</v>
      </c>
      <c r="C221" s="23" t="str">
        <f t="shared" si="1"/>
        <v>Danna Prieto</v>
      </c>
      <c r="D221" s="28" t="s">
        <v>6774</v>
      </c>
      <c r="E221" s="28" t="s">
        <v>6775</v>
      </c>
      <c r="F221" s="23">
        <f t="array" ref="F221">IFERROR(
    INDEX('Hub Interns 226'!A:A, MATCH(C221, 'Hub Interns 226'!B:B, 0)),"")</f>
        <v>822</v>
      </c>
      <c r="G221" s="23">
        <f t="array" ref="G221">IFERROR(
    INDEX('Hub Users 226'!A:A, MATCH(C221, 'Hub Users 226'!B:B, 0)),"")</f>
        <v>1255</v>
      </c>
      <c r="H221" s="28">
        <v>1388.0</v>
      </c>
      <c r="I221" s="28" t="s">
        <v>608</v>
      </c>
      <c r="J221" s="28" t="s">
        <v>5766</v>
      </c>
      <c r="K221" s="28" t="s">
        <v>5463</v>
      </c>
      <c r="L221" s="28" t="s">
        <v>5196</v>
      </c>
      <c r="M221" s="56" t="s">
        <v>6776</v>
      </c>
      <c r="N221" s="59">
        <v>44862.52847222222</v>
      </c>
      <c r="O221" s="58">
        <v>39923.0</v>
      </c>
      <c r="P221" s="28">
        <f t="shared" si="11"/>
        <v>17</v>
      </c>
      <c r="Q221" s="28" t="s">
        <v>6777</v>
      </c>
      <c r="R221" s="28" t="s">
        <v>6778</v>
      </c>
      <c r="S221" s="28">
        <v>7.0</v>
      </c>
      <c r="T221" s="28">
        <v>12.0</v>
      </c>
      <c r="U221" s="28">
        <v>37.0</v>
      </c>
      <c r="V221" s="28">
        <v>26.0</v>
      </c>
      <c r="W221" s="28" t="s">
        <v>1173</v>
      </c>
      <c r="X221" s="28" t="s">
        <v>272</v>
      </c>
      <c r="Y221" s="28" t="s">
        <v>5351</v>
      </c>
      <c r="Z221" s="28" t="s">
        <v>5352</v>
      </c>
      <c r="AA221" s="28" t="s">
        <v>5287</v>
      </c>
      <c r="AB221" s="28">
        <v>26.0</v>
      </c>
      <c r="AC221" s="28" t="s">
        <v>23</v>
      </c>
      <c r="AD221" s="23"/>
      <c r="AE221" s="28" t="s">
        <v>15</v>
      </c>
      <c r="AF221" s="23"/>
      <c r="AG221" s="23"/>
      <c r="AH221" s="23" t="str">
        <f>IFERROR(__xludf.DUMMYFUNCTION("IF(
ISNUMBER(MATCH(
C221,
IMPORTRANGE(""https://docs.google.com/spreadsheets/d/1yTh1ELC33JHYOeEdgIiEclxPRyh0zOKtlawDltfUay8"",""'Interns'!A:A""),
0
)),
""Outreach Conducted"",
"""")"),"")</f>
        <v/>
      </c>
      <c r="AI221" s="23"/>
      <c r="AJ221" s="23"/>
      <c r="AK221" s="23" t="str">
        <f>IFERROR(__xludf.DUMMYFUNCTION("XLOOKUP(C221, 
   IMPORTRANGE(""1RdEdgHYrZ33LJ7RUHj_h-qkAFL92bcVjtIdVa-UlsCw"", ""Interns!D:D""), 
   IMPORTRANGE(""1RdEdgHYrZ33LJ7RUHj_h-qkAFL92bcVjtIdVa-UlsCw"", ""Interns!M:M""), 
   ""Not Found"")"),"Contacted")</f>
        <v>Contacted</v>
      </c>
      <c r="AL221" s="23" t="str">
        <f>IFERROR(__xludf.DUMMYFUNCTION("XLOOKUP(C221, 
   IMPORTRANGE(""1RdEdgHYrZ33LJ7RUHj_h-qkAFL92bcVjtIdVa-UlsCw"", ""Interns!D:D""), 
   IMPORTRANGE(""1RdEdgHYrZ33LJ7RUHj_h-qkAFL92bcVjtIdVa-UlsCw"", ""Interns!N:N""), 
   ""Not Found"")"),"#Cheers4Careers")</f>
        <v>#Cheers4Careers</v>
      </c>
      <c r="AM221" s="23" t="str">
        <f>IFERROR(__xludf.DUMMYFUNCTION("XLOOKUP(C221, 
   IMPORTRANGE(""1RdEdgHYrZ33LJ7RUHj_h-qkAFL92bcVjtIdVa-UlsCw"", ""Interns!D:D""), 
   IMPORTRANGE(""1RdEdgHYrZ33LJ7RUHj_h-qkAFL92bcVjtIdVa-UlsCw"", ""Interns!O:O""), 
   ""Not Found"")"),"Hetal reached out by email 3/27")</f>
        <v>Hetal reached out by email 3/27</v>
      </c>
      <c r="AN221" s="23"/>
      <c r="AO221" s="23" t="s">
        <v>6779</v>
      </c>
      <c r="AP221" s="28" t="s">
        <v>5182</v>
      </c>
      <c r="AQ221" s="28"/>
      <c r="AR221" s="23"/>
      <c r="AS221" s="23"/>
      <c r="AT221" s="23"/>
      <c r="AU221" s="23"/>
      <c r="AV221" s="23"/>
    </row>
    <row r="222">
      <c r="A222" s="28" t="s">
        <v>5161</v>
      </c>
      <c r="B222" s="28" t="s">
        <v>5162</v>
      </c>
      <c r="C222" s="23" t="str">
        <f t="shared" si="1"/>
        <v>Koryn Perez</v>
      </c>
      <c r="D222" s="22" t="s">
        <v>6780</v>
      </c>
      <c r="E222" s="22" t="s">
        <v>5175</v>
      </c>
      <c r="F222" s="23"/>
      <c r="G222" s="23"/>
      <c r="H222" s="22">
        <v>1948.0</v>
      </c>
      <c r="I222" s="28"/>
      <c r="J222" s="28" t="s">
        <v>5766</v>
      </c>
      <c r="K222" s="28" t="s">
        <v>5463</v>
      </c>
      <c r="L222" s="28" t="s">
        <v>5196</v>
      </c>
      <c r="M222" s="29" t="s">
        <v>6781</v>
      </c>
      <c r="N222" s="61">
        <v>45723.532638888886</v>
      </c>
      <c r="O222" s="25">
        <v>39978.0</v>
      </c>
      <c r="P222" s="28">
        <f t="shared" si="11"/>
        <v>16</v>
      </c>
      <c r="Q222" s="62" t="s">
        <v>240</v>
      </c>
      <c r="R222" s="22" t="s">
        <v>6782</v>
      </c>
      <c r="S222" s="28">
        <v>6.0</v>
      </c>
      <c r="T222" s="28">
        <v>12.0</v>
      </c>
      <c r="U222" s="28">
        <v>30.0</v>
      </c>
      <c r="V222" s="28">
        <v>26.0</v>
      </c>
      <c r="W222" s="28" t="s">
        <v>1173</v>
      </c>
      <c r="X222" s="28" t="s">
        <v>272</v>
      </c>
      <c r="Y222" s="22" t="s">
        <v>6783</v>
      </c>
      <c r="Z222" s="22" t="s">
        <v>5365</v>
      </c>
      <c r="AA222" s="28" t="s">
        <v>5366</v>
      </c>
      <c r="AB222" s="28">
        <v>26.0</v>
      </c>
      <c r="AC222" s="28" t="s">
        <v>23</v>
      </c>
      <c r="AD222" s="23"/>
      <c r="AE222" s="28" t="s">
        <v>19</v>
      </c>
      <c r="AF222" s="23"/>
      <c r="AG222" s="23"/>
      <c r="AH222" s="23" t="str">
        <f>IFERROR(__xludf.DUMMYFUNCTION("IF(
ISNUMBER(MATCH(
C222,
IMPORTRANGE(""https://docs.google.com/spreadsheets/d/1yTh1ELC33JHYOeEdgIiEclxPRyh0zOKtlawDltfUay8"",""'Interns'!A:A""),
0
)),
""Outreach Conducted"",
"""")"),"")</f>
        <v/>
      </c>
      <c r="AI222" s="23"/>
      <c r="AJ222" s="23"/>
      <c r="AK222" s="23"/>
      <c r="AL222" s="23" t="str">
        <f>IFERROR(__xludf.DUMMYFUNCTION("XLOOKUP(C222, 
   IMPORTRANGE(""1RdEdgHYrZ33LJ7RUHj_h-qkAFL92bcVjtIdVa-UlsCw"", ""Interns!D:D""), 
   IMPORTRANGE(""1RdEdgHYrZ33LJ7RUHj_h-qkAFL92bcVjtIdVa-UlsCw"", ""Interns!N:N""), 
   ""Not Found"")"),"Not Found")</f>
        <v>Not Found</v>
      </c>
      <c r="AM222" s="23" t="str">
        <f>IFERROR(__xludf.DUMMYFUNCTION("XLOOKUP(C222, 
   IMPORTRANGE(""1RdEdgHYrZ33LJ7RUHj_h-qkAFL92bcVjtIdVa-UlsCw"", ""Interns!D:D""), 
   IMPORTRANGE(""1RdEdgHYrZ33LJ7RUHj_h-qkAFL92bcVjtIdVa-UlsCw"", ""Interns!O:O""), 
   ""Not Found"")"),"Not Found")</f>
        <v>Not Found</v>
      </c>
      <c r="AN222" s="23"/>
      <c r="AO222" s="23" t="s">
        <v>6784</v>
      </c>
      <c r="AP222" s="28" t="s">
        <v>5182</v>
      </c>
      <c r="AQ222" s="28" t="s">
        <v>6781</v>
      </c>
      <c r="AR222" s="23" t="s">
        <v>6783</v>
      </c>
      <c r="AS222" s="23"/>
      <c r="AT222" s="23"/>
      <c r="AU222" s="23"/>
      <c r="AV222" s="23"/>
    </row>
    <row r="223">
      <c r="A223" s="28" t="s">
        <v>5202</v>
      </c>
      <c r="B223" s="28" t="s">
        <v>5162</v>
      </c>
      <c r="C223" s="23" t="str">
        <f t="shared" si="1"/>
        <v>Justin Jimenez</v>
      </c>
      <c r="D223" s="28" t="s">
        <v>6724</v>
      </c>
      <c r="E223" s="28" t="s">
        <v>6785</v>
      </c>
      <c r="F223" s="23">
        <f t="array" ref="F223">IFERROR(
    INDEX('Hub Interns 226'!A:A, MATCH(C223, 'Hub Interns 226'!B:B, 0)),"")</f>
        <v>1054</v>
      </c>
      <c r="G223" s="23">
        <f t="array" ref="G223">IFERROR(
    INDEX('Hub Users 226'!A:A, MATCH(C223, 'Hub Users 226'!B:B, 0)),"")</f>
        <v>1487</v>
      </c>
      <c r="H223" s="28">
        <v>686.0</v>
      </c>
      <c r="I223" s="28" t="s">
        <v>290</v>
      </c>
      <c r="J223" s="28" t="s">
        <v>5336</v>
      </c>
      <c r="K223" s="28" t="s">
        <v>5177</v>
      </c>
      <c r="L223" s="28" t="s">
        <v>5165</v>
      </c>
      <c r="M223" s="56" t="s">
        <v>6786</v>
      </c>
      <c r="N223" s="59">
        <v>44546.54305555556</v>
      </c>
      <c r="O223" s="58">
        <v>38149.0</v>
      </c>
      <c r="P223" s="28">
        <f t="shared" si="11"/>
        <v>21</v>
      </c>
      <c r="Q223" s="28" t="s">
        <v>6787</v>
      </c>
      <c r="R223" s="28" t="s">
        <v>6788</v>
      </c>
      <c r="S223" s="28">
        <v>13.0</v>
      </c>
      <c r="T223" s="28">
        <v>31.0</v>
      </c>
      <c r="U223" s="28">
        <v>78.0</v>
      </c>
      <c r="V223" s="28">
        <v>14.0</v>
      </c>
      <c r="W223" s="28" t="s">
        <v>859</v>
      </c>
      <c r="X223" s="28" t="s">
        <v>272</v>
      </c>
      <c r="Y223" s="28" t="s">
        <v>6789</v>
      </c>
      <c r="Z223" s="28" t="s">
        <v>5558</v>
      </c>
      <c r="AA223" s="28" t="s">
        <v>5559</v>
      </c>
      <c r="AB223" s="28">
        <v>10.0</v>
      </c>
      <c r="AC223" s="28" t="s">
        <v>25</v>
      </c>
      <c r="AD223" s="23"/>
      <c r="AE223" s="28" t="s">
        <v>10</v>
      </c>
      <c r="AF223" s="23" t="str">
        <f>IFERROR(__xludf.DUMMYFUNCTION("TEXTJOIN("", "", TRUE,
  FILTER(Champions!C:C,
    ISNUMBER(SEARCH(C223, Champions!W:W))
  )
)"),"Oheneba Afriyie")</f>
        <v>Oheneba Afriyie</v>
      </c>
      <c r="AG223" s="23"/>
      <c r="AH223" s="23" t="str">
        <f>IFERROR(__xludf.DUMMYFUNCTION("IF(
ISNUMBER(MATCH(
C223,
IMPORTRANGE(""https://docs.google.com/spreadsheets/d/1yTh1ELC33JHYOeEdgIiEclxPRyh0zOKtlawDltfUay8"",""'Interns'!A:A""),
0
)),
""Outreach Conducted"",
"""")"),"")</f>
        <v/>
      </c>
      <c r="AI223" s="23"/>
      <c r="AJ223" s="23"/>
      <c r="AK223" s="23" t="str">
        <f>IFERROR(__xludf.DUMMYFUNCTION("XLOOKUP(C223, 
   IMPORTRANGE(""1RdEdgHYrZ33LJ7RUHj_h-qkAFL92bcVjtIdVa-UlsCw"", ""Interns!D:D""), 
   IMPORTRANGE(""1RdEdgHYrZ33LJ7RUHj_h-qkAFL92bcVjtIdVa-UlsCw"", ""Interns!M:M""), 
   ""Not Found"")"),"")</f>
        <v/>
      </c>
      <c r="AL223" s="23" t="str">
        <f>IFERROR(__xludf.DUMMYFUNCTION("XLOOKUP(C223, 
   IMPORTRANGE(""1RdEdgHYrZ33LJ7RUHj_h-qkAFL92bcVjtIdVa-UlsCw"", ""Interns!D:D""), 
   IMPORTRANGE(""1RdEdgHYrZ33LJ7RUHj_h-qkAFL92bcVjtIdVa-UlsCw"", ""Interns!N:N""), 
   ""Not Found"")"),"")</f>
        <v/>
      </c>
      <c r="AM223" s="23" t="str">
        <f>IFERROR(__xludf.DUMMYFUNCTION("XLOOKUP(C223, 
   IMPORTRANGE(""1RdEdgHYrZ33LJ7RUHj_h-qkAFL92bcVjtIdVa-UlsCw"", ""Interns!D:D""), 
   IMPORTRANGE(""1RdEdgHYrZ33LJ7RUHj_h-qkAFL92bcVjtIdVa-UlsCw"", ""Interns!O:O""), 
   ""Not Found"")"),"")</f>
        <v/>
      </c>
      <c r="AN223" s="23"/>
      <c r="AO223" s="23" t="s">
        <v>6790</v>
      </c>
      <c r="AP223" s="28" t="s">
        <v>5182</v>
      </c>
      <c r="AQ223" s="28" t="s">
        <v>6791</v>
      </c>
      <c r="AR223" s="23" t="s">
        <v>6792</v>
      </c>
      <c r="AS223" s="23"/>
      <c r="AT223" s="23"/>
      <c r="AU223" s="23"/>
      <c r="AV223" s="23"/>
    </row>
    <row r="224">
      <c r="A224" s="28" t="s">
        <v>5161</v>
      </c>
      <c r="B224" s="28" t="s">
        <v>5162</v>
      </c>
      <c r="C224" s="23" t="str">
        <f t="shared" si="1"/>
        <v>Juan Esteban Runza Nieto Runza Nieto</v>
      </c>
      <c r="D224" s="28" t="s">
        <v>6793</v>
      </c>
      <c r="E224" s="28" t="s">
        <v>6794</v>
      </c>
      <c r="F224" s="23">
        <f t="array" ref="F224">IFERROR(
    INDEX('Hub Interns 226'!A:A, MATCH(C224, 'Hub Interns 226'!B:B, 0)),"")</f>
        <v>1046</v>
      </c>
      <c r="G224" s="23">
        <f t="array" ref="G224">IFERROR(
    INDEX('Hub Users 226'!A:A, MATCH(C224, 'Hub Users 226'!B:B, 0)),"")</f>
        <v>1479</v>
      </c>
      <c r="H224" s="28">
        <v>1620.0</v>
      </c>
      <c r="I224" s="28"/>
      <c r="J224" s="28" t="s">
        <v>5766</v>
      </c>
      <c r="K224" s="28" t="s">
        <v>5463</v>
      </c>
      <c r="L224" s="28" t="s">
        <v>5165</v>
      </c>
      <c r="M224" s="56" t="s">
        <v>6795</v>
      </c>
      <c r="N224" s="57">
        <v>45084.385416666664</v>
      </c>
      <c r="O224" s="58">
        <v>39862.0</v>
      </c>
      <c r="P224" s="28">
        <f t="shared" si="11"/>
        <v>17</v>
      </c>
      <c r="Q224" s="28" t="s">
        <v>6796</v>
      </c>
      <c r="R224" s="28" t="s">
        <v>6797</v>
      </c>
      <c r="S224" s="28">
        <v>6.0</v>
      </c>
      <c r="T224" s="28">
        <v>12.0</v>
      </c>
      <c r="U224" s="28">
        <v>30.0</v>
      </c>
      <c r="V224" s="28">
        <v>26.0</v>
      </c>
      <c r="W224" s="28" t="s">
        <v>1173</v>
      </c>
      <c r="X224" s="28" t="s">
        <v>272</v>
      </c>
      <c r="Y224" s="28" t="s">
        <v>6798</v>
      </c>
      <c r="Z224" s="28" t="s">
        <v>5352</v>
      </c>
      <c r="AA224" s="28" t="s">
        <v>5287</v>
      </c>
      <c r="AB224" s="28">
        <v>26.0</v>
      </c>
      <c r="AC224" s="28" t="s">
        <v>23</v>
      </c>
      <c r="AD224" s="23"/>
      <c r="AE224" s="28" t="s">
        <v>15</v>
      </c>
      <c r="AF224" s="23"/>
      <c r="AG224" s="23"/>
      <c r="AH224" s="23" t="str">
        <f>IFERROR(__xludf.DUMMYFUNCTION("IF(
ISNUMBER(MATCH(
C224,
IMPORTRANGE(""https://docs.google.com/spreadsheets/d/1yTh1ELC33JHYOeEdgIiEclxPRyh0zOKtlawDltfUay8"",""'Interns'!A:A""),
0
)),
""Outreach Conducted"",
"""")"),"")</f>
        <v/>
      </c>
      <c r="AI224" s="23"/>
      <c r="AJ224" s="23"/>
      <c r="AK224" s="23" t="str">
        <f>IFERROR(__xludf.DUMMYFUNCTION("XLOOKUP(C224, 
   IMPORTRANGE(""1RdEdgHYrZ33LJ7RUHj_h-qkAFL92bcVjtIdVa-UlsCw"", ""Interns!D:D""), 
   IMPORTRANGE(""1RdEdgHYrZ33LJ7RUHj_h-qkAFL92bcVjtIdVa-UlsCw"", ""Interns!M:M""), 
   ""Not Found"")"),"Contacted")</f>
        <v>Contacted</v>
      </c>
      <c r="AL224" s="23" t="str">
        <f>IFERROR(__xludf.DUMMYFUNCTION("XLOOKUP(C224, 
   IMPORTRANGE(""1RdEdgHYrZ33LJ7RUHj_h-qkAFL92bcVjtIdVa-UlsCw"", ""Interns!D:D""), 
   IMPORTRANGE(""1RdEdgHYrZ33LJ7RUHj_h-qkAFL92bcVjtIdVa-UlsCw"", ""Interns!N:N""), 
   ""Not Found"")"),"#Cheers4Careers")</f>
        <v>#Cheers4Careers</v>
      </c>
      <c r="AM224" s="23" t="str">
        <f>IFERROR(__xludf.DUMMYFUNCTION("XLOOKUP(C224, 
   IMPORTRANGE(""1RdEdgHYrZ33LJ7RUHj_h-qkAFL92bcVjtIdVa-UlsCw"", ""Interns!D:D""), 
   IMPORTRANGE(""1RdEdgHYrZ33LJ7RUHj_h-qkAFL92bcVjtIdVa-UlsCw"", ""Interns!O:O""), 
   ""Not Found"")"),"Hetal reached out by email 3/27")</f>
        <v>Hetal reached out by email 3/27</v>
      </c>
      <c r="AN224" s="23"/>
      <c r="AO224" s="23" t="s">
        <v>6799</v>
      </c>
      <c r="AP224" s="28" t="s">
        <v>5182</v>
      </c>
      <c r="AQ224" s="28"/>
      <c r="AR224" s="23"/>
      <c r="AS224" s="23"/>
      <c r="AT224" s="23"/>
      <c r="AU224" s="23"/>
      <c r="AV224" s="23"/>
    </row>
    <row r="225">
      <c r="A225" s="28" t="s">
        <v>5202</v>
      </c>
      <c r="B225" s="28" t="s">
        <v>5162</v>
      </c>
      <c r="C225" s="23" t="str">
        <f t="shared" si="1"/>
        <v>Lennyn De la Cruz</v>
      </c>
      <c r="D225" s="28" t="s">
        <v>6800</v>
      </c>
      <c r="E225" s="28" t="s">
        <v>6801</v>
      </c>
      <c r="F225" s="23">
        <f t="array" ref="F225">IFERROR(
    INDEX('Hub Interns 226'!A:A, MATCH(C225, 'Hub Interns 226'!B:B, 0)),"")</f>
        <v>760</v>
      </c>
      <c r="G225" s="23">
        <f t="array" ref="G225">IFERROR(
    INDEX('Hub Users 226'!A:A, MATCH(C225, 'Hub Users 226'!B:B, 0)),"")</f>
        <v>1193</v>
      </c>
      <c r="H225" s="28">
        <v>972.0</v>
      </c>
      <c r="I225" s="28"/>
      <c r="J225" s="28" t="s">
        <v>5336</v>
      </c>
      <c r="K225" s="28" t="s">
        <v>5177</v>
      </c>
      <c r="L225" s="28" t="s">
        <v>5165</v>
      </c>
      <c r="M225" s="56" t="s">
        <v>6802</v>
      </c>
      <c r="N225" s="57">
        <v>44642.55347222222</v>
      </c>
      <c r="O225" s="58">
        <v>37697.0</v>
      </c>
      <c r="P225" s="28">
        <f t="shared" si="11"/>
        <v>23</v>
      </c>
      <c r="Q225" s="28" t="s">
        <v>240</v>
      </c>
      <c r="R225" s="28" t="s">
        <v>6803</v>
      </c>
      <c r="S225" s="28">
        <v>8.0</v>
      </c>
      <c r="T225" s="28">
        <v>25.0</v>
      </c>
      <c r="U225" s="28">
        <v>55.0</v>
      </c>
      <c r="V225" s="28">
        <v>41.0</v>
      </c>
      <c r="W225" s="28" t="s">
        <v>294</v>
      </c>
      <c r="X225" s="28" t="s">
        <v>272</v>
      </c>
      <c r="Y225" s="28" t="s">
        <v>6804</v>
      </c>
      <c r="Z225" s="28" t="s">
        <v>5589</v>
      </c>
      <c r="AA225" s="28" t="s">
        <v>5590</v>
      </c>
      <c r="AB225" s="28">
        <v>35.0</v>
      </c>
      <c r="AC225" s="28" t="s">
        <v>24</v>
      </c>
      <c r="AD225" s="23"/>
      <c r="AE225" s="28" t="s">
        <v>10</v>
      </c>
      <c r="AF225" s="23"/>
      <c r="AG225" s="23"/>
      <c r="AH225" s="23" t="str">
        <f>IFERROR(__xludf.DUMMYFUNCTION("IF(
ISNUMBER(MATCH(
C225,
IMPORTRANGE(""https://docs.google.com/spreadsheets/d/1yTh1ELC33JHYOeEdgIiEclxPRyh0zOKtlawDltfUay8"",""'Interns'!A:A""),
0
)),
""Outreach Conducted"",
"""")"),"")</f>
        <v/>
      </c>
      <c r="AI225" s="23"/>
      <c r="AJ225" s="23"/>
      <c r="AK225" s="23" t="str">
        <f>IFERROR(__xludf.DUMMYFUNCTION("XLOOKUP(C225, 
   IMPORTRANGE(""1RdEdgHYrZ33LJ7RUHj_h-qkAFL92bcVjtIdVa-UlsCw"", ""Interns!D:D""), 
   IMPORTRANGE(""1RdEdgHYrZ33LJ7RUHj_h-qkAFL92bcVjtIdVa-UlsCw"", ""Interns!M:M""), 
   ""Not Found"")"),"")</f>
        <v/>
      </c>
      <c r="AL225" s="23" t="str">
        <f>IFERROR(__xludf.DUMMYFUNCTION("XLOOKUP(C225, 
   IMPORTRANGE(""1RdEdgHYrZ33LJ7RUHj_h-qkAFL92bcVjtIdVa-UlsCw"", ""Interns!D:D""), 
   IMPORTRANGE(""1RdEdgHYrZ33LJ7RUHj_h-qkAFL92bcVjtIdVa-UlsCw"", ""Interns!N:N""), 
   ""Not Found"")"),"")</f>
        <v/>
      </c>
      <c r="AM225" s="23" t="str">
        <f>IFERROR(__xludf.DUMMYFUNCTION("XLOOKUP(C225, 
   IMPORTRANGE(""1RdEdgHYrZ33LJ7RUHj_h-qkAFL92bcVjtIdVa-UlsCw"", ""Interns!D:D""), 
   IMPORTRANGE(""1RdEdgHYrZ33LJ7RUHj_h-qkAFL92bcVjtIdVa-UlsCw"", ""Interns!O:O""), 
   ""Not Found"")"),"")</f>
        <v/>
      </c>
      <c r="AN225" s="23"/>
      <c r="AO225" s="23" t="s">
        <v>6805</v>
      </c>
      <c r="AP225" s="28" t="s">
        <v>5182</v>
      </c>
      <c r="AQ225" s="28"/>
      <c r="AR225" s="23"/>
      <c r="AS225" s="23"/>
      <c r="AT225" s="23"/>
      <c r="AU225" s="23"/>
      <c r="AV225" s="23"/>
    </row>
    <row r="226">
      <c r="A226" s="28" t="s">
        <v>5161</v>
      </c>
      <c r="B226" s="28" t="s">
        <v>5162</v>
      </c>
      <c r="C226" s="23" t="str">
        <f t="shared" si="1"/>
        <v>Simon Barrios</v>
      </c>
      <c r="D226" s="28" t="s">
        <v>3161</v>
      </c>
      <c r="E226" s="28" t="s">
        <v>6806</v>
      </c>
      <c r="F226" s="23" t="str">
        <f t="array" ref="F226">IFERROR(
    INDEX('Hub Interns 226'!A:A, MATCH(C226, 'Hub Interns 226'!B:B, 0)),"")</f>
        <v/>
      </c>
      <c r="G226" s="23">
        <f t="array" ref="G226">IFERROR(
    INDEX('Hub Users 226'!A:A, MATCH(C226, 'Hub Users 226'!B:B, 0)),"")</f>
        <v>1809</v>
      </c>
      <c r="H226" s="28">
        <v>1707.0</v>
      </c>
      <c r="I226" s="28" t="s">
        <v>107</v>
      </c>
      <c r="J226" s="28" t="s">
        <v>5766</v>
      </c>
      <c r="K226" s="28" t="s">
        <v>5463</v>
      </c>
      <c r="L226" s="28" t="s">
        <v>5165</v>
      </c>
      <c r="M226" s="56" t="s">
        <v>6807</v>
      </c>
      <c r="N226" s="59">
        <v>45250.9875</v>
      </c>
      <c r="O226" s="58">
        <v>40392.0</v>
      </c>
      <c r="P226" s="28">
        <f t="shared" si="11"/>
        <v>15</v>
      </c>
      <c r="Q226" s="28" t="s">
        <v>240</v>
      </c>
      <c r="R226" s="28" t="s">
        <v>6808</v>
      </c>
      <c r="S226" s="60">
        <v>6.0</v>
      </c>
      <c r="T226" s="60">
        <v>12.0</v>
      </c>
      <c r="U226" s="60">
        <v>30.0</v>
      </c>
      <c r="V226" s="28">
        <v>30.0</v>
      </c>
      <c r="W226" s="28" t="s">
        <v>1173</v>
      </c>
      <c r="X226" s="28" t="s">
        <v>272</v>
      </c>
      <c r="Y226" s="23"/>
      <c r="Z226" s="28" t="s">
        <v>5170</v>
      </c>
      <c r="AA226" s="28" t="s">
        <v>5171</v>
      </c>
      <c r="AB226" s="28">
        <v>30.0</v>
      </c>
      <c r="AC226" s="28" t="s">
        <v>23</v>
      </c>
      <c r="AD226" s="23"/>
      <c r="AE226" s="28" t="s">
        <v>18</v>
      </c>
      <c r="AF226" s="23"/>
      <c r="AG226" s="23"/>
      <c r="AH226" s="23" t="str">
        <f>IFERROR(__xludf.DUMMYFUNCTION("IF(
ISNUMBER(MATCH(
C226,
IMPORTRANGE(""https://docs.google.com/spreadsheets/d/1yTh1ELC33JHYOeEdgIiEclxPRyh0zOKtlawDltfUay8"",""'Interns'!A:A""),
0
)),
""Outreach Conducted"",
"""")"),"")</f>
        <v/>
      </c>
      <c r="AI226" s="23"/>
      <c r="AJ226" s="23"/>
      <c r="AK226" s="23" t="str">
        <f>IFERROR(__xludf.DUMMYFUNCTION("XLOOKUP(C226, 
   IMPORTRANGE(""1RdEdgHYrZ33LJ7RUHj_h-qkAFL92bcVjtIdVa-UlsCw"", ""Interns!D:D""), 
   IMPORTRANGE(""1RdEdgHYrZ33LJ7RUHj_h-qkAFL92bcVjtIdVa-UlsCw"", ""Interns!M:M""), 
   ""Not Found"")"),"Contacted")</f>
        <v>Contacted</v>
      </c>
      <c r="AL226" s="23" t="str">
        <f>IFERROR(__xludf.DUMMYFUNCTION("XLOOKUP(C226, 
   IMPORTRANGE(""1RdEdgHYrZ33LJ7RUHj_h-qkAFL92bcVjtIdVa-UlsCw"", ""Interns!D:D""), 
   IMPORTRANGE(""1RdEdgHYrZ33LJ7RUHj_h-qkAFL92bcVjtIdVa-UlsCw"", ""Interns!N:N""), 
   ""Not Found"")"),"#Cheers4Careers")</f>
        <v>#Cheers4Careers</v>
      </c>
      <c r="AM226" s="23" t="str">
        <f>IFERROR(__xludf.DUMMYFUNCTION("XLOOKUP(C226, 
   IMPORTRANGE(""1RdEdgHYrZ33LJ7RUHj_h-qkAFL92bcVjtIdVa-UlsCw"", ""Interns!D:D""), 
   IMPORTRANGE(""1RdEdgHYrZ33LJ7RUHj_h-qkAFL92bcVjtIdVa-UlsCw"", ""Interns!O:O""), 
   ""Not Found"")"),"Hetal reached out March 27 for March #Cheers4 Careers ")</f>
        <v>Hetal reached out March 27 for March #Cheers4 Careers </v>
      </c>
      <c r="AN226" s="23"/>
      <c r="AO226" s="23" t="s">
        <v>6809</v>
      </c>
      <c r="AP226" s="28" t="s">
        <v>5182</v>
      </c>
      <c r="AQ226" s="28" t="s">
        <v>6810</v>
      </c>
      <c r="AR226" s="23">
        <v>7.18256788E8</v>
      </c>
      <c r="AS226" s="23"/>
      <c r="AT226" s="23"/>
      <c r="AU226" s="23"/>
      <c r="AV226" s="23"/>
    </row>
    <row r="227">
      <c r="A227" s="28" t="s">
        <v>5161</v>
      </c>
      <c r="B227" s="28" t="s">
        <v>5162</v>
      </c>
      <c r="C227" s="23" t="str">
        <f t="shared" si="1"/>
        <v>Juan David Toro Guarin</v>
      </c>
      <c r="D227" s="28" t="s">
        <v>6811</v>
      </c>
      <c r="E227" s="28" t="s">
        <v>6812</v>
      </c>
      <c r="F227" s="23" t="str">
        <f t="array" ref="F227">IFERROR(
    INDEX('Hub Interns 226'!A:A, MATCH(C227, 'Hub Interns 226'!B:B, 0)),"")</f>
        <v/>
      </c>
      <c r="G227" s="23">
        <f t="array" ref="G227">IFERROR(
    INDEX('Hub Users 226'!A:A, MATCH(C227, 'Hub Users 226'!B:B, 0)),"")</f>
        <v>1815</v>
      </c>
      <c r="H227" s="28">
        <v>1712.0</v>
      </c>
      <c r="I227" s="28" t="s">
        <v>269</v>
      </c>
      <c r="J227" s="28" t="s">
        <v>5766</v>
      </c>
      <c r="K227" s="28" t="s">
        <v>5463</v>
      </c>
      <c r="L227" s="28" t="s">
        <v>5196</v>
      </c>
      <c r="M227" s="56" t="s">
        <v>6813</v>
      </c>
      <c r="N227" s="59">
        <v>45250.998611111114</v>
      </c>
      <c r="O227" s="58">
        <v>40324.0</v>
      </c>
      <c r="P227" s="28">
        <f t="shared" si="11"/>
        <v>15</v>
      </c>
      <c r="Q227" s="28" t="s">
        <v>240</v>
      </c>
      <c r="R227" s="28" t="s">
        <v>6814</v>
      </c>
      <c r="S227" s="60">
        <v>6.0</v>
      </c>
      <c r="T227" s="60">
        <v>12.0</v>
      </c>
      <c r="U227" s="60">
        <v>30.0</v>
      </c>
      <c r="V227" s="28">
        <v>30.0</v>
      </c>
      <c r="W227" s="28" t="s">
        <v>1173</v>
      </c>
      <c r="X227" s="28" t="s">
        <v>272</v>
      </c>
      <c r="Y227" s="28" t="s">
        <v>6815</v>
      </c>
      <c r="Z227" s="28" t="s">
        <v>5170</v>
      </c>
      <c r="AA227" s="28" t="s">
        <v>5171</v>
      </c>
      <c r="AB227" s="28">
        <v>30.0</v>
      </c>
      <c r="AC227" s="28" t="s">
        <v>23</v>
      </c>
      <c r="AD227" s="28" t="s">
        <v>101</v>
      </c>
      <c r="AE227" s="28" t="s">
        <v>18</v>
      </c>
      <c r="AF227" s="23"/>
      <c r="AG227" s="23"/>
      <c r="AH227" s="23" t="str">
        <f>IFERROR(__xludf.DUMMYFUNCTION("IF(
ISNUMBER(MATCH(
C227,
IMPORTRANGE(""https://docs.google.com/spreadsheets/d/1yTh1ELC33JHYOeEdgIiEclxPRyh0zOKtlawDltfUay8"",""'Interns'!A:A""),
0
)),
""Outreach Conducted"",
"""")"),"")</f>
        <v/>
      </c>
      <c r="AI227" s="23"/>
      <c r="AJ227" s="23"/>
      <c r="AK227" s="23" t="str">
        <f>IFERROR(__xludf.DUMMYFUNCTION("XLOOKUP(C227, 
   IMPORTRANGE(""1RdEdgHYrZ33LJ7RUHj_h-qkAFL92bcVjtIdVa-UlsCw"", ""Interns!D:D""), 
   IMPORTRANGE(""1RdEdgHYrZ33LJ7RUHj_h-qkAFL92bcVjtIdVa-UlsCw"", ""Interns!M:M""), 
   ""Not Found"")"),"Contacted")</f>
        <v>Contacted</v>
      </c>
      <c r="AL227" s="23" t="str">
        <f>IFERROR(__xludf.DUMMYFUNCTION("XLOOKUP(C227, 
   IMPORTRANGE(""1RdEdgHYrZ33LJ7RUHj_h-qkAFL92bcVjtIdVa-UlsCw"", ""Interns!D:D""), 
   IMPORTRANGE(""1RdEdgHYrZ33LJ7RUHj_h-qkAFL92bcVjtIdVa-UlsCw"", ""Interns!N:N""), 
   ""Not Found"")"),"#Cheers4Careers")</f>
        <v>#Cheers4Careers</v>
      </c>
      <c r="AM227" s="23" t="str">
        <f>IFERROR(__xludf.DUMMYFUNCTION("XLOOKUP(C227, 
   IMPORTRANGE(""1RdEdgHYrZ33LJ7RUHj_h-qkAFL92bcVjtIdVa-UlsCw"", ""Interns!D:D""), 
   IMPORTRANGE(""1RdEdgHYrZ33LJ7RUHj_h-qkAFL92bcVjtIdVa-UlsCw"", ""Interns!O:O""), 
   ""Not Found"")"),"Hetal reached out March 27 for March #Cheers4 Careers ")</f>
        <v>Hetal reached out March 27 for March #Cheers4 Careers </v>
      </c>
      <c r="AN227" s="23"/>
      <c r="AO227" s="23" t="s">
        <v>6816</v>
      </c>
      <c r="AP227" s="28" t="s">
        <v>5191</v>
      </c>
      <c r="AQ227" s="28" t="s">
        <v>6817</v>
      </c>
      <c r="AR227" s="23">
        <v>3.472857617E9</v>
      </c>
      <c r="AS227" s="23"/>
      <c r="AT227" s="23"/>
      <c r="AU227" s="23"/>
      <c r="AV227" s="23"/>
    </row>
    <row r="228">
      <c r="A228" s="28" t="s">
        <v>5161</v>
      </c>
      <c r="B228" s="28" t="s">
        <v>5162</v>
      </c>
      <c r="C228" s="23" t="str">
        <f t="shared" si="1"/>
        <v>Sebastian (Sebas) Serna</v>
      </c>
      <c r="D228" s="28" t="s">
        <v>6818</v>
      </c>
      <c r="E228" s="28" t="s">
        <v>6819</v>
      </c>
      <c r="F228" s="23">
        <f t="array" ref="F228">IFERROR(
    INDEX('Hub Interns 226'!A:A, MATCH("Sebas", 'Hub Interns 226'!B:B, 0)),"")</f>
        <v>1333</v>
      </c>
      <c r="G228" s="23">
        <f t="array" ref="G228">IFERROR(
    INDEX('Hub Users 226'!A:A, MATCH("Sebastian Serna", 'Hub Users 226'!B:B, 0)),"")</f>
        <v>1837</v>
      </c>
      <c r="H228" s="28">
        <v>1826.0</v>
      </c>
      <c r="I228" s="28"/>
      <c r="J228" s="28" t="s">
        <v>5766</v>
      </c>
      <c r="K228" s="28" t="s">
        <v>5463</v>
      </c>
      <c r="L228" s="28" t="s">
        <v>5165</v>
      </c>
      <c r="M228" s="56" t="s">
        <v>6820</v>
      </c>
      <c r="N228" s="57">
        <v>45430.65277777778</v>
      </c>
      <c r="O228" s="58">
        <v>45238.0</v>
      </c>
      <c r="P228" s="28">
        <f t="shared" si="11"/>
        <v>2</v>
      </c>
      <c r="Q228" s="28" t="s">
        <v>240</v>
      </c>
      <c r="R228" s="28" t="s">
        <v>6821</v>
      </c>
      <c r="S228" s="60">
        <v>6.0</v>
      </c>
      <c r="T228" s="60">
        <v>12.0</v>
      </c>
      <c r="U228" s="60">
        <v>30.0</v>
      </c>
      <c r="V228" s="28">
        <v>30.0</v>
      </c>
      <c r="W228" s="28" t="s">
        <v>1173</v>
      </c>
      <c r="X228" s="28" t="s">
        <v>272</v>
      </c>
      <c r="Y228" s="23"/>
      <c r="Z228" s="28" t="s">
        <v>5170</v>
      </c>
      <c r="AA228" s="28" t="s">
        <v>5171</v>
      </c>
      <c r="AB228" s="28">
        <v>30.0</v>
      </c>
      <c r="AC228" s="28" t="s">
        <v>23</v>
      </c>
      <c r="AD228" s="28" t="s">
        <v>101</v>
      </c>
      <c r="AE228" s="28" t="s">
        <v>18</v>
      </c>
      <c r="AF228" s="23"/>
      <c r="AG228" s="23"/>
      <c r="AH228" s="23" t="str">
        <f>IFERROR(__xludf.DUMMYFUNCTION("IF(
ISNUMBER(MATCH(
C228,
IMPORTRANGE(""https://docs.google.com/spreadsheets/d/1yTh1ELC33JHYOeEdgIiEclxPRyh0zOKtlawDltfUay8"",""'Interns'!A:A""),
0
)),
""Outreach Conducted"",
"""")"),"")</f>
        <v/>
      </c>
      <c r="AI228" s="23"/>
      <c r="AJ228" s="23"/>
      <c r="AK228" s="23" t="str">
        <f>IFERROR(__xludf.DUMMYFUNCTION("XLOOKUP(C228, 
   IMPORTRANGE(""1RdEdgHYrZ33LJ7RUHj_h-qkAFL92bcVjtIdVa-UlsCw"", ""Interns!D:D""), 
   IMPORTRANGE(""1RdEdgHYrZ33LJ7RUHj_h-qkAFL92bcVjtIdVa-UlsCw"", ""Interns!M:M""), 
   ""Not Found"")"),"Contacted")</f>
        <v>Contacted</v>
      </c>
      <c r="AL228" s="23" t="str">
        <f>IFERROR(__xludf.DUMMYFUNCTION("XLOOKUP(C228, 
   IMPORTRANGE(""1RdEdgHYrZ33LJ7RUHj_h-qkAFL92bcVjtIdVa-UlsCw"", ""Interns!D:D""), 
   IMPORTRANGE(""1RdEdgHYrZ33LJ7RUHj_h-qkAFL92bcVjtIdVa-UlsCw"", ""Interns!N:N""), 
   ""Not Found"")"),"#Cheers4Careers")</f>
        <v>#Cheers4Careers</v>
      </c>
      <c r="AM228" s="23" t="str">
        <f>IFERROR(__xludf.DUMMYFUNCTION("XLOOKUP(C228, 
   IMPORTRANGE(""1RdEdgHYrZ33LJ7RUHj_h-qkAFL92bcVjtIdVa-UlsCw"", ""Interns!D:D""), 
   IMPORTRANGE(""1RdEdgHYrZ33LJ7RUHj_h-qkAFL92bcVjtIdVa-UlsCw"", ""Interns!O:O""), 
   ""Not Found"")"),"Hetal reached out March 27 for March #Cheers4 Careers ")</f>
        <v>Hetal reached out March 27 for March #Cheers4 Careers </v>
      </c>
      <c r="AN228" s="23"/>
      <c r="AO228" s="23" t="s">
        <v>6822</v>
      </c>
      <c r="AP228" s="28" t="s">
        <v>5182</v>
      </c>
      <c r="AQ228" s="28" t="s">
        <v>6823</v>
      </c>
      <c r="AR228" s="23" t="s">
        <v>6824</v>
      </c>
      <c r="AS228" s="23"/>
      <c r="AT228" s="23"/>
      <c r="AU228" s="23"/>
      <c r="AV228" s="23"/>
    </row>
    <row r="229">
      <c r="A229" s="28" t="s">
        <v>5161</v>
      </c>
      <c r="B229" s="28" t="s">
        <v>5162</v>
      </c>
      <c r="C229" s="23" t="str">
        <f t="shared" si="1"/>
        <v>Dayra Bustos</v>
      </c>
      <c r="D229" s="28" t="s">
        <v>6825</v>
      </c>
      <c r="E229" s="28" t="s">
        <v>6826</v>
      </c>
      <c r="F229" s="23">
        <f t="array" ref="F229">IFERROR(
    INDEX('Hub Interns 226'!A:A, MATCH(C229, 'Hub Interns 226'!B:B, 0)),"")</f>
        <v>425</v>
      </c>
      <c r="G229" s="23">
        <f t="array" ref="G229">IFERROR(
    INDEX('Hub Users 226'!A:A, MATCH(C229, 'Hub Users 226'!B:B, 0)),"")</f>
        <v>858</v>
      </c>
      <c r="H229" s="28">
        <v>1258.0</v>
      </c>
      <c r="I229" s="28" t="s">
        <v>260</v>
      </c>
      <c r="J229" s="28" t="s">
        <v>5766</v>
      </c>
      <c r="K229" s="28" t="s">
        <v>5463</v>
      </c>
      <c r="L229" s="28" t="s">
        <v>5196</v>
      </c>
      <c r="M229" s="56" t="s">
        <v>6827</v>
      </c>
      <c r="N229" s="59">
        <v>44845.38402777778</v>
      </c>
      <c r="O229" s="58">
        <v>38524.0</v>
      </c>
      <c r="P229" s="28">
        <f t="shared" si="11"/>
        <v>20</v>
      </c>
      <c r="Q229" s="28" t="s">
        <v>240</v>
      </c>
      <c r="R229" s="28" t="s">
        <v>6828</v>
      </c>
      <c r="S229" s="28">
        <v>15.0</v>
      </c>
      <c r="T229" s="28">
        <v>33.0</v>
      </c>
      <c r="U229" s="28">
        <v>78.0</v>
      </c>
      <c r="V229" s="28">
        <v>15.0</v>
      </c>
      <c r="W229" s="28" t="s">
        <v>859</v>
      </c>
      <c r="X229" s="28" t="s">
        <v>272</v>
      </c>
      <c r="Y229" s="28" t="s">
        <v>6829</v>
      </c>
      <c r="Z229" s="28" t="s">
        <v>5918</v>
      </c>
      <c r="AA229" s="28" t="s">
        <v>477</v>
      </c>
      <c r="AB229" s="28">
        <v>15.0</v>
      </c>
      <c r="AC229" s="28" t="s">
        <v>23</v>
      </c>
      <c r="AD229" s="28" t="s">
        <v>101</v>
      </c>
      <c r="AE229" s="28" t="s">
        <v>15</v>
      </c>
      <c r="AF229" s="23"/>
      <c r="AG229" s="23"/>
      <c r="AH229" s="23" t="str">
        <f>IFERROR(__xludf.DUMMYFUNCTION("IF(
ISNUMBER(MATCH(
C229,
IMPORTRANGE(""https://docs.google.com/spreadsheets/d/1yTh1ELC33JHYOeEdgIiEclxPRyh0zOKtlawDltfUay8"",""'Interns'!A:A""),
0
)),
""Outreach Conducted"",
"""")"),"")</f>
        <v/>
      </c>
      <c r="AI229" s="23"/>
      <c r="AJ229" s="23"/>
      <c r="AK229" s="23" t="str">
        <f>IFERROR(__xludf.DUMMYFUNCTION("XLOOKUP(C229, 
   IMPORTRANGE(""1RdEdgHYrZ33LJ7RUHj_h-qkAFL92bcVjtIdVa-UlsCw"", ""Interns!D:D""), 
   IMPORTRANGE(""1RdEdgHYrZ33LJ7RUHj_h-qkAFL92bcVjtIdVa-UlsCw"", ""Interns!M:M""), 
   ""Not Found"")"),"")</f>
        <v/>
      </c>
      <c r="AL229" s="23" t="str">
        <f>IFERROR(__xludf.DUMMYFUNCTION("XLOOKUP(C229, 
   IMPORTRANGE(""1RdEdgHYrZ33LJ7RUHj_h-qkAFL92bcVjtIdVa-UlsCw"", ""Interns!D:D""), 
   IMPORTRANGE(""1RdEdgHYrZ33LJ7RUHj_h-qkAFL92bcVjtIdVa-UlsCw"", ""Interns!N:N""), 
   ""Not Found"")"),"#SpeakingMyName")</f>
        <v>#SpeakingMyName</v>
      </c>
      <c r="AM229" s="23" t="str">
        <f>IFERROR(__xludf.DUMMYFUNCTION("XLOOKUP(C229, 
   IMPORTRANGE(""1RdEdgHYrZ33LJ7RUHj_h-qkAFL92bcVjtIdVa-UlsCw"", ""Interns!D:D""), 
   IMPORTRANGE(""1RdEdgHYrZ33LJ7RUHj_h-qkAFL92bcVjtIdVa-UlsCw"", ""Interns!O:O""), 
   ""Not Found"")"),"Alicia reached out by email on 5/15 for #SpeakingMyName")</f>
        <v>Alicia reached out by email on 5/15 for #SpeakingMyName</v>
      </c>
      <c r="AN229" s="23"/>
      <c r="AO229" s="23" t="s">
        <v>6830</v>
      </c>
      <c r="AP229" s="28" t="s">
        <v>5182</v>
      </c>
      <c r="AQ229" s="28"/>
      <c r="AR229" s="23"/>
      <c r="AS229" s="23"/>
      <c r="AT229" s="23"/>
      <c r="AU229" s="23"/>
      <c r="AV229" s="23"/>
    </row>
    <row r="230">
      <c r="A230" s="28" t="s">
        <v>5161</v>
      </c>
      <c r="B230" s="28" t="s">
        <v>5162</v>
      </c>
      <c r="C230" s="23" t="str">
        <f t="shared" si="1"/>
        <v>Taliana Valencia</v>
      </c>
      <c r="D230" s="28" t="s">
        <v>6831</v>
      </c>
      <c r="E230" s="28" t="s">
        <v>4213</v>
      </c>
      <c r="F230" s="23">
        <f t="array" ref="F230">IFERROR(
    INDEX('Hub Interns 226'!A:A, MATCH(C230, 'Hub Interns 226'!B:B, 0)),"")</f>
        <v>1159</v>
      </c>
      <c r="G230" s="23">
        <f t="array" ref="G230">IFERROR(
    INDEX('Hub Users 226'!A:A, MATCH(C230, 'Hub Users 226'!B:B, 0)),"")</f>
        <v>1592</v>
      </c>
      <c r="H230" s="28">
        <v>1465.0</v>
      </c>
      <c r="I230" s="28" t="s">
        <v>407</v>
      </c>
      <c r="J230" s="28" t="s">
        <v>5766</v>
      </c>
      <c r="K230" s="28" t="s">
        <v>5463</v>
      </c>
      <c r="L230" s="28" t="s">
        <v>5196</v>
      </c>
      <c r="M230" s="56" t="s">
        <v>6832</v>
      </c>
      <c r="N230" s="57">
        <v>44936.46319444444</v>
      </c>
      <c r="O230" s="58">
        <v>39529.0</v>
      </c>
      <c r="P230" s="28">
        <f t="shared" si="11"/>
        <v>18</v>
      </c>
      <c r="Q230" s="28" t="s">
        <v>6833</v>
      </c>
      <c r="R230" s="28" t="s">
        <v>6834</v>
      </c>
      <c r="S230" s="28">
        <v>15.0</v>
      </c>
      <c r="T230" s="28">
        <v>33.0</v>
      </c>
      <c r="U230" s="28">
        <v>78.0</v>
      </c>
      <c r="V230" s="28">
        <v>15.0</v>
      </c>
      <c r="W230" s="28" t="s">
        <v>859</v>
      </c>
      <c r="X230" s="28" t="s">
        <v>272</v>
      </c>
      <c r="Y230" s="28" t="s">
        <v>6835</v>
      </c>
      <c r="Z230" s="28" t="s">
        <v>5918</v>
      </c>
      <c r="AA230" s="28" t="s">
        <v>477</v>
      </c>
      <c r="AB230" s="28">
        <v>15.0</v>
      </c>
      <c r="AC230" s="28" t="s">
        <v>25</v>
      </c>
      <c r="AD230" s="23"/>
      <c r="AE230" s="28" t="s">
        <v>15</v>
      </c>
      <c r="AF230" s="23" t="str">
        <f>IFERROR(__xludf.DUMMYFUNCTION("TEXTJOIN("", "", TRUE,
  FILTER(Champions!C:C,
    ISNUMBER(SEARCH(C230, Champions!W:W))
  )
)"),"Angelo Rodriguez, Neha Singla")</f>
        <v>Angelo Rodriguez, Neha Singla</v>
      </c>
      <c r="AG230" s="23"/>
      <c r="AH230" s="23" t="str">
        <f>IFERROR(__xludf.DUMMYFUNCTION("IF(
ISNUMBER(MATCH(
C230,
IMPORTRANGE(""https://docs.google.com/spreadsheets/d/1yTh1ELC33JHYOeEdgIiEclxPRyh0zOKtlawDltfUay8"",""'Interns'!A:A""),
0
)),
""Outreach Conducted"",
"""")"),"")</f>
        <v/>
      </c>
      <c r="AI230" s="23"/>
      <c r="AJ230" s="23"/>
      <c r="AK230" s="23" t="str">
        <f>IFERROR(__xludf.DUMMYFUNCTION("XLOOKUP(C230, 
   IMPORTRANGE(""1RdEdgHYrZ33LJ7RUHj_h-qkAFL92bcVjtIdVa-UlsCw"", ""Interns!D:D""), 
   IMPORTRANGE(""1RdEdgHYrZ33LJ7RUHj_h-qkAFL92bcVjtIdVa-UlsCw"", ""Interns!M:M""), 
   ""Not Found"")"),"")</f>
        <v/>
      </c>
      <c r="AL230" s="23" t="str">
        <f>IFERROR(__xludf.DUMMYFUNCTION("XLOOKUP(C230, 
   IMPORTRANGE(""1RdEdgHYrZ33LJ7RUHj_h-qkAFL92bcVjtIdVa-UlsCw"", ""Interns!D:D""), 
   IMPORTRANGE(""1RdEdgHYrZ33LJ7RUHj_h-qkAFL92bcVjtIdVa-UlsCw"", ""Interns!N:N""), 
   ""Not Found"")"),"")</f>
        <v/>
      </c>
      <c r="AM230" s="23" t="str">
        <f>IFERROR(__xludf.DUMMYFUNCTION("XLOOKUP(C230, 
   IMPORTRANGE(""1RdEdgHYrZ33LJ7RUHj_h-qkAFL92bcVjtIdVa-UlsCw"", ""Interns!D:D""), 
   IMPORTRANGE(""1RdEdgHYrZ33LJ7RUHj_h-qkAFL92bcVjtIdVa-UlsCw"", ""Interns!O:O""), 
   ""Not Found"")"),"")</f>
        <v/>
      </c>
      <c r="AN230" s="23"/>
      <c r="AO230" s="23" t="s">
        <v>6836</v>
      </c>
      <c r="AP230" s="28" t="s">
        <v>5182</v>
      </c>
      <c r="AQ230" s="28" t="s">
        <v>6837</v>
      </c>
      <c r="AR230" s="23" t="s">
        <v>6835</v>
      </c>
      <c r="AS230" s="23"/>
      <c r="AT230" s="23"/>
      <c r="AU230" s="23"/>
      <c r="AV230" s="23"/>
    </row>
    <row r="231">
      <c r="A231" s="28" t="s">
        <v>5161</v>
      </c>
      <c r="B231" s="28" t="s">
        <v>5162</v>
      </c>
      <c r="C231" s="23" t="str">
        <f t="shared" si="1"/>
        <v>Lauren Pena</v>
      </c>
      <c r="D231" s="28" t="s">
        <v>2074</v>
      </c>
      <c r="E231" s="28" t="s">
        <v>6838</v>
      </c>
      <c r="F231" s="23">
        <f t="array" ref="F231">IFERROR(
    INDEX('Hub Interns 226'!A:A, MATCH(C231, 'Hub Interns 226'!B:B, 0)),"")</f>
        <v>764</v>
      </c>
      <c r="G231" s="23">
        <f t="array" ref="G231">IFERROR(
    INDEX('Hub Users 226'!A:A, MATCH(C231, 'Hub Users 226'!B:B, 0)),"")</f>
        <v>1197</v>
      </c>
      <c r="H231" s="28">
        <v>1741.0</v>
      </c>
      <c r="I231" s="28" t="s">
        <v>260</v>
      </c>
      <c r="J231" s="28" t="s">
        <v>5766</v>
      </c>
      <c r="K231" s="28" t="s">
        <v>5463</v>
      </c>
      <c r="L231" s="28" t="s">
        <v>5196</v>
      </c>
      <c r="M231" s="56" t="s">
        <v>6839</v>
      </c>
      <c r="N231" s="57">
        <v>45266.592361111114</v>
      </c>
      <c r="O231" s="58">
        <v>40512.0</v>
      </c>
      <c r="P231" s="28">
        <f t="shared" si="11"/>
        <v>15</v>
      </c>
      <c r="Q231" s="28" t="s">
        <v>240</v>
      </c>
      <c r="R231" s="28" t="s">
        <v>6840</v>
      </c>
      <c r="S231" s="28"/>
      <c r="T231" s="28"/>
      <c r="U231" s="28"/>
      <c r="V231" s="28"/>
      <c r="W231" s="28" t="s">
        <v>1173</v>
      </c>
      <c r="X231" s="28" t="s">
        <v>272</v>
      </c>
      <c r="Y231" s="28" t="s">
        <v>6841</v>
      </c>
      <c r="Z231" s="28" t="s">
        <v>5352</v>
      </c>
      <c r="AA231" s="28" t="s">
        <v>5287</v>
      </c>
      <c r="AB231" s="28">
        <v>26.0</v>
      </c>
      <c r="AC231" s="28" t="s">
        <v>27</v>
      </c>
      <c r="AD231" s="23"/>
      <c r="AE231" s="28" t="s">
        <v>18</v>
      </c>
      <c r="AF231" s="23"/>
      <c r="AG231" s="23"/>
      <c r="AH231" s="23" t="str">
        <f>IFERROR(__xludf.DUMMYFUNCTION("IF(
ISNUMBER(MATCH(
C231,
IMPORTRANGE(""https://docs.google.com/spreadsheets/d/1yTh1ELC33JHYOeEdgIiEclxPRyh0zOKtlawDltfUay8"",""'Interns'!A:A""),
0
)),
""Outreach Conducted"",
"""")"),"")</f>
        <v/>
      </c>
      <c r="AI231" s="23"/>
      <c r="AJ231" s="23"/>
      <c r="AK231" s="23" t="str">
        <f>IFERROR(__xludf.DUMMYFUNCTION("XLOOKUP(C231, 
   IMPORTRANGE(""1RdEdgHYrZ33LJ7RUHj_h-qkAFL92bcVjtIdVa-UlsCw"", ""Interns!D:D""), 
   IMPORTRANGE(""1RdEdgHYrZ33LJ7RUHj_h-qkAFL92bcVjtIdVa-UlsCw"", ""Interns!M:M""), 
   ""Not Found"")"),"Contacted")</f>
        <v>Contacted</v>
      </c>
      <c r="AL231" s="23" t="str">
        <f>IFERROR(__xludf.DUMMYFUNCTION("XLOOKUP(C231, 
   IMPORTRANGE(""1RdEdgHYrZ33LJ7RUHj_h-qkAFL92bcVjtIdVa-UlsCw"", ""Interns!D:D""), 
   IMPORTRANGE(""1RdEdgHYrZ33LJ7RUHj_h-qkAFL92bcVjtIdVa-UlsCw"", ""Interns!N:N""), 
   ""Not Found"")"),"#Cheers4Careers")</f>
        <v>#Cheers4Careers</v>
      </c>
      <c r="AM231" s="23" t="str">
        <f>IFERROR(__xludf.DUMMYFUNCTION("XLOOKUP(C231, 
   IMPORTRANGE(""1RdEdgHYrZ33LJ7RUHj_h-qkAFL92bcVjtIdVa-UlsCw"", ""Interns!D:D""), 
   IMPORTRANGE(""1RdEdgHYrZ33LJ7RUHj_h-qkAFL92bcVjtIdVa-UlsCw"", ""Interns!O:O""), 
   ""Not Found"")"),"Hetal reached out by email 3/27")</f>
        <v>Hetal reached out by email 3/27</v>
      </c>
      <c r="AN231" s="23"/>
      <c r="AO231" s="23" t="s">
        <v>6842</v>
      </c>
      <c r="AP231" s="28" t="s">
        <v>5182</v>
      </c>
      <c r="AQ231" s="28"/>
      <c r="AR231" s="23"/>
      <c r="AS231" s="23"/>
      <c r="AT231" s="23"/>
      <c r="AU231" s="23"/>
      <c r="AV231" s="23"/>
    </row>
    <row r="232">
      <c r="A232" s="28" t="s">
        <v>5202</v>
      </c>
      <c r="B232" s="28" t="s">
        <v>5162</v>
      </c>
      <c r="C232" s="23" t="str">
        <f t="shared" si="1"/>
        <v>Angelica Rubiera</v>
      </c>
      <c r="D232" s="28" t="s">
        <v>6843</v>
      </c>
      <c r="E232" s="28" t="s">
        <v>6844</v>
      </c>
      <c r="F232" s="23">
        <f t="array" ref="F232">IFERROR(
    INDEX('Hub Interns 226'!A:A, MATCH(C232, 'Hub Interns 226'!B:B, 0)),"")</f>
        <v>236</v>
      </c>
      <c r="G232" s="23">
        <f t="array" ref="G232">IFERROR(
    INDEX('Hub Users 226'!A:A, MATCH(C232, 'Hub Users 226'!B:B, 0)),"")</f>
        <v>669</v>
      </c>
      <c r="H232" s="28">
        <v>495.0</v>
      </c>
      <c r="I232" s="28" t="s">
        <v>407</v>
      </c>
      <c r="J232" s="28" t="s">
        <v>5336</v>
      </c>
      <c r="K232" s="28" t="s">
        <v>5177</v>
      </c>
      <c r="L232" s="28" t="s">
        <v>5196</v>
      </c>
      <c r="M232" s="56" t="s">
        <v>6845</v>
      </c>
      <c r="N232" s="57">
        <v>44475.646527777775</v>
      </c>
      <c r="O232" s="58">
        <v>44475.0</v>
      </c>
      <c r="P232" s="28">
        <f t="shared" si="11"/>
        <v>4</v>
      </c>
      <c r="Q232" s="28" t="s">
        <v>6846</v>
      </c>
      <c r="R232" s="28" t="s">
        <v>6847</v>
      </c>
      <c r="S232" s="28">
        <v>15.0</v>
      </c>
      <c r="T232" s="28">
        <v>32.0</v>
      </c>
      <c r="U232" s="28">
        <v>79.0</v>
      </c>
      <c r="V232" s="28">
        <v>15.0</v>
      </c>
      <c r="W232" s="28" t="s">
        <v>859</v>
      </c>
      <c r="X232" s="28" t="s">
        <v>272</v>
      </c>
      <c r="Y232" s="28" t="s">
        <v>6848</v>
      </c>
      <c r="Z232" s="28" t="s">
        <v>5918</v>
      </c>
      <c r="AA232" s="28" t="s">
        <v>477</v>
      </c>
      <c r="AB232" s="28">
        <v>15.0</v>
      </c>
      <c r="AC232" s="28" t="s">
        <v>25</v>
      </c>
      <c r="AD232" s="23"/>
      <c r="AE232" s="28" t="s">
        <v>10</v>
      </c>
      <c r="AF232" s="23" t="str">
        <f>IFERROR(__xludf.DUMMYFUNCTION("TEXTJOIN("", "", TRUE,
  FILTER(Champions!C:C,
    ISNUMBER(SEARCH(C232, Champions!W:W))
  )
)"),"Loren Hernandez, Natsumi Komatani")</f>
        <v>Loren Hernandez, Natsumi Komatani</v>
      </c>
      <c r="AG232" s="23"/>
      <c r="AH232" s="23" t="str">
        <f>IFERROR(__xludf.DUMMYFUNCTION("IF(
ISNUMBER(MATCH(
C232,
IMPORTRANGE(""https://docs.google.com/spreadsheets/d/1yTh1ELC33JHYOeEdgIiEclxPRyh0zOKtlawDltfUay8"",""'Interns'!A:A""),
0
)),
""Outreach Conducted"",
"""")"),"")</f>
        <v/>
      </c>
      <c r="AI232" s="23"/>
      <c r="AJ232" s="23"/>
      <c r="AK232" s="23" t="str">
        <f>IFERROR(__xludf.DUMMYFUNCTION("XLOOKUP(C232, 
   IMPORTRANGE(""1RdEdgHYrZ33LJ7RUHj_h-qkAFL92bcVjtIdVa-UlsCw"", ""Interns!D:D""), 
   IMPORTRANGE(""1RdEdgHYrZ33LJ7RUHj_h-qkAFL92bcVjtIdVa-UlsCw"", ""Interns!M:M""), 
   ""Not Found"")"),"")</f>
        <v/>
      </c>
      <c r="AL232" s="23" t="str">
        <f>IFERROR(__xludf.DUMMYFUNCTION("XLOOKUP(C232, 
   IMPORTRANGE(""1RdEdgHYrZ33LJ7RUHj_h-qkAFL92bcVjtIdVa-UlsCw"", ""Interns!D:D""), 
   IMPORTRANGE(""1RdEdgHYrZ33LJ7RUHj_h-qkAFL92bcVjtIdVa-UlsCw"", ""Interns!N:N""), 
   ""Not Found"")"),"")</f>
        <v/>
      </c>
      <c r="AM232" s="23" t="str">
        <f>IFERROR(__xludf.DUMMYFUNCTION("XLOOKUP(C232, 
   IMPORTRANGE(""1RdEdgHYrZ33LJ7RUHj_h-qkAFL92bcVjtIdVa-UlsCw"", ""Interns!D:D""), 
   IMPORTRANGE(""1RdEdgHYrZ33LJ7RUHj_h-qkAFL92bcVjtIdVa-UlsCw"", ""Interns!O:O""), 
   ""Not Found"")"),"")</f>
        <v/>
      </c>
      <c r="AN232" s="23"/>
      <c r="AO232" s="23" t="s">
        <v>6849</v>
      </c>
      <c r="AP232" s="28" t="s">
        <v>5182</v>
      </c>
      <c r="AQ232" s="28" t="s">
        <v>6850</v>
      </c>
      <c r="AR232" s="23" t="s">
        <v>6851</v>
      </c>
      <c r="AS232" s="23"/>
      <c r="AT232" s="23"/>
      <c r="AU232" s="23"/>
      <c r="AV232" s="23"/>
    </row>
    <row r="233">
      <c r="A233" s="28" t="s">
        <v>5161</v>
      </c>
      <c r="B233" s="28" t="s">
        <v>5162</v>
      </c>
      <c r="C233" s="23" t="str">
        <f t="shared" si="1"/>
        <v>America Sanchez</v>
      </c>
      <c r="D233" s="28" t="s">
        <v>6852</v>
      </c>
      <c r="E233" s="28" t="s">
        <v>6853</v>
      </c>
      <c r="F233" s="23">
        <f t="array" ref="F233">IFERROR(
    INDEX('Hub Interns 226'!A:A, MATCH(C233, 'Hub Interns 226'!B:B, 0)),"")</f>
        <v>75</v>
      </c>
      <c r="G233" s="23">
        <f t="array" ref="G233">IFERROR(
    INDEX('Hub Users 226'!A:A, MATCH(C233, 'Hub Users 226'!B:B, 0)),"")</f>
        <v>508</v>
      </c>
      <c r="H233" s="28">
        <v>1536.0</v>
      </c>
      <c r="I233" s="28" t="s">
        <v>260</v>
      </c>
      <c r="J233" s="28"/>
      <c r="K233" s="28"/>
      <c r="L233" s="28" t="s">
        <v>5196</v>
      </c>
      <c r="M233" s="56" t="s">
        <v>6854</v>
      </c>
      <c r="N233" s="57">
        <v>44956.67361111111</v>
      </c>
      <c r="O233" s="58">
        <v>38347.0</v>
      </c>
      <c r="P233" s="28">
        <f t="shared" si="11"/>
        <v>21</v>
      </c>
      <c r="Q233" s="28" t="s">
        <v>240</v>
      </c>
      <c r="R233" s="28" t="s">
        <v>6855</v>
      </c>
      <c r="S233" s="28">
        <v>14.0</v>
      </c>
      <c r="T233" s="28">
        <v>13.0</v>
      </c>
      <c r="U233" s="28">
        <v>34.0</v>
      </c>
      <c r="V233" s="28">
        <v>21.0</v>
      </c>
      <c r="W233" s="28" t="s">
        <v>1173</v>
      </c>
      <c r="X233" s="28" t="s">
        <v>272</v>
      </c>
      <c r="Y233" s="28" t="s">
        <v>6856</v>
      </c>
      <c r="Z233" s="28" t="s">
        <v>5259</v>
      </c>
      <c r="AA233" s="28" t="s">
        <v>704</v>
      </c>
      <c r="AB233" s="28">
        <v>2.0</v>
      </c>
      <c r="AC233" s="28" t="s">
        <v>23</v>
      </c>
      <c r="AD233" s="28" t="s">
        <v>101</v>
      </c>
      <c r="AE233" s="28" t="s">
        <v>15</v>
      </c>
      <c r="AF233" s="23"/>
      <c r="AG233" s="23"/>
      <c r="AH233" s="23" t="str">
        <f>IFERROR(__xludf.DUMMYFUNCTION("IF(
ISNUMBER(MATCH(
C233,
IMPORTRANGE(""https://docs.google.com/spreadsheets/d/1yTh1ELC33JHYOeEdgIiEclxPRyh0zOKtlawDltfUay8"",""'Interns'!A:A""),
0
)),
""Outreach Conducted"",
"""")"),"")</f>
        <v/>
      </c>
      <c r="AI233" s="23"/>
      <c r="AJ233" s="23"/>
      <c r="AK233" s="23" t="str">
        <f>IFERROR(__xludf.DUMMYFUNCTION("XLOOKUP(C233, 
   IMPORTRANGE(""1RdEdgHYrZ33LJ7RUHj_h-qkAFL92bcVjtIdVa-UlsCw"", ""Interns!D:D""), 
   IMPORTRANGE(""1RdEdgHYrZ33LJ7RUHj_h-qkAFL92bcVjtIdVa-UlsCw"", ""Interns!M:M""), 
   ""Not Found"")"),"Contacted")</f>
        <v>Contacted</v>
      </c>
      <c r="AL233" s="23" t="str">
        <f>IFERROR(__xludf.DUMMYFUNCTION("XLOOKUP(C233, 
   IMPORTRANGE(""1RdEdgHYrZ33LJ7RUHj_h-qkAFL92bcVjtIdVa-UlsCw"", ""Interns!D:D""), 
   IMPORTRANGE(""1RdEdgHYrZ33LJ7RUHj_h-qkAFL92bcVjtIdVa-UlsCw"", ""Interns!N:N""), 
   ""Not Found"")"),"#Cheers4Careers")</f>
        <v>#Cheers4Careers</v>
      </c>
      <c r="AM233" s="23" t="str">
        <f>IFERROR(__xludf.DUMMYFUNCTION("XLOOKUP(C233, 
   IMPORTRANGE(""1RdEdgHYrZ33LJ7RUHj_h-qkAFL92bcVjtIdVa-UlsCw"", ""Interns!D:D""), 
   IMPORTRANGE(""1RdEdgHYrZ33LJ7RUHj_h-qkAFL92bcVjtIdVa-UlsCw"", ""Interns!O:O""), 
   ""Not Found"")"),"Ousmane reached out by email 3/26 and reach out by text 3/28")</f>
        <v>Ousmane reached out by email 3/26 and reach out by text 3/28</v>
      </c>
      <c r="AN233" s="23"/>
      <c r="AO233" s="23" t="s">
        <v>6857</v>
      </c>
      <c r="AP233" s="28" t="s">
        <v>5173</v>
      </c>
      <c r="AQ233" s="28"/>
      <c r="AR233" s="23"/>
      <c r="AS233" s="23"/>
      <c r="AT233" s="23"/>
      <c r="AU233" s="23"/>
      <c r="AV233" s="23"/>
    </row>
    <row r="234">
      <c r="A234" s="28" t="s">
        <v>5161</v>
      </c>
      <c r="B234" s="28" t="s">
        <v>5162</v>
      </c>
      <c r="C234" s="23" t="str">
        <f t="shared" si="1"/>
        <v>Johan Lozano</v>
      </c>
      <c r="D234" s="22" t="s">
        <v>6858</v>
      </c>
      <c r="E234" s="22" t="s">
        <v>6859</v>
      </c>
      <c r="F234" s="23"/>
      <c r="G234" s="23"/>
      <c r="H234" s="22">
        <v>2018.0</v>
      </c>
      <c r="I234" s="28"/>
      <c r="J234" s="28" t="s">
        <v>5766</v>
      </c>
      <c r="K234" s="28" t="s">
        <v>5463</v>
      </c>
      <c r="L234" s="28" t="s">
        <v>5196</v>
      </c>
      <c r="M234" s="29" t="s">
        <v>6860</v>
      </c>
      <c r="N234" s="61">
        <v>45604.506944444445</v>
      </c>
      <c r="O234" s="25">
        <v>39965.0</v>
      </c>
      <c r="P234" s="28">
        <f t="shared" si="11"/>
        <v>16</v>
      </c>
      <c r="Q234" s="62" t="s">
        <v>240</v>
      </c>
      <c r="R234" s="22" t="s">
        <v>6861</v>
      </c>
      <c r="S234" s="28">
        <v>13.0</v>
      </c>
      <c r="T234" s="28">
        <v>30.0</v>
      </c>
      <c r="U234" s="28">
        <v>70.0</v>
      </c>
      <c r="V234" s="28">
        <v>9.0</v>
      </c>
      <c r="W234" s="28" t="s">
        <v>271</v>
      </c>
      <c r="X234" s="28" t="s">
        <v>272</v>
      </c>
      <c r="Y234" s="22">
        <v>3.476939915E9</v>
      </c>
      <c r="Z234" s="22" t="s">
        <v>6862</v>
      </c>
      <c r="AA234" s="28" t="s">
        <v>6863</v>
      </c>
      <c r="AB234" s="28">
        <v>9.0</v>
      </c>
      <c r="AC234" s="28" t="s">
        <v>27</v>
      </c>
      <c r="AD234" s="23"/>
      <c r="AE234" s="28" t="s">
        <v>19</v>
      </c>
      <c r="AF234" s="23"/>
      <c r="AG234" s="23"/>
      <c r="AH234" s="23" t="str">
        <f>IFERROR(__xludf.DUMMYFUNCTION("IF(
ISNUMBER(MATCH(
C234,
IMPORTRANGE(""https://docs.google.com/spreadsheets/d/1yTh1ELC33JHYOeEdgIiEclxPRyh0zOKtlawDltfUay8"",""'Interns'!A:A""),
0
)),
""Outreach Conducted"",
"""")"),"")</f>
        <v/>
      </c>
      <c r="AI234" s="23"/>
      <c r="AJ234" s="23"/>
      <c r="AK234" s="23" t="str">
        <f>IFERROR(__xludf.DUMMYFUNCTION("XLOOKUP(C234, 
   IMPORTRANGE(""1RdEdgHYrZ33LJ7RUHj_h-qkAFL92bcVjtIdVa-UlsCw"", ""Interns!D:D""), 
   IMPORTRANGE(""1RdEdgHYrZ33LJ7RUHj_h-qkAFL92bcVjtIdVa-UlsCw"", ""Interns!M:M""), 
   ""Not Found"")"),"Not Found")</f>
        <v>Not Found</v>
      </c>
      <c r="AL234" s="23" t="str">
        <f>IFERROR(__xludf.DUMMYFUNCTION("XLOOKUP(C234, 
   IMPORTRANGE(""1RdEdgHYrZ33LJ7RUHj_h-qkAFL92bcVjtIdVa-UlsCw"", ""Interns!D:D""), 
   IMPORTRANGE(""1RdEdgHYrZ33LJ7RUHj_h-qkAFL92bcVjtIdVa-UlsCw"", ""Interns!N:N""), 
   ""Not Found"")"),"Not Found")</f>
        <v>Not Found</v>
      </c>
      <c r="AM234" s="23" t="str">
        <f>IFERROR(__xludf.DUMMYFUNCTION("XLOOKUP(C234, 
   IMPORTRANGE(""1RdEdgHYrZ33LJ7RUHj_h-qkAFL92bcVjtIdVa-UlsCw"", ""Interns!D:D""), 
   IMPORTRANGE(""1RdEdgHYrZ33LJ7RUHj_h-qkAFL92bcVjtIdVa-UlsCw"", ""Interns!O:O""), 
   ""Not Found"")"),"Not Found")</f>
        <v>Not Found</v>
      </c>
      <c r="AN234" s="23"/>
      <c r="AO234" s="23"/>
      <c r="AP234" s="28"/>
      <c r="AQ234" s="28"/>
      <c r="AR234" s="23"/>
      <c r="AS234" s="23"/>
      <c r="AT234" s="23"/>
      <c r="AU234" s="23"/>
      <c r="AV234" s="23"/>
    </row>
    <row r="235">
      <c r="A235" s="28" t="s">
        <v>5202</v>
      </c>
      <c r="B235" s="28" t="s">
        <v>5162</v>
      </c>
      <c r="C235" s="23" t="str">
        <f t="shared" si="1"/>
        <v>Eliexer Santos</v>
      </c>
      <c r="D235" s="28" t="s">
        <v>6864</v>
      </c>
      <c r="E235" s="28" t="s">
        <v>6865</v>
      </c>
      <c r="F235" s="23">
        <f t="array" ref="F235">IFERROR(
    INDEX('Hub Interns 226'!A:A, MATCH(C235, 'Hub Interns 226'!B:B, 0)),"")</f>
        <v>480</v>
      </c>
      <c r="G235" s="23">
        <f t="array" ref="G235">IFERROR(
    INDEX('Hub Users 226'!A:A, MATCH(C235, 'Hub Users 226'!B:B, 0)),"")</f>
        <v>913</v>
      </c>
      <c r="H235" s="28">
        <v>839.0</v>
      </c>
      <c r="I235" s="28" t="s">
        <v>290</v>
      </c>
      <c r="J235" s="28" t="s">
        <v>5336</v>
      </c>
      <c r="K235" s="28" t="s">
        <v>5177</v>
      </c>
      <c r="L235" s="28" t="s">
        <v>5165</v>
      </c>
      <c r="M235" s="56" t="s">
        <v>6866</v>
      </c>
      <c r="N235" s="57">
        <v>44579.59722222222</v>
      </c>
      <c r="O235" s="58">
        <v>37556.0</v>
      </c>
      <c r="P235" s="28">
        <f t="shared" si="11"/>
        <v>23</v>
      </c>
      <c r="Q235" s="28" t="s">
        <v>6867</v>
      </c>
      <c r="R235" s="28" t="s">
        <v>6868</v>
      </c>
      <c r="S235" s="28">
        <v>14.0</v>
      </c>
      <c r="T235" s="28">
        <v>34.0</v>
      </c>
      <c r="U235" s="28">
        <v>85.0</v>
      </c>
      <c r="V235" s="28">
        <v>18.0</v>
      </c>
      <c r="W235" s="28" t="s">
        <v>859</v>
      </c>
      <c r="X235" s="28" t="s">
        <v>272</v>
      </c>
      <c r="Y235" s="28" t="s">
        <v>6869</v>
      </c>
      <c r="Z235" s="28" t="s">
        <v>5779</v>
      </c>
      <c r="AA235" s="28" t="s">
        <v>3931</v>
      </c>
      <c r="AB235" s="28">
        <v>2.0</v>
      </c>
      <c r="AC235" s="28" t="s">
        <v>25</v>
      </c>
      <c r="AD235" s="23"/>
      <c r="AE235" s="28" t="s">
        <v>10</v>
      </c>
      <c r="AF235" s="23" t="str">
        <f>IFERROR(__xludf.DUMMYFUNCTION("TEXTJOIN("", "", TRUE,
  FILTER(Champions!C:C,
    ISNUMBER(SEARCH(C235, Champions!W:W))
  )
)"),"Luna Martinez")</f>
        <v>Luna Martinez</v>
      </c>
      <c r="AG235" s="23"/>
      <c r="AH235" s="23" t="str">
        <f>IFERROR(__xludf.DUMMYFUNCTION("IF(
ISNUMBER(MATCH(
C235,
IMPORTRANGE(""https://docs.google.com/spreadsheets/d/1yTh1ELC33JHYOeEdgIiEclxPRyh0zOKtlawDltfUay8"",""'Interns'!A:A""),
0
)),
""Outreach Conducted"",
"""")"),"")</f>
        <v/>
      </c>
      <c r="AI235" s="23"/>
      <c r="AJ235" s="23"/>
      <c r="AK235" s="23" t="str">
        <f>IFERROR(__xludf.DUMMYFUNCTION("XLOOKUP(C235, 
   IMPORTRANGE(""1RdEdgHYrZ33LJ7RUHj_h-qkAFL92bcVjtIdVa-UlsCw"", ""Interns!D:D""), 
   IMPORTRANGE(""1RdEdgHYrZ33LJ7RUHj_h-qkAFL92bcVjtIdVa-UlsCw"", ""Interns!M:M""), 
   ""Not Found"")"),"")</f>
        <v/>
      </c>
      <c r="AL235" s="23" t="str">
        <f>IFERROR(__xludf.DUMMYFUNCTION("XLOOKUP(C235, 
   IMPORTRANGE(""1RdEdgHYrZ33LJ7RUHj_h-qkAFL92bcVjtIdVa-UlsCw"", ""Interns!D:D""), 
   IMPORTRANGE(""1RdEdgHYrZ33LJ7RUHj_h-qkAFL92bcVjtIdVa-UlsCw"", ""Interns!N:N""), 
   ""Not Found"")"),"")</f>
        <v/>
      </c>
      <c r="AM235" s="23" t="str">
        <f>IFERROR(__xludf.DUMMYFUNCTION("XLOOKUP(C235, 
   IMPORTRANGE(""1RdEdgHYrZ33LJ7RUHj_h-qkAFL92bcVjtIdVa-UlsCw"", ""Interns!D:D""), 
   IMPORTRANGE(""1RdEdgHYrZ33LJ7RUHj_h-qkAFL92bcVjtIdVa-UlsCw"", ""Interns!O:O""), 
   ""Not Found"")"),"")</f>
        <v/>
      </c>
      <c r="AN235" s="23"/>
      <c r="AO235" s="23" t="s">
        <v>6870</v>
      </c>
      <c r="AP235" s="28" t="s">
        <v>5191</v>
      </c>
      <c r="AQ235" s="28" t="s">
        <v>6866</v>
      </c>
      <c r="AR235" s="23" t="s">
        <v>6871</v>
      </c>
      <c r="AS235" s="23"/>
      <c r="AT235" s="23"/>
      <c r="AU235" s="23"/>
      <c r="AV235" s="23"/>
    </row>
    <row r="236">
      <c r="A236" s="28" t="s">
        <v>5161</v>
      </c>
      <c r="B236" s="28" t="s">
        <v>5162</v>
      </c>
      <c r="C236" s="23" t="str">
        <f t="shared" si="1"/>
        <v>Juan Roman</v>
      </c>
      <c r="D236" s="28" t="s">
        <v>5764</v>
      </c>
      <c r="E236" s="28" t="s">
        <v>6872</v>
      </c>
      <c r="F236" s="23" t="str">
        <f t="array" ref="F236">IFERROR(
    INDEX('Hub Interns 226'!A:A, MATCH(C236, 'Hub Interns 226'!B:B, 0)),"")</f>
        <v/>
      </c>
      <c r="G236" s="23">
        <f t="array" ref="G236">IFERROR(
    INDEX('Hub Users 226'!A:A, MATCH(C236, 'Hub Users 226'!B:B, 0)),"")</f>
        <v>1967</v>
      </c>
      <c r="H236" s="28">
        <v>1813.0</v>
      </c>
      <c r="I236" s="28"/>
      <c r="J236" s="28" t="s">
        <v>5766</v>
      </c>
      <c r="K236" s="28" t="s">
        <v>5463</v>
      </c>
      <c r="L236" s="28" t="s">
        <v>5165</v>
      </c>
      <c r="M236" s="56" t="s">
        <v>6873</v>
      </c>
      <c r="N236" s="57">
        <v>45386.57777777778</v>
      </c>
      <c r="O236" s="58">
        <v>39429.0</v>
      </c>
      <c r="P236" s="28">
        <f t="shared" si="11"/>
        <v>18</v>
      </c>
      <c r="Q236" s="28" t="s">
        <v>6874</v>
      </c>
      <c r="R236" s="28" t="s">
        <v>6875</v>
      </c>
      <c r="S236" s="28">
        <v>13.0</v>
      </c>
      <c r="T236" s="28">
        <v>30.0</v>
      </c>
      <c r="U236" s="28">
        <v>70.0</v>
      </c>
      <c r="V236" s="28">
        <v>9.0</v>
      </c>
      <c r="W236" s="28" t="s">
        <v>271</v>
      </c>
      <c r="X236" s="28" t="s">
        <v>272</v>
      </c>
      <c r="Y236" s="23"/>
      <c r="Z236" s="28" t="s">
        <v>6876</v>
      </c>
      <c r="AA236" s="28" t="s">
        <v>6863</v>
      </c>
      <c r="AB236" s="28">
        <v>9.0</v>
      </c>
      <c r="AC236" s="28" t="s">
        <v>27</v>
      </c>
      <c r="AD236" s="28" t="s">
        <v>101</v>
      </c>
      <c r="AE236" s="28" t="s">
        <v>18</v>
      </c>
      <c r="AF236" s="23"/>
      <c r="AG236" s="23"/>
      <c r="AH236" s="23" t="str">
        <f>IFERROR(__xludf.DUMMYFUNCTION("IF(
ISNUMBER(MATCH(
C236,
IMPORTRANGE(""https://docs.google.com/spreadsheets/d/1yTh1ELC33JHYOeEdgIiEclxPRyh0zOKtlawDltfUay8"",""'Interns'!A:A""),
0
)),
""Outreach Conducted"",
"""")"),"")</f>
        <v/>
      </c>
      <c r="AI236" s="23"/>
      <c r="AJ236" s="23"/>
      <c r="AK236" s="23" t="str">
        <f>IFERROR(__xludf.DUMMYFUNCTION("XLOOKUP(C236, 
   IMPORTRANGE(""1RdEdgHYrZ33LJ7RUHj_h-qkAFL92bcVjtIdVa-UlsCw"", ""Interns!D:D""), 
   IMPORTRANGE(""1RdEdgHYrZ33LJ7RUHj_h-qkAFL92bcVjtIdVa-UlsCw"", ""Interns!M:M""), 
   ""Not Found"")"),"Contacted")</f>
        <v>Contacted</v>
      </c>
      <c r="AL236" s="23" t="str">
        <f>IFERROR(__xludf.DUMMYFUNCTION("XLOOKUP(C236, 
   IMPORTRANGE(""1RdEdgHYrZ33LJ7RUHj_h-qkAFL92bcVjtIdVa-UlsCw"", ""Interns!D:D""), 
   IMPORTRANGE(""1RdEdgHYrZ33LJ7RUHj_h-qkAFL92bcVjtIdVa-UlsCw"", ""Interns!N:N""), 
   ""Not Found"")"),"#Cheers4Careers")</f>
        <v>#Cheers4Careers</v>
      </c>
      <c r="AM236" s="23" t="str">
        <f>IFERROR(__xludf.DUMMYFUNCTION("XLOOKUP(C236, 
   IMPORTRANGE(""1RdEdgHYrZ33LJ7RUHj_h-qkAFL92bcVjtIdVa-UlsCw"", ""Interns!D:D""), 
   IMPORTRANGE(""1RdEdgHYrZ33LJ7RUHj_h-qkAFL92bcVjtIdVa-UlsCw"", ""Interns!O:O""), 
   ""Not Found"")"),"Hetal reached out March 27 for March #Cheers4 Careers")</f>
        <v>Hetal reached out March 27 for March #Cheers4 Careers</v>
      </c>
      <c r="AN236" s="23"/>
      <c r="AO236" s="23" t="s">
        <v>6877</v>
      </c>
      <c r="AP236" s="28" t="s">
        <v>6878</v>
      </c>
      <c r="AQ236" s="28" t="s">
        <v>6879</v>
      </c>
      <c r="AR236" s="23"/>
      <c r="AS236" s="23"/>
      <c r="AT236" s="23"/>
      <c r="AU236" s="23"/>
      <c r="AV236" s="23"/>
    </row>
    <row r="237">
      <c r="A237" s="28" t="s">
        <v>5161</v>
      </c>
      <c r="B237" s="28" t="s">
        <v>5162</v>
      </c>
      <c r="C237" s="23" t="str">
        <f t="shared" si="1"/>
        <v>Jaime Lara</v>
      </c>
      <c r="D237" s="28" t="s">
        <v>6880</v>
      </c>
      <c r="E237" s="28" t="s">
        <v>6881</v>
      </c>
      <c r="F237" s="23">
        <f t="array" ref="F237">IFERROR(
    INDEX('Hub Interns 226'!A:A, MATCH(C237, 'Hub Interns 226'!B:B, 0)),"")</f>
        <v>91</v>
      </c>
      <c r="G237" s="23">
        <f t="array" ref="G237">IFERROR(
    INDEX('Hub Users 226'!A:A, MATCH(C237, 'Hub Users 226'!B:B, 0)),"")</f>
        <v>524</v>
      </c>
      <c r="H237" s="28">
        <v>1478.0</v>
      </c>
      <c r="I237" s="28" t="s">
        <v>269</v>
      </c>
      <c r="J237" s="28" t="s">
        <v>5766</v>
      </c>
      <c r="K237" s="28" t="s">
        <v>5463</v>
      </c>
      <c r="L237" s="28" t="s">
        <v>5165</v>
      </c>
      <c r="M237" s="56" t="s">
        <v>6882</v>
      </c>
      <c r="N237" s="57">
        <v>44939.61388888889</v>
      </c>
      <c r="O237" s="58">
        <v>38186.0</v>
      </c>
      <c r="P237" s="28">
        <f t="shared" si="11"/>
        <v>21</v>
      </c>
      <c r="Q237" s="28" t="s">
        <v>6883</v>
      </c>
      <c r="R237" s="28" t="s">
        <v>6884</v>
      </c>
      <c r="S237" s="28">
        <v>6.0</v>
      </c>
      <c r="T237" s="28">
        <v>16.0</v>
      </c>
      <c r="U237" s="28">
        <v>25.0</v>
      </c>
      <c r="V237" s="28">
        <v>23.0</v>
      </c>
      <c r="W237" s="28" t="s">
        <v>1173</v>
      </c>
      <c r="X237" s="28" t="s">
        <v>272</v>
      </c>
      <c r="Y237" s="28" t="s">
        <v>6885</v>
      </c>
      <c r="Z237" s="28" t="s">
        <v>5259</v>
      </c>
      <c r="AA237" s="28" t="s">
        <v>704</v>
      </c>
      <c r="AB237" s="28">
        <v>2.0</v>
      </c>
      <c r="AC237" s="28" t="s">
        <v>25</v>
      </c>
      <c r="AD237" s="23"/>
      <c r="AE237" s="28" t="s">
        <v>15</v>
      </c>
      <c r="AF237" s="23" t="str">
        <f>IFERROR(__xludf.DUMMYFUNCTION("TEXTJOIN("", "", TRUE,
  FILTER(Champions!C:C,
    ISNUMBER(SEARCH(C237, Champions!W:W))
  )
)"),"Diane French, Rosie Chu")</f>
        <v>Diane French, Rosie Chu</v>
      </c>
      <c r="AG237" s="23"/>
      <c r="AH237" s="23" t="str">
        <f>IFERROR(__xludf.DUMMYFUNCTION("IF(
ISNUMBER(MATCH(
C237,
IMPORTRANGE(""https://docs.google.com/spreadsheets/d/1yTh1ELC33JHYOeEdgIiEclxPRyh0zOKtlawDltfUay8"",""'Interns'!A:A""),
0
)),
""Outreach Conducted"",
"""")"),"")</f>
        <v/>
      </c>
      <c r="AI237" s="23"/>
      <c r="AJ237" s="28" t="s">
        <v>6886</v>
      </c>
      <c r="AK237" s="23" t="str">
        <f>IFERROR(__xludf.DUMMYFUNCTION("XLOOKUP(C237, 
   IMPORTRANGE(""1RdEdgHYrZ33LJ7RUHj_h-qkAFL92bcVjtIdVa-UlsCw"", ""Interns!D:D""), 
   IMPORTRANGE(""1RdEdgHYrZ33LJ7RUHj_h-qkAFL92bcVjtIdVa-UlsCw"", ""Interns!M:M""), 
   ""Not Found"")"),"")</f>
        <v/>
      </c>
      <c r="AL237" s="23" t="str">
        <f>IFERROR(__xludf.DUMMYFUNCTION("XLOOKUP(C237, 
   IMPORTRANGE(""1RdEdgHYrZ33LJ7RUHj_h-qkAFL92bcVjtIdVa-UlsCw"", ""Interns!D:D""), 
   IMPORTRANGE(""1RdEdgHYrZ33LJ7RUHj_h-qkAFL92bcVjtIdVa-UlsCw"", ""Interns!N:N""), 
   ""Not Found"")"),"")</f>
        <v/>
      </c>
      <c r="AM237" s="23" t="str">
        <f>IFERROR(__xludf.DUMMYFUNCTION("XLOOKUP(C237, 
   IMPORTRANGE(""1RdEdgHYrZ33LJ7RUHj_h-qkAFL92bcVjtIdVa-UlsCw"", ""Interns!D:D""), 
   IMPORTRANGE(""1RdEdgHYrZ33LJ7RUHj_h-qkAFL92bcVjtIdVa-UlsCw"", ""Interns!O:O""), 
   ""Not Found"")"),"")</f>
        <v/>
      </c>
      <c r="AN237" s="23"/>
      <c r="AO237" s="23" t="s">
        <v>6887</v>
      </c>
      <c r="AP237" s="28" t="s">
        <v>5182</v>
      </c>
      <c r="AQ237" s="28" t="s">
        <v>6614</v>
      </c>
      <c r="AR237" s="23" t="s">
        <v>6888</v>
      </c>
      <c r="AS237" s="23"/>
      <c r="AT237" s="23"/>
      <c r="AU237" s="23"/>
      <c r="AV237" s="23"/>
    </row>
    <row r="238">
      <c r="A238" s="28" t="s">
        <v>5161</v>
      </c>
      <c r="B238" s="28" t="s">
        <v>5162</v>
      </c>
      <c r="C238" s="23" t="str">
        <f t="shared" si="1"/>
        <v>Johan Afannador</v>
      </c>
      <c r="D238" s="28" t="s">
        <v>6858</v>
      </c>
      <c r="E238" s="28" t="s">
        <v>6889</v>
      </c>
      <c r="F238" s="23">
        <f t="array" ref="F238">IFERROR(
    INDEX('Hub Interns 226'!A:A, MATCH(C238, 'Hub Interns 226'!B:B, 0)),"")</f>
        <v>675</v>
      </c>
      <c r="G238" s="23">
        <f t="array" ref="G238">IFERROR(
    INDEX('Hub Users 226'!A:A, MATCH(C238, 'Hub Users 226'!B:B, 0)),"")</f>
        <v>1108</v>
      </c>
      <c r="H238" s="28">
        <v>1614.0</v>
      </c>
      <c r="I238" s="28"/>
      <c r="J238" s="28" t="s">
        <v>5766</v>
      </c>
      <c r="K238" s="28" t="s">
        <v>5463</v>
      </c>
      <c r="L238" s="28" t="s">
        <v>6647</v>
      </c>
      <c r="M238" s="56" t="s">
        <v>6890</v>
      </c>
      <c r="N238" s="57">
        <v>45079.51736111111</v>
      </c>
      <c r="O238" s="58">
        <v>40472.0</v>
      </c>
      <c r="P238" s="28">
        <f t="shared" si="11"/>
        <v>15</v>
      </c>
      <c r="Q238" s="28" t="s">
        <v>240</v>
      </c>
      <c r="R238" s="28" t="s">
        <v>6891</v>
      </c>
      <c r="S238" s="28">
        <v>7.0</v>
      </c>
      <c r="T238" s="28">
        <v>12.0</v>
      </c>
      <c r="U238" s="28">
        <v>37.0</v>
      </c>
      <c r="V238" s="28">
        <v>30.0</v>
      </c>
      <c r="W238" s="28" t="s">
        <v>1173</v>
      </c>
      <c r="X238" s="28" t="s">
        <v>272</v>
      </c>
      <c r="Y238" s="28" t="s">
        <v>6892</v>
      </c>
      <c r="Z238" s="28" t="s">
        <v>5352</v>
      </c>
      <c r="AA238" s="28" t="s">
        <v>5287</v>
      </c>
      <c r="AB238" s="28">
        <v>26.0</v>
      </c>
      <c r="AC238" s="28" t="s">
        <v>23</v>
      </c>
      <c r="AD238" s="23"/>
      <c r="AE238" s="28" t="s">
        <v>15</v>
      </c>
      <c r="AF238" s="23"/>
      <c r="AG238" s="23"/>
      <c r="AH238" s="23" t="str">
        <f>IFERROR(__xludf.DUMMYFUNCTION("IF(
ISNUMBER(MATCH(
C238,
IMPORTRANGE(""https://docs.google.com/spreadsheets/d/1yTh1ELC33JHYOeEdgIiEclxPRyh0zOKtlawDltfUay8"",""'Interns'!A:A""),
0
)),
""Outreach Conducted"",
"""")"),"")</f>
        <v/>
      </c>
      <c r="AI238" s="23"/>
      <c r="AJ238" s="23"/>
      <c r="AK238" s="23" t="str">
        <f>IFERROR(__xludf.DUMMYFUNCTION("XLOOKUP(C238, 
   IMPORTRANGE(""1RdEdgHYrZ33LJ7RUHj_h-qkAFL92bcVjtIdVa-UlsCw"", ""Interns!D:D""), 
   IMPORTRANGE(""1RdEdgHYrZ33LJ7RUHj_h-qkAFL92bcVjtIdVa-UlsCw"", ""Interns!M:M""), 
   ""Not Found"")"),"Contacted")</f>
        <v>Contacted</v>
      </c>
      <c r="AL238" s="23" t="str">
        <f>IFERROR(__xludf.DUMMYFUNCTION("XLOOKUP(C238, 
   IMPORTRANGE(""1RdEdgHYrZ33LJ7RUHj_h-qkAFL92bcVjtIdVa-UlsCw"", ""Interns!D:D""), 
   IMPORTRANGE(""1RdEdgHYrZ33LJ7RUHj_h-qkAFL92bcVjtIdVa-UlsCw"", ""Interns!N:N""), 
   ""Not Found"")"),"#Cheers4Careers")</f>
        <v>#Cheers4Careers</v>
      </c>
      <c r="AM238" s="23" t="str">
        <f>IFERROR(__xludf.DUMMYFUNCTION("XLOOKUP(C238, 
   IMPORTRANGE(""1RdEdgHYrZ33LJ7RUHj_h-qkAFL92bcVjtIdVa-UlsCw"", ""Interns!D:D""), 
   IMPORTRANGE(""1RdEdgHYrZ33LJ7RUHj_h-qkAFL92bcVjtIdVa-UlsCw"", ""Interns!O:O""), 
   ""Not Found"")"),"Hetal reached out by email 3/27")</f>
        <v>Hetal reached out by email 3/27</v>
      </c>
      <c r="AN238" s="23"/>
      <c r="AO238" s="23" t="s">
        <v>6893</v>
      </c>
      <c r="AP238" s="28" t="s">
        <v>5182</v>
      </c>
      <c r="AQ238" s="28"/>
      <c r="AR238" s="23"/>
      <c r="AS238" s="23"/>
      <c r="AT238" s="23"/>
      <c r="AU238" s="23"/>
      <c r="AV238" s="23"/>
    </row>
    <row r="239">
      <c r="A239" s="28" t="s">
        <v>5161</v>
      </c>
      <c r="B239" s="28" t="s">
        <v>5162</v>
      </c>
      <c r="C239" s="23" t="str">
        <f t="shared" si="1"/>
        <v>Sebastian Franco</v>
      </c>
      <c r="D239" s="28" t="s">
        <v>6733</v>
      </c>
      <c r="E239" s="28" t="s">
        <v>6894</v>
      </c>
      <c r="F239" s="23">
        <f t="array" ref="F239">IFERROR(
    INDEX('Hub Interns 226'!A:A, MATCH(C239, 'Hub Interns 226'!B:B, 0)),"")</f>
        <v>1594</v>
      </c>
      <c r="G239" s="23">
        <f t="array" ref="G239">IFERROR(
    INDEX('Hub Users 226'!A:A, MATCH(C239, 'Hub Users 226'!B:B, 0)),"")</f>
        <v>2200</v>
      </c>
      <c r="H239" s="28">
        <v>1728.0</v>
      </c>
      <c r="I239" s="28" t="s">
        <v>239</v>
      </c>
      <c r="J239" s="28" t="s">
        <v>5766</v>
      </c>
      <c r="K239" s="28" t="s">
        <v>5463</v>
      </c>
      <c r="L239" s="28" t="s">
        <v>5165</v>
      </c>
      <c r="M239" s="56" t="s">
        <v>6895</v>
      </c>
      <c r="N239" s="57">
        <v>45266.586805555555</v>
      </c>
      <c r="O239" s="58">
        <v>45214.0</v>
      </c>
      <c r="P239" s="28">
        <f t="shared" si="11"/>
        <v>2</v>
      </c>
      <c r="Q239" s="28" t="s">
        <v>240</v>
      </c>
      <c r="R239" s="28" t="s">
        <v>6896</v>
      </c>
      <c r="S239" s="28">
        <v>6.0</v>
      </c>
      <c r="T239" s="28">
        <v>12.0</v>
      </c>
      <c r="U239" s="28">
        <v>30.0</v>
      </c>
      <c r="V239" s="28">
        <v>25.0</v>
      </c>
      <c r="W239" s="28" t="s">
        <v>1173</v>
      </c>
      <c r="X239" s="28" t="s">
        <v>272</v>
      </c>
      <c r="Y239" s="28" t="s">
        <v>5351</v>
      </c>
      <c r="Z239" s="28" t="s">
        <v>5352</v>
      </c>
      <c r="AA239" s="28" t="s">
        <v>5287</v>
      </c>
      <c r="AB239" s="28">
        <v>26.0</v>
      </c>
      <c r="AC239" s="28" t="s">
        <v>27</v>
      </c>
      <c r="AD239" s="23"/>
      <c r="AE239" s="28" t="s">
        <v>18</v>
      </c>
      <c r="AF239" s="23"/>
      <c r="AG239" s="23"/>
      <c r="AH239" s="23" t="str">
        <f>IFERROR(__xludf.DUMMYFUNCTION("IF(
ISNUMBER(MATCH(
C239,
IMPORTRANGE(""https://docs.google.com/spreadsheets/d/1yTh1ELC33JHYOeEdgIiEclxPRyh0zOKtlawDltfUay8"",""'Interns'!A:A""),
0
)),
""Outreach Conducted"",
"""")"),"")</f>
        <v/>
      </c>
      <c r="AI239" s="23"/>
      <c r="AJ239" s="23"/>
      <c r="AK239" s="23" t="str">
        <f>IFERROR(__xludf.DUMMYFUNCTION("XLOOKUP(C239, 
   IMPORTRANGE(""1RdEdgHYrZ33LJ7RUHj_h-qkAFL92bcVjtIdVa-UlsCw"", ""Interns!D:D""), 
   IMPORTRANGE(""1RdEdgHYrZ33LJ7RUHj_h-qkAFL92bcVjtIdVa-UlsCw"", ""Interns!M:M""), 
   ""Not Found"")"),"Contacted")</f>
        <v>Contacted</v>
      </c>
      <c r="AL239" s="23" t="str">
        <f>IFERROR(__xludf.DUMMYFUNCTION("XLOOKUP(C239, 
   IMPORTRANGE(""1RdEdgHYrZ33LJ7RUHj_h-qkAFL92bcVjtIdVa-UlsCw"", ""Interns!D:D""), 
   IMPORTRANGE(""1RdEdgHYrZ33LJ7RUHj_h-qkAFL92bcVjtIdVa-UlsCw"", ""Interns!N:N""), 
   ""Not Found"")"),"#Cheers4Careers")</f>
        <v>#Cheers4Careers</v>
      </c>
      <c r="AM239" s="23" t="str">
        <f>IFERROR(__xludf.DUMMYFUNCTION("XLOOKUP(C239, 
   IMPORTRANGE(""1RdEdgHYrZ33LJ7RUHj_h-qkAFL92bcVjtIdVa-UlsCw"", ""Interns!D:D""), 
   IMPORTRANGE(""1RdEdgHYrZ33LJ7RUHj_h-qkAFL92bcVjtIdVa-UlsCw"", ""Interns!O:O""), 
   ""Not Found"")"),"Hetal reached out by email 3/27")</f>
        <v>Hetal reached out by email 3/27</v>
      </c>
      <c r="AN239" s="23"/>
      <c r="AO239" s="23" t="s">
        <v>6897</v>
      </c>
      <c r="AP239" s="28" t="s">
        <v>5182</v>
      </c>
      <c r="AQ239" s="28"/>
      <c r="AR239" s="23"/>
      <c r="AS239" s="23"/>
      <c r="AT239" s="23"/>
      <c r="AU239" s="23"/>
      <c r="AV239" s="23"/>
    </row>
    <row r="240">
      <c r="A240" s="28" t="s">
        <v>5161</v>
      </c>
      <c r="B240" s="28" t="s">
        <v>5162</v>
      </c>
      <c r="C240" s="23" t="str">
        <f t="shared" si="1"/>
        <v>sebastian ramirez</v>
      </c>
      <c r="D240" s="28" t="s">
        <v>6898</v>
      </c>
      <c r="E240" s="28" t="s">
        <v>6899</v>
      </c>
      <c r="F240" s="23">
        <f t="array" ref="F240">IFERROR(
    INDEX('Hub Interns 226'!A:A, MATCH(C240, 'Hub Interns 226'!B:B, 0)),"")</f>
        <v>1644</v>
      </c>
      <c r="G240" s="23">
        <f t="array" ref="G240">IFERROR(
    INDEX('Hub Users 226'!A:A, MATCH(C240, 'Hub Users 226'!B:B, 0)),"")</f>
        <v>2264</v>
      </c>
      <c r="H240" s="28">
        <v>1868.0</v>
      </c>
      <c r="I240" s="28"/>
      <c r="J240" s="28" t="s">
        <v>5766</v>
      </c>
      <c r="K240" s="28" t="s">
        <v>5463</v>
      </c>
      <c r="L240" s="28" t="s">
        <v>5165</v>
      </c>
      <c r="M240" s="56" t="s">
        <v>6900</v>
      </c>
      <c r="N240" s="57">
        <v>45729.51666666667</v>
      </c>
      <c r="O240" s="58">
        <v>39454.0</v>
      </c>
      <c r="P240" s="28">
        <f t="shared" si="11"/>
        <v>18</v>
      </c>
      <c r="Q240" s="28" t="s">
        <v>240</v>
      </c>
      <c r="R240" s="28" t="s">
        <v>6901</v>
      </c>
      <c r="S240" s="28">
        <v>5.0</v>
      </c>
      <c r="T240" s="28">
        <v>15.0</v>
      </c>
      <c r="U240" s="28">
        <v>24.0</v>
      </c>
      <c r="V240" s="28">
        <v>29.0</v>
      </c>
      <c r="W240" s="28" t="s">
        <v>1173</v>
      </c>
      <c r="X240" s="28" t="s">
        <v>272</v>
      </c>
      <c r="Y240" s="28" t="s">
        <v>6902</v>
      </c>
      <c r="Z240" s="23"/>
      <c r="AA240" s="28" t="s">
        <v>5366</v>
      </c>
      <c r="AB240" s="28">
        <v>26.0</v>
      </c>
      <c r="AC240" s="28" t="s">
        <v>23</v>
      </c>
      <c r="AD240" s="23"/>
      <c r="AE240" s="28" t="s">
        <v>19</v>
      </c>
      <c r="AF240" s="23"/>
      <c r="AG240" s="23"/>
      <c r="AH240" s="23" t="str">
        <f>IFERROR(__xludf.DUMMYFUNCTION("IF(
ISNUMBER(MATCH(
C240,
IMPORTRANGE(""https://docs.google.com/spreadsheets/d/1yTh1ELC33JHYOeEdgIiEclxPRyh0zOKtlawDltfUay8"",""'Interns'!A:A""),
0
)),
""Outreach Conducted"",
"""")"),"")</f>
        <v/>
      </c>
      <c r="AI240" s="23"/>
      <c r="AJ240" s="23"/>
      <c r="AK240" s="23" t="str">
        <f>IFERROR(__xludf.DUMMYFUNCTION("XLOOKUP(C240, 
   IMPORTRANGE(""1RdEdgHYrZ33LJ7RUHj_h-qkAFL92bcVjtIdVa-UlsCw"", ""Interns!D:D""), 
   IMPORTRANGE(""1RdEdgHYrZ33LJ7RUHj_h-qkAFL92bcVjtIdVa-UlsCw"", ""Interns!M:M""), 
   ""Not Found"")"),"Contacted")</f>
        <v>Contacted</v>
      </c>
      <c r="AL240" s="23" t="str">
        <f>IFERROR(__xludf.DUMMYFUNCTION("XLOOKUP(C240, 
   IMPORTRANGE(""1RdEdgHYrZ33LJ7RUHj_h-qkAFL92bcVjtIdVa-UlsCw"", ""Interns!D:D""), 
   IMPORTRANGE(""1RdEdgHYrZ33LJ7RUHj_h-qkAFL92bcVjtIdVa-UlsCw"", ""Interns!N:N""), 
   ""Not Found"")"),"#Cheers4Careers")</f>
        <v>#Cheers4Careers</v>
      </c>
      <c r="AM240" s="23" t="str">
        <f>IFERROR(__xludf.DUMMYFUNCTION("XLOOKUP(C240, 
   IMPORTRANGE(""1RdEdgHYrZ33LJ7RUHj_h-qkAFL92bcVjtIdVa-UlsCw"", ""Interns!D:D""), 
   IMPORTRANGE(""1RdEdgHYrZ33LJ7RUHj_h-qkAFL92bcVjtIdVa-UlsCw"", ""Interns!O:O""), 
   ""Not Found"")"),"Hetal reached out by email 3/27")</f>
        <v>Hetal reached out by email 3/27</v>
      </c>
      <c r="AN240" s="23"/>
      <c r="AO240" s="23" t="s">
        <v>6903</v>
      </c>
      <c r="AP240" s="28" t="s">
        <v>5182</v>
      </c>
      <c r="AQ240" s="28" t="s">
        <v>6904</v>
      </c>
      <c r="AR240" s="23" t="s">
        <v>6905</v>
      </c>
      <c r="AS240" s="23"/>
      <c r="AT240" s="23"/>
      <c r="AU240" s="23"/>
      <c r="AV240" s="23"/>
    </row>
    <row r="241">
      <c r="A241" s="28" t="s">
        <v>5161</v>
      </c>
      <c r="B241" s="28" t="s">
        <v>5162</v>
      </c>
      <c r="C241" s="23" t="str">
        <f t="shared" si="1"/>
        <v>Marco Pena</v>
      </c>
      <c r="D241" s="28" t="s">
        <v>3864</v>
      </c>
      <c r="E241" s="28" t="s">
        <v>6838</v>
      </c>
      <c r="F241" s="23">
        <f t="array" ref="F241">IFERROR(
    INDEX('Hub Interns 226'!A:A, MATCH(C241, 'Hub Interns 226'!B:B, 0)),"")</f>
        <v>1394</v>
      </c>
      <c r="G241" s="23">
        <f t="array" ref="G241">IFERROR(
    INDEX('Hub Users 226'!A:A, MATCH(C241, 'Hub Users 226'!B:B, 0)),"")</f>
        <v>1952</v>
      </c>
      <c r="H241" s="28">
        <v>1815.0</v>
      </c>
      <c r="I241" s="28"/>
      <c r="J241" s="28" t="s">
        <v>5766</v>
      </c>
      <c r="K241" s="28" t="s">
        <v>5463</v>
      </c>
      <c r="L241" s="28" t="s">
        <v>5165</v>
      </c>
      <c r="M241" s="56" t="s">
        <v>6906</v>
      </c>
      <c r="N241" s="57">
        <v>45386.592361111114</v>
      </c>
      <c r="O241" s="58">
        <v>39355.0</v>
      </c>
      <c r="P241" s="28">
        <f t="shared" si="11"/>
        <v>18</v>
      </c>
      <c r="Q241" s="28" t="s">
        <v>6907</v>
      </c>
      <c r="R241" s="28" t="s">
        <v>6908</v>
      </c>
      <c r="S241" s="28">
        <v>10.0</v>
      </c>
      <c r="T241" s="28">
        <v>27.0</v>
      </c>
      <c r="U241" s="28">
        <v>61.0</v>
      </c>
      <c r="V241" s="28">
        <v>1.0</v>
      </c>
      <c r="W241" s="28" t="s">
        <v>271</v>
      </c>
      <c r="X241" s="28" t="s">
        <v>272</v>
      </c>
      <c r="Y241" s="28">
        <v>3.473572039E9</v>
      </c>
      <c r="Z241" s="28" t="s">
        <v>6876</v>
      </c>
      <c r="AA241" s="28" t="s">
        <v>6863</v>
      </c>
      <c r="AB241" s="28">
        <v>9.0</v>
      </c>
      <c r="AC241" s="28" t="s">
        <v>27</v>
      </c>
      <c r="AD241" s="23"/>
      <c r="AE241" s="28" t="s">
        <v>18</v>
      </c>
      <c r="AF241" s="23"/>
      <c r="AG241" s="26" t="s">
        <v>5615</v>
      </c>
      <c r="AH241" s="23" t="str">
        <f>IFERROR(__xludf.DUMMYFUNCTION("IF(
ISNUMBER(MATCH(
C241,
IMPORTRANGE(""https://docs.google.com/spreadsheets/d/1yTh1ELC33JHYOeEdgIiEclxPRyh0zOKtlawDltfUay8"",""'Interns'!A:A""),
0
)),
""Outreach Conducted"",
"""")"),"")</f>
        <v/>
      </c>
      <c r="AI241" s="23"/>
      <c r="AJ241" s="23"/>
      <c r="AK241" s="23" t="str">
        <f>IFERROR(__xludf.DUMMYFUNCTION("XLOOKUP(C241, 
   IMPORTRANGE(""1RdEdgHYrZ33LJ7RUHj_h-qkAFL92bcVjtIdVa-UlsCw"", ""Interns!D:D""), 
   IMPORTRANGE(""1RdEdgHYrZ33LJ7RUHj_h-qkAFL92bcVjtIdVa-UlsCw"", ""Interns!M:M""), 
   ""Not Found"")"),"Contacted")</f>
        <v>Contacted</v>
      </c>
      <c r="AL241" s="23" t="str">
        <f>IFERROR(__xludf.DUMMYFUNCTION("XLOOKUP(C241, 
   IMPORTRANGE(""1RdEdgHYrZ33LJ7RUHj_h-qkAFL92bcVjtIdVa-UlsCw"", ""Interns!D:D""), 
   IMPORTRANGE(""1RdEdgHYrZ33LJ7RUHj_h-qkAFL92bcVjtIdVa-UlsCw"", ""Interns!N:N""), 
   ""Not Found"")"),"#Cheers4Careers")</f>
        <v>#Cheers4Careers</v>
      </c>
      <c r="AM241" s="23" t="str">
        <f>IFERROR(__xludf.DUMMYFUNCTION("XLOOKUP(C241, 
   IMPORTRANGE(""1RdEdgHYrZ33LJ7RUHj_h-qkAFL92bcVjtIdVa-UlsCw"", ""Interns!D:D""), 
   IMPORTRANGE(""1RdEdgHYrZ33LJ7RUHj_h-qkAFL92bcVjtIdVa-UlsCw"", ""Interns!O:O""), 
   ""Not Found"")"),"Hetal reached out March 27 for March #Cheers4 Careers")</f>
        <v>Hetal reached out March 27 for March #Cheers4 Careers</v>
      </c>
      <c r="AN241" s="23"/>
      <c r="AO241" s="23" t="s">
        <v>6909</v>
      </c>
      <c r="AP241" s="28" t="s">
        <v>5182</v>
      </c>
      <c r="AQ241" s="28" t="s">
        <v>6910</v>
      </c>
      <c r="AR241" s="23">
        <v>3.473572039E9</v>
      </c>
      <c r="AS241" s="23"/>
      <c r="AT241" s="23"/>
      <c r="AU241" s="23"/>
      <c r="AV241" s="23"/>
    </row>
    <row r="242">
      <c r="A242" s="28" t="s">
        <v>5161</v>
      </c>
      <c r="B242" s="28" t="s">
        <v>5162</v>
      </c>
      <c r="C242" s="23" t="str">
        <f t="shared" si="1"/>
        <v>David Valencia</v>
      </c>
      <c r="D242" s="28" t="s">
        <v>1068</v>
      </c>
      <c r="E242" s="28" t="s">
        <v>4213</v>
      </c>
      <c r="F242" s="23">
        <f t="array" ref="F242">IFERROR(
    INDEX('Hub Interns 226'!A:A, MATCH(C242, 'Hub Interns 226'!B:B, 0)),"")</f>
        <v>1513</v>
      </c>
      <c r="G242" s="23">
        <f t="array" ref="G242">IFERROR(
    INDEX('Hub Users 226'!A:A, MATCH(C242, 'Hub Users 226'!B:B, 0)),"")</f>
        <v>2105</v>
      </c>
      <c r="H242" s="28">
        <v>1730.0</v>
      </c>
      <c r="I242" s="28" t="s">
        <v>239</v>
      </c>
      <c r="J242" s="28" t="s">
        <v>5766</v>
      </c>
      <c r="K242" s="28" t="s">
        <v>5463</v>
      </c>
      <c r="L242" s="28" t="s">
        <v>5165</v>
      </c>
      <c r="M242" s="56" t="s">
        <v>6911</v>
      </c>
      <c r="N242" s="57">
        <v>45266.5875</v>
      </c>
      <c r="O242" s="58">
        <v>40257.0</v>
      </c>
      <c r="P242" s="28">
        <f t="shared" si="11"/>
        <v>16</v>
      </c>
      <c r="Q242" s="28" t="s">
        <v>240</v>
      </c>
      <c r="R242" s="28" t="s">
        <v>6912</v>
      </c>
      <c r="S242" s="28"/>
      <c r="T242" s="28"/>
      <c r="U242" s="28"/>
      <c r="V242" s="28"/>
      <c r="W242" s="28" t="s">
        <v>1173</v>
      </c>
      <c r="X242" s="28" t="s">
        <v>272</v>
      </c>
      <c r="Y242" s="28" t="s">
        <v>6913</v>
      </c>
      <c r="Z242" s="28" t="s">
        <v>5352</v>
      </c>
      <c r="AA242" s="28" t="s">
        <v>5287</v>
      </c>
      <c r="AB242" s="28">
        <v>26.0</v>
      </c>
      <c r="AC242" s="28" t="s">
        <v>27</v>
      </c>
      <c r="AD242" s="23"/>
      <c r="AE242" s="28" t="s">
        <v>18</v>
      </c>
      <c r="AF242" s="23"/>
      <c r="AG242" s="23"/>
      <c r="AH242" s="23" t="str">
        <f>IFERROR(__xludf.DUMMYFUNCTION("IF(
ISNUMBER(MATCH(
C242,
IMPORTRANGE(""https://docs.google.com/spreadsheets/d/1yTh1ELC33JHYOeEdgIiEclxPRyh0zOKtlawDltfUay8"",""'Interns'!A:A""),
0
)),
""Outreach Conducted"",
"""")"),"")</f>
        <v/>
      </c>
      <c r="AI242" s="23"/>
      <c r="AJ242" s="23"/>
      <c r="AK242" s="23" t="str">
        <f>IFERROR(__xludf.DUMMYFUNCTION("XLOOKUP(C242, 
   IMPORTRANGE(""1RdEdgHYrZ33LJ7RUHj_h-qkAFL92bcVjtIdVa-UlsCw"", ""Interns!D:D""), 
   IMPORTRANGE(""1RdEdgHYrZ33LJ7RUHj_h-qkAFL92bcVjtIdVa-UlsCw"", ""Interns!M:M""), 
   ""Not Found"")"),"Contacted")</f>
        <v>Contacted</v>
      </c>
      <c r="AL242" s="23" t="str">
        <f>IFERROR(__xludf.DUMMYFUNCTION("XLOOKUP(C242, 
   IMPORTRANGE(""1RdEdgHYrZ33LJ7RUHj_h-qkAFL92bcVjtIdVa-UlsCw"", ""Interns!D:D""), 
   IMPORTRANGE(""1RdEdgHYrZ33LJ7RUHj_h-qkAFL92bcVjtIdVa-UlsCw"", ""Interns!N:N""), 
   ""Not Found"")"),"#Cheers4Careers")</f>
        <v>#Cheers4Careers</v>
      </c>
      <c r="AM242" s="23" t="str">
        <f>IFERROR(__xludf.DUMMYFUNCTION("XLOOKUP(C242, 
   IMPORTRANGE(""1RdEdgHYrZ33LJ7RUHj_h-qkAFL92bcVjtIdVa-UlsCw"", ""Interns!D:D""), 
   IMPORTRANGE(""1RdEdgHYrZ33LJ7RUHj_h-qkAFL92bcVjtIdVa-UlsCw"", ""Interns!O:O""), 
   ""Not Found"")"),"Hetal reached out by email 3/27")</f>
        <v>Hetal reached out by email 3/27</v>
      </c>
      <c r="AN242" s="23"/>
      <c r="AO242" s="23" t="s">
        <v>6914</v>
      </c>
      <c r="AP242" s="28" t="s">
        <v>5182</v>
      </c>
      <c r="AQ242" s="28"/>
      <c r="AR242" s="23"/>
      <c r="AS242" s="23"/>
      <c r="AT242" s="23"/>
      <c r="AU242" s="23"/>
      <c r="AV242" s="23"/>
    </row>
    <row r="243">
      <c r="A243" s="28" t="s">
        <v>5161</v>
      </c>
      <c r="B243" s="28" t="s">
        <v>5162</v>
      </c>
      <c r="C243" s="23" t="str">
        <f t="shared" si="1"/>
        <v>Jeymi Rodiguez</v>
      </c>
      <c r="D243" s="28" t="s">
        <v>6915</v>
      </c>
      <c r="E243" s="28" t="s">
        <v>6916</v>
      </c>
      <c r="F243" s="23">
        <f t="array" ref="F243">IFERROR(
    INDEX('Hub Interns 226'!A:A, MATCH(C243, 'Hub Interns 226'!B:B, 0)),"")</f>
        <v>657</v>
      </c>
      <c r="G243" s="23">
        <f t="array" ref="G243">IFERROR(
    INDEX('Hub Users 226'!A:A, MATCH(C243, 'Hub Users 226'!B:B, 0)),"")</f>
        <v>1090</v>
      </c>
      <c r="H243" s="28">
        <v>643.0</v>
      </c>
      <c r="I243" s="28" t="s">
        <v>608</v>
      </c>
      <c r="J243" s="28" t="s">
        <v>5766</v>
      </c>
      <c r="K243" s="28" t="s">
        <v>5463</v>
      </c>
      <c r="L243" s="28" t="s">
        <v>5196</v>
      </c>
      <c r="M243" s="56" t="s">
        <v>6917</v>
      </c>
      <c r="N243" s="57">
        <v>44502.69236111111</v>
      </c>
      <c r="O243" s="58">
        <v>37765.0</v>
      </c>
      <c r="P243" s="28">
        <f t="shared" si="11"/>
        <v>22</v>
      </c>
      <c r="Q243" s="28" t="s">
        <v>6918</v>
      </c>
      <c r="R243" s="28" t="s">
        <v>6919</v>
      </c>
      <c r="S243" s="28">
        <v>14.0</v>
      </c>
      <c r="T243" s="28">
        <v>13.0</v>
      </c>
      <c r="U243" s="28">
        <v>39.0</v>
      </c>
      <c r="V243" s="28">
        <v>25.0</v>
      </c>
      <c r="W243" s="28" t="s">
        <v>1173</v>
      </c>
      <c r="X243" s="28" t="s">
        <v>272</v>
      </c>
      <c r="Y243" s="28" t="s">
        <v>6920</v>
      </c>
      <c r="Z243" s="28" t="s">
        <v>5189</v>
      </c>
      <c r="AA243" s="28" t="s">
        <v>619</v>
      </c>
      <c r="AB243" s="28">
        <v>20.0</v>
      </c>
      <c r="AC243" s="28" t="s">
        <v>25</v>
      </c>
      <c r="AD243" s="23"/>
      <c r="AE243" s="28" t="s">
        <v>10</v>
      </c>
      <c r="AF243" s="23" t="str">
        <f>IFERROR(__xludf.DUMMYFUNCTION("TEXTJOIN("", "", TRUE,
  FILTER(Champions!C:C,
    ISNUMBER(SEARCH(C243, Champions!W:W))
  )
)"),"Romina Tome, Yeji Lee")</f>
        <v>Romina Tome, Yeji Lee</v>
      </c>
      <c r="AG243" s="23"/>
      <c r="AH243" s="23" t="str">
        <f>IFERROR(__xludf.DUMMYFUNCTION("IF(
ISNUMBER(MATCH(
C243,
IMPORTRANGE(""https://docs.google.com/spreadsheets/d/1yTh1ELC33JHYOeEdgIiEclxPRyh0zOKtlawDltfUay8"",""'Interns'!A:A""),
0
)),
""Outreach Conducted"",
"""")"),"")</f>
        <v/>
      </c>
      <c r="AI243" s="23"/>
      <c r="AJ243" s="23"/>
      <c r="AK243" s="23" t="str">
        <f>IFERROR(__xludf.DUMMYFUNCTION("XLOOKUP(C243, 
   IMPORTRANGE(""1RdEdgHYrZ33LJ7RUHj_h-qkAFL92bcVjtIdVa-UlsCw"", ""Interns!D:D""), 
   IMPORTRANGE(""1RdEdgHYrZ33LJ7RUHj_h-qkAFL92bcVjtIdVa-UlsCw"", ""Interns!M:M""), 
   ""Not Found"")"),"Contacted")</f>
        <v>Contacted</v>
      </c>
      <c r="AL243" s="23" t="str">
        <f>IFERROR(__xludf.DUMMYFUNCTION("XLOOKUP(C243, 
   IMPORTRANGE(""1RdEdgHYrZ33LJ7RUHj_h-qkAFL92bcVjtIdVa-UlsCw"", ""Interns!D:D""), 
   IMPORTRANGE(""1RdEdgHYrZ33LJ7RUHj_h-qkAFL92bcVjtIdVa-UlsCw"", ""Interns!N:N""), 
   ""Not Found"")"),"#Cheers4Careers")</f>
        <v>#Cheers4Careers</v>
      </c>
      <c r="AM243" s="23" t="str">
        <f>IFERROR(__xludf.DUMMYFUNCTION("XLOOKUP(C243, 
   IMPORTRANGE(""1RdEdgHYrZ33LJ7RUHj_h-qkAFL92bcVjtIdVa-UlsCw"", ""Interns!D:D""), 
   IMPORTRANGE(""1RdEdgHYrZ33LJ7RUHj_h-qkAFL92bcVjtIdVa-UlsCw"", ""Interns!O:O""), 
   ""Not Found"")"),"Hetal reached out by email 3/27 followed by text")</f>
        <v>Hetal reached out by email 3/27 followed by text</v>
      </c>
      <c r="AN243" s="23"/>
      <c r="AO243" s="23" t="s">
        <v>6921</v>
      </c>
      <c r="AP243" s="28" t="s">
        <v>5182</v>
      </c>
      <c r="AQ243" s="28" t="s">
        <v>6922</v>
      </c>
      <c r="AR243" s="23" t="s">
        <v>6923</v>
      </c>
      <c r="AS243" s="23"/>
      <c r="AT243" s="23"/>
      <c r="AU243" s="23"/>
      <c r="AV243" s="23"/>
    </row>
    <row r="244">
      <c r="A244" s="28" t="s">
        <v>5202</v>
      </c>
      <c r="B244" s="28" t="s">
        <v>5162</v>
      </c>
      <c r="C244" s="23" t="str">
        <f t="shared" si="1"/>
        <v>Raul Alonzo</v>
      </c>
      <c r="D244" s="28" t="s">
        <v>6924</v>
      </c>
      <c r="E244" s="28" t="s">
        <v>6925</v>
      </c>
      <c r="F244" s="23">
        <f t="array" ref="F244">IFERROR(
    INDEX('Hub Interns 226'!A:A, MATCH(C244, 'Hub Interns 226'!B:B, 0)),"")</f>
        <v>1020</v>
      </c>
      <c r="G244" s="23">
        <f t="array" ref="G244">IFERROR(
    INDEX('Hub Users 226'!A:A, MATCH(C244, 'Hub Users 226'!B:B, 0)),"")</f>
        <v>1453</v>
      </c>
      <c r="H244" s="28">
        <v>938.0</v>
      </c>
      <c r="I244" s="28" t="s">
        <v>239</v>
      </c>
      <c r="J244" s="28" t="s">
        <v>5336</v>
      </c>
      <c r="K244" s="28" t="s">
        <v>5177</v>
      </c>
      <c r="L244" s="28" t="s">
        <v>5165</v>
      </c>
      <c r="M244" s="56" t="s">
        <v>6926</v>
      </c>
      <c r="N244" s="57">
        <v>44603.48611111111</v>
      </c>
      <c r="O244" s="58">
        <v>38504.0</v>
      </c>
      <c r="P244" s="28">
        <f t="shared" si="11"/>
        <v>20</v>
      </c>
      <c r="Q244" s="28" t="s">
        <v>240</v>
      </c>
      <c r="R244" s="28" t="s">
        <v>6927</v>
      </c>
      <c r="S244" s="28">
        <v>13.0</v>
      </c>
      <c r="T244" s="28">
        <v>31.0</v>
      </c>
      <c r="U244" s="28">
        <v>86.0</v>
      </c>
      <c r="V244" s="28">
        <v>14.0</v>
      </c>
      <c r="W244" s="28" t="s">
        <v>859</v>
      </c>
      <c r="X244" s="28" t="s">
        <v>272</v>
      </c>
      <c r="Y244" s="28" t="s">
        <v>6928</v>
      </c>
      <c r="Z244" s="28" t="s">
        <v>5208</v>
      </c>
      <c r="AA244" s="28" t="s">
        <v>2141</v>
      </c>
      <c r="AB244" s="28">
        <v>8.0</v>
      </c>
      <c r="AC244" s="28" t="s">
        <v>24</v>
      </c>
      <c r="AD244" s="23"/>
      <c r="AE244" s="28" t="s">
        <v>10</v>
      </c>
      <c r="AF244" s="23"/>
      <c r="AG244" s="23"/>
      <c r="AH244" s="23" t="str">
        <f>IFERROR(__xludf.DUMMYFUNCTION("IF(
ISNUMBER(MATCH(
C244,
IMPORTRANGE(""https://docs.google.com/spreadsheets/d/1yTh1ELC33JHYOeEdgIiEclxPRyh0zOKtlawDltfUay8"",""'Interns'!A:A""),
0
)),
""Outreach Conducted"",
"""")"),"")</f>
        <v/>
      </c>
      <c r="AI244" s="23"/>
      <c r="AJ244" s="23"/>
      <c r="AK244" s="23" t="str">
        <f>IFERROR(__xludf.DUMMYFUNCTION("XLOOKUP(C244, 
   IMPORTRANGE(""1RdEdgHYrZ33LJ7RUHj_h-qkAFL92bcVjtIdVa-UlsCw"", ""Interns!D:D""), 
   IMPORTRANGE(""1RdEdgHYrZ33LJ7RUHj_h-qkAFL92bcVjtIdVa-UlsCw"", ""Interns!M:M""), 
   ""Not Found"")"),"")</f>
        <v/>
      </c>
      <c r="AL244" s="23" t="str">
        <f>IFERROR(__xludf.DUMMYFUNCTION("XLOOKUP(C244, 
   IMPORTRANGE(""1RdEdgHYrZ33LJ7RUHj_h-qkAFL92bcVjtIdVa-UlsCw"", ""Interns!D:D""), 
   IMPORTRANGE(""1RdEdgHYrZ33LJ7RUHj_h-qkAFL92bcVjtIdVa-UlsCw"", ""Interns!N:N""), 
   ""Not Found"")"),"")</f>
        <v/>
      </c>
      <c r="AM244" s="23" t="str">
        <f>IFERROR(__xludf.DUMMYFUNCTION("XLOOKUP(C244, 
   IMPORTRANGE(""1RdEdgHYrZ33LJ7RUHj_h-qkAFL92bcVjtIdVa-UlsCw"", ""Interns!D:D""), 
   IMPORTRANGE(""1RdEdgHYrZ33LJ7RUHj_h-qkAFL92bcVjtIdVa-UlsCw"", ""Interns!O:O""), 
   ""Not Found"")"),"")</f>
        <v/>
      </c>
      <c r="AN244" s="23"/>
      <c r="AO244" s="23" t="s">
        <v>6929</v>
      </c>
      <c r="AP244" s="28" t="s">
        <v>5182</v>
      </c>
      <c r="AQ244" s="28"/>
      <c r="AR244" s="23"/>
      <c r="AS244" s="23"/>
      <c r="AT244" s="23"/>
      <c r="AU244" s="23"/>
      <c r="AV244" s="23"/>
    </row>
    <row r="245">
      <c r="A245" s="28" t="s">
        <v>5161</v>
      </c>
      <c r="B245" s="28" t="s">
        <v>5162</v>
      </c>
      <c r="C245" s="23" t="str">
        <f t="shared" si="1"/>
        <v>Marilyn Arroyo</v>
      </c>
      <c r="D245" s="28" t="s">
        <v>6930</v>
      </c>
      <c r="E245" s="28" t="s">
        <v>6931</v>
      </c>
      <c r="F245" s="23">
        <f t="array" ref="F245">IFERROR(
    INDEX('Hub Interns 226'!A:A, MATCH(C245, 'Hub Interns 226'!B:B, 0)),"")</f>
        <v>845</v>
      </c>
      <c r="G245" s="23">
        <f t="array" ref="G245">IFERROR(
    INDEX('Hub Users 226'!A:A, MATCH(C245, 'Hub Users 226'!B:B, 0)),"")</f>
        <v>1278</v>
      </c>
      <c r="H245" s="28">
        <v>561.0</v>
      </c>
      <c r="I245" s="28" t="s">
        <v>302</v>
      </c>
      <c r="J245" s="28" t="s">
        <v>5766</v>
      </c>
      <c r="K245" s="28" t="s">
        <v>5463</v>
      </c>
      <c r="L245" s="28" t="s">
        <v>5196</v>
      </c>
      <c r="M245" s="56" t="s">
        <v>6932</v>
      </c>
      <c r="N245" s="57">
        <v>44477.904861111114</v>
      </c>
      <c r="O245" s="58">
        <v>38052.0</v>
      </c>
      <c r="P245" s="28">
        <f t="shared" si="11"/>
        <v>22</v>
      </c>
      <c r="Q245" s="28" t="s">
        <v>6933</v>
      </c>
      <c r="R245" s="28" t="s">
        <v>6934</v>
      </c>
      <c r="S245" s="28">
        <v>6.0</v>
      </c>
      <c r="T245" s="28">
        <v>13.0</v>
      </c>
      <c r="U245" s="28">
        <v>39.0</v>
      </c>
      <c r="V245" s="28">
        <v>25.0</v>
      </c>
      <c r="W245" s="28" t="s">
        <v>1173</v>
      </c>
      <c r="X245" s="28" t="s">
        <v>272</v>
      </c>
      <c r="Y245" s="28" t="s">
        <v>6935</v>
      </c>
      <c r="Z245" s="28" t="s">
        <v>5189</v>
      </c>
      <c r="AA245" s="28" t="s">
        <v>619</v>
      </c>
      <c r="AB245" s="28">
        <v>20.0</v>
      </c>
      <c r="AC245" s="28" t="s">
        <v>25</v>
      </c>
      <c r="AD245" s="23"/>
      <c r="AE245" s="28" t="s">
        <v>10</v>
      </c>
      <c r="AF245" s="23" t="str">
        <f>IFERROR(__xludf.DUMMYFUNCTION("TEXTJOIN("", "", TRUE,
  FILTER(Champions!C:C,
    ISNUMBER(SEARCH(C245, Champions!W:W))
  )
)"),"Adelina Longoria, DAVID LOAIZA, Jan Panchalingam")</f>
        <v>Adelina Longoria, DAVID LOAIZA, Jan Panchalingam</v>
      </c>
      <c r="AG245" s="23"/>
      <c r="AH245" s="23" t="str">
        <f>IFERROR(__xludf.DUMMYFUNCTION("IF(
ISNUMBER(MATCH(
C245,
IMPORTRANGE(""https://docs.google.com/spreadsheets/d/1yTh1ELC33JHYOeEdgIiEclxPRyh0zOKtlawDltfUay8"",""'Interns'!A:A""),
0
)),
""Outreach Conducted"",
"""")"),"")</f>
        <v/>
      </c>
      <c r="AI245" s="23"/>
      <c r="AJ245" s="23"/>
      <c r="AK245" s="23" t="str">
        <f>IFERROR(__xludf.DUMMYFUNCTION("XLOOKUP(C245, 
   IMPORTRANGE(""1RdEdgHYrZ33LJ7RUHj_h-qkAFL92bcVjtIdVa-UlsCw"", ""Interns!D:D""), 
   IMPORTRANGE(""1RdEdgHYrZ33LJ7RUHj_h-qkAFL92bcVjtIdVa-UlsCw"", ""Interns!M:M""), 
   ""Not Found"")"),"Contacted")</f>
        <v>Contacted</v>
      </c>
      <c r="AL245" s="23" t="str">
        <f>IFERROR(__xludf.DUMMYFUNCTION("XLOOKUP(C245, 
   IMPORTRANGE(""1RdEdgHYrZ33LJ7RUHj_h-qkAFL92bcVjtIdVa-UlsCw"", ""Interns!D:D""), 
   IMPORTRANGE(""1RdEdgHYrZ33LJ7RUHj_h-qkAFL92bcVjtIdVa-UlsCw"", ""Interns!N:N""), 
   ""Not Found"")"),"#Cheers4Careers")</f>
        <v>#Cheers4Careers</v>
      </c>
      <c r="AM245" s="23" t="str">
        <f>IFERROR(__xludf.DUMMYFUNCTION("XLOOKUP(C245, 
   IMPORTRANGE(""1RdEdgHYrZ33LJ7RUHj_h-qkAFL92bcVjtIdVa-UlsCw"", ""Interns!D:D""), 
   IMPORTRANGE(""1RdEdgHYrZ33LJ7RUHj_h-qkAFL92bcVjtIdVa-UlsCw"", ""Interns!O:O""), 
   ""Not Found"")"),"Hetal reached out by email 3/27 followed by text")</f>
        <v>Hetal reached out by email 3/27 followed by text</v>
      </c>
      <c r="AN245" s="23"/>
      <c r="AO245" s="23" t="s">
        <v>6936</v>
      </c>
      <c r="AP245" s="28" t="s">
        <v>5182</v>
      </c>
      <c r="AQ245" s="28" t="s">
        <v>6937</v>
      </c>
      <c r="AR245" s="23" t="s">
        <v>6938</v>
      </c>
      <c r="AS245" s="23"/>
      <c r="AT245" s="23"/>
      <c r="AU245" s="23"/>
      <c r="AV245" s="23"/>
    </row>
    <row r="246">
      <c r="A246" s="28" t="s">
        <v>5161</v>
      </c>
      <c r="B246" s="28" t="s">
        <v>5162</v>
      </c>
      <c r="C246" s="23" t="str">
        <f t="shared" si="1"/>
        <v>Derek Perez</v>
      </c>
      <c r="D246" s="28" t="s">
        <v>6939</v>
      </c>
      <c r="E246" s="28" t="s">
        <v>5175</v>
      </c>
      <c r="F246" s="23">
        <f t="array" ref="F246">IFERROR(
    INDEX('Hub Interns 226'!A:A, MATCH(C246, 'Hub Interns 226'!B:B, 0)),"")</f>
        <v>434</v>
      </c>
      <c r="G246" s="23">
        <f t="array" ref="G246">IFERROR(
    INDEX('Hub Users 226'!A:A, MATCH(C246, 'Hub Users 226'!B:B, 0)),"")</f>
        <v>867</v>
      </c>
      <c r="H246" s="28">
        <v>1585.0</v>
      </c>
      <c r="I246" s="28" t="s">
        <v>239</v>
      </c>
      <c r="J246" s="28" t="s">
        <v>5766</v>
      </c>
      <c r="K246" s="28" t="s">
        <v>5463</v>
      </c>
      <c r="L246" s="28" t="s">
        <v>5165</v>
      </c>
      <c r="M246" s="56" t="s">
        <v>6940</v>
      </c>
      <c r="N246" s="57">
        <v>45016.385416666664</v>
      </c>
      <c r="O246" s="58">
        <v>39857.0</v>
      </c>
      <c r="P246" s="28">
        <f t="shared" si="11"/>
        <v>17</v>
      </c>
      <c r="Q246" s="28" t="s">
        <v>240</v>
      </c>
      <c r="R246" s="28" t="s">
        <v>5168</v>
      </c>
      <c r="S246" s="28"/>
      <c r="T246" s="28"/>
      <c r="U246" s="28"/>
      <c r="V246" s="28"/>
      <c r="W246" s="28" t="s">
        <v>1173</v>
      </c>
      <c r="X246" s="28" t="s">
        <v>272</v>
      </c>
      <c r="Y246" s="28" t="s">
        <v>5169</v>
      </c>
      <c r="Z246" s="28" t="s">
        <v>5170</v>
      </c>
      <c r="AA246" s="28" t="s">
        <v>5171</v>
      </c>
      <c r="AB246" s="28">
        <v>30.0</v>
      </c>
      <c r="AC246" s="28" t="s">
        <v>23</v>
      </c>
      <c r="AD246" s="23"/>
      <c r="AE246" s="28" t="s">
        <v>15</v>
      </c>
      <c r="AF246" s="23"/>
      <c r="AG246" s="23"/>
      <c r="AH246" s="23" t="str">
        <f>IFERROR(__xludf.DUMMYFUNCTION("IF(
ISNUMBER(MATCH(
C246,
IMPORTRANGE(""https://docs.google.com/spreadsheets/d/1yTh1ELC33JHYOeEdgIiEclxPRyh0zOKtlawDltfUay8"",""'Interns'!A:A""),
0
)),
""Outreach Conducted"",
"""")"),"")</f>
        <v/>
      </c>
      <c r="AI246" s="23"/>
      <c r="AJ246" s="23"/>
      <c r="AK246" s="23" t="str">
        <f>IFERROR(__xludf.DUMMYFUNCTION("XLOOKUP(C246, 
   IMPORTRANGE(""1RdEdgHYrZ33LJ7RUHj_h-qkAFL92bcVjtIdVa-UlsCw"", ""Interns!D:D""), 
   IMPORTRANGE(""1RdEdgHYrZ33LJ7RUHj_h-qkAFL92bcVjtIdVa-UlsCw"", ""Interns!M:M""), 
   ""Not Found"")"),"Contacted")</f>
        <v>Contacted</v>
      </c>
      <c r="AL246" s="23" t="str">
        <f>IFERROR(__xludf.DUMMYFUNCTION("XLOOKUP(C246, 
   IMPORTRANGE(""1RdEdgHYrZ33LJ7RUHj_h-qkAFL92bcVjtIdVa-UlsCw"", ""Interns!D:D""), 
   IMPORTRANGE(""1RdEdgHYrZ33LJ7RUHj_h-qkAFL92bcVjtIdVa-UlsCw"", ""Interns!N:N""), 
   ""Not Found"")"),"#Cheers4Careers")</f>
        <v>#Cheers4Careers</v>
      </c>
      <c r="AM246" s="23" t="str">
        <f>IFERROR(__xludf.DUMMYFUNCTION("XLOOKUP(C246, 
   IMPORTRANGE(""1RdEdgHYrZ33LJ7RUHj_h-qkAFL92bcVjtIdVa-UlsCw"", ""Interns!D:D""), 
   IMPORTRANGE(""1RdEdgHYrZ33LJ7RUHj_h-qkAFL92bcVjtIdVa-UlsCw"", ""Interns!O:O""), 
   ""Not Found"")"),"Hetal reached out March 27 for March #Cheers4 Careers ")</f>
        <v>Hetal reached out March 27 for March #Cheers4 Careers </v>
      </c>
      <c r="AN246" s="23"/>
      <c r="AO246" s="23" t="s">
        <v>6941</v>
      </c>
      <c r="AP246" s="28" t="s">
        <v>5182</v>
      </c>
      <c r="AQ246" s="28"/>
      <c r="AR246" s="23"/>
      <c r="AS246" s="23"/>
      <c r="AT246" s="23"/>
      <c r="AU246" s="23"/>
      <c r="AV246" s="23"/>
    </row>
    <row r="247">
      <c r="A247" s="28" t="s">
        <v>5161</v>
      </c>
      <c r="B247" s="28" t="s">
        <v>5162</v>
      </c>
      <c r="C247" s="23" t="str">
        <f t="shared" si="1"/>
        <v>Sara Paez</v>
      </c>
      <c r="D247" s="28" t="s">
        <v>679</v>
      </c>
      <c r="E247" s="28" t="s">
        <v>6942</v>
      </c>
      <c r="F247" s="23" t="str">
        <f t="array" ref="F247">IFERROR(
    INDEX('Hub Interns 226'!A:A, MATCH(C247, 'Hub Interns 226'!B:B, 0)),"")</f>
        <v/>
      </c>
      <c r="G247" s="23">
        <f t="array" ref="G247">IFERROR(
    INDEX('Hub Users 226'!A:A, MATCH(C247, 'Hub Users 226'!B:B, 0)),"")</f>
        <v>1718</v>
      </c>
      <c r="H247" s="28">
        <v>1655.0</v>
      </c>
      <c r="I247" s="28" t="s">
        <v>290</v>
      </c>
      <c r="J247" s="28" t="s">
        <v>5766</v>
      </c>
      <c r="K247" s="28" t="s">
        <v>5463</v>
      </c>
      <c r="L247" s="28" t="s">
        <v>5196</v>
      </c>
      <c r="M247" s="56" t="s">
        <v>6943</v>
      </c>
      <c r="N247" s="57">
        <v>45135.54375</v>
      </c>
      <c r="O247" s="58">
        <v>45134.0</v>
      </c>
      <c r="P247" s="28">
        <f t="shared" si="11"/>
        <v>2</v>
      </c>
      <c r="Q247" s="28" t="s">
        <v>6944</v>
      </c>
      <c r="R247" s="28" t="s">
        <v>6945</v>
      </c>
      <c r="S247" s="28"/>
      <c r="T247" s="28"/>
      <c r="U247" s="28"/>
      <c r="V247" s="28"/>
      <c r="W247" s="28" t="s">
        <v>271</v>
      </c>
      <c r="X247" s="28" t="s">
        <v>272</v>
      </c>
      <c r="Y247" s="28">
        <v>3.47714352E9</v>
      </c>
      <c r="Z247" s="28" t="s">
        <v>5208</v>
      </c>
      <c r="AA247" s="28" t="s">
        <v>2141</v>
      </c>
      <c r="AB247" s="28">
        <v>8.0</v>
      </c>
      <c r="AC247" s="28" t="s">
        <v>25</v>
      </c>
      <c r="AD247" s="23"/>
      <c r="AE247" s="28" t="s">
        <v>18</v>
      </c>
      <c r="AF247" s="23" t="str">
        <f>IFERROR(__xludf.DUMMYFUNCTION("TEXTJOIN("", "", TRUE,
  FILTER(Champions!C:C,
    ISNUMBER(SEARCH(C247, Champions!W:W))
  )
)"),"Natsumi Komatani")</f>
        <v>Natsumi Komatani</v>
      </c>
      <c r="AG247" s="23"/>
      <c r="AH247" s="23" t="str">
        <f>IFERROR(__xludf.DUMMYFUNCTION("IF(
ISNUMBER(MATCH(
C247,
IMPORTRANGE(""https://docs.google.com/spreadsheets/d/1yTh1ELC33JHYOeEdgIiEclxPRyh0zOKtlawDltfUay8"",""'Interns'!A:A""),
0
)),
""Outreach Conducted"",
"""")"),"")</f>
        <v/>
      </c>
      <c r="AI247" s="23"/>
      <c r="AJ247" s="23"/>
      <c r="AK247" s="23" t="str">
        <f>IFERROR(__xludf.DUMMYFUNCTION("XLOOKUP(C247, 
   IMPORTRANGE(""1RdEdgHYrZ33LJ7RUHj_h-qkAFL92bcVjtIdVa-UlsCw"", ""Interns!D:D""), 
   IMPORTRANGE(""1RdEdgHYrZ33LJ7RUHj_h-qkAFL92bcVjtIdVa-UlsCw"", ""Interns!M:M""), 
   ""Not Found"")"),"Contacted")</f>
        <v>Contacted</v>
      </c>
      <c r="AL247" s="23" t="str">
        <f>IFERROR(__xludf.DUMMYFUNCTION("XLOOKUP(C247, 
   IMPORTRANGE(""1RdEdgHYrZ33LJ7RUHj_h-qkAFL92bcVjtIdVa-UlsCw"", ""Interns!D:D""), 
   IMPORTRANGE(""1RdEdgHYrZ33LJ7RUHj_h-qkAFL92bcVjtIdVa-UlsCw"", ""Interns!N:N""), 
   ""Not Found"")"),"#Cheers4Careers")</f>
        <v>#Cheers4Careers</v>
      </c>
      <c r="AM247" s="23" t="str">
        <f>IFERROR(__xludf.DUMMYFUNCTION("XLOOKUP(C247, 
   IMPORTRANGE(""1RdEdgHYrZ33LJ7RUHj_h-qkAFL92bcVjtIdVa-UlsCw"", ""Interns!D:D""), 
   IMPORTRANGE(""1RdEdgHYrZ33LJ7RUHj_h-qkAFL92bcVjtIdVa-UlsCw"", ""Interns!O:O""), 
   ""Not Found"")"),"Hetal reached out by email 3/27")</f>
        <v>Hetal reached out by email 3/27</v>
      </c>
      <c r="AN247" s="23"/>
      <c r="AO247" s="23" t="s">
        <v>6946</v>
      </c>
      <c r="AP247" s="28" t="s">
        <v>5182</v>
      </c>
      <c r="AQ247" s="28" t="s">
        <v>6947</v>
      </c>
      <c r="AR247" s="23">
        <v>9.174435123E9</v>
      </c>
      <c r="AS247" s="23"/>
      <c r="AT247" s="23"/>
      <c r="AU247" s="23"/>
      <c r="AV247" s="23"/>
    </row>
    <row r="248">
      <c r="A248" s="28" t="s">
        <v>5161</v>
      </c>
      <c r="B248" s="28" t="s">
        <v>5162</v>
      </c>
      <c r="C248" s="23" t="str">
        <f t="shared" si="1"/>
        <v>Soulemane Lah</v>
      </c>
      <c r="D248" s="28" t="s">
        <v>6948</v>
      </c>
      <c r="E248" s="28" t="s">
        <v>6949</v>
      </c>
      <c r="F248" s="23" t="str">
        <f t="array" ref="F248">IFERROR(
    INDEX('Hub Interns 226'!A:A, MATCH(C248, 'Hub Interns 226'!B:B, 0)),"")</f>
        <v/>
      </c>
      <c r="G248" s="23">
        <f t="array" ref="G248">IFERROR(
    INDEX('Hub Users 226'!A:A, MATCH(C248, 'Hub Users 226'!B:B, 0)),"")</f>
        <v>1917</v>
      </c>
      <c r="H248" s="28">
        <v>1775.0</v>
      </c>
      <c r="I248" s="28" t="s">
        <v>290</v>
      </c>
      <c r="J248" s="28" t="s">
        <v>6950</v>
      </c>
      <c r="K248" s="28" t="s">
        <v>5245</v>
      </c>
      <c r="L248" s="28" t="s">
        <v>5165</v>
      </c>
      <c r="M248" s="56" t="s">
        <v>6951</v>
      </c>
      <c r="N248" s="57">
        <v>45312.84583333333</v>
      </c>
      <c r="O248" s="58">
        <v>38957.0</v>
      </c>
      <c r="P248" s="28">
        <f t="shared" si="11"/>
        <v>19</v>
      </c>
      <c r="Q248" s="28" t="s">
        <v>6952</v>
      </c>
      <c r="R248" s="28" t="s">
        <v>6953</v>
      </c>
      <c r="S248" s="28">
        <v>13.0</v>
      </c>
      <c r="T248" s="28">
        <v>30.0</v>
      </c>
      <c r="U248" s="28">
        <v>70.0</v>
      </c>
      <c r="V248" s="28">
        <v>7.0</v>
      </c>
      <c r="W248" s="28" t="s">
        <v>271</v>
      </c>
      <c r="X248" s="28" t="s">
        <v>272</v>
      </c>
      <c r="Y248" s="28" t="s">
        <v>6954</v>
      </c>
      <c r="Z248" s="28" t="s">
        <v>5259</v>
      </c>
      <c r="AA248" s="28" t="s">
        <v>704</v>
      </c>
      <c r="AB248" s="28">
        <v>2.0</v>
      </c>
      <c r="AC248" s="28" t="s">
        <v>25</v>
      </c>
      <c r="AD248" s="23"/>
      <c r="AE248" s="28" t="s">
        <v>18</v>
      </c>
      <c r="AF248" s="23" t="str">
        <f>IFERROR(__xludf.DUMMYFUNCTION("TEXTJOIN("", "", TRUE,
  FILTER(Champions!C:C,
    ISNUMBER(SEARCH(C248, Champions!W:W))
  )
)"),"Saima Malik, Sharon Shi, Saima Malik (D)")</f>
        <v>Saima Malik, Sharon Shi, Saima Malik (D)</v>
      </c>
      <c r="AG248" s="26" t="s">
        <v>5316</v>
      </c>
      <c r="AH248" s="23" t="str">
        <f>IFERROR(__xludf.DUMMYFUNCTION("IF(
ISNUMBER(MATCH(
C248,
IMPORTRANGE(""https://docs.google.com/spreadsheets/d/1yTh1ELC33JHYOeEdgIiEclxPRyh0zOKtlawDltfUay8"",""'Interns'!A:A""),
0
)),
""Outreach Conducted"",
"""")"),"")</f>
        <v/>
      </c>
      <c r="AI248" s="23"/>
      <c r="AJ248" s="23"/>
      <c r="AK248" s="23" t="str">
        <f>IFERROR(__xludf.DUMMYFUNCTION("XLOOKUP(C248, 
   IMPORTRANGE(""1RdEdgHYrZ33LJ7RUHj_h-qkAFL92bcVjtIdVa-UlsCw"", ""Interns!D:D""), 
   IMPORTRANGE(""1RdEdgHYrZ33LJ7RUHj_h-qkAFL92bcVjtIdVa-UlsCw"", ""Interns!M:M""), 
   ""Not Found"")"),"Contacted")</f>
        <v>Contacted</v>
      </c>
      <c r="AL248" s="23" t="str">
        <f>IFERROR(__xludf.DUMMYFUNCTION("XLOOKUP(C248, 
   IMPORTRANGE(""1RdEdgHYrZ33LJ7RUHj_h-qkAFL92bcVjtIdVa-UlsCw"", ""Interns!D:D""), 
   IMPORTRANGE(""1RdEdgHYrZ33LJ7RUHj_h-qkAFL92bcVjtIdVa-UlsCw"", ""Interns!N:N""), 
   ""Not Found"")"),"#Cheers4Careers")</f>
        <v>#Cheers4Careers</v>
      </c>
      <c r="AM248" s="23" t="str">
        <f>IFERROR(__xludf.DUMMYFUNCTION("XLOOKUP(C248, 
   IMPORTRANGE(""1RdEdgHYrZ33LJ7RUHj_h-qkAFL92bcVjtIdVa-UlsCw"", ""Interns!D:D""), 
   IMPORTRANGE(""1RdEdgHYrZ33LJ7RUHj_h-qkAFL92bcVjtIdVa-UlsCw"", ""Interns!O:O""), 
   ""Not Found"")"),"Ousmane reached out by email 3/26 and reach out by text 3/28")</f>
        <v>Ousmane reached out by email 3/26 and reach out by text 3/28</v>
      </c>
      <c r="AN248" s="23"/>
      <c r="AO248" s="23" t="s">
        <v>6955</v>
      </c>
      <c r="AP248" s="28" t="s">
        <v>5182</v>
      </c>
      <c r="AQ248" s="28" t="s">
        <v>6956</v>
      </c>
      <c r="AR248" s="23">
        <v>6.466787751E9</v>
      </c>
      <c r="AS248" s="23"/>
      <c r="AT248" s="23"/>
      <c r="AU248" s="23"/>
      <c r="AV248" s="23"/>
    </row>
    <row r="249">
      <c r="A249" s="28" t="s">
        <v>5161</v>
      </c>
      <c r="B249" s="28" t="s">
        <v>5162</v>
      </c>
      <c r="C249" s="23" t="str">
        <f t="shared" si="1"/>
        <v>Bozi Dape</v>
      </c>
      <c r="D249" s="22" t="s">
        <v>6957</v>
      </c>
      <c r="E249" s="22" t="s">
        <v>6958</v>
      </c>
      <c r="F249" s="23"/>
      <c r="G249" s="23"/>
      <c r="H249" s="22">
        <v>1953.0</v>
      </c>
      <c r="I249" s="28"/>
      <c r="J249" s="28" t="s">
        <v>6950</v>
      </c>
      <c r="K249" s="28" t="s">
        <v>5245</v>
      </c>
      <c r="L249" s="28" t="s">
        <v>5196</v>
      </c>
      <c r="M249" s="29" t="s">
        <v>6959</v>
      </c>
      <c r="N249" s="61">
        <v>45715.31041666667</v>
      </c>
      <c r="O249" s="25">
        <v>45715.0</v>
      </c>
      <c r="P249" s="28">
        <f t="shared" si="11"/>
        <v>1</v>
      </c>
      <c r="Q249" s="62" t="s">
        <v>240</v>
      </c>
      <c r="R249" s="22" t="s">
        <v>6960</v>
      </c>
      <c r="S249" s="28">
        <v>7.0</v>
      </c>
      <c r="T249" s="28">
        <v>12.0</v>
      </c>
      <c r="U249" s="28">
        <v>37.0</v>
      </c>
      <c r="V249" s="28">
        <v>26.0</v>
      </c>
      <c r="W249" s="28" t="s">
        <v>1173</v>
      </c>
      <c r="X249" s="28" t="s">
        <v>272</v>
      </c>
      <c r="Y249" s="24"/>
      <c r="Z249" s="22" t="s">
        <v>5536</v>
      </c>
      <c r="AA249" s="28" t="s">
        <v>5287</v>
      </c>
      <c r="AB249" s="28">
        <v>26.0</v>
      </c>
      <c r="AC249" s="28" t="s">
        <v>22</v>
      </c>
      <c r="AD249" s="23"/>
      <c r="AE249" s="28" t="s">
        <v>19</v>
      </c>
      <c r="AF249" s="23"/>
      <c r="AG249" s="23"/>
      <c r="AH249" s="23" t="str">
        <f>IFERROR(__xludf.DUMMYFUNCTION("IF(
ISNUMBER(MATCH(
C249,
IMPORTRANGE(""https://docs.google.com/spreadsheets/d/1yTh1ELC33JHYOeEdgIiEclxPRyh0zOKtlawDltfUay8"",""'Interns'!A:A""),
0
)),
""Outreach Conducted"",
"""")"),"")</f>
        <v/>
      </c>
      <c r="AI249" s="23"/>
      <c r="AJ249" s="23"/>
      <c r="AK249" s="23"/>
      <c r="AL249" s="23" t="str">
        <f>IFERROR(__xludf.DUMMYFUNCTION("XLOOKUP(C249, 
   IMPORTRANGE(""1RdEdgHYrZ33LJ7RUHj_h-qkAFL92bcVjtIdVa-UlsCw"", ""Interns!D:D""), 
   IMPORTRANGE(""1RdEdgHYrZ33LJ7RUHj_h-qkAFL92bcVjtIdVa-UlsCw"", ""Interns!N:N""), 
   ""Not Found"")"),"#Cheers4Careers")</f>
        <v>#Cheers4Careers</v>
      </c>
      <c r="AM249" s="23" t="str">
        <f>IFERROR(__xludf.DUMMYFUNCTION("XLOOKUP(C249, 
   IMPORTRANGE(""1RdEdgHYrZ33LJ7RUHj_h-qkAFL92bcVjtIdVa-UlsCw"", ""Interns!D:D""), 
   IMPORTRANGE(""1RdEdgHYrZ33LJ7RUHj_h-qkAFL92bcVjtIdVa-UlsCw"", ""Interns!O:O""), 
   ""Not Found"")"),"Hetal reached out March 27 for March #Cheers4 Careers ")</f>
        <v>Hetal reached out March 27 for March #Cheers4 Careers </v>
      </c>
      <c r="AN249" s="23"/>
      <c r="AO249" s="23" t="s">
        <v>6961</v>
      </c>
      <c r="AP249" s="28" t="s">
        <v>5908</v>
      </c>
      <c r="AQ249" s="28" t="s">
        <v>6962</v>
      </c>
      <c r="AR249" s="23" t="s">
        <v>6963</v>
      </c>
      <c r="AS249" s="23"/>
      <c r="AT249" s="23"/>
      <c r="AU249" s="23"/>
      <c r="AV249" s="23"/>
    </row>
    <row r="250">
      <c r="A250" s="28" t="s">
        <v>5161</v>
      </c>
      <c r="B250" s="28" t="s">
        <v>5162</v>
      </c>
      <c r="C250" s="23" t="str">
        <f t="shared" si="1"/>
        <v>Anisah Tofa</v>
      </c>
      <c r="D250" s="28" t="s">
        <v>6964</v>
      </c>
      <c r="E250" s="28" t="s">
        <v>6965</v>
      </c>
      <c r="F250" s="23">
        <f t="array" ref="F250">IFERROR(
    INDEX('Hub Interns 226'!A:A, MATCH(C250, 'Hub Interns 226'!B:B, 0)),"")</f>
        <v>244</v>
      </c>
      <c r="G250" s="23">
        <f t="array" ref="G250">IFERROR(
    INDEX('Hub Users 226'!A:A, MATCH(C250, 'Hub Users 226'!B:B, 0)),"")</f>
        <v>677</v>
      </c>
      <c r="H250" s="28">
        <v>932.0</v>
      </c>
      <c r="I250" s="28" t="s">
        <v>260</v>
      </c>
      <c r="J250" s="28" t="s">
        <v>6966</v>
      </c>
      <c r="K250" s="28" t="s">
        <v>5245</v>
      </c>
      <c r="L250" s="28" t="s">
        <v>5196</v>
      </c>
      <c r="M250" s="56" t="s">
        <v>6967</v>
      </c>
      <c r="N250" s="57">
        <v>44603.481944444444</v>
      </c>
      <c r="O250" s="58">
        <v>38421.0</v>
      </c>
      <c r="P250" s="28">
        <f t="shared" si="11"/>
        <v>21</v>
      </c>
      <c r="Q250" s="28" t="s">
        <v>240</v>
      </c>
      <c r="R250" s="28" t="s">
        <v>6968</v>
      </c>
      <c r="S250" s="28">
        <v>15.0</v>
      </c>
      <c r="T250" s="28">
        <v>32.0</v>
      </c>
      <c r="U250" s="28">
        <v>77.0</v>
      </c>
      <c r="V250" s="28">
        <v>16.0</v>
      </c>
      <c r="W250" s="28" t="s">
        <v>859</v>
      </c>
      <c r="X250" s="28" t="s">
        <v>272</v>
      </c>
      <c r="Y250" s="28" t="s">
        <v>6969</v>
      </c>
      <c r="Z250" s="28" t="s">
        <v>5208</v>
      </c>
      <c r="AA250" s="28" t="s">
        <v>2141</v>
      </c>
      <c r="AB250" s="28">
        <v>8.0</v>
      </c>
      <c r="AC250" s="28" t="s">
        <v>24</v>
      </c>
      <c r="AD250" s="23"/>
      <c r="AE250" s="28" t="s">
        <v>10</v>
      </c>
      <c r="AF250" s="23"/>
      <c r="AG250" s="23"/>
      <c r="AH250" s="23" t="str">
        <f>IFERROR(__xludf.DUMMYFUNCTION("IF(
ISNUMBER(MATCH(
C250,
IMPORTRANGE(""https://docs.google.com/spreadsheets/d/1yTh1ELC33JHYOeEdgIiEclxPRyh0zOKtlawDltfUay8"",""'Interns'!A:A""),
0
)),
""Outreach Conducted"",
"""")"),"")</f>
        <v/>
      </c>
      <c r="AI250" s="23"/>
      <c r="AJ250" s="23"/>
      <c r="AK250" s="23" t="str">
        <f>IFERROR(__xludf.DUMMYFUNCTION("XLOOKUP(C250, 
   IMPORTRANGE(""1RdEdgHYrZ33LJ7RUHj_h-qkAFL92bcVjtIdVa-UlsCw"", ""Interns!D:D""), 
   IMPORTRANGE(""1RdEdgHYrZ33LJ7RUHj_h-qkAFL92bcVjtIdVa-UlsCw"", ""Interns!M:M""), 
   ""Not Found"")"),"Contacted")</f>
        <v>Contacted</v>
      </c>
      <c r="AL250" s="23" t="str">
        <f>IFERROR(__xludf.DUMMYFUNCTION("XLOOKUP(C250, 
   IMPORTRANGE(""1RdEdgHYrZ33LJ7RUHj_h-qkAFL92bcVjtIdVa-UlsCw"", ""Interns!D:D""), 
   IMPORTRANGE(""1RdEdgHYrZ33LJ7RUHj_h-qkAFL92bcVjtIdVa-UlsCw"", ""Interns!N:N""), 
   ""Not Found"")"),"#Cheers4Careers")</f>
        <v>#Cheers4Careers</v>
      </c>
      <c r="AM250" s="23" t="str">
        <f>IFERROR(__xludf.DUMMYFUNCTION("XLOOKUP(C250, 
   IMPORTRANGE(""1RdEdgHYrZ33LJ7RUHj_h-qkAFL92bcVjtIdVa-UlsCw"", ""Interns!D:D""), 
   IMPORTRANGE(""1RdEdgHYrZ33LJ7RUHj_h-qkAFL92bcVjtIdVa-UlsCw"", ""Interns!O:O""), 
   ""Not Found"")"),"Hetal reached out by email 3/27  and text and whatsapp on 3/28
Hetal reached out on 4/10 by whatsapp for April 18th #Cheers4Careers")</f>
        <v>Hetal reached out by email 3/27  and text and whatsapp on 3/28
Hetal reached out on 4/10 by whatsapp for April 18th #Cheers4Careers</v>
      </c>
      <c r="AN250" s="23"/>
      <c r="AO250" s="23" t="s">
        <v>6970</v>
      </c>
      <c r="AP250" s="28" t="s">
        <v>5191</v>
      </c>
      <c r="AQ250" s="28"/>
      <c r="AR250" s="23"/>
      <c r="AS250" s="23"/>
      <c r="AT250" s="23"/>
      <c r="AU250" s="23"/>
      <c r="AV250" s="23"/>
    </row>
    <row r="251">
      <c r="A251" s="28" t="s">
        <v>5202</v>
      </c>
      <c r="B251" s="28" t="s">
        <v>5162</v>
      </c>
      <c r="C251" s="23" t="str">
        <f t="shared" si="1"/>
        <v>Sebastien Sierra</v>
      </c>
      <c r="D251" s="28" t="s">
        <v>6971</v>
      </c>
      <c r="E251" s="28" t="s">
        <v>6972</v>
      </c>
      <c r="F251" s="23">
        <f t="array" ref="F251">IFERROR(
    INDEX('Hub Interns 226'!A:A, MATCH(C251, 'Hub Interns 226'!B:B, 0)),"")</f>
        <v>1085</v>
      </c>
      <c r="G251" s="23">
        <f t="array" ref="G251">IFERROR(
    INDEX('Hub Users 226'!A:A, MATCH(C251, 'Hub Users 226'!B:B, 0)),"")</f>
        <v>1518</v>
      </c>
      <c r="H251" s="28">
        <v>852.0</v>
      </c>
      <c r="I251" s="28" t="s">
        <v>417</v>
      </c>
      <c r="J251" s="28" t="s">
        <v>5336</v>
      </c>
      <c r="K251" s="28" t="s">
        <v>5177</v>
      </c>
      <c r="L251" s="28" t="s">
        <v>5165</v>
      </c>
      <c r="M251" s="56" t="s">
        <v>6973</v>
      </c>
      <c r="N251" s="57">
        <v>44587.49444444444</v>
      </c>
      <c r="O251" s="58">
        <v>37641.0</v>
      </c>
      <c r="P251" s="28">
        <f t="shared" si="11"/>
        <v>23</v>
      </c>
      <c r="Q251" s="28" t="s">
        <v>6974</v>
      </c>
      <c r="R251" s="28" t="s">
        <v>6975</v>
      </c>
      <c r="S251" s="28">
        <v>15.0</v>
      </c>
      <c r="T251" s="28">
        <v>33.0</v>
      </c>
      <c r="U251" s="28">
        <v>80.0</v>
      </c>
      <c r="V251" s="28">
        <v>13.0</v>
      </c>
      <c r="W251" s="28" t="s">
        <v>1173</v>
      </c>
      <c r="X251" s="28" t="s">
        <v>272</v>
      </c>
      <c r="Y251" s="28" t="s">
        <v>6976</v>
      </c>
      <c r="Z251" s="28" t="s">
        <v>5779</v>
      </c>
      <c r="AA251" s="28" t="s">
        <v>3931</v>
      </c>
      <c r="AB251" s="28">
        <v>2.0</v>
      </c>
      <c r="AC251" s="28" t="s">
        <v>25</v>
      </c>
      <c r="AD251" s="23"/>
      <c r="AE251" s="28" t="s">
        <v>10</v>
      </c>
      <c r="AF251" s="23" t="str">
        <f>IFERROR(__xludf.DUMMYFUNCTION("TEXTJOIN("", "", TRUE,
  FILTER(Champions!C:C,
    ISNUMBER(SEARCH(C251, Champions!W:W))
  )
)"),"Luna Martinez")</f>
        <v>Luna Martinez</v>
      </c>
      <c r="AG251" s="23"/>
      <c r="AH251" s="23" t="str">
        <f>IFERROR(__xludf.DUMMYFUNCTION("IF(
ISNUMBER(MATCH(
C251,
IMPORTRANGE(""https://docs.google.com/spreadsheets/d/1yTh1ELC33JHYOeEdgIiEclxPRyh0zOKtlawDltfUay8"",""'Interns'!A:A""),
0
)),
""Outreach Conducted"",
"""")"),"")</f>
        <v/>
      </c>
      <c r="AI251" s="23"/>
      <c r="AJ251" s="23"/>
      <c r="AK251" s="23" t="str">
        <f>IFERROR(__xludf.DUMMYFUNCTION("XLOOKUP(C251, 
   IMPORTRANGE(""1RdEdgHYrZ33LJ7RUHj_h-qkAFL92bcVjtIdVa-UlsCw"", ""Interns!D:D""), 
   IMPORTRANGE(""1RdEdgHYrZ33LJ7RUHj_h-qkAFL92bcVjtIdVa-UlsCw"", ""Interns!M:M""), 
   ""Not Found"")"),"")</f>
        <v/>
      </c>
      <c r="AL251" s="23" t="str">
        <f>IFERROR(__xludf.DUMMYFUNCTION("XLOOKUP(C251, 
   IMPORTRANGE(""1RdEdgHYrZ33LJ7RUHj_h-qkAFL92bcVjtIdVa-UlsCw"", ""Interns!D:D""), 
   IMPORTRANGE(""1RdEdgHYrZ33LJ7RUHj_h-qkAFL92bcVjtIdVa-UlsCw"", ""Interns!N:N""), 
   ""Not Found"")"),"")</f>
        <v/>
      </c>
      <c r="AM251" s="23" t="str">
        <f>IFERROR(__xludf.DUMMYFUNCTION("XLOOKUP(C251, 
   IMPORTRANGE(""1RdEdgHYrZ33LJ7RUHj_h-qkAFL92bcVjtIdVa-UlsCw"", ""Interns!D:D""), 
   IMPORTRANGE(""1RdEdgHYrZ33LJ7RUHj_h-qkAFL92bcVjtIdVa-UlsCw"", ""Interns!O:O""), 
   ""Not Found"")"),"")</f>
        <v/>
      </c>
      <c r="AN251" s="23"/>
      <c r="AO251" s="23" t="s">
        <v>6977</v>
      </c>
      <c r="AP251" s="28" t="s">
        <v>5182</v>
      </c>
      <c r="AQ251" s="28" t="s">
        <v>6978</v>
      </c>
      <c r="AR251" s="23" t="s">
        <v>6979</v>
      </c>
      <c r="AS251" s="23"/>
      <c r="AT251" s="23"/>
      <c r="AU251" s="23"/>
      <c r="AV251" s="23"/>
    </row>
    <row r="252">
      <c r="A252" s="28" t="s">
        <v>5202</v>
      </c>
      <c r="B252" s="28" t="s">
        <v>31</v>
      </c>
      <c r="C252" s="23" t="str">
        <f t="shared" si="1"/>
        <v>Alisson. Galay</v>
      </c>
      <c r="D252" s="28" t="s">
        <v>6980</v>
      </c>
      <c r="E252" s="28" t="s">
        <v>6981</v>
      </c>
      <c r="F252" s="23">
        <f t="array" ref="F252">IFERROR(
    INDEX('Hub Interns 226'!A:A, MATCH("Alisson Galay", 'Hub Interns 226'!B:B, 0)),"")</f>
        <v>194</v>
      </c>
      <c r="G252" s="23">
        <f t="array" ref="G252">IFERROR(
    INDEX('Hub Users 226'!A:A, MATCH("Alisson Galay", 'Hub Users 226'!B:B, 0)),"")</f>
        <v>627</v>
      </c>
      <c r="H252" s="28">
        <v>1447.0</v>
      </c>
      <c r="I252" s="28"/>
      <c r="J252" s="28"/>
      <c r="K252" s="28"/>
      <c r="L252" s="28" t="s">
        <v>5196</v>
      </c>
      <c r="M252" s="56" t="s">
        <v>6982</v>
      </c>
      <c r="N252" s="59">
        <v>44923.665972222225</v>
      </c>
      <c r="O252" s="58">
        <v>38348.0</v>
      </c>
      <c r="P252" s="28">
        <f t="shared" si="11"/>
        <v>21</v>
      </c>
      <c r="Q252" s="28" t="s">
        <v>6983</v>
      </c>
      <c r="R252" s="28" t="s">
        <v>6984</v>
      </c>
      <c r="S252" s="28"/>
      <c r="T252" s="28"/>
      <c r="U252" s="28"/>
      <c r="V252" s="28"/>
      <c r="W252" s="28" t="s">
        <v>859</v>
      </c>
      <c r="X252" s="28" t="s">
        <v>272</v>
      </c>
      <c r="Y252" s="28" t="s">
        <v>6985</v>
      </c>
      <c r="Z252" s="28" t="s">
        <v>5435</v>
      </c>
      <c r="AA252" s="28" t="s">
        <v>5871</v>
      </c>
      <c r="AB252" s="28">
        <v>31.0</v>
      </c>
      <c r="AC252" s="28" t="s">
        <v>23</v>
      </c>
      <c r="AD252" s="23"/>
      <c r="AE252" s="28" t="s">
        <v>15</v>
      </c>
      <c r="AF252" s="23"/>
      <c r="AG252" s="23"/>
      <c r="AH252" s="23" t="str">
        <f>IFERROR(__xludf.DUMMYFUNCTION("IF(
ISNUMBER(MATCH(
C252,
IMPORTRANGE(""https://docs.google.com/spreadsheets/d/1yTh1ELC33JHYOeEdgIiEclxPRyh0zOKtlawDltfUay8"",""'Interns'!A:A""),
0
)),
""Outreach Conducted"",
"""")"),"")</f>
        <v/>
      </c>
      <c r="AI252" s="23"/>
      <c r="AJ252" s="23"/>
      <c r="AK252" s="23" t="str">
        <f>IFERROR(__xludf.DUMMYFUNCTION("XLOOKUP(C252, 
   IMPORTRANGE(""1RdEdgHYrZ33LJ7RUHj_h-qkAFL92bcVjtIdVa-UlsCw"", ""Interns!D:D""), 
   IMPORTRANGE(""1RdEdgHYrZ33LJ7RUHj_h-qkAFL92bcVjtIdVa-UlsCw"", ""Interns!M:M""), 
   ""Not Found"")"),"")</f>
        <v/>
      </c>
      <c r="AL252" s="23" t="str">
        <f>IFERROR(__xludf.DUMMYFUNCTION("XLOOKUP(C252, 
   IMPORTRANGE(""1RdEdgHYrZ33LJ7RUHj_h-qkAFL92bcVjtIdVa-UlsCw"", ""Interns!D:D""), 
   IMPORTRANGE(""1RdEdgHYrZ33LJ7RUHj_h-qkAFL92bcVjtIdVa-UlsCw"", ""Interns!N:N""), 
   ""Not Found"")"),"")</f>
        <v/>
      </c>
      <c r="AM252" s="23" t="str">
        <f>IFERROR(__xludf.DUMMYFUNCTION("XLOOKUP(C252, 
   IMPORTRANGE(""1RdEdgHYrZ33LJ7RUHj_h-qkAFL92bcVjtIdVa-UlsCw"", ""Interns!D:D""), 
   IMPORTRANGE(""1RdEdgHYrZ33LJ7RUHj_h-qkAFL92bcVjtIdVa-UlsCw"", ""Interns!O:O""), 
   ""Not Found"")"),"")</f>
        <v/>
      </c>
      <c r="AN252" s="23"/>
      <c r="AO252" s="23" t="s">
        <v>6986</v>
      </c>
      <c r="AP252" s="28" t="s">
        <v>5182</v>
      </c>
      <c r="AQ252" s="28" t="s">
        <v>6987</v>
      </c>
      <c r="AR252" s="23" t="s">
        <v>6988</v>
      </c>
      <c r="AS252" s="23"/>
      <c r="AT252" s="23"/>
      <c r="AU252" s="23"/>
      <c r="AV252" s="23"/>
    </row>
    <row r="253">
      <c r="A253" s="28" t="s">
        <v>5161</v>
      </c>
      <c r="B253" s="28" t="s">
        <v>5162</v>
      </c>
      <c r="C253" s="23" t="str">
        <f t="shared" si="1"/>
        <v>Steven condo</v>
      </c>
      <c r="D253" s="28" t="s">
        <v>3100</v>
      </c>
      <c r="E253" s="28" t="s">
        <v>6989</v>
      </c>
      <c r="F253" s="23">
        <f t="array" ref="F253">IFERROR(
    INDEX('Hub Interns 226'!A:A, MATCH(C253, 'Hub Interns 226'!B:B, 0)),"")</f>
        <v>1124</v>
      </c>
      <c r="G253" s="23">
        <f t="array" ref="G253">IFERROR(
    INDEX('Hub Users 226'!A:A, MATCH(C253, 'Hub Users 226'!B:B, 0)),"")</f>
        <v>1557</v>
      </c>
      <c r="H253" s="28">
        <v>1422.0</v>
      </c>
      <c r="I253" s="28" t="s">
        <v>785</v>
      </c>
      <c r="J253" s="28" t="s">
        <v>2388</v>
      </c>
      <c r="K253" s="28" t="s">
        <v>5463</v>
      </c>
      <c r="L253" s="28" t="s">
        <v>5165</v>
      </c>
      <c r="M253" s="56" t="s">
        <v>6990</v>
      </c>
      <c r="N253" s="57">
        <v>44866.393055555556</v>
      </c>
      <c r="O253" s="58">
        <v>40331.0</v>
      </c>
      <c r="P253" s="28">
        <f t="shared" si="11"/>
        <v>15</v>
      </c>
      <c r="Q253" s="28" t="s">
        <v>240</v>
      </c>
      <c r="R253" s="28" t="s">
        <v>6991</v>
      </c>
      <c r="S253" s="28">
        <v>7.0</v>
      </c>
      <c r="T253" s="28">
        <v>12.0</v>
      </c>
      <c r="U253" s="28">
        <v>37.0</v>
      </c>
      <c r="V253" s="28">
        <v>26.0</v>
      </c>
      <c r="W253" s="28" t="s">
        <v>1173</v>
      </c>
      <c r="X253" s="28" t="s">
        <v>272</v>
      </c>
      <c r="Y253" s="28" t="s">
        <v>5351</v>
      </c>
      <c r="Z253" s="28" t="s">
        <v>5352</v>
      </c>
      <c r="AA253" s="28" t="s">
        <v>5287</v>
      </c>
      <c r="AB253" s="28">
        <v>26.0</v>
      </c>
      <c r="AC253" s="28" t="s">
        <v>23</v>
      </c>
      <c r="AD253" s="23"/>
      <c r="AE253" s="28" t="s">
        <v>15</v>
      </c>
      <c r="AF253" s="23"/>
      <c r="AG253" s="23"/>
      <c r="AH253" s="23" t="str">
        <f>IFERROR(__xludf.DUMMYFUNCTION("IF(
ISNUMBER(MATCH(
C253,
IMPORTRANGE(""https://docs.google.com/spreadsheets/d/1yTh1ELC33JHYOeEdgIiEclxPRyh0zOKtlawDltfUay8"",""'Interns'!A:A""),
0
)),
""Outreach Conducted"",
"""")"),"")</f>
        <v/>
      </c>
      <c r="AI253" s="23"/>
      <c r="AJ253" s="23"/>
      <c r="AK253" s="23" t="str">
        <f>IFERROR(__xludf.DUMMYFUNCTION("XLOOKUP(C253, 
   IMPORTRANGE(""1RdEdgHYrZ33LJ7RUHj_h-qkAFL92bcVjtIdVa-UlsCw"", ""Interns!D:D""), 
   IMPORTRANGE(""1RdEdgHYrZ33LJ7RUHj_h-qkAFL92bcVjtIdVa-UlsCw"", ""Interns!M:M""), 
   ""Not Found"")"),"Contacted")</f>
        <v>Contacted</v>
      </c>
      <c r="AL253" s="23" t="str">
        <f>IFERROR(__xludf.DUMMYFUNCTION("XLOOKUP(C253, 
   IMPORTRANGE(""1RdEdgHYrZ33LJ7RUHj_h-qkAFL92bcVjtIdVa-UlsCw"", ""Interns!D:D""), 
   IMPORTRANGE(""1RdEdgHYrZ33LJ7RUHj_h-qkAFL92bcVjtIdVa-UlsCw"", ""Interns!N:N""), 
   ""Not Found"")"),"#Cheers4Careers")</f>
        <v>#Cheers4Careers</v>
      </c>
      <c r="AM253" s="23" t="str">
        <f>IFERROR(__xludf.DUMMYFUNCTION("XLOOKUP(C253, 
   IMPORTRANGE(""1RdEdgHYrZ33LJ7RUHj_h-qkAFL92bcVjtIdVa-UlsCw"", ""Interns!D:D""), 
   IMPORTRANGE(""1RdEdgHYrZ33LJ7RUHj_h-qkAFL92bcVjtIdVa-UlsCw"", ""Interns!O:O""), 
   ""Not Found"")"),"Hetal reached out by email 3/27")</f>
        <v>Hetal reached out by email 3/27</v>
      </c>
      <c r="AN253" s="23"/>
      <c r="AO253" s="23" t="s">
        <v>6992</v>
      </c>
      <c r="AP253" s="28" t="s">
        <v>5182</v>
      </c>
      <c r="AQ253" s="28"/>
      <c r="AR253" s="23"/>
      <c r="AS253" s="23"/>
      <c r="AT253" s="23"/>
      <c r="AU253" s="23"/>
      <c r="AV253" s="23"/>
    </row>
    <row r="254">
      <c r="A254" s="28" t="s">
        <v>5202</v>
      </c>
      <c r="B254" s="28" t="s">
        <v>5162</v>
      </c>
      <c r="C254" s="23" t="str">
        <f t="shared" si="1"/>
        <v>Luis Acevedo</v>
      </c>
      <c r="D254" s="28" t="s">
        <v>6689</v>
      </c>
      <c r="E254" s="28" t="s">
        <v>6993</v>
      </c>
      <c r="F254" s="23">
        <f t="array" ref="F254">IFERROR(
    INDEX('Hub Interns 226'!A:A, MATCH(C254, 'Hub Interns 226'!B:B, 0)),"")</f>
        <v>799</v>
      </c>
      <c r="G254" s="23">
        <f t="array" ref="G254">IFERROR(
    INDEX('Hub Users 226'!A:A, MATCH(C254, 'Hub Users 226'!B:B, 0)),"")</f>
        <v>1232</v>
      </c>
      <c r="H254" s="28">
        <v>804.0</v>
      </c>
      <c r="I254" s="28" t="s">
        <v>269</v>
      </c>
      <c r="J254" s="28" t="s">
        <v>5336</v>
      </c>
      <c r="K254" s="28" t="s">
        <v>5177</v>
      </c>
      <c r="L254" s="28" t="s">
        <v>5165</v>
      </c>
      <c r="M254" s="56" t="s">
        <v>6994</v>
      </c>
      <c r="N254" s="57">
        <v>44566.760416666664</v>
      </c>
      <c r="O254" s="58">
        <v>38658.0</v>
      </c>
      <c r="P254" s="28">
        <f t="shared" si="11"/>
        <v>20</v>
      </c>
      <c r="Q254" s="28" t="s">
        <v>6995</v>
      </c>
      <c r="R254" s="28" t="s">
        <v>6996</v>
      </c>
      <c r="S254" s="28"/>
      <c r="T254" s="28"/>
      <c r="U254" s="28"/>
      <c r="V254" s="28"/>
      <c r="W254" s="28" t="s">
        <v>271</v>
      </c>
      <c r="X254" s="28" t="s">
        <v>272</v>
      </c>
      <c r="Y254" s="23"/>
      <c r="Z254" s="28" t="s">
        <v>5558</v>
      </c>
      <c r="AA254" s="28" t="s">
        <v>5559</v>
      </c>
      <c r="AB254" s="28">
        <v>10.0</v>
      </c>
      <c r="AC254" s="28" t="s">
        <v>25</v>
      </c>
      <c r="AD254" s="23"/>
      <c r="AE254" s="28" t="s">
        <v>10</v>
      </c>
      <c r="AF254" s="23" t="str">
        <f>IFERROR(__xludf.DUMMYFUNCTION("TEXTJOIN("", "", TRUE,
  FILTER(Champions!C:C,
    ISNUMBER(SEARCH(C254, Champions!W:W))
  )
)"),"Oheneba Afriyie")</f>
        <v>Oheneba Afriyie</v>
      </c>
      <c r="AG254" s="23"/>
      <c r="AH254" s="23" t="str">
        <f>IFERROR(__xludf.DUMMYFUNCTION("IF(
ISNUMBER(MATCH(
C254,
IMPORTRANGE(""https://docs.google.com/spreadsheets/d/1yTh1ELC33JHYOeEdgIiEclxPRyh0zOKtlawDltfUay8"",""'Interns'!A:A""),
0
)),
""Outreach Conducted"",
"""")"),"")</f>
        <v/>
      </c>
      <c r="AI254" s="23"/>
      <c r="AJ254" s="23"/>
      <c r="AK254" s="23" t="str">
        <f>IFERROR(__xludf.DUMMYFUNCTION("XLOOKUP(C254, 
   IMPORTRANGE(""1RdEdgHYrZ33LJ7RUHj_h-qkAFL92bcVjtIdVa-UlsCw"", ""Interns!D:D""), 
   IMPORTRANGE(""1RdEdgHYrZ33LJ7RUHj_h-qkAFL92bcVjtIdVa-UlsCw"", ""Interns!M:M""), 
   ""Not Found"")"),"Contacted")</f>
        <v>Contacted</v>
      </c>
      <c r="AL254" s="23" t="str">
        <f>IFERROR(__xludf.DUMMYFUNCTION("XLOOKUP(C254, 
   IMPORTRANGE(""1RdEdgHYrZ33LJ7RUHj_h-qkAFL92bcVjtIdVa-UlsCw"", ""Interns!D:D""), 
   IMPORTRANGE(""1RdEdgHYrZ33LJ7RUHj_h-qkAFL92bcVjtIdVa-UlsCw"", ""Interns!N:N""), 
   ""Not Found"")"),"#Cheers4Careers")</f>
        <v>#Cheers4Careers</v>
      </c>
      <c r="AM254" s="23" t="str">
        <f>IFERROR(__xludf.DUMMYFUNCTION("XLOOKUP(C254, 
   IMPORTRANGE(""1RdEdgHYrZ33LJ7RUHj_h-qkAFL92bcVjtIdVa-UlsCw"", ""Interns!D:D""), 
   IMPORTRANGE(""1RdEdgHYrZ33LJ7RUHj_h-qkAFL92bcVjtIdVa-UlsCw"", ""Interns!O:O""), 
   ""Not Found"")"),"Hetal reached out by email 3/27")</f>
        <v>Hetal reached out by email 3/27</v>
      </c>
      <c r="AN254" s="23"/>
      <c r="AO254" s="23" t="s">
        <v>6997</v>
      </c>
      <c r="AP254" s="28" t="s">
        <v>5191</v>
      </c>
      <c r="AQ254" s="28" t="s">
        <v>6998</v>
      </c>
      <c r="AR254" s="23" t="s">
        <v>6999</v>
      </c>
      <c r="AS254" s="23"/>
      <c r="AT254" s="23"/>
      <c r="AU254" s="23"/>
      <c r="AV254" s="23"/>
    </row>
    <row r="255">
      <c r="A255" s="28" t="s">
        <v>5161</v>
      </c>
      <c r="B255" s="28" t="s">
        <v>5162</v>
      </c>
      <c r="C255" s="23" t="str">
        <f t="shared" si="1"/>
        <v>Luis Ulloa</v>
      </c>
      <c r="D255" s="28" t="s">
        <v>6689</v>
      </c>
      <c r="E255" s="28" t="s">
        <v>7000</v>
      </c>
      <c r="F255" s="23">
        <f t="array" ref="F255">IFERROR(
    INDEX('Hub Interns 226'!A:A, MATCH(C255, 'Hub Interns 226'!B:B, 0)),"")</f>
        <v>896</v>
      </c>
      <c r="G255" s="23">
        <f t="array" ref="G255">IFERROR(
    INDEX('Hub Users 226'!A:A, MATCH(C255, 'Hub Users 226'!B:B, 0)),"")</f>
        <v>1329</v>
      </c>
      <c r="H255" s="28">
        <v>1423.0</v>
      </c>
      <c r="I255" s="28" t="s">
        <v>107</v>
      </c>
      <c r="J255" s="28" t="s">
        <v>2388</v>
      </c>
      <c r="K255" s="28" t="s">
        <v>5463</v>
      </c>
      <c r="L255" s="28" t="s">
        <v>7001</v>
      </c>
      <c r="M255" s="56" t="s">
        <v>7002</v>
      </c>
      <c r="N255" s="57">
        <v>44866.393055555556</v>
      </c>
      <c r="O255" s="58">
        <v>40272.0</v>
      </c>
      <c r="P255" s="28">
        <f t="shared" si="11"/>
        <v>16</v>
      </c>
      <c r="Q255" s="28" t="s">
        <v>7003</v>
      </c>
      <c r="R255" s="28" t="s">
        <v>7004</v>
      </c>
      <c r="S255" s="28">
        <v>7.0</v>
      </c>
      <c r="T255" s="28">
        <v>12.0</v>
      </c>
      <c r="U255" s="28">
        <v>37.0</v>
      </c>
      <c r="V255" s="28">
        <v>26.0</v>
      </c>
      <c r="W255" s="28" t="s">
        <v>1173</v>
      </c>
      <c r="X255" s="28" t="s">
        <v>272</v>
      </c>
      <c r="Y255" s="28" t="s">
        <v>5351</v>
      </c>
      <c r="Z255" s="28" t="s">
        <v>5352</v>
      </c>
      <c r="AA255" s="28" t="s">
        <v>5287</v>
      </c>
      <c r="AB255" s="28">
        <v>26.0</v>
      </c>
      <c r="AC255" s="28" t="s">
        <v>23</v>
      </c>
      <c r="AD255" s="23"/>
      <c r="AE255" s="28" t="s">
        <v>15</v>
      </c>
      <c r="AF255" s="23"/>
      <c r="AG255" s="23"/>
      <c r="AH255" s="23" t="str">
        <f>IFERROR(__xludf.DUMMYFUNCTION("IF(
ISNUMBER(MATCH(
C255,
IMPORTRANGE(""https://docs.google.com/spreadsheets/d/1yTh1ELC33JHYOeEdgIiEclxPRyh0zOKtlawDltfUay8"",""'Interns'!A:A""),
0
)),
""Outreach Conducted"",
"""")"),"")</f>
        <v/>
      </c>
      <c r="AI255" s="23"/>
      <c r="AJ255" s="23"/>
      <c r="AK255" s="23" t="str">
        <f>IFERROR(__xludf.DUMMYFUNCTION("XLOOKUP(C255, 
   IMPORTRANGE(""1RdEdgHYrZ33LJ7RUHj_h-qkAFL92bcVjtIdVa-UlsCw"", ""Interns!D:D""), 
   IMPORTRANGE(""1RdEdgHYrZ33LJ7RUHj_h-qkAFL92bcVjtIdVa-UlsCw"", ""Interns!M:M""), 
   ""Not Found"")"),"Contacted")</f>
        <v>Contacted</v>
      </c>
      <c r="AL255" s="23" t="str">
        <f>IFERROR(__xludf.DUMMYFUNCTION("XLOOKUP(C255, 
   IMPORTRANGE(""1RdEdgHYrZ33LJ7RUHj_h-qkAFL92bcVjtIdVa-UlsCw"", ""Interns!D:D""), 
   IMPORTRANGE(""1RdEdgHYrZ33LJ7RUHj_h-qkAFL92bcVjtIdVa-UlsCw"", ""Interns!N:N""), 
   ""Not Found"")"),"#Cheers4Careers")</f>
        <v>#Cheers4Careers</v>
      </c>
      <c r="AM255" s="23" t="str">
        <f>IFERROR(__xludf.DUMMYFUNCTION("XLOOKUP(C255, 
   IMPORTRANGE(""1RdEdgHYrZ33LJ7RUHj_h-qkAFL92bcVjtIdVa-UlsCw"", ""Interns!D:D""), 
   IMPORTRANGE(""1RdEdgHYrZ33LJ7RUHj_h-qkAFL92bcVjtIdVa-UlsCw"", ""Interns!O:O""), 
   ""Not Found"")"),"Hetal reached out by email 3/27")</f>
        <v>Hetal reached out by email 3/27</v>
      </c>
      <c r="AN255" s="23"/>
      <c r="AO255" s="23" t="s">
        <v>7005</v>
      </c>
      <c r="AP255" s="28" t="s">
        <v>5191</v>
      </c>
      <c r="AQ255" s="28"/>
      <c r="AR255" s="23"/>
      <c r="AS255" s="23"/>
      <c r="AT255" s="23"/>
      <c r="AU255" s="23"/>
      <c r="AV255" s="23"/>
    </row>
    <row r="256">
      <c r="A256" s="28" t="s">
        <v>5161</v>
      </c>
      <c r="B256" s="28" t="s">
        <v>5162</v>
      </c>
      <c r="C256" s="23" t="str">
        <f t="shared" si="1"/>
        <v>Carolyn Guzman</v>
      </c>
      <c r="D256" s="28" t="s">
        <v>7006</v>
      </c>
      <c r="E256" s="28" t="s">
        <v>847</v>
      </c>
      <c r="F256" s="23">
        <f t="array" ref="F256">IFERROR(
    INDEX('Hub Interns 226'!A:A, MATCH(C256, 'Hub Interns 226'!B:B, 0)),"")</f>
        <v>339</v>
      </c>
      <c r="G256" s="23">
        <f t="array" ref="G256">IFERROR(
    INDEX('Hub Users 226'!A:A, MATCH(C256, 'Hub Users 226'!B:B, 0)),"")</f>
        <v>772</v>
      </c>
      <c r="H256" s="28">
        <v>869.0</v>
      </c>
      <c r="I256" s="28" t="s">
        <v>608</v>
      </c>
      <c r="J256" s="28" t="s">
        <v>5336</v>
      </c>
      <c r="K256" s="28" t="s">
        <v>5177</v>
      </c>
      <c r="L256" s="28" t="s">
        <v>5196</v>
      </c>
      <c r="M256" s="56" t="s">
        <v>7007</v>
      </c>
      <c r="N256" s="57">
        <v>44596.45972222222</v>
      </c>
      <c r="O256" s="58">
        <v>38610.0</v>
      </c>
      <c r="P256" s="28">
        <f t="shared" si="11"/>
        <v>20</v>
      </c>
      <c r="Q256" s="28" t="s">
        <v>240</v>
      </c>
      <c r="R256" s="28" t="s">
        <v>7008</v>
      </c>
      <c r="S256" s="28">
        <v>15.0</v>
      </c>
      <c r="T256" s="28">
        <v>31.0</v>
      </c>
      <c r="U256" s="28">
        <v>77.0</v>
      </c>
      <c r="V256" s="28">
        <v>14.0</v>
      </c>
      <c r="W256" s="28" t="s">
        <v>859</v>
      </c>
      <c r="X256" s="28" t="s">
        <v>272</v>
      </c>
      <c r="Y256" s="28" t="s">
        <v>7009</v>
      </c>
      <c r="Z256" s="28" t="s">
        <v>5310</v>
      </c>
      <c r="AA256" s="28" t="s">
        <v>362</v>
      </c>
      <c r="AB256" s="28">
        <v>16.0</v>
      </c>
      <c r="AC256" s="28" t="s">
        <v>25</v>
      </c>
      <c r="AD256" s="23"/>
      <c r="AE256" s="28" t="s">
        <v>10</v>
      </c>
      <c r="AF256" s="23" t="str">
        <f>IFERROR(__xludf.DUMMYFUNCTION("TEXTJOIN("", "", TRUE,
  FILTER(Champions!C:C,
    ISNUMBER(SEARCH(C256, Champions!W:W))
  )
)"),"Chante Adams, Elise George")</f>
        <v>Chante Adams, Elise George</v>
      </c>
      <c r="AG256" s="23"/>
      <c r="AH256" s="23" t="str">
        <f>IFERROR(__xludf.DUMMYFUNCTION("IF(
ISNUMBER(MATCH(
C256,
IMPORTRANGE(""https://docs.google.com/spreadsheets/d/1yTh1ELC33JHYOeEdgIiEclxPRyh0zOKtlawDltfUay8"",""'Interns'!A:A""),
0
)),
""Outreach Conducted"",
"""")"),"")</f>
        <v/>
      </c>
      <c r="AI256" s="23"/>
      <c r="AJ256" s="23"/>
      <c r="AK256" s="23" t="str">
        <f>IFERROR(__xludf.DUMMYFUNCTION("XLOOKUP(C256, 
   IMPORTRANGE(""1RdEdgHYrZ33LJ7RUHj_h-qkAFL92bcVjtIdVa-UlsCw"", ""Interns!D:D""), 
   IMPORTRANGE(""1RdEdgHYrZ33LJ7RUHj_h-qkAFL92bcVjtIdVa-UlsCw"", ""Interns!M:M""), 
   ""Not Found"")"),"")</f>
        <v/>
      </c>
      <c r="AL256" s="23" t="str">
        <f>IFERROR(__xludf.DUMMYFUNCTION("XLOOKUP(C256, 
   IMPORTRANGE(""1RdEdgHYrZ33LJ7RUHj_h-qkAFL92bcVjtIdVa-UlsCw"", ""Interns!D:D""), 
   IMPORTRANGE(""1RdEdgHYrZ33LJ7RUHj_h-qkAFL92bcVjtIdVa-UlsCw"", ""Interns!N:N""), 
   ""Not Found"")"),"#SpeakingMyName")</f>
        <v>#SpeakingMyName</v>
      </c>
      <c r="AM256" s="23" t="str">
        <f>IFERROR(__xludf.DUMMYFUNCTION("XLOOKUP(C256, 
   IMPORTRANGE(""1RdEdgHYrZ33LJ7RUHj_h-qkAFL92bcVjtIdVa-UlsCw"", ""Interns!D:D""), 
   IMPORTRANGE(""1RdEdgHYrZ33LJ7RUHj_h-qkAFL92bcVjtIdVa-UlsCw"", ""Interns!O:O""), 
   ""Not Found"")"),"Alicia reached out by email on 5/15 for #SpeakingMyName")</f>
        <v>Alicia reached out by email on 5/15 for #SpeakingMyName</v>
      </c>
      <c r="AN256" s="23"/>
      <c r="AO256" s="23" t="s">
        <v>7010</v>
      </c>
      <c r="AP256" s="28" t="s">
        <v>5191</v>
      </c>
      <c r="AQ256" s="28" t="s">
        <v>7011</v>
      </c>
      <c r="AR256" s="23" t="s">
        <v>7012</v>
      </c>
      <c r="AS256" s="23"/>
      <c r="AT256" s="23"/>
      <c r="AU256" s="23"/>
      <c r="AV256" s="23"/>
    </row>
    <row r="257">
      <c r="A257" s="28" t="s">
        <v>5161</v>
      </c>
      <c r="B257" s="28" t="s">
        <v>5162</v>
      </c>
      <c r="C257" s="23" t="str">
        <f t="shared" si="1"/>
        <v>Joel Polanco Trinidad</v>
      </c>
      <c r="D257" s="28" t="s">
        <v>7013</v>
      </c>
      <c r="E257" s="28" t="s">
        <v>7014</v>
      </c>
      <c r="F257" s="23">
        <f t="array" ref="F257">IFERROR(
    INDEX('Hub Interns 226'!A:A, MATCH(C257, 'Hub Interns 226'!B:B, 0)),"")</f>
        <v>1757</v>
      </c>
      <c r="G257" s="23">
        <f t="array" ref="G257">IFERROR(
    INDEX('Hub Users 226'!A:A, MATCH(C257, 'Hub Users 226'!B:B, 0)),"")</f>
        <v>2587</v>
      </c>
      <c r="H257" s="28">
        <v>1738.0</v>
      </c>
      <c r="I257" s="28"/>
      <c r="J257" s="28" t="s">
        <v>5336</v>
      </c>
      <c r="K257" s="28" t="s">
        <v>5177</v>
      </c>
      <c r="L257" s="28" t="s">
        <v>5165</v>
      </c>
      <c r="M257" s="56" t="s">
        <v>7015</v>
      </c>
      <c r="N257" s="57">
        <v>45266.592361111114</v>
      </c>
      <c r="O257" s="58">
        <v>40429.0</v>
      </c>
      <c r="P257" s="28">
        <f t="shared" si="11"/>
        <v>15</v>
      </c>
      <c r="Q257" s="28" t="s">
        <v>240</v>
      </c>
      <c r="R257" s="28">
        <v>43.0</v>
      </c>
      <c r="S257" s="28"/>
      <c r="T257" s="28"/>
      <c r="U257" s="28"/>
      <c r="V257" s="28"/>
      <c r="W257" s="23"/>
      <c r="X257" s="23"/>
      <c r="Y257" s="28" t="s">
        <v>7016</v>
      </c>
      <c r="Z257" s="28" t="s">
        <v>5352</v>
      </c>
      <c r="AA257" s="28" t="s">
        <v>5287</v>
      </c>
      <c r="AB257" s="28">
        <v>26.0</v>
      </c>
      <c r="AC257" s="28" t="s">
        <v>27</v>
      </c>
      <c r="AD257" s="23"/>
      <c r="AE257" s="28" t="s">
        <v>18</v>
      </c>
      <c r="AF257" s="23"/>
      <c r="AG257" s="23"/>
      <c r="AH257" s="23" t="str">
        <f>IFERROR(__xludf.DUMMYFUNCTION("IF(
ISNUMBER(MATCH(
C257,
IMPORTRANGE(""https://docs.google.com/spreadsheets/d/1yTh1ELC33JHYOeEdgIiEclxPRyh0zOKtlawDltfUay8"",""'Interns'!A:A""),
0
)),
""Outreach Conducted"",
"""")"),"")</f>
        <v/>
      </c>
      <c r="AI257" s="23"/>
      <c r="AJ257" s="23"/>
      <c r="AK257" s="23" t="str">
        <f>IFERROR(__xludf.DUMMYFUNCTION("XLOOKUP(C257, 
   IMPORTRANGE(""1RdEdgHYrZ33LJ7RUHj_h-qkAFL92bcVjtIdVa-UlsCw"", ""Interns!D:D""), 
   IMPORTRANGE(""1RdEdgHYrZ33LJ7RUHj_h-qkAFL92bcVjtIdVa-UlsCw"", ""Interns!M:M""), 
   ""Not Found"")"),"")</f>
        <v/>
      </c>
      <c r="AL257" s="23" t="str">
        <f>IFERROR(__xludf.DUMMYFUNCTION("XLOOKUP(C257, 
   IMPORTRANGE(""1RdEdgHYrZ33LJ7RUHj_h-qkAFL92bcVjtIdVa-UlsCw"", ""Interns!D:D""), 
   IMPORTRANGE(""1RdEdgHYrZ33LJ7RUHj_h-qkAFL92bcVjtIdVa-UlsCw"", ""Interns!N:N""), 
   ""Not Found"")"),"")</f>
        <v/>
      </c>
      <c r="AM257" s="23" t="str">
        <f>IFERROR(__xludf.DUMMYFUNCTION("XLOOKUP(C257, 
   IMPORTRANGE(""1RdEdgHYrZ33LJ7RUHj_h-qkAFL92bcVjtIdVa-UlsCw"", ""Interns!D:D""), 
   IMPORTRANGE(""1RdEdgHYrZ33LJ7RUHj_h-qkAFL92bcVjtIdVa-UlsCw"", ""Interns!O:O""), 
   ""Not Found"")"),"")</f>
        <v/>
      </c>
      <c r="AN257" s="23"/>
      <c r="AO257" s="23" t="s">
        <v>7017</v>
      </c>
      <c r="AP257" s="28" t="s">
        <v>5173</v>
      </c>
      <c r="AQ257" s="28"/>
      <c r="AR257" s="23"/>
      <c r="AS257" s="23"/>
      <c r="AT257" s="23"/>
      <c r="AU257" s="23"/>
      <c r="AV257" s="23"/>
    </row>
    <row r="258">
      <c r="A258" s="28" t="s">
        <v>5202</v>
      </c>
      <c r="B258" s="28" t="s">
        <v>5162</v>
      </c>
      <c r="C258" s="23" t="str">
        <f t="shared" si="1"/>
        <v>kilmer zabala</v>
      </c>
      <c r="D258" s="28" t="s">
        <v>7018</v>
      </c>
      <c r="E258" s="28" t="s">
        <v>7019</v>
      </c>
      <c r="F258" s="23">
        <f t="array" ref="F258">IFERROR(
    INDEX('Hub Interns 226'!A:A, MATCH(C258, 'Hub Interns 226'!B:B, 0)),"")</f>
        <v>49</v>
      </c>
      <c r="G258" s="23">
        <f t="array" ref="G258">IFERROR(
    INDEX('Hub Users 226'!A:A, MATCH(C258, 'Hub Users 226'!B:B, 0)),"")</f>
        <v>482</v>
      </c>
      <c r="H258" s="28">
        <v>922.0</v>
      </c>
      <c r="I258" s="28" t="s">
        <v>239</v>
      </c>
      <c r="J258" s="28" t="s">
        <v>5336</v>
      </c>
      <c r="K258" s="28" t="s">
        <v>5177</v>
      </c>
      <c r="L258" s="28" t="s">
        <v>5165</v>
      </c>
      <c r="M258" s="56" t="s">
        <v>7020</v>
      </c>
      <c r="N258" s="57">
        <v>44603.44652777778</v>
      </c>
      <c r="O258" s="58">
        <v>38421.0</v>
      </c>
      <c r="P258" s="28">
        <f t="shared" si="11"/>
        <v>21</v>
      </c>
      <c r="Q258" s="28" t="s">
        <v>240</v>
      </c>
      <c r="R258" s="28" t="s">
        <v>7021</v>
      </c>
      <c r="S258" s="28">
        <v>7.0</v>
      </c>
      <c r="T258" s="28">
        <v>18.0</v>
      </c>
      <c r="U258" s="28">
        <v>54.0</v>
      </c>
      <c r="V258" s="28">
        <v>37.0</v>
      </c>
      <c r="W258" s="28" t="s">
        <v>294</v>
      </c>
      <c r="X258" s="28" t="s">
        <v>272</v>
      </c>
      <c r="Y258" s="28" t="s">
        <v>7022</v>
      </c>
      <c r="Z258" s="28" t="s">
        <v>5259</v>
      </c>
      <c r="AA258" s="28" t="s">
        <v>704</v>
      </c>
      <c r="AB258" s="28">
        <v>2.0</v>
      </c>
      <c r="AC258" s="28" t="s">
        <v>24</v>
      </c>
      <c r="AD258" s="23"/>
      <c r="AE258" s="28" t="s">
        <v>10</v>
      </c>
      <c r="AF258" s="23"/>
      <c r="AG258" s="23"/>
      <c r="AH258" s="23" t="str">
        <f>IFERROR(__xludf.DUMMYFUNCTION("IF(
ISNUMBER(MATCH(
C258,
IMPORTRANGE(""https://docs.google.com/spreadsheets/d/1yTh1ELC33JHYOeEdgIiEclxPRyh0zOKtlawDltfUay8"",""'Interns'!A:A""),
0
)),
""Outreach Conducted"",
"""")"),"")</f>
        <v/>
      </c>
      <c r="AI258" s="23"/>
      <c r="AJ258" s="23"/>
      <c r="AK258" s="23" t="str">
        <f>IFERROR(__xludf.DUMMYFUNCTION("XLOOKUP(C258, 
   IMPORTRANGE(""1RdEdgHYrZ33LJ7RUHj_h-qkAFL92bcVjtIdVa-UlsCw"", ""Interns!D:D""), 
   IMPORTRANGE(""1RdEdgHYrZ33LJ7RUHj_h-qkAFL92bcVjtIdVa-UlsCw"", ""Interns!M:M""), 
   ""Not Found"")"),"")</f>
        <v/>
      </c>
      <c r="AL258" s="23" t="str">
        <f>IFERROR(__xludf.DUMMYFUNCTION("XLOOKUP(C258, 
   IMPORTRANGE(""1RdEdgHYrZ33LJ7RUHj_h-qkAFL92bcVjtIdVa-UlsCw"", ""Interns!D:D""), 
   IMPORTRANGE(""1RdEdgHYrZ33LJ7RUHj_h-qkAFL92bcVjtIdVa-UlsCw"", ""Interns!N:N""), 
   ""Not Found"")"),"")</f>
        <v/>
      </c>
      <c r="AM258" s="23" t="str">
        <f>IFERROR(__xludf.DUMMYFUNCTION("XLOOKUP(C258, 
   IMPORTRANGE(""1RdEdgHYrZ33LJ7RUHj_h-qkAFL92bcVjtIdVa-UlsCw"", ""Interns!D:D""), 
   IMPORTRANGE(""1RdEdgHYrZ33LJ7RUHj_h-qkAFL92bcVjtIdVa-UlsCw"", ""Interns!O:O""), 
   ""Not Found"")"),"")</f>
        <v/>
      </c>
      <c r="AN258" s="23"/>
      <c r="AO258" s="23" t="s">
        <v>7023</v>
      </c>
      <c r="AP258" s="28" t="s">
        <v>5191</v>
      </c>
      <c r="AQ258" s="28"/>
      <c r="AR258" s="23"/>
      <c r="AS258" s="23"/>
      <c r="AT258" s="23"/>
      <c r="AU258" s="23"/>
      <c r="AV258" s="23"/>
    </row>
    <row r="259">
      <c r="A259" s="28" t="s">
        <v>5202</v>
      </c>
      <c r="B259" s="28" t="s">
        <v>5162</v>
      </c>
      <c r="C259" s="23" t="str">
        <f t="shared" si="1"/>
        <v>Dayra Taveras</v>
      </c>
      <c r="D259" s="28" t="s">
        <v>6825</v>
      </c>
      <c r="E259" s="28" t="s">
        <v>7024</v>
      </c>
      <c r="F259" s="23">
        <f t="array" ref="F259">IFERROR(
    INDEX('Hub Interns 226'!A:A, MATCH(C259, 'Hub Interns 226'!B:B, 0)),"")</f>
        <v>1295</v>
      </c>
      <c r="G259" s="23">
        <f t="array" ref="G259">IFERROR(
    INDEX('Hub Users 226'!A:A, MATCH(C259, 'Hub Users 226'!B:B, 0)),"")</f>
        <v>1789</v>
      </c>
      <c r="H259" s="28">
        <v>1674.0</v>
      </c>
      <c r="I259" s="28" t="s">
        <v>260</v>
      </c>
      <c r="J259" s="28" t="s">
        <v>5336</v>
      </c>
      <c r="K259" s="28" t="s">
        <v>5177</v>
      </c>
      <c r="L259" s="28" t="s">
        <v>5196</v>
      </c>
      <c r="M259" s="56" t="s">
        <v>7025</v>
      </c>
      <c r="N259" s="59">
        <v>45225.05</v>
      </c>
      <c r="O259" s="58">
        <v>39986.0</v>
      </c>
      <c r="P259" s="28">
        <f t="shared" si="11"/>
        <v>16</v>
      </c>
      <c r="Q259" s="28" t="s">
        <v>240</v>
      </c>
      <c r="R259" s="28" t="s">
        <v>7026</v>
      </c>
      <c r="S259" s="28">
        <v>13.0</v>
      </c>
      <c r="T259" s="28">
        <v>33.0</v>
      </c>
      <c r="U259" s="28">
        <v>78.0</v>
      </c>
      <c r="V259" s="28">
        <v>14.0</v>
      </c>
      <c r="W259" s="28" t="s">
        <v>859</v>
      </c>
      <c r="X259" s="28" t="s">
        <v>272</v>
      </c>
      <c r="Y259" s="23"/>
      <c r="Z259" s="28" t="s">
        <v>5918</v>
      </c>
      <c r="AA259" s="28" t="s">
        <v>477</v>
      </c>
      <c r="AB259" s="28">
        <v>15.0</v>
      </c>
      <c r="AC259" s="28" t="s">
        <v>25</v>
      </c>
      <c r="AD259" s="23"/>
      <c r="AE259" s="28" t="s">
        <v>18</v>
      </c>
      <c r="AF259" s="23" t="str">
        <f>IFERROR(__xludf.DUMMYFUNCTION("TEXTJOIN("", "", TRUE,
  FILTER(Champions!C:C,
    ISNUMBER(SEARCH(C259, Champions!W:W))
  )
)"),"Luz Santana")</f>
        <v>Luz Santana</v>
      </c>
      <c r="AG259" s="23"/>
      <c r="AH259" s="23" t="str">
        <f>IFERROR(__xludf.DUMMYFUNCTION("IF(
ISNUMBER(MATCH(
C259,
IMPORTRANGE(""https://docs.google.com/spreadsheets/d/1yTh1ELC33JHYOeEdgIiEclxPRyh0zOKtlawDltfUay8"",""'Interns'!A:A""),
0
)),
""Outreach Conducted"",
"""")"),"")</f>
        <v/>
      </c>
      <c r="AI259" s="23"/>
      <c r="AJ259" s="23"/>
      <c r="AK259" s="23" t="str">
        <f>IFERROR(__xludf.DUMMYFUNCTION("XLOOKUP(C259, 
   IMPORTRANGE(""1RdEdgHYrZ33LJ7RUHj_h-qkAFL92bcVjtIdVa-UlsCw"", ""Interns!D:D""), 
   IMPORTRANGE(""1RdEdgHYrZ33LJ7RUHj_h-qkAFL92bcVjtIdVa-UlsCw"", ""Interns!M:M""), 
   ""Not Found"")"),"")</f>
        <v/>
      </c>
      <c r="AL259" s="23" t="str">
        <f>IFERROR(__xludf.DUMMYFUNCTION("XLOOKUP(C259, 
   IMPORTRANGE(""1RdEdgHYrZ33LJ7RUHj_h-qkAFL92bcVjtIdVa-UlsCw"", ""Interns!D:D""), 
   IMPORTRANGE(""1RdEdgHYrZ33LJ7RUHj_h-qkAFL92bcVjtIdVa-UlsCw"", ""Interns!N:N""), 
   ""Not Found"")"),"")</f>
        <v/>
      </c>
      <c r="AM259" s="23" t="str">
        <f>IFERROR(__xludf.DUMMYFUNCTION("XLOOKUP(C259, 
   IMPORTRANGE(""1RdEdgHYrZ33LJ7RUHj_h-qkAFL92bcVjtIdVa-UlsCw"", ""Interns!D:D""), 
   IMPORTRANGE(""1RdEdgHYrZ33LJ7RUHj_h-qkAFL92bcVjtIdVa-UlsCw"", ""Interns!O:O""), 
   ""Not Found"")"),"")</f>
        <v/>
      </c>
      <c r="AN259" s="23"/>
      <c r="AO259" s="23" t="s">
        <v>7027</v>
      </c>
      <c r="AP259" s="28" t="s">
        <v>7025</v>
      </c>
      <c r="AQ259" s="28" t="s">
        <v>7025</v>
      </c>
      <c r="AR259" s="23" t="s">
        <v>7028</v>
      </c>
      <c r="AS259" s="23"/>
      <c r="AT259" s="23"/>
      <c r="AU259" s="23"/>
      <c r="AV259" s="23"/>
    </row>
    <row r="260">
      <c r="A260" s="28" t="s">
        <v>5202</v>
      </c>
      <c r="B260" s="28" t="s">
        <v>5162</v>
      </c>
      <c r="C260" s="23" t="str">
        <f t="shared" si="1"/>
        <v>Lizyanny Prandy</v>
      </c>
      <c r="D260" s="28" t="s">
        <v>7029</v>
      </c>
      <c r="E260" s="28" t="s">
        <v>7030</v>
      </c>
      <c r="F260" s="23">
        <f t="array" ref="F260">IFERROR(
    INDEX('Hub Interns 226'!A:A, MATCH(C260, 'Hub Interns 226'!B:B, 0)),"")</f>
        <v>790</v>
      </c>
      <c r="G260" s="23">
        <f t="array" ref="G260">IFERROR(
    INDEX('Hub Users 226'!A:A, MATCH(C260, 'Hub Users 226'!B:B, 0)),"")</f>
        <v>1223</v>
      </c>
      <c r="H260" s="28">
        <v>1052.0</v>
      </c>
      <c r="I260" s="28" t="s">
        <v>260</v>
      </c>
      <c r="J260" s="28" t="s">
        <v>5336</v>
      </c>
      <c r="K260" s="28" t="s">
        <v>5177</v>
      </c>
      <c r="L260" s="28" t="s">
        <v>5196</v>
      </c>
      <c r="M260" s="56" t="s">
        <v>7031</v>
      </c>
      <c r="N260" s="57">
        <v>44684.84375</v>
      </c>
      <c r="O260" s="58">
        <v>38758.0</v>
      </c>
      <c r="P260" s="28">
        <f t="shared" si="11"/>
        <v>20</v>
      </c>
      <c r="Q260" s="28" t="s">
        <v>240</v>
      </c>
      <c r="R260" s="28" t="s">
        <v>7032</v>
      </c>
      <c r="S260" s="28">
        <v>15.0</v>
      </c>
      <c r="T260" s="28">
        <v>33.0</v>
      </c>
      <c r="U260" s="28">
        <v>78.0</v>
      </c>
      <c r="V260" s="28">
        <v>15.0</v>
      </c>
      <c r="W260" s="28" t="s">
        <v>859</v>
      </c>
      <c r="X260" s="28" t="s">
        <v>272</v>
      </c>
      <c r="Y260" s="28" t="s">
        <v>7033</v>
      </c>
      <c r="Z260" s="28" t="s">
        <v>5310</v>
      </c>
      <c r="AA260" s="28" t="s">
        <v>362</v>
      </c>
      <c r="AB260" s="28">
        <v>16.0</v>
      </c>
      <c r="AC260" s="28" t="s">
        <v>24</v>
      </c>
      <c r="AD260" s="23"/>
      <c r="AE260" s="28" t="s">
        <v>10</v>
      </c>
      <c r="AF260" s="23"/>
      <c r="AG260" s="23"/>
      <c r="AH260" s="23" t="str">
        <f>IFERROR(__xludf.DUMMYFUNCTION("IF(
ISNUMBER(MATCH(
C260,
IMPORTRANGE(""https://docs.google.com/spreadsheets/d/1yTh1ELC33JHYOeEdgIiEclxPRyh0zOKtlawDltfUay8"",""'Interns'!A:A""),
0
)),
""Outreach Conducted"",
"""")"),"")</f>
        <v/>
      </c>
      <c r="AI260" s="23"/>
      <c r="AJ260" s="23"/>
      <c r="AK260" s="23" t="str">
        <f>IFERROR(__xludf.DUMMYFUNCTION("XLOOKUP(C260, 
   IMPORTRANGE(""1RdEdgHYrZ33LJ7RUHj_h-qkAFL92bcVjtIdVa-UlsCw"", ""Interns!D:D""), 
   IMPORTRANGE(""1RdEdgHYrZ33LJ7RUHj_h-qkAFL92bcVjtIdVa-UlsCw"", ""Interns!M:M""), 
   ""Not Found"")"),"")</f>
        <v/>
      </c>
      <c r="AL260" s="23" t="str">
        <f>IFERROR(__xludf.DUMMYFUNCTION("XLOOKUP(C260, 
   IMPORTRANGE(""1RdEdgHYrZ33LJ7RUHj_h-qkAFL92bcVjtIdVa-UlsCw"", ""Interns!D:D""), 
   IMPORTRANGE(""1RdEdgHYrZ33LJ7RUHj_h-qkAFL92bcVjtIdVa-UlsCw"", ""Interns!N:N""), 
   ""Not Found"")"),"")</f>
        <v/>
      </c>
      <c r="AM260" s="23" t="str">
        <f>IFERROR(__xludf.DUMMYFUNCTION("XLOOKUP(C260, 
   IMPORTRANGE(""1RdEdgHYrZ33LJ7RUHj_h-qkAFL92bcVjtIdVa-UlsCw"", ""Interns!D:D""), 
   IMPORTRANGE(""1RdEdgHYrZ33LJ7RUHj_h-qkAFL92bcVjtIdVa-UlsCw"", ""Interns!O:O""), 
   ""Not Found"")"),"")</f>
        <v/>
      </c>
      <c r="AN260" s="23"/>
      <c r="AO260" s="23" t="s">
        <v>7034</v>
      </c>
      <c r="AP260" s="28" t="s">
        <v>5182</v>
      </c>
      <c r="AQ260" s="28"/>
      <c r="AR260" s="23"/>
      <c r="AS260" s="23"/>
      <c r="AT260" s="23"/>
      <c r="AU260" s="23"/>
      <c r="AV260" s="23"/>
    </row>
    <row r="261">
      <c r="A261" s="28" t="s">
        <v>5161</v>
      </c>
      <c r="B261" s="28" t="s">
        <v>5162</v>
      </c>
      <c r="C261" s="23" t="str">
        <f t="shared" si="1"/>
        <v>Chrisnelly Garcia</v>
      </c>
      <c r="D261" s="28" t="s">
        <v>7035</v>
      </c>
      <c r="E261" s="28" t="s">
        <v>1484</v>
      </c>
      <c r="F261" s="23">
        <f t="array" ref="F261">IFERROR(
    INDEX('Hub Interns 226'!A:A, MATCH(C261, 'Hub Interns 226'!B:B, 0)),"")</f>
        <v>362</v>
      </c>
      <c r="G261" s="23">
        <f t="array" ref="G261">IFERROR(
    INDEX('Hub Users 226'!A:A, MATCH(C261, 'Hub Users 226'!B:B, 0)),"")</f>
        <v>795</v>
      </c>
      <c r="H261" s="28">
        <v>1437.0</v>
      </c>
      <c r="I261" s="28" t="s">
        <v>417</v>
      </c>
      <c r="J261" s="28" t="s">
        <v>5336</v>
      </c>
      <c r="K261" s="28" t="s">
        <v>5177</v>
      </c>
      <c r="L261" s="28" t="s">
        <v>5196</v>
      </c>
      <c r="M261" s="56" t="s">
        <v>7036</v>
      </c>
      <c r="N261" s="59">
        <v>44882.46041666667</v>
      </c>
      <c r="O261" s="58">
        <v>38854.0</v>
      </c>
      <c r="P261" s="28">
        <f t="shared" si="11"/>
        <v>20</v>
      </c>
      <c r="Q261" s="28" t="s">
        <v>7037</v>
      </c>
      <c r="R261" s="28">
        <v>10453.0</v>
      </c>
      <c r="S261" s="28"/>
      <c r="T261" s="28"/>
      <c r="U261" s="28"/>
      <c r="V261" s="28"/>
      <c r="W261" s="28" t="s">
        <v>859</v>
      </c>
      <c r="X261" s="28" t="s">
        <v>272</v>
      </c>
      <c r="Y261" s="28" t="s">
        <v>7038</v>
      </c>
      <c r="Z261" s="28" t="s">
        <v>5341</v>
      </c>
      <c r="AA261" s="28" t="s">
        <v>1085</v>
      </c>
      <c r="AB261" s="28">
        <v>10.0</v>
      </c>
      <c r="AC261" s="28" t="s">
        <v>25</v>
      </c>
      <c r="AD261" s="23"/>
      <c r="AE261" s="28" t="s">
        <v>15</v>
      </c>
      <c r="AF261" s="23" t="str">
        <f>IFERROR(__xludf.DUMMYFUNCTION("TEXTJOIN("", "", TRUE,
  FILTER(Champions!C:C,
    ISNUMBER(SEARCH(C261, Champions!W:W))
  )
)"),"Donald Johnson, Leigh Ann Wilson, Sunkyung Park")</f>
        <v>Donald Johnson, Leigh Ann Wilson, Sunkyung Park</v>
      </c>
      <c r="AG261" s="26" t="s">
        <v>5342</v>
      </c>
      <c r="AH261" s="23" t="str">
        <f>IFERROR(__xludf.DUMMYFUNCTION("IF(
ISNUMBER(MATCH(
C261,
IMPORTRANGE(""https://docs.google.com/spreadsheets/d/1yTh1ELC33JHYOeEdgIiEclxPRyh0zOKtlawDltfUay8"",""'Interns'!A:A""),
0
)),
""Outreach Conducted"",
"""")"),"")</f>
        <v/>
      </c>
      <c r="AI261" s="23"/>
      <c r="AJ261" s="23"/>
      <c r="AK261" s="23" t="str">
        <f>IFERROR(__xludf.DUMMYFUNCTION("XLOOKUP(C261, 
   IMPORTRANGE(""1RdEdgHYrZ33LJ7RUHj_h-qkAFL92bcVjtIdVa-UlsCw"", ""Interns!D:D""), 
   IMPORTRANGE(""1RdEdgHYrZ33LJ7RUHj_h-qkAFL92bcVjtIdVa-UlsCw"", ""Interns!M:M""), 
   ""Not Found"")"),"Contacted")</f>
        <v>Contacted</v>
      </c>
      <c r="AL261" s="23" t="str">
        <f>IFERROR(__xludf.DUMMYFUNCTION("XLOOKUP(C261, 
   IMPORTRANGE(""1RdEdgHYrZ33LJ7RUHj_h-qkAFL92bcVjtIdVa-UlsCw"", ""Interns!D:D""), 
   IMPORTRANGE(""1RdEdgHYrZ33LJ7RUHj_h-qkAFL92bcVjtIdVa-UlsCw"", ""Interns!N:N""), 
   ""Not Found"")"),"#Cheers4Careers")</f>
        <v>#Cheers4Careers</v>
      </c>
      <c r="AM261" s="23" t="str">
        <f>IFERROR(__xludf.DUMMYFUNCTION("XLOOKUP(C261, 
   IMPORTRANGE(""1RdEdgHYrZ33LJ7RUHj_h-qkAFL92bcVjtIdVa-UlsCw"", ""Interns!D:D""), 
   IMPORTRANGE(""1RdEdgHYrZ33LJ7RUHj_h-qkAFL92bcVjtIdVa-UlsCw"", ""Interns!O:O""), 
   ""Not Found"")"),"Texted on April 12 for #Cheers4Careers event")</f>
        <v>Texted on April 12 for #Cheers4Careers event</v>
      </c>
      <c r="AN261" s="23"/>
      <c r="AO261" s="23" t="s">
        <v>7039</v>
      </c>
      <c r="AP261" s="28" t="s">
        <v>5182</v>
      </c>
      <c r="AQ261" s="28" t="s">
        <v>7036</v>
      </c>
      <c r="AR261" s="23" t="s">
        <v>7040</v>
      </c>
      <c r="AS261" s="23"/>
      <c r="AT261" s="23"/>
      <c r="AU261" s="23"/>
      <c r="AV261" s="23"/>
    </row>
    <row r="262">
      <c r="A262" s="28" t="s">
        <v>5161</v>
      </c>
      <c r="B262" s="28" t="s">
        <v>5162</v>
      </c>
      <c r="C262" s="23" t="str">
        <f t="shared" si="1"/>
        <v>Aaliyah Aybar</v>
      </c>
      <c r="D262" s="28" t="s">
        <v>7041</v>
      </c>
      <c r="E262" s="28" t="s">
        <v>7042</v>
      </c>
      <c r="F262" s="23">
        <f t="array" ref="F262">IFERROR(
    INDEX('Hub Interns 226'!A:A, MATCH(C262, 'Hub Interns 226'!B:B, 0)),"")</f>
        <v>128</v>
      </c>
      <c r="G262" s="23">
        <f t="array" ref="G262">IFERROR(
    INDEX('Hub Users 226'!A:A, MATCH(C262, 'Hub Users 226'!B:B, 0)),"")</f>
        <v>561</v>
      </c>
      <c r="H262" s="28">
        <v>866.0</v>
      </c>
      <c r="I262" s="28" t="s">
        <v>260</v>
      </c>
      <c r="J262" s="28" t="s">
        <v>5336</v>
      </c>
      <c r="K262" s="28" t="s">
        <v>5177</v>
      </c>
      <c r="L262" s="28" t="s">
        <v>5196</v>
      </c>
      <c r="M262" s="56" t="s">
        <v>7043</v>
      </c>
      <c r="N262" s="57">
        <v>44595.958333333336</v>
      </c>
      <c r="O262" s="58">
        <v>38371.0</v>
      </c>
      <c r="P262" s="28">
        <f t="shared" si="11"/>
        <v>21</v>
      </c>
      <c r="Q262" s="28" t="s">
        <v>7044</v>
      </c>
      <c r="R262" s="28">
        <v>10457.0</v>
      </c>
      <c r="S262" s="28"/>
      <c r="T262" s="28"/>
      <c r="U262" s="28"/>
      <c r="V262" s="28"/>
      <c r="W262" s="28" t="s">
        <v>859</v>
      </c>
      <c r="X262" s="28" t="s">
        <v>272</v>
      </c>
      <c r="Y262" s="28" t="s">
        <v>7045</v>
      </c>
      <c r="Z262" s="28" t="s">
        <v>5310</v>
      </c>
      <c r="AA262" s="28" t="s">
        <v>362</v>
      </c>
      <c r="AB262" s="28">
        <v>16.0</v>
      </c>
      <c r="AC262" s="28" t="s">
        <v>25</v>
      </c>
      <c r="AD262" s="28" t="s">
        <v>101</v>
      </c>
      <c r="AE262" s="28" t="s">
        <v>10</v>
      </c>
      <c r="AF262" s="23" t="str">
        <f>IFERROR(__xludf.DUMMYFUNCTION("TEXTJOIN("", "", TRUE,
  FILTER(Champions!C:C,
    ISNUMBER(SEARCH(C262, Champions!W:W))
  )
)"),"Amelia Geary, Sunkyung Park")</f>
        <v>Amelia Geary, Sunkyung Park</v>
      </c>
      <c r="AG262" s="23"/>
      <c r="AH262" s="23" t="str">
        <f>IFERROR(__xludf.DUMMYFUNCTION("IF(
ISNUMBER(MATCH(
C262,
IMPORTRANGE(""https://docs.google.com/spreadsheets/d/1yTh1ELC33JHYOeEdgIiEclxPRyh0zOKtlawDltfUay8"",""'Interns'!A:A""),
0
)),
""Outreach Conducted"",
"""")"),"")</f>
        <v/>
      </c>
      <c r="AI262" s="23"/>
      <c r="AJ262" s="23"/>
      <c r="AK262" s="23" t="str">
        <f>IFERROR(__xludf.DUMMYFUNCTION("XLOOKUP(C262, 
   IMPORTRANGE(""1RdEdgHYrZ33LJ7RUHj_h-qkAFL92bcVjtIdVa-UlsCw"", ""Interns!D:D""), 
   IMPORTRANGE(""1RdEdgHYrZ33LJ7RUHj_h-qkAFL92bcVjtIdVa-UlsCw"", ""Interns!M:M""), 
   ""Not Found"")"),"")</f>
        <v/>
      </c>
      <c r="AL262" s="23" t="str">
        <f>IFERROR(__xludf.DUMMYFUNCTION("XLOOKUP(C262, 
   IMPORTRANGE(""1RdEdgHYrZ33LJ7RUHj_h-qkAFL92bcVjtIdVa-UlsCw"", ""Interns!D:D""), 
   IMPORTRANGE(""1RdEdgHYrZ33LJ7RUHj_h-qkAFL92bcVjtIdVa-UlsCw"", ""Interns!N:N""), 
   ""Not Found"")"),"#SpeakingMyName, #Cheers4Careers")</f>
        <v>#SpeakingMyName, #Cheers4Careers</v>
      </c>
      <c r="AM262" s="23" t="str">
        <f>IFERROR(__xludf.DUMMYFUNCTION("XLOOKUP(C262, 
   IMPORTRANGE(""1RdEdgHYrZ33LJ7RUHj_h-qkAFL92bcVjtIdVa-UlsCw"", ""Interns!D:D""), 
   IMPORTRANGE(""1RdEdgHYrZ33LJ7RUHj_h-qkAFL92bcVjtIdVa-UlsCw"", ""Interns!O:O""), 
   ""Not Found"")"),"Ousmane reached out on 04/28 by text about the Cheers4careers May 24th.
Alicia reached out by email on 5/15 for #SpeakingMyName")</f>
        <v>Ousmane reached out on 04/28 by text about the Cheers4careers May 24th.
Alicia reached out by email on 5/15 for #SpeakingMyName</v>
      </c>
      <c r="AN262" s="23"/>
      <c r="AO262" s="23" t="s">
        <v>265</v>
      </c>
      <c r="AP262" s="28" t="s">
        <v>5191</v>
      </c>
      <c r="AQ262" s="28" t="s">
        <v>7043</v>
      </c>
      <c r="AR262" s="23" t="s">
        <v>7046</v>
      </c>
      <c r="AS262" s="23"/>
      <c r="AT262" s="23"/>
      <c r="AU262" s="23"/>
      <c r="AV262" s="23"/>
    </row>
    <row r="263">
      <c r="A263" s="28" t="s">
        <v>5161</v>
      </c>
      <c r="B263" s="28" t="s">
        <v>5162</v>
      </c>
      <c r="C263" s="23" t="str">
        <f t="shared" si="1"/>
        <v>Norvia Tavarez</v>
      </c>
      <c r="D263" s="28" t="s">
        <v>7047</v>
      </c>
      <c r="E263" s="28" t="s">
        <v>7048</v>
      </c>
      <c r="F263" s="23">
        <f t="array" ref="F263">IFERROR(
    INDEX('Hub Interns 226'!A:A, MATCH(C263, 'Hub Interns 226'!B:B, 0)),"")</f>
        <v>953</v>
      </c>
      <c r="G263" s="23">
        <f t="array" ref="G263">IFERROR(
    INDEX('Hub Users 226'!A:A, MATCH(C263, 'Hub Users 226'!B:B, 0)),"")</f>
        <v>1386</v>
      </c>
      <c r="H263" s="28">
        <v>497.0</v>
      </c>
      <c r="I263" s="28" t="s">
        <v>290</v>
      </c>
      <c r="J263" s="28" t="s">
        <v>5336</v>
      </c>
      <c r="K263" s="28" t="s">
        <v>5177</v>
      </c>
      <c r="L263" s="28" t="s">
        <v>5196</v>
      </c>
      <c r="M263" s="56" t="s">
        <v>7049</v>
      </c>
      <c r="N263" s="57">
        <v>44475.65416666667</v>
      </c>
      <c r="O263" s="58">
        <v>39497.0</v>
      </c>
      <c r="P263" s="28">
        <f t="shared" si="11"/>
        <v>18</v>
      </c>
      <c r="Q263" s="28" t="s">
        <v>7050</v>
      </c>
      <c r="R263" s="28">
        <v>10467.0</v>
      </c>
      <c r="S263" s="28"/>
      <c r="T263" s="28"/>
      <c r="U263" s="28"/>
      <c r="V263" s="28"/>
      <c r="W263" s="28" t="s">
        <v>859</v>
      </c>
      <c r="X263" s="28" t="s">
        <v>272</v>
      </c>
      <c r="Y263" s="28" t="s">
        <v>7051</v>
      </c>
      <c r="Z263" s="28" t="s">
        <v>5918</v>
      </c>
      <c r="AA263" s="28" t="s">
        <v>477</v>
      </c>
      <c r="AB263" s="28">
        <v>15.0</v>
      </c>
      <c r="AC263" s="28" t="s">
        <v>25</v>
      </c>
      <c r="AD263" s="23"/>
      <c r="AE263" s="26" t="s">
        <v>12</v>
      </c>
      <c r="AF263" s="23" t="str">
        <f>IFERROR(__xludf.DUMMYFUNCTION("TEXTJOIN("", "", TRUE,
  FILTER(Champions!C:C,
    ISNUMBER(SEARCH(C263, Champions!W:W))
  )
)"),"Addy Michelle Jimenez Haga, Lamon Chapman, Luz Santana, Scotney Young, Michelle Castillo, Esteban Proaño")</f>
        <v>Addy Michelle Jimenez Haga, Lamon Chapman, Luz Santana, Scotney Young, Michelle Castillo, Esteban Proaño</v>
      </c>
      <c r="AG263" s="23"/>
      <c r="AH263" s="23" t="str">
        <f>IFERROR(__xludf.DUMMYFUNCTION("IF(
ISNUMBER(MATCH(
C263,
IMPORTRANGE(""https://docs.google.com/spreadsheets/d/1yTh1ELC33JHYOeEdgIiEclxPRyh0zOKtlawDltfUay8"",""'Interns'!A:A""),
0
)),
""Outreach Conducted"",
"""")"),"")</f>
        <v/>
      </c>
      <c r="AI263" s="23"/>
      <c r="AJ263" s="23"/>
      <c r="AK263" s="23" t="str">
        <f>IFERROR(__xludf.DUMMYFUNCTION("XLOOKUP(C263, 
   IMPORTRANGE(""1RdEdgHYrZ33LJ7RUHj_h-qkAFL92bcVjtIdVa-UlsCw"", ""Interns!D:D""), 
   IMPORTRANGE(""1RdEdgHYrZ33LJ7RUHj_h-qkAFL92bcVjtIdVa-UlsCw"", ""Interns!M:M""), 
   ""Not Found"")"),"")</f>
        <v/>
      </c>
      <c r="AL263" s="23" t="str">
        <f>IFERROR(__xludf.DUMMYFUNCTION("XLOOKUP(C263, 
   IMPORTRANGE(""1RdEdgHYrZ33LJ7RUHj_h-qkAFL92bcVjtIdVa-UlsCw"", ""Interns!D:D""), 
   IMPORTRANGE(""1RdEdgHYrZ33LJ7RUHj_h-qkAFL92bcVjtIdVa-UlsCw"", ""Interns!N:N""), 
   ""Not Found"")"),"")</f>
        <v/>
      </c>
      <c r="AM263" s="23" t="str">
        <f>IFERROR(__xludf.DUMMYFUNCTION("XLOOKUP(C263, 
   IMPORTRANGE(""1RdEdgHYrZ33LJ7RUHj_h-qkAFL92bcVjtIdVa-UlsCw"", ""Interns!D:D""), 
   IMPORTRANGE(""1RdEdgHYrZ33LJ7RUHj_h-qkAFL92bcVjtIdVa-UlsCw"", ""Interns!O:O""), 
   ""Not Found"")"),"")</f>
        <v/>
      </c>
      <c r="AN263" s="23"/>
      <c r="AO263" s="23" t="s">
        <v>6470</v>
      </c>
      <c r="AP263" s="28" t="s">
        <v>5182</v>
      </c>
      <c r="AQ263" s="28" t="s">
        <v>7052</v>
      </c>
      <c r="AR263" s="23" t="s">
        <v>7053</v>
      </c>
      <c r="AS263" s="23"/>
      <c r="AT263" s="23"/>
      <c r="AU263" s="23"/>
      <c r="AV263" s="23"/>
    </row>
    <row r="264">
      <c r="A264" s="28" t="s">
        <v>5161</v>
      </c>
      <c r="B264" s="28" t="s">
        <v>5162</v>
      </c>
      <c r="C264" s="23" t="str">
        <f t="shared" si="1"/>
        <v>Genesis Mercado</v>
      </c>
      <c r="D264" s="28" t="s">
        <v>6519</v>
      </c>
      <c r="E264" s="28" t="s">
        <v>7054</v>
      </c>
      <c r="F264" s="23">
        <f t="array" ref="F264">IFERROR(
    INDEX('Hub Interns 226'!A:A, MATCH(C264, 'Hub Interns 226'!B:B, 0)),"")</f>
        <v>550</v>
      </c>
      <c r="G264" s="23">
        <f t="array" ref="G264">IFERROR(
    INDEX('Hub Users 226'!A:A, MATCH(C264, 'Hub Users 226'!B:B, 0)),"")</f>
        <v>983</v>
      </c>
      <c r="H264" s="28">
        <v>705.0</v>
      </c>
      <c r="I264" s="28" t="s">
        <v>417</v>
      </c>
      <c r="J264" s="28" t="s">
        <v>5336</v>
      </c>
      <c r="K264" s="28" t="s">
        <v>5177</v>
      </c>
      <c r="L264" s="28" t="s">
        <v>5196</v>
      </c>
      <c r="M264" s="56" t="s">
        <v>7055</v>
      </c>
      <c r="N264" s="59">
        <v>44546.84166666667</v>
      </c>
      <c r="O264" s="58">
        <v>38889.0</v>
      </c>
      <c r="P264" s="28">
        <f t="shared" si="11"/>
        <v>19</v>
      </c>
      <c r="Q264" s="28" t="s">
        <v>7056</v>
      </c>
      <c r="R264" s="28" t="s">
        <v>7057</v>
      </c>
      <c r="S264" s="28">
        <v>13.0</v>
      </c>
      <c r="T264" s="28">
        <v>31.0</v>
      </c>
      <c r="U264" s="28">
        <v>72.0</v>
      </c>
      <c r="V264" s="28">
        <v>10.0</v>
      </c>
      <c r="W264" s="28" t="s">
        <v>271</v>
      </c>
      <c r="X264" s="28" t="s">
        <v>272</v>
      </c>
      <c r="Y264" s="28" t="s">
        <v>7058</v>
      </c>
      <c r="Z264" s="28" t="s">
        <v>5341</v>
      </c>
      <c r="AA264" s="28" t="s">
        <v>1085</v>
      </c>
      <c r="AB264" s="28">
        <v>10.0</v>
      </c>
      <c r="AC264" s="28" t="s">
        <v>25</v>
      </c>
      <c r="AD264" s="23"/>
      <c r="AE264" s="26" t="s">
        <v>12</v>
      </c>
      <c r="AF264" s="23" t="str">
        <f>IFERROR(__xludf.DUMMYFUNCTION("TEXTJOIN("", "", TRUE,
  FILTER(Champions!C:C,
    ISNUMBER(SEARCH(C264, Champions!W:W))
  )
)"),"Leigh Ann Wilson, Louise Malone, Maha Khalawi, Oheneba Afriyie, Ryane Montanez")</f>
        <v>Leigh Ann Wilson, Louise Malone, Maha Khalawi, Oheneba Afriyie, Ryane Montanez</v>
      </c>
      <c r="AG264" s="23"/>
      <c r="AH264" s="23" t="str">
        <f>IFERROR(__xludf.DUMMYFUNCTION("IF(
ISNUMBER(MATCH(
C264,
IMPORTRANGE(""https://docs.google.com/spreadsheets/d/1yTh1ELC33JHYOeEdgIiEclxPRyh0zOKtlawDltfUay8"",""'Interns'!A:A""),
0
)),
""Outreach Conducted"",
"""")"),"")</f>
        <v/>
      </c>
      <c r="AI264" s="23"/>
      <c r="AJ264" s="23"/>
      <c r="AK264" s="23" t="str">
        <f>IFERROR(__xludf.DUMMYFUNCTION("XLOOKUP(C264, 
   IMPORTRANGE(""1RdEdgHYrZ33LJ7RUHj_h-qkAFL92bcVjtIdVa-UlsCw"", ""Interns!D:D""), 
   IMPORTRANGE(""1RdEdgHYrZ33LJ7RUHj_h-qkAFL92bcVjtIdVa-UlsCw"", ""Interns!M:M""), 
   ""Not Found"")"),"Contacted")</f>
        <v>Contacted</v>
      </c>
      <c r="AL264" s="23" t="str">
        <f>IFERROR(__xludf.DUMMYFUNCTION("XLOOKUP(C264, 
   IMPORTRANGE(""1RdEdgHYrZ33LJ7RUHj_h-qkAFL92bcVjtIdVa-UlsCw"", ""Interns!D:D""), 
   IMPORTRANGE(""1RdEdgHYrZ33LJ7RUHj_h-qkAFL92bcVjtIdVa-UlsCw"", ""Interns!N:N""), 
   ""Not Found"")"),"#Cheers4Careers")</f>
        <v>#Cheers4Careers</v>
      </c>
      <c r="AM264" s="23" t="str">
        <f>IFERROR(__xludf.DUMMYFUNCTION("XLOOKUP(C264, 
   IMPORTRANGE(""1RdEdgHYrZ33LJ7RUHj_h-qkAFL92bcVjtIdVa-UlsCw"", ""Interns!D:D""), 
   IMPORTRANGE(""1RdEdgHYrZ33LJ7RUHj_h-qkAFL92bcVjtIdVa-UlsCw"", ""Interns!O:O""), 
   ""Not Found"")"),"Texted on April 12 for #Cheers4Careers event")</f>
        <v>Texted on April 12 for #Cheers4Careers event</v>
      </c>
      <c r="AN264" s="23"/>
      <c r="AO264" s="23" t="s">
        <v>7059</v>
      </c>
      <c r="AP264" s="28" t="s">
        <v>5182</v>
      </c>
      <c r="AQ264" s="28" t="s">
        <v>7060</v>
      </c>
      <c r="AR264" s="23" t="s">
        <v>7061</v>
      </c>
      <c r="AS264" s="23"/>
      <c r="AT264" s="23"/>
      <c r="AU264" s="23"/>
      <c r="AV264" s="23"/>
    </row>
    <row r="265">
      <c r="A265" s="28" t="s">
        <v>5202</v>
      </c>
      <c r="B265" s="28" t="s">
        <v>5162</v>
      </c>
      <c r="C265" s="23" t="str">
        <f t="shared" si="1"/>
        <v>Raderly Morel</v>
      </c>
      <c r="D265" s="28" t="s">
        <v>7062</v>
      </c>
      <c r="E265" s="28" t="s">
        <v>7063</v>
      </c>
      <c r="F265" s="23">
        <f t="array" ref="F265">IFERROR(
    INDEX('Hub Interns 226'!A:A, MATCH(C265, 'Hub Interns 226'!B:B, 0)),"")</f>
        <v>1029</v>
      </c>
      <c r="G265" s="23">
        <f t="array" ref="G265">IFERROR(
    INDEX('Hub Users 226'!A:A, MATCH(C265, 'Hub Users 226'!B:B, 0)),"")</f>
        <v>1462</v>
      </c>
      <c r="H265" s="28">
        <v>272.0</v>
      </c>
      <c r="I265" s="28" t="s">
        <v>260</v>
      </c>
      <c r="J265" s="28" t="s">
        <v>5336</v>
      </c>
      <c r="K265" s="28" t="s">
        <v>5177</v>
      </c>
      <c r="L265" s="28" t="s">
        <v>5196</v>
      </c>
      <c r="M265" s="56" t="s">
        <v>7064</v>
      </c>
      <c r="N265" s="57">
        <v>44211.40625</v>
      </c>
      <c r="O265" s="58">
        <v>38282.0</v>
      </c>
      <c r="P265" s="28">
        <f t="shared" si="11"/>
        <v>21</v>
      </c>
      <c r="Q265" s="28" t="s">
        <v>7065</v>
      </c>
      <c r="R265" s="28" t="s">
        <v>7066</v>
      </c>
      <c r="S265" s="28">
        <v>15.0</v>
      </c>
      <c r="T265" s="28">
        <v>33.0</v>
      </c>
      <c r="U265" s="28">
        <v>86.0</v>
      </c>
      <c r="V265" s="28">
        <v>15.0</v>
      </c>
      <c r="W265" s="28" t="s">
        <v>859</v>
      </c>
      <c r="X265" s="28" t="s">
        <v>272</v>
      </c>
      <c r="Y265" s="23"/>
      <c r="Z265" s="28" t="s">
        <v>5918</v>
      </c>
      <c r="AA265" s="28" t="s">
        <v>477</v>
      </c>
      <c r="AB265" s="28">
        <v>15.0</v>
      </c>
      <c r="AC265" s="28" t="s">
        <v>25</v>
      </c>
      <c r="AD265" s="23"/>
      <c r="AE265" s="28" t="s">
        <v>8</v>
      </c>
      <c r="AF265" s="23" t="str">
        <f>IFERROR(__xludf.DUMMYFUNCTION("TEXTJOIN("", "", TRUE,
  FILTER(Champions!C:C,
    ISNUMBER(SEARCH(C265, Champions!W:W))
  )
)"),"Sara Benavent")</f>
        <v>Sara Benavent</v>
      </c>
      <c r="AG265" s="23"/>
      <c r="AH265" s="23" t="str">
        <f>IFERROR(__xludf.DUMMYFUNCTION("IF(
ISNUMBER(MATCH(
C265,
IMPORTRANGE(""https://docs.google.com/spreadsheets/d/1yTh1ELC33JHYOeEdgIiEclxPRyh0zOKtlawDltfUay8"",""'Interns'!A:A""),
0
)),
""Outreach Conducted"",
"""")"),"")</f>
        <v/>
      </c>
      <c r="AI265" s="23"/>
      <c r="AJ265" s="23"/>
      <c r="AK265" s="23" t="str">
        <f>IFERROR(__xludf.DUMMYFUNCTION("XLOOKUP(C265, 
   IMPORTRANGE(""1RdEdgHYrZ33LJ7RUHj_h-qkAFL92bcVjtIdVa-UlsCw"", ""Interns!D:D""), 
   IMPORTRANGE(""1RdEdgHYrZ33LJ7RUHj_h-qkAFL92bcVjtIdVa-UlsCw"", ""Interns!M:M""), 
   ""Not Found"")"),"")</f>
        <v/>
      </c>
      <c r="AL265" s="23" t="str">
        <f>IFERROR(__xludf.DUMMYFUNCTION("XLOOKUP(C265, 
   IMPORTRANGE(""1RdEdgHYrZ33LJ7RUHj_h-qkAFL92bcVjtIdVa-UlsCw"", ""Interns!D:D""), 
   IMPORTRANGE(""1RdEdgHYrZ33LJ7RUHj_h-qkAFL92bcVjtIdVa-UlsCw"", ""Interns!N:N""), 
   ""Not Found"")"),"")</f>
        <v/>
      </c>
      <c r="AM265" s="23" t="str">
        <f>IFERROR(__xludf.DUMMYFUNCTION("XLOOKUP(C265, 
   IMPORTRANGE(""1RdEdgHYrZ33LJ7RUHj_h-qkAFL92bcVjtIdVa-UlsCw"", ""Interns!D:D""), 
   IMPORTRANGE(""1RdEdgHYrZ33LJ7RUHj_h-qkAFL92bcVjtIdVa-UlsCw"", ""Interns!O:O""), 
   ""Not Found"")"),"")</f>
        <v/>
      </c>
      <c r="AN265" s="23"/>
      <c r="AO265" s="23" t="s">
        <v>7067</v>
      </c>
      <c r="AP265" s="28" t="s">
        <v>5182</v>
      </c>
      <c r="AQ265" s="28" t="s">
        <v>7064</v>
      </c>
      <c r="AR265" s="23">
        <v>9.294972957E9</v>
      </c>
      <c r="AS265" s="23"/>
      <c r="AT265" s="23"/>
      <c r="AU265" s="23"/>
      <c r="AV265" s="23"/>
    </row>
    <row r="266">
      <c r="A266" s="28" t="s">
        <v>5161</v>
      </c>
      <c r="B266" s="28" t="s">
        <v>5162</v>
      </c>
      <c r="C266" s="23" t="str">
        <f t="shared" si="1"/>
        <v>Eliana Alfonso Hernandez</v>
      </c>
      <c r="D266" s="28" t="s">
        <v>7068</v>
      </c>
      <c r="E266" s="28" t="s">
        <v>7069</v>
      </c>
      <c r="F266" s="23">
        <f t="array" ref="F266">IFERROR(
    INDEX('Hub Interns 226'!A:A, MATCH(C266, 'Hub Interns 226'!B:B, 0)),"")</f>
        <v>479</v>
      </c>
      <c r="G266" s="23">
        <f t="array" ref="G266">IFERROR(
    INDEX('Hub Users 226'!A:A, MATCH(C266, 'Hub Users 226'!B:B, 0)),"")</f>
        <v>912</v>
      </c>
      <c r="H266" s="28">
        <v>639.0</v>
      </c>
      <c r="I266" s="28" t="s">
        <v>290</v>
      </c>
      <c r="J266" s="28" t="s">
        <v>5336</v>
      </c>
      <c r="K266" s="28" t="s">
        <v>5177</v>
      </c>
      <c r="L266" s="28" t="s">
        <v>5196</v>
      </c>
      <c r="M266" s="56" t="s">
        <v>7070</v>
      </c>
      <c r="N266" s="59">
        <v>44498.50486111111</v>
      </c>
      <c r="O266" s="58">
        <v>37251.0</v>
      </c>
      <c r="P266" s="28">
        <f t="shared" si="11"/>
        <v>24</v>
      </c>
      <c r="Q266" s="28" t="s">
        <v>7071</v>
      </c>
      <c r="R266" s="28" t="s">
        <v>7072</v>
      </c>
      <c r="S266" s="28">
        <v>14.0</v>
      </c>
      <c r="T266" s="28">
        <v>13.0</v>
      </c>
      <c r="U266" s="28">
        <v>39.0</v>
      </c>
      <c r="V266" s="28">
        <v>21.0</v>
      </c>
      <c r="W266" s="28" t="s">
        <v>1173</v>
      </c>
      <c r="X266" s="28" t="s">
        <v>272</v>
      </c>
      <c r="Y266" s="28" t="s">
        <v>7073</v>
      </c>
      <c r="Z266" s="28" t="s">
        <v>5189</v>
      </c>
      <c r="AA266" s="28" t="s">
        <v>619</v>
      </c>
      <c r="AB266" s="28">
        <v>20.0</v>
      </c>
      <c r="AC266" s="28" t="s">
        <v>25</v>
      </c>
      <c r="AD266" s="23"/>
      <c r="AE266" s="28" t="s">
        <v>10</v>
      </c>
      <c r="AF266" s="23" t="str">
        <f>IFERROR(__xludf.DUMMYFUNCTION("TEXTJOIN("", "", TRUE,
  FILTER(Champions!C:C,
    ISNUMBER(SEARCH(C266, Champions!W:W))
  )
)"),"Abhishek Mehta, Elizabeth Padilla-Crespo")</f>
        <v>Abhishek Mehta, Elizabeth Padilla-Crespo</v>
      </c>
      <c r="AG266" s="23"/>
      <c r="AH266" s="23" t="str">
        <f>IFERROR(__xludf.DUMMYFUNCTION("IF(
ISNUMBER(MATCH(
C266,
IMPORTRANGE(""https://docs.google.com/spreadsheets/d/1yTh1ELC33JHYOeEdgIiEclxPRyh0zOKtlawDltfUay8"",""'Interns'!A:A""),
0
)),
""Outreach Conducted"",
"""")"),"")</f>
        <v/>
      </c>
      <c r="AI266" s="23"/>
      <c r="AJ266" s="23"/>
      <c r="AK266" s="23" t="str">
        <f>IFERROR(__xludf.DUMMYFUNCTION("XLOOKUP(C266, 
   IMPORTRANGE(""1RdEdgHYrZ33LJ7RUHj_h-qkAFL92bcVjtIdVa-UlsCw"", ""Interns!D:D""), 
   IMPORTRANGE(""1RdEdgHYrZ33LJ7RUHj_h-qkAFL92bcVjtIdVa-UlsCw"", ""Interns!M:M""), 
   ""Not Found"")"),"Contacted")</f>
        <v>Contacted</v>
      </c>
      <c r="AL266" s="23" t="str">
        <f>IFERROR(__xludf.DUMMYFUNCTION("XLOOKUP(C266, 
   IMPORTRANGE(""1RdEdgHYrZ33LJ7RUHj_h-qkAFL92bcVjtIdVa-UlsCw"", ""Interns!D:D""), 
   IMPORTRANGE(""1RdEdgHYrZ33LJ7RUHj_h-qkAFL92bcVjtIdVa-UlsCw"", ""Interns!N:N""), 
   ""Not Found"")"),"#Cheers4Careers")</f>
        <v>#Cheers4Careers</v>
      </c>
      <c r="AM266" s="23" t="str">
        <f>IFERROR(__xludf.DUMMYFUNCTION("XLOOKUP(C266, 
   IMPORTRANGE(""1RdEdgHYrZ33LJ7RUHj_h-qkAFL92bcVjtIdVa-UlsCw"", ""Interns!D:D""), 
   IMPORTRANGE(""1RdEdgHYrZ33LJ7RUHj_h-qkAFL92bcVjtIdVa-UlsCw"", ""Interns!O:O""), 
   ""Not Found"")"),"Hetal reached out by email 3/27 followed by text")</f>
        <v>Hetal reached out by email 3/27 followed by text</v>
      </c>
      <c r="AN266" s="23"/>
      <c r="AO266" s="23" t="s">
        <v>7074</v>
      </c>
      <c r="AP266" s="28" t="s">
        <v>5191</v>
      </c>
      <c r="AQ266" s="28" t="s">
        <v>7070</v>
      </c>
      <c r="AR266" s="23" t="s">
        <v>7075</v>
      </c>
      <c r="AS266" s="23"/>
      <c r="AT266" s="23"/>
      <c r="AU266" s="23"/>
      <c r="AV266" s="23"/>
    </row>
    <row r="267">
      <c r="A267" s="28" t="s">
        <v>5161</v>
      </c>
      <c r="B267" s="28" t="s">
        <v>5162</v>
      </c>
      <c r="C267" s="23" t="str">
        <f t="shared" si="1"/>
        <v>Lidia Pujol</v>
      </c>
      <c r="D267" s="28" t="s">
        <v>7076</v>
      </c>
      <c r="E267" s="28" t="s">
        <v>7077</v>
      </c>
      <c r="F267" s="23">
        <f t="array" ref="F267">IFERROR(
    INDEX('Hub Interns 226'!A:A, MATCH(C267, 'Hub Interns 226'!B:B, 0)),"")</f>
        <v>782</v>
      </c>
      <c r="G267" s="23">
        <f t="array" ref="G267">IFERROR(
    INDEX('Hub Users 226'!A:A, MATCH(C267, 'Hub Users 226'!B:B, 0)),"")</f>
        <v>1215</v>
      </c>
      <c r="H267" s="28">
        <v>391.0</v>
      </c>
      <c r="I267" s="28" t="s">
        <v>302</v>
      </c>
      <c r="J267" s="28" t="s">
        <v>5336</v>
      </c>
      <c r="K267" s="28" t="s">
        <v>5177</v>
      </c>
      <c r="L267" s="28" t="s">
        <v>5196</v>
      </c>
      <c r="M267" s="56" t="s">
        <v>7078</v>
      </c>
      <c r="N267" s="57">
        <v>44264.60138888889</v>
      </c>
      <c r="O267" s="58">
        <v>37149.0</v>
      </c>
      <c r="P267" s="28">
        <f t="shared" si="11"/>
        <v>24</v>
      </c>
      <c r="Q267" s="28" t="s">
        <v>240</v>
      </c>
      <c r="R267" s="28" t="s">
        <v>7079</v>
      </c>
      <c r="S267" s="28">
        <v>14.0</v>
      </c>
      <c r="T267" s="28">
        <v>29.0</v>
      </c>
      <c r="U267" s="28">
        <v>84.0</v>
      </c>
      <c r="V267" s="28">
        <v>17.0</v>
      </c>
      <c r="W267" s="28" t="s">
        <v>859</v>
      </c>
      <c r="X267" s="28" t="s">
        <v>272</v>
      </c>
      <c r="Y267" s="28" t="s">
        <v>7080</v>
      </c>
      <c r="Z267" s="28" t="s">
        <v>5208</v>
      </c>
      <c r="AA267" s="28" t="s">
        <v>2141</v>
      </c>
      <c r="AB267" s="28">
        <v>8.0</v>
      </c>
      <c r="AC267" s="28" t="s">
        <v>24</v>
      </c>
      <c r="AD267" s="23"/>
      <c r="AE267" s="28" t="s">
        <v>8</v>
      </c>
      <c r="AF267" s="23"/>
      <c r="AG267" s="23"/>
      <c r="AH267" s="23" t="str">
        <f>IFERROR(__xludf.DUMMYFUNCTION("IF(
ISNUMBER(MATCH(
C267,
IMPORTRANGE(""https://docs.google.com/spreadsheets/d/1yTh1ELC33JHYOeEdgIiEclxPRyh0zOKtlawDltfUay8"",""'Interns'!A:A""),
0
)),
""Outreach Conducted"",
"""")"),"")</f>
        <v/>
      </c>
      <c r="AI267" s="23"/>
      <c r="AJ267" s="23"/>
      <c r="AK267" s="23" t="str">
        <f>IFERROR(__xludf.DUMMYFUNCTION("XLOOKUP(C267, 
   IMPORTRANGE(""1RdEdgHYrZ33LJ7RUHj_h-qkAFL92bcVjtIdVa-UlsCw"", ""Interns!D:D""), 
   IMPORTRANGE(""1RdEdgHYrZ33LJ7RUHj_h-qkAFL92bcVjtIdVa-UlsCw"", ""Interns!M:M""), 
   ""Not Found"")"),"Contacted")</f>
        <v>Contacted</v>
      </c>
      <c r="AL267" s="23" t="str">
        <f>IFERROR(__xludf.DUMMYFUNCTION("XLOOKUP(C267, 
   IMPORTRANGE(""1RdEdgHYrZ33LJ7RUHj_h-qkAFL92bcVjtIdVa-UlsCw"", ""Interns!D:D""), 
   IMPORTRANGE(""1RdEdgHYrZ33LJ7RUHj_h-qkAFL92bcVjtIdVa-UlsCw"", ""Interns!N:N""), 
   ""Not Found"")"),"#Cheers4Careers")</f>
        <v>#Cheers4Careers</v>
      </c>
      <c r="AM267" s="23" t="str">
        <f>IFERROR(__xludf.DUMMYFUNCTION("XLOOKUP(C267, 
   IMPORTRANGE(""1RdEdgHYrZ33LJ7RUHj_h-qkAFL92bcVjtIdVa-UlsCw"", ""Interns!D:D""), 
   IMPORTRANGE(""1RdEdgHYrZ33LJ7RUHj_h-qkAFL92bcVjtIdVa-UlsCw"", ""Interns!O:O""), 
   ""Not Found"")"),"Hetal reached out by email 3/27 and text")</f>
        <v>Hetal reached out by email 3/27 and text</v>
      </c>
      <c r="AN267" s="23"/>
      <c r="AO267" s="23" t="s">
        <v>7081</v>
      </c>
      <c r="AP267" s="28" t="s">
        <v>5191</v>
      </c>
      <c r="AQ267" s="28"/>
      <c r="AR267" s="23"/>
      <c r="AS267" s="23"/>
      <c r="AT267" s="23"/>
      <c r="AU267" s="23"/>
      <c r="AV267" s="23"/>
    </row>
    <row r="268">
      <c r="A268" s="28" t="s">
        <v>5202</v>
      </c>
      <c r="B268" s="28" t="s">
        <v>5162</v>
      </c>
      <c r="C268" s="23" t="str">
        <f t="shared" si="1"/>
        <v>Amy Perez</v>
      </c>
      <c r="D268" s="28" t="s">
        <v>336</v>
      </c>
      <c r="E268" s="28" t="s">
        <v>5175</v>
      </c>
      <c r="F268" s="23">
        <f t="array" ref="F268">IFERROR(
    INDEX('Hub Interns 226'!A:A, MATCH(C268, 'Hub Interns 226'!B:B, 0)),"")</f>
        <v>215</v>
      </c>
      <c r="G268" s="23">
        <f t="array" ref="G268">IFERROR(
    INDEX('Hub Users 226'!A:A, MATCH(C268, 'Hub Users 226'!B:B, 0)),"")</f>
        <v>648</v>
      </c>
      <c r="H268" s="28">
        <v>1131.0</v>
      </c>
      <c r="I268" s="28" t="s">
        <v>290</v>
      </c>
      <c r="J268" s="28" t="s">
        <v>5336</v>
      </c>
      <c r="K268" s="28" t="s">
        <v>5177</v>
      </c>
      <c r="L268" s="28" t="s">
        <v>5196</v>
      </c>
      <c r="M268" s="56" t="s">
        <v>7082</v>
      </c>
      <c r="N268" s="57">
        <v>44734.49930555555</v>
      </c>
      <c r="O268" s="58">
        <v>38094.0</v>
      </c>
      <c r="P268" s="28">
        <f t="shared" si="11"/>
        <v>22</v>
      </c>
      <c r="Q268" s="28" t="s">
        <v>7083</v>
      </c>
      <c r="R268" s="28" t="s">
        <v>7084</v>
      </c>
      <c r="S268" s="28">
        <v>15.0</v>
      </c>
      <c r="T268" s="28">
        <v>33.0</v>
      </c>
      <c r="U268" s="28">
        <v>78.0</v>
      </c>
      <c r="V268" s="28">
        <v>15.0</v>
      </c>
      <c r="W268" s="28" t="s">
        <v>859</v>
      </c>
      <c r="X268" s="28" t="s">
        <v>272</v>
      </c>
      <c r="Y268" s="28" t="s">
        <v>7085</v>
      </c>
      <c r="Z268" s="28" t="s">
        <v>5208</v>
      </c>
      <c r="AA268" s="28" t="s">
        <v>2141</v>
      </c>
      <c r="AB268" s="28">
        <v>8.0</v>
      </c>
      <c r="AC268" s="28" t="s">
        <v>25</v>
      </c>
      <c r="AD268" s="23"/>
      <c r="AE268" s="28" t="s">
        <v>15</v>
      </c>
      <c r="AF268" s="23" t="str">
        <f>IFERROR(__xludf.DUMMYFUNCTION("TEXTJOIN("", "", TRUE,
  FILTER(Champions!C:C,
    ISNUMBER(SEARCH(C268, Champions!W:W))
  )
)"),"Vatsala Sarathy")</f>
        <v>Vatsala Sarathy</v>
      </c>
      <c r="AG268" s="23"/>
      <c r="AH268" s="23" t="str">
        <f>IFERROR(__xludf.DUMMYFUNCTION("IF(
ISNUMBER(MATCH(
C268,
IMPORTRANGE(""https://docs.google.com/spreadsheets/d/1yTh1ELC33JHYOeEdgIiEclxPRyh0zOKtlawDltfUay8"",""'Interns'!A:A""),
0
)),
""Outreach Conducted"",
"""")"),"")</f>
        <v/>
      </c>
      <c r="AI268" s="23"/>
      <c r="AJ268" s="23"/>
      <c r="AK268" s="23" t="str">
        <f>IFERROR(__xludf.DUMMYFUNCTION("XLOOKUP(C268, 
   IMPORTRANGE(""1RdEdgHYrZ33LJ7RUHj_h-qkAFL92bcVjtIdVa-UlsCw"", ""Interns!D:D""), 
   IMPORTRANGE(""1RdEdgHYrZ33LJ7RUHj_h-qkAFL92bcVjtIdVa-UlsCw"", ""Interns!M:M""), 
   ""Not Found"")"),"")</f>
        <v/>
      </c>
      <c r="AL268" s="23" t="str">
        <f>IFERROR(__xludf.DUMMYFUNCTION("XLOOKUP(C268, 
   IMPORTRANGE(""1RdEdgHYrZ33LJ7RUHj_h-qkAFL92bcVjtIdVa-UlsCw"", ""Interns!D:D""), 
   IMPORTRANGE(""1RdEdgHYrZ33LJ7RUHj_h-qkAFL92bcVjtIdVa-UlsCw"", ""Interns!N:N""), 
   ""Not Found"")"),"")</f>
        <v/>
      </c>
      <c r="AM268" s="23" t="str">
        <f>IFERROR(__xludf.DUMMYFUNCTION("XLOOKUP(C268, 
   IMPORTRANGE(""1RdEdgHYrZ33LJ7RUHj_h-qkAFL92bcVjtIdVa-UlsCw"", ""Interns!D:D""), 
   IMPORTRANGE(""1RdEdgHYrZ33LJ7RUHj_h-qkAFL92bcVjtIdVa-UlsCw"", ""Interns!O:O""), 
   ""Not Found"")"),"")</f>
        <v/>
      </c>
      <c r="AN268" s="23"/>
      <c r="AO268" s="23" t="s">
        <v>7086</v>
      </c>
      <c r="AP268" s="28" t="s">
        <v>5989</v>
      </c>
      <c r="AQ268" s="28" t="s">
        <v>7087</v>
      </c>
      <c r="AR268" s="23" t="s">
        <v>7088</v>
      </c>
      <c r="AS268" s="23"/>
      <c r="AT268" s="23"/>
      <c r="AU268" s="23"/>
      <c r="AV268" s="23"/>
    </row>
    <row r="269">
      <c r="A269" s="28" t="s">
        <v>5202</v>
      </c>
      <c r="B269" s="28" t="s">
        <v>5162</v>
      </c>
      <c r="C269" s="23" t="str">
        <f t="shared" si="1"/>
        <v>Daylers Custodio</v>
      </c>
      <c r="D269" s="28" t="s">
        <v>7089</v>
      </c>
      <c r="E269" s="28" t="s">
        <v>7090</v>
      </c>
      <c r="F269" s="23">
        <f t="array" ref="F269">IFERROR(
    INDEX('Hub Interns 226'!A:A, MATCH(C269, 'Hub Interns 226'!B:B, 0)),"")</f>
        <v>426</v>
      </c>
      <c r="G269" s="23">
        <f t="array" ref="G269">IFERROR(
    INDEX('Hub Users 226'!A:A, MATCH(C269, 'Hub Users 226'!B:B, 0)),"")</f>
        <v>859</v>
      </c>
      <c r="H269" s="28">
        <v>1304.0</v>
      </c>
      <c r="I269" s="28" t="s">
        <v>239</v>
      </c>
      <c r="J269" s="28" t="s">
        <v>5336</v>
      </c>
      <c r="K269" s="28" t="s">
        <v>5177</v>
      </c>
      <c r="L269" s="28" t="s">
        <v>5165</v>
      </c>
      <c r="M269" s="56" t="s">
        <v>7091</v>
      </c>
      <c r="N269" s="59">
        <v>44846.64097222222</v>
      </c>
      <c r="O269" s="58">
        <v>39160.0</v>
      </c>
      <c r="P269" s="28">
        <f t="shared" si="11"/>
        <v>19</v>
      </c>
      <c r="Q269" s="28" t="s">
        <v>240</v>
      </c>
      <c r="R269" s="28" t="s">
        <v>7092</v>
      </c>
      <c r="S269" s="28">
        <v>15.0</v>
      </c>
      <c r="T269" s="28">
        <v>33.0</v>
      </c>
      <c r="U269" s="28">
        <v>78.0</v>
      </c>
      <c r="V269" s="28">
        <v>15.0</v>
      </c>
      <c r="W269" s="28" t="s">
        <v>859</v>
      </c>
      <c r="X269" s="28" t="s">
        <v>272</v>
      </c>
      <c r="Y269" s="28" t="s">
        <v>7093</v>
      </c>
      <c r="Z269" s="28" t="s">
        <v>5918</v>
      </c>
      <c r="AA269" s="28" t="s">
        <v>477</v>
      </c>
      <c r="AB269" s="28">
        <v>15.0</v>
      </c>
      <c r="AC269" s="28" t="s">
        <v>23</v>
      </c>
      <c r="AD269" s="23"/>
      <c r="AE269" s="28" t="s">
        <v>15</v>
      </c>
      <c r="AF269" s="23"/>
      <c r="AG269" s="23"/>
      <c r="AH269" s="23" t="str">
        <f>IFERROR(__xludf.DUMMYFUNCTION("IF(
ISNUMBER(MATCH(
C269,
IMPORTRANGE(""https://docs.google.com/spreadsheets/d/1yTh1ELC33JHYOeEdgIiEclxPRyh0zOKtlawDltfUay8"",""'Interns'!A:A""),
0
)),
""Outreach Conducted"",
"""")"),"")</f>
        <v/>
      </c>
      <c r="AI269" s="23"/>
      <c r="AJ269" s="23"/>
      <c r="AK269" s="23" t="str">
        <f>IFERROR(__xludf.DUMMYFUNCTION("XLOOKUP(C269, 
   IMPORTRANGE(""1RdEdgHYrZ33LJ7RUHj_h-qkAFL92bcVjtIdVa-UlsCw"", ""Interns!D:D""), 
   IMPORTRANGE(""1RdEdgHYrZ33LJ7RUHj_h-qkAFL92bcVjtIdVa-UlsCw"", ""Interns!M:M""), 
   ""Not Found"")"),"")</f>
        <v/>
      </c>
      <c r="AL269" s="23" t="str">
        <f>IFERROR(__xludf.DUMMYFUNCTION("XLOOKUP(C269, 
   IMPORTRANGE(""1RdEdgHYrZ33LJ7RUHj_h-qkAFL92bcVjtIdVa-UlsCw"", ""Interns!D:D""), 
   IMPORTRANGE(""1RdEdgHYrZ33LJ7RUHj_h-qkAFL92bcVjtIdVa-UlsCw"", ""Interns!N:N""), 
   ""Not Found"")"),"")</f>
        <v/>
      </c>
      <c r="AM269" s="23" t="str">
        <f>IFERROR(__xludf.DUMMYFUNCTION("XLOOKUP(C269, 
   IMPORTRANGE(""1RdEdgHYrZ33LJ7RUHj_h-qkAFL92bcVjtIdVa-UlsCw"", ""Interns!D:D""), 
   IMPORTRANGE(""1RdEdgHYrZ33LJ7RUHj_h-qkAFL92bcVjtIdVa-UlsCw"", ""Interns!O:O""), 
   ""Not Found"")"),"")</f>
        <v/>
      </c>
      <c r="AN269" s="23"/>
      <c r="AO269" s="23" t="s">
        <v>7094</v>
      </c>
      <c r="AP269" s="28" t="s">
        <v>5182</v>
      </c>
      <c r="AQ269" s="28"/>
      <c r="AR269" s="23"/>
      <c r="AS269" s="23"/>
      <c r="AT269" s="23"/>
      <c r="AU269" s="23"/>
      <c r="AV269" s="23"/>
    </row>
    <row r="270">
      <c r="A270" s="28" t="s">
        <v>5161</v>
      </c>
      <c r="B270" s="28" t="s">
        <v>5162</v>
      </c>
      <c r="C270" s="23" t="str">
        <f t="shared" si="1"/>
        <v>Noelia Pimentel</v>
      </c>
      <c r="D270" s="28" t="s">
        <v>7095</v>
      </c>
      <c r="E270" s="28" t="s">
        <v>7096</v>
      </c>
      <c r="F270" s="23">
        <f t="array" ref="F270">IFERROR(
    INDEX('Hub Interns 226'!A:A, MATCH(C270, 'Hub Interns 226'!B:B, 0)),"")</f>
        <v>944</v>
      </c>
      <c r="G270" s="23">
        <f t="array" ref="G270">IFERROR(
    INDEX('Hub Users 226'!A:A, MATCH(C270, 'Hub Users 226'!B:B, 0)),"")</f>
        <v>1377</v>
      </c>
      <c r="H270" s="28">
        <v>847.0</v>
      </c>
      <c r="I270" s="28" t="s">
        <v>260</v>
      </c>
      <c r="J270" s="28" t="s">
        <v>5336</v>
      </c>
      <c r="K270" s="28" t="s">
        <v>5177</v>
      </c>
      <c r="L270" s="28" t="s">
        <v>5196</v>
      </c>
      <c r="M270" s="56" t="s">
        <v>7097</v>
      </c>
      <c r="N270" s="57">
        <v>44585.42222222222</v>
      </c>
      <c r="O270" s="58">
        <v>38589.0</v>
      </c>
      <c r="P270" s="28">
        <f t="shared" si="11"/>
        <v>20</v>
      </c>
      <c r="Q270" s="28" t="s">
        <v>240</v>
      </c>
      <c r="R270" s="28" t="s">
        <v>7098</v>
      </c>
      <c r="S270" s="28">
        <v>14.0</v>
      </c>
      <c r="T270" s="28">
        <v>29.0</v>
      </c>
      <c r="U270" s="28">
        <v>84.0</v>
      </c>
      <c r="V270" s="28">
        <v>17.0</v>
      </c>
      <c r="W270" s="28" t="s">
        <v>859</v>
      </c>
      <c r="X270" s="28" t="s">
        <v>272</v>
      </c>
      <c r="Y270" s="28" t="s">
        <v>7099</v>
      </c>
      <c r="Z270" s="28" t="s">
        <v>5310</v>
      </c>
      <c r="AA270" s="28" t="s">
        <v>362</v>
      </c>
      <c r="AB270" s="28">
        <v>16.0</v>
      </c>
      <c r="AC270" s="28" t="s">
        <v>25</v>
      </c>
      <c r="AD270" s="23"/>
      <c r="AE270" s="28" t="s">
        <v>10</v>
      </c>
      <c r="AF270" s="23" t="str">
        <f>IFERROR(__xludf.DUMMYFUNCTION("TEXTJOIN("", "", TRUE,
  FILTER(Champions!C:C,
    ISNUMBER(SEARCH(C270, Champions!W:W))
  )
)"),"John Mix, Ritika Naik")</f>
        <v>John Mix, Ritika Naik</v>
      </c>
      <c r="AG270" s="23"/>
      <c r="AH270" s="23" t="str">
        <f>IFERROR(__xludf.DUMMYFUNCTION("IF(
ISNUMBER(MATCH(
C270,
IMPORTRANGE(""https://docs.google.com/spreadsheets/d/1yTh1ELC33JHYOeEdgIiEclxPRyh0zOKtlawDltfUay8"",""'Interns'!A:A""),
0
)),
""Outreach Conducted"",
"""")"),"")</f>
        <v/>
      </c>
      <c r="AI270" s="23"/>
      <c r="AJ270" s="23"/>
      <c r="AK270" s="23" t="str">
        <f>IFERROR(__xludf.DUMMYFUNCTION("XLOOKUP(C270, 
   IMPORTRANGE(""1RdEdgHYrZ33LJ7RUHj_h-qkAFL92bcVjtIdVa-UlsCw"", ""Interns!D:D""), 
   IMPORTRANGE(""1RdEdgHYrZ33LJ7RUHj_h-qkAFL92bcVjtIdVa-UlsCw"", ""Interns!M:M""), 
   ""Not Found"")"),"")</f>
        <v/>
      </c>
      <c r="AL270" s="23" t="str">
        <f>IFERROR(__xludf.DUMMYFUNCTION("XLOOKUP(C270, 
   IMPORTRANGE(""1RdEdgHYrZ33LJ7RUHj_h-qkAFL92bcVjtIdVa-UlsCw"", ""Interns!D:D""), 
   IMPORTRANGE(""1RdEdgHYrZ33LJ7RUHj_h-qkAFL92bcVjtIdVa-UlsCw"", ""Interns!N:N""), 
   ""Not Found"")"),"#SpeakingMyName")</f>
        <v>#SpeakingMyName</v>
      </c>
      <c r="AM270" s="23" t="str">
        <f>IFERROR(__xludf.DUMMYFUNCTION("XLOOKUP(C270, 
   IMPORTRANGE(""1RdEdgHYrZ33LJ7RUHj_h-qkAFL92bcVjtIdVa-UlsCw"", ""Interns!D:D""), 
   IMPORTRANGE(""1RdEdgHYrZ33LJ7RUHj_h-qkAFL92bcVjtIdVa-UlsCw"", ""Interns!O:O""), 
   ""Not Found"")"),"Alicia reached out by email on 5/15 for #SpeakingMyName")</f>
        <v>Alicia reached out by email on 5/15 for #SpeakingMyName</v>
      </c>
      <c r="AN270" s="23"/>
      <c r="AO270" s="23" t="s">
        <v>7100</v>
      </c>
      <c r="AP270" s="28" t="s">
        <v>5182</v>
      </c>
      <c r="AQ270" s="28" t="s">
        <v>7101</v>
      </c>
      <c r="AR270" s="23" t="s">
        <v>7102</v>
      </c>
      <c r="AS270" s="23"/>
      <c r="AT270" s="23"/>
      <c r="AU270" s="23"/>
      <c r="AV270" s="23"/>
    </row>
    <row r="271">
      <c r="A271" s="28" t="s">
        <v>5161</v>
      </c>
      <c r="B271" s="28" t="s">
        <v>5162</v>
      </c>
      <c r="C271" s="23" t="str">
        <f t="shared" si="1"/>
        <v>Johnfree Carrasco</v>
      </c>
      <c r="D271" s="28" t="s">
        <v>7103</v>
      </c>
      <c r="E271" s="28" t="s">
        <v>7104</v>
      </c>
      <c r="F271" s="23">
        <f t="array" ref="F271">IFERROR(
    INDEX('Hub Interns 226'!A:A, MATCH(C271, 'Hub Interns 226'!B:B, 0)),"")</f>
        <v>678</v>
      </c>
      <c r="G271" s="23">
        <f t="array" ref="G271">IFERROR(
    INDEX('Hub Users 226'!A:A, MATCH(C271, 'Hub Users 226'!B:B, 0)),"")</f>
        <v>1111</v>
      </c>
      <c r="H271" s="28">
        <v>334.0</v>
      </c>
      <c r="I271" s="28" t="s">
        <v>239</v>
      </c>
      <c r="J271" s="28" t="s">
        <v>5336</v>
      </c>
      <c r="K271" s="28" t="s">
        <v>5177</v>
      </c>
      <c r="L271" s="28" t="s">
        <v>5165</v>
      </c>
      <c r="M271" s="56" t="s">
        <v>7105</v>
      </c>
      <c r="N271" s="57">
        <v>44239.879166666666</v>
      </c>
      <c r="O271" s="58">
        <v>38045.0</v>
      </c>
      <c r="P271" s="28">
        <f t="shared" si="11"/>
        <v>22</v>
      </c>
      <c r="Q271" s="28" t="s">
        <v>7106</v>
      </c>
      <c r="R271" s="28" t="s">
        <v>7107</v>
      </c>
      <c r="S271" s="28">
        <v>15.0</v>
      </c>
      <c r="T271" s="28">
        <v>29.0</v>
      </c>
      <c r="U271" s="28">
        <v>77.0</v>
      </c>
      <c r="V271" s="28"/>
      <c r="W271" s="28" t="s">
        <v>859</v>
      </c>
      <c r="X271" s="28" t="s">
        <v>272</v>
      </c>
      <c r="Y271" s="28" t="s">
        <v>7108</v>
      </c>
      <c r="Z271" s="28" t="s">
        <v>5310</v>
      </c>
      <c r="AA271" s="28" t="s">
        <v>362</v>
      </c>
      <c r="AB271" s="28">
        <v>16.0</v>
      </c>
      <c r="AC271" s="28" t="s">
        <v>25</v>
      </c>
      <c r="AD271" s="28" t="s">
        <v>101</v>
      </c>
      <c r="AE271" s="28" t="s">
        <v>8</v>
      </c>
      <c r="AF271" s="23" t="str">
        <f>IFERROR(__xludf.DUMMYFUNCTION("TEXTJOIN("", "", TRUE,
  FILTER(Champions!C:C,
    ISNUMBER(SEARCH(C271, Champions!W:W))
  )
)"),"Melissa Mozelle Schad, Pavan Gourisetty")</f>
        <v>Melissa Mozelle Schad, Pavan Gourisetty</v>
      </c>
      <c r="AG271" s="23"/>
      <c r="AH271" s="23" t="str">
        <f>IFERROR(__xludf.DUMMYFUNCTION("IF(
ISNUMBER(MATCH(
C271,
IMPORTRANGE(""https://docs.google.com/spreadsheets/d/1yTh1ELC33JHYOeEdgIiEclxPRyh0zOKtlawDltfUay8"",""'Interns'!A:A""),
0
)),
""Outreach Conducted"",
"""")"),"")</f>
        <v/>
      </c>
      <c r="AI271" s="23"/>
      <c r="AJ271" s="28" t="s">
        <v>7109</v>
      </c>
      <c r="AK271" s="23" t="str">
        <f>IFERROR(__xludf.DUMMYFUNCTION("XLOOKUP(C271, 
   IMPORTRANGE(""1RdEdgHYrZ33LJ7RUHj_h-qkAFL92bcVjtIdVa-UlsCw"", ""Interns!D:D""), 
   IMPORTRANGE(""1RdEdgHYrZ33LJ7RUHj_h-qkAFL92bcVjtIdVa-UlsCw"", ""Interns!M:M""), 
   ""Not Found"")"),"")</f>
        <v/>
      </c>
      <c r="AL271" s="23" t="str">
        <f>IFERROR(__xludf.DUMMYFUNCTION("XLOOKUP(C271, 
   IMPORTRANGE(""1RdEdgHYrZ33LJ7RUHj_h-qkAFL92bcVjtIdVa-UlsCw"", ""Interns!D:D""), 
   IMPORTRANGE(""1RdEdgHYrZ33LJ7RUHj_h-qkAFL92bcVjtIdVa-UlsCw"", ""Interns!N:N""), 
   ""Not Found"")"),"#SpeakingMyName")</f>
        <v>#SpeakingMyName</v>
      </c>
      <c r="AM271" s="23" t="str">
        <f>IFERROR(__xludf.DUMMYFUNCTION("XLOOKUP(C271, 
   IMPORTRANGE(""1RdEdgHYrZ33LJ7RUHj_h-qkAFL92bcVjtIdVa-UlsCw"", ""Interns!D:D""), 
   IMPORTRANGE(""1RdEdgHYrZ33LJ7RUHj_h-qkAFL92bcVjtIdVa-UlsCw"", ""Interns!O:O""), 
   ""Not Found"")"),"Alicia reached out by email on 5/15 for #SpeakingMyName")</f>
        <v>Alicia reached out by email on 5/15 for #SpeakingMyName</v>
      </c>
      <c r="AN271" s="23"/>
      <c r="AO271" s="23" t="s">
        <v>7110</v>
      </c>
      <c r="AP271" s="28" t="s">
        <v>5182</v>
      </c>
      <c r="AQ271" s="28" t="s">
        <v>7111</v>
      </c>
      <c r="AR271" s="23" t="s">
        <v>7112</v>
      </c>
      <c r="AS271" s="23"/>
      <c r="AT271" s="23"/>
      <c r="AU271" s="23"/>
      <c r="AV271" s="23"/>
    </row>
    <row r="272">
      <c r="A272" s="28" t="s">
        <v>5161</v>
      </c>
      <c r="B272" s="28" t="s">
        <v>5162</v>
      </c>
      <c r="C272" s="23" t="str">
        <f t="shared" si="1"/>
        <v>Wilfred Quezada</v>
      </c>
      <c r="D272" s="28" t="s">
        <v>7113</v>
      </c>
      <c r="E272" s="28" t="s">
        <v>7114</v>
      </c>
      <c r="F272" s="23">
        <f t="array" ref="F272">IFERROR(
    INDEX('Hub Interns 226'!A:A, MATCH(C272, 'Hub Interns 226'!B:B, 0)),"")</f>
        <v>1190</v>
      </c>
      <c r="G272" s="23">
        <f t="array" ref="G272">IFERROR(
    INDEX('Hub Users 226'!A:A, MATCH(C272, 'Hub Users 226'!B:B, 0)),"")</f>
        <v>1623</v>
      </c>
      <c r="H272" s="28">
        <v>380.0</v>
      </c>
      <c r="I272" s="28" t="s">
        <v>107</v>
      </c>
      <c r="J272" s="28" t="s">
        <v>5336</v>
      </c>
      <c r="K272" s="28" t="s">
        <v>5177</v>
      </c>
      <c r="L272" s="28" t="s">
        <v>5165</v>
      </c>
      <c r="M272" s="56" t="s">
        <v>7115</v>
      </c>
      <c r="N272" s="57">
        <v>44253.62708333333</v>
      </c>
      <c r="O272" s="58">
        <v>38308.0</v>
      </c>
      <c r="P272" s="28">
        <f t="shared" si="11"/>
        <v>21</v>
      </c>
      <c r="Q272" s="28" t="s">
        <v>240</v>
      </c>
      <c r="R272" s="28" t="s">
        <v>7116</v>
      </c>
      <c r="S272" s="28">
        <v>15.0</v>
      </c>
      <c r="T272" s="28">
        <v>29.0</v>
      </c>
      <c r="U272" s="28">
        <v>84.0</v>
      </c>
      <c r="V272" s="28">
        <v>16.0</v>
      </c>
      <c r="W272" s="28" t="s">
        <v>859</v>
      </c>
      <c r="X272" s="28" t="s">
        <v>272</v>
      </c>
      <c r="Y272" s="28" t="s">
        <v>7117</v>
      </c>
      <c r="Z272" s="28" t="s">
        <v>5208</v>
      </c>
      <c r="AA272" s="28" t="s">
        <v>2141</v>
      </c>
      <c r="AB272" s="28">
        <v>8.0</v>
      </c>
      <c r="AC272" s="28" t="s">
        <v>24</v>
      </c>
      <c r="AD272" s="23"/>
      <c r="AE272" s="28" t="s">
        <v>8</v>
      </c>
      <c r="AF272" s="23"/>
      <c r="AG272" s="23"/>
      <c r="AH272" s="23" t="str">
        <f>IFERROR(__xludf.DUMMYFUNCTION("IF(
ISNUMBER(MATCH(
C272,
IMPORTRANGE(""https://docs.google.com/spreadsheets/d/1yTh1ELC33JHYOeEdgIiEclxPRyh0zOKtlawDltfUay8"",""'Interns'!A:A""),
0
)),
""Outreach Conducted"",
"""")"),"")</f>
        <v/>
      </c>
      <c r="AI272" s="23"/>
      <c r="AJ272" s="23"/>
      <c r="AK272" s="23" t="str">
        <f>IFERROR(__xludf.DUMMYFUNCTION("XLOOKUP(C272, 
   IMPORTRANGE(""1RdEdgHYrZ33LJ7RUHj_h-qkAFL92bcVjtIdVa-UlsCw"", ""Interns!D:D""), 
   IMPORTRANGE(""1RdEdgHYrZ33LJ7RUHj_h-qkAFL92bcVjtIdVa-UlsCw"", ""Interns!M:M""), 
   ""Not Found"")"),"Contacted")</f>
        <v>Contacted</v>
      </c>
      <c r="AL272" s="23" t="str">
        <f>IFERROR(__xludf.DUMMYFUNCTION("XLOOKUP(C272, 
   IMPORTRANGE(""1RdEdgHYrZ33LJ7RUHj_h-qkAFL92bcVjtIdVa-UlsCw"", ""Interns!D:D""), 
   IMPORTRANGE(""1RdEdgHYrZ33LJ7RUHj_h-qkAFL92bcVjtIdVa-UlsCw"", ""Interns!N:N""), 
   ""Not Found"")"),"#Cheers4Careers")</f>
        <v>#Cheers4Careers</v>
      </c>
      <c r="AM272" s="23" t="str">
        <f>IFERROR(__xludf.DUMMYFUNCTION("XLOOKUP(C272, 
   IMPORTRANGE(""1RdEdgHYrZ33LJ7RUHj_h-qkAFL92bcVjtIdVa-UlsCw"", ""Interns!D:D""), 
   IMPORTRANGE(""1RdEdgHYrZ33LJ7RUHj_h-qkAFL92bcVjtIdVa-UlsCw"", ""Interns!O:O""), 
   ""Not Found"")"),"Hetal reached out by email 3/27")</f>
        <v>Hetal reached out by email 3/27</v>
      </c>
      <c r="AN272" s="23"/>
      <c r="AO272" s="23" t="s">
        <v>7118</v>
      </c>
      <c r="AP272" s="28" t="s">
        <v>5182</v>
      </c>
      <c r="AQ272" s="28"/>
      <c r="AR272" s="23"/>
      <c r="AS272" s="23"/>
      <c r="AT272" s="23"/>
      <c r="AU272" s="23"/>
      <c r="AV272" s="23"/>
    </row>
    <row r="273">
      <c r="A273" s="28" t="s">
        <v>5202</v>
      </c>
      <c r="B273" s="28" t="s">
        <v>5162</v>
      </c>
      <c r="C273" s="23" t="str">
        <f t="shared" si="1"/>
        <v>Mairol Rivas</v>
      </c>
      <c r="D273" s="28" t="s">
        <v>7119</v>
      </c>
      <c r="E273" s="28" t="s">
        <v>7120</v>
      </c>
      <c r="F273" s="23">
        <f t="array" ref="F273">IFERROR(
    INDEX('Hub Interns 226'!A:A, MATCH(C273, 'Hub Interns 226'!B:B, 0)),"")</f>
        <v>825</v>
      </c>
      <c r="G273" s="23">
        <f t="array" ref="G273">IFERROR(
    INDEX('Hub Users 226'!A:A, MATCH(C273, 'Hub Users 226'!B:B, 0)),"")</f>
        <v>1258</v>
      </c>
      <c r="H273" s="28">
        <v>273.0</v>
      </c>
      <c r="I273" s="28" t="s">
        <v>290</v>
      </c>
      <c r="J273" s="28" t="s">
        <v>5336</v>
      </c>
      <c r="K273" s="28" t="s">
        <v>5177</v>
      </c>
      <c r="L273" s="28" t="s">
        <v>5165</v>
      </c>
      <c r="M273" s="56" t="s">
        <v>7121</v>
      </c>
      <c r="N273" s="57">
        <v>44211.407638888886</v>
      </c>
      <c r="O273" s="58">
        <v>38558.0</v>
      </c>
      <c r="P273" s="28">
        <f t="shared" si="11"/>
        <v>20</v>
      </c>
      <c r="Q273" s="28" t="s">
        <v>7122</v>
      </c>
      <c r="R273" s="28" t="s">
        <v>7123</v>
      </c>
      <c r="S273" s="28">
        <v>13.0</v>
      </c>
      <c r="T273" s="28">
        <v>31.0</v>
      </c>
      <c r="U273" s="28">
        <v>78.0</v>
      </c>
      <c r="V273" s="28">
        <v>14.0</v>
      </c>
      <c r="W273" s="28" t="s">
        <v>859</v>
      </c>
      <c r="X273" s="28" t="s">
        <v>272</v>
      </c>
      <c r="Y273" s="28" t="s">
        <v>7124</v>
      </c>
      <c r="Z273" s="28" t="s">
        <v>5918</v>
      </c>
      <c r="AA273" s="28" t="s">
        <v>477</v>
      </c>
      <c r="AB273" s="28">
        <v>15.0</v>
      </c>
      <c r="AC273" s="28" t="s">
        <v>25</v>
      </c>
      <c r="AD273" s="23"/>
      <c r="AE273" s="28" t="s">
        <v>8</v>
      </c>
      <c r="AF273" s="23" t="str">
        <f>IFERROR(__xludf.DUMMYFUNCTION("TEXTJOIN("", "", TRUE,
  FILTER(Champions!C:C,
    ISNUMBER(SEARCH(C273, Champions!W:W))
  )
)"),"Cathy Zubiate Whealon, Jayne Gonzalez")</f>
        <v>Cathy Zubiate Whealon, Jayne Gonzalez</v>
      </c>
      <c r="AG273" s="23"/>
      <c r="AH273" s="23" t="str">
        <f>IFERROR(__xludf.DUMMYFUNCTION("IF(
ISNUMBER(MATCH(
C273,
IMPORTRANGE(""https://docs.google.com/spreadsheets/d/1yTh1ELC33JHYOeEdgIiEclxPRyh0zOKtlawDltfUay8"",""'Interns'!A:A""),
0
)),
""Outreach Conducted"",
"""")"),"")</f>
        <v/>
      </c>
      <c r="AI273" s="23"/>
      <c r="AJ273" s="23"/>
      <c r="AK273" s="23" t="str">
        <f>IFERROR(__xludf.DUMMYFUNCTION("XLOOKUP(C273, 
   IMPORTRANGE(""1RdEdgHYrZ33LJ7RUHj_h-qkAFL92bcVjtIdVa-UlsCw"", ""Interns!D:D""), 
   IMPORTRANGE(""1RdEdgHYrZ33LJ7RUHj_h-qkAFL92bcVjtIdVa-UlsCw"", ""Interns!M:M""), 
   ""Not Found"")"),"")</f>
        <v/>
      </c>
      <c r="AL273" s="23" t="str">
        <f>IFERROR(__xludf.DUMMYFUNCTION("XLOOKUP(C273, 
   IMPORTRANGE(""1RdEdgHYrZ33LJ7RUHj_h-qkAFL92bcVjtIdVa-UlsCw"", ""Interns!D:D""), 
   IMPORTRANGE(""1RdEdgHYrZ33LJ7RUHj_h-qkAFL92bcVjtIdVa-UlsCw"", ""Interns!N:N""), 
   ""Not Found"")"),"")</f>
        <v/>
      </c>
      <c r="AM273" s="23" t="str">
        <f>IFERROR(__xludf.DUMMYFUNCTION("XLOOKUP(C273, 
   IMPORTRANGE(""1RdEdgHYrZ33LJ7RUHj_h-qkAFL92bcVjtIdVa-UlsCw"", ""Interns!D:D""), 
   IMPORTRANGE(""1RdEdgHYrZ33LJ7RUHj_h-qkAFL92bcVjtIdVa-UlsCw"", ""Interns!O:O""), 
   ""Not Found"")"),"")</f>
        <v/>
      </c>
      <c r="AN273" s="23"/>
      <c r="AO273" s="23" t="s">
        <v>7125</v>
      </c>
      <c r="AP273" s="28" t="s">
        <v>5182</v>
      </c>
      <c r="AQ273" s="28" t="s">
        <v>7121</v>
      </c>
      <c r="AR273" s="23">
        <v>6.467520216E9</v>
      </c>
      <c r="AS273" s="23"/>
      <c r="AT273" s="23"/>
      <c r="AU273" s="23"/>
      <c r="AV273" s="23"/>
    </row>
    <row r="274">
      <c r="A274" s="28" t="s">
        <v>5161</v>
      </c>
      <c r="B274" s="28" t="s">
        <v>31</v>
      </c>
      <c r="C274" s="23" t="str">
        <f t="shared" si="1"/>
        <v>Aminata. Kebe</v>
      </c>
      <c r="D274" s="28" t="s">
        <v>7126</v>
      </c>
      <c r="E274" s="28" t="s">
        <v>7127</v>
      </c>
      <c r="F274" s="23" t="str">
        <f t="array" ref="F274">IFERROR(
    INDEX('Hub Interns 226'!A:A, MATCH(C274, 'Hub Interns 226'!B:B, 0)),"")</f>
        <v/>
      </c>
      <c r="G274" s="23" t="str">
        <f t="array" ref="G274">IFERROR(
    INDEX('Hub Users 226'!A:A, MATCH(C274, 'Hub Users 226'!B:B, 0)),"")</f>
        <v/>
      </c>
      <c r="H274" s="28">
        <v>854.0</v>
      </c>
      <c r="I274" s="28" t="s">
        <v>290</v>
      </c>
      <c r="J274" s="28"/>
      <c r="K274" s="28"/>
      <c r="L274" s="28" t="s">
        <v>5196</v>
      </c>
      <c r="M274" s="56" t="s">
        <v>7128</v>
      </c>
      <c r="N274" s="57">
        <v>44589.40347222222</v>
      </c>
      <c r="O274" s="58">
        <v>37663.0</v>
      </c>
      <c r="P274" s="28">
        <f t="shared" si="11"/>
        <v>23</v>
      </c>
      <c r="Q274" s="28" t="s">
        <v>7129</v>
      </c>
      <c r="R274" s="28" t="s">
        <v>7130</v>
      </c>
      <c r="S274" s="28"/>
      <c r="T274" s="28"/>
      <c r="U274" s="28"/>
      <c r="V274" s="28"/>
      <c r="W274" s="28" t="s">
        <v>859</v>
      </c>
      <c r="X274" s="28" t="s">
        <v>272</v>
      </c>
      <c r="Y274" s="28" t="s">
        <v>7131</v>
      </c>
      <c r="Z274" s="28" t="s">
        <v>5310</v>
      </c>
      <c r="AA274" s="28" t="s">
        <v>362</v>
      </c>
      <c r="AB274" s="28">
        <v>16.0</v>
      </c>
      <c r="AC274" s="28" t="s">
        <v>24</v>
      </c>
      <c r="AD274" s="23"/>
      <c r="AE274" s="28" t="s">
        <v>8</v>
      </c>
      <c r="AF274" s="23"/>
      <c r="AG274" s="23"/>
      <c r="AH274" s="23" t="str">
        <f>IFERROR(__xludf.DUMMYFUNCTION("IF(
ISNUMBER(MATCH(
C274,
IMPORTRANGE(""https://docs.google.com/spreadsheets/d/1yTh1ELC33JHYOeEdgIiEclxPRyh0zOKtlawDltfUay8"",""'Interns'!A:A""),
0
)),
""Outreach Conducted"",
"""")"),"")</f>
        <v/>
      </c>
      <c r="AI274" s="23"/>
      <c r="AJ274" s="23"/>
      <c r="AK274" s="23" t="str">
        <f>IFERROR(__xludf.DUMMYFUNCTION("XLOOKUP(C274, 
   IMPORTRANGE(""1RdEdgHYrZ33LJ7RUHj_h-qkAFL92bcVjtIdVa-UlsCw"", ""Interns!D:D""), 
   IMPORTRANGE(""1RdEdgHYrZ33LJ7RUHj_h-qkAFL92bcVjtIdVa-UlsCw"", ""Interns!M:M""), 
   ""Not Found"")"),"")</f>
        <v/>
      </c>
      <c r="AL274" s="23" t="str">
        <f>IFERROR(__xludf.DUMMYFUNCTION("XLOOKUP(C274, 
   IMPORTRANGE(""1RdEdgHYrZ33LJ7RUHj_h-qkAFL92bcVjtIdVa-UlsCw"", ""Interns!D:D""), 
   IMPORTRANGE(""1RdEdgHYrZ33LJ7RUHj_h-qkAFL92bcVjtIdVa-UlsCw"", ""Interns!N:N""), 
   ""Not Found"")"),"")</f>
        <v/>
      </c>
      <c r="AM274" s="23" t="str">
        <f>IFERROR(__xludf.DUMMYFUNCTION("XLOOKUP(C274, 
   IMPORTRANGE(""1RdEdgHYrZ33LJ7RUHj_h-qkAFL92bcVjtIdVa-UlsCw"", ""Interns!D:D""), 
   IMPORTRANGE(""1RdEdgHYrZ33LJ7RUHj_h-qkAFL92bcVjtIdVa-UlsCw"", ""Interns!O:O""), 
   ""Not Found"")"),"")</f>
        <v/>
      </c>
      <c r="AN274" s="23"/>
      <c r="AO274" s="23" t="s">
        <v>7132</v>
      </c>
      <c r="AP274" s="28" t="s">
        <v>5182</v>
      </c>
      <c r="AQ274" s="28" t="s">
        <v>7133</v>
      </c>
      <c r="AR274" s="23" t="s">
        <v>7134</v>
      </c>
      <c r="AS274" s="23"/>
      <c r="AT274" s="23"/>
      <c r="AU274" s="23"/>
      <c r="AV274" s="23"/>
    </row>
    <row r="275">
      <c r="A275" s="28" t="s">
        <v>5161</v>
      </c>
      <c r="B275" s="28" t="s">
        <v>5162</v>
      </c>
      <c r="C275" s="23" t="str">
        <f t="shared" si="1"/>
        <v>Steisy Rodriguez</v>
      </c>
      <c r="D275" s="28" t="s">
        <v>7135</v>
      </c>
      <c r="E275" s="28" t="s">
        <v>536</v>
      </c>
      <c r="F275" s="23">
        <f t="array" ref="F275">IFERROR(
    INDEX('Hub Interns 226'!A:A, MATCH(C275, 'Hub Interns 226'!B:B, 0)),"")</f>
        <v>1119</v>
      </c>
      <c r="G275" s="23">
        <f t="array" ref="G275">IFERROR(
    INDEX('Hub Users 226'!A:A, MATCH(C275, 'Hub Users 226'!B:B, 0)),"")</f>
        <v>1552</v>
      </c>
      <c r="H275" s="28">
        <v>672.0</v>
      </c>
      <c r="I275" s="28" t="s">
        <v>407</v>
      </c>
      <c r="J275" s="28" t="s">
        <v>5336</v>
      </c>
      <c r="K275" s="28" t="s">
        <v>5177</v>
      </c>
      <c r="L275" s="28" t="s">
        <v>5196</v>
      </c>
      <c r="M275" s="56" t="s">
        <v>7136</v>
      </c>
      <c r="N275" s="59">
        <v>44546.4625</v>
      </c>
      <c r="O275" s="58">
        <v>38612.0</v>
      </c>
      <c r="P275" s="28">
        <f t="shared" si="11"/>
        <v>20</v>
      </c>
      <c r="Q275" s="28" t="s">
        <v>240</v>
      </c>
      <c r="R275" s="28" t="s">
        <v>7137</v>
      </c>
      <c r="S275" s="28">
        <v>10.0</v>
      </c>
      <c r="T275" s="28">
        <v>26.0</v>
      </c>
      <c r="U275" s="28">
        <v>51.0</v>
      </c>
      <c r="V275" s="28">
        <v>21.0</v>
      </c>
      <c r="W275" s="28" t="s">
        <v>294</v>
      </c>
      <c r="X275" s="28" t="s">
        <v>272</v>
      </c>
      <c r="Y275" s="28" t="s">
        <v>7138</v>
      </c>
      <c r="Z275" s="28" t="s">
        <v>5483</v>
      </c>
      <c r="AA275" s="28" t="s">
        <v>457</v>
      </c>
      <c r="AB275" s="28">
        <v>25.0</v>
      </c>
      <c r="AC275" s="28" t="s">
        <v>25</v>
      </c>
      <c r="AD275" s="23"/>
      <c r="AE275" s="28" t="s">
        <v>10</v>
      </c>
      <c r="AF275" s="23" t="str">
        <f>IFERROR(__xludf.DUMMYFUNCTION("TEXTJOIN("", "", TRUE,
  FILTER(Champions!C:C,
    ISNUMBER(SEARCH(C275, Champions!W:W))
  )
)"),"Christa Neu, Sunkyung Park")</f>
        <v>Christa Neu, Sunkyung Park</v>
      </c>
      <c r="AG275" s="23"/>
      <c r="AH275" s="23" t="str">
        <f>IFERROR(__xludf.DUMMYFUNCTION("IF(
ISNUMBER(MATCH(
C275,
IMPORTRANGE(""https://docs.google.com/spreadsheets/d/1yTh1ELC33JHYOeEdgIiEclxPRyh0zOKtlawDltfUay8"",""'Interns'!A:A""),
0
)),
""Outreach Conducted"",
"""")"),"")</f>
        <v/>
      </c>
      <c r="AI275" s="23"/>
      <c r="AJ275" s="23"/>
      <c r="AK275" s="23" t="str">
        <f>IFERROR(__xludf.DUMMYFUNCTION("XLOOKUP(C275, 
   IMPORTRANGE(""1RdEdgHYrZ33LJ7RUHj_h-qkAFL92bcVjtIdVa-UlsCw"", ""Interns!D:D""), 
   IMPORTRANGE(""1RdEdgHYrZ33LJ7RUHj_h-qkAFL92bcVjtIdVa-UlsCw"", ""Interns!M:M""), 
   ""Not Found"")"),"Contacted")</f>
        <v>Contacted</v>
      </c>
      <c r="AL275" s="23" t="str">
        <f>IFERROR(__xludf.DUMMYFUNCTION("XLOOKUP(C275, 
   IMPORTRANGE(""1RdEdgHYrZ33LJ7RUHj_h-qkAFL92bcVjtIdVa-UlsCw"", ""Interns!D:D""), 
   IMPORTRANGE(""1RdEdgHYrZ33LJ7RUHj_h-qkAFL92bcVjtIdVa-UlsCw"", ""Interns!N:N""), 
   ""Not Found"")"),"#Cheers4Careers")</f>
        <v>#Cheers4Careers</v>
      </c>
      <c r="AM275" s="23" t="str">
        <f>IFERROR(__xludf.DUMMYFUNCTION("XLOOKUP(C275, 
   IMPORTRANGE(""1RdEdgHYrZ33LJ7RUHj_h-qkAFL92bcVjtIdVa-UlsCw"", ""Interns!D:D""), 
   IMPORTRANGE(""1RdEdgHYrZ33LJ7RUHj_h-qkAFL92bcVjtIdVa-UlsCw"", ""Interns!O:O""), 
   ""Not Found"")"),"Hetal reached out by email 3/27")</f>
        <v>Hetal reached out by email 3/27</v>
      </c>
      <c r="AN275" s="23"/>
      <c r="AO275" s="23" t="s">
        <v>7139</v>
      </c>
      <c r="AP275" s="28" t="s">
        <v>5182</v>
      </c>
      <c r="AQ275" s="28" t="s">
        <v>7140</v>
      </c>
      <c r="AR275" s="23" t="s">
        <v>7141</v>
      </c>
      <c r="AS275" s="23"/>
      <c r="AT275" s="23"/>
      <c r="AU275" s="23"/>
      <c r="AV275" s="23"/>
    </row>
    <row r="276">
      <c r="A276" s="28" t="s">
        <v>5161</v>
      </c>
      <c r="B276" s="28" t="s">
        <v>5162</v>
      </c>
      <c r="C276" s="23" t="str">
        <f t="shared" si="1"/>
        <v>David Reynoso Fernandez</v>
      </c>
      <c r="D276" s="28" t="s">
        <v>1068</v>
      </c>
      <c r="E276" s="28" t="s">
        <v>7142</v>
      </c>
      <c r="F276" s="23">
        <f t="array" ref="F276">IFERROR(
    INDEX('Hub Interns 226'!A:A, MATCH(C276, 'Hub Interns 226'!B:B, 0)),"")</f>
        <v>419</v>
      </c>
      <c r="G276" s="23">
        <f t="array" ref="G276">IFERROR(
    INDEX('Hub Users 226'!A:A, MATCH(C276, 'Hub Users 226'!B:B, 0)),"")</f>
        <v>852</v>
      </c>
      <c r="H276" s="28">
        <v>547.0</v>
      </c>
      <c r="I276" s="28" t="s">
        <v>239</v>
      </c>
      <c r="J276" s="28" t="s">
        <v>5336</v>
      </c>
      <c r="K276" s="28" t="s">
        <v>5177</v>
      </c>
      <c r="L276" s="28" t="s">
        <v>5165</v>
      </c>
      <c r="M276" s="56" t="s">
        <v>7143</v>
      </c>
      <c r="N276" s="57">
        <v>44477.55069444444</v>
      </c>
      <c r="O276" s="58">
        <v>38671.0</v>
      </c>
      <c r="P276" s="28">
        <f t="shared" si="11"/>
        <v>20</v>
      </c>
      <c r="Q276" s="28" t="s">
        <v>7144</v>
      </c>
      <c r="R276" s="28" t="s">
        <v>7145</v>
      </c>
      <c r="S276" s="28">
        <v>14.0</v>
      </c>
      <c r="T276" s="28">
        <v>13.0</v>
      </c>
      <c r="U276" s="28">
        <v>35.0</v>
      </c>
      <c r="V276" s="28">
        <v>21.0</v>
      </c>
      <c r="W276" s="28" t="s">
        <v>1173</v>
      </c>
      <c r="X276" s="28" t="s">
        <v>272</v>
      </c>
      <c r="Y276" s="28" t="s">
        <v>7146</v>
      </c>
      <c r="Z276" s="28" t="s">
        <v>5189</v>
      </c>
      <c r="AA276" s="28" t="s">
        <v>619</v>
      </c>
      <c r="AB276" s="28">
        <v>20.0</v>
      </c>
      <c r="AC276" s="28" t="s">
        <v>25</v>
      </c>
      <c r="AD276" s="23"/>
      <c r="AE276" s="28" t="s">
        <v>10</v>
      </c>
      <c r="AF276" s="23" t="str">
        <f>IFERROR(__xludf.DUMMYFUNCTION("TEXTJOIN("", "", TRUE,
  FILTER(Champions!C:C,
    ISNUMBER(SEARCH(C276, Champions!W:W))
  )
)"),"Griselda Guadalupe Cuevas Zambrano, Paola Lopez")</f>
        <v>Griselda Guadalupe Cuevas Zambrano, Paola Lopez</v>
      </c>
      <c r="AG276" s="23"/>
      <c r="AH276" s="23" t="str">
        <f>IFERROR(__xludf.DUMMYFUNCTION("IF(
ISNUMBER(MATCH(
C276,
IMPORTRANGE(""https://docs.google.com/spreadsheets/d/1yTh1ELC33JHYOeEdgIiEclxPRyh0zOKtlawDltfUay8"",""'Interns'!A:A""),
0
)),
""Outreach Conducted"",
"""")"),"")</f>
        <v/>
      </c>
      <c r="AI276" s="23"/>
      <c r="AJ276" s="23"/>
      <c r="AK276" s="23" t="str">
        <f>IFERROR(__xludf.DUMMYFUNCTION("XLOOKUP(C276, 
   IMPORTRANGE(""1RdEdgHYrZ33LJ7RUHj_h-qkAFL92bcVjtIdVa-UlsCw"", ""Interns!D:D""), 
   IMPORTRANGE(""1RdEdgHYrZ33LJ7RUHj_h-qkAFL92bcVjtIdVa-UlsCw"", ""Interns!M:M""), 
   ""Not Found"")"),"Contacted")</f>
        <v>Contacted</v>
      </c>
      <c r="AL276" s="23" t="str">
        <f>IFERROR(__xludf.DUMMYFUNCTION("XLOOKUP(C276, 
   IMPORTRANGE(""1RdEdgHYrZ33LJ7RUHj_h-qkAFL92bcVjtIdVa-UlsCw"", ""Interns!D:D""), 
   IMPORTRANGE(""1RdEdgHYrZ33LJ7RUHj_h-qkAFL92bcVjtIdVa-UlsCw"", ""Interns!N:N""), 
   ""Not Found"")"),"#Cheers4Careers")</f>
        <v>#Cheers4Careers</v>
      </c>
      <c r="AM276" s="23" t="str">
        <f>IFERROR(__xludf.DUMMYFUNCTION("XLOOKUP(C276, 
   IMPORTRANGE(""1RdEdgHYrZ33LJ7RUHj_h-qkAFL92bcVjtIdVa-UlsCw"", ""Interns!D:D""), 
   IMPORTRANGE(""1RdEdgHYrZ33LJ7RUHj_h-qkAFL92bcVjtIdVa-UlsCw"", ""Interns!O:O""), 
   ""Not Found"")"),"Hetal reached out by email 3/27 followed by text")</f>
        <v>Hetal reached out by email 3/27 followed by text</v>
      </c>
      <c r="AN276" s="23"/>
      <c r="AO276" s="23" t="s">
        <v>7147</v>
      </c>
      <c r="AP276" s="28" t="s">
        <v>5182</v>
      </c>
      <c r="AQ276" s="28" t="s">
        <v>7148</v>
      </c>
      <c r="AR276" s="23" t="s">
        <v>7149</v>
      </c>
      <c r="AS276" s="23"/>
      <c r="AT276" s="23"/>
      <c r="AU276" s="23"/>
      <c r="AV276" s="23"/>
    </row>
    <row r="277">
      <c r="A277" s="28" t="s">
        <v>5202</v>
      </c>
      <c r="B277" s="28" t="s">
        <v>5162</v>
      </c>
      <c r="C277" s="23" t="str">
        <f t="shared" si="1"/>
        <v>Rafialy Carrasco</v>
      </c>
      <c r="D277" s="28" t="s">
        <v>7150</v>
      </c>
      <c r="E277" s="28" t="s">
        <v>7104</v>
      </c>
      <c r="F277" s="23">
        <f t="array" ref="F277">IFERROR(
    INDEX('Hub Interns 226'!A:A, MATCH(C277, 'Hub Interns 226'!B:B, 0)),"")</f>
        <v>1009</v>
      </c>
      <c r="G277" s="23">
        <f t="array" ref="G277">IFERROR(
    INDEX('Hub Users 226'!A:A, MATCH(C277, 'Hub Users 226'!B:B, 0)),"")</f>
        <v>1442</v>
      </c>
      <c r="H277" s="28">
        <v>470.0</v>
      </c>
      <c r="I277" s="28" t="s">
        <v>260</v>
      </c>
      <c r="J277" s="28" t="s">
        <v>5336</v>
      </c>
      <c r="K277" s="28" t="s">
        <v>5177</v>
      </c>
      <c r="L277" s="28" t="s">
        <v>5165</v>
      </c>
      <c r="M277" s="56" t="s">
        <v>7151</v>
      </c>
      <c r="N277" s="57">
        <v>44361.85625</v>
      </c>
      <c r="O277" s="58">
        <v>37656.0</v>
      </c>
      <c r="P277" s="28">
        <f t="shared" si="11"/>
        <v>23</v>
      </c>
      <c r="Q277" s="28" t="s">
        <v>7152</v>
      </c>
      <c r="R277" s="28" t="s">
        <v>7153</v>
      </c>
      <c r="S277" s="28">
        <v>15.0</v>
      </c>
      <c r="T277" s="28">
        <v>36.0</v>
      </c>
      <c r="U277" s="28">
        <v>80.0</v>
      </c>
      <c r="V277" s="28">
        <v>15.0</v>
      </c>
      <c r="W277" s="28" t="s">
        <v>859</v>
      </c>
      <c r="X277" s="28" t="s">
        <v>272</v>
      </c>
      <c r="Y277" s="28" t="s">
        <v>7154</v>
      </c>
      <c r="Z277" s="28" t="s">
        <v>5435</v>
      </c>
      <c r="AA277" s="28" t="s">
        <v>5436</v>
      </c>
      <c r="AB277" s="28">
        <v>10.0</v>
      </c>
      <c r="AC277" s="28" t="s">
        <v>25</v>
      </c>
      <c r="AD277" s="23"/>
      <c r="AE277" s="28" t="s">
        <v>10</v>
      </c>
      <c r="AF277" s="23" t="str">
        <f>IFERROR(__xludf.DUMMYFUNCTION("TEXTJOIN("", "", TRUE,
  FILTER(Champions!C:C,
    ISNUMBER(SEARCH(C277, Champions!W:W))
  )
)"),"Addy Michelle Jimenez Haga, Abigail Mawhirter, Nishika Vidanage-Lulejian")</f>
        <v>Addy Michelle Jimenez Haga, Abigail Mawhirter, Nishika Vidanage-Lulejian</v>
      </c>
      <c r="AG277" s="23"/>
      <c r="AH277" s="23" t="str">
        <f>IFERROR(__xludf.DUMMYFUNCTION("IF(
ISNUMBER(MATCH(
C277,
IMPORTRANGE(""https://docs.google.com/spreadsheets/d/1yTh1ELC33JHYOeEdgIiEclxPRyh0zOKtlawDltfUay8"",""'Interns'!A:A""),
0
)),
""Outreach Conducted"",
"""")"),"")</f>
        <v/>
      </c>
      <c r="AI277" s="23"/>
      <c r="AJ277" s="23"/>
      <c r="AK277" s="23" t="str">
        <f>IFERROR(__xludf.DUMMYFUNCTION("XLOOKUP(C277, 
   IMPORTRANGE(""1RdEdgHYrZ33LJ7RUHj_h-qkAFL92bcVjtIdVa-UlsCw"", ""Interns!D:D""), 
   IMPORTRANGE(""1RdEdgHYrZ33LJ7RUHj_h-qkAFL92bcVjtIdVa-UlsCw"", ""Interns!M:M""), 
   ""Not Found"")"),"")</f>
        <v/>
      </c>
      <c r="AL277" s="23" t="str">
        <f>IFERROR(__xludf.DUMMYFUNCTION("XLOOKUP(C277, 
   IMPORTRANGE(""1RdEdgHYrZ33LJ7RUHj_h-qkAFL92bcVjtIdVa-UlsCw"", ""Interns!D:D""), 
   IMPORTRANGE(""1RdEdgHYrZ33LJ7RUHj_h-qkAFL92bcVjtIdVa-UlsCw"", ""Interns!N:N""), 
   ""Not Found"")"),"")</f>
        <v/>
      </c>
      <c r="AM277" s="23" t="str">
        <f>IFERROR(__xludf.DUMMYFUNCTION("XLOOKUP(C277, 
   IMPORTRANGE(""1RdEdgHYrZ33LJ7RUHj_h-qkAFL92bcVjtIdVa-UlsCw"", ""Interns!D:D""), 
   IMPORTRANGE(""1RdEdgHYrZ33LJ7RUHj_h-qkAFL92bcVjtIdVa-UlsCw"", ""Interns!O:O""), 
   ""Not Found"")"),"")</f>
        <v/>
      </c>
      <c r="AN277" s="23"/>
      <c r="AO277" s="23" t="s">
        <v>7155</v>
      </c>
      <c r="AP277" s="28" t="s">
        <v>5182</v>
      </c>
      <c r="AQ277" s="28" t="s">
        <v>7156</v>
      </c>
      <c r="AR277" s="23" t="s">
        <v>7157</v>
      </c>
      <c r="AS277" s="23"/>
      <c r="AT277" s="23"/>
      <c r="AU277" s="23"/>
      <c r="AV277" s="23"/>
    </row>
    <row r="278">
      <c r="A278" s="28" t="s">
        <v>5202</v>
      </c>
      <c r="B278" s="28" t="s">
        <v>5162</v>
      </c>
      <c r="C278" s="23" t="str">
        <f t="shared" si="1"/>
        <v>Akemi Liz</v>
      </c>
      <c r="D278" s="28" t="s">
        <v>7158</v>
      </c>
      <c r="E278" s="28" t="s">
        <v>7159</v>
      </c>
      <c r="F278" s="23">
        <f t="array" ref="F278">IFERROR(
    INDEX('Hub Interns 226'!A:A, MATCH(C278, 'Hub Interns 226'!B:B, 0)),"")</f>
        <v>167</v>
      </c>
      <c r="G278" s="23">
        <f t="array" ref="G278">IFERROR(
    INDEX('Hub Users 226'!A:A, MATCH(C278, 'Hub Users 226'!B:B, 0)),"")</f>
        <v>600</v>
      </c>
      <c r="H278" s="28">
        <v>791.0</v>
      </c>
      <c r="I278" s="28" t="s">
        <v>608</v>
      </c>
      <c r="J278" s="28" t="s">
        <v>5336</v>
      </c>
      <c r="K278" s="28" t="s">
        <v>5177</v>
      </c>
      <c r="L278" s="28" t="s">
        <v>5196</v>
      </c>
      <c r="M278" s="56" t="s">
        <v>7160</v>
      </c>
      <c r="N278" s="57">
        <v>44565.069444444445</v>
      </c>
      <c r="O278" s="58">
        <v>38492.0</v>
      </c>
      <c r="P278" s="28">
        <f t="shared" si="11"/>
        <v>20</v>
      </c>
      <c r="Q278" s="28" t="s">
        <v>240</v>
      </c>
      <c r="R278" s="28" t="s">
        <v>7161</v>
      </c>
      <c r="S278" s="28">
        <v>13.0</v>
      </c>
      <c r="T278" s="28">
        <v>31.0</v>
      </c>
      <c r="U278" s="28">
        <v>72.0</v>
      </c>
      <c r="V278" s="28">
        <v>10.0</v>
      </c>
      <c r="W278" s="28" t="s">
        <v>271</v>
      </c>
      <c r="X278" s="28" t="s">
        <v>272</v>
      </c>
      <c r="Y278" s="28" t="s">
        <v>7162</v>
      </c>
      <c r="Z278" s="28" t="s">
        <v>5341</v>
      </c>
      <c r="AA278" s="28" t="s">
        <v>1085</v>
      </c>
      <c r="AB278" s="28">
        <v>10.0</v>
      </c>
      <c r="AC278" s="28" t="s">
        <v>25</v>
      </c>
      <c r="AD278" s="23"/>
      <c r="AE278" s="28" t="s">
        <v>10</v>
      </c>
      <c r="AF278" s="23" t="str">
        <f>IFERROR(__xludf.DUMMYFUNCTION("TEXTJOIN("", "", TRUE,
  FILTER(Champions!C:C,
    ISNUMBER(SEARCH(C278, Champions!W:W))
  )
)"),"Leif Castren, Fatima Ramadan Sanz")</f>
        <v>Leif Castren, Fatima Ramadan Sanz</v>
      </c>
      <c r="AG278" s="23"/>
      <c r="AH278" s="23" t="str">
        <f>IFERROR(__xludf.DUMMYFUNCTION("IF(
ISNUMBER(MATCH(
C278,
IMPORTRANGE(""https://docs.google.com/spreadsheets/d/1yTh1ELC33JHYOeEdgIiEclxPRyh0zOKtlawDltfUay8"",""'Interns'!A:A""),
0
)),
""Outreach Conducted"",
"""")"),"")</f>
        <v/>
      </c>
      <c r="AI278" s="23"/>
      <c r="AJ278" s="23"/>
      <c r="AK278" s="23" t="str">
        <f>IFERROR(__xludf.DUMMYFUNCTION("XLOOKUP(C278, 
   IMPORTRANGE(""1RdEdgHYrZ33LJ7RUHj_h-qkAFL92bcVjtIdVa-UlsCw"", ""Interns!D:D""), 
   IMPORTRANGE(""1RdEdgHYrZ33LJ7RUHj_h-qkAFL92bcVjtIdVa-UlsCw"", ""Interns!M:M""), 
   ""Not Found"")"),"")</f>
        <v/>
      </c>
      <c r="AL278" s="23" t="str">
        <f>IFERROR(__xludf.DUMMYFUNCTION("XLOOKUP(C278, 
   IMPORTRANGE(""1RdEdgHYrZ33LJ7RUHj_h-qkAFL92bcVjtIdVa-UlsCw"", ""Interns!D:D""), 
   IMPORTRANGE(""1RdEdgHYrZ33LJ7RUHj_h-qkAFL92bcVjtIdVa-UlsCw"", ""Interns!N:N""), 
   ""Not Found"")"),"")</f>
        <v/>
      </c>
      <c r="AM278" s="23" t="str">
        <f>IFERROR(__xludf.DUMMYFUNCTION("XLOOKUP(C278, 
   IMPORTRANGE(""1RdEdgHYrZ33LJ7RUHj_h-qkAFL92bcVjtIdVa-UlsCw"", ""Interns!D:D""), 
   IMPORTRANGE(""1RdEdgHYrZ33LJ7RUHj_h-qkAFL92bcVjtIdVa-UlsCw"", ""Interns!O:O""), 
   ""Not Found"")"),"")</f>
        <v/>
      </c>
      <c r="AN278" s="23"/>
      <c r="AO278" s="23" t="s">
        <v>7163</v>
      </c>
      <c r="AP278" s="28" t="s">
        <v>5191</v>
      </c>
      <c r="AQ278" s="28" t="s">
        <v>7164</v>
      </c>
      <c r="AR278" s="23" t="s">
        <v>7165</v>
      </c>
      <c r="AS278" s="23"/>
      <c r="AT278" s="23"/>
      <c r="AU278" s="23"/>
      <c r="AV278" s="23"/>
    </row>
    <row r="279">
      <c r="A279" s="28" t="s">
        <v>5202</v>
      </c>
      <c r="B279" s="28" t="s">
        <v>5162</v>
      </c>
      <c r="C279" s="23" t="str">
        <f t="shared" si="1"/>
        <v>Raimelis Garcia</v>
      </c>
      <c r="D279" s="28" t="s">
        <v>7166</v>
      </c>
      <c r="E279" s="28" t="s">
        <v>1484</v>
      </c>
      <c r="F279" s="23">
        <f t="array" ref="F279">IFERROR(
    INDEX('Hub Interns 226'!A:A, MATCH(C279, 'Hub Interns 226'!B:B, 0)),"")</f>
        <v>1010</v>
      </c>
      <c r="G279" s="23">
        <f t="array" ref="G279">IFERROR(
    INDEX('Hub Users 226'!A:A, MATCH(C279, 'Hub Users 226'!B:B, 0)),"")</f>
        <v>1443</v>
      </c>
      <c r="H279" s="28">
        <v>269.0</v>
      </c>
      <c r="I279" s="28" t="s">
        <v>260</v>
      </c>
      <c r="J279" s="28" t="s">
        <v>5336</v>
      </c>
      <c r="K279" s="28" t="s">
        <v>5177</v>
      </c>
      <c r="L279" s="28" t="s">
        <v>5196</v>
      </c>
      <c r="M279" s="56" t="s">
        <v>7167</v>
      </c>
      <c r="N279" s="57">
        <v>44208.410416666666</v>
      </c>
      <c r="O279" s="58">
        <v>38138.0</v>
      </c>
      <c r="P279" s="28">
        <f t="shared" si="11"/>
        <v>21</v>
      </c>
      <c r="Q279" s="28" t="s">
        <v>7168</v>
      </c>
      <c r="R279" s="28" t="s">
        <v>7169</v>
      </c>
      <c r="S279" s="28">
        <v>13.0</v>
      </c>
      <c r="T279" s="28">
        <v>33.0</v>
      </c>
      <c r="U279" s="28">
        <v>78.0</v>
      </c>
      <c r="V279" s="28">
        <v>15.0</v>
      </c>
      <c r="W279" s="28" t="s">
        <v>859</v>
      </c>
      <c r="X279" s="28" t="s">
        <v>272</v>
      </c>
      <c r="Y279" s="28">
        <v>6.466577248E9</v>
      </c>
      <c r="Z279" s="28" t="s">
        <v>5918</v>
      </c>
      <c r="AA279" s="28" t="s">
        <v>477</v>
      </c>
      <c r="AB279" s="28">
        <v>15.0</v>
      </c>
      <c r="AC279" s="28" t="s">
        <v>25</v>
      </c>
      <c r="AD279" s="23"/>
      <c r="AE279" s="28" t="s">
        <v>11</v>
      </c>
      <c r="AF279" s="23" t="str">
        <f>IFERROR(__xludf.DUMMYFUNCTION("TEXTJOIN("", "", TRUE,
  FILTER(Champions!C:C,
    ISNUMBER(SEARCH(C279, Champions!W:W))
  )
)"),"Abigail Mawhirter, Divya Padgaonkar, Mariann Melicharek Kessler")</f>
        <v>Abigail Mawhirter, Divya Padgaonkar, Mariann Melicharek Kessler</v>
      </c>
      <c r="AG279" s="23"/>
      <c r="AH279" s="23" t="str">
        <f>IFERROR(__xludf.DUMMYFUNCTION("IF(
ISNUMBER(MATCH(
C279,
IMPORTRANGE(""https://docs.google.com/spreadsheets/d/1yTh1ELC33JHYOeEdgIiEclxPRyh0zOKtlawDltfUay8"",""'Interns'!A:A""),
0
)),
""Outreach Conducted"",
"""")"),"")</f>
        <v/>
      </c>
      <c r="AI279" s="23"/>
      <c r="AJ279" s="23"/>
      <c r="AK279" s="23" t="str">
        <f>IFERROR(__xludf.DUMMYFUNCTION("XLOOKUP(C279, 
   IMPORTRANGE(""1RdEdgHYrZ33LJ7RUHj_h-qkAFL92bcVjtIdVa-UlsCw"", ""Interns!D:D""), 
   IMPORTRANGE(""1RdEdgHYrZ33LJ7RUHj_h-qkAFL92bcVjtIdVa-UlsCw"", ""Interns!M:M""), 
   ""Not Found"")"),"")</f>
        <v/>
      </c>
      <c r="AL279" s="23" t="str">
        <f>IFERROR(__xludf.DUMMYFUNCTION("XLOOKUP(C279, 
   IMPORTRANGE(""1RdEdgHYrZ33LJ7RUHj_h-qkAFL92bcVjtIdVa-UlsCw"", ""Interns!D:D""), 
   IMPORTRANGE(""1RdEdgHYrZ33LJ7RUHj_h-qkAFL92bcVjtIdVa-UlsCw"", ""Interns!N:N""), 
   ""Not Found"")"),"")</f>
        <v/>
      </c>
      <c r="AM279" s="23" t="str">
        <f>IFERROR(__xludf.DUMMYFUNCTION("XLOOKUP(C279, 
   IMPORTRANGE(""1RdEdgHYrZ33LJ7RUHj_h-qkAFL92bcVjtIdVa-UlsCw"", ""Interns!D:D""), 
   IMPORTRANGE(""1RdEdgHYrZ33LJ7RUHj_h-qkAFL92bcVjtIdVa-UlsCw"", ""Interns!O:O""), 
   ""Not Found"")"),"")</f>
        <v/>
      </c>
      <c r="AN279" s="23"/>
      <c r="AO279" s="23" t="s">
        <v>7170</v>
      </c>
      <c r="AP279" s="28" t="s">
        <v>5182</v>
      </c>
      <c r="AQ279" s="28" t="s">
        <v>7171</v>
      </c>
      <c r="AR279" s="23">
        <v>6.466577248E9</v>
      </c>
      <c r="AS279" s="23"/>
      <c r="AT279" s="23"/>
      <c r="AU279" s="23"/>
      <c r="AV279" s="23"/>
    </row>
    <row r="280">
      <c r="A280" s="28" t="s">
        <v>5161</v>
      </c>
      <c r="B280" s="28" t="s">
        <v>5162</v>
      </c>
      <c r="C280" s="23" t="str">
        <f t="shared" si="1"/>
        <v>Enmanuel Gervacio Rodriguez</v>
      </c>
      <c r="D280" s="28" t="s">
        <v>7172</v>
      </c>
      <c r="E280" s="28" t="s">
        <v>7173</v>
      </c>
      <c r="F280" s="23">
        <f t="array" ref="F280">IFERROR(
    INDEX('Hub Interns 226'!A:A, MATCH(C280, 'Hub Interns 226'!B:B, 0)),"")</f>
        <v>491</v>
      </c>
      <c r="G280" s="23">
        <f t="array" ref="G280">IFERROR(
    INDEX('Hub Users 226'!A:A, MATCH(C280, 'Hub Users 226'!B:B, 0)),"")</f>
        <v>924</v>
      </c>
      <c r="H280" s="28">
        <v>949.0</v>
      </c>
      <c r="I280" s="28" t="s">
        <v>785</v>
      </c>
      <c r="J280" s="28" t="s">
        <v>5336</v>
      </c>
      <c r="K280" s="28" t="s">
        <v>5177</v>
      </c>
      <c r="L280" s="28" t="s">
        <v>5165</v>
      </c>
      <c r="M280" s="56" t="s">
        <v>7174</v>
      </c>
      <c r="N280" s="57">
        <v>44610.86388888889</v>
      </c>
      <c r="O280" s="58">
        <v>38514.0</v>
      </c>
      <c r="P280" s="28">
        <f t="shared" si="11"/>
        <v>20</v>
      </c>
      <c r="Q280" s="28" t="s">
        <v>7175</v>
      </c>
      <c r="R280" s="28" t="s">
        <v>7176</v>
      </c>
      <c r="S280" s="28">
        <v>15.0</v>
      </c>
      <c r="T280" s="28">
        <v>33.0</v>
      </c>
      <c r="U280" s="28">
        <v>86.0</v>
      </c>
      <c r="V280" s="28">
        <v>14.0</v>
      </c>
      <c r="W280" s="28" t="s">
        <v>859</v>
      </c>
      <c r="X280" s="28" t="s">
        <v>272</v>
      </c>
      <c r="Y280" s="28">
        <v>1.3477413371E10</v>
      </c>
      <c r="Z280" s="28" t="s">
        <v>5310</v>
      </c>
      <c r="AA280" s="28" t="s">
        <v>362</v>
      </c>
      <c r="AB280" s="28">
        <v>16.0</v>
      </c>
      <c r="AC280" s="28" t="s">
        <v>25</v>
      </c>
      <c r="AD280" s="23"/>
      <c r="AE280" s="28" t="s">
        <v>10</v>
      </c>
      <c r="AF280" s="23" t="str">
        <f>IFERROR(__xludf.DUMMYFUNCTION("TEXTJOIN("", "", TRUE,
  FILTER(Champions!C:C,
    ISNUMBER(SEARCH(C280, Champions!W:W))
  )
)"),"Paola Lopez, Tara Shajan")</f>
        <v>Paola Lopez, Tara Shajan</v>
      </c>
      <c r="AG280" s="23"/>
      <c r="AH280" s="23" t="str">
        <f>IFERROR(__xludf.DUMMYFUNCTION("IF(
ISNUMBER(MATCH(
C280,
IMPORTRANGE(""https://docs.google.com/spreadsheets/d/1yTh1ELC33JHYOeEdgIiEclxPRyh0zOKtlawDltfUay8"",""'Interns'!A:A""),
0
)),
""Outreach Conducted"",
"""")"),"")</f>
        <v/>
      </c>
      <c r="AI280" s="23"/>
      <c r="AJ280" s="23"/>
      <c r="AK280" s="23" t="str">
        <f>IFERROR(__xludf.DUMMYFUNCTION("XLOOKUP(C280, 
   IMPORTRANGE(""1RdEdgHYrZ33LJ7RUHj_h-qkAFL92bcVjtIdVa-UlsCw"", ""Interns!D:D""), 
   IMPORTRANGE(""1RdEdgHYrZ33LJ7RUHj_h-qkAFL92bcVjtIdVa-UlsCw"", ""Interns!M:M""), 
   ""Not Found"")"),"")</f>
        <v/>
      </c>
      <c r="AL280" s="23" t="str">
        <f>IFERROR(__xludf.DUMMYFUNCTION("XLOOKUP(C280, 
   IMPORTRANGE(""1RdEdgHYrZ33LJ7RUHj_h-qkAFL92bcVjtIdVa-UlsCw"", ""Interns!D:D""), 
   IMPORTRANGE(""1RdEdgHYrZ33LJ7RUHj_h-qkAFL92bcVjtIdVa-UlsCw"", ""Interns!N:N""), 
   ""Not Found"")"),"")</f>
        <v/>
      </c>
      <c r="AM280" s="23" t="str">
        <f>IFERROR(__xludf.DUMMYFUNCTION("XLOOKUP(C280, 
   IMPORTRANGE(""1RdEdgHYrZ33LJ7RUHj_h-qkAFL92bcVjtIdVa-UlsCw"", ""Interns!D:D""), 
   IMPORTRANGE(""1RdEdgHYrZ33LJ7RUHj_h-qkAFL92bcVjtIdVa-UlsCw"", ""Interns!O:O""), 
   ""Not Found"")"),"")</f>
        <v/>
      </c>
      <c r="AN280" s="23"/>
      <c r="AO280" s="23" t="s">
        <v>7177</v>
      </c>
      <c r="AP280" s="28" t="s">
        <v>5191</v>
      </c>
      <c r="AQ280" s="28" t="s">
        <v>7178</v>
      </c>
      <c r="AR280" s="23" t="s">
        <v>7179</v>
      </c>
      <c r="AS280" s="23"/>
      <c r="AT280" s="23"/>
      <c r="AU280" s="23"/>
      <c r="AV280" s="23"/>
    </row>
    <row r="281">
      <c r="A281" s="28" t="s">
        <v>5161</v>
      </c>
      <c r="B281" s="28" t="s">
        <v>5162</v>
      </c>
      <c r="C281" s="23" t="str">
        <f t="shared" si="1"/>
        <v>Jaylin Rosa Gonzalez</v>
      </c>
      <c r="D281" s="28" t="s">
        <v>7180</v>
      </c>
      <c r="E281" s="28" t="s">
        <v>7181</v>
      </c>
      <c r="F281" s="23">
        <f t="array" ref="F281">IFERROR(
    INDEX('Hub Interns 226'!A:A, MATCH(C281, 'Hub Interns 226'!B:B, 0)),"")</f>
        <v>635</v>
      </c>
      <c r="G281" s="23">
        <f t="array" ref="G281">IFERROR(
    INDEX('Hub Users 226'!A:A, MATCH(C281, 'Hub Users 226'!B:B, 0)),"")</f>
        <v>1068</v>
      </c>
      <c r="H281" s="28">
        <v>765.0</v>
      </c>
      <c r="I281" s="28" t="s">
        <v>260</v>
      </c>
      <c r="J281" s="28" t="s">
        <v>5336</v>
      </c>
      <c r="K281" s="28" t="s">
        <v>5177</v>
      </c>
      <c r="L281" s="28" t="s">
        <v>5196</v>
      </c>
      <c r="M281" s="56" t="s">
        <v>7182</v>
      </c>
      <c r="N281" s="59">
        <v>44551.930555555555</v>
      </c>
      <c r="O281" s="58">
        <v>38675.0</v>
      </c>
      <c r="P281" s="28">
        <f t="shared" si="11"/>
        <v>20</v>
      </c>
      <c r="Q281" s="28" t="s">
        <v>240</v>
      </c>
      <c r="R281" s="28" t="s">
        <v>7183</v>
      </c>
      <c r="S281" s="28">
        <v>13.0</v>
      </c>
      <c r="T281" s="28">
        <v>31.0</v>
      </c>
      <c r="U281" s="28">
        <v>72.0</v>
      </c>
      <c r="V281" s="28">
        <v>10.0</v>
      </c>
      <c r="W281" s="28" t="s">
        <v>271</v>
      </c>
      <c r="X281" s="28" t="s">
        <v>272</v>
      </c>
      <c r="Y281" s="28" t="s">
        <v>7184</v>
      </c>
      <c r="Z281" s="28" t="s">
        <v>5341</v>
      </c>
      <c r="AA281" s="28" t="s">
        <v>1085</v>
      </c>
      <c r="AB281" s="28">
        <v>10.0</v>
      </c>
      <c r="AC281" s="28" t="s">
        <v>25</v>
      </c>
      <c r="AD281" s="23"/>
      <c r="AE281" s="28" t="s">
        <v>10</v>
      </c>
      <c r="AF281" s="23" t="str">
        <f>IFERROR(__xludf.DUMMYFUNCTION("TEXTJOIN("", "", TRUE,
  FILTER(Champions!C:C,
    ISNUMBER(SEARCH(C281, Champions!W:W))
  )
)"),"Samantha Cadorniga, Suzette Nicole Bennett")</f>
        <v>Samantha Cadorniga, Suzette Nicole Bennett</v>
      </c>
      <c r="AG281" s="23"/>
      <c r="AH281" s="23" t="str">
        <f>IFERROR(__xludf.DUMMYFUNCTION("IF(
ISNUMBER(MATCH(
C281,
IMPORTRANGE(""https://docs.google.com/spreadsheets/d/1yTh1ELC33JHYOeEdgIiEclxPRyh0zOKtlawDltfUay8"",""'Interns'!A:A""),
0
)),
""Outreach Conducted"",
"""")"),"")</f>
        <v/>
      </c>
      <c r="AI281" s="23"/>
      <c r="AJ281" s="23"/>
      <c r="AK281" s="23" t="str">
        <f>IFERROR(__xludf.DUMMYFUNCTION("XLOOKUP(C281, 
   IMPORTRANGE(""1RdEdgHYrZ33LJ7RUHj_h-qkAFL92bcVjtIdVa-UlsCw"", ""Interns!D:D""), 
   IMPORTRANGE(""1RdEdgHYrZ33LJ7RUHj_h-qkAFL92bcVjtIdVa-UlsCw"", ""Interns!M:M""), 
   ""Not Found"")"),"Contacted")</f>
        <v>Contacted</v>
      </c>
      <c r="AL281" s="23" t="str">
        <f>IFERROR(__xludf.DUMMYFUNCTION("XLOOKUP(C281, 
   IMPORTRANGE(""1RdEdgHYrZ33LJ7RUHj_h-qkAFL92bcVjtIdVa-UlsCw"", ""Interns!D:D""), 
   IMPORTRANGE(""1RdEdgHYrZ33LJ7RUHj_h-qkAFL92bcVjtIdVa-UlsCw"", ""Interns!N:N""), 
   ""Not Found"")"),"#Cheers4Careers")</f>
        <v>#Cheers4Careers</v>
      </c>
      <c r="AM281" s="23" t="str">
        <f>IFERROR(__xludf.DUMMYFUNCTION("XLOOKUP(C281, 
   IMPORTRANGE(""1RdEdgHYrZ33LJ7RUHj_h-qkAFL92bcVjtIdVa-UlsCw"", ""Interns!D:D""), 
   IMPORTRANGE(""1RdEdgHYrZ33LJ7RUHj_h-qkAFL92bcVjtIdVa-UlsCw"", ""Interns!O:O""), 
   ""Not Found"")"),"Texted on April 12 for #Cheers4Careers event")</f>
        <v>Texted on April 12 for #Cheers4Careers event</v>
      </c>
      <c r="AN281" s="23"/>
      <c r="AO281" s="23" t="s">
        <v>7185</v>
      </c>
      <c r="AP281" s="28" t="s">
        <v>5182</v>
      </c>
      <c r="AQ281" s="28" t="s">
        <v>7186</v>
      </c>
      <c r="AR281" s="23" t="s">
        <v>7187</v>
      </c>
      <c r="AS281" s="28" t="s">
        <v>7188</v>
      </c>
      <c r="AT281" s="23"/>
      <c r="AU281" s="23"/>
      <c r="AV281" s="23"/>
    </row>
    <row r="282">
      <c r="A282" s="28" t="s">
        <v>5161</v>
      </c>
      <c r="B282" s="28" t="s">
        <v>5162</v>
      </c>
      <c r="C282" s="23" t="str">
        <f t="shared" si="1"/>
        <v>Josue Cuello-Marte</v>
      </c>
      <c r="D282" s="28" t="s">
        <v>7189</v>
      </c>
      <c r="E282" s="28" t="s">
        <v>7190</v>
      </c>
      <c r="F282" s="23">
        <f t="array" ref="F282">IFERROR(
    INDEX('Hub Interns 226'!A:A, MATCH(C282, 'Hub Interns 226'!B:B, 0)),"")</f>
        <v>698</v>
      </c>
      <c r="G282" s="23">
        <f t="array" ref="G282">IFERROR(
    INDEX('Hub Users 226'!A:A, MATCH(C282, 'Hub Users 226'!B:B, 0)),"")</f>
        <v>1131</v>
      </c>
      <c r="H282" s="28">
        <v>1126.0</v>
      </c>
      <c r="I282" s="28" t="s">
        <v>290</v>
      </c>
      <c r="J282" s="28" t="s">
        <v>5336</v>
      </c>
      <c r="K282" s="28" t="s">
        <v>5177</v>
      </c>
      <c r="L282" s="28" t="s">
        <v>5165</v>
      </c>
      <c r="M282" s="56" t="s">
        <v>7191</v>
      </c>
      <c r="N282" s="57">
        <v>44729.39166666667</v>
      </c>
      <c r="O282" s="58">
        <v>39196.0</v>
      </c>
      <c r="P282" s="28">
        <f t="shared" si="11"/>
        <v>19</v>
      </c>
      <c r="Q282" s="28" t="s">
        <v>240</v>
      </c>
      <c r="R282" s="28" t="s">
        <v>7192</v>
      </c>
      <c r="S282" s="28">
        <v>14.0</v>
      </c>
      <c r="T282" s="28">
        <v>13.0</v>
      </c>
      <c r="U282" s="28">
        <v>35.0</v>
      </c>
      <c r="V282" s="28">
        <v>21.0</v>
      </c>
      <c r="W282" s="28" t="s">
        <v>1173</v>
      </c>
      <c r="X282" s="28" t="s">
        <v>272</v>
      </c>
      <c r="Y282" s="28" t="s">
        <v>7193</v>
      </c>
      <c r="Z282" s="28" t="s">
        <v>5170</v>
      </c>
      <c r="AA282" s="28" t="s">
        <v>5171</v>
      </c>
      <c r="AB282" s="28">
        <v>30.0</v>
      </c>
      <c r="AC282" s="28" t="s">
        <v>24</v>
      </c>
      <c r="AD282" s="23"/>
      <c r="AE282" s="28" t="s">
        <v>10</v>
      </c>
      <c r="AF282" s="23"/>
      <c r="AG282" s="23"/>
      <c r="AH282" s="23" t="str">
        <f>IFERROR(__xludf.DUMMYFUNCTION("IF(
ISNUMBER(MATCH(
C282,
IMPORTRANGE(""https://docs.google.com/spreadsheets/d/1yTh1ELC33JHYOeEdgIiEclxPRyh0zOKtlawDltfUay8"",""'Interns'!A:A""),
0
)),
""Outreach Conducted"",
"""")"),"")</f>
        <v/>
      </c>
      <c r="AI282" s="23"/>
      <c r="AJ282" s="23"/>
      <c r="AK282" s="23" t="str">
        <f>IFERROR(__xludf.DUMMYFUNCTION("XLOOKUP(C282, 
   IMPORTRANGE(""1RdEdgHYrZ33LJ7RUHj_h-qkAFL92bcVjtIdVa-UlsCw"", ""Interns!D:D""), 
   IMPORTRANGE(""1RdEdgHYrZ33LJ7RUHj_h-qkAFL92bcVjtIdVa-UlsCw"", ""Interns!M:M""), 
   ""Not Found"")"),"Contacted")</f>
        <v>Contacted</v>
      </c>
      <c r="AL282" s="23" t="str">
        <f>IFERROR(__xludf.DUMMYFUNCTION("XLOOKUP(C282, 
   IMPORTRANGE(""1RdEdgHYrZ33LJ7RUHj_h-qkAFL92bcVjtIdVa-UlsCw"", ""Interns!D:D""), 
   IMPORTRANGE(""1RdEdgHYrZ33LJ7RUHj_h-qkAFL92bcVjtIdVa-UlsCw"", ""Interns!N:N""), 
   ""Not Found"")"),"#Cheers4Careers")</f>
        <v>#Cheers4Careers</v>
      </c>
      <c r="AM282" s="23" t="str">
        <f>IFERROR(__xludf.DUMMYFUNCTION("XLOOKUP(C282, 
   IMPORTRANGE(""1RdEdgHYrZ33LJ7RUHj_h-qkAFL92bcVjtIdVa-UlsCw"", ""Interns!D:D""), 
   IMPORTRANGE(""1RdEdgHYrZ33LJ7RUHj_h-qkAFL92bcVjtIdVa-UlsCw"", ""Interns!O:O""), 
   ""Not Found"")"),"Hetal reached out March 27 for March #Cheers4 Careers ")</f>
        <v>Hetal reached out March 27 for March #Cheers4 Careers </v>
      </c>
      <c r="AN282" s="23"/>
      <c r="AO282" s="23" t="s">
        <v>7194</v>
      </c>
      <c r="AP282" s="28" t="s">
        <v>5191</v>
      </c>
      <c r="AQ282" s="28"/>
      <c r="AR282" s="23"/>
      <c r="AS282" s="23"/>
      <c r="AT282" s="23"/>
      <c r="AU282" s="23"/>
      <c r="AV282" s="23"/>
    </row>
    <row r="283">
      <c r="A283" s="28" t="s">
        <v>5161</v>
      </c>
      <c r="B283" s="28" t="s">
        <v>5162</v>
      </c>
      <c r="C283" s="23" t="str">
        <f t="shared" si="1"/>
        <v>Edgar Silverio</v>
      </c>
      <c r="D283" s="28" t="s">
        <v>7195</v>
      </c>
      <c r="E283" s="28" t="s">
        <v>7196</v>
      </c>
      <c r="F283" s="23">
        <f t="array" ref="F283">IFERROR(
    INDEX('Hub Interns 226'!A:A, MATCH(C283, 'Hub Interns 226'!B:B, 0)),"")</f>
        <v>469</v>
      </c>
      <c r="G283" s="23">
        <f t="array" ref="G283">IFERROR(
    INDEX('Hub Users 226'!A:A, MATCH(C283, 'Hub Users 226'!B:B, 0)),"")</f>
        <v>902</v>
      </c>
      <c r="H283" s="28">
        <v>871.0</v>
      </c>
      <c r="I283" s="28" t="s">
        <v>417</v>
      </c>
      <c r="J283" s="28" t="s">
        <v>5336</v>
      </c>
      <c r="K283" s="28" t="s">
        <v>5177</v>
      </c>
      <c r="L283" s="28" t="s">
        <v>5165</v>
      </c>
      <c r="M283" s="56" t="s">
        <v>7197</v>
      </c>
      <c r="N283" s="57">
        <v>44596.48263888889</v>
      </c>
      <c r="O283" s="58">
        <v>38506.0</v>
      </c>
      <c r="P283" s="28">
        <f t="shared" si="11"/>
        <v>20</v>
      </c>
      <c r="Q283" s="28" t="s">
        <v>240</v>
      </c>
      <c r="R283" s="28" t="s">
        <v>7198</v>
      </c>
      <c r="S283" s="28">
        <v>15.0</v>
      </c>
      <c r="T283" s="28">
        <v>32.0</v>
      </c>
      <c r="U283" s="28">
        <v>79.0</v>
      </c>
      <c r="V283" s="28">
        <v>17.0</v>
      </c>
      <c r="W283" s="28" t="s">
        <v>859</v>
      </c>
      <c r="X283" s="28" t="s">
        <v>272</v>
      </c>
      <c r="Y283" s="28" t="s">
        <v>7199</v>
      </c>
      <c r="Z283" s="28" t="s">
        <v>5310</v>
      </c>
      <c r="AA283" s="28" t="s">
        <v>362</v>
      </c>
      <c r="AB283" s="28">
        <v>16.0</v>
      </c>
      <c r="AC283" s="28" t="s">
        <v>25</v>
      </c>
      <c r="AD283" s="23"/>
      <c r="AE283" s="28" t="s">
        <v>10</v>
      </c>
      <c r="AF283" s="23" t="str">
        <f>IFERROR(__xludf.DUMMYFUNCTION("TEXTJOIN("", "", TRUE,
  FILTER(Champions!C:C,
    ISNUMBER(SEARCH(C283, Champions!W:W))
  )
)"),"Simon Winograd, Yan Guan")</f>
        <v>Simon Winograd, Yan Guan</v>
      </c>
      <c r="AG283" s="23"/>
      <c r="AH283" s="23" t="str">
        <f>IFERROR(__xludf.DUMMYFUNCTION("IF(
ISNUMBER(MATCH(
C283,
IMPORTRANGE(""https://docs.google.com/spreadsheets/d/1yTh1ELC33JHYOeEdgIiEclxPRyh0zOKtlawDltfUay8"",""'Interns'!A:A""),
0
)),
""Outreach Conducted"",
"""")"),"")</f>
        <v/>
      </c>
      <c r="AI283" s="23"/>
      <c r="AJ283" s="23"/>
      <c r="AK283" s="23" t="str">
        <f>IFERROR(__xludf.DUMMYFUNCTION("XLOOKUP(C283, 
   IMPORTRANGE(""1RdEdgHYrZ33LJ7RUHj_h-qkAFL92bcVjtIdVa-UlsCw"", ""Interns!D:D""), 
   IMPORTRANGE(""1RdEdgHYrZ33LJ7RUHj_h-qkAFL92bcVjtIdVa-UlsCw"", ""Interns!M:M""), 
   ""Not Found"")"),"")</f>
        <v/>
      </c>
      <c r="AL283" s="23" t="str">
        <f>IFERROR(__xludf.DUMMYFUNCTION("XLOOKUP(C283, 
   IMPORTRANGE(""1RdEdgHYrZ33LJ7RUHj_h-qkAFL92bcVjtIdVa-UlsCw"", ""Interns!D:D""), 
   IMPORTRANGE(""1RdEdgHYrZ33LJ7RUHj_h-qkAFL92bcVjtIdVa-UlsCw"", ""Interns!N:N""), 
   ""Not Found"")"),"")</f>
        <v/>
      </c>
      <c r="AM283" s="23" t="str">
        <f>IFERROR(__xludf.DUMMYFUNCTION("XLOOKUP(C283, 
   IMPORTRANGE(""1RdEdgHYrZ33LJ7RUHj_h-qkAFL92bcVjtIdVa-UlsCw"", ""Interns!D:D""), 
   IMPORTRANGE(""1RdEdgHYrZ33LJ7RUHj_h-qkAFL92bcVjtIdVa-UlsCw"", ""Interns!O:O""), 
   ""Not Found"")"),"")</f>
        <v/>
      </c>
      <c r="AN283" s="23"/>
      <c r="AO283" s="23" t="s">
        <v>7200</v>
      </c>
      <c r="AP283" s="28" t="s">
        <v>5191</v>
      </c>
      <c r="AQ283" s="28" t="s">
        <v>7201</v>
      </c>
      <c r="AR283" s="23" t="s">
        <v>7202</v>
      </c>
      <c r="AS283" s="23"/>
      <c r="AT283" s="23"/>
      <c r="AU283" s="23"/>
      <c r="AV283" s="23"/>
    </row>
    <row r="284">
      <c r="A284" s="28" t="s">
        <v>5161</v>
      </c>
      <c r="B284" s="28" t="s">
        <v>5162</v>
      </c>
      <c r="C284" s="23" t="str">
        <f t="shared" si="1"/>
        <v>Elvira Batista</v>
      </c>
      <c r="D284" s="28" t="s">
        <v>7203</v>
      </c>
      <c r="E284" s="28" t="s">
        <v>7204</v>
      </c>
      <c r="F284" s="23">
        <f t="array" ref="F284">IFERROR(
    INDEX('Hub Interns 226'!A:A, MATCH(C284, 'Hub Interns 226'!B:B, 0)),"")</f>
        <v>484</v>
      </c>
      <c r="G284" s="23">
        <f t="array" ref="G284">IFERROR(
    INDEX('Hub Users 226'!A:A, MATCH(C284, 'Hub Users 226'!B:B, 0)),"")</f>
        <v>917</v>
      </c>
      <c r="H284" s="28">
        <v>425.0</v>
      </c>
      <c r="I284" s="28" t="s">
        <v>260</v>
      </c>
      <c r="J284" s="28" t="s">
        <v>5336</v>
      </c>
      <c r="K284" s="28" t="s">
        <v>5177</v>
      </c>
      <c r="L284" s="28" t="s">
        <v>5196</v>
      </c>
      <c r="M284" s="56" t="s">
        <v>7205</v>
      </c>
      <c r="N284" s="57">
        <v>44314.54652777778</v>
      </c>
      <c r="O284" s="58">
        <v>37641.0</v>
      </c>
      <c r="P284" s="28">
        <f t="shared" si="11"/>
        <v>23</v>
      </c>
      <c r="Q284" s="28" t="s">
        <v>240</v>
      </c>
      <c r="R284" s="28" t="s">
        <v>7206</v>
      </c>
      <c r="S284" s="28">
        <v>13.0</v>
      </c>
      <c r="T284" s="28">
        <v>31.0</v>
      </c>
      <c r="U284" s="28">
        <v>72.0</v>
      </c>
      <c r="V284" s="28">
        <v>10.0</v>
      </c>
      <c r="W284" s="28" t="s">
        <v>271</v>
      </c>
      <c r="X284" s="28" t="s">
        <v>272</v>
      </c>
      <c r="Y284" s="28" t="s">
        <v>7207</v>
      </c>
      <c r="Z284" s="28" t="s">
        <v>5558</v>
      </c>
      <c r="AA284" s="28" t="s">
        <v>5559</v>
      </c>
      <c r="AB284" s="28">
        <v>10.0</v>
      </c>
      <c r="AC284" s="28" t="s">
        <v>24</v>
      </c>
      <c r="AD284" s="23"/>
      <c r="AE284" s="28" t="s">
        <v>8</v>
      </c>
      <c r="AF284" s="23"/>
      <c r="AG284" s="23"/>
      <c r="AH284" s="23" t="str">
        <f>IFERROR(__xludf.DUMMYFUNCTION("IF(
ISNUMBER(MATCH(
C284,
IMPORTRANGE(""https://docs.google.com/spreadsheets/d/1yTh1ELC33JHYOeEdgIiEclxPRyh0zOKtlawDltfUay8"",""'Interns'!A:A""),
0
)),
""Outreach Conducted"",
"""")"),"")</f>
        <v/>
      </c>
      <c r="AI284" s="23"/>
      <c r="AJ284" s="23"/>
      <c r="AK284" s="23" t="str">
        <f>IFERROR(__xludf.DUMMYFUNCTION("XLOOKUP(C284, 
   IMPORTRANGE(""1RdEdgHYrZ33LJ7RUHj_h-qkAFL92bcVjtIdVa-UlsCw"", ""Interns!D:D""), 
   IMPORTRANGE(""1RdEdgHYrZ33LJ7RUHj_h-qkAFL92bcVjtIdVa-UlsCw"", ""Interns!M:M""), 
   ""Not Found"")"),"Contacted")</f>
        <v>Contacted</v>
      </c>
      <c r="AL284" s="23" t="str">
        <f>IFERROR(__xludf.DUMMYFUNCTION("XLOOKUP(C284, 
   IMPORTRANGE(""1RdEdgHYrZ33LJ7RUHj_h-qkAFL92bcVjtIdVa-UlsCw"", ""Interns!D:D""), 
   IMPORTRANGE(""1RdEdgHYrZ33LJ7RUHj_h-qkAFL92bcVjtIdVa-UlsCw"", ""Interns!N:N""), 
   ""Not Found"")"),"#Cheers4Careers")</f>
        <v>#Cheers4Careers</v>
      </c>
      <c r="AM284" s="23" t="str">
        <f>IFERROR(__xludf.DUMMYFUNCTION("XLOOKUP(C284, 
   IMPORTRANGE(""1RdEdgHYrZ33LJ7RUHj_h-qkAFL92bcVjtIdVa-UlsCw"", ""Interns!D:D""), 
   IMPORTRANGE(""1RdEdgHYrZ33LJ7RUHj_h-qkAFL92bcVjtIdVa-UlsCw"", ""Interns!O:O""), 
   ""Not Found"")"),"Hetal reached out by email 3/27")</f>
        <v>Hetal reached out by email 3/27</v>
      </c>
      <c r="AN284" s="23"/>
      <c r="AO284" s="23" t="s">
        <v>5360</v>
      </c>
      <c r="AP284" s="28" t="s">
        <v>5182</v>
      </c>
      <c r="AQ284" s="28"/>
      <c r="AR284" s="23"/>
      <c r="AS284" s="23"/>
      <c r="AT284" s="23"/>
      <c r="AU284" s="23"/>
      <c r="AV284" s="23"/>
    </row>
    <row r="285">
      <c r="A285" s="28"/>
      <c r="B285" s="28" t="s">
        <v>5162</v>
      </c>
      <c r="C285" s="23" t="str">
        <f t="shared" si="1"/>
        <v>Luisa Rosario</v>
      </c>
      <c r="D285" s="28" t="s">
        <v>2091</v>
      </c>
      <c r="E285" s="28" t="s">
        <v>7208</v>
      </c>
      <c r="F285" s="23">
        <f t="array" ref="F285">IFERROR(
    INDEX('Hub Interns 226'!A:A, MATCH(C285, 'Hub Interns 226'!B:B, 0)),"")</f>
        <v>798</v>
      </c>
      <c r="G285" s="23">
        <f t="array" ref="G285">IFERROR(
    INDEX('Hub Users 226'!A:A, MATCH(C285, 'Hub Users 226'!B:B, 0)),"")</f>
        <v>1231</v>
      </c>
      <c r="H285" s="28">
        <v>379.0</v>
      </c>
      <c r="I285" s="28" t="s">
        <v>107</v>
      </c>
      <c r="J285" s="28" t="s">
        <v>5336</v>
      </c>
      <c r="K285" s="28" t="s">
        <v>5177</v>
      </c>
      <c r="L285" s="28" t="s">
        <v>5196</v>
      </c>
      <c r="M285" s="56" t="s">
        <v>7209</v>
      </c>
      <c r="N285" s="57">
        <v>44253.49513888889</v>
      </c>
      <c r="O285" s="58">
        <v>37451.0</v>
      </c>
      <c r="P285" s="28">
        <f t="shared" si="11"/>
        <v>23</v>
      </c>
      <c r="Q285" s="28" t="s">
        <v>240</v>
      </c>
      <c r="R285" s="28" t="s">
        <v>7210</v>
      </c>
      <c r="S285" s="28">
        <v>5.0</v>
      </c>
      <c r="T285" s="28">
        <v>10.0</v>
      </c>
      <c r="U285" s="28">
        <v>31.0</v>
      </c>
      <c r="V285" s="28">
        <v>31.0</v>
      </c>
      <c r="W285" s="28" t="s">
        <v>1173</v>
      </c>
      <c r="X285" s="28" t="s">
        <v>272</v>
      </c>
      <c r="Y285" s="28" t="s">
        <v>7211</v>
      </c>
      <c r="Z285" s="28" t="s">
        <v>5189</v>
      </c>
      <c r="AA285" s="28" t="s">
        <v>619</v>
      </c>
      <c r="AB285" s="28">
        <v>20.0</v>
      </c>
      <c r="AC285" s="28" t="s">
        <v>25</v>
      </c>
      <c r="AD285" s="23"/>
      <c r="AE285" s="28" t="s">
        <v>8</v>
      </c>
      <c r="AF285" s="23" t="str">
        <f>IFERROR(__xludf.DUMMYFUNCTION("TEXTJOIN("", "", TRUE,
  FILTER(Champions!C:C,
    ISNUMBER(SEARCH(C285, Champions!W:W))
  )
)"),"Olga Patel")</f>
        <v>Olga Patel</v>
      </c>
      <c r="AG285" s="23"/>
      <c r="AH285" s="23" t="str">
        <f>IFERROR(__xludf.DUMMYFUNCTION("IF(
ISNUMBER(MATCH(
C285,
IMPORTRANGE(""https://docs.google.com/spreadsheets/d/1yTh1ELC33JHYOeEdgIiEclxPRyh0zOKtlawDltfUay8"",""'Interns'!A:A""),
0
)),
""Outreach Conducted"",
"""")"),"")</f>
        <v/>
      </c>
      <c r="AI285" s="23"/>
      <c r="AJ285" s="23"/>
      <c r="AK285" s="23" t="str">
        <f>IFERROR(__xludf.DUMMYFUNCTION("XLOOKUP(C285, 
   IMPORTRANGE(""1RdEdgHYrZ33LJ7RUHj_h-qkAFL92bcVjtIdVa-UlsCw"", ""Interns!D:D""), 
   IMPORTRANGE(""1RdEdgHYrZ33LJ7RUHj_h-qkAFL92bcVjtIdVa-UlsCw"", ""Interns!M:M""), 
   ""Not Found"")"),"")</f>
        <v/>
      </c>
      <c r="AL285" s="23" t="str">
        <f>IFERROR(__xludf.DUMMYFUNCTION("XLOOKUP(C285, 
   IMPORTRANGE(""1RdEdgHYrZ33LJ7RUHj_h-qkAFL92bcVjtIdVa-UlsCw"", ""Interns!D:D""), 
   IMPORTRANGE(""1RdEdgHYrZ33LJ7RUHj_h-qkAFL92bcVjtIdVa-UlsCw"", ""Interns!N:N""), 
   ""Not Found"")"),"")</f>
        <v/>
      </c>
      <c r="AM285" s="23" t="str">
        <f>IFERROR(__xludf.DUMMYFUNCTION("XLOOKUP(C285, 
   IMPORTRANGE(""1RdEdgHYrZ33LJ7RUHj_h-qkAFL92bcVjtIdVa-UlsCw"", ""Interns!D:D""), 
   IMPORTRANGE(""1RdEdgHYrZ33LJ7RUHj_h-qkAFL92bcVjtIdVa-UlsCw"", ""Interns!O:O""), 
   ""Not Found"")"),"")</f>
        <v/>
      </c>
      <c r="AN285" s="23"/>
      <c r="AO285" s="23" t="s">
        <v>7212</v>
      </c>
      <c r="AP285" s="28" t="s">
        <v>5182</v>
      </c>
      <c r="AQ285" s="28" t="s">
        <v>7209</v>
      </c>
      <c r="AR285" s="23" t="s">
        <v>7213</v>
      </c>
      <c r="AS285" s="23"/>
      <c r="AT285" s="23"/>
      <c r="AU285" s="23"/>
      <c r="AV285" s="23"/>
    </row>
    <row r="286">
      <c r="A286" s="28" t="s">
        <v>5202</v>
      </c>
      <c r="B286" s="28" t="s">
        <v>31</v>
      </c>
      <c r="C286" s="23" t="str">
        <f t="shared" si="1"/>
        <v>Ana. Fabian</v>
      </c>
      <c r="D286" s="28" t="s">
        <v>7214</v>
      </c>
      <c r="E286" s="28" t="s">
        <v>7215</v>
      </c>
      <c r="F286" s="23">
        <f t="array" ref="F286">IFERROR(
    INDEX('Hub Interns 226'!A:A, MATCH(C286, 'Hub Interns 226'!B:B, 0)),"")</f>
        <v>219</v>
      </c>
      <c r="G286" s="23">
        <f t="array" ref="G286">IFERROR(
    INDEX('Hub Users 226'!A:A, MATCH(C286, 'Hub Users 226'!B:B, 0)),"")</f>
        <v>652</v>
      </c>
      <c r="H286" s="28">
        <v>433.0</v>
      </c>
      <c r="I286" s="28" t="s">
        <v>260</v>
      </c>
      <c r="J286" s="28"/>
      <c r="K286" s="28"/>
      <c r="L286" s="28" t="s">
        <v>5196</v>
      </c>
      <c r="M286" s="56" t="s">
        <v>7216</v>
      </c>
      <c r="N286" s="57">
        <v>44315.5375</v>
      </c>
      <c r="O286" s="58">
        <v>38299.0</v>
      </c>
      <c r="P286" s="28">
        <f t="shared" si="11"/>
        <v>21</v>
      </c>
      <c r="Q286" s="28" t="s">
        <v>240</v>
      </c>
      <c r="R286" s="28" t="s">
        <v>7217</v>
      </c>
      <c r="S286" s="28"/>
      <c r="T286" s="28"/>
      <c r="U286" s="28"/>
      <c r="V286" s="28"/>
      <c r="W286" s="28" t="s">
        <v>1173</v>
      </c>
      <c r="X286" s="28" t="s">
        <v>272</v>
      </c>
      <c r="Y286" s="28">
        <v>7.184104001E9</v>
      </c>
      <c r="Z286" s="28" t="s">
        <v>5310</v>
      </c>
      <c r="AA286" s="28" t="s">
        <v>362</v>
      </c>
      <c r="AB286" s="28">
        <v>16.0</v>
      </c>
      <c r="AC286" s="28" t="s">
        <v>24</v>
      </c>
      <c r="AD286" s="23"/>
      <c r="AE286" s="28" t="s">
        <v>8</v>
      </c>
      <c r="AF286" s="23"/>
      <c r="AG286" s="23"/>
      <c r="AH286" s="23" t="str">
        <f>IFERROR(__xludf.DUMMYFUNCTION("IF(
ISNUMBER(MATCH(
C286,
IMPORTRANGE(""https://docs.google.com/spreadsheets/d/1yTh1ELC33JHYOeEdgIiEclxPRyh0zOKtlawDltfUay8"",""'Interns'!A:A""),
0
)),
""Outreach Conducted"",
"""")"),"")</f>
        <v/>
      </c>
      <c r="AI286" s="23"/>
      <c r="AJ286" s="23"/>
      <c r="AK286" s="23" t="str">
        <f>IFERROR(__xludf.DUMMYFUNCTION("XLOOKUP(C286, 
   IMPORTRANGE(""1RdEdgHYrZ33LJ7RUHj_h-qkAFL92bcVjtIdVa-UlsCw"", ""Interns!D:D""), 
   IMPORTRANGE(""1RdEdgHYrZ33LJ7RUHj_h-qkAFL92bcVjtIdVa-UlsCw"", ""Interns!M:M""), 
   ""Not Found"")"),"")</f>
        <v/>
      </c>
      <c r="AL286" s="23" t="str">
        <f>IFERROR(__xludf.DUMMYFUNCTION("XLOOKUP(C286, 
   IMPORTRANGE(""1RdEdgHYrZ33LJ7RUHj_h-qkAFL92bcVjtIdVa-UlsCw"", ""Interns!D:D""), 
   IMPORTRANGE(""1RdEdgHYrZ33LJ7RUHj_h-qkAFL92bcVjtIdVa-UlsCw"", ""Interns!N:N""), 
   ""Not Found"")"),"")</f>
        <v/>
      </c>
      <c r="AM286" s="23" t="str">
        <f>IFERROR(__xludf.DUMMYFUNCTION("XLOOKUP(C286, 
   IMPORTRANGE(""1RdEdgHYrZ33LJ7RUHj_h-qkAFL92bcVjtIdVa-UlsCw"", ""Interns!D:D""), 
   IMPORTRANGE(""1RdEdgHYrZ33LJ7RUHj_h-qkAFL92bcVjtIdVa-UlsCw"", ""Interns!O:O""), 
   ""Not Found"")"),"")</f>
        <v/>
      </c>
      <c r="AN286" s="23"/>
      <c r="AO286" s="23" t="s">
        <v>7218</v>
      </c>
      <c r="AP286" s="28"/>
      <c r="AQ286" s="28"/>
      <c r="AR286" s="23"/>
      <c r="AS286" s="23"/>
      <c r="AT286" s="23"/>
      <c r="AU286" s="23"/>
      <c r="AV286" s="23"/>
    </row>
    <row r="287">
      <c r="A287" s="28" t="s">
        <v>5161</v>
      </c>
      <c r="B287" s="28" t="s">
        <v>5162</v>
      </c>
      <c r="C287" s="23" t="str">
        <f t="shared" si="1"/>
        <v>Emely Nolasco</v>
      </c>
      <c r="D287" s="28" t="s">
        <v>7219</v>
      </c>
      <c r="E287" s="28" t="s">
        <v>7220</v>
      </c>
      <c r="F287" s="23">
        <f t="array" ref="F287">IFERROR(
    INDEX('Hub Interns 226'!A:A, MATCH(C287, 'Hub Interns 226'!B:B, 0)),"")</f>
        <v>486</v>
      </c>
      <c r="G287" s="23">
        <f t="array" ref="G287">IFERROR(
    INDEX('Hub Users 226'!A:A, MATCH(C287, 'Hub Users 226'!B:B, 0)),"")</f>
        <v>919</v>
      </c>
      <c r="H287" s="28">
        <v>314.0</v>
      </c>
      <c r="I287" s="28" t="s">
        <v>260</v>
      </c>
      <c r="J287" s="28" t="s">
        <v>5336</v>
      </c>
      <c r="K287" s="28" t="s">
        <v>5177</v>
      </c>
      <c r="L287" s="28" t="s">
        <v>5196</v>
      </c>
      <c r="M287" s="56" t="s">
        <v>7221</v>
      </c>
      <c r="N287" s="57">
        <v>44235.01180555556</v>
      </c>
      <c r="O287" s="58">
        <v>38393.0</v>
      </c>
      <c r="P287" s="28">
        <f t="shared" si="11"/>
        <v>21</v>
      </c>
      <c r="Q287" s="28" t="s">
        <v>240</v>
      </c>
      <c r="R287" s="28" t="s">
        <v>7222</v>
      </c>
      <c r="S287" s="28">
        <v>15.0</v>
      </c>
      <c r="T287" s="28">
        <v>29.0</v>
      </c>
      <c r="U287" s="28">
        <v>77.0</v>
      </c>
      <c r="V287" s="28">
        <v>16.0</v>
      </c>
      <c r="W287" s="28" t="s">
        <v>859</v>
      </c>
      <c r="X287" s="28" t="s">
        <v>272</v>
      </c>
      <c r="Y287" s="28" t="s">
        <v>7223</v>
      </c>
      <c r="Z287" s="28" t="s">
        <v>5310</v>
      </c>
      <c r="AA287" s="28" t="s">
        <v>362</v>
      </c>
      <c r="AB287" s="28">
        <v>16.0</v>
      </c>
      <c r="AC287" s="28" t="s">
        <v>25</v>
      </c>
      <c r="AD287" s="23"/>
      <c r="AE287" s="28" t="s">
        <v>8</v>
      </c>
      <c r="AF287" s="23" t="str">
        <f>IFERROR(__xludf.DUMMYFUNCTION("TEXTJOIN("", "", TRUE,
  FILTER(Champions!C:C,
    ISNUMBER(SEARCH(C287, Champions!W:W))
  )
)"),"Kenia Wellington, Ebunoluwa Sotubo")</f>
        <v>Kenia Wellington, Ebunoluwa Sotubo</v>
      </c>
      <c r="AG287" s="23"/>
      <c r="AH287" s="23" t="str">
        <f>IFERROR(__xludf.DUMMYFUNCTION("IF(
ISNUMBER(MATCH(
C287,
IMPORTRANGE(""https://docs.google.com/spreadsheets/d/1yTh1ELC33JHYOeEdgIiEclxPRyh0zOKtlawDltfUay8"",""'Interns'!A:A""),
0
)),
""Outreach Conducted"",
"""")"),"")</f>
        <v/>
      </c>
      <c r="AI287" s="23"/>
      <c r="AJ287" s="23"/>
      <c r="AK287" s="23" t="str">
        <f>IFERROR(__xludf.DUMMYFUNCTION("XLOOKUP(C287, 
   IMPORTRANGE(""1RdEdgHYrZ33LJ7RUHj_h-qkAFL92bcVjtIdVa-UlsCw"", ""Interns!D:D""), 
   IMPORTRANGE(""1RdEdgHYrZ33LJ7RUHj_h-qkAFL92bcVjtIdVa-UlsCw"", ""Interns!M:M""), 
   ""Not Found"")"),"")</f>
        <v/>
      </c>
      <c r="AL287" s="23" t="str">
        <f>IFERROR(__xludf.DUMMYFUNCTION("XLOOKUP(C287, 
   IMPORTRANGE(""1RdEdgHYrZ33LJ7RUHj_h-qkAFL92bcVjtIdVa-UlsCw"", ""Interns!D:D""), 
   IMPORTRANGE(""1RdEdgHYrZ33LJ7RUHj_h-qkAFL92bcVjtIdVa-UlsCw"", ""Interns!N:N""), 
   ""Not Found"")"),"")</f>
        <v/>
      </c>
      <c r="AM287" s="23" t="str">
        <f>IFERROR(__xludf.DUMMYFUNCTION("XLOOKUP(C287, 
   IMPORTRANGE(""1RdEdgHYrZ33LJ7RUHj_h-qkAFL92bcVjtIdVa-UlsCw"", ""Interns!D:D""), 
   IMPORTRANGE(""1RdEdgHYrZ33LJ7RUHj_h-qkAFL92bcVjtIdVa-UlsCw"", ""Interns!O:O""), 
   ""Not Found"")"),"")</f>
        <v/>
      </c>
      <c r="AN287" s="23"/>
      <c r="AO287" s="23" t="s">
        <v>7224</v>
      </c>
      <c r="AP287" s="28" t="s">
        <v>5191</v>
      </c>
      <c r="AQ287" s="28" t="s">
        <v>7225</v>
      </c>
      <c r="AR287" s="23" t="s">
        <v>7226</v>
      </c>
      <c r="AS287" s="23"/>
      <c r="AT287" s="23"/>
      <c r="AU287" s="23"/>
      <c r="AV287" s="23"/>
    </row>
    <row r="288">
      <c r="A288" s="28" t="s">
        <v>5202</v>
      </c>
      <c r="B288" s="28" t="s">
        <v>5162</v>
      </c>
      <c r="C288" s="23" t="str">
        <f t="shared" si="1"/>
        <v>Jeremy Zapata</v>
      </c>
      <c r="D288" s="28" t="s">
        <v>7227</v>
      </c>
      <c r="E288" s="28" t="s">
        <v>7228</v>
      </c>
      <c r="F288" s="23">
        <f t="array" ref="F288">IFERROR(
    INDEX('Hub Interns 226'!A:A, MATCH(C288, 'Hub Interns 226'!B:B, 0)),"")</f>
        <v>651</v>
      </c>
      <c r="G288" s="23">
        <f t="array" ref="G288">IFERROR(
    INDEX('Hub Users 226'!A:A, MATCH(C288, 'Hub Users 226'!B:B, 0)),"")</f>
        <v>1084</v>
      </c>
      <c r="H288" s="28">
        <v>473.0</v>
      </c>
      <c r="I288" s="28" t="s">
        <v>239</v>
      </c>
      <c r="J288" s="28" t="s">
        <v>5336</v>
      </c>
      <c r="K288" s="28" t="s">
        <v>5177</v>
      </c>
      <c r="L288" s="28" t="s">
        <v>5165</v>
      </c>
      <c r="M288" s="56" t="s">
        <v>7229</v>
      </c>
      <c r="N288" s="57">
        <v>44362.55763888889</v>
      </c>
      <c r="O288" s="58">
        <v>37763.0</v>
      </c>
      <c r="P288" s="28">
        <f t="shared" si="11"/>
        <v>22</v>
      </c>
      <c r="Q288" s="28" t="s">
        <v>240</v>
      </c>
      <c r="R288" s="28" t="s">
        <v>7230</v>
      </c>
      <c r="S288" s="28">
        <v>14.0</v>
      </c>
      <c r="T288" s="28">
        <v>29.0</v>
      </c>
      <c r="U288" s="28">
        <v>84.0</v>
      </c>
      <c r="V288" s="28">
        <v>8.0</v>
      </c>
      <c r="W288" s="28" t="s">
        <v>859</v>
      </c>
      <c r="X288" s="28" t="s">
        <v>272</v>
      </c>
      <c r="Y288" s="23"/>
      <c r="Z288" s="28" t="s">
        <v>5208</v>
      </c>
      <c r="AA288" s="28" t="s">
        <v>2141</v>
      </c>
      <c r="AB288" s="28">
        <v>8.0</v>
      </c>
      <c r="AC288" s="28" t="s">
        <v>25</v>
      </c>
      <c r="AD288" s="23"/>
      <c r="AE288" s="28" t="s">
        <v>10</v>
      </c>
      <c r="AF288" s="23" t="str">
        <f>IFERROR(__xludf.DUMMYFUNCTION("TEXTJOIN("", "", TRUE,
  FILTER(Champions!C:C,
    ISNUMBER(SEARCH(C288, Champions!W:W))
  )
)"),"#N/A")</f>
        <v>#N/A</v>
      </c>
      <c r="AG288" s="23"/>
      <c r="AH288" s="23" t="str">
        <f>IFERROR(__xludf.DUMMYFUNCTION("IF(
ISNUMBER(MATCH(
C288,
IMPORTRANGE(""https://docs.google.com/spreadsheets/d/1yTh1ELC33JHYOeEdgIiEclxPRyh0zOKtlawDltfUay8"",""'Interns'!A:A""),
0
)),
""Outreach Conducted"",
"""")"),"")</f>
        <v/>
      </c>
      <c r="AI288" s="23"/>
      <c r="AJ288" s="23"/>
      <c r="AK288" s="23" t="str">
        <f>IFERROR(__xludf.DUMMYFUNCTION("XLOOKUP(C288, 
   IMPORTRANGE(""1RdEdgHYrZ33LJ7RUHj_h-qkAFL92bcVjtIdVa-UlsCw"", ""Interns!D:D""), 
   IMPORTRANGE(""1RdEdgHYrZ33LJ7RUHj_h-qkAFL92bcVjtIdVa-UlsCw"", ""Interns!M:M""), 
   ""Not Found"")"),"")</f>
        <v/>
      </c>
      <c r="AL288" s="23" t="str">
        <f>IFERROR(__xludf.DUMMYFUNCTION("XLOOKUP(C288, 
   IMPORTRANGE(""1RdEdgHYrZ33LJ7RUHj_h-qkAFL92bcVjtIdVa-UlsCw"", ""Interns!D:D""), 
   IMPORTRANGE(""1RdEdgHYrZ33LJ7RUHj_h-qkAFL92bcVjtIdVa-UlsCw"", ""Interns!N:N""), 
   ""Not Found"")"),"")</f>
        <v/>
      </c>
      <c r="AM288" s="23" t="str">
        <f>IFERROR(__xludf.DUMMYFUNCTION("XLOOKUP(C288, 
   IMPORTRANGE(""1RdEdgHYrZ33LJ7RUHj_h-qkAFL92bcVjtIdVa-UlsCw"", ""Interns!D:D""), 
   IMPORTRANGE(""1RdEdgHYrZ33LJ7RUHj_h-qkAFL92bcVjtIdVa-UlsCw"", ""Interns!O:O""), 
   ""Not Found"")"),"")</f>
        <v/>
      </c>
      <c r="AN288" s="23"/>
      <c r="AO288" s="23" t="s">
        <v>7231</v>
      </c>
      <c r="AP288" s="28" t="s">
        <v>5191</v>
      </c>
      <c r="AQ288" s="28" t="s">
        <v>7229</v>
      </c>
      <c r="AR288" s="23" t="s">
        <v>7232</v>
      </c>
      <c r="AS288" s="23"/>
      <c r="AT288" s="23"/>
      <c r="AU288" s="23"/>
      <c r="AV288" s="23"/>
    </row>
    <row r="289">
      <c r="A289" s="28" t="s">
        <v>5161</v>
      </c>
      <c r="B289" s="28" t="s">
        <v>5162</v>
      </c>
      <c r="C289" s="23" t="str">
        <f t="shared" si="1"/>
        <v>Francheska Caraballo</v>
      </c>
      <c r="D289" s="28" t="s">
        <v>7233</v>
      </c>
      <c r="E289" s="28" t="s">
        <v>7234</v>
      </c>
      <c r="F289" s="23">
        <f t="array" ref="F289">IFERROR(
    INDEX('Hub Interns 226'!A:A, MATCH(C289, 'Hub Interns 226'!B:B, 0)),"")</f>
        <v>332</v>
      </c>
      <c r="G289" s="23">
        <f t="array" ref="G289">IFERROR(
    INDEX('Hub Users 226'!A:A, MATCH(C289, 'Hub Users 226'!B:B, 0)),"")</f>
        <v>765</v>
      </c>
      <c r="H289" s="28">
        <v>943.0</v>
      </c>
      <c r="I289" s="28" t="s">
        <v>1235</v>
      </c>
      <c r="J289" s="28" t="s">
        <v>5336</v>
      </c>
      <c r="K289" s="28" t="s">
        <v>5177</v>
      </c>
      <c r="L289" s="28" t="s">
        <v>5196</v>
      </c>
      <c r="M289" s="56" t="s">
        <v>7235</v>
      </c>
      <c r="N289" s="57">
        <v>44608.41458333333</v>
      </c>
      <c r="O289" s="58">
        <v>38619.0</v>
      </c>
      <c r="P289" s="28">
        <f t="shared" si="11"/>
        <v>20</v>
      </c>
      <c r="Q289" s="28" t="s">
        <v>240</v>
      </c>
      <c r="R289" s="28" t="s">
        <v>7236</v>
      </c>
      <c r="S289" s="28">
        <v>15.0</v>
      </c>
      <c r="T289" s="28">
        <v>32.0</v>
      </c>
      <c r="U289" s="28">
        <v>77.0</v>
      </c>
      <c r="V289" s="28">
        <v>16.0</v>
      </c>
      <c r="W289" s="28" t="s">
        <v>859</v>
      </c>
      <c r="X289" s="28" t="s">
        <v>272</v>
      </c>
      <c r="Y289" s="28" t="s">
        <v>7237</v>
      </c>
      <c r="Z289" s="28" t="s">
        <v>5310</v>
      </c>
      <c r="AA289" s="28" t="s">
        <v>362</v>
      </c>
      <c r="AB289" s="28">
        <v>16.0</v>
      </c>
      <c r="AC289" s="28" t="s">
        <v>25</v>
      </c>
      <c r="AD289" s="23"/>
      <c r="AE289" s="28" t="s">
        <v>10</v>
      </c>
      <c r="AF289" s="23" t="str">
        <f>IFERROR(__xludf.DUMMYFUNCTION("TEXTJOIN("", "", TRUE,
  FILTER(Champions!C:C,
    ISNUMBER(SEARCH(C289, Champions!W:W))
  )
)"),"Amelia Geary, Neeti Nayak")</f>
        <v>Amelia Geary, Neeti Nayak</v>
      </c>
      <c r="AG289" s="23"/>
      <c r="AH289" s="23" t="str">
        <f>IFERROR(__xludf.DUMMYFUNCTION("IF(
ISNUMBER(MATCH(
C289,
IMPORTRANGE(""https://docs.google.com/spreadsheets/d/1yTh1ELC33JHYOeEdgIiEclxPRyh0zOKtlawDltfUay8"",""'Interns'!A:A""),
0
)),
""Outreach Conducted"",
"""")"),"")</f>
        <v/>
      </c>
      <c r="AI289" s="23"/>
      <c r="AJ289" s="23"/>
      <c r="AK289" s="23" t="str">
        <f>IFERROR(__xludf.DUMMYFUNCTION("XLOOKUP(C289, 
   IMPORTRANGE(""1RdEdgHYrZ33LJ7RUHj_h-qkAFL92bcVjtIdVa-UlsCw"", ""Interns!D:D""), 
   IMPORTRANGE(""1RdEdgHYrZ33LJ7RUHj_h-qkAFL92bcVjtIdVa-UlsCw"", ""Interns!M:M""), 
   ""Not Found"")"),"")</f>
        <v/>
      </c>
      <c r="AL289" s="23" t="str">
        <f>IFERROR(__xludf.DUMMYFUNCTION("XLOOKUP(C289, 
   IMPORTRANGE(""1RdEdgHYrZ33LJ7RUHj_h-qkAFL92bcVjtIdVa-UlsCw"", ""Interns!D:D""), 
   IMPORTRANGE(""1RdEdgHYrZ33LJ7RUHj_h-qkAFL92bcVjtIdVa-UlsCw"", ""Interns!N:N""), 
   ""Not Found"")"),"#SpeakingMyName")</f>
        <v>#SpeakingMyName</v>
      </c>
      <c r="AM289" s="23" t="str">
        <f>IFERROR(__xludf.DUMMYFUNCTION("XLOOKUP(C289, 
   IMPORTRANGE(""1RdEdgHYrZ33LJ7RUHj_h-qkAFL92bcVjtIdVa-UlsCw"", ""Interns!D:D""), 
   IMPORTRANGE(""1RdEdgHYrZ33LJ7RUHj_h-qkAFL92bcVjtIdVa-UlsCw"", ""Interns!O:O""), 
   ""Not Found"")"),"Alicia reached out by email on 5/15 for #SpeakingMyName")</f>
        <v>Alicia reached out by email on 5/15 for #SpeakingMyName</v>
      </c>
      <c r="AN289" s="23"/>
      <c r="AO289" s="23" t="s">
        <v>7238</v>
      </c>
      <c r="AP289" s="28" t="s">
        <v>5182</v>
      </c>
      <c r="AQ289" s="28" t="s">
        <v>7239</v>
      </c>
      <c r="AR289" s="23" t="s">
        <v>7240</v>
      </c>
      <c r="AS289" s="23"/>
      <c r="AT289" s="23"/>
      <c r="AU289" s="23"/>
      <c r="AV289" s="23"/>
    </row>
    <row r="290">
      <c r="A290" s="28" t="s">
        <v>5202</v>
      </c>
      <c r="B290" s="28" t="s">
        <v>5162</v>
      </c>
      <c r="C290" s="23" t="str">
        <f t="shared" si="1"/>
        <v>Ronniel Gomez</v>
      </c>
      <c r="D290" s="28" t="s">
        <v>7241</v>
      </c>
      <c r="E290" s="28" t="s">
        <v>6277</v>
      </c>
      <c r="F290" s="23">
        <f t="array" ref="F290">IFERROR(
    INDEX('Hub Interns 226'!A:A, MATCH(C290, 'Hub Interns 226'!B:B, 0)),"")</f>
        <v>64</v>
      </c>
      <c r="G290" s="23">
        <f t="array" ref="G290">IFERROR(
    INDEX('Hub Users 226'!A:A, MATCH(C290, 'Hub Users 226'!B:B, 0)),"")</f>
        <v>497</v>
      </c>
      <c r="H290" s="28">
        <v>803.0</v>
      </c>
      <c r="I290" s="28" t="s">
        <v>290</v>
      </c>
      <c r="J290" s="28" t="s">
        <v>5336</v>
      </c>
      <c r="K290" s="28" t="s">
        <v>5177</v>
      </c>
      <c r="L290" s="28" t="s">
        <v>5165</v>
      </c>
      <c r="M290" s="56" t="s">
        <v>7242</v>
      </c>
      <c r="N290" s="57">
        <v>44566.629166666666</v>
      </c>
      <c r="O290" s="58">
        <v>38366.0</v>
      </c>
      <c r="P290" s="28">
        <f t="shared" si="11"/>
        <v>21</v>
      </c>
      <c r="Q290" s="28" t="s">
        <v>240</v>
      </c>
      <c r="R290" s="28" t="s">
        <v>7243</v>
      </c>
      <c r="S290" s="28">
        <v>14.0</v>
      </c>
      <c r="T290" s="28">
        <v>34.0</v>
      </c>
      <c r="U290" s="28">
        <v>82.0</v>
      </c>
      <c r="V290" s="28">
        <v>13.0</v>
      </c>
      <c r="W290" s="28" t="s">
        <v>859</v>
      </c>
      <c r="X290" s="28" t="s">
        <v>272</v>
      </c>
      <c r="Y290" s="28" t="s">
        <v>7244</v>
      </c>
      <c r="Z290" s="28" t="s">
        <v>5259</v>
      </c>
      <c r="AA290" s="28" t="s">
        <v>704</v>
      </c>
      <c r="AB290" s="28">
        <v>2.0</v>
      </c>
      <c r="AC290" s="28" t="s">
        <v>24</v>
      </c>
      <c r="AD290" s="23"/>
      <c r="AE290" s="28" t="s">
        <v>10</v>
      </c>
      <c r="AF290" s="23"/>
      <c r="AG290" s="23"/>
      <c r="AH290" s="23" t="str">
        <f>IFERROR(__xludf.DUMMYFUNCTION("IF(
ISNUMBER(MATCH(
C290,
IMPORTRANGE(""https://docs.google.com/spreadsheets/d/1yTh1ELC33JHYOeEdgIiEclxPRyh0zOKtlawDltfUay8"",""'Interns'!A:A""),
0
)),
""Outreach Conducted"",
"""")"),"")</f>
        <v/>
      </c>
      <c r="AI290" s="23"/>
      <c r="AJ290" s="23"/>
      <c r="AK290" s="23" t="str">
        <f>IFERROR(__xludf.DUMMYFUNCTION("XLOOKUP(C290, 
   IMPORTRANGE(""1RdEdgHYrZ33LJ7RUHj_h-qkAFL92bcVjtIdVa-UlsCw"", ""Interns!D:D""), 
   IMPORTRANGE(""1RdEdgHYrZ33LJ7RUHj_h-qkAFL92bcVjtIdVa-UlsCw"", ""Interns!M:M""), 
   ""Not Found"")"),"")</f>
        <v/>
      </c>
      <c r="AL290" s="23" t="str">
        <f>IFERROR(__xludf.DUMMYFUNCTION("XLOOKUP(C290, 
   IMPORTRANGE(""1RdEdgHYrZ33LJ7RUHj_h-qkAFL92bcVjtIdVa-UlsCw"", ""Interns!D:D""), 
   IMPORTRANGE(""1RdEdgHYrZ33LJ7RUHj_h-qkAFL92bcVjtIdVa-UlsCw"", ""Interns!N:N""), 
   ""Not Found"")"),"")</f>
        <v/>
      </c>
      <c r="AM290" s="23" t="str">
        <f>IFERROR(__xludf.DUMMYFUNCTION("XLOOKUP(C290, 
   IMPORTRANGE(""1RdEdgHYrZ33LJ7RUHj_h-qkAFL92bcVjtIdVa-UlsCw"", ""Interns!D:D""), 
   IMPORTRANGE(""1RdEdgHYrZ33LJ7RUHj_h-qkAFL92bcVjtIdVa-UlsCw"", ""Interns!O:O""), 
   ""Not Found"")"),"")</f>
        <v/>
      </c>
      <c r="AN290" s="23"/>
      <c r="AO290" s="23" t="s">
        <v>7245</v>
      </c>
      <c r="AP290" s="28" t="s">
        <v>5191</v>
      </c>
      <c r="AQ290" s="28"/>
      <c r="AR290" s="23"/>
      <c r="AS290" s="23"/>
      <c r="AT290" s="23"/>
      <c r="AU290" s="23"/>
      <c r="AV290" s="23"/>
    </row>
    <row r="291">
      <c r="A291" s="28" t="s">
        <v>5161</v>
      </c>
      <c r="B291" s="28" t="s">
        <v>5162</v>
      </c>
      <c r="C291" s="23" t="str">
        <f t="shared" si="1"/>
        <v>Chamely Lantigua</v>
      </c>
      <c r="D291" s="28" t="s">
        <v>7246</v>
      </c>
      <c r="E291" s="28" t="s">
        <v>7247</v>
      </c>
      <c r="F291" s="23">
        <f t="array" ref="F291">IFERROR(
    INDEX('Hub Interns 226'!A:A, MATCH(C291, 'Hub Interns 226'!B:B, 0)),"")</f>
        <v>352</v>
      </c>
      <c r="G291" s="23">
        <f t="array" ref="G291">IFERROR(
    INDEX('Hub Users 226'!A:A, MATCH(C291, 'Hub Users 226'!B:B, 0)),"")</f>
        <v>785</v>
      </c>
      <c r="H291" s="28">
        <v>309.0</v>
      </c>
      <c r="I291" s="28" t="s">
        <v>260</v>
      </c>
      <c r="J291" s="28" t="s">
        <v>5336</v>
      </c>
      <c r="K291" s="28" t="s">
        <v>5177</v>
      </c>
      <c r="L291" s="28" t="s">
        <v>5196</v>
      </c>
      <c r="M291" s="56" t="s">
        <v>7248</v>
      </c>
      <c r="N291" s="57">
        <v>44233.76666666667</v>
      </c>
      <c r="O291" s="58">
        <v>37675.0</v>
      </c>
      <c r="P291" s="28">
        <f t="shared" si="11"/>
        <v>23</v>
      </c>
      <c r="Q291" s="28" t="s">
        <v>240</v>
      </c>
      <c r="R291" s="28" t="s">
        <v>7249</v>
      </c>
      <c r="S291" s="28">
        <v>15.0</v>
      </c>
      <c r="T291" s="28">
        <v>29.0</v>
      </c>
      <c r="U291" s="28">
        <v>77.0</v>
      </c>
      <c r="V291" s="28">
        <v>16.0</v>
      </c>
      <c r="W291" s="28" t="s">
        <v>859</v>
      </c>
      <c r="X291" s="28" t="s">
        <v>272</v>
      </c>
      <c r="Y291" s="28" t="s">
        <v>7250</v>
      </c>
      <c r="Z291" s="28" t="s">
        <v>5310</v>
      </c>
      <c r="AA291" s="28" t="s">
        <v>362</v>
      </c>
      <c r="AB291" s="28">
        <v>16.0</v>
      </c>
      <c r="AC291" s="28" t="s">
        <v>25</v>
      </c>
      <c r="AD291" s="23"/>
      <c r="AE291" s="28" t="s">
        <v>8</v>
      </c>
      <c r="AF291" s="23" t="str">
        <f>IFERROR(__xludf.DUMMYFUNCTION("TEXTJOIN("", "", TRUE,
  FILTER(Champions!C:C,
    ISNUMBER(SEARCH(C291, Champions!W:W))
  )
)"),"Flavia Mihaela Vaduva, Sriramya Ayyagari")</f>
        <v>Flavia Mihaela Vaduva, Sriramya Ayyagari</v>
      </c>
      <c r="AG291" s="23"/>
      <c r="AH291" s="23" t="str">
        <f>IFERROR(__xludf.DUMMYFUNCTION("IF(
ISNUMBER(MATCH(
C291,
IMPORTRANGE(""https://docs.google.com/spreadsheets/d/1yTh1ELC33JHYOeEdgIiEclxPRyh0zOKtlawDltfUay8"",""'Interns'!A:A""),
0
)),
""Outreach Conducted"",
"""")"),"")</f>
        <v/>
      </c>
      <c r="AI291" s="23"/>
      <c r="AJ291" s="23"/>
      <c r="AK291" s="23" t="str">
        <f>IFERROR(__xludf.DUMMYFUNCTION("XLOOKUP(C291, 
   IMPORTRANGE(""1RdEdgHYrZ33LJ7RUHj_h-qkAFL92bcVjtIdVa-UlsCw"", ""Interns!D:D""), 
   IMPORTRANGE(""1RdEdgHYrZ33LJ7RUHj_h-qkAFL92bcVjtIdVa-UlsCw"", ""Interns!M:M""), 
   ""Not Found"")"),"")</f>
        <v/>
      </c>
      <c r="AL291" s="23" t="str">
        <f>IFERROR(__xludf.DUMMYFUNCTION("XLOOKUP(C291, 
   IMPORTRANGE(""1RdEdgHYrZ33LJ7RUHj_h-qkAFL92bcVjtIdVa-UlsCw"", ""Interns!D:D""), 
   IMPORTRANGE(""1RdEdgHYrZ33LJ7RUHj_h-qkAFL92bcVjtIdVa-UlsCw"", ""Interns!N:N""), 
   ""Not Found"")"),"#SpeakingMyName")</f>
        <v>#SpeakingMyName</v>
      </c>
      <c r="AM291" s="23" t="str">
        <f>IFERROR(__xludf.DUMMYFUNCTION("XLOOKUP(C291, 
   IMPORTRANGE(""1RdEdgHYrZ33LJ7RUHj_h-qkAFL92bcVjtIdVa-UlsCw"", ""Interns!D:D""), 
   IMPORTRANGE(""1RdEdgHYrZ33LJ7RUHj_h-qkAFL92bcVjtIdVa-UlsCw"", ""Interns!O:O""), 
   ""Not Found"")"),"Alicia reached out by email on 5/15 for #SpeakingMyName")</f>
        <v>Alicia reached out by email on 5/15 for #SpeakingMyName</v>
      </c>
      <c r="AN291" s="23"/>
      <c r="AO291" s="23" t="s">
        <v>7251</v>
      </c>
      <c r="AP291" s="28" t="s">
        <v>5989</v>
      </c>
      <c r="AQ291" s="28" t="s">
        <v>7252</v>
      </c>
      <c r="AR291" s="23" t="s">
        <v>7253</v>
      </c>
      <c r="AS291" s="23"/>
      <c r="AT291" s="23"/>
      <c r="AU291" s="23"/>
      <c r="AV291" s="23"/>
    </row>
    <row r="292">
      <c r="A292" s="28" t="s">
        <v>5161</v>
      </c>
      <c r="B292" s="28" t="s">
        <v>5162</v>
      </c>
      <c r="C292" s="23" t="str">
        <f t="shared" si="1"/>
        <v>Nahiara Richiez Avila</v>
      </c>
      <c r="D292" s="28" t="s">
        <v>7254</v>
      </c>
      <c r="E292" s="28" t="s">
        <v>7255</v>
      </c>
      <c r="F292" s="23">
        <f t="array" ref="F292">IFERROR(
    INDEX('Hub Interns 226'!A:A, MATCH(C292, 'Hub Interns 226'!B:B, 0)),"")</f>
        <v>910</v>
      </c>
      <c r="G292" s="23">
        <f t="array" ref="G292">IFERROR(
    INDEX('Hub Users 226'!A:A, MATCH(C292, 'Hub Users 226'!B:B, 0)),"")</f>
        <v>1343</v>
      </c>
      <c r="H292" s="28">
        <v>438.0</v>
      </c>
      <c r="I292" s="28" t="s">
        <v>1235</v>
      </c>
      <c r="J292" s="28" t="s">
        <v>5336</v>
      </c>
      <c r="K292" s="28" t="s">
        <v>5177</v>
      </c>
      <c r="L292" s="28" t="s">
        <v>5196</v>
      </c>
      <c r="M292" s="56" t="s">
        <v>7256</v>
      </c>
      <c r="N292" s="57">
        <v>44315.56875</v>
      </c>
      <c r="O292" s="58">
        <v>38464.0</v>
      </c>
      <c r="P292" s="28">
        <f t="shared" si="11"/>
        <v>21</v>
      </c>
      <c r="Q292" s="28" t="s">
        <v>240</v>
      </c>
      <c r="R292" s="28" t="s">
        <v>7257</v>
      </c>
      <c r="S292" s="28">
        <v>15.0</v>
      </c>
      <c r="T292" s="28">
        <v>32.0</v>
      </c>
      <c r="U292" s="28">
        <v>79.0</v>
      </c>
      <c r="V292" s="28">
        <v>16.0</v>
      </c>
      <c r="W292" s="28" t="s">
        <v>859</v>
      </c>
      <c r="X292" s="28" t="s">
        <v>272</v>
      </c>
      <c r="Y292" s="28" t="s">
        <v>7258</v>
      </c>
      <c r="Z292" s="28" t="s">
        <v>5310</v>
      </c>
      <c r="AA292" s="28" t="s">
        <v>362</v>
      </c>
      <c r="AB292" s="28">
        <v>16.0</v>
      </c>
      <c r="AC292" s="28" t="s">
        <v>24</v>
      </c>
      <c r="AD292" s="23"/>
      <c r="AE292" s="28" t="s">
        <v>8</v>
      </c>
      <c r="AF292" s="23"/>
      <c r="AG292" s="23"/>
      <c r="AH292" s="23" t="str">
        <f>IFERROR(__xludf.DUMMYFUNCTION("IF(
ISNUMBER(MATCH(
C292,
IMPORTRANGE(""https://docs.google.com/spreadsheets/d/1yTh1ELC33JHYOeEdgIiEclxPRyh0zOKtlawDltfUay8"",""'Interns'!A:A""),
0
)),
""Outreach Conducted"",
"""")"),"")</f>
        <v/>
      </c>
      <c r="AI292" s="23"/>
      <c r="AJ292" s="23"/>
      <c r="AK292" s="23" t="str">
        <f>IFERROR(__xludf.DUMMYFUNCTION("XLOOKUP(C292, 
   IMPORTRANGE(""1RdEdgHYrZ33LJ7RUHj_h-qkAFL92bcVjtIdVa-UlsCw"", ""Interns!D:D""), 
   IMPORTRANGE(""1RdEdgHYrZ33LJ7RUHj_h-qkAFL92bcVjtIdVa-UlsCw"", ""Interns!M:M""), 
   ""Not Found"")"),"")</f>
        <v/>
      </c>
      <c r="AL292" s="23" t="str">
        <f>IFERROR(__xludf.DUMMYFUNCTION("XLOOKUP(C292, 
   IMPORTRANGE(""1RdEdgHYrZ33LJ7RUHj_h-qkAFL92bcVjtIdVa-UlsCw"", ""Interns!D:D""), 
   IMPORTRANGE(""1RdEdgHYrZ33LJ7RUHj_h-qkAFL92bcVjtIdVa-UlsCw"", ""Interns!N:N""), 
   ""Not Found"")"),"#SpeakingMyName")</f>
        <v>#SpeakingMyName</v>
      </c>
      <c r="AM292" s="23" t="str">
        <f>IFERROR(__xludf.DUMMYFUNCTION("XLOOKUP(C292, 
   IMPORTRANGE(""1RdEdgHYrZ33LJ7RUHj_h-qkAFL92bcVjtIdVa-UlsCw"", ""Interns!D:D""), 
   IMPORTRANGE(""1RdEdgHYrZ33LJ7RUHj_h-qkAFL92bcVjtIdVa-UlsCw"", ""Interns!O:O""), 
   ""Not Found"")"),"Alicia reached out by email on 5/15 for #SpeakingMyName")</f>
        <v>Alicia reached out by email on 5/15 for #SpeakingMyName</v>
      </c>
      <c r="AN292" s="23"/>
      <c r="AO292" s="23" t="s">
        <v>7259</v>
      </c>
      <c r="AP292" s="28" t="s">
        <v>5182</v>
      </c>
      <c r="AQ292" s="28"/>
      <c r="AR292" s="23"/>
      <c r="AS292" s="23"/>
      <c r="AT292" s="23"/>
      <c r="AU292" s="23"/>
      <c r="AV292" s="23"/>
    </row>
    <row r="293">
      <c r="A293" s="28" t="s">
        <v>5161</v>
      </c>
      <c r="B293" s="28" t="s">
        <v>5162</v>
      </c>
      <c r="C293" s="23" t="str">
        <f t="shared" si="1"/>
        <v>Hendry Bello</v>
      </c>
      <c r="D293" s="28" t="s">
        <v>7260</v>
      </c>
      <c r="E293" s="28" t="s">
        <v>7261</v>
      </c>
      <c r="F293" s="23">
        <f t="array" ref="F293">IFERROR(
    INDEX('Hub Interns 226'!A:A, MATCH(C293, 'Hub Interns 226'!B:B, 0)),"")</f>
        <v>90</v>
      </c>
      <c r="G293" s="23">
        <f t="array" ref="G293">IFERROR(
    INDEX('Hub Users 226'!A:A, MATCH(C293, 'Hub Users 226'!B:B, 0)),"")</f>
        <v>523</v>
      </c>
      <c r="H293" s="28">
        <v>1483.0</v>
      </c>
      <c r="I293" s="28" t="s">
        <v>407</v>
      </c>
      <c r="J293" s="28" t="s">
        <v>5336</v>
      </c>
      <c r="K293" s="28" t="s">
        <v>5177</v>
      </c>
      <c r="L293" s="28" t="s">
        <v>5165</v>
      </c>
      <c r="M293" s="56" t="s">
        <v>7262</v>
      </c>
      <c r="N293" s="57">
        <v>44939.61944444444</v>
      </c>
      <c r="O293" s="58">
        <v>38897.0</v>
      </c>
      <c r="P293" s="28">
        <f t="shared" si="11"/>
        <v>19</v>
      </c>
      <c r="Q293" s="28" t="s">
        <v>7263</v>
      </c>
      <c r="R293" s="28" t="s">
        <v>7264</v>
      </c>
      <c r="S293" s="28">
        <v>16.0</v>
      </c>
      <c r="T293" s="28">
        <v>35.0</v>
      </c>
      <c r="U293" s="28">
        <v>89.0</v>
      </c>
      <c r="V293" s="28"/>
      <c r="W293" s="28" t="s">
        <v>271</v>
      </c>
      <c r="X293" s="28" t="s">
        <v>272</v>
      </c>
      <c r="Y293" s="28" t="s">
        <v>7265</v>
      </c>
      <c r="Z293" s="28" t="s">
        <v>5259</v>
      </c>
      <c r="AA293" s="28" t="s">
        <v>704</v>
      </c>
      <c r="AB293" s="28">
        <v>2.0</v>
      </c>
      <c r="AC293" s="28" t="s">
        <v>25</v>
      </c>
      <c r="AD293" s="23"/>
      <c r="AE293" s="28" t="s">
        <v>15</v>
      </c>
      <c r="AF293" s="23" t="str">
        <f>IFERROR(__xludf.DUMMYFUNCTION("TEXTJOIN("", "", TRUE,
  FILTER(Champions!C:C,
    ISNUMBER(SEARCH(C293, Champions!W:W))
  )
)"),"Daniela Fernandez Espinosa, Karim Rajmohamed")</f>
        <v>Daniela Fernandez Espinosa, Karim Rajmohamed</v>
      </c>
      <c r="AG293" s="23"/>
      <c r="AH293" s="23" t="str">
        <f>IFERROR(__xludf.DUMMYFUNCTION("IF(
ISNUMBER(MATCH(
C293,
IMPORTRANGE(""https://docs.google.com/spreadsheets/d/1yTh1ELC33JHYOeEdgIiEclxPRyh0zOKtlawDltfUay8"",""'Interns'!A:A""),
0
)),
""Outreach Conducted"",
"""")"),"")</f>
        <v/>
      </c>
      <c r="AI293" s="23"/>
      <c r="AJ293" s="23"/>
      <c r="AK293" s="23" t="str">
        <f>IFERROR(__xludf.DUMMYFUNCTION("XLOOKUP(C293, 
   IMPORTRANGE(""1RdEdgHYrZ33LJ7RUHj_h-qkAFL92bcVjtIdVa-UlsCw"", ""Interns!D:D""), 
   IMPORTRANGE(""1RdEdgHYrZ33LJ7RUHj_h-qkAFL92bcVjtIdVa-UlsCw"", ""Interns!M:M""), 
   ""Not Found"")"),"")</f>
        <v/>
      </c>
      <c r="AL293" s="23" t="str">
        <f>IFERROR(__xludf.DUMMYFUNCTION("XLOOKUP(C293, 
   IMPORTRANGE(""1RdEdgHYrZ33LJ7RUHj_h-qkAFL92bcVjtIdVa-UlsCw"", ""Interns!D:D""), 
   IMPORTRANGE(""1RdEdgHYrZ33LJ7RUHj_h-qkAFL92bcVjtIdVa-UlsCw"", ""Interns!N:N""), 
   ""Not Found"")"),"")</f>
        <v/>
      </c>
      <c r="AM293" s="23" t="str">
        <f>IFERROR(__xludf.DUMMYFUNCTION("XLOOKUP(C293, 
   IMPORTRANGE(""1RdEdgHYrZ33LJ7RUHj_h-qkAFL92bcVjtIdVa-UlsCw"", ""Interns!D:D""), 
   IMPORTRANGE(""1RdEdgHYrZ33LJ7RUHj_h-qkAFL92bcVjtIdVa-UlsCw"", ""Interns!O:O""), 
   ""Not Found"")"),"")</f>
        <v/>
      </c>
      <c r="AN293" s="23"/>
      <c r="AO293" s="23" t="s">
        <v>7266</v>
      </c>
      <c r="AP293" s="28" t="s">
        <v>5191</v>
      </c>
      <c r="AQ293" s="28" t="s">
        <v>7267</v>
      </c>
      <c r="AR293" s="23" t="s">
        <v>7268</v>
      </c>
      <c r="AS293" s="23"/>
      <c r="AT293" s="23"/>
      <c r="AU293" s="23"/>
      <c r="AV293" s="23"/>
    </row>
    <row r="294">
      <c r="A294" s="28" t="s">
        <v>5202</v>
      </c>
      <c r="B294" s="28" t="s">
        <v>5162</v>
      </c>
      <c r="C294" s="23" t="str">
        <f t="shared" si="1"/>
        <v>Eimy Alexandra Carpio Cuesta</v>
      </c>
      <c r="D294" s="28" t="s">
        <v>7269</v>
      </c>
      <c r="E294" s="28" t="s">
        <v>7270</v>
      </c>
      <c r="F294" s="23">
        <f t="array" ref="F294">IFERROR(
    INDEX('Hub Interns 226'!A:A, MATCH(C294, 'Hub Interns 226'!B:B, 0)),"")</f>
        <v>472</v>
      </c>
      <c r="G294" s="23">
        <f t="array" ref="G294">IFERROR(
    INDEX('Hub Users 226'!A:A, MATCH(C294, 'Hub Users 226'!B:B, 0)),"")</f>
        <v>905</v>
      </c>
      <c r="H294" s="28">
        <v>260.0</v>
      </c>
      <c r="I294" s="28" t="s">
        <v>417</v>
      </c>
      <c r="J294" s="28" t="s">
        <v>5336</v>
      </c>
      <c r="K294" s="28" t="s">
        <v>5177</v>
      </c>
      <c r="L294" s="28" t="s">
        <v>5196</v>
      </c>
      <c r="M294" s="56" t="s">
        <v>7271</v>
      </c>
      <c r="N294" s="57">
        <v>44203.41111111111</v>
      </c>
      <c r="O294" s="58">
        <v>38097.0</v>
      </c>
      <c r="P294" s="28">
        <f t="shared" si="11"/>
        <v>22</v>
      </c>
      <c r="Q294" s="28" t="s">
        <v>7272</v>
      </c>
      <c r="R294" s="28" t="s">
        <v>7273</v>
      </c>
      <c r="S294" s="28">
        <v>15.0</v>
      </c>
      <c r="T294" s="28">
        <v>33.0</v>
      </c>
      <c r="U294" s="28">
        <v>78.0</v>
      </c>
      <c r="V294" s="28">
        <v>11.0</v>
      </c>
      <c r="W294" s="28" t="s">
        <v>859</v>
      </c>
      <c r="X294" s="28" t="s">
        <v>272</v>
      </c>
      <c r="Y294" s="28" t="s">
        <v>7274</v>
      </c>
      <c r="Z294" s="28" t="s">
        <v>5918</v>
      </c>
      <c r="AA294" s="28" t="s">
        <v>477</v>
      </c>
      <c r="AB294" s="28">
        <v>15.0</v>
      </c>
      <c r="AC294" s="28" t="s">
        <v>25</v>
      </c>
      <c r="AD294" s="23"/>
      <c r="AE294" s="28" t="s">
        <v>8</v>
      </c>
      <c r="AF294" s="23" t="str">
        <f>IFERROR(__xludf.DUMMYFUNCTION("TEXTJOIN("", "", TRUE,
  FILTER(Champions!C:C,
    ISNUMBER(SEARCH(C294, Champions!W:W))
  )
)"),"Gabriela Amada Vega, Tracy Pullman")</f>
        <v>Gabriela Amada Vega, Tracy Pullman</v>
      </c>
      <c r="AG294" s="23"/>
      <c r="AH294" s="23" t="str">
        <f>IFERROR(__xludf.DUMMYFUNCTION("IF(
ISNUMBER(MATCH(
C294,
IMPORTRANGE(""https://docs.google.com/spreadsheets/d/1yTh1ELC33JHYOeEdgIiEclxPRyh0zOKtlawDltfUay8"",""'Interns'!A:A""),
0
)),
""Outreach Conducted"",
"""")"),"")</f>
        <v/>
      </c>
      <c r="AI294" s="23"/>
      <c r="AJ294" s="28" t="s">
        <v>7275</v>
      </c>
      <c r="AK294" s="23" t="str">
        <f>IFERROR(__xludf.DUMMYFUNCTION("XLOOKUP(C294, 
   IMPORTRANGE(""1RdEdgHYrZ33LJ7RUHj_h-qkAFL92bcVjtIdVa-UlsCw"", ""Interns!D:D""), 
   IMPORTRANGE(""1RdEdgHYrZ33LJ7RUHj_h-qkAFL92bcVjtIdVa-UlsCw"", ""Interns!M:M""), 
   ""Not Found"")"),"")</f>
        <v/>
      </c>
      <c r="AL294" s="23" t="str">
        <f>IFERROR(__xludf.DUMMYFUNCTION("XLOOKUP(C294, 
   IMPORTRANGE(""1RdEdgHYrZ33LJ7RUHj_h-qkAFL92bcVjtIdVa-UlsCw"", ""Interns!D:D""), 
   IMPORTRANGE(""1RdEdgHYrZ33LJ7RUHj_h-qkAFL92bcVjtIdVa-UlsCw"", ""Interns!N:N""), 
   ""Not Found"")"),"")</f>
        <v/>
      </c>
      <c r="AM294" s="23" t="str">
        <f>IFERROR(__xludf.DUMMYFUNCTION("XLOOKUP(C294, 
   IMPORTRANGE(""1RdEdgHYrZ33LJ7RUHj_h-qkAFL92bcVjtIdVa-UlsCw"", ""Interns!D:D""), 
   IMPORTRANGE(""1RdEdgHYrZ33LJ7RUHj_h-qkAFL92bcVjtIdVa-UlsCw"", ""Interns!O:O""), 
   ""Not Found"")"),"")</f>
        <v/>
      </c>
      <c r="AN294" s="23"/>
      <c r="AO294" s="23" t="s">
        <v>7276</v>
      </c>
      <c r="AP294" s="28" t="s">
        <v>5182</v>
      </c>
      <c r="AQ294" s="28" t="s">
        <v>7277</v>
      </c>
      <c r="AR294" s="23">
        <v>3.479610305E9</v>
      </c>
      <c r="AS294" s="23"/>
      <c r="AT294" s="23"/>
      <c r="AU294" s="23"/>
      <c r="AV294" s="23"/>
    </row>
    <row r="295">
      <c r="A295" s="28" t="s">
        <v>5161</v>
      </c>
      <c r="B295" s="28" t="s">
        <v>5162</v>
      </c>
      <c r="C295" s="23" t="str">
        <f t="shared" si="1"/>
        <v>Karina Tejada</v>
      </c>
      <c r="D295" s="28" t="s">
        <v>7278</v>
      </c>
      <c r="E295" s="28" t="s">
        <v>7279</v>
      </c>
      <c r="F295" s="23">
        <f t="array" ref="F295">IFERROR(
    INDEX('Hub Interns 226'!A:A, MATCH(C295, 'Hub Interns 226'!B:B, 0)),"")</f>
        <v>727</v>
      </c>
      <c r="G295" s="23">
        <f t="array" ref="G295">IFERROR(
    INDEX('Hub Users 226'!A:A, MATCH(C295, 'Hub Users 226'!B:B, 0)),"")</f>
        <v>1160</v>
      </c>
      <c r="H295" s="28">
        <v>1275.0</v>
      </c>
      <c r="I295" s="28" t="s">
        <v>260</v>
      </c>
      <c r="J295" s="28" t="s">
        <v>5336</v>
      </c>
      <c r="K295" s="28" t="s">
        <v>5177</v>
      </c>
      <c r="L295" s="28" t="s">
        <v>5196</v>
      </c>
      <c r="M295" s="56" t="s">
        <v>7280</v>
      </c>
      <c r="N295" s="59">
        <v>44845.60486111111</v>
      </c>
      <c r="O295" s="58">
        <v>38910.0</v>
      </c>
      <c r="P295" s="28">
        <f t="shared" si="11"/>
        <v>19</v>
      </c>
      <c r="Q295" s="28" t="s">
        <v>7281</v>
      </c>
      <c r="R295" s="28" t="s">
        <v>7282</v>
      </c>
      <c r="S295" s="28">
        <v>13.0</v>
      </c>
      <c r="T295" s="28">
        <v>31.0</v>
      </c>
      <c r="U295" s="28">
        <v>72.0</v>
      </c>
      <c r="V295" s="28">
        <v>10.0</v>
      </c>
      <c r="W295" s="28" t="s">
        <v>271</v>
      </c>
      <c r="X295" s="28" t="s">
        <v>272</v>
      </c>
      <c r="Y295" s="28" t="s">
        <v>7283</v>
      </c>
      <c r="Z295" s="28" t="s">
        <v>5341</v>
      </c>
      <c r="AA295" s="28" t="s">
        <v>1085</v>
      </c>
      <c r="AB295" s="28">
        <v>10.0</v>
      </c>
      <c r="AC295" s="28" t="s">
        <v>25</v>
      </c>
      <c r="AD295" s="23"/>
      <c r="AE295" s="28" t="s">
        <v>15</v>
      </c>
      <c r="AF295" s="23" t="str">
        <f>IFERROR(__xludf.DUMMYFUNCTION("TEXTJOIN("", "", TRUE,
  FILTER(Champions!C:C,
    ISNUMBER(SEARCH(C295, Champions!W:W))
  )
)"),"Anne Tam, Donald Johnson, Mario Badillo")</f>
        <v>Anne Tam, Donald Johnson, Mario Badillo</v>
      </c>
      <c r="AG295" s="23"/>
      <c r="AH295" s="23" t="str">
        <f>IFERROR(__xludf.DUMMYFUNCTION("IF(
ISNUMBER(MATCH(
C295,
IMPORTRANGE(""https://docs.google.com/spreadsheets/d/1yTh1ELC33JHYOeEdgIiEclxPRyh0zOKtlawDltfUay8"",""'Interns'!A:A""),
0
)),
""Outreach Conducted"",
"""")"),"")</f>
        <v/>
      </c>
      <c r="AI295" s="23"/>
      <c r="AJ295" s="23"/>
      <c r="AK295" s="23" t="str">
        <f>IFERROR(__xludf.DUMMYFUNCTION("XLOOKUP(C295, 
   IMPORTRANGE(""1RdEdgHYrZ33LJ7RUHj_h-qkAFL92bcVjtIdVa-UlsCw"", ""Interns!D:D""), 
   IMPORTRANGE(""1RdEdgHYrZ33LJ7RUHj_h-qkAFL92bcVjtIdVa-UlsCw"", ""Interns!M:M""), 
   ""Not Found"")"),"Contacted")</f>
        <v>Contacted</v>
      </c>
      <c r="AL295" s="23" t="str">
        <f>IFERROR(__xludf.DUMMYFUNCTION("XLOOKUP(C295, 
   IMPORTRANGE(""1RdEdgHYrZ33LJ7RUHj_h-qkAFL92bcVjtIdVa-UlsCw"", ""Interns!D:D""), 
   IMPORTRANGE(""1RdEdgHYrZ33LJ7RUHj_h-qkAFL92bcVjtIdVa-UlsCw"", ""Interns!N:N""), 
   ""Not Found"")"),"#Cheers4Careers")</f>
        <v>#Cheers4Careers</v>
      </c>
      <c r="AM295" s="23" t="str">
        <f>IFERROR(__xludf.DUMMYFUNCTION("XLOOKUP(C295, 
   IMPORTRANGE(""1RdEdgHYrZ33LJ7RUHj_h-qkAFL92bcVjtIdVa-UlsCw"", ""Interns!D:D""), 
   IMPORTRANGE(""1RdEdgHYrZ33LJ7RUHj_h-qkAFL92bcVjtIdVa-UlsCw"", ""Interns!O:O""), 
   ""Not Found"")"),"Texted on April 12 for #Cheers4Careers event")</f>
        <v>Texted on April 12 for #Cheers4Careers event</v>
      </c>
      <c r="AN295" s="23"/>
      <c r="AO295" s="23" t="s">
        <v>7284</v>
      </c>
      <c r="AP295" s="28" t="s">
        <v>5182</v>
      </c>
      <c r="AQ295" s="28" t="s">
        <v>7285</v>
      </c>
      <c r="AR295" s="23" t="s">
        <v>7286</v>
      </c>
      <c r="AS295" s="23"/>
      <c r="AT295" s="23"/>
      <c r="AU295" s="23"/>
      <c r="AV295" s="23"/>
    </row>
    <row r="296">
      <c r="A296" s="28" t="s">
        <v>5202</v>
      </c>
      <c r="B296" s="28" t="s">
        <v>5162</v>
      </c>
      <c r="C296" s="23" t="str">
        <f t="shared" si="1"/>
        <v>Lisbeth Peña</v>
      </c>
      <c r="D296" s="28" t="s">
        <v>7287</v>
      </c>
      <c r="E296" s="28" t="s">
        <v>7288</v>
      </c>
      <c r="F296" s="23">
        <f t="array" ref="F296">IFERROR(
    INDEX('Hub Interns 226'!A:A, MATCH(C296, 'Hub Interns 226'!B:B, 0)),"")</f>
        <v>5</v>
      </c>
      <c r="G296" s="28">
        <v>13.0</v>
      </c>
      <c r="H296" s="28">
        <v>1625.0</v>
      </c>
      <c r="I296" s="28" t="s">
        <v>290</v>
      </c>
      <c r="J296" s="28" t="s">
        <v>5336</v>
      </c>
      <c r="K296" s="28" t="s">
        <v>5177</v>
      </c>
      <c r="L296" s="28" t="s">
        <v>5196</v>
      </c>
      <c r="M296" s="56" t="s">
        <v>7289</v>
      </c>
      <c r="N296" s="57">
        <v>45099.94375</v>
      </c>
      <c r="O296" s="58">
        <v>45091.0</v>
      </c>
      <c r="P296" s="28">
        <f t="shared" si="11"/>
        <v>2</v>
      </c>
      <c r="Q296" s="28" t="s">
        <v>7290</v>
      </c>
      <c r="R296" s="28" t="s">
        <v>7291</v>
      </c>
      <c r="S296" s="28">
        <v>15.0</v>
      </c>
      <c r="T296" s="28">
        <v>29.0</v>
      </c>
      <c r="U296" s="28">
        <v>84.0</v>
      </c>
      <c r="V296" s="28">
        <v>8.0</v>
      </c>
      <c r="W296" s="28" t="s">
        <v>859</v>
      </c>
      <c r="X296" s="28" t="s">
        <v>272</v>
      </c>
      <c r="Y296" s="28">
        <v>9.293048833E9</v>
      </c>
      <c r="Z296" s="28" t="s">
        <v>5208</v>
      </c>
      <c r="AA296" s="28" t="s">
        <v>2141</v>
      </c>
      <c r="AB296" s="28">
        <v>8.0</v>
      </c>
      <c r="AC296" s="28" t="s">
        <v>25</v>
      </c>
      <c r="AD296" s="23"/>
      <c r="AE296" s="28" t="s">
        <v>18</v>
      </c>
      <c r="AF296" s="23" t="str">
        <f>IFERROR(__xludf.DUMMYFUNCTION("TEXTJOIN("", "", TRUE,
  FILTER(Champions!C:C,
    ISNUMBER(SEARCH(C296, Champions!W:W))
  )
)"),"AUGUSTO SALCEDO, Lata Murti")</f>
        <v>AUGUSTO SALCEDO, Lata Murti</v>
      </c>
      <c r="AG296" s="23"/>
      <c r="AH296" s="23" t="str">
        <f>IFERROR(__xludf.DUMMYFUNCTION("IF(
ISNUMBER(MATCH(
C296,
IMPORTRANGE(""https://docs.google.com/spreadsheets/d/1yTh1ELC33JHYOeEdgIiEclxPRyh0zOKtlawDltfUay8"",""'Interns'!A:A""),
0
)),
""Outreach Conducted"",
"""")"),"")</f>
        <v/>
      </c>
      <c r="AI296" s="23"/>
      <c r="AJ296" s="23"/>
      <c r="AK296" s="23" t="str">
        <f>IFERROR(__xludf.DUMMYFUNCTION("XLOOKUP(C296, 
   IMPORTRANGE(""1RdEdgHYrZ33LJ7RUHj_h-qkAFL92bcVjtIdVa-UlsCw"", ""Interns!D:D""), 
   IMPORTRANGE(""1RdEdgHYrZ33LJ7RUHj_h-qkAFL92bcVjtIdVa-UlsCw"", ""Interns!M:M""), 
   ""Not Found"")"),"")</f>
        <v/>
      </c>
      <c r="AL296" s="23" t="str">
        <f>IFERROR(__xludf.DUMMYFUNCTION("XLOOKUP(C296, 
   IMPORTRANGE(""1RdEdgHYrZ33LJ7RUHj_h-qkAFL92bcVjtIdVa-UlsCw"", ""Interns!D:D""), 
   IMPORTRANGE(""1RdEdgHYrZ33LJ7RUHj_h-qkAFL92bcVjtIdVa-UlsCw"", ""Interns!N:N""), 
   ""Not Found"")"),"")</f>
        <v/>
      </c>
      <c r="AM296" s="23" t="str">
        <f>IFERROR(__xludf.DUMMYFUNCTION("XLOOKUP(C296, 
   IMPORTRANGE(""1RdEdgHYrZ33LJ7RUHj_h-qkAFL92bcVjtIdVa-UlsCw"", ""Interns!D:D""), 
   IMPORTRANGE(""1RdEdgHYrZ33LJ7RUHj_h-qkAFL92bcVjtIdVa-UlsCw"", ""Interns!O:O""), 
   ""Not Found"")"),"")</f>
        <v/>
      </c>
      <c r="AN296" s="23"/>
      <c r="AO296" s="23" t="s">
        <v>7292</v>
      </c>
      <c r="AP296" s="28" t="s">
        <v>5191</v>
      </c>
      <c r="AQ296" s="28" t="s">
        <v>7293</v>
      </c>
      <c r="AR296" s="23">
        <v>9.298775219E9</v>
      </c>
      <c r="AS296" s="23"/>
      <c r="AT296" s="23"/>
      <c r="AU296" s="23"/>
      <c r="AV296" s="23"/>
    </row>
    <row r="297">
      <c r="A297" s="28" t="s">
        <v>5161</v>
      </c>
      <c r="B297" s="28" t="s">
        <v>5162</v>
      </c>
      <c r="C297" s="23" t="str">
        <f t="shared" si="1"/>
        <v>Jennyfer Montilla</v>
      </c>
      <c r="D297" s="28" t="s">
        <v>7294</v>
      </c>
      <c r="E297" s="28" t="s">
        <v>7295</v>
      </c>
      <c r="F297" s="23">
        <f t="array" ref="F297">IFERROR(
    INDEX('Hub Interns 226'!A:A, MATCH(C297, 'Hub Interns 226'!B:B, 0)),"")</f>
        <v>649</v>
      </c>
      <c r="G297" s="23">
        <f t="array" ref="G297">IFERROR(
    INDEX('Hub Users 226'!A:A, MATCH(C297, 'Hub Users 226'!B:B, 0)),"")</f>
        <v>1082</v>
      </c>
      <c r="H297" s="28">
        <v>766.0</v>
      </c>
      <c r="I297" s="28" t="s">
        <v>107</v>
      </c>
      <c r="J297" s="28" t="s">
        <v>5336</v>
      </c>
      <c r="K297" s="28" t="s">
        <v>5177</v>
      </c>
      <c r="L297" s="28" t="s">
        <v>5196</v>
      </c>
      <c r="M297" s="56" t="s">
        <v>7296</v>
      </c>
      <c r="N297" s="59">
        <v>44551.95347222222</v>
      </c>
      <c r="O297" s="58">
        <v>38814.0</v>
      </c>
      <c r="P297" s="28">
        <f t="shared" si="11"/>
        <v>20</v>
      </c>
      <c r="Q297" s="28" t="s">
        <v>240</v>
      </c>
      <c r="R297" s="28" t="s">
        <v>7297</v>
      </c>
      <c r="S297" s="28">
        <v>13.0</v>
      </c>
      <c r="T297" s="28">
        <v>31.0</v>
      </c>
      <c r="U297" s="28">
        <v>72.0</v>
      </c>
      <c r="V297" s="28">
        <v>10.0</v>
      </c>
      <c r="W297" s="28" t="s">
        <v>271</v>
      </c>
      <c r="X297" s="28" t="s">
        <v>272</v>
      </c>
      <c r="Y297" s="28" t="s">
        <v>7298</v>
      </c>
      <c r="Z297" s="28" t="s">
        <v>5341</v>
      </c>
      <c r="AA297" s="28" t="s">
        <v>1085</v>
      </c>
      <c r="AB297" s="28">
        <v>10.0</v>
      </c>
      <c r="AC297" s="28" t="s">
        <v>25</v>
      </c>
      <c r="AD297" s="23"/>
      <c r="AE297" s="28" t="s">
        <v>10</v>
      </c>
      <c r="AF297" s="23" t="str">
        <f>IFERROR(__xludf.DUMMYFUNCTION("TEXTJOIN("", "", TRUE,
  FILTER(Champions!C:C,
    ISNUMBER(SEARCH(C297, Champions!W:W))
  )
)"),"David Temple, Louise Malone")</f>
        <v>David Temple, Louise Malone</v>
      </c>
      <c r="AG297" s="23"/>
      <c r="AH297" s="23" t="str">
        <f>IFERROR(__xludf.DUMMYFUNCTION("IF(
ISNUMBER(MATCH(
C297,
IMPORTRANGE(""https://docs.google.com/spreadsheets/d/1yTh1ELC33JHYOeEdgIiEclxPRyh0zOKtlawDltfUay8"",""'Interns'!A:A""),
0
)),
""Outreach Conducted"",
"""")"),"")</f>
        <v/>
      </c>
      <c r="AI297" s="23"/>
      <c r="AJ297" s="23"/>
      <c r="AK297" s="23" t="str">
        <f>IFERROR(__xludf.DUMMYFUNCTION("XLOOKUP(C297, 
   IMPORTRANGE(""1RdEdgHYrZ33LJ7RUHj_h-qkAFL92bcVjtIdVa-UlsCw"", ""Interns!D:D""), 
   IMPORTRANGE(""1RdEdgHYrZ33LJ7RUHj_h-qkAFL92bcVjtIdVa-UlsCw"", ""Interns!M:M""), 
   ""Not Found"")"),"Contacted")</f>
        <v>Contacted</v>
      </c>
      <c r="AL297" s="23" t="str">
        <f>IFERROR(__xludf.DUMMYFUNCTION("XLOOKUP(C297, 
   IMPORTRANGE(""1RdEdgHYrZ33LJ7RUHj_h-qkAFL92bcVjtIdVa-UlsCw"", ""Interns!D:D""), 
   IMPORTRANGE(""1RdEdgHYrZ33LJ7RUHj_h-qkAFL92bcVjtIdVa-UlsCw"", ""Interns!N:N""), 
   ""Not Found"")"),"#Cheers4Careers")</f>
        <v>#Cheers4Careers</v>
      </c>
      <c r="AM297" s="23" t="str">
        <f>IFERROR(__xludf.DUMMYFUNCTION("XLOOKUP(C297, 
   IMPORTRANGE(""1RdEdgHYrZ33LJ7RUHj_h-qkAFL92bcVjtIdVa-UlsCw"", ""Interns!D:D""), 
   IMPORTRANGE(""1RdEdgHYrZ33LJ7RUHj_h-qkAFL92bcVjtIdVa-UlsCw"", ""Interns!O:O""), 
   ""Not Found"")"),"Texted on April 12 for #Cheers4Careers event")</f>
        <v>Texted on April 12 for #Cheers4Careers event</v>
      </c>
      <c r="AN297" s="23"/>
      <c r="AO297" s="23" t="s">
        <v>7299</v>
      </c>
      <c r="AP297" s="28" t="s">
        <v>5182</v>
      </c>
      <c r="AQ297" s="28" t="s">
        <v>7300</v>
      </c>
      <c r="AR297" s="23" t="s">
        <v>7301</v>
      </c>
      <c r="AS297" s="23"/>
      <c r="AT297" s="23"/>
      <c r="AU297" s="23"/>
      <c r="AV297" s="23"/>
    </row>
    <row r="298">
      <c r="A298" s="28" t="s">
        <v>5161</v>
      </c>
      <c r="B298" s="28" t="s">
        <v>5162</v>
      </c>
      <c r="C298" s="23" t="str">
        <f t="shared" si="1"/>
        <v>Jhony Diaz</v>
      </c>
      <c r="D298" s="28" t="s">
        <v>7302</v>
      </c>
      <c r="E298" s="28" t="s">
        <v>6378</v>
      </c>
      <c r="F298" s="23">
        <f t="array" ref="F298">IFERROR(
    INDEX('Hub Interns 226'!A:A, MATCH(C298, 'Hub Interns 226'!B:B, 0)),"")</f>
        <v>665</v>
      </c>
      <c r="G298" s="23">
        <f t="array" ref="G298">IFERROR(
    INDEX('Hub Users 226'!A:A, MATCH(C298, 'Hub Users 226'!B:B, 0)),"")</f>
        <v>1098</v>
      </c>
      <c r="H298" s="28">
        <v>604.0</v>
      </c>
      <c r="I298" s="28" t="s">
        <v>1235</v>
      </c>
      <c r="J298" s="28" t="s">
        <v>5336</v>
      </c>
      <c r="K298" s="28" t="s">
        <v>5177</v>
      </c>
      <c r="L298" s="28" t="s">
        <v>5165</v>
      </c>
      <c r="M298" s="56" t="s">
        <v>7303</v>
      </c>
      <c r="N298" s="59">
        <v>44490.64722222222</v>
      </c>
      <c r="O298" s="58">
        <v>38101.0</v>
      </c>
      <c r="P298" s="28">
        <f t="shared" si="11"/>
        <v>22</v>
      </c>
      <c r="Q298" s="28" t="s">
        <v>240</v>
      </c>
      <c r="R298" s="28" t="s">
        <v>7304</v>
      </c>
      <c r="S298" s="28">
        <v>14.0</v>
      </c>
      <c r="T298" s="28">
        <v>11.0</v>
      </c>
      <c r="U298" s="28">
        <v>27.0</v>
      </c>
      <c r="V298" s="28">
        <v>19.0</v>
      </c>
      <c r="W298" s="28" t="s">
        <v>1173</v>
      </c>
      <c r="X298" s="28" t="s">
        <v>272</v>
      </c>
      <c r="Y298" s="28" t="s">
        <v>7305</v>
      </c>
      <c r="Z298" s="28" t="s">
        <v>5189</v>
      </c>
      <c r="AA298" s="28" t="s">
        <v>619</v>
      </c>
      <c r="AB298" s="28">
        <v>20.0</v>
      </c>
      <c r="AC298" s="28" t="s">
        <v>25</v>
      </c>
      <c r="AD298" s="23"/>
      <c r="AE298" s="28" t="s">
        <v>10</v>
      </c>
      <c r="AF298" s="23" t="str">
        <f>IFERROR(__xludf.DUMMYFUNCTION("TEXTJOIN("", "", TRUE,
  FILTER(Champions!C:C,
    ISNUMBER(SEARCH(C298, Champions!W:W))
  )
)"),"Bela Madrigal, Maria Graciela Burn")</f>
        <v>Bela Madrigal, Maria Graciela Burn</v>
      </c>
      <c r="AG298" s="23"/>
      <c r="AH298" s="23" t="str">
        <f>IFERROR(__xludf.DUMMYFUNCTION("IF(
ISNUMBER(MATCH(
C298,
IMPORTRANGE(""https://docs.google.com/spreadsheets/d/1yTh1ELC33JHYOeEdgIiEclxPRyh0zOKtlawDltfUay8"",""'Interns'!A:A""),
0
)),
""Outreach Conducted"",
"""")"),"")</f>
        <v/>
      </c>
      <c r="AI298" s="23"/>
      <c r="AJ298" s="23"/>
      <c r="AK298" s="23" t="str">
        <f>IFERROR(__xludf.DUMMYFUNCTION("XLOOKUP(C298, 
   IMPORTRANGE(""1RdEdgHYrZ33LJ7RUHj_h-qkAFL92bcVjtIdVa-UlsCw"", ""Interns!D:D""), 
   IMPORTRANGE(""1RdEdgHYrZ33LJ7RUHj_h-qkAFL92bcVjtIdVa-UlsCw"", ""Interns!M:M""), 
   ""Not Found"")"),"Contacted")</f>
        <v>Contacted</v>
      </c>
      <c r="AL298" s="23" t="str">
        <f>IFERROR(__xludf.DUMMYFUNCTION("XLOOKUP(C298, 
   IMPORTRANGE(""1RdEdgHYrZ33LJ7RUHj_h-qkAFL92bcVjtIdVa-UlsCw"", ""Interns!D:D""), 
   IMPORTRANGE(""1RdEdgHYrZ33LJ7RUHj_h-qkAFL92bcVjtIdVa-UlsCw"", ""Interns!N:N""), 
   ""Not Found"")"),"#Cheers4Careers")</f>
        <v>#Cheers4Careers</v>
      </c>
      <c r="AM298" s="23" t="str">
        <f>IFERROR(__xludf.DUMMYFUNCTION("XLOOKUP(C298, 
   IMPORTRANGE(""1RdEdgHYrZ33LJ7RUHj_h-qkAFL92bcVjtIdVa-UlsCw"", ""Interns!D:D""), 
   IMPORTRANGE(""1RdEdgHYrZ33LJ7RUHj_h-qkAFL92bcVjtIdVa-UlsCw"", ""Interns!O:O""), 
   ""Not Found"")"),"Hetal reached out by email 3/27 followed by text")</f>
        <v>Hetal reached out by email 3/27 followed by text</v>
      </c>
      <c r="AN298" s="23"/>
      <c r="AO298" s="23" t="s">
        <v>2308</v>
      </c>
      <c r="AP298" s="28" t="s">
        <v>5240</v>
      </c>
      <c r="AQ298" s="28" t="s">
        <v>7306</v>
      </c>
      <c r="AR298" s="23" t="s">
        <v>7307</v>
      </c>
      <c r="AS298" s="23"/>
      <c r="AT298" s="23"/>
      <c r="AU298" s="23"/>
      <c r="AV298" s="23"/>
    </row>
    <row r="299">
      <c r="A299" s="28" t="s">
        <v>5202</v>
      </c>
      <c r="B299" s="28" t="s">
        <v>5162</v>
      </c>
      <c r="C299" s="23" t="str">
        <f t="shared" si="1"/>
        <v>Enyerson Martinez</v>
      </c>
      <c r="D299" s="28" t="s">
        <v>7308</v>
      </c>
      <c r="E299" s="28" t="s">
        <v>2010</v>
      </c>
      <c r="F299" s="23">
        <f t="array" ref="F299">IFERROR(
    INDEX('Hub Interns 226'!A:A, MATCH(C299, 'Hub Interns 226'!B:B, 0)),"")</f>
        <v>1280</v>
      </c>
      <c r="G299" s="23">
        <f t="array" ref="G299">IFERROR(
    INDEX('Hub Users 226'!A:A, MATCH(C299, 'Hub Users 226'!B:B, 0)),"")</f>
        <v>1772</v>
      </c>
      <c r="H299" s="28">
        <v>1664.0</v>
      </c>
      <c r="I299" s="28"/>
      <c r="J299" s="28" t="s">
        <v>5336</v>
      </c>
      <c r="K299" s="28" t="s">
        <v>5177</v>
      </c>
      <c r="L299" s="28" t="s">
        <v>5165</v>
      </c>
      <c r="M299" s="56" t="s">
        <v>7309</v>
      </c>
      <c r="N299" s="59">
        <v>45213.03611111111</v>
      </c>
      <c r="O299" s="58"/>
      <c r="P299" s="28"/>
      <c r="Q299" s="28" t="s">
        <v>7310</v>
      </c>
      <c r="R299" s="28" t="s">
        <v>7311</v>
      </c>
      <c r="S299" s="28">
        <v>15.0</v>
      </c>
      <c r="T299" s="28">
        <v>33.0</v>
      </c>
      <c r="U299" s="28">
        <v>80.0</v>
      </c>
      <c r="V299" s="28">
        <v>11.0</v>
      </c>
      <c r="W299" s="28" t="s">
        <v>859</v>
      </c>
      <c r="X299" s="28" t="s">
        <v>272</v>
      </c>
      <c r="Y299" s="28">
        <v>7.189735401E9</v>
      </c>
      <c r="Z299" s="28" t="s">
        <v>5918</v>
      </c>
      <c r="AA299" s="28" t="s">
        <v>477</v>
      </c>
      <c r="AB299" s="28">
        <v>15.0</v>
      </c>
      <c r="AC299" s="28" t="s">
        <v>25</v>
      </c>
      <c r="AD299" s="23"/>
      <c r="AE299" s="28" t="s">
        <v>18</v>
      </c>
      <c r="AF299" s="23" t="str">
        <f>IFERROR(__xludf.DUMMYFUNCTION("TEXTJOIN("", "", TRUE,
  FILTER(Champions!C:C,
    ISNUMBER(SEARCH(C299, Champions!W:W))
  )
)"),"Sandra Llontop")</f>
        <v>Sandra Llontop</v>
      </c>
      <c r="AG299" s="23"/>
      <c r="AH299" s="23" t="str">
        <f>IFERROR(__xludf.DUMMYFUNCTION("IF(
ISNUMBER(MATCH(
C299,
IMPORTRANGE(""https://docs.google.com/spreadsheets/d/1yTh1ELC33JHYOeEdgIiEclxPRyh0zOKtlawDltfUay8"",""'Interns'!A:A""),
0
)),
""Outreach Conducted"",
"""")"),"")</f>
        <v/>
      </c>
      <c r="AI299" s="23"/>
      <c r="AJ299" s="23"/>
      <c r="AK299" s="23" t="str">
        <f>IFERROR(__xludf.DUMMYFUNCTION("XLOOKUP(C299, 
   IMPORTRANGE(""1RdEdgHYrZ33LJ7RUHj_h-qkAFL92bcVjtIdVa-UlsCw"", ""Interns!D:D""), 
   IMPORTRANGE(""1RdEdgHYrZ33LJ7RUHj_h-qkAFL92bcVjtIdVa-UlsCw"", ""Interns!M:M""), 
   ""Not Found"")"),"")</f>
        <v/>
      </c>
      <c r="AL299" s="23" t="str">
        <f>IFERROR(__xludf.DUMMYFUNCTION("XLOOKUP(C299, 
   IMPORTRANGE(""1RdEdgHYrZ33LJ7RUHj_h-qkAFL92bcVjtIdVa-UlsCw"", ""Interns!D:D""), 
   IMPORTRANGE(""1RdEdgHYrZ33LJ7RUHj_h-qkAFL92bcVjtIdVa-UlsCw"", ""Interns!N:N""), 
   ""Not Found"")"),"")</f>
        <v/>
      </c>
      <c r="AM299" s="23" t="str">
        <f>IFERROR(__xludf.DUMMYFUNCTION("XLOOKUP(C299, 
   IMPORTRANGE(""1RdEdgHYrZ33LJ7RUHj_h-qkAFL92bcVjtIdVa-UlsCw"", ""Interns!D:D""), 
   IMPORTRANGE(""1RdEdgHYrZ33LJ7RUHj_h-qkAFL92bcVjtIdVa-UlsCw"", ""Interns!O:O""), 
   ""Not Found"")"),"")</f>
        <v/>
      </c>
      <c r="AN299" s="23"/>
      <c r="AO299" s="23" t="s">
        <v>7312</v>
      </c>
      <c r="AP299" s="28" t="s">
        <v>5182</v>
      </c>
      <c r="AQ299" s="28" t="s">
        <v>7313</v>
      </c>
      <c r="AR299" s="23">
        <v>9.29369879E9</v>
      </c>
      <c r="AS299" s="23"/>
      <c r="AT299" s="23"/>
      <c r="AU299" s="23"/>
      <c r="AV299" s="23"/>
    </row>
    <row r="300">
      <c r="A300" s="28" t="s">
        <v>5161</v>
      </c>
      <c r="B300" s="28" t="s">
        <v>5162</v>
      </c>
      <c r="C300" s="23" t="str">
        <f t="shared" si="1"/>
        <v>Cristobal Cespedes</v>
      </c>
      <c r="D300" s="28" t="s">
        <v>7314</v>
      </c>
      <c r="E300" s="28" t="s">
        <v>7315</v>
      </c>
      <c r="F300" s="23">
        <f t="array" ref="F300">IFERROR(
    INDEX('Hub Interns 226'!A:A, MATCH(C300, 'Hub Interns 226'!B:B, 0)),"")</f>
        <v>392</v>
      </c>
      <c r="G300" s="23">
        <f t="array" ref="G300">IFERROR(
    INDEX('Hub Users 226'!A:A, MATCH(C300, 'Hub Users 226'!B:B, 0)),"")</f>
        <v>825</v>
      </c>
      <c r="H300" s="28">
        <v>1360.0</v>
      </c>
      <c r="I300" s="28" t="s">
        <v>239</v>
      </c>
      <c r="J300" s="28" t="s">
        <v>5336</v>
      </c>
      <c r="K300" s="28" t="s">
        <v>5177</v>
      </c>
      <c r="L300" s="28" t="s">
        <v>5165</v>
      </c>
      <c r="M300" s="56" t="s">
        <v>7316</v>
      </c>
      <c r="N300" s="59">
        <v>44859.606944444444</v>
      </c>
      <c r="O300" s="58">
        <v>37901.0</v>
      </c>
      <c r="P300" s="28">
        <f t="shared" ref="P300:P396" si="12">DATEDIF(O300, TODAY(), "Y")</f>
        <v>22</v>
      </c>
      <c r="Q300" s="28" t="s">
        <v>7317</v>
      </c>
      <c r="R300" s="28" t="s">
        <v>7318</v>
      </c>
      <c r="S300" s="28">
        <v>5.0</v>
      </c>
      <c r="T300" s="28">
        <v>10.0</v>
      </c>
      <c r="U300" s="28">
        <v>32.0</v>
      </c>
      <c r="V300" s="28">
        <v>28.0</v>
      </c>
      <c r="W300" s="28" t="s">
        <v>1173</v>
      </c>
      <c r="X300" s="28" t="s">
        <v>272</v>
      </c>
      <c r="Y300" s="28" t="s">
        <v>7319</v>
      </c>
      <c r="Z300" s="28" t="s">
        <v>5332</v>
      </c>
      <c r="AA300" s="28" t="s">
        <v>421</v>
      </c>
      <c r="AB300" s="28">
        <v>31.0</v>
      </c>
      <c r="AC300" s="28" t="s">
        <v>25</v>
      </c>
      <c r="AD300" s="23"/>
      <c r="AE300" s="28" t="s">
        <v>15</v>
      </c>
      <c r="AF300" s="23" t="str">
        <f>IFERROR(__xludf.DUMMYFUNCTION("TEXTJOIN("", "", TRUE,
  FILTER(Champions!C:C,
    ISNUMBER(SEARCH(C300, Champions!W:W))
  )
)"),"Madhuri (Maddy) Koushik, Madhuri Sesha Sarma, Prasanna Vijayanathan, Weina Chen")</f>
        <v>Madhuri (Maddy) Koushik, Madhuri Sesha Sarma, Prasanna Vijayanathan, Weina Chen</v>
      </c>
      <c r="AG300" s="26" t="s">
        <v>7320</v>
      </c>
      <c r="AH300" s="23" t="str">
        <f>IFERROR(__xludf.DUMMYFUNCTION("IF(
ISNUMBER(MATCH(
C300,
IMPORTRANGE(""https://docs.google.com/spreadsheets/d/1yTh1ELC33JHYOeEdgIiEclxPRyh0zOKtlawDltfUay8"",""'Interns'!A:A""),
0
)),
""Outreach Conducted"",
"""")"),"")</f>
        <v/>
      </c>
      <c r="AI300" s="23"/>
      <c r="AJ300" s="23"/>
      <c r="AK300" s="23" t="str">
        <f>IFERROR(__xludf.DUMMYFUNCTION("XLOOKUP(C300, 
   IMPORTRANGE(""1RdEdgHYrZ33LJ7RUHj_h-qkAFL92bcVjtIdVa-UlsCw"", ""Interns!D:D""), 
   IMPORTRANGE(""1RdEdgHYrZ33LJ7RUHj_h-qkAFL92bcVjtIdVa-UlsCw"", ""Interns!M:M""), 
   ""Not Found"")"),"Contacted")</f>
        <v>Contacted</v>
      </c>
      <c r="AL300" s="23" t="str">
        <f>IFERROR(__xludf.DUMMYFUNCTION("XLOOKUP(C300, 
   IMPORTRANGE(""1RdEdgHYrZ33LJ7RUHj_h-qkAFL92bcVjtIdVa-UlsCw"", ""Interns!D:D""), 
   IMPORTRANGE(""1RdEdgHYrZ33LJ7RUHj_h-qkAFL92bcVjtIdVa-UlsCw"", ""Interns!N:N""), 
   ""Not Found"")"),"#Cheers4Careers")</f>
        <v>#Cheers4Careers</v>
      </c>
      <c r="AM300" s="23" t="str">
        <f>IFERROR(__xludf.DUMMYFUNCTION("XLOOKUP(C300, 
   IMPORTRANGE(""1RdEdgHYrZ33LJ7RUHj_h-qkAFL92bcVjtIdVa-UlsCw"", ""Interns!D:D""), 
   IMPORTRANGE(""1RdEdgHYrZ33LJ7RUHj_h-qkAFL92bcVjtIdVa-UlsCw"", ""Interns!O:O""), 
   ""Not Found"")"),"Hetal reached out March 27 for March #Cheers4 Careers and texted")</f>
        <v>Hetal reached out March 27 for March #Cheers4 Careers and texted</v>
      </c>
      <c r="AN300" s="23"/>
      <c r="AO300" s="23" t="s">
        <v>536</v>
      </c>
      <c r="AP300" s="28" t="s">
        <v>5182</v>
      </c>
      <c r="AQ300" s="28" t="s">
        <v>7321</v>
      </c>
      <c r="AR300" s="23" t="s">
        <v>7322</v>
      </c>
      <c r="AS300" s="23"/>
      <c r="AT300" s="23"/>
      <c r="AU300" s="23"/>
      <c r="AV300" s="23"/>
    </row>
    <row r="301">
      <c r="A301" s="28" t="s">
        <v>5202</v>
      </c>
      <c r="B301" s="28" t="s">
        <v>31</v>
      </c>
      <c r="C301" s="23" t="str">
        <f t="shared" si="1"/>
        <v>Aboubacar Sidiki Djoumande.</v>
      </c>
      <c r="D301" s="28" t="s">
        <v>7323</v>
      </c>
      <c r="E301" s="28" t="s">
        <v>7324</v>
      </c>
      <c r="F301" s="28">
        <v>137.0</v>
      </c>
      <c r="G301" s="28">
        <v>570.0</v>
      </c>
      <c r="H301" s="28">
        <v>856.0</v>
      </c>
      <c r="I301" s="28" t="s">
        <v>417</v>
      </c>
      <c r="J301" s="28"/>
      <c r="K301" s="28"/>
      <c r="L301" s="28" t="s">
        <v>5165</v>
      </c>
      <c r="M301" s="56" t="s">
        <v>7325</v>
      </c>
      <c r="N301" s="57">
        <v>44589.44930555556</v>
      </c>
      <c r="O301" s="58">
        <v>37800.0</v>
      </c>
      <c r="P301" s="28">
        <f t="shared" si="12"/>
        <v>22</v>
      </c>
      <c r="Q301" s="28" t="s">
        <v>7326</v>
      </c>
      <c r="R301" s="28" t="s">
        <v>7327</v>
      </c>
      <c r="S301" s="28"/>
      <c r="T301" s="28"/>
      <c r="U301" s="28"/>
      <c r="V301" s="28"/>
      <c r="W301" s="28" t="s">
        <v>271</v>
      </c>
      <c r="X301" s="28" t="s">
        <v>272</v>
      </c>
      <c r="Y301" s="23"/>
      <c r="Z301" s="28" t="s">
        <v>5310</v>
      </c>
      <c r="AA301" s="28" t="s">
        <v>362</v>
      </c>
      <c r="AB301" s="28">
        <v>16.0</v>
      </c>
      <c r="AC301" s="28" t="s">
        <v>25</v>
      </c>
      <c r="AD301" s="23"/>
      <c r="AE301" s="28" t="s">
        <v>10</v>
      </c>
      <c r="AF301" s="23" t="str">
        <f>IFERROR(__xludf.DUMMYFUNCTION("TEXTJOIN("", "", TRUE,
  FILTER(Champions!C:C,
    ISNUMBER(SEARCH(""Aboubacar Sidiki Djoumande"", Champions!W:W))
  )
)"),"Tara Shajan")</f>
        <v>Tara Shajan</v>
      </c>
      <c r="AG301" s="23"/>
      <c r="AH301" s="23" t="str">
        <f>IFERROR(__xludf.DUMMYFUNCTION("IF(
ISNUMBER(MATCH(
C301,
IMPORTRANGE(""https://docs.google.com/spreadsheets/d/1yTh1ELC33JHYOeEdgIiEclxPRyh0zOKtlawDltfUay8"",""'Interns'!A:A""),
0
)),
""Outreach Conducted"",
"""")"),"")</f>
        <v/>
      </c>
      <c r="AI301" s="23"/>
      <c r="AJ301" s="23"/>
      <c r="AK301" s="23" t="str">
        <f>IFERROR(__xludf.DUMMYFUNCTION("XLOOKUP(C301, 
   IMPORTRANGE(""1RdEdgHYrZ33LJ7RUHj_h-qkAFL92bcVjtIdVa-UlsCw"", ""Interns!D:D""), 
   IMPORTRANGE(""1RdEdgHYrZ33LJ7RUHj_h-qkAFL92bcVjtIdVa-UlsCw"", ""Interns!M:M""), 
   ""Not Found"")"),"")</f>
        <v/>
      </c>
      <c r="AL301" s="23" t="str">
        <f>IFERROR(__xludf.DUMMYFUNCTION("XLOOKUP(C301, 
   IMPORTRANGE(""1RdEdgHYrZ33LJ7RUHj_h-qkAFL92bcVjtIdVa-UlsCw"", ""Interns!D:D""), 
   IMPORTRANGE(""1RdEdgHYrZ33LJ7RUHj_h-qkAFL92bcVjtIdVa-UlsCw"", ""Interns!N:N""), 
   ""Not Found"")"),"")</f>
        <v/>
      </c>
      <c r="AM301" s="23" t="str">
        <f>IFERROR(__xludf.DUMMYFUNCTION("XLOOKUP(C301, 
   IMPORTRANGE(""1RdEdgHYrZ33LJ7RUHj_h-qkAFL92bcVjtIdVa-UlsCw"", ""Interns!D:D""), 
   IMPORTRANGE(""1RdEdgHYrZ33LJ7RUHj_h-qkAFL92bcVjtIdVa-UlsCw"", ""Interns!O:O""), 
   ""Not Found"")"),"")</f>
        <v/>
      </c>
      <c r="AN301" s="23"/>
      <c r="AO301" s="23" t="s">
        <v>7328</v>
      </c>
      <c r="AP301" s="28" t="s">
        <v>5191</v>
      </c>
      <c r="AQ301" s="28" t="s">
        <v>7329</v>
      </c>
      <c r="AR301" s="23"/>
      <c r="AS301" s="23"/>
      <c r="AT301" s="23"/>
      <c r="AU301" s="23"/>
      <c r="AV301" s="23"/>
    </row>
    <row r="302">
      <c r="A302" s="28" t="s">
        <v>5161</v>
      </c>
      <c r="B302" s="28" t="s">
        <v>5162</v>
      </c>
      <c r="C302" s="23" t="str">
        <f t="shared" si="1"/>
        <v>Brian Rodriguez Rodriguez</v>
      </c>
      <c r="D302" s="28" t="s">
        <v>7330</v>
      </c>
      <c r="E302" s="28" t="s">
        <v>536</v>
      </c>
      <c r="F302" s="23">
        <f t="array" ref="F302">IFERROR(
    INDEX('Hub Interns 226'!A:A, MATCH(C302, 'Hub Interns 226'!B:B, 0)),"")</f>
        <v>38</v>
      </c>
      <c r="G302" s="23">
        <f t="array" ref="G302">IFERROR(
    INDEX('Hub Users 226'!A:A, MATCH(C302, 'Hub Users 226'!B:B, 0)),"")</f>
        <v>471</v>
      </c>
      <c r="H302" s="28">
        <v>915.0</v>
      </c>
      <c r="I302" s="28"/>
      <c r="J302" s="28" t="s">
        <v>5336</v>
      </c>
      <c r="K302" s="28" t="s">
        <v>5177</v>
      </c>
      <c r="L302" s="28" t="s">
        <v>5165</v>
      </c>
      <c r="M302" s="56" t="s">
        <v>7331</v>
      </c>
      <c r="N302" s="57">
        <v>44602.62569444445</v>
      </c>
      <c r="O302" s="58">
        <v>38571.0</v>
      </c>
      <c r="P302" s="28">
        <f t="shared" si="12"/>
        <v>20</v>
      </c>
      <c r="Q302" s="28" t="s">
        <v>240</v>
      </c>
      <c r="R302" s="28" t="s">
        <v>7332</v>
      </c>
      <c r="S302" s="28">
        <v>15.0</v>
      </c>
      <c r="T302" s="28">
        <v>31.0</v>
      </c>
      <c r="U302" s="28">
        <v>77.0</v>
      </c>
      <c r="V302" s="28">
        <v>14.0</v>
      </c>
      <c r="W302" s="28" t="s">
        <v>859</v>
      </c>
      <c r="X302" s="28" t="s">
        <v>272</v>
      </c>
      <c r="Y302" s="28" t="s">
        <v>7333</v>
      </c>
      <c r="Z302" s="28" t="s">
        <v>5259</v>
      </c>
      <c r="AA302" s="28" t="s">
        <v>704</v>
      </c>
      <c r="AB302" s="28">
        <v>2.0</v>
      </c>
      <c r="AC302" s="28" t="s">
        <v>24</v>
      </c>
      <c r="AD302" s="23"/>
      <c r="AE302" s="28" t="s">
        <v>10</v>
      </c>
      <c r="AF302" s="23"/>
      <c r="AG302" s="23"/>
      <c r="AH302" s="23" t="str">
        <f>IFERROR(__xludf.DUMMYFUNCTION("IF(
ISNUMBER(MATCH(
C302,
IMPORTRANGE(""https://docs.google.com/spreadsheets/d/1yTh1ELC33JHYOeEdgIiEclxPRyh0zOKtlawDltfUay8"",""'Interns'!A:A""),
0
)),
""Outreach Conducted"",
"""")"),"")</f>
        <v/>
      </c>
      <c r="AI302" s="23"/>
      <c r="AJ302" s="23"/>
      <c r="AK302" s="23" t="str">
        <f>IFERROR(__xludf.DUMMYFUNCTION("XLOOKUP(C302, 
   IMPORTRANGE(""1RdEdgHYrZ33LJ7RUHj_h-qkAFL92bcVjtIdVa-UlsCw"", ""Interns!D:D""), 
   IMPORTRANGE(""1RdEdgHYrZ33LJ7RUHj_h-qkAFL92bcVjtIdVa-UlsCw"", ""Interns!M:M""), 
   ""Not Found"")"),"Contacted")</f>
        <v>Contacted</v>
      </c>
      <c r="AL302" s="23" t="str">
        <f>IFERROR(__xludf.DUMMYFUNCTION("XLOOKUP(C302, 
   IMPORTRANGE(""1RdEdgHYrZ33LJ7RUHj_h-qkAFL92bcVjtIdVa-UlsCw"", ""Interns!D:D""), 
   IMPORTRANGE(""1RdEdgHYrZ33LJ7RUHj_h-qkAFL92bcVjtIdVa-UlsCw"", ""Interns!N:N""), 
   ""Not Found"")"),"#Cheers4Careers")</f>
        <v>#Cheers4Careers</v>
      </c>
      <c r="AM302" s="23" t="str">
        <f>IFERROR(__xludf.DUMMYFUNCTION("XLOOKUP(C302, 
   IMPORTRANGE(""1RdEdgHYrZ33LJ7RUHj_h-qkAFL92bcVjtIdVa-UlsCw"", ""Interns!D:D""), 
   IMPORTRANGE(""1RdEdgHYrZ33LJ7RUHj_h-qkAFL92bcVjtIdVa-UlsCw"", ""Interns!O:O""), 
   ""Not Found"")"),"Ousmane reached out by email 3/26 and reach out by text 3/28")</f>
        <v>Ousmane reached out by email 3/26 and reach out by text 3/28</v>
      </c>
      <c r="AN302" s="23"/>
      <c r="AO302" s="23" t="s">
        <v>7334</v>
      </c>
      <c r="AP302" s="28" t="s">
        <v>5182</v>
      </c>
      <c r="AQ302" s="28"/>
      <c r="AR302" s="23"/>
      <c r="AS302" s="23"/>
      <c r="AT302" s="23"/>
      <c r="AU302" s="23"/>
      <c r="AV302" s="23"/>
    </row>
    <row r="303">
      <c r="A303" s="28" t="s">
        <v>5161</v>
      </c>
      <c r="B303" s="28" t="s">
        <v>5162</v>
      </c>
      <c r="C303" s="23" t="str">
        <f t="shared" si="1"/>
        <v>Steven Liriano</v>
      </c>
      <c r="D303" s="28" t="s">
        <v>3100</v>
      </c>
      <c r="E303" s="28" t="s">
        <v>7335</v>
      </c>
      <c r="F303" s="23">
        <f t="array" ref="F303">IFERROR(
    INDEX('Hub Interns 226'!A:A, MATCH(C303, 'Hub Interns 226'!B:B, 0)),"")</f>
        <v>1122</v>
      </c>
      <c r="G303" s="23">
        <f t="array" ref="G303">IFERROR(
    INDEX('Hub Users 226'!A:A, MATCH(C303, 'Hub Users 226'!B:B, 0)),"")</f>
        <v>1555</v>
      </c>
      <c r="H303" s="28">
        <v>1224.0</v>
      </c>
      <c r="I303" s="28"/>
      <c r="J303" s="28" t="s">
        <v>5336</v>
      </c>
      <c r="K303" s="28" t="s">
        <v>5177</v>
      </c>
      <c r="L303" s="28" t="s">
        <v>5165</v>
      </c>
      <c r="M303" s="56" t="s">
        <v>7336</v>
      </c>
      <c r="N303" s="57">
        <v>44838.436111111114</v>
      </c>
      <c r="O303" s="58">
        <v>38513.0</v>
      </c>
      <c r="P303" s="28">
        <f t="shared" si="12"/>
        <v>20</v>
      </c>
      <c r="Q303" s="28" t="s">
        <v>7337</v>
      </c>
      <c r="R303" s="28" t="s">
        <v>7338</v>
      </c>
      <c r="S303" s="28">
        <v>15.0</v>
      </c>
      <c r="T303" s="28">
        <v>31.0</v>
      </c>
      <c r="U303" s="28">
        <v>77.0</v>
      </c>
      <c r="V303" s="28">
        <v>14.0</v>
      </c>
      <c r="W303" s="28" t="s">
        <v>859</v>
      </c>
      <c r="X303" s="28" t="s">
        <v>272</v>
      </c>
      <c r="Y303" s="28" t="s">
        <v>7339</v>
      </c>
      <c r="Z303" s="28" t="s">
        <v>5341</v>
      </c>
      <c r="AA303" s="28" t="s">
        <v>1085</v>
      </c>
      <c r="AB303" s="28">
        <v>10.0</v>
      </c>
      <c r="AC303" s="28" t="s">
        <v>23</v>
      </c>
      <c r="AD303" s="23"/>
      <c r="AE303" s="28" t="s">
        <v>15</v>
      </c>
      <c r="AF303" s="23"/>
      <c r="AG303" s="23"/>
      <c r="AH303" s="23" t="str">
        <f>IFERROR(__xludf.DUMMYFUNCTION("IF(
ISNUMBER(MATCH(
C303,
IMPORTRANGE(""https://docs.google.com/spreadsheets/d/1yTh1ELC33JHYOeEdgIiEclxPRyh0zOKtlawDltfUay8"",""'Interns'!A:A""),
0
)),
""Outreach Conducted"",
"""")"),"")</f>
        <v/>
      </c>
      <c r="AI303" s="23"/>
      <c r="AJ303" s="23"/>
      <c r="AK303" s="23" t="str">
        <f>IFERROR(__xludf.DUMMYFUNCTION("XLOOKUP(C303, 
   IMPORTRANGE(""1RdEdgHYrZ33LJ7RUHj_h-qkAFL92bcVjtIdVa-UlsCw"", ""Interns!D:D""), 
   IMPORTRANGE(""1RdEdgHYrZ33LJ7RUHj_h-qkAFL92bcVjtIdVa-UlsCw"", ""Interns!M:M""), 
   ""Not Found"")"),"")</f>
        <v/>
      </c>
      <c r="AL303" s="23" t="str">
        <f>IFERROR(__xludf.DUMMYFUNCTION("XLOOKUP(C303, 
   IMPORTRANGE(""1RdEdgHYrZ33LJ7RUHj_h-qkAFL92bcVjtIdVa-UlsCw"", ""Interns!D:D""), 
   IMPORTRANGE(""1RdEdgHYrZ33LJ7RUHj_h-qkAFL92bcVjtIdVa-UlsCw"", ""Interns!N:N""), 
   ""Not Found"")"),"")</f>
        <v/>
      </c>
      <c r="AM303" s="23" t="str">
        <f>IFERROR(__xludf.DUMMYFUNCTION("XLOOKUP(C303, 
   IMPORTRANGE(""1RdEdgHYrZ33LJ7RUHj_h-qkAFL92bcVjtIdVa-UlsCw"", ""Interns!D:D""), 
   IMPORTRANGE(""1RdEdgHYrZ33LJ7RUHj_h-qkAFL92bcVjtIdVa-UlsCw"", ""Interns!O:O""), 
   ""Not Found"")"),"")</f>
        <v/>
      </c>
      <c r="AN303" s="23"/>
      <c r="AO303" s="23" t="s">
        <v>7340</v>
      </c>
      <c r="AP303" s="28" t="s">
        <v>5182</v>
      </c>
      <c r="AQ303" s="28"/>
      <c r="AR303" s="23"/>
      <c r="AS303" s="23"/>
      <c r="AT303" s="23"/>
      <c r="AU303" s="23"/>
      <c r="AV303" s="23"/>
    </row>
    <row r="304">
      <c r="A304" s="28" t="s">
        <v>5202</v>
      </c>
      <c r="B304" s="28" t="s">
        <v>5162</v>
      </c>
      <c r="C304" s="23" t="str">
        <f t="shared" si="1"/>
        <v>Christian Guzman Jerez</v>
      </c>
      <c r="D304" s="28" t="s">
        <v>932</v>
      </c>
      <c r="E304" s="28" t="s">
        <v>7341</v>
      </c>
      <c r="F304" s="23">
        <f t="array" ref="F304">IFERROR(
    INDEX('Hub Interns 226'!A:A, MATCH(C304, 'Hub Interns 226'!B:B, 0)),"")</f>
        <v>350</v>
      </c>
      <c r="G304" s="23">
        <f t="array" ref="G304">IFERROR(
    INDEX('Hub Users 226'!A:A, MATCH(C304, 'Hub Users 226'!B:B, 0)),"")</f>
        <v>783</v>
      </c>
      <c r="H304" s="28">
        <v>481.0</v>
      </c>
      <c r="I304" s="28" t="s">
        <v>425</v>
      </c>
      <c r="J304" s="28" t="s">
        <v>5336</v>
      </c>
      <c r="K304" s="28" t="s">
        <v>5177</v>
      </c>
      <c r="L304" s="28" t="s">
        <v>5165</v>
      </c>
      <c r="M304" s="56" t="s">
        <v>7342</v>
      </c>
      <c r="N304" s="57">
        <v>44368.53680555556</v>
      </c>
      <c r="O304" s="58">
        <v>37886.0</v>
      </c>
      <c r="P304" s="28">
        <f t="shared" si="12"/>
        <v>22</v>
      </c>
      <c r="Q304" s="28" t="s">
        <v>7343</v>
      </c>
      <c r="R304" s="28" t="s">
        <v>7344</v>
      </c>
      <c r="S304" s="28">
        <v>13.0</v>
      </c>
      <c r="T304" s="28">
        <v>33.0</v>
      </c>
      <c r="U304" s="28">
        <v>78.0</v>
      </c>
      <c r="V304" s="28">
        <v>15.0</v>
      </c>
      <c r="W304" s="28" t="s">
        <v>859</v>
      </c>
      <c r="X304" s="28" t="s">
        <v>272</v>
      </c>
      <c r="Y304" s="23"/>
      <c r="Z304" s="28" t="s">
        <v>5918</v>
      </c>
      <c r="AA304" s="28" t="s">
        <v>477</v>
      </c>
      <c r="AB304" s="28">
        <v>15.0</v>
      </c>
      <c r="AC304" s="28" t="s">
        <v>25</v>
      </c>
      <c r="AD304" s="23"/>
      <c r="AE304" s="28" t="s">
        <v>10</v>
      </c>
      <c r="AF304" s="23" t="str">
        <f>IFERROR(__xludf.DUMMYFUNCTION("TEXTJOIN("", "", TRUE,
  FILTER(Champions!C:C,
    ISNUMBER(SEARCH(C304, Champions!W:W))
  )
)"),"Renata Lozano Giral")</f>
        <v>Renata Lozano Giral</v>
      </c>
      <c r="AG304" s="23"/>
      <c r="AH304" s="23" t="str">
        <f>IFERROR(__xludf.DUMMYFUNCTION("IF(
ISNUMBER(MATCH(
C304,
IMPORTRANGE(""https://docs.google.com/spreadsheets/d/1yTh1ELC33JHYOeEdgIiEclxPRyh0zOKtlawDltfUay8"",""'Interns'!A:A""),
0
)),
""Outreach Conducted"",
"""")"),"")</f>
        <v/>
      </c>
      <c r="AI304" s="23"/>
      <c r="AJ304" s="23"/>
      <c r="AK304" s="23" t="str">
        <f>IFERROR(__xludf.DUMMYFUNCTION("XLOOKUP(C304, 
   IMPORTRANGE(""1RdEdgHYrZ33LJ7RUHj_h-qkAFL92bcVjtIdVa-UlsCw"", ""Interns!D:D""), 
   IMPORTRANGE(""1RdEdgHYrZ33LJ7RUHj_h-qkAFL92bcVjtIdVa-UlsCw"", ""Interns!M:M""), 
   ""Not Found"")"),"")</f>
        <v/>
      </c>
      <c r="AL304" s="23" t="str">
        <f>IFERROR(__xludf.DUMMYFUNCTION("XLOOKUP(C304, 
   IMPORTRANGE(""1RdEdgHYrZ33LJ7RUHj_h-qkAFL92bcVjtIdVa-UlsCw"", ""Interns!D:D""), 
   IMPORTRANGE(""1RdEdgHYrZ33LJ7RUHj_h-qkAFL92bcVjtIdVa-UlsCw"", ""Interns!N:N""), 
   ""Not Found"")"),"")</f>
        <v/>
      </c>
      <c r="AM304" s="23" t="str">
        <f>IFERROR(__xludf.DUMMYFUNCTION("XLOOKUP(C304, 
   IMPORTRANGE(""1RdEdgHYrZ33LJ7RUHj_h-qkAFL92bcVjtIdVa-UlsCw"", ""Interns!D:D""), 
   IMPORTRANGE(""1RdEdgHYrZ33LJ7RUHj_h-qkAFL92bcVjtIdVa-UlsCw"", ""Interns!O:O""), 
   ""Not Found"")"),"")</f>
        <v/>
      </c>
      <c r="AN304" s="23"/>
      <c r="AO304" s="23" t="s">
        <v>7345</v>
      </c>
      <c r="AP304" s="28" t="s">
        <v>5182</v>
      </c>
      <c r="AQ304" s="28" t="s">
        <v>7346</v>
      </c>
      <c r="AR304" s="23" t="s">
        <v>7347</v>
      </c>
      <c r="AS304" s="23"/>
      <c r="AT304" s="23"/>
      <c r="AU304" s="23"/>
      <c r="AV304" s="23"/>
    </row>
    <row r="305">
      <c r="A305" s="28" t="s">
        <v>5202</v>
      </c>
      <c r="B305" s="28" t="s">
        <v>5162</v>
      </c>
      <c r="C305" s="23" t="str">
        <f t="shared" si="1"/>
        <v>Alexa Velasquez</v>
      </c>
      <c r="D305" s="28" t="s">
        <v>7348</v>
      </c>
      <c r="E305" s="28" t="s">
        <v>7349</v>
      </c>
      <c r="F305" s="23" t="str">
        <f t="array" ref="F305">IFERROR(
    INDEX('Hub Interns 226'!A:A, MATCH(C305, 'Hub Interns 226'!B:B, 0)),"")</f>
        <v/>
      </c>
      <c r="G305" s="23" t="str">
        <f t="array" ref="G305">IFERROR(
    INDEX('Hub Users 226'!A:A, MATCH(C305, 'Hub Users 226'!B:B, 0)),"")</f>
        <v/>
      </c>
      <c r="H305" s="28">
        <v>1502.0</v>
      </c>
      <c r="I305" s="28" t="s">
        <v>260</v>
      </c>
      <c r="J305" s="28" t="s">
        <v>5336</v>
      </c>
      <c r="K305" s="28" t="s">
        <v>5177</v>
      </c>
      <c r="L305" s="28" t="s">
        <v>5196</v>
      </c>
      <c r="M305" s="28"/>
      <c r="N305" s="57">
        <v>44949.72638888889</v>
      </c>
      <c r="O305" s="58">
        <v>37670.0</v>
      </c>
      <c r="P305" s="28">
        <f t="shared" si="12"/>
        <v>23</v>
      </c>
      <c r="Q305" s="28" t="s">
        <v>7350</v>
      </c>
      <c r="R305" s="28" t="s">
        <v>7351</v>
      </c>
      <c r="S305" s="28">
        <v>13.0</v>
      </c>
      <c r="T305" s="28">
        <v>31.0</v>
      </c>
      <c r="U305" s="28">
        <v>81.0</v>
      </c>
      <c r="V305" s="28">
        <v>11.0</v>
      </c>
      <c r="W305" s="28" t="s">
        <v>271</v>
      </c>
      <c r="X305" s="28" t="s">
        <v>272</v>
      </c>
      <c r="Y305" s="23"/>
      <c r="Z305" s="28" t="s">
        <v>5435</v>
      </c>
      <c r="AA305" s="28" t="s">
        <v>5436</v>
      </c>
      <c r="AB305" s="28">
        <v>10.0</v>
      </c>
      <c r="AC305" s="28" t="s">
        <v>25</v>
      </c>
      <c r="AD305" s="23"/>
      <c r="AE305" s="28" t="s">
        <v>15</v>
      </c>
      <c r="AF305" s="23" t="str">
        <f>IFERROR(__xludf.DUMMYFUNCTION("TEXTJOIN("", "", TRUE,
  FILTER(Champions!C:C,
    ISNUMBER(SEARCH(C305, Champions!W:W))
  )
)"),"Carmen Maldonado-Bowling")</f>
        <v>Carmen Maldonado-Bowling</v>
      </c>
      <c r="AG305" s="23"/>
      <c r="AH305" s="23" t="str">
        <f>IFERROR(__xludf.DUMMYFUNCTION("IF(
ISNUMBER(MATCH(
C305,
IMPORTRANGE(""https://docs.google.com/spreadsheets/d/1yTh1ELC33JHYOeEdgIiEclxPRyh0zOKtlawDltfUay8"",""'Interns'!A:A""),
0
)),
""Outreach Conducted"",
"""")"),"")</f>
        <v/>
      </c>
      <c r="AI305" s="23"/>
      <c r="AJ305" s="23"/>
      <c r="AK305" s="23" t="str">
        <f>IFERROR(__xludf.DUMMYFUNCTION("XLOOKUP(C305, 
   IMPORTRANGE(""1RdEdgHYrZ33LJ7RUHj_h-qkAFL92bcVjtIdVa-UlsCw"", ""Interns!D:D""), 
   IMPORTRANGE(""1RdEdgHYrZ33LJ7RUHj_h-qkAFL92bcVjtIdVa-UlsCw"", ""Interns!M:M""), 
   ""Not Found"")"),"")</f>
        <v/>
      </c>
      <c r="AL305" s="23" t="str">
        <f>IFERROR(__xludf.DUMMYFUNCTION("XLOOKUP(C305, 
   IMPORTRANGE(""1RdEdgHYrZ33LJ7RUHj_h-qkAFL92bcVjtIdVa-UlsCw"", ""Interns!D:D""), 
   IMPORTRANGE(""1RdEdgHYrZ33LJ7RUHj_h-qkAFL92bcVjtIdVa-UlsCw"", ""Interns!N:N""), 
   ""Not Found"")"),"")</f>
        <v/>
      </c>
      <c r="AM305" s="23" t="str">
        <f>IFERROR(__xludf.DUMMYFUNCTION("XLOOKUP(C305, 
   IMPORTRANGE(""1RdEdgHYrZ33LJ7RUHj_h-qkAFL92bcVjtIdVa-UlsCw"", ""Interns!D:D""), 
   IMPORTRANGE(""1RdEdgHYrZ33LJ7RUHj_h-qkAFL92bcVjtIdVa-UlsCw"", ""Interns!O:O""), 
   ""Not Found"")"),"")</f>
        <v/>
      </c>
      <c r="AN305" s="23"/>
      <c r="AO305" s="23" t="s">
        <v>7352</v>
      </c>
      <c r="AP305" s="28" t="s">
        <v>7353</v>
      </c>
      <c r="AQ305" s="28" t="s">
        <v>7354</v>
      </c>
      <c r="AR305" s="23">
        <v>8.622878126E9</v>
      </c>
      <c r="AS305" s="23"/>
      <c r="AT305" s="23"/>
      <c r="AU305" s="23"/>
      <c r="AV305" s="23"/>
    </row>
    <row r="306">
      <c r="A306" s="28" t="s">
        <v>5161</v>
      </c>
      <c r="B306" s="28" t="s">
        <v>5162</v>
      </c>
      <c r="C306" s="23" t="str">
        <f t="shared" si="1"/>
        <v>Kahori Toribio Vargas</v>
      </c>
      <c r="D306" s="28" t="s">
        <v>7355</v>
      </c>
      <c r="E306" s="28" t="s">
        <v>7356</v>
      </c>
      <c r="F306" s="23">
        <f t="array" ref="F306">IFERROR(
    INDEX('Hub Interns 226'!A:A, MATCH(C306, 'Hub Interns 226'!B:B, 0)),"")</f>
        <v>716</v>
      </c>
      <c r="G306" s="23">
        <f t="array" ref="G306">IFERROR(
    INDEX('Hub Users 226'!A:A, MATCH(C306, 'Hub Users 226'!B:B, 0)),"")</f>
        <v>1149</v>
      </c>
      <c r="H306" s="28">
        <v>913.0</v>
      </c>
      <c r="I306" s="28" t="s">
        <v>107</v>
      </c>
      <c r="J306" s="28" t="s">
        <v>5336</v>
      </c>
      <c r="K306" s="28" t="s">
        <v>5177</v>
      </c>
      <c r="L306" s="28" t="s">
        <v>5196</v>
      </c>
      <c r="M306" s="56" t="s">
        <v>7357</v>
      </c>
      <c r="N306" s="57">
        <v>44602.57361111111</v>
      </c>
      <c r="O306" s="58">
        <v>38501.0</v>
      </c>
      <c r="P306" s="28">
        <f t="shared" si="12"/>
        <v>20</v>
      </c>
      <c r="Q306" s="28" t="s">
        <v>240</v>
      </c>
      <c r="R306" s="28" t="s">
        <v>7358</v>
      </c>
      <c r="S306" s="28">
        <v>15.0</v>
      </c>
      <c r="T306" s="28">
        <v>32.0</v>
      </c>
      <c r="U306" s="28">
        <v>77.0</v>
      </c>
      <c r="V306" s="28">
        <v>16.0</v>
      </c>
      <c r="W306" s="28" t="s">
        <v>859</v>
      </c>
      <c r="X306" s="28" t="s">
        <v>272</v>
      </c>
      <c r="Y306" s="28" t="s">
        <v>7359</v>
      </c>
      <c r="Z306" s="28" t="s">
        <v>5208</v>
      </c>
      <c r="AA306" s="28" t="s">
        <v>2141</v>
      </c>
      <c r="AB306" s="28">
        <v>8.0</v>
      </c>
      <c r="AC306" s="28" t="s">
        <v>24</v>
      </c>
      <c r="AD306" s="23"/>
      <c r="AE306" s="28" t="s">
        <v>10</v>
      </c>
      <c r="AF306" s="23"/>
      <c r="AG306" s="23"/>
      <c r="AH306" s="23" t="str">
        <f>IFERROR(__xludf.DUMMYFUNCTION("IF(
ISNUMBER(MATCH(
C306,
IMPORTRANGE(""https://docs.google.com/spreadsheets/d/1yTh1ELC33JHYOeEdgIiEclxPRyh0zOKtlawDltfUay8"",""'Interns'!A:A""),
0
)),
""Outreach Conducted"",
"""")"),"")</f>
        <v/>
      </c>
      <c r="AI306" s="23"/>
      <c r="AJ306" s="23"/>
      <c r="AK306" s="23" t="str">
        <f>IFERROR(__xludf.DUMMYFUNCTION("XLOOKUP(C306, 
   IMPORTRANGE(""1RdEdgHYrZ33LJ7RUHj_h-qkAFL92bcVjtIdVa-UlsCw"", ""Interns!D:D""), 
   IMPORTRANGE(""1RdEdgHYrZ33LJ7RUHj_h-qkAFL92bcVjtIdVa-UlsCw"", ""Interns!M:M""), 
   ""Not Found"")"),"Contacted")</f>
        <v>Contacted</v>
      </c>
      <c r="AL306" s="23" t="str">
        <f>IFERROR(__xludf.DUMMYFUNCTION("XLOOKUP(C306, 
   IMPORTRANGE(""1RdEdgHYrZ33LJ7RUHj_h-qkAFL92bcVjtIdVa-UlsCw"", ""Interns!D:D""), 
   IMPORTRANGE(""1RdEdgHYrZ33LJ7RUHj_h-qkAFL92bcVjtIdVa-UlsCw"", ""Interns!N:N""), 
   ""Not Found"")"),"#Cheers4Careers")</f>
        <v>#Cheers4Careers</v>
      </c>
      <c r="AM306" s="23" t="str">
        <f>IFERROR(__xludf.DUMMYFUNCTION("XLOOKUP(C306, 
   IMPORTRANGE(""1RdEdgHYrZ33LJ7RUHj_h-qkAFL92bcVjtIdVa-UlsCw"", ""Interns!D:D""), 
   IMPORTRANGE(""1RdEdgHYrZ33LJ7RUHj_h-qkAFL92bcVjtIdVa-UlsCw"", ""Interns!O:O""), 
   ""Not Found"")"),"Hetal reached out by email 3/27")</f>
        <v>Hetal reached out by email 3/27</v>
      </c>
      <c r="AN306" s="23"/>
      <c r="AO306" s="23" t="s">
        <v>7360</v>
      </c>
      <c r="AP306" s="28" t="s">
        <v>5191</v>
      </c>
      <c r="AQ306" s="28"/>
      <c r="AR306" s="23"/>
      <c r="AS306" s="28" t="s">
        <v>7361</v>
      </c>
      <c r="AT306" s="23"/>
      <c r="AU306" s="23"/>
      <c r="AV306" s="23"/>
    </row>
    <row r="307">
      <c r="A307" s="28" t="s">
        <v>5161</v>
      </c>
      <c r="B307" s="28" t="s">
        <v>5162</v>
      </c>
      <c r="C307" s="23" t="str">
        <f t="shared" si="1"/>
        <v>Clari Luz Guzman</v>
      </c>
      <c r="D307" s="28" t="s">
        <v>7362</v>
      </c>
      <c r="E307" s="28" t="s">
        <v>847</v>
      </c>
      <c r="F307" s="23">
        <f t="array" ref="F307">IFERROR(
    INDEX('Hub Interns 226'!A:A, MATCH(C307, 'Hub Interns 226'!B:B, 0)),"")</f>
        <v>381</v>
      </c>
      <c r="G307" s="23">
        <f t="array" ref="G307">IFERROR(
    INDEX('Hub Users 226'!A:A, MATCH(C307, 'Hub Users 226'!B:B, 0)),"")</f>
        <v>814</v>
      </c>
      <c r="H307" s="28">
        <v>423.0</v>
      </c>
      <c r="I307" s="28" t="s">
        <v>269</v>
      </c>
      <c r="J307" s="28" t="s">
        <v>5336</v>
      </c>
      <c r="K307" s="28" t="s">
        <v>5177</v>
      </c>
      <c r="L307" s="28" t="s">
        <v>5196</v>
      </c>
      <c r="M307" s="56" t="s">
        <v>7363</v>
      </c>
      <c r="N307" s="57">
        <v>44314.54305555556</v>
      </c>
      <c r="O307" s="58">
        <v>38564.0</v>
      </c>
      <c r="P307" s="28">
        <f t="shared" si="12"/>
        <v>20</v>
      </c>
      <c r="Q307" s="28" t="s">
        <v>240</v>
      </c>
      <c r="R307" s="28" t="s">
        <v>7364</v>
      </c>
      <c r="S307" s="28">
        <v>15.0</v>
      </c>
      <c r="T307" s="28">
        <v>31.0</v>
      </c>
      <c r="U307" s="28">
        <v>77.0</v>
      </c>
      <c r="V307" s="28">
        <v>14.0</v>
      </c>
      <c r="W307" s="28" t="s">
        <v>859</v>
      </c>
      <c r="X307" s="28" t="s">
        <v>272</v>
      </c>
      <c r="Y307" s="28" t="s">
        <v>7365</v>
      </c>
      <c r="Z307" s="28" t="s">
        <v>5310</v>
      </c>
      <c r="AA307" s="28" t="s">
        <v>362</v>
      </c>
      <c r="AB307" s="28">
        <v>16.0</v>
      </c>
      <c r="AC307" s="28" t="s">
        <v>24</v>
      </c>
      <c r="AD307" s="23"/>
      <c r="AE307" s="28" t="s">
        <v>8</v>
      </c>
      <c r="AF307" s="23"/>
      <c r="AG307" s="23"/>
      <c r="AH307" s="23" t="str">
        <f>IFERROR(__xludf.DUMMYFUNCTION("IF(
ISNUMBER(MATCH(
C307,
IMPORTRANGE(""https://docs.google.com/spreadsheets/d/1yTh1ELC33JHYOeEdgIiEclxPRyh0zOKtlawDltfUay8"",""'Interns'!A:A""),
0
)),
""Outreach Conducted"",
"""")"),"")</f>
        <v/>
      </c>
      <c r="AI307" s="23"/>
      <c r="AJ307" s="23"/>
      <c r="AK307" s="23" t="str">
        <f>IFERROR(__xludf.DUMMYFUNCTION("XLOOKUP(C307, 
   IMPORTRANGE(""1RdEdgHYrZ33LJ7RUHj_h-qkAFL92bcVjtIdVa-UlsCw"", ""Interns!D:D""), 
   IMPORTRANGE(""1RdEdgHYrZ33LJ7RUHj_h-qkAFL92bcVjtIdVa-UlsCw"", ""Interns!M:M""), 
   ""Not Found"")"),"")</f>
        <v/>
      </c>
      <c r="AL307" s="23" t="str">
        <f>IFERROR(__xludf.DUMMYFUNCTION("XLOOKUP(C307, 
   IMPORTRANGE(""1RdEdgHYrZ33LJ7RUHj_h-qkAFL92bcVjtIdVa-UlsCw"", ""Interns!D:D""), 
   IMPORTRANGE(""1RdEdgHYrZ33LJ7RUHj_h-qkAFL92bcVjtIdVa-UlsCw"", ""Interns!N:N""), 
   ""Not Found"")"),"#SpeakingMyName")</f>
        <v>#SpeakingMyName</v>
      </c>
      <c r="AM307" s="23" t="str">
        <f>IFERROR(__xludf.DUMMYFUNCTION("XLOOKUP(C307, 
   IMPORTRANGE(""1RdEdgHYrZ33LJ7RUHj_h-qkAFL92bcVjtIdVa-UlsCw"", ""Interns!D:D""), 
   IMPORTRANGE(""1RdEdgHYrZ33LJ7RUHj_h-qkAFL92bcVjtIdVa-UlsCw"", ""Interns!O:O""), 
   ""Not Found"")"),"Alicia reached out by email on 5/15 for #SpeakingMyName")</f>
        <v>Alicia reached out by email on 5/15 for #SpeakingMyName</v>
      </c>
      <c r="AN307" s="23"/>
      <c r="AO307" s="23" t="s">
        <v>7366</v>
      </c>
      <c r="AP307" s="28" t="s">
        <v>5191</v>
      </c>
      <c r="AQ307" s="28"/>
      <c r="AR307" s="23"/>
      <c r="AS307" s="23"/>
      <c r="AT307" s="23"/>
      <c r="AU307" s="23"/>
      <c r="AV307" s="23"/>
    </row>
    <row r="308">
      <c r="A308" s="28" t="s">
        <v>5202</v>
      </c>
      <c r="B308" s="28" t="s">
        <v>5162</v>
      </c>
      <c r="C308" s="23" t="str">
        <f t="shared" si="1"/>
        <v>Jose Pichardo</v>
      </c>
      <c r="D308" s="28" t="s">
        <v>6697</v>
      </c>
      <c r="E308" s="28" t="s">
        <v>7367</v>
      </c>
      <c r="F308" s="23">
        <f t="array" ref="F308">IFERROR(
    INDEX('Hub Interns 226'!A:A, MATCH(C308, 'Hub Interns 226'!B:B, 0)),"")</f>
        <v>609</v>
      </c>
      <c r="G308" s="23">
        <f t="array" ref="G308">IFERROR(
    INDEX('Hub Users 226'!A:A, MATCH(C308, 'Hub Users 226'!B:B, 0)),"")</f>
        <v>1042</v>
      </c>
      <c r="H308" s="28">
        <v>974.0</v>
      </c>
      <c r="I308" s="28"/>
      <c r="J308" s="28" t="s">
        <v>5336</v>
      </c>
      <c r="K308" s="28" t="s">
        <v>5177</v>
      </c>
      <c r="L308" s="28" t="s">
        <v>5165</v>
      </c>
      <c r="M308" s="56" t="s">
        <v>7368</v>
      </c>
      <c r="N308" s="57">
        <v>44642.555555555555</v>
      </c>
      <c r="O308" s="58">
        <v>38249.0</v>
      </c>
      <c r="P308" s="28">
        <f t="shared" si="12"/>
        <v>21</v>
      </c>
      <c r="Q308" s="28" t="s">
        <v>240</v>
      </c>
      <c r="R308" s="28" t="s">
        <v>7369</v>
      </c>
      <c r="S308" s="28">
        <v>8.0</v>
      </c>
      <c r="T308" s="28">
        <v>25.0</v>
      </c>
      <c r="U308" s="28">
        <v>55.0</v>
      </c>
      <c r="V308" s="28">
        <v>41.0</v>
      </c>
      <c r="W308" s="28" t="s">
        <v>294</v>
      </c>
      <c r="X308" s="28" t="s">
        <v>272</v>
      </c>
      <c r="Y308" s="28" t="s">
        <v>7370</v>
      </c>
      <c r="Z308" s="28" t="s">
        <v>5589</v>
      </c>
      <c r="AA308" s="28" t="s">
        <v>5590</v>
      </c>
      <c r="AB308" s="28">
        <v>35.0</v>
      </c>
      <c r="AC308" s="28" t="s">
        <v>24</v>
      </c>
      <c r="AD308" s="23"/>
      <c r="AE308" s="28" t="s">
        <v>10</v>
      </c>
      <c r="AF308" s="23"/>
      <c r="AG308" s="23"/>
      <c r="AH308" s="23" t="str">
        <f>IFERROR(__xludf.DUMMYFUNCTION("IF(
ISNUMBER(MATCH(
C308,
IMPORTRANGE(""https://docs.google.com/spreadsheets/d/1yTh1ELC33JHYOeEdgIiEclxPRyh0zOKtlawDltfUay8"",""'Interns'!A:A""),
0
)),
""Outreach Conducted"",
"""")"),"")</f>
        <v/>
      </c>
      <c r="AI308" s="23"/>
      <c r="AJ308" s="23"/>
      <c r="AK308" s="23" t="str">
        <f>IFERROR(__xludf.DUMMYFUNCTION("XLOOKUP(C308, 
   IMPORTRANGE(""1RdEdgHYrZ33LJ7RUHj_h-qkAFL92bcVjtIdVa-UlsCw"", ""Interns!D:D""), 
   IMPORTRANGE(""1RdEdgHYrZ33LJ7RUHj_h-qkAFL92bcVjtIdVa-UlsCw"", ""Interns!M:M""), 
   ""Not Found"")"),"")</f>
        <v/>
      </c>
      <c r="AL308" s="23" t="str">
        <f>IFERROR(__xludf.DUMMYFUNCTION("XLOOKUP(C308, 
   IMPORTRANGE(""1RdEdgHYrZ33LJ7RUHj_h-qkAFL92bcVjtIdVa-UlsCw"", ""Interns!D:D""), 
   IMPORTRANGE(""1RdEdgHYrZ33LJ7RUHj_h-qkAFL92bcVjtIdVa-UlsCw"", ""Interns!N:N""), 
   ""Not Found"")"),"")</f>
        <v/>
      </c>
      <c r="AM308" s="23" t="str">
        <f>IFERROR(__xludf.DUMMYFUNCTION("XLOOKUP(C308, 
   IMPORTRANGE(""1RdEdgHYrZ33LJ7RUHj_h-qkAFL92bcVjtIdVa-UlsCw"", ""Interns!D:D""), 
   IMPORTRANGE(""1RdEdgHYrZ33LJ7RUHj_h-qkAFL92bcVjtIdVa-UlsCw"", ""Interns!O:O""), 
   ""Not Found"")"),"")</f>
        <v/>
      </c>
      <c r="AN308" s="23"/>
      <c r="AO308" s="23" t="s">
        <v>7371</v>
      </c>
      <c r="AP308" s="28" t="s">
        <v>5182</v>
      </c>
      <c r="AQ308" s="28"/>
      <c r="AR308" s="23"/>
      <c r="AS308" s="23"/>
      <c r="AT308" s="23"/>
      <c r="AU308" s="23"/>
      <c r="AV308" s="23"/>
    </row>
    <row r="309">
      <c r="A309" s="28" t="s">
        <v>5202</v>
      </c>
      <c r="B309" s="28" t="s">
        <v>5162</v>
      </c>
      <c r="C309" s="23" t="str">
        <f t="shared" si="1"/>
        <v>Tiasha Grullon</v>
      </c>
      <c r="D309" s="28" t="s">
        <v>7372</v>
      </c>
      <c r="E309" s="28" t="s">
        <v>7373</v>
      </c>
      <c r="F309" s="23">
        <f t="array" ref="F309">IFERROR(
    INDEX('Hub Interns 226'!A:A, MATCH(C309, 'Hub Interns 226'!B:B, 0)),"")</f>
        <v>1149</v>
      </c>
      <c r="G309" s="23">
        <f t="array" ref="G309">IFERROR(
    INDEX('Hub Users 226'!A:A, MATCH(C309, 'Hub Users 226'!B:B, 0)),"")</f>
        <v>1582</v>
      </c>
      <c r="H309" s="28">
        <v>809.0</v>
      </c>
      <c r="I309" s="28" t="s">
        <v>290</v>
      </c>
      <c r="J309" s="28" t="s">
        <v>5336</v>
      </c>
      <c r="K309" s="28" t="s">
        <v>5177</v>
      </c>
      <c r="L309" s="28" t="s">
        <v>5196</v>
      </c>
      <c r="M309" s="56" t="s">
        <v>7374</v>
      </c>
      <c r="N309" s="57">
        <v>44568.73055555556</v>
      </c>
      <c r="O309" s="58">
        <v>38688.0</v>
      </c>
      <c r="P309" s="28">
        <f t="shared" si="12"/>
        <v>20</v>
      </c>
      <c r="Q309" s="28" t="s">
        <v>7375</v>
      </c>
      <c r="R309" s="28" t="s">
        <v>7376</v>
      </c>
      <c r="S309" s="28">
        <v>13.0</v>
      </c>
      <c r="T309" s="28">
        <v>31.0</v>
      </c>
      <c r="U309" s="28">
        <v>72.0</v>
      </c>
      <c r="V309" s="28">
        <v>10.0</v>
      </c>
      <c r="W309" s="28" t="s">
        <v>271</v>
      </c>
      <c r="X309" s="28" t="s">
        <v>272</v>
      </c>
      <c r="Y309" s="28" t="s">
        <v>7377</v>
      </c>
      <c r="Z309" s="28" t="s">
        <v>5341</v>
      </c>
      <c r="AA309" s="28" t="s">
        <v>1085</v>
      </c>
      <c r="AB309" s="28">
        <v>10.0</v>
      </c>
      <c r="AC309" s="28" t="s">
        <v>25</v>
      </c>
      <c r="AD309" s="23"/>
      <c r="AE309" s="28" t="s">
        <v>10</v>
      </c>
      <c r="AF309" s="23" t="str">
        <f>IFERROR(__xludf.DUMMYFUNCTION("TEXTJOIN("", "", TRUE,
  FILTER(Champions!C:C,
    ISNUMBER(SEARCH(C309, Champions!W:W))
  )
)"),"Waad Massoud")</f>
        <v>Waad Massoud</v>
      </c>
      <c r="AG309" s="23"/>
      <c r="AH309" s="23" t="str">
        <f>IFERROR(__xludf.DUMMYFUNCTION("IF(
ISNUMBER(MATCH(
C309,
IMPORTRANGE(""https://docs.google.com/spreadsheets/d/1yTh1ELC33JHYOeEdgIiEclxPRyh0zOKtlawDltfUay8"",""'Interns'!A:A""),
0
)),
""Outreach Conducted"",
"""")"),"")</f>
        <v/>
      </c>
      <c r="AI309" s="23"/>
      <c r="AJ309" s="23"/>
      <c r="AK309" s="23" t="str">
        <f>IFERROR(__xludf.DUMMYFUNCTION("XLOOKUP(C309, 
   IMPORTRANGE(""1RdEdgHYrZ33LJ7RUHj_h-qkAFL92bcVjtIdVa-UlsCw"", ""Interns!D:D""), 
   IMPORTRANGE(""1RdEdgHYrZ33LJ7RUHj_h-qkAFL92bcVjtIdVa-UlsCw"", ""Interns!M:M""), 
   ""Not Found"")"),"")</f>
        <v/>
      </c>
      <c r="AL309" s="23" t="str">
        <f>IFERROR(__xludf.DUMMYFUNCTION("XLOOKUP(C309, 
   IMPORTRANGE(""1RdEdgHYrZ33LJ7RUHj_h-qkAFL92bcVjtIdVa-UlsCw"", ""Interns!D:D""), 
   IMPORTRANGE(""1RdEdgHYrZ33LJ7RUHj_h-qkAFL92bcVjtIdVa-UlsCw"", ""Interns!N:N""), 
   ""Not Found"")"),"")</f>
        <v/>
      </c>
      <c r="AM309" s="23" t="str">
        <f>IFERROR(__xludf.DUMMYFUNCTION("XLOOKUP(C309, 
   IMPORTRANGE(""1RdEdgHYrZ33LJ7RUHj_h-qkAFL92bcVjtIdVa-UlsCw"", ""Interns!D:D""), 
   IMPORTRANGE(""1RdEdgHYrZ33LJ7RUHj_h-qkAFL92bcVjtIdVa-UlsCw"", ""Interns!O:O""), 
   ""Not Found"")"),"")</f>
        <v/>
      </c>
      <c r="AN309" s="23"/>
      <c r="AO309" s="23" t="s">
        <v>7378</v>
      </c>
      <c r="AP309" s="28" t="s">
        <v>5182</v>
      </c>
      <c r="AQ309" s="28" t="s">
        <v>7379</v>
      </c>
      <c r="AR309" s="23" t="s">
        <v>7380</v>
      </c>
      <c r="AS309" s="23"/>
      <c r="AT309" s="23"/>
      <c r="AU309" s="23"/>
      <c r="AV309" s="23"/>
    </row>
    <row r="310">
      <c r="A310" s="28" t="s">
        <v>5161</v>
      </c>
      <c r="B310" s="28" t="s">
        <v>5162</v>
      </c>
      <c r="C310" s="23" t="str">
        <f t="shared" si="1"/>
        <v>Ashley Sosa</v>
      </c>
      <c r="D310" s="28" t="s">
        <v>4281</v>
      </c>
      <c r="E310" s="28" t="s">
        <v>7381</v>
      </c>
      <c r="F310" s="23">
        <f t="array" ref="F310">IFERROR(
    INDEX('Hub Interns 226'!A:A, MATCH(C310, 'Hub Interns 226'!B:B, 0)),"")</f>
        <v>271</v>
      </c>
      <c r="G310" s="23">
        <f t="array" ref="G310">IFERROR(
    INDEX('Hub Users 226'!A:A, MATCH(C310, 'Hub Users 226'!B:B, 0)),"")</f>
        <v>704</v>
      </c>
      <c r="H310" s="28">
        <v>848.0</v>
      </c>
      <c r="I310" s="28" t="s">
        <v>260</v>
      </c>
      <c r="J310" s="28" t="s">
        <v>5336</v>
      </c>
      <c r="K310" s="28" t="s">
        <v>5177</v>
      </c>
      <c r="L310" s="28" t="s">
        <v>5196</v>
      </c>
      <c r="M310" s="56" t="s">
        <v>7382</v>
      </c>
      <c r="N310" s="57">
        <v>44586.46319444444</v>
      </c>
      <c r="O310" s="58">
        <v>38426.0</v>
      </c>
      <c r="P310" s="28">
        <f t="shared" si="12"/>
        <v>21</v>
      </c>
      <c r="Q310" s="28" t="s">
        <v>7383</v>
      </c>
      <c r="R310" s="28" t="s">
        <v>7384</v>
      </c>
      <c r="S310" s="28">
        <v>15.0</v>
      </c>
      <c r="T310" s="28">
        <v>31.0</v>
      </c>
      <c r="U310" s="28">
        <v>77.0</v>
      </c>
      <c r="V310" s="28">
        <v>14.0</v>
      </c>
      <c r="W310" s="28" t="s">
        <v>859</v>
      </c>
      <c r="X310" s="28" t="s">
        <v>272</v>
      </c>
      <c r="Y310" s="28" t="s">
        <v>7385</v>
      </c>
      <c r="Z310" s="28" t="s">
        <v>5310</v>
      </c>
      <c r="AA310" s="28" t="s">
        <v>362</v>
      </c>
      <c r="AB310" s="28">
        <v>16.0</v>
      </c>
      <c r="AC310" s="28" t="s">
        <v>25</v>
      </c>
      <c r="AD310" s="23"/>
      <c r="AE310" s="28" t="s">
        <v>10</v>
      </c>
      <c r="AF310" s="23" t="str">
        <f>IFERROR(__xludf.DUMMYFUNCTION("TEXTJOIN("", "", TRUE,
  FILTER(Champions!C:C,
    ISNUMBER(SEARCH(C310, Champions!W:W))
  )
)"),"John Mix, Oishee Dasgupta Dasgupta")</f>
        <v>John Mix, Oishee Dasgupta Dasgupta</v>
      </c>
      <c r="AG310" s="23"/>
      <c r="AH310" s="23" t="str">
        <f>IFERROR(__xludf.DUMMYFUNCTION("IF(
ISNUMBER(MATCH(
C310,
IMPORTRANGE(""https://docs.google.com/spreadsheets/d/1yTh1ELC33JHYOeEdgIiEclxPRyh0zOKtlawDltfUay8"",""'Interns'!A:A""),
0
)),
""Outreach Conducted"",
"""")"),"")</f>
        <v/>
      </c>
      <c r="AI310" s="23"/>
      <c r="AJ310" s="23"/>
      <c r="AK310" s="23" t="str">
        <f>IFERROR(__xludf.DUMMYFUNCTION("XLOOKUP(C310, 
   IMPORTRANGE(""1RdEdgHYrZ33LJ7RUHj_h-qkAFL92bcVjtIdVa-UlsCw"", ""Interns!D:D""), 
   IMPORTRANGE(""1RdEdgHYrZ33LJ7RUHj_h-qkAFL92bcVjtIdVa-UlsCw"", ""Interns!M:M""), 
   ""Not Found"")"),"")</f>
        <v/>
      </c>
      <c r="AL310" s="23" t="str">
        <f>IFERROR(__xludf.DUMMYFUNCTION("XLOOKUP(C310, 
   IMPORTRANGE(""1RdEdgHYrZ33LJ7RUHj_h-qkAFL92bcVjtIdVa-UlsCw"", ""Interns!D:D""), 
   IMPORTRANGE(""1RdEdgHYrZ33LJ7RUHj_h-qkAFL92bcVjtIdVa-UlsCw"", ""Interns!N:N""), 
   ""Not Found"")"),"")</f>
        <v/>
      </c>
      <c r="AM310" s="23" t="str">
        <f>IFERROR(__xludf.DUMMYFUNCTION("XLOOKUP(C310, 
   IMPORTRANGE(""1RdEdgHYrZ33LJ7RUHj_h-qkAFL92bcVjtIdVa-UlsCw"", ""Interns!D:D""), 
   IMPORTRANGE(""1RdEdgHYrZ33LJ7RUHj_h-qkAFL92bcVjtIdVa-UlsCw"", ""Interns!O:O""), 
   ""Not Found"")"),"Ousmane reached out on 04/28 by text about the Cheers4careers May 24th.")</f>
        <v>Ousmane reached out on 04/28 by text about the Cheers4careers May 24th.</v>
      </c>
      <c r="AN310" s="23"/>
      <c r="AO310" s="23" t="s">
        <v>7386</v>
      </c>
      <c r="AP310" s="28" t="s">
        <v>5182</v>
      </c>
      <c r="AQ310" s="28" t="s">
        <v>7387</v>
      </c>
      <c r="AR310" s="23" t="s">
        <v>7388</v>
      </c>
      <c r="AS310" s="23"/>
      <c r="AT310" s="23"/>
      <c r="AU310" s="23"/>
      <c r="AV310" s="23"/>
    </row>
    <row r="311">
      <c r="A311" s="28" t="s">
        <v>5161</v>
      </c>
      <c r="B311" s="28" t="s">
        <v>5162</v>
      </c>
      <c r="C311" s="23" t="str">
        <f t="shared" si="1"/>
        <v>Enyer Cabrera</v>
      </c>
      <c r="D311" s="28" t="s">
        <v>7389</v>
      </c>
      <c r="E311" s="28" t="s">
        <v>7390</v>
      </c>
      <c r="F311" s="23">
        <f t="array" ref="F311">IFERROR(
    INDEX('Hub Interns 226'!A:A, MATCH(C311, 'Hub Interns 226'!B:B, 0)),"")</f>
        <v>1357</v>
      </c>
      <c r="G311" s="23">
        <f t="array" ref="G311">IFERROR(
    INDEX('Hub Users 226'!A:A, MATCH(C311, 'Hub Users 226'!B:B, 0)),"")</f>
        <v>1896</v>
      </c>
      <c r="H311" s="28">
        <v>1786.0</v>
      </c>
      <c r="I311" s="28" t="s">
        <v>290</v>
      </c>
      <c r="J311" s="28" t="s">
        <v>5336</v>
      </c>
      <c r="K311" s="28" t="s">
        <v>5177</v>
      </c>
      <c r="L311" s="28" t="s">
        <v>5165</v>
      </c>
      <c r="M311" s="56" t="s">
        <v>7391</v>
      </c>
      <c r="N311" s="57">
        <v>45312.94583333333</v>
      </c>
      <c r="O311" s="58">
        <v>38509.0</v>
      </c>
      <c r="P311" s="28">
        <f t="shared" si="12"/>
        <v>20</v>
      </c>
      <c r="Q311" s="28" t="s">
        <v>7392</v>
      </c>
      <c r="R311" s="28" t="s">
        <v>7393</v>
      </c>
      <c r="S311" s="28">
        <v>15.0</v>
      </c>
      <c r="T311" s="28">
        <v>32.0</v>
      </c>
      <c r="U311" s="28">
        <v>77.0</v>
      </c>
      <c r="V311" s="28">
        <v>16.0</v>
      </c>
      <c r="W311" s="28" t="s">
        <v>859</v>
      </c>
      <c r="X311" s="28" t="s">
        <v>272</v>
      </c>
      <c r="Y311" s="28" t="s">
        <v>7394</v>
      </c>
      <c r="Z311" s="28" t="s">
        <v>5259</v>
      </c>
      <c r="AA311" s="28" t="s">
        <v>704</v>
      </c>
      <c r="AB311" s="28">
        <v>2.0</v>
      </c>
      <c r="AC311" s="28" t="s">
        <v>25</v>
      </c>
      <c r="AD311" s="23"/>
      <c r="AE311" s="28" t="s">
        <v>18</v>
      </c>
      <c r="AF311" s="23" t="str">
        <f>IFERROR(__xludf.DUMMYFUNCTION("TEXTJOIN("", "", TRUE,
  FILTER(Champions!C:C,
    ISNUMBER(SEARCH(C311, Champions!W:W))
  )
)"),"Sharon Shi, Christopher (Chris) Herrera")</f>
        <v>Sharon Shi, Christopher (Chris) Herrera</v>
      </c>
      <c r="AG311" s="23"/>
      <c r="AH311" s="23" t="str">
        <f>IFERROR(__xludf.DUMMYFUNCTION("IF(
ISNUMBER(MATCH(
C311,
IMPORTRANGE(""https://docs.google.com/spreadsheets/d/1yTh1ELC33JHYOeEdgIiEclxPRyh0zOKtlawDltfUay8"",""'Interns'!A:A""),
0
)),
""Outreach Conducted"",
"""")"),"")</f>
        <v/>
      </c>
      <c r="AI311" s="23"/>
      <c r="AJ311" s="23"/>
      <c r="AK311" s="23" t="str">
        <f>IFERROR(__xludf.DUMMYFUNCTION("XLOOKUP(C311, 
   IMPORTRANGE(""1RdEdgHYrZ33LJ7RUHj_h-qkAFL92bcVjtIdVa-UlsCw"", ""Interns!D:D""), 
   IMPORTRANGE(""1RdEdgHYrZ33LJ7RUHj_h-qkAFL92bcVjtIdVa-UlsCw"", ""Interns!M:M""), 
   ""Not Found"")"),"Contacted")</f>
        <v>Contacted</v>
      </c>
      <c r="AL311" s="23" t="str">
        <f>IFERROR(__xludf.DUMMYFUNCTION("XLOOKUP(C311, 
   IMPORTRANGE(""1RdEdgHYrZ33LJ7RUHj_h-qkAFL92bcVjtIdVa-UlsCw"", ""Interns!D:D""), 
   IMPORTRANGE(""1RdEdgHYrZ33LJ7RUHj_h-qkAFL92bcVjtIdVa-UlsCw"", ""Interns!N:N""), 
   ""Not Found"")"),"#Cheers4Careers")</f>
        <v>#Cheers4Careers</v>
      </c>
      <c r="AM311" s="23" t="str">
        <f>IFERROR(__xludf.DUMMYFUNCTION("XLOOKUP(C311, 
   IMPORTRANGE(""1RdEdgHYrZ33LJ7RUHj_h-qkAFL92bcVjtIdVa-UlsCw"", ""Interns!D:D""), 
   IMPORTRANGE(""1RdEdgHYrZ33LJ7RUHj_h-qkAFL92bcVjtIdVa-UlsCw"", ""Interns!O:O""), 
   ""Not Found"")"),"Ousmane reached out by email 3/26 and reach out by text 3/28")</f>
        <v>Ousmane reached out by email 3/26 and reach out by text 3/28</v>
      </c>
      <c r="AN311" s="23"/>
      <c r="AO311" s="23" t="s">
        <v>7395</v>
      </c>
      <c r="AP311" s="28" t="s">
        <v>5880</v>
      </c>
      <c r="AQ311" s="28" t="s">
        <v>7396</v>
      </c>
      <c r="AR311" s="23">
        <v>9.174702962E9</v>
      </c>
      <c r="AS311" s="23"/>
      <c r="AT311" s="23"/>
      <c r="AU311" s="23"/>
      <c r="AV311" s="23"/>
    </row>
    <row r="312">
      <c r="A312" s="28" t="s">
        <v>5161</v>
      </c>
      <c r="B312" s="28" t="s">
        <v>5162</v>
      </c>
      <c r="C312" s="23" t="str">
        <f t="shared" si="1"/>
        <v>Maria De La Cruz</v>
      </c>
      <c r="D312" s="28" t="s">
        <v>2308</v>
      </c>
      <c r="E312" s="28" t="s">
        <v>7397</v>
      </c>
      <c r="F312" s="23" t="str">
        <f t="array" ref="F312">IFERROR(
    INDEX('Hub Interns 226'!A:A, MATCH(C312, 'Hub Interns 226'!B:B, 0)),"")</f>
        <v/>
      </c>
      <c r="G312" s="23">
        <f t="array" ref="G312">IFERROR(
    INDEX('Hub Users 226'!A:A, MATCH(C312, 'Hub Users 226'!B:B, 0)),"")</f>
        <v>1271</v>
      </c>
      <c r="H312" s="28">
        <v>316.0</v>
      </c>
      <c r="I312" s="28" t="s">
        <v>1235</v>
      </c>
      <c r="J312" s="28" t="s">
        <v>5336</v>
      </c>
      <c r="K312" s="28" t="s">
        <v>5177</v>
      </c>
      <c r="L312" s="28" t="s">
        <v>5196</v>
      </c>
      <c r="M312" s="56" t="s">
        <v>7398</v>
      </c>
      <c r="N312" s="57">
        <v>44235.56180555555</v>
      </c>
      <c r="O312" s="58">
        <v>37148.0</v>
      </c>
      <c r="P312" s="28">
        <f t="shared" si="12"/>
        <v>24</v>
      </c>
      <c r="Q312" s="28" t="s">
        <v>7399</v>
      </c>
      <c r="R312" s="28" t="s">
        <v>7400</v>
      </c>
      <c r="S312" s="28">
        <v>15.0</v>
      </c>
      <c r="T312" s="28">
        <v>32.0</v>
      </c>
      <c r="U312" s="28">
        <v>84.0</v>
      </c>
      <c r="V312" s="28">
        <v>16.0</v>
      </c>
      <c r="W312" s="28" t="s">
        <v>859</v>
      </c>
      <c r="X312" s="28" t="s">
        <v>272</v>
      </c>
      <c r="Y312" s="28">
        <v>3.476365737E9</v>
      </c>
      <c r="Z312" s="28" t="s">
        <v>5310</v>
      </c>
      <c r="AA312" s="28" t="s">
        <v>362</v>
      </c>
      <c r="AB312" s="28">
        <v>16.0</v>
      </c>
      <c r="AC312" s="28" t="s">
        <v>25</v>
      </c>
      <c r="AD312" s="28" t="s">
        <v>101</v>
      </c>
      <c r="AE312" s="28" t="s">
        <v>8</v>
      </c>
      <c r="AF312" s="23" t="str">
        <f>IFERROR(__xludf.DUMMYFUNCTION("TEXTJOIN("", "", TRUE,
  FILTER(Champions!C:C,
    ISNUMBER(SEARCH(C312, Champions!W:W))
  )
)"),"Maria Graciela Burn, Priyanka Mara, Maria Guia Burn")</f>
        <v>Maria Graciela Burn, Priyanka Mara, Maria Guia Burn</v>
      </c>
      <c r="AG312" s="23"/>
      <c r="AH312" s="23" t="str">
        <f>IFERROR(__xludf.DUMMYFUNCTION("IF(
ISNUMBER(MATCH(
C312,
IMPORTRANGE(""https://docs.google.com/spreadsheets/d/1yTh1ELC33JHYOeEdgIiEclxPRyh0zOKtlawDltfUay8"",""'Interns'!A:A""),
0
)),
""Outreach Conducted"",
"""")"),"")</f>
        <v/>
      </c>
      <c r="AI312" s="23"/>
      <c r="AJ312" s="23"/>
      <c r="AK312" s="23" t="str">
        <f>IFERROR(__xludf.DUMMYFUNCTION("XLOOKUP(C312, 
   IMPORTRANGE(""1RdEdgHYrZ33LJ7RUHj_h-qkAFL92bcVjtIdVa-UlsCw"", ""Interns!D:D""), 
   IMPORTRANGE(""1RdEdgHYrZ33LJ7RUHj_h-qkAFL92bcVjtIdVa-UlsCw"", ""Interns!M:M""), 
   ""Not Found"")"),"")</f>
        <v/>
      </c>
      <c r="AL312" s="23" t="str">
        <f>IFERROR(__xludf.DUMMYFUNCTION("XLOOKUP(C312, 
   IMPORTRANGE(""1RdEdgHYrZ33LJ7RUHj_h-qkAFL92bcVjtIdVa-UlsCw"", ""Interns!D:D""), 
   IMPORTRANGE(""1RdEdgHYrZ33LJ7RUHj_h-qkAFL92bcVjtIdVa-UlsCw"", ""Interns!N:N""), 
   ""Not Found"")"),"")</f>
        <v/>
      </c>
      <c r="AM312" s="23" t="str">
        <f>IFERROR(__xludf.DUMMYFUNCTION("XLOOKUP(C312, 
   IMPORTRANGE(""1RdEdgHYrZ33LJ7RUHj_h-qkAFL92bcVjtIdVa-UlsCw"", ""Interns!D:D""), 
   IMPORTRANGE(""1RdEdgHYrZ33LJ7RUHj_h-qkAFL92bcVjtIdVa-UlsCw"", ""Interns!O:O""), 
   ""Not Found"")"),"")</f>
        <v/>
      </c>
      <c r="AN312" s="23"/>
      <c r="AO312" s="23" t="s">
        <v>7401</v>
      </c>
      <c r="AP312" s="28" t="s">
        <v>5191</v>
      </c>
      <c r="AQ312" s="28" t="s">
        <v>191</v>
      </c>
      <c r="AR312" s="23">
        <v>3.476365256E9</v>
      </c>
      <c r="AS312" s="23"/>
      <c r="AT312" s="23"/>
      <c r="AU312" s="23"/>
      <c r="AV312" s="23"/>
    </row>
    <row r="313">
      <c r="A313" s="28" t="s">
        <v>5202</v>
      </c>
      <c r="B313" s="28" t="s">
        <v>5162</v>
      </c>
      <c r="C313" s="23" t="str">
        <f t="shared" si="1"/>
        <v>Dinelys Ana Baez Espinal</v>
      </c>
      <c r="D313" s="28" t="s">
        <v>7402</v>
      </c>
      <c r="E313" s="28" t="s">
        <v>7403</v>
      </c>
      <c r="F313" s="23">
        <f t="array" ref="F313">IFERROR(
    INDEX('Hub Interns 226'!A:A, MATCH(C313, 'Hub Interns 226'!B:B, 0)),"")</f>
        <v>150</v>
      </c>
      <c r="G313" s="23">
        <f t="array" ref="G313">IFERROR(
    INDEX('Hub Users 226'!A:A, MATCH(C313, 'Hub Users 226'!B:B, 0)),"")</f>
        <v>583</v>
      </c>
      <c r="H313" s="28">
        <v>231.0</v>
      </c>
      <c r="I313" s="28" t="s">
        <v>107</v>
      </c>
      <c r="J313" s="28" t="s">
        <v>5336</v>
      </c>
      <c r="K313" s="28" t="s">
        <v>5177</v>
      </c>
      <c r="L313" s="28" t="s">
        <v>5196</v>
      </c>
      <c r="M313" s="56" t="s">
        <v>7404</v>
      </c>
      <c r="N313" s="59">
        <v>44126.584027777775</v>
      </c>
      <c r="O313" s="58">
        <v>38399.0</v>
      </c>
      <c r="P313" s="28">
        <f t="shared" si="12"/>
        <v>21</v>
      </c>
      <c r="Q313" s="28" t="s">
        <v>7405</v>
      </c>
      <c r="R313" s="28" t="s">
        <v>7406</v>
      </c>
      <c r="S313" s="28"/>
      <c r="T313" s="28"/>
      <c r="U313" s="28"/>
      <c r="V313" s="28"/>
      <c r="W313" s="28" t="s">
        <v>380</v>
      </c>
      <c r="X313" s="28" t="s">
        <v>381</v>
      </c>
      <c r="Y313" s="28">
        <v>2.675622629E9</v>
      </c>
      <c r="Z313" s="28" t="s">
        <v>5220</v>
      </c>
      <c r="AA313" s="28" t="s">
        <v>1570</v>
      </c>
      <c r="AB313" s="28" t="s">
        <v>5221</v>
      </c>
      <c r="AC313" s="28" t="s">
        <v>25</v>
      </c>
      <c r="AD313" s="23"/>
      <c r="AE313" s="28" t="s">
        <v>8</v>
      </c>
      <c r="AF313" s="23" t="str">
        <f>IFERROR(__xludf.DUMMYFUNCTION("TEXTJOIN("", "", TRUE,
  FILTER(Champions!C:C,
    ISNUMBER(SEARCH(C313, Champions!W:W))
  )
)"),"Gabriela Amada Vega, Kiran Gill")</f>
        <v>Gabriela Amada Vega, Kiran Gill</v>
      </c>
      <c r="AG313" s="23"/>
      <c r="AH313" s="23" t="str">
        <f>IFERROR(__xludf.DUMMYFUNCTION("IF(
ISNUMBER(MATCH(
C313,
IMPORTRANGE(""https://docs.google.com/spreadsheets/d/1yTh1ELC33JHYOeEdgIiEclxPRyh0zOKtlawDltfUay8"",""'Interns'!A:A""),
0
)),
""Outreach Conducted"",
"""")"),"")</f>
        <v/>
      </c>
      <c r="AI313" s="23"/>
      <c r="AJ313" s="23"/>
      <c r="AK313" s="23" t="str">
        <f>IFERROR(__xludf.DUMMYFUNCTION("XLOOKUP(C313, 
   IMPORTRANGE(""1RdEdgHYrZ33LJ7RUHj_h-qkAFL92bcVjtIdVa-UlsCw"", ""Interns!D:D""), 
   IMPORTRANGE(""1RdEdgHYrZ33LJ7RUHj_h-qkAFL92bcVjtIdVa-UlsCw"", ""Interns!M:M""), 
   ""Not Found"")"),"")</f>
        <v/>
      </c>
      <c r="AL313" s="23" t="str">
        <f>IFERROR(__xludf.DUMMYFUNCTION("XLOOKUP(C313, 
   IMPORTRANGE(""1RdEdgHYrZ33LJ7RUHj_h-qkAFL92bcVjtIdVa-UlsCw"", ""Interns!D:D""), 
   IMPORTRANGE(""1RdEdgHYrZ33LJ7RUHj_h-qkAFL92bcVjtIdVa-UlsCw"", ""Interns!N:N""), 
   ""Not Found"")"),"")</f>
        <v/>
      </c>
      <c r="AM313" s="23" t="str">
        <f>IFERROR(__xludf.DUMMYFUNCTION("XLOOKUP(C313, 
   IMPORTRANGE(""1RdEdgHYrZ33LJ7RUHj_h-qkAFL92bcVjtIdVa-UlsCw"", ""Interns!D:D""), 
   IMPORTRANGE(""1RdEdgHYrZ33LJ7RUHj_h-qkAFL92bcVjtIdVa-UlsCw"", ""Interns!O:O""), 
   ""Not Found"")"),"")</f>
        <v/>
      </c>
      <c r="AN313" s="23"/>
      <c r="AO313" s="23" t="s">
        <v>7407</v>
      </c>
      <c r="AP313" s="28" t="s">
        <v>5182</v>
      </c>
      <c r="AQ313" s="28" t="s">
        <v>7408</v>
      </c>
      <c r="AR313" s="23" t="s">
        <v>7409</v>
      </c>
      <c r="AS313" s="23"/>
      <c r="AT313" s="23"/>
      <c r="AU313" s="23"/>
      <c r="AV313" s="23"/>
    </row>
    <row r="314">
      <c r="A314" s="28" t="s">
        <v>5161</v>
      </c>
      <c r="B314" s="28" t="s">
        <v>5162</v>
      </c>
      <c r="C314" s="23" t="str">
        <f t="shared" si="1"/>
        <v>Yasmeily Torres Santana</v>
      </c>
      <c r="D314" s="28" t="s">
        <v>7410</v>
      </c>
      <c r="E314" s="28" t="s">
        <v>7411</v>
      </c>
      <c r="F314" s="23">
        <f t="array" ref="F314">IFERROR(
    INDEX('Hub Interns 226'!A:A, MATCH(C314, 'Hub Interns 226'!B:B, 0)),"")</f>
        <v>1222</v>
      </c>
      <c r="G314" s="23">
        <f t="array" ref="G314">IFERROR(
    INDEX('Hub Users 226'!A:A, MATCH(C314, 'Hub Users 226'!B:B, 0)),"")</f>
        <v>1655</v>
      </c>
      <c r="H314" s="28">
        <v>970.0</v>
      </c>
      <c r="I314" s="28"/>
      <c r="J314" s="28" t="s">
        <v>5336</v>
      </c>
      <c r="K314" s="28" t="s">
        <v>5177</v>
      </c>
      <c r="L314" s="28" t="s">
        <v>5196</v>
      </c>
      <c r="M314" s="56" t="s">
        <v>7412</v>
      </c>
      <c r="N314" s="57">
        <v>44642.54722222222</v>
      </c>
      <c r="O314" s="58">
        <v>38120.0</v>
      </c>
      <c r="P314" s="28">
        <f t="shared" si="12"/>
        <v>22</v>
      </c>
      <c r="Q314" s="28" t="s">
        <v>240</v>
      </c>
      <c r="R314" s="28" t="s">
        <v>7413</v>
      </c>
      <c r="S314" s="28">
        <v>9.0</v>
      </c>
      <c r="T314" s="28">
        <v>21.0</v>
      </c>
      <c r="U314" s="28">
        <v>58.0</v>
      </c>
      <c r="V314" s="28">
        <v>45.0</v>
      </c>
      <c r="W314" s="28" t="s">
        <v>294</v>
      </c>
      <c r="X314" s="28" t="s">
        <v>272</v>
      </c>
      <c r="Y314" s="28" t="s">
        <v>7414</v>
      </c>
      <c r="Z314" s="28" t="s">
        <v>5589</v>
      </c>
      <c r="AA314" s="28" t="s">
        <v>5590</v>
      </c>
      <c r="AB314" s="28">
        <v>35.0</v>
      </c>
      <c r="AC314" s="28" t="s">
        <v>24</v>
      </c>
      <c r="AD314" s="23"/>
      <c r="AE314" s="28" t="s">
        <v>10</v>
      </c>
      <c r="AF314" s="23"/>
      <c r="AG314" s="23"/>
      <c r="AH314" s="23" t="str">
        <f>IFERROR(__xludf.DUMMYFUNCTION("IF(
ISNUMBER(MATCH(
C314,
IMPORTRANGE(""https://docs.google.com/spreadsheets/d/1yTh1ELC33JHYOeEdgIiEclxPRyh0zOKtlawDltfUay8"",""'Interns'!A:A""),
0
)),
""Outreach Conducted"",
"""")"),"")</f>
        <v/>
      </c>
      <c r="AI314" s="23"/>
      <c r="AJ314" s="23"/>
      <c r="AK314" s="23" t="str">
        <f>IFERROR(__xludf.DUMMYFUNCTION("XLOOKUP(C314, 
   IMPORTRANGE(""1RdEdgHYrZ33LJ7RUHj_h-qkAFL92bcVjtIdVa-UlsCw"", ""Interns!D:D""), 
   IMPORTRANGE(""1RdEdgHYrZ33LJ7RUHj_h-qkAFL92bcVjtIdVa-UlsCw"", ""Interns!M:M""), 
   ""Not Found"")"),"Contacted")</f>
        <v>Contacted</v>
      </c>
      <c r="AL314" s="23" t="str">
        <f>IFERROR(__xludf.DUMMYFUNCTION("XLOOKUP(C314, 
   IMPORTRANGE(""1RdEdgHYrZ33LJ7RUHj_h-qkAFL92bcVjtIdVa-UlsCw"", ""Interns!D:D""), 
   IMPORTRANGE(""1RdEdgHYrZ33LJ7RUHj_h-qkAFL92bcVjtIdVa-UlsCw"", ""Interns!N:N""), 
   ""Not Found"")"),"#Cheers4Careers")</f>
        <v>#Cheers4Careers</v>
      </c>
      <c r="AM314" s="23" t="str">
        <f>IFERROR(__xludf.DUMMYFUNCTION("XLOOKUP(C314, 
   IMPORTRANGE(""1RdEdgHYrZ33LJ7RUHj_h-qkAFL92bcVjtIdVa-UlsCw"", ""Interns!D:D""), 
   IMPORTRANGE(""1RdEdgHYrZ33LJ7RUHj_h-qkAFL92bcVjtIdVa-UlsCw"", ""Interns!O:O""), 
   ""Not Found"")"),"Hetal reached out by email 3/27")</f>
        <v>Hetal reached out by email 3/27</v>
      </c>
      <c r="AN314" s="23"/>
      <c r="AO314" s="23" t="s">
        <v>7415</v>
      </c>
      <c r="AP314" s="28" t="s">
        <v>5182</v>
      </c>
      <c r="AQ314" s="28"/>
      <c r="AR314" s="23"/>
      <c r="AS314" s="23"/>
      <c r="AT314" s="23"/>
      <c r="AU314" s="23"/>
      <c r="AV314" s="23"/>
    </row>
    <row r="315">
      <c r="A315" s="28" t="s">
        <v>5161</v>
      </c>
      <c r="B315" s="28" t="s">
        <v>5162</v>
      </c>
      <c r="C315" s="23" t="str">
        <f t="shared" si="1"/>
        <v>Kamylle Camacho</v>
      </c>
      <c r="D315" s="28" t="s">
        <v>7416</v>
      </c>
      <c r="E315" s="28" t="s">
        <v>7417</v>
      </c>
      <c r="F315" s="23">
        <f t="array" ref="F315">IFERROR(
    INDEX('Hub Interns 226'!A:A, MATCH(C315, 'Hub Interns 226'!B:B, 0)),"")</f>
        <v>720</v>
      </c>
      <c r="G315" s="23">
        <f t="array" ref="G315">IFERROR(
    INDEX('Hub Users 226'!A:A, MATCH(C315, 'Hub Users 226'!B:B, 0)),"")</f>
        <v>1153</v>
      </c>
      <c r="H315" s="28">
        <v>434.0</v>
      </c>
      <c r="I315" s="28" t="s">
        <v>107</v>
      </c>
      <c r="J315" s="28" t="s">
        <v>5336</v>
      </c>
      <c r="K315" s="28" t="s">
        <v>5177</v>
      </c>
      <c r="L315" s="28" t="s">
        <v>5196</v>
      </c>
      <c r="M315" s="56" t="s">
        <v>7418</v>
      </c>
      <c r="N315" s="57">
        <v>44315.552777777775</v>
      </c>
      <c r="O315" s="58">
        <v>44459.0</v>
      </c>
      <c r="P315" s="28">
        <f t="shared" si="12"/>
        <v>4</v>
      </c>
      <c r="Q315" s="28" t="s">
        <v>240</v>
      </c>
      <c r="R315" s="28" t="s">
        <v>7419</v>
      </c>
      <c r="S315" s="28">
        <v>15.0</v>
      </c>
      <c r="T315" s="28">
        <v>31.0</v>
      </c>
      <c r="U315" s="28">
        <v>77.0</v>
      </c>
      <c r="V315" s="28">
        <v>14.0</v>
      </c>
      <c r="W315" s="28" t="s">
        <v>859</v>
      </c>
      <c r="X315" s="28" t="s">
        <v>272</v>
      </c>
      <c r="Y315" s="28" t="s">
        <v>7420</v>
      </c>
      <c r="Z315" s="28" t="s">
        <v>5310</v>
      </c>
      <c r="AA315" s="28" t="s">
        <v>362</v>
      </c>
      <c r="AB315" s="28">
        <v>16.0</v>
      </c>
      <c r="AC315" s="28" t="s">
        <v>24</v>
      </c>
      <c r="AD315" s="23"/>
      <c r="AE315" s="28" t="s">
        <v>8</v>
      </c>
      <c r="AF315" s="23"/>
      <c r="AG315" s="23"/>
      <c r="AH315" s="23" t="str">
        <f>IFERROR(__xludf.DUMMYFUNCTION("IF(
ISNUMBER(MATCH(
C315,
IMPORTRANGE(""https://docs.google.com/spreadsheets/d/1yTh1ELC33JHYOeEdgIiEclxPRyh0zOKtlawDltfUay8"",""'Interns'!A:A""),
0
)),
""Outreach Conducted"",
"""")"),"")</f>
        <v/>
      </c>
      <c r="AI315" s="23"/>
      <c r="AJ315" s="23"/>
      <c r="AK315" s="23" t="str">
        <f>IFERROR(__xludf.DUMMYFUNCTION("XLOOKUP(C315, 
   IMPORTRANGE(""1RdEdgHYrZ33LJ7RUHj_h-qkAFL92bcVjtIdVa-UlsCw"", ""Interns!D:D""), 
   IMPORTRANGE(""1RdEdgHYrZ33LJ7RUHj_h-qkAFL92bcVjtIdVa-UlsCw"", ""Interns!M:M""), 
   ""Not Found"")"),"")</f>
        <v/>
      </c>
      <c r="AL315" s="23" t="str">
        <f>IFERROR(__xludf.DUMMYFUNCTION("XLOOKUP(C315, 
   IMPORTRANGE(""1RdEdgHYrZ33LJ7RUHj_h-qkAFL92bcVjtIdVa-UlsCw"", ""Interns!D:D""), 
   IMPORTRANGE(""1RdEdgHYrZ33LJ7RUHj_h-qkAFL92bcVjtIdVa-UlsCw"", ""Interns!N:N""), 
   ""Not Found"")"),"#SpeakingMyName")</f>
        <v>#SpeakingMyName</v>
      </c>
      <c r="AM315" s="23" t="str">
        <f>IFERROR(__xludf.DUMMYFUNCTION("XLOOKUP(C315, 
   IMPORTRANGE(""1RdEdgHYrZ33LJ7RUHj_h-qkAFL92bcVjtIdVa-UlsCw"", ""Interns!D:D""), 
   IMPORTRANGE(""1RdEdgHYrZ33LJ7RUHj_h-qkAFL92bcVjtIdVa-UlsCw"", ""Interns!O:O""), 
   ""Not Found"")"),"Alicia reached out by email on 5/15 for #SpeakingMyName")</f>
        <v>Alicia reached out by email on 5/15 for #SpeakingMyName</v>
      </c>
      <c r="AN315" s="23"/>
      <c r="AO315" s="23" t="s">
        <v>7421</v>
      </c>
      <c r="AP315" s="28" t="s">
        <v>5182</v>
      </c>
      <c r="AQ315" s="28"/>
      <c r="AR315" s="23"/>
      <c r="AS315" s="23"/>
      <c r="AT315" s="23"/>
      <c r="AU315" s="23"/>
      <c r="AV315" s="23"/>
    </row>
    <row r="316">
      <c r="A316" s="28" t="s">
        <v>5161</v>
      </c>
      <c r="B316" s="28" t="s">
        <v>5162</v>
      </c>
      <c r="C316" s="23" t="str">
        <f t="shared" si="1"/>
        <v>cirilo luna</v>
      </c>
      <c r="D316" s="28" t="s">
        <v>7422</v>
      </c>
      <c r="E316" s="28" t="s">
        <v>7423</v>
      </c>
      <c r="F316" s="23">
        <f t="array" ref="F316">IFERROR(
    INDEX('Hub Interns 226'!A:A, MATCH(C316, 'Hub Interns 226'!B:B, 0)),"")</f>
        <v>805</v>
      </c>
      <c r="G316" s="23">
        <f t="array" ref="G316">IFERROR(
    INDEX('Hub Users 226'!A:A, MATCH(C316, 'Hub Users 226'!B:B, 0)),"")</f>
        <v>1238</v>
      </c>
      <c r="H316" s="28">
        <v>1015.0</v>
      </c>
      <c r="I316" s="28"/>
      <c r="J316" s="28" t="s">
        <v>5336</v>
      </c>
      <c r="K316" s="28" t="s">
        <v>5177</v>
      </c>
      <c r="L316" s="28" t="s">
        <v>5165</v>
      </c>
      <c r="M316" s="56" t="s">
        <v>7424</v>
      </c>
      <c r="N316" s="57">
        <v>44657.53958333333</v>
      </c>
      <c r="O316" s="58">
        <v>39949.0</v>
      </c>
      <c r="P316" s="28">
        <f t="shared" si="12"/>
        <v>17</v>
      </c>
      <c r="Q316" s="28" t="s">
        <v>240</v>
      </c>
      <c r="R316" s="28" t="s">
        <v>7425</v>
      </c>
      <c r="S316" s="28">
        <v>7.0</v>
      </c>
      <c r="T316" s="28">
        <v>12.0</v>
      </c>
      <c r="U316" s="28">
        <v>38.0</v>
      </c>
      <c r="V316" s="28">
        <v>34.0</v>
      </c>
      <c r="W316" s="28" t="s">
        <v>1173</v>
      </c>
      <c r="X316" s="28" t="s">
        <v>272</v>
      </c>
      <c r="Y316" s="28" t="s">
        <v>7426</v>
      </c>
      <c r="Z316" s="28" t="s">
        <v>7427</v>
      </c>
      <c r="AA316" s="28" t="s">
        <v>7428</v>
      </c>
      <c r="AB316" s="28">
        <v>34.0</v>
      </c>
      <c r="AC316" s="28" t="s">
        <v>24</v>
      </c>
      <c r="AD316" s="23"/>
      <c r="AE316" s="28" t="s">
        <v>10</v>
      </c>
      <c r="AF316" s="23"/>
      <c r="AG316" s="23"/>
      <c r="AH316" s="23" t="str">
        <f>IFERROR(__xludf.DUMMYFUNCTION("IF(
ISNUMBER(MATCH(
C316,
IMPORTRANGE(""https://docs.google.com/spreadsheets/d/1yTh1ELC33JHYOeEdgIiEclxPRyh0zOKtlawDltfUay8"",""'Interns'!A:A""),
0
)),
""Outreach Conducted"",
"""")"),"")</f>
        <v/>
      </c>
      <c r="AI316" s="23"/>
      <c r="AJ316" s="23"/>
      <c r="AK316" s="23" t="str">
        <f>IFERROR(__xludf.DUMMYFUNCTION("XLOOKUP(C316, 
   IMPORTRANGE(""1RdEdgHYrZ33LJ7RUHj_h-qkAFL92bcVjtIdVa-UlsCw"", ""Interns!D:D""), 
   IMPORTRANGE(""1RdEdgHYrZ33LJ7RUHj_h-qkAFL92bcVjtIdVa-UlsCw"", ""Interns!M:M""), 
   ""Not Found"")"),"Contacted")</f>
        <v>Contacted</v>
      </c>
      <c r="AL316" s="23" t="str">
        <f>IFERROR(__xludf.DUMMYFUNCTION("XLOOKUP(C316, 
   IMPORTRANGE(""1RdEdgHYrZ33LJ7RUHj_h-qkAFL92bcVjtIdVa-UlsCw"", ""Interns!D:D""), 
   IMPORTRANGE(""1RdEdgHYrZ33LJ7RUHj_h-qkAFL92bcVjtIdVa-UlsCw"", ""Interns!N:N""), 
   ""Not Found"")"),"#Cheers4Careers")</f>
        <v>#Cheers4Careers</v>
      </c>
      <c r="AM316" s="23" t="str">
        <f>IFERROR(__xludf.DUMMYFUNCTION("XLOOKUP(C316, 
   IMPORTRANGE(""1RdEdgHYrZ33LJ7RUHj_h-qkAFL92bcVjtIdVa-UlsCw"", ""Interns!D:D""), 
   IMPORTRANGE(""1RdEdgHYrZ33LJ7RUHj_h-qkAFL92bcVjtIdVa-UlsCw"", ""Interns!O:O""), 
   ""Not Found"")"),"Hetal reached out by email 3/27")</f>
        <v>Hetal reached out by email 3/27</v>
      </c>
      <c r="AN316" s="23"/>
      <c r="AO316" s="23" t="s">
        <v>7429</v>
      </c>
      <c r="AP316" s="28" t="s">
        <v>5182</v>
      </c>
      <c r="AQ316" s="28"/>
      <c r="AR316" s="23"/>
      <c r="AS316" s="23"/>
      <c r="AT316" s="23"/>
      <c r="AU316" s="23"/>
      <c r="AV316" s="23"/>
    </row>
    <row r="317">
      <c r="A317" s="28" t="s">
        <v>5161</v>
      </c>
      <c r="B317" s="28" t="s">
        <v>5162</v>
      </c>
      <c r="C317" s="23" t="str">
        <f t="shared" si="1"/>
        <v>Enmanuel Acevedo</v>
      </c>
      <c r="D317" s="28" t="s">
        <v>7172</v>
      </c>
      <c r="E317" s="28" t="s">
        <v>6993</v>
      </c>
      <c r="F317" s="23">
        <f t="array" ref="F317">IFERROR(
    INDEX('Hub Interns 226'!A:A, MATCH(C317, 'Hub Interns 226'!B:B, 0)),"")</f>
        <v>466</v>
      </c>
      <c r="G317" s="23">
        <f t="array" ref="G317">IFERROR(
    INDEX('Hub Users 226'!A:A, MATCH(C317, 'Hub Users 226'!B:B, 0)),"")</f>
        <v>899</v>
      </c>
      <c r="H317" s="28">
        <v>1286.0</v>
      </c>
      <c r="I317" s="28" t="s">
        <v>239</v>
      </c>
      <c r="J317" s="28" t="s">
        <v>5336</v>
      </c>
      <c r="K317" s="28" t="s">
        <v>5177</v>
      </c>
      <c r="L317" s="28" t="s">
        <v>5165</v>
      </c>
      <c r="M317" s="56" t="s">
        <v>7430</v>
      </c>
      <c r="N317" s="59">
        <v>44845.61388888889</v>
      </c>
      <c r="O317" s="58">
        <v>39407.0</v>
      </c>
      <c r="P317" s="28">
        <f t="shared" si="12"/>
        <v>18</v>
      </c>
      <c r="Q317" s="28" t="s">
        <v>240</v>
      </c>
      <c r="R317" s="28" t="s">
        <v>7431</v>
      </c>
      <c r="S317" s="28">
        <v>15.0</v>
      </c>
      <c r="T317" s="28">
        <v>33.0</v>
      </c>
      <c r="U317" s="28">
        <v>77.0</v>
      </c>
      <c r="V317" s="28">
        <v>14.0</v>
      </c>
      <c r="W317" s="28" t="s">
        <v>859</v>
      </c>
      <c r="X317" s="28" t="s">
        <v>272</v>
      </c>
      <c r="Y317" s="28" t="s">
        <v>7432</v>
      </c>
      <c r="Z317" s="28" t="s">
        <v>5918</v>
      </c>
      <c r="AA317" s="28" t="s">
        <v>477</v>
      </c>
      <c r="AB317" s="28">
        <v>15.0</v>
      </c>
      <c r="AC317" s="28" t="s">
        <v>23</v>
      </c>
      <c r="AD317" s="23"/>
      <c r="AE317" s="28" t="s">
        <v>15</v>
      </c>
      <c r="AF317" s="23"/>
      <c r="AG317" s="23"/>
      <c r="AH317" s="23" t="str">
        <f>IFERROR(__xludf.DUMMYFUNCTION("IF(
ISNUMBER(MATCH(
C317,
IMPORTRANGE(""https://docs.google.com/spreadsheets/d/1yTh1ELC33JHYOeEdgIiEclxPRyh0zOKtlawDltfUay8"",""'Interns'!A:A""),
0
)),
""Outreach Conducted"",
"""")"),"")</f>
        <v/>
      </c>
      <c r="AI317" s="23"/>
      <c r="AJ317" s="23"/>
      <c r="AK317" s="23" t="str">
        <f>IFERROR(__xludf.DUMMYFUNCTION("XLOOKUP(C317, 
   IMPORTRANGE(""1RdEdgHYrZ33LJ7RUHj_h-qkAFL92bcVjtIdVa-UlsCw"", ""Interns!D:D""), 
   IMPORTRANGE(""1RdEdgHYrZ33LJ7RUHj_h-qkAFL92bcVjtIdVa-UlsCw"", ""Interns!M:M""), 
   ""Not Found"")"),"")</f>
        <v/>
      </c>
      <c r="AL317" s="23" t="str">
        <f>IFERROR(__xludf.DUMMYFUNCTION("XLOOKUP(C317, 
   IMPORTRANGE(""1RdEdgHYrZ33LJ7RUHj_h-qkAFL92bcVjtIdVa-UlsCw"", ""Interns!D:D""), 
   IMPORTRANGE(""1RdEdgHYrZ33LJ7RUHj_h-qkAFL92bcVjtIdVa-UlsCw"", ""Interns!N:N""), 
   ""Not Found"")"),"")</f>
        <v/>
      </c>
      <c r="AM317" s="23" t="str">
        <f>IFERROR(__xludf.DUMMYFUNCTION("XLOOKUP(C317, 
   IMPORTRANGE(""1RdEdgHYrZ33LJ7RUHj_h-qkAFL92bcVjtIdVa-UlsCw"", ""Interns!D:D""), 
   IMPORTRANGE(""1RdEdgHYrZ33LJ7RUHj_h-qkAFL92bcVjtIdVa-UlsCw"", ""Interns!O:O""), 
   ""Not Found"")"),"")</f>
        <v/>
      </c>
      <c r="AN317" s="23"/>
      <c r="AO317" s="23" t="s">
        <v>7433</v>
      </c>
      <c r="AP317" s="28" t="s">
        <v>5182</v>
      </c>
      <c r="AQ317" s="28"/>
      <c r="AR317" s="23"/>
      <c r="AS317" s="23"/>
      <c r="AT317" s="23"/>
      <c r="AU317" s="23"/>
      <c r="AV317" s="23"/>
    </row>
    <row r="318">
      <c r="A318" s="28" t="s">
        <v>5161</v>
      </c>
      <c r="B318" s="28" t="s">
        <v>5162</v>
      </c>
      <c r="C318" s="23" t="str">
        <f t="shared" si="1"/>
        <v>Yaire Moore</v>
      </c>
      <c r="D318" s="28" t="s">
        <v>7434</v>
      </c>
      <c r="E318" s="28" t="s">
        <v>7435</v>
      </c>
      <c r="F318" s="23">
        <f t="array" ref="F318">IFERROR(
    INDEX('Hub Interns 226'!A:A, MATCH(C318, 'Hub Interns 226'!B:B, 0)),"")</f>
        <v>1212</v>
      </c>
      <c r="G318" s="23">
        <f t="array" ref="G318">IFERROR(
    INDEX('Hub Users 226'!A:A, MATCH(C318, 'Hub Users 226'!B:B, 0)),"")</f>
        <v>1645</v>
      </c>
      <c r="H318" s="28">
        <v>306.0</v>
      </c>
      <c r="I318" s="28" t="s">
        <v>107</v>
      </c>
      <c r="J318" s="28" t="s">
        <v>5336</v>
      </c>
      <c r="K318" s="28" t="s">
        <v>5177</v>
      </c>
      <c r="L318" s="28" t="s">
        <v>5196</v>
      </c>
      <c r="M318" s="56" t="s">
        <v>7436</v>
      </c>
      <c r="N318" s="57">
        <v>44233.56527777778</v>
      </c>
      <c r="O318" s="58">
        <v>37752.0</v>
      </c>
      <c r="P318" s="28">
        <f t="shared" si="12"/>
        <v>23</v>
      </c>
      <c r="Q318" s="28" t="s">
        <v>240</v>
      </c>
      <c r="R318" s="28" t="s">
        <v>7437</v>
      </c>
      <c r="S318" s="28">
        <v>13.0</v>
      </c>
      <c r="T318" s="28">
        <v>31.0</v>
      </c>
      <c r="U318" s="28">
        <v>86.0</v>
      </c>
      <c r="V318" s="28">
        <v>14.0</v>
      </c>
      <c r="W318" s="28" t="s">
        <v>859</v>
      </c>
      <c r="X318" s="28" t="s">
        <v>272</v>
      </c>
      <c r="Y318" s="28" t="s">
        <v>7438</v>
      </c>
      <c r="Z318" s="28" t="s">
        <v>5310</v>
      </c>
      <c r="AA318" s="28" t="s">
        <v>362</v>
      </c>
      <c r="AB318" s="28">
        <v>16.0</v>
      </c>
      <c r="AC318" s="28" t="s">
        <v>25</v>
      </c>
      <c r="AD318" s="23"/>
      <c r="AE318" s="28" t="s">
        <v>8</v>
      </c>
      <c r="AF318" s="23" t="str">
        <f>IFERROR(__xludf.DUMMYFUNCTION("TEXTJOIN("", "", TRUE,
  FILTER(Champions!C:C,
    ISNUMBER(SEARCH(C318, Champions!W:W))
  )
)"),"Chiemela Okwandu, Ellerie Vaughn")</f>
        <v>Chiemela Okwandu, Ellerie Vaughn</v>
      </c>
      <c r="AG318" s="23"/>
      <c r="AH318" s="23" t="str">
        <f>IFERROR(__xludf.DUMMYFUNCTION("IF(
ISNUMBER(MATCH(
C318,
IMPORTRANGE(""https://docs.google.com/spreadsheets/d/1yTh1ELC33JHYOeEdgIiEclxPRyh0zOKtlawDltfUay8"",""'Interns'!A:A""),
0
)),
""Outreach Conducted"",
"""")"),"")</f>
        <v/>
      </c>
      <c r="AI318" s="23"/>
      <c r="AJ318" s="23"/>
      <c r="AK318" s="23" t="str">
        <f>IFERROR(__xludf.DUMMYFUNCTION("XLOOKUP(C318, 
   IMPORTRANGE(""1RdEdgHYrZ33LJ7RUHj_h-qkAFL92bcVjtIdVa-UlsCw"", ""Interns!D:D""), 
   IMPORTRANGE(""1RdEdgHYrZ33LJ7RUHj_h-qkAFL92bcVjtIdVa-UlsCw"", ""Interns!M:M""), 
   ""Not Found"")"),"")</f>
        <v/>
      </c>
      <c r="AL318" s="23" t="str">
        <f>IFERROR(__xludf.DUMMYFUNCTION("XLOOKUP(C318, 
   IMPORTRANGE(""1RdEdgHYrZ33LJ7RUHj_h-qkAFL92bcVjtIdVa-UlsCw"", ""Interns!D:D""), 
   IMPORTRANGE(""1RdEdgHYrZ33LJ7RUHj_h-qkAFL92bcVjtIdVa-UlsCw"", ""Interns!N:N""), 
   ""Not Found"")"),"#SpeakingMyName")</f>
        <v>#SpeakingMyName</v>
      </c>
      <c r="AM318" s="23" t="str">
        <f>IFERROR(__xludf.DUMMYFUNCTION("XLOOKUP(C318, 
   IMPORTRANGE(""1RdEdgHYrZ33LJ7RUHj_h-qkAFL92bcVjtIdVa-UlsCw"", ""Interns!D:D""), 
   IMPORTRANGE(""1RdEdgHYrZ33LJ7RUHj_h-qkAFL92bcVjtIdVa-UlsCw"", ""Interns!O:O""), 
   ""Not Found"")"),"Alicia reached out by email on 5/15 for #SpeakingMyName")</f>
        <v>Alicia reached out by email on 5/15 for #SpeakingMyName</v>
      </c>
      <c r="AN318" s="23"/>
      <c r="AO318" s="23" t="s">
        <v>7439</v>
      </c>
      <c r="AP318" s="28" t="s">
        <v>5182</v>
      </c>
      <c r="AQ318" s="28" t="s">
        <v>7440</v>
      </c>
      <c r="AR318" s="23" t="s">
        <v>7441</v>
      </c>
      <c r="AS318" s="23"/>
      <c r="AT318" s="23"/>
      <c r="AU318" s="23"/>
      <c r="AV318" s="23"/>
    </row>
    <row r="319">
      <c r="A319" s="28" t="s">
        <v>5161</v>
      </c>
      <c r="B319" s="28" t="s">
        <v>5162</v>
      </c>
      <c r="C319" s="23" t="str">
        <f t="shared" si="1"/>
        <v>Greisi Colon</v>
      </c>
      <c r="D319" s="28" t="s">
        <v>7442</v>
      </c>
      <c r="E319" s="28" t="s">
        <v>5335</v>
      </c>
      <c r="F319" s="23">
        <f t="array" ref="F319">IFERROR(
    INDEX('Hub Interns 226'!A:A, MATCH(C319, 'Hub Interns 226'!B:B, 0)),"")</f>
        <v>556</v>
      </c>
      <c r="G319" s="23">
        <f t="array" ref="G319">IFERROR(
    INDEX('Hub Users 226'!A:A, MATCH(C319, 'Hub Users 226'!B:B, 0)),"")</f>
        <v>989</v>
      </c>
      <c r="H319" s="28">
        <v>435.0</v>
      </c>
      <c r="I319" s="28" t="s">
        <v>608</v>
      </c>
      <c r="J319" s="28" t="s">
        <v>5336</v>
      </c>
      <c r="K319" s="28" t="s">
        <v>5177</v>
      </c>
      <c r="L319" s="28" t="s">
        <v>5196</v>
      </c>
      <c r="M319" s="56" t="s">
        <v>7443</v>
      </c>
      <c r="N319" s="57">
        <v>44315.55486111111</v>
      </c>
      <c r="O319" s="58">
        <v>38068.0</v>
      </c>
      <c r="P319" s="28">
        <f t="shared" si="12"/>
        <v>22</v>
      </c>
      <c r="Q319" s="28" t="s">
        <v>240</v>
      </c>
      <c r="R319" s="28" t="s">
        <v>7444</v>
      </c>
      <c r="S319" s="28">
        <v>15.0</v>
      </c>
      <c r="T319" s="28">
        <v>32.0</v>
      </c>
      <c r="U319" s="28">
        <v>86.0</v>
      </c>
      <c r="V319" s="28">
        <v>14.0</v>
      </c>
      <c r="W319" s="28" t="s">
        <v>859</v>
      </c>
      <c r="X319" s="28" t="s">
        <v>272</v>
      </c>
      <c r="Y319" s="28" t="s">
        <v>7445</v>
      </c>
      <c r="Z319" s="28" t="s">
        <v>5310</v>
      </c>
      <c r="AA319" s="28" t="s">
        <v>362</v>
      </c>
      <c r="AB319" s="28">
        <v>16.0</v>
      </c>
      <c r="AC319" s="28" t="s">
        <v>24</v>
      </c>
      <c r="AD319" s="23"/>
      <c r="AE319" s="28" t="s">
        <v>8</v>
      </c>
      <c r="AF319" s="23"/>
      <c r="AG319" s="23"/>
      <c r="AH319" s="23" t="str">
        <f>IFERROR(__xludf.DUMMYFUNCTION("IF(
ISNUMBER(MATCH(
C319,
IMPORTRANGE(""https://docs.google.com/spreadsheets/d/1yTh1ELC33JHYOeEdgIiEclxPRyh0zOKtlawDltfUay8"",""'Interns'!A:A""),
0
)),
""Outreach Conducted"",
"""")"),"")</f>
        <v/>
      </c>
      <c r="AI319" s="23"/>
      <c r="AJ319" s="23"/>
      <c r="AK319" s="23" t="str">
        <f>IFERROR(__xludf.DUMMYFUNCTION("XLOOKUP(C319, 
   IMPORTRANGE(""1RdEdgHYrZ33LJ7RUHj_h-qkAFL92bcVjtIdVa-UlsCw"", ""Interns!D:D""), 
   IMPORTRANGE(""1RdEdgHYrZ33LJ7RUHj_h-qkAFL92bcVjtIdVa-UlsCw"", ""Interns!M:M""), 
   ""Not Found"")"),"")</f>
        <v/>
      </c>
      <c r="AL319" s="23" t="str">
        <f>IFERROR(__xludf.DUMMYFUNCTION("XLOOKUP(C319, 
   IMPORTRANGE(""1RdEdgHYrZ33LJ7RUHj_h-qkAFL92bcVjtIdVa-UlsCw"", ""Interns!D:D""), 
   IMPORTRANGE(""1RdEdgHYrZ33LJ7RUHj_h-qkAFL92bcVjtIdVa-UlsCw"", ""Interns!N:N""), 
   ""Not Found"")"),"")</f>
        <v/>
      </c>
      <c r="AM319" s="23" t="str">
        <f>IFERROR(__xludf.DUMMYFUNCTION("XLOOKUP(C319, 
   IMPORTRANGE(""1RdEdgHYrZ33LJ7RUHj_h-qkAFL92bcVjtIdVa-UlsCw"", ""Interns!D:D""), 
   IMPORTRANGE(""1RdEdgHYrZ33LJ7RUHj_h-qkAFL92bcVjtIdVa-UlsCw"", ""Interns!O:O""), 
   ""Not Found"")"),"")</f>
        <v/>
      </c>
      <c r="AN319" s="23"/>
      <c r="AO319" s="23" t="s">
        <v>7446</v>
      </c>
      <c r="AP319" s="28" t="s">
        <v>5191</v>
      </c>
      <c r="AQ319" s="28"/>
      <c r="AR319" s="23"/>
      <c r="AS319" s="23"/>
      <c r="AT319" s="23"/>
      <c r="AU319" s="23"/>
      <c r="AV319" s="23"/>
    </row>
    <row r="320">
      <c r="A320" s="28" t="s">
        <v>5202</v>
      </c>
      <c r="B320" s="28" t="s">
        <v>5162</v>
      </c>
      <c r="C320" s="23" t="str">
        <f t="shared" si="1"/>
        <v>Michaell Morban</v>
      </c>
      <c r="D320" s="28" t="s">
        <v>7447</v>
      </c>
      <c r="E320" s="28" t="s">
        <v>7448</v>
      </c>
      <c r="F320" s="23">
        <f t="array" ref="F320">IFERROR(
    INDEX('Hub Interns 226'!A:A, MATCH(C320, 'Hub Interns 226'!B:B, 0)),"")</f>
        <v>883</v>
      </c>
      <c r="G320" s="23">
        <f t="array" ref="G320">IFERROR(
    INDEX('Hub Users 226'!A:A, MATCH(C320, 'Hub Users 226'!B:B, 0)),"")</f>
        <v>1316</v>
      </c>
      <c r="H320" s="28">
        <v>1436.0</v>
      </c>
      <c r="I320" s="28" t="s">
        <v>407</v>
      </c>
      <c r="J320" s="28" t="s">
        <v>5336</v>
      </c>
      <c r="K320" s="28" t="s">
        <v>5177</v>
      </c>
      <c r="L320" s="28" t="s">
        <v>5165</v>
      </c>
      <c r="M320" s="56" t="s">
        <v>7449</v>
      </c>
      <c r="N320" s="59">
        <v>44880.626388888886</v>
      </c>
      <c r="O320" s="58">
        <v>38623.0</v>
      </c>
      <c r="P320" s="28">
        <f t="shared" si="12"/>
        <v>20</v>
      </c>
      <c r="Q320" s="28" t="s">
        <v>7450</v>
      </c>
      <c r="R320" s="28" t="s">
        <v>7451</v>
      </c>
      <c r="S320" s="28">
        <v>13.0</v>
      </c>
      <c r="T320" s="28">
        <v>31.0</v>
      </c>
      <c r="U320" s="28">
        <v>72.0</v>
      </c>
      <c r="V320" s="28">
        <v>10.0</v>
      </c>
      <c r="W320" s="28" t="s">
        <v>271</v>
      </c>
      <c r="X320" s="28" t="s">
        <v>272</v>
      </c>
      <c r="Y320" s="28" t="s">
        <v>7452</v>
      </c>
      <c r="Z320" s="28" t="s">
        <v>5341</v>
      </c>
      <c r="AA320" s="28" t="s">
        <v>1085</v>
      </c>
      <c r="AB320" s="28">
        <v>10.0</v>
      </c>
      <c r="AC320" s="28" t="s">
        <v>25</v>
      </c>
      <c r="AD320" s="23"/>
      <c r="AE320" s="28" t="s">
        <v>15</v>
      </c>
      <c r="AF320" s="23" t="str">
        <f>IFERROR(__xludf.DUMMYFUNCTION("TEXTJOIN("", "", TRUE,
  FILTER(Champions!C:C,
    ISNUMBER(SEARCH(C320, Champions!W:W))
  )
)"),"Carmelo DeLeon, Jason Alafgani, Samar Deen")</f>
        <v>Carmelo DeLeon, Jason Alafgani, Samar Deen</v>
      </c>
      <c r="AG320" s="23"/>
      <c r="AH320" s="23" t="str">
        <f>IFERROR(__xludf.DUMMYFUNCTION("IF(
ISNUMBER(MATCH(
C320,
IMPORTRANGE(""https://docs.google.com/spreadsheets/d/1yTh1ELC33JHYOeEdgIiEclxPRyh0zOKtlawDltfUay8"",""'Interns'!A:A""),
0
)),
""Outreach Conducted"",
"""")"),"")</f>
        <v/>
      </c>
      <c r="AI320" s="23"/>
      <c r="AJ320" s="23"/>
      <c r="AK320" s="23" t="str">
        <f>IFERROR(__xludf.DUMMYFUNCTION("XLOOKUP(C320, 
   IMPORTRANGE(""1RdEdgHYrZ33LJ7RUHj_h-qkAFL92bcVjtIdVa-UlsCw"", ""Interns!D:D""), 
   IMPORTRANGE(""1RdEdgHYrZ33LJ7RUHj_h-qkAFL92bcVjtIdVa-UlsCw"", ""Interns!M:M""), 
   ""Not Found"")"),"")</f>
        <v/>
      </c>
      <c r="AL320" s="23" t="str">
        <f>IFERROR(__xludf.DUMMYFUNCTION("XLOOKUP(C320, 
   IMPORTRANGE(""1RdEdgHYrZ33LJ7RUHj_h-qkAFL92bcVjtIdVa-UlsCw"", ""Interns!D:D""), 
   IMPORTRANGE(""1RdEdgHYrZ33LJ7RUHj_h-qkAFL92bcVjtIdVa-UlsCw"", ""Interns!N:N""), 
   ""Not Found"")"),"")</f>
        <v/>
      </c>
      <c r="AM320" s="23" t="str">
        <f>IFERROR(__xludf.DUMMYFUNCTION("XLOOKUP(C320, 
   IMPORTRANGE(""1RdEdgHYrZ33LJ7RUHj_h-qkAFL92bcVjtIdVa-UlsCw"", ""Interns!D:D""), 
   IMPORTRANGE(""1RdEdgHYrZ33LJ7RUHj_h-qkAFL92bcVjtIdVa-UlsCw"", ""Interns!O:O""), 
   ""Not Found"")"),"")</f>
        <v/>
      </c>
      <c r="AN320" s="23"/>
      <c r="AO320" s="23" t="s">
        <v>7453</v>
      </c>
      <c r="AP320" s="28" t="s">
        <v>5182</v>
      </c>
      <c r="AQ320" s="28" t="s">
        <v>7454</v>
      </c>
      <c r="AR320" s="23" t="s">
        <v>7452</v>
      </c>
      <c r="AS320" s="23"/>
      <c r="AT320" s="23"/>
      <c r="AU320" s="23"/>
      <c r="AV320" s="23"/>
    </row>
    <row r="321">
      <c r="A321" s="28" t="s">
        <v>5161</v>
      </c>
      <c r="B321" s="28" t="s">
        <v>5162</v>
      </c>
      <c r="C321" s="23" t="str">
        <f t="shared" si="1"/>
        <v>Angelina Gil</v>
      </c>
      <c r="D321" s="28" t="s">
        <v>7455</v>
      </c>
      <c r="E321" s="28" t="s">
        <v>7456</v>
      </c>
      <c r="F321" s="23">
        <f t="array" ref="F321">IFERROR(
    INDEX('Hub Interns 226'!A:A, MATCH(C321, 'Hub Interns 226'!B:B, 0)),"")</f>
        <v>237</v>
      </c>
      <c r="G321" s="23">
        <f t="array" ref="G321">IFERROR(
    INDEX('Hub Users 226'!A:A, MATCH(C321, 'Hub Users 226'!B:B, 0)),"")</f>
        <v>670</v>
      </c>
      <c r="H321" s="28">
        <v>771.0</v>
      </c>
      <c r="I321" s="28" t="s">
        <v>260</v>
      </c>
      <c r="J321" s="28" t="s">
        <v>5336</v>
      </c>
      <c r="K321" s="28" t="s">
        <v>5177</v>
      </c>
      <c r="L321" s="28" t="s">
        <v>5196</v>
      </c>
      <c r="M321" s="56" t="s">
        <v>7457</v>
      </c>
      <c r="N321" s="59">
        <v>44552.90625</v>
      </c>
      <c r="O321" s="58">
        <v>38331.0</v>
      </c>
      <c r="P321" s="28">
        <f t="shared" si="12"/>
        <v>21</v>
      </c>
      <c r="Q321" s="28" t="s">
        <v>240</v>
      </c>
      <c r="R321" s="28" t="s">
        <v>7458</v>
      </c>
      <c r="S321" s="28">
        <v>13.0</v>
      </c>
      <c r="T321" s="28">
        <v>31.0</v>
      </c>
      <c r="U321" s="28">
        <v>86.0</v>
      </c>
      <c r="V321" s="28">
        <v>14.0</v>
      </c>
      <c r="W321" s="28" t="s">
        <v>859</v>
      </c>
      <c r="X321" s="28" t="s">
        <v>272</v>
      </c>
      <c r="Y321" s="28" t="s">
        <v>7459</v>
      </c>
      <c r="Z321" s="28" t="s">
        <v>5341</v>
      </c>
      <c r="AA321" s="28" t="s">
        <v>1085</v>
      </c>
      <c r="AB321" s="28">
        <v>10.0</v>
      </c>
      <c r="AC321" s="28" t="s">
        <v>25</v>
      </c>
      <c r="AD321" s="23"/>
      <c r="AE321" s="28" t="s">
        <v>10</v>
      </c>
      <c r="AF321" s="23" t="str">
        <f>IFERROR(__xludf.DUMMYFUNCTION("TEXTJOIN("", "", TRUE,
  FILTER(Champions!C:C,
    ISNUMBER(SEARCH(C321, Champions!W:W))
  )
)"),"David Temple, Leif Castren")</f>
        <v>David Temple, Leif Castren</v>
      </c>
      <c r="AG321" s="23"/>
      <c r="AH321" s="23" t="str">
        <f>IFERROR(__xludf.DUMMYFUNCTION("IF(
ISNUMBER(MATCH(
C321,
IMPORTRANGE(""https://docs.google.com/spreadsheets/d/1yTh1ELC33JHYOeEdgIiEclxPRyh0zOKtlawDltfUay8"",""'Interns'!A:A""),
0
)),
""Outreach Conducted"",
"""")"),"")</f>
        <v/>
      </c>
      <c r="AI321" s="23"/>
      <c r="AJ321" s="23"/>
      <c r="AK321" s="23" t="str">
        <f>IFERROR(__xludf.DUMMYFUNCTION("XLOOKUP(C321, 
   IMPORTRANGE(""1RdEdgHYrZ33LJ7RUHj_h-qkAFL92bcVjtIdVa-UlsCw"", ""Interns!D:D""), 
   IMPORTRANGE(""1RdEdgHYrZ33LJ7RUHj_h-qkAFL92bcVjtIdVa-UlsCw"", ""Interns!M:M""), 
   ""Not Found"")"),"Contacted")</f>
        <v>Contacted</v>
      </c>
      <c r="AL321" s="23" t="str">
        <f>IFERROR(__xludf.DUMMYFUNCTION("XLOOKUP(C321, 
   IMPORTRANGE(""1RdEdgHYrZ33LJ7RUHj_h-qkAFL92bcVjtIdVa-UlsCw"", ""Interns!D:D""), 
   IMPORTRANGE(""1RdEdgHYrZ33LJ7RUHj_h-qkAFL92bcVjtIdVa-UlsCw"", ""Interns!N:N""), 
   ""Not Found"")"),"#Cheers4Careers")</f>
        <v>#Cheers4Careers</v>
      </c>
      <c r="AM321" s="23" t="str">
        <f>IFERROR(__xludf.DUMMYFUNCTION("XLOOKUP(C321, 
   IMPORTRANGE(""1RdEdgHYrZ33LJ7RUHj_h-qkAFL92bcVjtIdVa-UlsCw"", ""Interns!D:D""), 
   IMPORTRANGE(""1RdEdgHYrZ33LJ7RUHj_h-qkAFL92bcVjtIdVa-UlsCw"", ""Interns!O:O""), 
   ""Not Found"")"),"Texted on April 12 for #Cheers4Careers event")</f>
        <v>Texted on April 12 for #Cheers4Careers event</v>
      </c>
      <c r="AN321" s="23"/>
      <c r="AO321" s="23" t="s">
        <v>7460</v>
      </c>
      <c r="AP321" s="28" t="s">
        <v>5182</v>
      </c>
      <c r="AQ321" s="28" t="s">
        <v>7461</v>
      </c>
      <c r="AR321" s="23" t="s">
        <v>7462</v>
      </c>
      <c r="AS321" s="23"/>
      <c r="AT321" s="23"/>
      <c r="AU321" s="23"/>
      <c r="AV321" s="23"/>
    </row>
    <row r="322">
      <c r="A322" s="28" t="s">
        <v>5202</v>
      </c>
      <c r="B322" s="28" t="s">
        <v>5162</v>
      </c>
      <c r="C322" s="23" t="str">
        <f t="shared" si="1"/>
        <v>Ellinghton Lugo</v>
      </c>
      <c r="D322" s="28" t="s">
        <v>7463</v>
      </c>
      <c r="E322" s="28" t="s">
        <v>7464</v>
      </c>
      <c r="F322" s="23">
        <f t="array" ref="F322">IFERROR(
    INDEX('Hub Interns 226'!A:A, MATCH(C322, 'Hub Interns 226'!B:B, 0)),"")</f>
        <v>1293</v>
      </c>
      <c r="G322" s="23">
        <f t="array" ref="G322">IFERROR(
    INDEX('Hub Users 226'!A:A, MATCH(C322, 'Hub Users 226'!B:B, 0)),"")</f>
        <v>1787</v>
      </c>
      <c r="H322" s="28">
        <v>1676.0</v>
      </c>
      <c r="I322" s="28" t="s">
        <v>260</v>
      </c>
      <c r="J322" s="28" t="s">
        <v>5336</v>
      </c>
      <c r="K322" s="28" t="s">
        <v>5177</v>
      </c>
      <c r="L322" s="28" t="s">
        <v>5165</v>
      </c>
      <c r="M322" s="56" t="s">
        <v>7465</v>
      </c>
      <c r="N322" s="59">
        <v>45225.98888888889</v>
      </c>
      <c r="O322" s="58">
        <v>40024.0</v>
      </c>
      <c r="P322" s="28">
        <f t="shared" si="12"/>
        <v>16</v>
      </c>
      <c r="Q322" s="28" t="s">
        <v>6670</v>
      </c>
      <c r="R322" s="28" t="s">
        <v>7466</v>
      </c>
      <c r="S322" s="28">
        <v>13.0</v>
      </c>
      <c r="T322" s="28">
        <v>33.0</v>
      </c>
      <c r="U322" s="28">
        <v>86.0</v>
      </c>
      <c r="V322" s="28">
        <v>14.0</v>
      </c>
      <c r="W322" s="28" t="s">
        <v>859</v>
      </c>
      <c r="X322" s="28" t="s">
        <v>272</v>
      </c>
      <c r="Y322" s="28">
        <v>9.293614486E9</v>
      </c>
      <c r="Z322" s="28" t="s">
        <v>5918</v>
      </c>
      <c r="AA322" s="28" t="s">
        <v>477</v>
      </c>
      <c r="AB322" s="28">
        <v>15.0</v>
      </c>
      <c r="AC322" s="28" t="s">
        <v>25</v>
      </c>
      <c r="AD322" s="23"/>
      <c r="AE322" s="28" t="s">
        <v>18</v>
      </c>
      <c r="AF322" s="23" t="str">
        <f>IFERROR(__xludf.DUMMYFUNCTION("TEXTJOIN("", "", TRUE,
  FILTER(Champions!C:C,
    ISNUMBER(SEARCH(C322, Champions!W:W))
  )
)"),"Wendy Velasquez Ebanks")</f>
        <v>Wendy Velasquez Ebanks</v>
      </c>
      <c r="AG322" s="23"/>
      <c r="AH322" s="23" t="str">
        <f>IFERROR(__xludf.DUMMYFUNCTION("IF(
ISNUMBER(MATCH(
C322,
IMPORTRANGE(""https://docs.google.com/spreadsheets/d/1yTh1ELC33JHYOeEdgIiEclxPRyh0zOKtlawDltfUay8"",""'Interns'!A:A""),
0
)),
""Outreach Conducted"",
"""")"),"")</f>
        <v/>
      </c>
      <c r="AI322" s="23"/>
      <c r="AJ322" s="23"/>
      <c r="AK322" s="23" t="str">
        <f>IFERROR(__xludf.DUMMYFUNCTION("XLOOKUP(C322, 
   IMPORTRANGE(""1RdEdgHYrZ33LJ7RUHj_h-qkAFL92bcVjtIdVa-UlsCw"", ""Interns!D:D""), 
   IMPORTRANGE(""1RdEdgHYrZ33LJ7RUHj_h-qkAFL92bcVjtIdVa-UlsCw"", ""Interns!M:M""), 
   ""Not Found"")"),"")</f>
        <v/>
      </c>
      <c r="AL322" s="23" t="str">
        <f>IFERROR(__xludf.DUMMYFUNCTION("XLOOKUP(C322, 
   IMPORTRANGE(""1RdEdgHYrZ33LJ7RUHj_h-qkAFL92bcVjtIdVa-UlsCw"", ""Interns!D:D""), 
   IMPORTRANGE(""1RdEdgHYrZ33LJ7RUHj_h-qkAFL92bcVjtIdVa-UlsCw"", ""Interns!N:N""), 
   ""Not Found"")"),"")</f>
        <v/>
      </c>
      <c r="AM322" s="23" t="str">
        <f>IFERROR(__xludf.DUMMYFUNCTION("XLOOKUP(C322, 
   IMPORTRANGE(""1RdEdgHYrZ33LJ7RUHj_h-qkAFL92bcVjtIdVa-UlsCw"", ""Interns!D:D""), 
   IMPORTRANGE(""1RdEdgHYrZ33LJ7RUHj_h-qkAFL92bcVjtIdVa-UlsCw"", ""Interns!O:O""), 
   ""Not Found"")"),"")</f>
        <v/>
      </c>
      <c r="AN322" s="23"/>
      <c r="AO322" s="23" t="s">
        <v>7467</v>
      </c>
      <c r="AP322" s="28" t="s">
        <v>5182</v>
      </c>
      <c r="AQ322" s="28" t="s">
        <v>7465</v>
      </c>
      <c r="AR322" s="23">
        <v>3.472718939E9</v>
      </c>
      <c r="AS322" s="23"/>
      <c r="AT322" s="23"/>
      <c r="AU322" s="23"/>
      <c r="AV322" s="23"/>
    </row>
    <row r="323">
      <c r="A323" s="28" t="s">
        <v>5202</v>
      </c>
      <c r="B323" s="28" t="s">
        <v>5162</v>
      </c>
      <c r="C323" s="23" t="str">
        <f t="shared" si="1"/>
        <v>Crisbelly Lopez</v>
      </c>
      <c r="D323" s="28" t="s">
        <v>7468</v>
      </c>
      <c r="E323" s="28" t="s">
        <v>2778</v>
      </c>
      <c r="F323" s="23">
        <f t="array" ref="F323">IFERROR(
    INDEX('Hub Interns 226'!A:A, MATCH(C323, 'Hub Interns 226'!B:B, 0)),"")</f>
        <v>388</v>
      </c>
      <c r="G323" s="23">
        <f t="array" ref="G323">IFERROR(
    INDEX('Hub Users 226'!A:A, MATCH(C323, 'Hub Users 226'!B:B, 0)),"")</f>
        <v>821</v>
      </c>
      <c r="H323" s="28">
        <v>1311.0</v>
      </c>
      <c r="I323" s="28" t="s">
        <v>407</v>
      </c>
      <c r="J323" s="28" t="s">
        <v>5336</v>
      </c>
      <c r="K323" s="28" t="s">
        <v>5177</v>
      </c>
      <c r="L323" s="28" t="s">
        <v>5196</v>
      </c>
      <c r="M323" s="56" t="s">
        <v>7469</v>
      </c>
      <c r="N323" s="59">
        <v>44847.475</v>
      </c>
      <c r="O323" s="58">
        <v>38893.0</v>
      </c>
      <c r="P323" s="28">
        <f t="shared" si="12"/>
        <v>19</v>
      </c>
      <c r="Q323" s="28" t="s">
        <v>7470</v>
      </c>
      <c r="R323" s="28" t="s">
        <v>7471</v>
      </c>
      <c r="S323" s="28">
        <v>13.0</v>
      </c>
      <c r="T323" s="28">
        <v>31.0</v>
      </c>
      <c r="U323" s="28">
        <v>72.0</v>
      </c>
      <c r="V323" s="28">
        <v>10.0</v>
      </c>
      <c r="W323" s="28" t="s">
        <v>271</v>
      </c>
      <c r="X323" s="28" t="s">
        <v>272</v>
      </c>
      <c r="Y323" s="28" t="s">
        <v>7472</v>
      </c>
      <c r="Z323" s="28" t="s">
        <v>5341</v>
      </c>
      <c r="AA323" s="28" t="s">
        <v>1085</v>
      </c>
      <c r="AB323" s="28">
        <v>10.0</v>
      </c>
      <c r="AC323" s="28" t="s">
        <v>25</v>
      </c>
      <c r="AD323" s="23"/>
      <c r="AE323" s="28" t="s">
        <v>15</v>
      </c>
      <c r="AF323" s="23" t="str">
        <f>IFERROR(__xludf.DUMMYFUNCTION("TEXTJOIN("", "", TRUE,
  FILTER(Champions!C:C,
    ISNUMBER(SEARCH(C323, Champions!W:W))
  )
)"),"Carmelo DeLeon")</f>
        <v>Carmelo DeLeon</v>
      </c>
      <c r="AG323" s="23"/>
      <c r="AH323" s="23" t="str">
        <f>IFERROR(__xludf.DUMMYFUNCTION("IF(
ISNUMBER(MATCH(
C323,
IMPORTRANGE(""https://docs.google.com/spreadsheets/d/1yTh1ELC33JHYOeEdgIiEclxPRyh0zOKtlawDltfUay8"",""'Interns'!A:A""),
0
)),
""Outreach Conducted"",
"""")"),"")</f>
        <v/>
      </c>
      <c r="AI323" s="23"/>
      <c r="AJ323" s="23"/>
      <c r="AK323" s="23" t="str">
        <f>IFERROR(__xludf.DUMMYFUNCTION("XLOOKUP(C323, 
   IMPORTRANGE(""1RdEdgHYrZ33LJ7RUHj_h-qkAFL92bcVjtIdVa-UlsCw"", ""Interns!D:D""), 
   IMPORTRANGE(""1RdEdgHYrZ33LJ7RUHj_h-qkAFL92bcVjtIdVa-UlsCw"", ""Interns!M:M""), 
   ""Not Found"")"),"")</f>
        <v/>
      </c>
      <c r="AL323" s="23" t="str">
        <f>IFERROR(__xludf.DUMMYFUNCTION("XLOOKUP(C323, 
   IMPORTRANGE(""1RdEdgHYrZ33LJ7RUHj_h-qkAFL92bcVjtIdVa-UlsCw"", ""Interns!D:D""), 
   IMPORTRANGE(""1RdEdgHYrZ33LJ7RUHj_h-qkAFL92bcVjtIdVa-UlsCw"", ""Interns!N:N""), 
   ""Not Found"")"),"")</f>
        <v/>
      </c>
      <c r="AM323" s="23" t="str">
        <f>IFERROR(__xludf.DUMMYFUNCTION("XLOOKUP(C323, 
   IMPORTRANGE(""1RdEdgHYrZ33LJ7RUHj_h-qkAFL92bcVjtIdVa-UlsCw"", ""Interns!D:D""), 
   IMPORTRANGE(""1RdEdgHYrZ33LJ7RUHj_h-qkAFL92bcVjtIdVa-UlsCw"", ""Interns!O:O""), 
   ""Not Found"")"),"")</f>
        <v/>
      </c>
      <c r="AN323" s="23"/>
      <c r="AO323" s="23" t="s">
        <v>7473</v>
      </c>
      <c r="AP323" s="28" t="s">
        <v>5182</v>
      </c>
      <c r="AQ323" s="28" t="s">
        <v>7474</v>
      </c>
      <c r="AR323" s="23" t="s">
        <v>7475</v>
      </c>
      <c r="AS323" s="23"/>
      <c r="AT323" s="23"/>
      <c r="AU323" s="23"/>
      <c r="AV323" s="23"/>
    </row>
    <row r="324">
      <c r="A324" s="28" t="s">
        <v>5161</v>
      </c>
      <c r="B324" s="28" t="s">
        <v>5162</v>
      </c>
      <c r="C324" s="23" t="str">
        <f t="shared" si="1"/>
        <v>Sindi Valerio Frias</v>
      </c>
      <c r="D324" s="28" t="s">
        <v>7476</v>
      </c>
      <c r="E324" s="28" t="s">
        <v>7477</v>
      </c>
      <c r="F324" s="23">
        <f t="array" ref="F324">IFERROR(
    INDEX('Hub Interns 226'!A:A, MATCH(C324, 'Hub Interns 226'!B:B, 0)),"")</f>
        <v>1090</v>
      </c>
      <c r="G324" s="23">
        <f t="array" ref="G324">IFERROR(
    INDEX('Hub Users 226'!A:A, MATCH(C324, 'Hub Users 226'!B:B, 0)),"")</f>
        <v>1523</v>
      </c>
      <c r="H324" s="28">
        <v>595.0</v>
      </c>
      <c r="I324" s="28" t="s">
        <v>260</v>
      </c>
      <c r="J324" s="28" t="s">
        <v>5336</v>
      </c>
      <c r="K324" s="28" t="s">
        <v>5177</v>
      </c>
      <c r="L324" s="28" t="s">
        <v>5196</v>
      </c>
      <c r="M324" s="56" t="s">
        <v>7478</v>
      </c>
      <c r="N324" s="59">
        <v>44487.67361111111</v>
      </c>
      <c r="O324" s="58">
        <v>38475.0</v>
      </c>
      <c r="P324" s="28">
        <f t="shared" si="12"/>
        <v>21</v>
      </c>
      <c r="Q324" s="28" t="s">
        <v>240</v>
      </c>
      <c r="R324" s="28" t="s">
        <v>7479</v>
      </c>
      <c r="S324" s="28">
        <v>15.0</v>
      </c>
      <c r="T324" s="28">
        <v>33.0</v>
      </c>
      <c r="U324" s="28">
        <v>85.0</v>
      </c>
      <c r="V324" s="28">
        <v>14.0</v>
      </c>
      <c r="W324" s="28" t="s">
        <v>859</v>
      </c>
      <c r="X324" s="28" t="s">
        <v>272</v>
      </c>
      <c r="Y324" s="28" t="s">
        <v>7480</v>
      </c>
      <c r="Z324" s="28" t="s">
        <v>5918</v>
      </c>
      <c r="AA324" s="28" t="s">
        <v>477</v>
      </c>
      <c r="AB324" s="28">
        <v>15.0</v>
      </c>
      <c r="AC324" s="28" t="s">
        <v>25</v>
      </c>
      <c r="AD324" s="23"/>
      <c r="AE324" s="28" t="s">
        <v>10</v>
      </c>
      <c r="AF324" s="23" t="str">
        <f>IFERROR(__xludf.DUMMYFUNCTION("TEXTJOIN("", "", TRUE,
  FILTER(Champions!C:C,
    ISNUMBER(SEARCH(C324, Champions!W:W))
  )
)"),"Guiuliana Miranda, Jannet Figueroa Gallardo, Linda Ramirez")</f>
        <v>Guiuliana Miranda, Jannet Figueroa Gallardo, Linda Ramirez</v>
      </c>
      <c r="AG324" s="23"/>
      <c r="AH324" s="23" t="str">
        <f>IFERROR(__xludf.DUMMYFUNCTION("IF(
ISNUMBER(MATCH(
C324,
IMPORTRANGE(""https://docs.google.com/spreadsheets/d/1yTh1ELC33JHYOeEdgIiEclxPRyh0zOKtlawDltfUay8"",""'Interns'!A:A""),
0
)),
""Outreach Conducted"",
"""")"),"")</f>
        <v/>
      </c>
      <c r="AI324" s="23"/>
      <c r="AJ324" s="23"/>
      <c r="AK324" s="23" t="str">
        <f>IFERROR(__xludf.DUMMYFUNCTION("XLOOKUP(C324, 
   IMPORTRANGE(""1RdEdgHYrZ33LJ7RUHj_h-qkAFL92bcVjtIdVa-UlsCw"", ""Interns!D:D""), 
   IMPORTRANGE(""1RdEdgHYrZ33LJ7RUHj_h-qkAFL92bcVjtIdVa-UlsCw"", ""Interns!M:M""), 
   ""Not Found"")"),"")</f>
        <v/>
      </c>
      <c r="AL324" s="23" t="str">
        <f>IFERROR(__xludf.DUMMYFUNCTION("XLOOKUP(C324, 
   IMPORTRANGE(""1RdEdgHYrZ33LJ7RUHj_h-qkAFL92bcVjtIdVa-UlsCw"", ""Interns!D:D""), 
   IMPORTRANGE(""1RdEdgHYrZ33LJ7RUHj_h-qkAFL92bcVjtIdVa-UlsCw"", ""Interns!N:N""), 
   ""Not Found"")"),"")</f>
        <v/>
      </c>
      <c r="AM324" s="23" t="str">
        <f>IFERROR(__xludf.DUMMYFUNCTION("XLOOKUP(C324, 
   IMPORTRANGE(""1RdEdgHYrZ33LJ7RUHj_h-qkAFL92bcVjtIdVa-UlsCw"", ""Interns!D:D""), 
   IMPORTRANGE(""1RdEdgHYrZ33LJ7RUHj_h-qkAFL92bcVjtIdVa-UlsCw"", ""Interns!O:O""), 
   ""Not Found"")"),"")</f>
        <v/>
      </c>
      <c r="AN324" s="23"/>
      <c r="AO324" s="23" t="s">
        <v>7481</v>
      </c>
      <c r="AP324" s="28" t="s">
        <v>5182</v>
      </c>
      <c r="AQ324" s="28" t="s">
        <v>7482</v>
      </c>
      <c r="AR324" s="23" t="s">
        <v>7483</v>
      </c>
      <c r="AS324" s="28" t="s">
        <v>7484</v>
      </c>
      <c r="AT324" s="23"/>
      <c r="AU324" s="23"/>
      <c r="AV324" s="23"/>
    </row>
    <row r="325">
      <c r="A325" s="28" t="s">
        <v>5161</v>
      </c>
      <c r="B325" s="28" t="s">
        <v>5162</v>
      </c>
      <c r="C325" s="23" t="str">
        <f t="shared" si="1"/>
        <v>Yasnaidi (Yana) Navarro</v>
      </c>
      <c r="D325" s="22" t="s">
        <v>7485</v>
      </c>
      <c r="E325" s="22" t="s">
        <v>5317</v>
      </c>
      <c r="F325" s="23"/>
      <c r="G325" s="23"/>
      <c r="H325" s="22">
        <v>1922.0</v>
      </c>
      <c r="I325" s="28"/>
      <c r="J325" s="28" t="s">
        <v>5336</v>
      </c>
      <c r="K325" s="28" t="s">
        <v>5177</v>
      </c>
      <c r="L325" s="28" t="s">
        <v>5196</v>
      </c>
      <c r="M325" s="29" t="s">
        <v>7486</v>
      </c>
      <c r="N325" s="61">
        <v>45771.45</v>
      </c>
      <c r="O325" s="25">
        <v>39810.0</v>
      </c>
      <c r="P325" s="28">
        <f t="shared" si="12"/>
        <v>17</v>
      </c>
      <c r="Q325" s="62" t="s">
        <v>7487</v>
      </c>
      <c r="R325" s="22" t="s">
        <v>7488</v>
      </c>
      <c r="S325" s="28"/>
      <c r="T325" s="28"/>
      <c r="U325" s="28"/>
      <c r="V325" s="28"/>
      <c r="W325" s="23"/>
      <c r="X325" s="23"/>
      <c r="Y325" s="22" t="s">
        <v>7489</v>
      </c>
      <c r="Z325" s="22" t="s">
        <v>7490</v>
      </c>
      <c r="AA325" s="28" t="s">
        <v>5659</v>
      </c>
      <c r="AB325" s="28">
        <v>23.0</v>
      </c>
      <c r="AC325" s="28" t="s">
        <v>23</v>
      </c>
      <c r="AD325" s="23"/>
      <c r="AE325" s="28" t="s">
        <v>19</v>
      </c>
      <c r="AF325" s="23"/>
      <c r="AG325" s="23"/>
      <c r="AH325" s="23" t="str">
        <f>IFERROR(__xludf.DUMMYFUNCTION("IF(
ISNUMBER(MATCH(
C325,
IMPORTRANGE(""https://docs.google.com/spreadsheets/d/1yTh1ELC33JHYOeEdgIiEclxPRyh0zOKtlawDltfUay8"",""'Interns'!A:A""),
0
)),
""Outreach Conducted"",
"""")"),"")</f>
        <v/>
      </c>
      <c r="AI325" s="23"/>
      <c r="AJ325" s="23"/>
      <c r="AK325" s="23"/>
      <c r="AL325" s="23" t="str">
        <f>IFERROR(__xludf.DUMMYFUNCTION("XLOOKUP(C325, 
   IMPORTRANGE(""1RdEdgHYrZ33LJ7RUHj_h-qkAFL92bcVjtIdVa-UlsCw"", ""Interns!D:D""), 
   IMPORTRANGE(""1RdEdgHYrZ33LJ7RUHj_h-qkAFL92bcVjtIdVa-UlsCw"", ""Interns!N:N""), 
   ""Not Found"")"),"#Cheers4Careers")</f>
        <v>#Cheers4Careers</v>
      </c>
      <c r="AM325" s="23" t="str">
        <f>IFERROR(__xludf.DUMMYFUNCTION("XLOOKUP(C325, 
   IMPORTRANGE(""1RdEdgHYrZ33LJ7RUHj_h-qkAFL92bcVjtIdVa-UlsCw"", ""Interns!D:D""), 
   IMPORTRANGE(""1RdEdgHYrZ33LJ7RUHj_h-qkAFL92bcVjtIdVa-UlsCw"", ""Interns!O:O""), 
   ""Not Found"")"),"Hetal reached out March 27 for March #Cheers4 Careers ")</f>
        <v>Hetal reached out March 27 for March #Cheers4 Careers </v>
      </c>
      <c r="AN325" s="23"/>
      <c r="AO325" s="23" t="s">
        <v>7491</v>
      </c>
      <c r="AP325" s="28" t="s">
        <v>5191</v>
      </c>
      <c r="AQ325" s="28" t="s">
        <v>7486</v>
      </c>
      <c r="AR325" s="23" t="s">
        <v>7489</v>
      </c>
      <c r="AS325" s="23"/>
      <c r="AT325" s="23"/>
      <c r="AU325" s="23"/>
      <c r="AV325" s="23"/>
    </row>
    <row r="326">
      <c r="A326" s="28" t="s">
        <v>5161</v>
      </c>
      <c r="B326" s="28" t="s">
        <v>5162</v>
      </c>
      <c r="C326" s="23" t="str">
        <f t="shared" si="1"/>
        <v>Diogo Perez</v>
      </c>
      <c r="D326" s="28" t="s">
        <v>7492</v>
      </c>
      <c r="E326" s="28" t="s">
        <v>5175</v>
      </c>
      <c r="F326" s="23">
        <f t="array" ref="F326">IFERROR(
    INDEX('Hub Interns 226'!A:A, MATCH(C326, 'Hub Interns 226'!B:B, 0)),"")</f>
        <v>451</v>
      </c>
      <c r="G326" s="23">
        <f t="array" ref="G326">IFERROR(
    INDEX('Hub Users 226'!A:A, MATCH(C326, 'Hub Users 226'!B:B, 0)),"")</f>
        <v>884</v>
      </c>
      <c r="H326" s="28">
        <v>807.0</v>
      </c>
      <c r="I326" s="28" t="s">
        <v>538</v>
      </c>
      <c r="J326" s="28" t="s">
        <v>5336</v>
      </c>
      <c r="K326" s="28" t="s">
        <v>5177</v>
      </c>
      <c r="L326" s="28" t="s">
        <v>5165</v>
      </c>
      <c r="M326" s="56" t="s">
        <v>7493</v>
      </c>
      <c r="N326" s="57">
        <v>44568.45694444444</v>
      </c>
      <c r="O326" s="58">
        <v>38063.0</v>
      </c>
      <c r="P326" s="28">
        <f t="shared" si="12"/>
        <v>22</v>
      </c>
      <c r="Q326" s="28" t="s">
        <v>240</v>
      </c>
      <c r="R326" s="28" t="s">
        <v>7494</v>
      </c>
      <c r="S326" s="28">
        <v>13.0</v>
      </c>
      <c r="T326" s="28">
        <v>31.0</v>
      </c>
      <c r="U326" s="28">
        <v>72.0</v>
      </c>
      <c r="V326" s="28">
        <v>10.0</v>
      </c>
      <c r="W326" s="28" t="s">
        <v>271</v>
      </c>
      <c r="X326" s="28" t="s">
        <v>272</v>
      </c>
      <c r="Y326" s="28" t="s">
        <v>7495</v>
      </c>
      <c r="Z326" s="28" t="s">
        <v>5341</v>
      </c>
      <c r="AA326" s="28" t="s">
        <v>1085</v>
      </c>
      <c r="AB326" s="28">
        <v>10.0</v>
      </c>
      <c r="AC326" s="28" t="s">
        <v>25</v>
      </c>
      <c r="AD326" s="23"/>
      <c r="AE326" s="28" t="s">
        <v>10</v>
      </c>
      <c r="AF326" s="23" t="str">
        <f>IFERROR(__xludf.DUMMYFUNCTION("TEXTJOIN("", "", TRUE,
  FILTER(Champions!C:C,
    ISNUMBER(SEARCH(C326, Champions!W:W))
  )
)"),"David Temple, Louise Malone")</f>
        <v>David Temple, Louise Malone</v>
      </c>
      <c r="AG326" s="23"/>
      <c r="AH326" s="23" t="str">
        <f>IFERROR(__xludf.DUMMYFUNCTION("IF(
ISNUMBER(MATCH(
C326,
IMPORTRANGE(""https://docs.google.com/spreadsheets/d/1yTh1ELC33JHYOeEdgIiEclxPRyh0zOKtlawDltfUay8"",""'Interns'!A:A""),
0
)),
""Outreach Conducted"",
"""")"),"")</f>
        <v/>
      </c>
      <c r="AI326" s="23"/>
      <c r="AJ326" s="23"/>
      <c r="AK326" s="23" t="str">
        <f>IFERROR(__xludf.DUMMYFUNCTION("XLOOKUP(C326, 
   IMPORTRANGE(""1RdEdgHYrZ33LJ7RUHj_h-qkAFL92bcVjtIdVa-UlsCw"", ""Interns!D:D""), 
   IMPORTRANGE(""1RdEdgHYrZ33LJ7RUHj_h-qkAFL92bcVjtIdVa-UlsCw"", ""Interns!M:M""), 
   ""Not Found"")"),"Contacted")</f>
        <v>Contacted</v>
      </c>
      <c r="AL326" s="23" t="str">
        <f>IFERROR(__xludf.DUMMYFUNCTION("XLOOKUP(C326, 
   IMPORTRANGE(""1RdEdgHYrZ33LJ7RUHj_h-qkAFL92bcVjtIdVa-UlsCw"", ""Interns!D:D""), 
   IMPORTRANGE(""1RdEdgHYrZ33LJ7RUHj_h-qkAFL92bcVjtIdVa-UlsCw"", ""Interns!N:N""), 
   ""Not Found"")"),"#Cheers4Careers")</f>
        <v>#Cheers4Careers</v>
      </c>
      <c r="AM326" s="23" t="str">
        <f>IFERROR(__xludf.DUMMYFUNCTION("XLOOKUP(C326, 
   IMPORTRANGE(""1RdEdgHYrZ33LJ7RUHj_h-qkAFL92bcVjtIdVa-UlsCw"", ""Interns!D:D""), 
   IMPORTRANGE(""1RdEdgHYrZ33LJ7RUHj_h-qkAFL92bcVjtIdVa-UlsCw"", ""Interns!O:O""), 
   ""Not Found"")"),"Texted on April 14 for #Cheers4Careers event")</f>
        <v>Texted on April 14 for #Cheers4Careers event</v>
      </c>
      <c r="AN326" s="23"/>
      <c r="AO326" s="23" t="s">
        <v>7496</v>
      </c>
      <c r="AP326" s="28" t="s">
        <v>5182</v>
      </c>
      <c r="AQ326" s="28" t="s">
        <v>7497</v>
      </c>
      <c r="AR326" s="23" t="s">
        <v>7498</v>
      </c>
      <c r="AS326" s="23"/>
      <c r="AT326" s="23"/>
      <c r="AU326" s="23"/>
      <c r="AV326" s="23"/>
    </row>
    <row r="327">
      <c r="A327" s="28" t="s">
        <v>5161</v>
      </c>
      <c r="B327" s="28" t="s">
        <v>5162</v>
      </c>
      <c r="C327" s="23" t="str">
        <f t="shared" si="1"/>
        <v>Daniela Ysamar Nunez Sanches</v>
      </c>
      <c r="D327" s="28" t="s">
        <v>1003</v>
      </c>
      <c r="E327" s="28" t="s">
        <v>7499</v>
      </c>
      <c r="F327" s="23">
        <f t="array" ref="F327">IFERROR(
    INDEX('Hub Interns 226'!A:A, MATCH(C327, 'Hub Interns 226'!B:B, 0)),"")</f>
        <v>458</v>
      </c>
      <c r="G327" s="23">
        <f t="array" ref="G327">IFERROR(
    INDEX('Hub Users 226'!A:A, MATCH(C327, 'Hub Users 226'!B:B, 0)),"")</f>
        <v>891</v>
      </c>
      <c r="H327" s="28">
        <v>1469.0</v>
      </c>
      <c r="I327" s="28" t="s">
        <v>608</v>
      </c>
      <c r="J327" s="28" t="s">
        <v>5336</v>
      </c>
      <c r="K327" s="28" t="s">
        <v>5177</v>
      </c>
      <c r="L327" s="28" t="s">
        <v>5196</v>
      </c>
      <c r="M327" s="56" t="s">
        <v>7500</v>
      </c>
      <c r="N327" s="57">
        <v>44938.66736111111</v>
      </c>
      <c r="O327" s="58">
        <v>39219.0</v>
      </c>
      <c r="P327" s="28">
        <f t="shared" si="12"/>
        <v>19</v>
      </c>
      <c r="Q327" s="28" t="s">
        <v>7501</v>
      </c>
      <c r="R327" s="28" t="s">
        <v>7502</v>
      </c>
      <c r="S327" s="28">
        <v>15.0</v>
      </c>
      <c r="T327" s="28">
        <v>32.0</v>
      </c>
      <c r="U327" s="28">
        <v>87.0</v>
      </c>
      <c r="V327" s="28">
        <v>15.0</v>
      </c>
      <c r="W327" s="28" t="s">
        <v>859</v>
      </c>
      <c r="X327" s="28" t="s">
        <v>272</v>
      </c>
      <c r="Y327" s="28" t="s">
        <v>7503</v>
      </c>
      <c r="Z327" s="28" t="s">
        <v>5918</v>
      </c>
      <c r="AA327" s="28" t="s">
        <v>477</v>
      </c>
      <c r="AB327" s="28">
        <v>15.0</v>
      </c>
      <c r="AC327" s="28" t="s">
        <v>25</v>
      </c>
      <c r="AD327" s="28" t="s">
        <v>101</v>
      </c>
      <c r="AE327" s="28" t="s">
        <v>15</v>
      </c>
      <c r="AF327" s="23" t="str">
        <f>IFERROR(__xludf.DUMMYFUNCTION("TEXTJOIN("", "", TRUE,
  FILTER(Champions!C:C,
    ISNUMBER(SEARCH(C327, Champions!W:W))
  )
)"),"Lamon Chapman, Romina Tome")</f>
        <v>Lamon Chapman, Romina Tome</v>
      </c>
      <c r="AG327" s="23"/>
      <c r="AH327" s="23" t="str">
        <f>IFERROR(__xludf.DUMMYFUNCTION("IF(
ISNUMBER(MATCH(
C327,
IMPORTRANGE(""https://docs.google.com/spreadsheets/d/1yTh1ELC33JHYOeEdgIiEclxPRyh0zOKtlawDltfUay8"",""'Interns'!A:A""),
0
)),
""Outreach Conducted"",
"""")"),"")</f>
        <v/>
      </c>
      <c r="AI327" s="23"/>
      <c r="AJ327" s="23"/>
      <c r="AK327" s="23" t="str">
        <f>IFERROR(__xludf.DUMMYFUNCTION("XLOOKUP(C327, 
   IMPORTRANGE(""1RdEdgHYrZ33LJ7RUHj_h-qkAFL92bcVjtIdVa-UlsCw"", ""Interns!D:D""), 
   IMPORTRANGE(""1RdEdgHYrZ33LJ7RUHj_h-qkAFL92bcVjtIdVa-UlsCw"", ""Interns!M:M""), 
   ""Not Found"")"),"")</f>
        <v/>
      </c>
      <c r="AL327" s="23" t="str">
        <f>IFERROR(__xludf.DUMMYFUNCTION("XLOOKUP(C327, 
   IMPORTRANGE(""1RdEdgHYrZ33LJ7RUHj_h-qkAFL92bcVjtIdVa-UlsCw"", ""Interns!D:D""), 
   IMPORTRANGE(""1RdEdgHYrZ33LJ7RUHj_h-qkAFL92bcVjtIdVa-UlsCw"", ""Interns!N:N""), 
   ""Not Found"")"),"")</f>
        <v/>
      </c>
      <c r="AM327" s="23" t="str">
        <f>IFERROR(__xludf.DUMMYFUNCTION("XLOOKUP(C327, 
   IMPORTRANGE(""1RdEdgHYrZ33LJ7RUHj_h-qkAFL92bcVjtIdVa-UlsCw"", ""Interns!D:D""), 
   IMPORTRANGE(""1RdEdgHYrZ33LJ7RUHj_h-qkAFL92bcVjtIdVa-UlsCw"", ""Interns!O:O""), 
   ""Not Found"")"),"")</f>
        <v/>
      </c>
      <c r="AN327" s="23"/>
      <c r="AO327" s="23" t="s">
        <v>7504</v>
      </c>
      <c r="AP327" s="28" t="s">
        <v>5191</v>
      </c>
      <c r="AQ327" s="28" t="s">
        <v>7505</v>
      </c>
      <c r="AR327" s="23" t="s">
        <v>7503</v>
      </c>
      <c r="AS327" s="23"/>
      <c r="AT327" s="23"/>
      <c r="AU327" s="23"/>
      <c r="AV327" s="23"/>
    </row>
    <row r="328">
      <c r="A328" s="28" t="s">
        <v>5202</v>
      </c>
      <c r="B328" s="28" t="s">
        <v>5162</v>
      </c>
      <c r="C328" s="23" t="str">
        <f t="shared" si="1"/>
        <v>Wendy Reyes-Blanco</v>
      </c>
      <c r="D328" s="28" t="s">
        <v>3577</v>
      </c>
      <c r="E328" s="28" t="s">
        <v>7506</v>
      </c>
      <c r="F328" s="23">
        <f t="array" ref="F328">IFERROR(
    INDEX('Hub Interns 226'!A:A, MATCH(C328, 'Hub Interns 226'!B:B, 0)),"")</f>
        <v>1187</v>
      </c>
      <c r="G328" s="23">
        <f t="array" ref="G328">IFERROR(
    INDEX('Hub Users 226'!A:A, MATCH(C328, 'Hub Users 226'!B:B, 0)),"")</f>
        <v>1620</v>
      </c>
      <c r="H328" s="28">
        <v>240.0</v>
      </c>
      <c r="I328" s="28" t="s">
        <v>260</v>
      </c>
      <c r="J328" s="28" t="s">
        <v>5336</v>
      </c>
      <c r="K328" s="28" t="s">
        <v>5177</v>
      </c>
      <c r="L328" s="28" t="s">
        <v>5196</v>
      </c>
      <c r="M328" s="56" t="s">
        <v>7507</v>
      </c>
      <c r="N328" s="59">
        <v>44133.552777777775</v>
      </c>
      <c r="O328" s="58">
        <v>38610.0</v>
      </c>
      <c r="P328" s="28">
        <f t="shared" si="12"/>
        <v>20</v>
      </c>
      <c r="Q328" s="28" t="s">
        <v>7508</v>
      </c>
      <c r="R328" s="28" t="s">
        <v>7509</v>
      </c>
      <c r="S328" s="28"/>
      <c r="T328" s="28"/>
      <c r="U328" s="28"/>
      <c r="V328" s="28"/>
      <c r="W328" s="28" t="s">
        <v>380</v>
      </c>
      <c r="X328" s="28" t="s">
        <v>381</v>
      </c>
      <c r="Y328" s="28">
        <v>2.67826727E9</v>
      </c>
      <c r="Z328" s="28" t="s">
        <v>5220</v>
      </c>
      <c r="AA328" s="28" t="s">
        <v>1570</v>
      </c>
      <c r="AB328" s="28" t="s">
        <v>5221</v>
      </c>
      <c r="AC328" s="28" t="s">
        <v>25</v>
      </c>
      <c r="AD328" s="23"/>
      <c r="AE328" s="28" t="s">
        <v>8</v>
      </c>
      <c r="AF328" s="23" t="str">
        <f>IFERROR(__xludf.DUMMYFUNCTION("TEXTJOIN("", "", TRUE,
  FILTER(Champions!C:C,
    ISNUMBER(SEARCH(C328, Champions!W:W))
  )
)"),"Gabriela Amada Vega")</f>
        <v>Gabriela Amada Vega</v>
      </c>
      <c r="AG328" s="23"/>
      <c r="AH328" s="23" t="str">
        <f>IFERROR(__xludf.DUMMYFUNCTION("IF(
ISNUMBER(MATCH(
C328,
IMPORTRANGE(""https://docs.google.com/spreadsheets/d/1yTh1ELC33JHYOeEdgIiEclxPRyh0zOKtlawDltfUay8"",""'Interns'!A:A""),
0
)),
""Outreach Conducted"",
"""")"),"")</f>
        <v/>
      </c>
      <c r="AI328" s="23"/>
      <c r="AJ328" s="23"/>
      <c r="AK328" s="23" t="str">
        <f>IFERROR(__xludf.DUMMYFUNCTION("XLOOKUP(C328, 
   IMPORTRANGE(""1RdEdgHYrZ33LJ7RUHj_h-qkAFL92bcVjtIdVa-UlsCw"", ""Interns!D:D""), 
   IMPORTRANGE(""1RdEdgHYrZ33LJ7RUHj_h-qkAFL92bcVjtIdVa-UlsCw"", ""Interns!M:M""), 
   ""Not Found"")"),"")</f>
        <v/>
      </c>
      <c r="AL328" s="23" t="str">
        <f>IFERROR(__xludf.DUMMYFUNCTION("XLOOKUP(C328, 
   IMPORTRANGE(""1RdEdgHYrZ33LJ7RUHj_h-qkAFL92bcVjtIdVa-UlsCw"", ""Interns!D:D""), 
   IMPORTRANGE(""1RdEdgHYrZ33LJ7RUHj_h-qkAFL92bcVjtIdVa-UlsCw"", ""Interns!N:N""), 
   ""Not Found"")"),"")</f>
        <v/>
      </c>
      <c r="AM328" s="23" t="str">
        <f>IFERROR(__xludf.DUMMYFUNCTION("XLOOKUP(C328, 
   IMPORTRANGE(""1RdEdgHYrZ33LJ7RUHj_h-qkAFL92bcVjtIdVa-UlsCw"", ""Interns!D:D""), 
   IMPORTRANGE(""1RdEdgHYrZ33LJ7RUHj_h-qkAFL92bcVjtIdVa-UlsCw"", ""Interns!O:O""), 
   ""Not Found"")"),"")</f>
        <v/>
      </c>
      <c r="AN328" s="23"/>
      <c r="AO328" s="23" t="s">
        <v>7510</v>
      </c>
      <c r="AP328" s="28" t="s">
        <v>5182</v>
      </c>
      <c r="AQ328" s="28" t="s">
        <v>7511</v>
      </c>
      <c r="AR328" s="23">
        <v>2.677763425E9</v>
      </c>
      <c r="AS328" s="23"/>
      <c r="AT328" s="23"/>
      <c r="AU328" s="23"/>
      <c r="AV328" s="23"/>
    </row>
    <row r="329">
      <c r="A329" s="28" t="s">
        <v>5161</v>
      </c>
      <c r="B329" s="28" t="s">
        <v>5162</v>
      </c>
      <c r="C329" s="23" t="str">
        <f t="shared" si="1"/>
        <v>Arceline Rodrguez Lebron</v>
      </c>
      <c r="D329" s="28" t="s">
        <v>7512</v>
      </c>
      <c r="E329" s="28" t="s">
        <v>7513</v>
      </c>
      <c r="F329" s="23">
        <f t="array" ref="F329">IFERROR(
    INDEX('Hub Interns 226'!A:A, MATCH(C329, 'Hub Interns 226'!B:B, 0)),"")</f>
        <v>253</v>
      </c>
      <c r="G329" s="23">
        <f t="array" ref="G329">IFERROR(
    INDEX('Hub Users 226'!A:A, MATCH(C329, 'Hub Users 226'!B:B, 0)),"")</f>
        <v>686</v>
      </c>
      <c r="H329" s="28">
        <v>1272.0</v>
      </c>
      <c r="I329" s="28" t="s">
        <v>107</v>
      </c>
      <c r="J329" s="28" t="s">
        <v>5336</v>
      </c>
      <c r="K329" s="28" t="s">
        <v>5177</v>
      </c>
      <c r="L329" s="28" t="s">
        <v>5196</v>
      </c>
      <c r="M329" s="56" t="s">
        <v>7514</v>
      </c>
      <c r="N329" s="59">
        <v>44845.544444444444</v>
      </c>
      <c r="O329" s="58">
        <v>39758.0</v>
      </c>
      <c r="P329" s="28">
        <f t="shared" si="12"/>
        <v>17</v>
      </c>
      <c r="Q329" s="28" t="s">
        <v>240</v>
      </c>
      <c r="R329" s="28" t="s">
        <v>7515</v>
      </c>
      <c r="S329" s="28">
        <v>15.0</v>
      </c>
      <c r="T329" s="28">
        <v>33.0</v>
      </c>
      <c r="U329" s="28">
        <v>80.0</v>
      </c>
      <c r="V329" s="28">
        <v>13.0</v>
      </c>
      <c r="W329" s="28" t="s">
        <v>859</v>
      </c>
      <c r="X329" s="28" t="s">
        <v>272</v>
      </c>
      <c r="Y329" s="28" t="s">
        <v>7516</v>
      </c>
      <c r="Z329" s="28" t="s">
        <v>5918</v>
      </c>
      <c r="AA329" s="28" t="s">
        <v>477</v>
      </c>
      <c r="AB329" s="28">
        <v>15.0</v>
      </c>
      <c r="AC329" s="28" t="s">
        <v>23</v>
      </c>
      <c r="AD329" s="23"/>
      <c r="AE329" s="28" t="s">
        <v>15</v>
      </c>
      <c r="AF329" s="23"/>
      <c r="AG329" s="23"/>
      <c r="AH329" s="23" t="str">
        <f>IFERROR(__xludf.DUMMYFUNCTION("IF(
ISNUMBER(MATCH(
C329,
IMPORTRANGE(""https://docs.google.com/spreadsheets/d/1yTh1ELC33JHYOeEdgIiEclxPRyh0zOKtlawDltfUay8"",""'Interns'!A:A""),
0
)),
""Outreach Conducted"",
"""")"),"")</f>
        <v/>
      </c>
      <c r="AI329" s="23"/>
      <c r="AJ329" s="23"/>
      <c r="AK329" s="23" t="str">
        <f>IFERROR(__xludf.DUMMYFUNCTION("XLOOKUP(C329, 
   IMPORTRANGE(""1RdEdgHYrZ33LJ7RUHj_h-qkAFL92bcVjtIdVa-UlsCw"", ""Interns!D:D""), 
   IMPORTRANGE(""1RdEdgHYrZ33LJ7RUHj_h-qkAFL92bcVjtIdVa-UlsCw"", ""Interns!M:M""), 
   ""Not Found"")"),"")</f>
        <v/>
      </c>
      <c r="AL329" s="23" t="str">
        <f>IFERROR(__xludf.DUMMYFUNCTION("XLOOKUP(C329, 
   IMPORTRANGE(""1RdEdgHYrZ33LJ7RUHj_h-qkAFL92bcVjtIdVa-UlsCw"", ""Interns!D:D""), 
   IMPORTRANGE(""1RdEdgHYrZ33LJ7RUHj_h-qkAFL92bcVjtIdVa-UlsCw"", ""Interns!N:N""), 
   ""Not Found"")"),"")</f>
        <v/>
      </c>
      <c r="AM329" s="23" t="str">
        <f>IFERROR(__xludf.DUMMYFUNCTION("XLOOKUP(C329, 
   IMPORTRANGE(""1RdEdgHYrZ33LJ7RUHj_h-qkAFL92bcVjtIdVa-UlsCw"", ""Interns!D:D""), 
   IMPORTRANGE(""1RdEdgHYrZ33LJ7RUHj_h-qkAFL92bcVjtIdVa-UlsCw"", ""Interns!O:O""), 
   ""Not Found"")"),"")</f>
        <v/>
      </c>
      <c r="AN329" s="23"/>
      <c r="AO329" s="23" t="s">
        <v>7517</v>
      </c>
      <c r="AP329" s="28" t="s">
        <v>5182</v>
      </c>
      <c r="AQ329" s="28"/>
      <c r="AR329" s="23"/>
      <c r="AS329" s="23"/>
      <c r="AT329" s="23"/>
      <c r="AU329" s="23"/>
      <c r="AV329" s="23"/>
    </row>
    <row r="330">
      <c r="A330" s="28" t="s">
        <v>5202</v>
      </c>
      <c r="B330" s="28" t="s">
        <v>5162</v>
      </c>
      <c r="C330" s="23" t="str">
        <f t="shared" si="1"/>
        <v>Bianca mora</v>
      </c>
      <c r="D330" s="28" t="s">
        <v>7518</v>
      </c>
      <c r="E330" s="28" t="s">
        <v>7519</v>
      </c>
      <c r="F330" s="23">
        <f t="array" ref="F330">IFERROR(
    INDEX('Hub Interns 226'!A:A, MATCH(C330, 'Hub Interns 226'!B:B, 0)),"")</f>
        <v>294</v>
      </c>
      <c r="G330" s="23">
        <f t="array" ref="G330">IFERROR(
    INDEX('Hub Users 226'!A:A, MATCH(C330, 'Hub Users 226'!B:B, 0)),"")</f>
        <v>727</v>
      </c>
      <c r="H330" s="28">
        <v>859.0</v>
      </c>
      <c r="I330" s="28" t="s">
        <v>290</v>
      </c>
      <c r="J330" s="28" t="s">
        <v>5336</v>
      </c>
      <c r="K330" s="28" t="s">
        <v>5177</v>
      </c>
      <c r="L330" s="28" t="s">
        <v>5196</v>
      </c>
      <c r="M330" s="56" t="s">
        <v>7520</v>
      </c>
      <c r="N330" s="57">
        <v>44594.538194444445</v>
      </c>
      <c r="O330" s="58">
        <v>38067.0</v>
      </c>
      <c r="P330" s="28">
        <f t="shared" si="12"/>
        <v>22</v>
      </c>
      <c r="Q330" s="28" t="s">
        <v>6522</v>
      </c>
      <c r="R330" s="28" t="s">
        <v>7521</v>
      </c>
      <c r="S330" s="28">
        <v>7.0</v>
      </c>
      <c r="T330" s="28">
        <v>19.0</v>
      </c>
      <c r="U330" s="28">
        <v>54.0</v>
      </c>
      <c r="V330" s="28">
        <v>37.0</v>
      </c>
      <c r="W330" s="28" t="s">
        <v>294</v>
      </c>
      <c r="X330" s="28" t="s">
        <v>272</v>
      </c>
      <c r="Y330" s="28" t="s">
        <v>7522</v>
      </c>
      <c r="Z330" s="28" t="s">
        <v>5483</v>
      </c>
      <c r="AA330" s="28" t="s">
        <v>457</v>
      </c>
      <c r="AB330" s="28">
        <v>25.0</v>
      </c>
      <c r="AC330" s="28" t="s">
        <v>25</v>
      </c>
      <c r="AD330" s="23"/>
      <c r="AE330" s="28" t="s">
        <v>10</v>
      </c>
      <c r="AF330" s="23" t="str">
        <f>IFERROR(__xludf.DUMMYFUNCTION("TEXTJOIN("", "", TRUE,
  FILTER(Champions!C:C,
    ISNUMBER(SEARCH(C330, Champions!W:W))
  )
)"),"Jody Kramer")</f>
        <v>Jody Kramer</v>
      </c>
      <c r="AG330" s="23"/>
      <c r="AH330" s="23" t="str">
        <f>IFERROR(__xludf.DUMMYFUNCTION("IF(
ISNUMBER(MATCH(
C330,
IMPORTRANGE(""https://docs.google.com/spreadsheets/d/1yTh1ELC33JHYOeEdgIiEclxPRyh0zOKtlawDltfUay8"",""'Interns'!A:A""),
0
)),
""Outreach Conducted"",
"""")"),"")</f>
        <v/>
      </c>
      <c r="AI330" s="23"/>
      <c r="AJ330" s="23"/>
      <c r="AK330" s="23" t="str">
        <f>IFERROR(__xludf.DUMMYFUNCTION("XLOOKUP(C330, 
   IMPORTRANGE(""1RdEdgHYrZ33LJ7RUHj_h-qkAFL92bcVjtIdVa-UlsCw"", ""Interns!D:D""), 
   IMPORTRANGE(""1RdEdgHYrZ33LJ7RUHj_h-qkAFL92bcVjtIdVa-UlsCw"", ""Interns!M:M""), 
   ""Not Found"")"),"")</f>
        <v/>
      </c>
      <c r="AL330" s="23" t="str">
        <f>IFERROR(__xludf.DUMMYFUNCTION("XLOOKUP(C330, 
   IMPORTRANGE(""1RdEdgHYrZ33LJ7RUHj_h-qkAFL92bcVjtIdVa-UlsCw"", ""Interns!D:D""), 
   IMPORTRANGE(""1RdEdgHYrZ33LJ7RUHj_h-qkAFL92bcVjtIdVa-UlsCw"", ""Interns!N:N""), 
   ""Not Found"")"),"")</f>
        <v/>
      </c>
      <c r="AM330" s="23" t="str">
        <f>IFERROR(__xludf.DUMMYFUNCTION("XLOOKUP(C330, 
   IMPORTRANGE(""1RdEdgHYrZ33LJ7RUHj_h-qkAFL92bcVjtIdVa-UlsCw"", ""Interns!D:D""), 
   IMPORTRANGE(""1RdEdgHYrZ33LJ7RUHj_h-qkAFL92bcVjtIdVa-UlsCw"", ""Interns!O:O""), 
   ""Not Found"")"),"")</f>
        <v/>
      </c>
      <c r="AN330" s="23"/>
      <c r="AO330" s="23" t="s">
        <v>7523</v>
      </c>
      <c r="AP330" s="28" t="s">
        <v>5182</v>
      </c>
      <c r="AQ330" s="28" t="s">
        <v>7524</v>
      </c>
      <c r="AR330" s="23" t="s">
        <v>7525</v>
      </c>
      <c r="AS330" s="23"/>
      <c r="AT330" s="23"/>
      <c r="AU330" s="23"/>
      <c r="AV330" s="23"/>
    </row>
    <row r="331">
      <c r="A331" s="28" t="s">
        <v>5202</v>
      </c>
      <c r="B331" s="28" t="s">
        <v>5162</v>
      </c>
      <c r="C331" s="23" t="str">
        <f t="shared" si="1"/>
        <v>Maria Polanco</v>
      </c>
      <c r="D331" s="28" t="s">
        <v>2308</v>
      </c>
      <c r="E331" s="28" t="s">
        <v>7526</v>
      </c>
      <c r="F331" s="23">
        <f t="array" ref="F331">IFERROR(
    INDEX('Hub Interns 226'!A:A, MATCH(C331, 'Hub Interns 226'!B:B, 0)),"")</f>
        <v>1206</v>
      </c>
      <c r="G331" s="23">
        <f t="array" ref="G331">IFERROR(
    INDEX('Hub Users 226'!A:A, MATCH(C331, 'Hub Users 226'!B:B, 0)),"")</f>
        <v>1639</v>
      </c>
      <c r="H331" s="28">
        <v>680.0</v>
      </c>
      <c r="I331" s="28" t="s">
        <v>260</v>
      </c>
      <c r="J331" s="28" t="s">
        <v>5336</v>
      </c>
      <c r="K331" s="28" t="s">
        <v>5177</v>
      </c>
      <c r="L331" s="28" t="s">
        <v>5196</v>
      </c>
      <c r="M331" s="56" t="s">
        <v>7527</v>
      </c>
      <c r="N331" s="59">
        <v>44546.475694444445</v>
      </c>
      <c r="O331" s="58">
        <v>38686.0</v>
      </c>
      <c r="P331" s="28">
        <f t="shared" si="12"/>
        <v>20</v>
      </c>
      <c r="Q331" s="28" t="s">
        <v>240</v>
      </c>
      <c r="R331" s="28" t="s">
        <v>7528</v>
      </c>
      <c r="S331" s="28">
        <v>6.0</v>
      </c>
      <c r="T331" s="28">
        <v>13.0</v>
      </c>
      <c r="U331" s="28">
        <v>35.0</v>
      </c>
      <c r="V331" s="28">
        <v>21.0</v>
      </c>
      <c r="W331" s="28" t="s">
        <v>1173</v>
      </c>
      <c r="X331" s="28" t="s">
        <v>272</v>
      </c>
      <c r="Y331" s="28" t="s">
        <v>7529</v>
      </c>
      <c r="Z331" s="28" t="s">
        <v>5483</v>
      </c>
      <c r="AA331" s="28" t="s">
        <v>457</v>
      </c>
      <c r="AB331" s="28">
        <v>25.0</v>
      </c>
      <c r="AC331" s="28" t="s">
        <v>25</v>
      </c>
      <c r="AD331" s="23"/>
      <c r="AE331" s="28" t="s">
        <v>10</v>
      </c>
      <c r="AF331" s="23" t="str">
        <f>IFERROR(__xludf.DUMMYFUNCTION("TEXTJOIN("", "", TRUE,
  FILTER(Champions!C:C,
    ISNUMBER(SEARCH(C331, Champions!W:W))
  )
)"),"Lena K Dandy, Jody Kramer, Lena K Dandy (D)")</f>
        <v>Lena K Dandy, Jody Kramer, Lena K Dandy (D)</v>
      </c>
      <c r="AG331" s="23"/>
      <c r="AH331" s="23" t="str">
        <f>IFERROR(__xludf.DUMMYFUNCTION("IF(
ISNUMBER(MATCH(
C331,
IMPORTRANGE(""https://docs.google.com/spreadsheets/d/1yTh1ELC33JHYOeEdgIiEclxPRyh0zOKtlawDltfUay8"",""'Interns'!A:A""),
0
)),
""Outreach Conducted"",
"""")"),"")</f>
        <v/>
      </c>
      <c r="AI331" s="23"/>
      <c r="AJ331" s="23"/>
      <c r="AK331" s="23" t="str">
        <f>IFERROR(__xludf.DUMMYFUNCTION("XLOOKUP(C331, 
   IMPORTRANGE(""1RdEdgHYrZ33LJ7RUHj_h-qkAFL92bcVjtIdVa-UlsCw"", ""Interns!D:D""), 
   IMPORTRANGE(""1RdEdgHYrZ33LJ7RUHj_h-qkAFL92bcVjtIdVa-UlsCw"", ""Interns!M:M""), 
   ""Not Found"")"),"")</f>
        <v/>
      </c>
      <c r="AL331" s="23" t="str">
        <f>IFERROR(__xludf.DUMMYFUNCTION("XLOOKUP(C331, 
   IMPORTRANGE(""1RdEdgHYrZ33LJ7RUHj_h-qkAFL92bcVjtIdVa-UlsCw"", ""Interns!D:D""), 
   IMPORTRANGE(""1RdEdgHYrZ33LJ7RUHj_h-qkAFL92bcVjtIdVa-UlsCw"", ""Interns!N:N""), 
   ""Not Found"")"),"")</f>
        <v/>
      </c>
      <c r="AM331" s="23" t="str">
        <f>IFERROR(__xludf.DUMMYFUNCTION("XLOOKUP(C331, 
   IMPORTRANGE(""1RdEdgHYrZ33LJ7RUHj_h-qkAFL92bcVjtIdVa-UlsCw"", ""Interns!D:D""), 
   IMPORTRANGE(""1RdEdgHYrZ33LJ7RUHj_h-qkAFL92bcVjtIdVa-UlsCw"", ""Interns!O:O""), 
   ""Not Found"")"),"")</f>
        <v/>
      </c>
      <c r="AN331" s="23"/>
      <c r="AO331" s="23" t="s">
        <v>7530</v>
      </c>
      <c r="AP331" s="28" t="s">
        <v>5182</v>
      </c>
      <c r="AQ331" s="28" t="s">
        <v>7531</v>
      </c>
      <c r="AR331" s="23" t="s">
        <v>7532</v>
      </c>
      <c r="AS331" s="23"/>
      <c r="AT331" s="23"/>
      <c r="AU331" s="23"/>
      <c r="AV331" s="23"/>
    </row>
    <row r="332">
      <c r="A332" s="28" t="s">
        <v>5161</v>
      </c>
      <c r="B332" s="28" t="s">
        <v>5162</v>
      </c>
      <c r="C332" s="23" t="str">
        <f t="shared" si="1"/>
        <v>Dahianna `Guzman</v>
      </c>
      <c r="D332" s="28" t="s">
        <v>7533</v>
      </c>
      <c r="E332" s="28" t="s">
        <v>7534</v>
      </c>
      <c r="F332" s="23">
        <f t="array" ref="F332">IFERROR(
    INDEX('Hub Interns 226'!A:A, MATCH(C332, 'Hub Interns 226'!B:B, 0)),"")</f>
        <v>404</v>
      </c>
      <c r="G332" s="23">
        <f t="array" ref="G332">IFERROR(
    INDEX('Hub Users 226'!A:A, MATCH(C332, 'Hub Users 226'!B:B, 0)),"")</f>
        <v>837</v>
      </c>
      <c r="H332" s="28">
        <v>1263.0</v>
      </c>
      <c r="I332" s="28" t="s">
        <v>260</v>
      </c>
      <c r="J332" s="28" t="s">
        <v>5336</v>
      </c>
      <c r="K332" s="28" t="s">
        <v>5177</v>
      </c>
      <c r="L332" s="28" t="s">
        <v>5196</v>
      </c>
      <c r="M332" s="56" t="s">
        <v>7535</v>
      </c>
      <c r="N332" s="59">
        <v>44845.43402777778</v>
      </c>
      <c r="O332" s="58">
        <v>39165.0</v>
      </c>
      <c r="P332" s="28">
        <f t="shared" si="12"/>
        <v>19</v>
      </c>
      <c r="Q332" s="28" t="s">
        <v>240</v>
      </c>
      <c r="R332" s="28" t="s">
        <v>7536</v>
      </c>
      <c r="S332" s="28">
        <v>15.0</v>
      </c>
      <c r="T332" s="28">
        <v>32.0</v>
      </c>
      <c r="U332" s="28">
        <v>79.0</v>
      </c>
      <c r="V332" s="28">
        <v>15.0</v>
      </c>
      <c r="W332" s="28" t="s">
        <v>859</v>
      </c>
      <c r="X332" s="28" t="s">
        <v>272</v>
      </c>
      <c r="Y332" s="28" t="s">
        <v>7537</v>
      </c>
      <c r="Z332" s="28" t="s">
        <v>5918</v>
      </c>
      <c r="AA332" s="28" t="s">
        <v>477</v>
      </c>
      <c r="AB332" s="28">
        <v>15.0</v>
      </c>
      <c r="AC332" s="28" t="s">
        <v>23</v>
      </c>
      <c r="AD332" s="23"/>
      <c r="AE332" s="28" t="s">
        <v>15</v>
      </c>
      <c r="AF332" s="23"/>
      <c r="AG332" s="23"/>
      <c r="AH332" s="23" t="str">
        <f>IFERROR(__xludf.DUMMYFUNCTION("IF(
ISNUMBER(MATCH(
C332,
IMPORTRANGE(""https://docs.google.com/spreadsheets/d/1yTh1ELC33JHYOeEdgIiEclxPRyh0zOKtlawDltfUay8"",""'Interns'!A:A""),
0
)),
""Outreach Conducted"",
"""")"),"")</f>
        <v/>
      </c>
      <c r="AI332" s="23"/>
      <c r="AJ332" s="23"/>
      <c r="AK332" s="23" t="str">
        <f>IFERROR(__xludf.DUMMYFUNCTION("XLOOKUP(C332, 
   IMPORTRANGE(""1RdEdgHYrZ33LJ7RUHj_h-qkAFL92bcVjtIdVa-UlsCw"", ""Interns!D:D""), 
   IMPORTRANGE(""1RdEdgHYrZ33LJ7RUHj_h-qkAFL92bcVjtIdVa-UlsCw"", ""Interns!M:M""), 
   ""Not Found"")"),"")</f>
        <v/>
      </c>
      <c r="AL332" s="23" t="str">
        <f>IFERROR(__xludf.DUMMYFUNCTION("XLOOKUP(C332, 
   IMPORTRANGE(""1RdEdgHYrZ33LJ7RUHj_h-qkAFL92bcVjtIdVa-UlsCw"", ""Interns!D:D""), 
   IMPORTRANGE(""1RdEdgHYrZ33LJ7RUHj_h-qkAFL92bcVjtIdVa-UlsCw"", ""Interns!N:N""), 
   ""Not Found"")"),"#SpeakingMyName")</f>
        <v>#SpeakingMyName</v>
      </c>
      <c r="AM332" s="23" t="str">
        <f>IFERROR(__xludf.DUMMYFUNCTION("XLOOKUP(C332, 
   IMPORTRANGE(""1RdEdgHYrZ33LJ7RUHj_h-qkAFL92bcVjtIdVa-UlsCw"", ""Interns!D:D""), 
   IMPORTRANGE(""1RdEdgHYrZ33LJ7RUHj_h-qkAFL92bcVjtIdVa-UlsCw"", ""Interns!O:O""), 
   ""Not Found"")"),"Alicia reached out by email on 5/15 for #SpeakingMyName")</f>
        <v>Alicia reached out by email on 5/15 for #SpeakingMyName</v>
      </c>
      <c r="AN332" s="23"/>
      <c r="AO332" s="23" t="s">
        <v>7538</v>
      </c>
      <c r="AP332" s="28" t="s">
        <v>5191</v>
      </c>
      <c r="AQ332" s="28"/>
      <c r="AR332" s="23"/>
      <c r="AS332" s="23"/>
      <c r="AT332" s="23"/>
      <c r="AU332" s="23"/>
      <c r="AV332" s="23"/>
    </row>
    <row r="333">
      <c r="A333" s="28" t="s">
        <v>5161</v>
      </c>
      <c r="B333" s="28" t="s">
        <v>5162</v>
      </c>
      <c r="C333" s="23" t="str">
        <f t="shared" si="1"/>
        <v>Gabriela Turbi</v>
      </c>
      <c r="D333" s="28" t="s">
        <v>1413</v>
      </c>
      <c r="E333" s="28" t="s">
        <v>7539</v>
      </c>
      <c r="F333" s="23">
        <f t="array" ref="F333">IFERROR(
    INDEX('Hub Interns 226'!A:A, MATCH(C333, 'Hub Interns 226'!B:B, 0)),"")</f>
        <v>535</v>
      </c>
      <c r="G333" s="23">
        <f t="array" ref="G333">IFERROR(
    INDEX('Hub Users 226'!A:A, MATCH(C333, 'Hub Users 226'!B:B, 0)),"")</f>
        <v>968</v>
      </c>
      <c r="H333" s="28">
        <v>386.0</v>
      </c>
      <c r="I333" s="28" t="s">
        <v>290</v>
      </c>
      <c r="J333" s="28" t="s">
        <v>5336</v>
      </c>
      <c r="K333" s="28" t="s">
        <v>5177</v>
      </c>
      <c r="L333" s="28" t="s">
        <v>5196</v>
      </c>
      <c r="M333" s="56" t="s">
        <v>7540</v>
      </c>
      <c r="N333" s="57">
        <v>44258.450694444444</v>
      </c>
      <c r="O333" s="58">
        <v>37272.0</v>
      </c>
      <c r="P333" s="28">
        <f t="shared" si="12"/>
        <v>24</v>
      </c>
      <c r="Q333" s="28" t="s">
        <v>240</v>
      </c>
      <c r="R333" s="28" t="s">
        <v>7541</v>
      </c>
      <c r="S333" s="28">
        <v>14.0</v>
      </c>
      <c r="T333" s="28">
        <v>34.0</v>
      </c>
      <c r="U333" s="28">
        <v>87.0</v>
      </c>
      <c r="V333" s="28">
        <v>18.0</v>
      </c>
      <c r="W333" s="28" t="s">
        <v>859</v>
      </c>
      <c r="X333" s="28" t="s">
        <v>272</v>
      </c>
      <c r="Y333" s="28" t="s">
        <v>7542</v>
      </c>
      <c r="Z333" s="28" t="s">
        <v>5208</v>
      </c>
      <c r="AA333" s="28" t="s">
        <v>2141</v>
      </c>
      <c r="AB333" s="28">
        <v>8.0</v>
      </c>
      <c r="AC333" s="28" t="s">
        <v>24</v>
      </c>
      <c r="AD333" s="23"/>
      <c r="AE333" s="28" t="s">
        <v>8</v>
      </c>
      <c r="AF333" s="23"/>
      <c r="AG333" s="23"/>
      <c r="AH333" s="23" t="str">
        <f>IFERROR(__xludf.DUMMYFUNCTION("IF(
ISNUMBER(MATCH(
C333,
IMPORTRANGE(""https://docs.google.com/spreadsheets/d/1yTh1ELC33JHYOeEdgIiEclxPRyh0zOKtlawDltfUay8"",""'Interns'!A:A""),
0
)),
""Outreach Conducted"",
"""")"),"")</f>
        <v/>
      </c>
      <c r="AI333" s="23"/>
      <c r="AJ333" s="23"/>
      <c r="AK333" s="23" t="str">
        <f>IFERROR(__xludf.DUMMYFUNCTION("XLOOKUP(C333, 
   IMPORTRANGE(""1RdEdgHYrZ33LJ7RUHj_h-qkAFL92bcVjtIdVa-UlsCw"", ""Interns!D:D""), 
   IMPORTRANGE(""1RdEdgHYrZ33LJ7RUHj_h-qkAFL92bcVjtIdVa-UlsCw"", ""Interns!M:M""), 
   ""Not Found"")"),"Contacted")</f>
        <v>Contacted</v>
      </c>
      <c r="AL333" s="23" t="str">
        <f>IFERROR(__xludf.DUMMYFUNCTION("XLOOKUP(C333, 
   IMPORTRANGE(""1RdEdgHYrZ33LJ7RUHj_h-qkAFL92bcVjtIdVa-UlsCw"", ""Interns!D:D""), 
   IMPORTRANGE(""1RdEdgHYrZ33LJ7RUHj_h-qkAFL92bcVjtIdVa-UlsCw"", ""Interns!N:N""), 
   ""Not Found"")"),"#Cheers4Careers")</f>
        <v>#Cheers4Careers</v>
      </c>
      <c r="AM333" s="23" t="str">
        <f>IFERROR(__xludf.DUMMYFUNCTION("XLOOKUP(C333, 
   IMPORTRANGE(""1RdEdgHYrZ33LJ7RUHj_h-qkAFL92bcVjtIdVa-UlsCw"", ""Interns!D:D""), 
   IMPORTRANGE(""1RdEdgHYrZ33LJ7RUHj_h-qkAFL92bcVjtIdVa-UlsCw"", ""Interns!O:O""), 
   ""Not Found"")"),"Hetal reached out by email 3/27")</f>
        <v>Hetal reached out by email 3/27</v>
      </c>
      <c r="AN333" s="23"/>
      <c r="AO333" s="23" t="s">
        <v>7543</v>
      </c>
      <c r="AP333" s="28" t="s">
        <v>5182</v>
      </c>
      <c r="AQ333" s="28"/>
      <c r="AR333" s="23"/>
      <c r="AS333" s="23"/>
      <c r="AT333" s="23"/>
      <c r="AU333" s="23"/>
      <c r="AV333" s="23"/>
    </row>
    <row r="334">
      <c r="A334" s="28" t="s">
        <v>5161</v>
      </c>
      <c r="B334" s="28" t="s">
        <v>5162</v>
      </c>
      <c r="C334" s="23" t="str">
        <f t="shared" si="1"/>
        <v>Josue Lantigua</v>
      </c>
      <c r="D334" s="28" t="s">
        <v>7189</v>
      </c>
      <c r="E334" s="28" t="s">
        <v>7247</v>
      </c>
      <c r="F334" s="23">
        <f t="array" ref="F334">IFERROR(
    INDEX('Hub Interns 226'!A:A, MATCH(C334, 'Hub Interns 226'!B:B, 0)),"")</f>
        <v>697</v>
      </c>
      <c r="G334" s="23">
        <f t="array" ref="G334">IFERROR(
    INDEX('Hub Users 226'!A:A, MATCH(C334, 'Hub Users 226'!B:B, 0)),"")</f>
        <v>1130</v>
      </c>
      <c r="H334" s="28">
        <v>1345.0</v>
      </c>
      <c r="I334" s="28" t="s">
        <v>538</v>
      </c>
      <c r="J334" s="28" t="s">
        <v>5336</v>
      </c>
      <c r="K334" s="28" t="s">
        <v>5177</v>
      </c>
      <c r="L334" s="28" t="s">
        <v>5165</v>
      </c>
      <c r="M334" s="56" t="s">
        <v>7544</v>
      </c>
      <c r="N334" s="59">
        <v>44859.45694444444</v>
      </c>
      <c r="O334" s="58">
        <v>38939.0</v>
      </c>
      <c r="P334" s="28">
        <f t="shared" si="12"/>
        <v>19</v>
      </c>
      <c r="Q334" s="28" t="s">
        <v>7545</v>
      </c>
      <c r="R334" s="28" t="s">
        <v>7546</v>
      </c>
      <c r="S334" s="28">
        <v>13.0</v>
      </c>
      <c r="T334" s="28">
        <v>31.0</v>
      </c>
      <c r="U334" s="28">
        <v>72.0</v>
      </c>
      <c r="V334" s="28">
        <v>10.0</v>
      </c>
      <c r="W334" s="28" t="s">
        <v>271</v>
      </c>
      <c r="X334" s="28" t="s">
        <v>272</v>
      </c>
      <c r="Y334" s="28" t="s">
        <v>7547</v>
      </c>
      <c r="Z334" s="28" t="s">
        <v>5341</v>
      </c>
      <c r="AA334" s="28" t="s">
        <v>1085</v>
      </c>
      <c r="AB334" s="28">
        <v>10.0</v>
      </c>
      <c r="AC334" s="28" t="s">
        <v>25</v>
      </c>
      <c r="AD334" s="23"/>
      <c r="AE334" s="28" t="s">
        <v>15</v>
      </c>
      <c r="AF334" s="23" t="str">
        <f>IFERROR(__xludf.DUMMYFUNCTION("TEXTJOIN("", "", TRUE,
  FILTER(Champions!C:C,
    ISNUMBER(SEARCH(C334, Champions!W:W))
  )
)"),"Hesam Moghaddam, Kunal Jani, Vatsala Sarathy")</f>
        <v>Hesam Moghaddam, Kunal Jani, Vatsala Sarathy</v>
      </c>
      <c r="AG334" s="26" t="s">
        <v>5342</v>
      </c>
      <c r="AH334" s="23" t="str">
        <f>IFERROR(__xludf.DUMMYFUNCTION("IF(
ISNUMBER(MATCH(
C334,
IMPORTRANGE(""https://docs.google.com/spreadsheets/d/1yTh1ELC33JHYOeEdgIiEclxPRyh0zOKtlawDltfUay8"",""'Interns'!A:A""),
0
)),
""Outreach Conducted"",
"""")"),"")</f>
        <v/>
      </c>
      <c r="AI334" s="23"/>
      <c r="AJ334" s="23"/>
      <c r="AK334" s="23" t="str">
        <f>IFERROR(__xludf.DUMMYFUNCTION("XLOOKUP(C334, 
   IMPORTRANGE(""1RdEdgHYrZ33LJ7RUHj_h-qkAFL92bcVjtIdVa-UlsCw"", ""Interns!D:D""), 
   IMPORTRANGE(""1RdEdgHYrZ33LJ7RUHj_h-qkAFL92bcVjtIdVa-UlsCw"", ""Interns!M:M""), 
   ""Not Found"")"),"Contacted")</f>
        <v>Contacted</v>
      </c>
      <c r="AL334" s="23" t="str">
        <f>IFERROR(__xludf.DUMMYFUNCTION("XLOOKUP(C334, 
   IMPORTRANGE(""1RdEdgHYrZ33LJ7RUHj_h-qkAFL92bcVjtIdVa-UlsCw"", ""Interns!D:D""), 
   IMPORTRANGE(""1RdEdgHYrZ33LJ7RUHj_h-qkAFL92bcVjtIdVa-UlsCw"", ""Interns!N:N""), 
   ""Not Found"")"),"#Cheers4Careers")</f>
        <v>#Cheers4Careers</v>
      </c>
      <c r="AM334" s="23" t="str">
        <f>IFERROR(__xludf.DUMMYFUNCTION("XLOOKUP(C334, 
   IMPORTRANGE(""1RdEdgHYrZ33LJ7RUHj_h-qkAFL92bcVjtIdVa-UlsCw"", ""Interns!D:D""), 
   IMPORTRANGE(""1RdEdgHYrZ33LJ7RUHj_h-qkAFL92bcVjtIdVa-UlsCw"", ""Interns!O:O""), 
   ""Not Found"")"),"Texted on April 14 for #Cheers4Careers event")</f>
        <v>Texted on April 14 for #Cheers4Careers event</v>
      </c>
      <c r="AN334" s="23"/>
      <c r="AO334" s="23" t="s">
        <v>7548</v>
      </c>
      <c r="AP334" s="28" t="s">
        <v>5182</v>
      </c>
      <c r="AQ334" s="28" t="s">
        <v>7549</v>
      </c>
      <c r="AR334" s="23" t="s">
        <v>7547</v>
      </c>
      <c r="AS334" s="23"/>
      <c r="AT334" s="23"/>
      <c r="AU334" s="23"/>
      <c r="AV334" s="23"/>
    </row>
    <row r="335">
      <c r="A335" s="28" t="s">
        <v>5161</v>
      </c>
      <c r="B335" s="28" t="s">
        <v>5162</v>
      </c>
      <c r="C335" s="23" t="str">
        <f t="shared" si="1"/>
        <v>Ansel Castro</v>
      </c>
      <c r="D335" s="28" t="s">
        <v>7550</v>
      </c>
      <c r="E335" s="28" t="s">
        <v>2092</v>
      </c>
      <c r="F335" s="23">
        <f t="array" ref="F335">IFERROR(
    INDEX('Hub Interns 226'!A:A, MATCH(C335, 'Hub Interns 226'!B:B, 0)),"")</f>
        <v>247</v>
      </c>
      <c r="G335" s="23">
        <f t="array" ref="G335">IFERROR(
    INDEX('Hub Users 226'!A:A, MATCH(C335, 'Hub Users 226'!B:B, 0)),"")</f>
        <v>680</v>
      </c>
      <c r="H335" s="28">
        <v>1285.0</v>
      </c>
      <c r="I335" s="28" t="s">
        <v>538</v>
      </c>
      <c r="J335" s="28" t="s">
        <v>5336</v>
      </c>
      <c r="K335" s="28" t="s">
        <v>5177</v>
      </c>
      <c r="L335" s="28" t="s">
        <v>5165</v>
      </c>
      <c r="M335" s="56" t="s">
        <v>7551</v>
      </c>
      <c r="N335" s="59">
        <v>44845.61319444444</v>
      </c>
      <c r="O335" s="58">
        <v>39069.0</v>
      </c>
      <c r="P335" s="28">
        <f t="shared" si="12"/>
        <v>19</v>
      </c>
      <c r="Q335" s="28" t="s">
        <v>7552</v>
      </c>
      <c r="R335" s="28" t="s">
        <v>7553</v>
      </c>
      <c r="S335" s="28">
        <v>13.0</v>
      </c>
      <c r="T335" s="28">
        <v>31.0</v>
      </c>
      <c r="U335" s="28">
        <v>72.0</v>
      </c>
      <c r="V335" s="28">
        <v>10.0</v>
      </c>
      <c r="W335" s="28" t="s">
        <v>271</v>
      </c>
      <c r="X335" s="28" t="s">
        <v>272</v>
      </c>
      <c r="Y335" s="28" t="s">
        <v>7554</v>
      </c>
      <c r="Z335" s="28" t="s">
        <v>5341</v>
      </c>
      <c r="AA335" s="28" t="s">
        <v>1085</v>
      </c>
      <c r="AB335" s="28">
        <v>10.0</v>
      </c>
      <c r="AC335" s="28" t="s">
        <v>25</v>
      </c>
      <c r="AD335" s="23"/>
      <c r="AE335" s="28" t="s">
        <v>15</v>
      </c>
      <c r="AF335" s="23" t="str">
        <f>IFERROR(__xludf.DUMMYFUNCTION("TEXTJOIN("", "", TRUE,
  FILTER(Champions!C:C,
    ISNUMBER(SEARCH(C335, Champions!W:W))
  )
)"),"David Temple, Mario Badillo, Sunkyung Park")</f>
        <v>David Temple, Mario Badillo, Sunkyung Park</v>
      </c>
      <c r="AG335" s="26" t="s">
        <v>5342</v>
      </c>
      <c r="AH335" s="23" t="str">
        <f>IFERROR(__xludf.DUMMYFUNCTION("IF(
ISNUMBER(MATCH(
C335,
IMPORTRANGE(""https://docs.google.com/spreadsheets/d/1yTh1ELC33JHYOeEdgIiEclxPRyh0zOKtlawDltfUay8"",""'Interns'!A:A""),
0
)),
""Outreach Conducted"",
"""")"),"")</f>
        <v/>
      </c>
      <c r="AI335" s="23"/>
      <c r="AJ335" s="23"/>
      <c r="AK335" s="23" t="str">
        <f>IFERROR(__xludf.DUMMYFUNCTION("XLOOKUP(C335, 
   IMPORTRANGE(""1RdEdgHYrZ33LJ7RUHj_h-qkAFL92bcVjtIdVa-UlsCw"", ""Interns!D:D""), 
   IMPORTRANGE(""1RdEdgHYrZ33LJ7RUHj_h-qkAFL92bcVjtIdVa-UlsCw"", ""Interns!M:M""), 
   ""Not Found"")"),"Contacted")</f>
        <v>Contacted</v>
      </c>
      <c r="AL335" s="23" t="str">
        <f>IFERROR(__xludf.DUMMYFUNCTION("XLOOKUP(C335, 
   IMPORTRANGE(""1RdEdgHYrZ33LJ7RUHj_h-qkAFL92bcVjtIdVa-UlsCw"", ""Interns!D:D""), 
   IMPORTRANGE(""1RdEdgHYrZ33LJ7RUHj_h-qkAFL92bcVjtIdVa-UlsCw"", ""Interns!N:N""), 
   ""Not Found"")"),"#Cheers4Careers")</f>
        <v>#Cheers4Careers</v>
      </c>
      <c r="AM335" s="23" t="str">
        <f>IFERROR(__xludf.DUMMYFUNCTION("XLOOKUP(C335, 
   IMPORTRANGE(""1RdEdgHYrZ33LJ7RUHj_h-qkAFL92bcVjtIdVa-UlsCw"", ""Interns!D:D""), 
   IMPORTRANGE(""1RdEdgHYrZ33LJ7RUHj_h-qkAFL92bcVjtIdVa-UlsCw"", ""Interns!O:O""), 
   ""Not Found"")"),"Texted on April 14 for #Cheers4Careers event")</f>
        <v>Texted on April 14 for #Cheers4Careers event</v>
      </c>
      <c r="AN335" s="23"/>
      <c r="AO335" s="23" t="s">
        <v>7555</v>
      </c>
      <c r="AP335" s="28" t="s">
        <v>5182</v>
      </c>
      <c r="AQ335" s="28" t="s">
        <v>7556</v>
      </c>
      <c r="AR335" s="23" t="s">
        <v>7557</v>
      </c>
      <c r="AS335" s="23"/>
      <c r="AT335" s="23"/>
      <c r="AU335" s="23"/>
      <c r="AV335" s="23"/>
    </row>
    <row r="336">
      <c r="A336" s="28" t="s">
        <v>5202</v>
      </c>
      <c r="B336" s="28" t="s">
        <v>5162</v>
      </c>
      <c r="C336" s="23" t="str">
        <f t="shared" si="1"/>
        <v>Maria Ramirez</v>
      </c>
      <c r="D336" s="28" t="s">
        <v>2308</v>
      </c>
      <c r="E336" s="28" t="s">
        <v>2127</v>
      </c>
      <c r="F336" s="23" t="str">
        <f t="array" ref="F336">IFERROR(
    INDEX('Hub Interns 226'!A:A, MATCH(C336, 'Hub Interns 226'!B:B, 0)),"")</f>
        <v/>
      </c>
      <c r="G336" s="23">
        <f t="array" ref="G336">IFERROR(
    INDEX('Hub Users 226'!A:A, MATCH(C336, 'Hub Users 226'!B:B, 0)),"")</f>
        <v>622</v>
      </c>
      <c r="H336" s="28">
        <v>811.0</v>
      </c>
      <c r="I336" s="28" t="s">
        <v>260</v>
      </c>
      <c r="J336" s="28" t="s">
        <v>5336</v>
      </c>
      <c r="K336" s="28" t="s">
        <v>5177</v>
      </c>
      <c r="L336" s="28" t="s">
        <v>5196</v>
      </c>
      <c r="M336" s="56" t="s">
        <v>7558</v>
      </c>
      <c r="N336" s="57">
        <v>44568.84444444445</v>
      </c>
      <c r="O336" s="58">
        <v>38965.0</v>
      </c>
      <c r="P336" s="28">
        <f t="shared" si="12"/>
        <v>19</v>
      </c>
      <c r="Q336" s="28" t="s">
        <v>240</v>
      </c>
      <c r="R336" s="28" t="s">
        <v>7559</v>
      </c>
      <c r="S336" s="28">
        <v>13.0</v>
      </c>
      <c r="T336" s="28">
        <v>31.0</v>
      </c>
      <c r="U336" s="28">
        <v>72.0</v>
      </c>
      <c r="V336" s="28">
        <v>10.0</v>
      </c>
      <c r="W336" s="28" t="s">
        <v>271</v>
      </c>
      <c r="X336" s="28" t="s">
        <v>272</v>
      </c>
      <c r="Y336" s="28" t="s">
        <v>7560</v>
      </c>
      <c r="Z336" s="28" t="s">
        <v>5341</v>
      </c>
      <c r="AA336" s="28" t="s">
        <v>1085</v>
      </c>
      <c r="AB336" s="28">
        <v>10.0</v>
      </c>
      <c r="AC336" s="28" t="s">
        <v>25</v>
      </c>
      <c r="AD336" s="23"/>
      <c r="AE336" s="28" t="s">
        <v>10</v>
      </c>
      <c r="AF336" s="23" t="str">
        <f>IFERROR(__xludf.DUMMYFUNCTION("TEXTJOIN("", "", TRUE,
  FILTER(Champions!C:C,
    ISNUMBER(SEARCH(C336, Champions!W:W))
  )
)"),"Samantha Cadorniga, Suzette Nicole Bennett")</f>
        <v>Samantha Cadorniga, Suzette Nicole Bennett</v>
      </c>
      <c r="AG336" s="23"/>
      <c r="AH336" s="23" t="str">
        <f>IFERROR(__xludf.DUMMYFUNCTION("IF(
ISNUMBER(MATCH(
C336,
IMPORTRANGE(""https://docs.google.com/spreadsheets/d/1yTh1ELC33JHYOeEdgIiEclxPRyh0zOKtlawDltfUay8"",""'Interns'!A:A""),
0
)),
""Outreach Conducted"",
"""")"),"")</f>
        <v/>
      </c>
      <c r="AI336" s="23"/>
      <c r="AJ336" s="23"/>
      <c r="AK336" s="23" t="str">
        <f>IFERROR(__xludf.DUMMYFUNCTION("XLOOKUP(C336, 
   IMPORTRANGE(""1RdEdgHYrZ33LJ7RUHj_h-qkAFL92bcVjtIdVa-UlsCw"", ""Interns!D:D""), 
   IMPORTRANGE(""1RdEdgHYrZ33LJ7RUHj_h-qkAFL92bcVjtIdVa-UlsCw"", ""Interns!M:M""), 
   ""Not Found"")"),"")</f>
        <v/>
      </c>
      <c r="AL336" s="23" t="str">
        <f>IFERROR(__xludf.DUMMYFUNCTION("XLOOKUP(C336, 
   IMPORTRANGE(""1RdEdgHYrZ33LJ7RUHj_h-qkAFL92bcVjtIdVa-UlsCw"", ""Interns!D:D""), 
   IMPORTRANGE(""1RdEdgHYrZ33LJ7RUHj_h-qkAFL92bcVjtIdVa-UlsCw"", ""Interns!N:N""), 
   ""Not Found"")"),"")</f>
        <v/>
      </c>
      <c r="AM336" s="23" t="str">
        <f>IFERROR(__xludf.DUMMYFUNCTION("XLOOKUP(C336, 
   IMPORTRANGE(""1RdEdgHYrZ33LJ7RUHj_h-qkAFL92bcVjtIdVa-UlsCw"", ""Interns!D:D""), 
   IMPORTRANGE(""1RdEdgHYrZ33LJ7RUHj_h-qkAFL92bcVjtIdVa-UlsCw"", ""Interns!O:O""), 
   ""Not Found"")"),"")</f>
        <v/>
      </c>
      <c r="AN336" s="23"/>
      <c r="AO336" s="23" t="s">
        <v>7561</v>
      </c>
      <c r="AP336" s="28" t="s">
        <v>5182</v>
      </c>
      <c r="AQ336" s="28" t="s">
        <v>7562</v>
      </c>
      <c r="AR336" s="23" t="s">
        <v>7563</v>
      </c>
      <c r="AS336" s="23"/>
      <c r="AT336" s="23"/>
      <c r="AU336" s="23"/>
      <c r="AV336" s="23"/>
    </row>
    <row r="337">
      <c r="A337" s="28" t="s">
        <v>5161</v>
      </c>
      <c r="B337" s="28" t="s">
        <v>5162</v>
      </c>
      <c r="C337" s="23" t="str">
        <f t="shared" si="1"/>
        <v>Amelia Rodriguez</v>
      </c>
      <c r="D337" s="28" t="s">
        <v>439</v>
      </c>
      <c r="E337" s="28" t="s">
        <v>536</v>
      </c>
      <c r="F337" s="23">
        <f t="array" ref="F337">IFERROR(
    INDEX('Hub Interns 226'!A:A, MATCH(C337, 'Hub Interns 226'!B:B, 0)),"")</f>
        <v>204</v>
      </c>
      <c r="G337" s="23">
        <f t="array" ref="G337">IFERROR(
    INDEX('Hub Users 226'!A:A, MATCH(C337, 'Hub Users 226'!B:B, 0)),"")</f>
        <v>637</v>
      </c>
      <c r="H337" s="28">
        <v>732.0</v>
      </c>
      <c r="I337" s="28" t="s">
        <v>260</v>
      </c>
      <c r="J337" s="28" t="s">
        <v>5336</v>
      </c>
      <c r="K337" s="28" t="s">
        <v>5177</v>
      </c>
      <c r="L337" s="28" t="s">
        <v>5196</v>
      </c>
      <c r="M337" s="56" t="s">
        <v>7564</v>
      </c>
      <c r="N337" s="59">
        <v>44550.55</v>
      </c>
      <c r="O337" s="58">
        <v>38619.0</v>
      </c>
      <c r="P337" s="28">
        <f t="shared" si="12"/>
        <v>20</v>
      </c>
      <c r="Q337" s="28" t="s">
        <v>240</v>
      </c>
      <c r="R337" s="28" t="s">
        <v>7565</v>
      </c>
      <c r="S337" s="28">
        <v>5.0</v>
      </c>
      <c r="T337" s="28">
        <v>11.0</v>
      </c>
      <c r="U337" s="28">
        <v>33.0</v>
      </c>
      <c r="V337" s="28">
        <v>23.0</v>
      </c>
      <c r="W337" s="28" t="s">
        <v>1173</v>
      </c>
      <c r="X337" s="28" t="s">
        <v>272</v>
      </c>
      <c r="Y337" s="28" t="s">
        <v>7566</v>
      </c>
      <c r="Z337" s="28" t="s">
        <v>5483</v>
      </c>
      <c r="AA337" s="28" t="s">
        <v>457</v>
      </c>
      <c r="AB337" s="28">
        <v>25.0</v>
      </c>
      <c r="AC337" s="28" t="s">
        <v>25</v>
      </c>
      <c r="AD337" s="23"/>
      <c r="AE337" s="28" t="s">
        <v>10</v>
      </c>
      <c r="AF337" s="23" t="str">
        <f>IFERROR(__xludf.DUMMYFUNCTION("TEXTJOIN("", "", TRUE,
  FILTER(Champions!C:C,
    ISNUMBER(SEARCH(C337, Champions!W:W))
  )
)"),"Chiemela Okwandu, Vanessa Ballenas")</f>
        <v>Chiemela Okwandu, Vanessa Ballenas</v>
      </c>
      <c r="AG337" s="23"/>
      <c r="AH337" s="23" t="str">
        <f>IFERROR(__xludf.DUMMYFUNCTION("IF(
ISNUMBER(MATCH(
C337,
IMPORTRANGE(""https://docs.google.com/spreadsheets/d/1yTh1ELC33JHYOeEdgIiEclxPRyh0zOKtlawDltfUay8"",""'Interns'!A:A""),
0
)),
""Outreach Conducted"",
"""")"),"")</f>
        <v/>
      </c>
      <c r="AI337" s="23"/>
      <c r="AJ337" s="23"/>
      <c r="AK337" s="23" t="str">
        <f>IFERROR(__xludf.DUMMYFUNCTION("XLOOKUP(C337, 
   IMPORTRANGE(""1RdEdgHYrZ33LJ7RUHj_h-qkAFL92bcVjtIdVa-UlsCw"", ""Interns!D:D""), 
   IMPORTRANGE(""1RdEdgHYrZ33LJ7RUHj_h-qkAFL92bcVjtIdVa-UlsCw"", ""Interns!M:M""), 
   ""Not Found"")"),"Contacted")</f>
        <v>Contacted</v>
      </c>
      <c r="AL337" s="23" t="str">
        <f>IFERROR(__xludf.DUMMYFUNCTION("XLOOKUP(C337, 
   IMPORTRANGE(""1RdEdgHYrZ33LJ7RUHj_h-qkAFL92bcVjtIdVa-UlsCw"", ""Interns!D:D""), 
   IMPORTRANGE(""1RdEdgHYrZ33LJ7RUHj_h-qkAFL92bcVjtIdVa-UlsCw"", ""Interns!N:N""), 
   ""Not Found"")"),"#Cheers4Careers")</f>
        <v>#Cheers4Careers</v>
      </c>
      <c r="AM337" s="23" t="str">
        <f>IFERROR(__xludf.DUMMYFUNCTION("XLOOKUP(C337, 
   IMPORTRANGE(""1RdEdgHYrZ33LJ7RUHj_h-qkAFL92bcVjtIdVa-UlsCw"", ""Interns!D:D""), 
   IMPORTRANGE(""1RdEdgHYrZ33LJ7RUHj_h-qkAFL92bcVjtIdVa-UlsCw"", ""Interns!O:O""), 
   ""Not Found"")"),"Hetal reached out by email 3/27")</f>
        <v>Hetal reached out by email 3/27</v>
      </c>
      <c r="AN337" s="23"/>
      <c r="AO337" s="23" t="s">
        <v>7567</v>
      </c>
      <c r="AP337" s="28" t="s">
        <v>5182</v>
      </c>
      <c r="AQ337" s="28" t="s">
        <v>7568</v>
      </c>
      <c r="AR337" s="23" t="s">
        <v>7569</v>
      </c>
      <c r="AS337" s="23"/>
      <c r="AT337" s="23"/>
      <c r="AU337" s="23"/>
      <c r="AV337" s="23"/>
    </row>
    <row r="338">
      <c r="A338" s="28" t="s">
        <v>5161</v>
      </c>
      <c r="B338" s="28" t="s">
        <v>5162</v>
      </c>
      <c r="C338" s="23" t="str">
        <f t="shared" si="1"/>
        <v>Giosmar (Gio) De Luna</v>
      </c>
      <c r="D338" s="28" t="s">
        <v>7570</v>
      </c>
      <c r="E338" s="28" t="s">
        <v>7571</v>
      </c>
      <c r="F338" s="28">
        <v>1774.0</v>
      </c>
      <c r="G338" s="28">
        <v>2604.0</v>
      </c>
      <c r="H338" s="28">
        <v>1501.0</v>
      </c>
      <c r="I338" s="28" t="s">
        <v>239</v>
      </c>
      <c r="J338" s="28" t="s">
        <v>5336</v>
      </c>
      <c r="K338" s="28" t="s">
        <v>5177</v>
      </c>
      <c r="L338" s="28" t="s">
        <v>5165</v>
      </c>
      <c r="M338" s="56" t="s">
        <v>7572</v>
      </c>
      <c r="N338" s="57">
        <v>44949.720138888886</v>
      </c>
      <c r="O338" s="58">
        <v>38302.0</v>
      </c>
      <c r="P338" s="28">
        <f t="shared" si="12"/>
        <v>21</v>
      </c>
      <c r="Q338" s="28" t="s">
        <v>7573</v>
      </c>
      <c r="R338" s="28" t="s">
        <v>7574</v>
      </c>
      <c r="S338" s="28">
        <v>13.0</v>
      </c>
      <c r="T338" s="28">
        <v>31.0</v>
      </c>
      <c r="U338" s="28">
        <v>86.0</v>
      </c>
      <c r="V338" s="28">
        <v>14.0</v>
      </c>
      <c r="W338" s="28" t="s">
        <v>859</v>
      </c>
      <c r="X338" s="28" t="s">
        <v>272</v>
      </c>
      <c r="Y338" s="23"/>
      <c r="Z338" s="28" t="s">
        <v>5435</v>
      </c>
      <c r="AA338" s="28" t="s">
        <v>5436</v>
      </c>
      <c r="AB338" s="28">
        <v>10.0</v>
      </c>
      <c r="AC338" s="28" t="s">
        <v>25</v>
      </c>
      <c r="AD338" s="23"/>
      <c r="AE338" s="28" t="s">
        <v>15</v>
      </c>
      <c r="AF338" s="23" t="str">
        <f>IFERROR(__xludf.DUMMYFUNCTION("TEXTJOIN("", "", TRUE,
  FILTER(Champions!C:C,
    ISNUMBER(SEARCH(C338, Champions!W:W))
  )
)"),"Sunaina Mehta")</f>
        <v>Sunaina Mehta</v>
      </c>
      <c r="AG338" s="23"/>
      <c r="AH338" s="23" t="str">
        <f>IFERROR(__xludf.DUMMYFUNCTION("IF(
ISNUMBER(MATCH(
C338,
IMPORTRANGE(""https://docs.google.com/spreadsheets/d/1yTh1ELC33JHYOeEdgIiEclxPRyh0zOKtlawDltfUay8"",""'Interns'!A:A""),
0
)),
""Outreach Conducted"",
"""")"),"")</f>
        <v/>
      </c>
      <c r="AI338" s="23"/>
      <c r="AJ338" s="23"/>
      <c r="AK338" s="23" t="str">
        <f>IFERROR(__xludf.DUMMYFUNCTION("XLOOKUP(C338, 
   IMPORTRANGE(""1RdEdgHYrZ33LJ7RUHj_h-qkAFL92bcVjtIdVa-UlsCw"", ""Interns!D:D""), 
   IMPORTRANGE(""1RdEdgHYrZ33LJ7RUHj_h-qkAFL92bcVjtIdVa-UlsCw"", ""Interns!M:M""), 
   ""Not Found"")"),"Contacted")</f>
        <v>Contacted</v>
      </c>
      <c r="AL338" s="23" t="str">
        <f>IFERROR(__xludf.DUMMYFUNCTION("XLOOKUP(C338, 
   IMPORTRANGE(""1RdEdgHYrZ33LJ7RUHj_h-qkAFL92bcVjtIdVa-UlsCw"", ""Interns!D:D""), 
   IMPORTRANGE(""1RdEdgHYrZ33LJ7RUHj_h-qkAFL92bcVjtIdVa-UlsCw"", ""Interns!N:N""), 
   ""Not Found"")"),"#Cheers4Careers")</f>
        <v>#Cheers4Careers</v>
      </c>
      <c r="AM338" s="23" t="str">
        <f>IFERROR(__xludf.DUMMYFUNCTION("XLOOKUP(C338, 
   IMPORTRANGE(""1RdEdgHYrZ33LJ7RUHj_h-qkAFL92bcVjtIdVa-UlsCw"", ""Interns!D:D""), 
   IMPORTRANGE(""1RdEdgHYrZ33LJ7RUHj_h-qkAFL92bcVjtIdVa-UlsCw"", ""Interns!O:O""), 
   ""Not Found"")"),"Hetal reached out by email 3/27")</f>
        <v>Hetal reached out by email 3/27</v>
      </c>
      <c r="AN338" s="23"/>
      <c r="AO338" s="23" t="s">
        <v>7575</v>
      </c>
      <c r="AP338" s="28" t="s">
        <v>5182</v>
      </c>
      <c r="AQ338" s="28" t="s">
        <v>7576</v>
      </c>
      <c r="AR338" s="23">
        <v>3.472470382E9</v>
      </c>
      <c r="AS338" s="23"/>
      <c r="AT338" s="23"/>
      <c r="AU338" s="23"/>
      <c r="AV338" s="23"/>
    </row>
    <row r="339">
      <c r="A339" s="28" t="s">
        <v>5161</v>
      </c>
      <c r="B339" s="28" t="s">
        <v>31</v>
      </c>
      <c r="C339" s="23" t="str">
        <f t="shared" si="1"/>
        <v>Giosmar García</v>
      </c>
      <c r="D339" s="28" t="s">
        <v>7577</v>
      </c>
      <c r="E339" s="28" t="s">
        <v>7578</v>
      </c>
      <c r="F339" s="23">
        <f t="array" ref="F339">IFERROR(
    INDEX('Hub Interns 226'!A:A, MATCH(C339, 'Hub Interns 226'!B:B, 0)),"")</f>
        <v>1774</v>
      </c>
      <c r="G339" s="28">
        <v>2604.0</v>
      </c>
      <c r="H339" s="28">
        <v>1649.0</v>
      </c>
      <c r="I339" s="28" t="s">
        <v>239</v>
      </c>
      <c r="J339" s="28" t="s">
        <v>5336</v>
      </c>
      <c r="K339" s="28" t="s">
        <v>5177</v>
      </c>
      <c r="L339" s="28" t="s">
        <v>5165</v>
      </c>
      <c r="M339" s="56" t="s">
        <v>7572</v>
      </c>
      <c r="N339" s="57">
        <v>45117.407638888886</v>
      </c>
      <c r="O339" s="58">
        <v>45241.0</v>
      </c>
      <c r="P339" s="28">
        <f t="shared" si="12"/>
        <v>2</v>
      </c>
      <c r="Q339" s="28" t="s">
        <v>240</v>
      </c>
      <c r="R339" s="28" t="s">
        <v>7579</v>
      </c>
      <c r="S339" s="28">
        <v>13.0</v>
      </c>
      <c r="T339" s="28">
        <v>31.0</v>
      </c>
      <c r="U339" s="28">
        <v>86.0</v>
      </c>
      <c r="V339" s="28">
        <v>14.0</v>
      </c>
      <c r="W339" s="28" t="s">
        <v>859</v>
      </c>
      <c r="X339" s="28" t="s">
        <v>272</v>
      </c>
      <c r="Y339" s="28" t="s">
        <v>7580</v>
      </c>
      <c r="Z339" s="28" t="s">
        <v>5435</v>
      </c>
      <c r="AA339" s="28" t="s">
        <v>5639</v>
      </c>
      <c r="AB339" s="23"/>
      <c r="AC339" s="28" t="s">
        <v>27</v>
      </c>
      <c r="AD339" s="28" t="s">
        <v>101</v>
      </c>
      <c r="AE339" s="28" t="s">
        <v>18</v>
      </c>
      <c r="AF339" s="23"/>
      <c r="AG339" s="23"/>
      <c r="AH339" s="23" t="str">
        <f>IFERROR(__xludf.DUMMYFUNCTION("IF(
ISNUMBER(MATCH(
C339,
IMPORTRANGE(""https://docs.google.com/spreadsheets/d/1yTh1ELC33JHYOeEdgIiEclxPRyh0zOKtlawDltfUay8"",""'Interns'!A:A""),
0
)),
""Outreach Conducted"",
"""")"),"")</f>
        <v/>
      </c>
      <c r="AI339" s="23"/>
      <c r="AJ339" s="23"/>
      <c r="AK339" s="23" t="str">
        <f>IFERROR(__xludf.DUMMYFUNCTION("XLOOKUP(C339, 
   IMPORTRANGE(""1RdEdgHYrZ33LJ7RUHj_h-qkAFL92bcVjtIdVa-UlsCw"", ""Interns!D:D""), 
   IMPORTRANGE(""1RdEdgHYrZ33LJ7RUHj_h-qkAFL92bcVjtIdVa-UlsCw"", ""Interns!M:M""), 
   ""Not Found"")"),"Contacted")</f>
        <v>Contacted</v>
      </c>
      <c r="AL339" s="23" t="str">
        <f>IFERROR(__xludf.DUMMYFUNCTION("XLOOKUP(C339, 
   IMPORTRANGE(""1RdEdgHYrZ33LJ7RUHj_h-qkAFL92bcVjtIdVa-UlsCw"", ""Interns!D:D""), 
   IMPORTRANGE(""1RdEdgHYrZ33LJ7RUHj_h-qkAFL92bcVjtIdVa-UlsCw"", ""Interns!N:N""), 
   ""Not Found"")"),"#Cheers4Careers")</f>
        <v>#Cheers4Careers</v>
      </c>
      <c r="AM339" s="23" t="str">
        <f>IFERROR(__xludf.DUMMYFUNCTION("XLOOKUP(C339, 
   IMPORTRANGE(""1RdEdgHYrZ33LJ7RUHj_h-qkAFL92bcVjtIdVa-UlsCw"", ""Interns!D:D""), 
   IMPORTRANGE(""1RdEdgHYrZ33LJ7RUHj_h-qkAFL92bcVjtIdVa-UlsCw"", ""Interns!O:O""), 
   ""Not Found"")"),"Hetal reached out by text 3/27 for #Cheers4Careers")</f>
        <v>Hetal reached out by text 3/27 for #Cheers4Careers</v>
      </c>
      <c r="AN339" s="23"/>
      <c r="AO339" s="23" t="s">
        <v>7581</v>
      </c>
      <c r="AP339" s="28" t="s">
        <v>5182</v>
      </c>
      <c r="AQ339" s="28" t="s">
        <v>7576</v>
      </c>
      <c r="AR339" s="23">
        <v>3.472470382E9</v>
      </c>
      <c r="AS339" s="23"/>
      <c r="AT339" s="23"/>
      <c r="AU339" s="23"/>
      <c r="AV339" s="23"/>
    </row>
    <row r="340">
      <c r="A340" s="28" t="s">
        <v>5161</v>
      </c>
      <c r="B340" s="28" t="s">
        <v>5162</v>
      </c>
      <c r="C340" s="23" t="str">
        <f t="shared" si="1"/>
        <v>Francisco Dominguez</v>
      </c>
      <c r="D340" s="28" t="s">
        <v>7582</v>
      </c>
      <c r="E340" s="28" t="s">
        <v>7583</v>
      </c>
      <c r="F340" s="23">
        <f t="array" ref="F340">IFERROR(
    INDEX('Hub Interns 226'!A:A, MATCH(C340, 'Hub Interns 226'!B:B, 0)),"")</f>
        <v>442</v>
      </c>
      <c r="G340" s="23">
        <f t="array" ref="G340">IFERROR(
    INDEX('Hub Users 226'!A:A, MATCH(C340, 'Hub Users 226'!B:B, 0)),"")</f>
        <v>875</v>
      </c>
      <c r="H340" s="28">
        <v>851.0</v>
      </c>
      <c r="I340" s="28" t="s">
        <v>608</v>
      </c>
      <c r="J340" s="28" t="s">
        <v>5336</v>
      </c>
      <c r="K340" s="28" t="s">
        <v>5177</v>
      </c>
      <c r="L340" s="28" t="s">
        <v>5165</v>
      </c>
      <c r="M340" s="56" t="s">
        <v>7584</v>
      </c>
      <c r="N340" s="57">
        <v>44587.37569444445</v>
      </c>
      <c r="O340" s="58">
        <v>38617.0</v>
      </c>
      <c r="P340" s="28">
        <f t="shared" si="12"/>
        <v>20</v>
      </c>
      <c r="Q340" s="28" t="s">
        <v>240</v>
      </c>
      <c r="R340" s="28" t="s">
        <v>7585</v>
      </c>
      <c r="S340" s="28">
        <v>14.0</v>
      </c>
      <c r="T340" s="28">
        <v>34.0</v>
      </c>
      <c r="U340" s="28">
        <v>87.0</v>
      </c>
      <c r="V340" s="28">
        <v>18.0</v>
      </c>
      <c r="W340" s="28" t="s">
        <v>859</v>
      </c>
      <c r="X340" s="28" t="s">
        <v>272</v>
      </c>
      <c r="Y340" s="28" t="s">
        <v>7586</v>
      </c>
      <c r="Z340" s="28" t="s">
        <v>5310</v>
      </c>
      <c r="AA340" s="28" t="s">
        <v>362</v>
      </c>
      <c r="AB340" s="28">
        <v>16.0</v>
      </c>
      <c r="AC340" s="28" t="s">
        <v>25</v>
      </c>
      <c r="AD340" s="23"/>
      <c r="AE340" s="28" t="s">
        <v>10</v>
      </c>
      <c r="AF340" s="23" t="str">
        <f>IFERROR(__xludf.DUMMYFUNCTION("TEXTJOIN("", "", TRUE,
  FILTER(Champions!C:C,
    ISNUMBER(SEARCH(C340, Champions!W:W))
  )
)"),"Harshitha Girithara Gopalan, Olga Patel")</f>
        <v>Harshitha Girithara Gopalan, Olga Patel</v>
      </c>
      <c r="AG340" s="23"/>
      <c r="AH340" s="23" t="str">
        <f>IFERROR(__xludf.DUMMYFUNCTION("IF(
ISNUMBER(MATCH(
C340,
IMPORTRANGE(""https://docs.google.com/spreadsheets/d/1yTh1ELC33JHYOeEdgIiEclxPRyh0zOKtlawDltfUay8"",""'Interns'!A:A""),
0
)),
""Outreach Conducted"",
"""")"),"")</f>
        <v/>
      </c>
      <c r="AI340" s="23"/>
      <c r="AJ340" s="23"/>
      <c r="AK340" s="23" t="str">
        <f>IFERROR(__xludf.DUMMYFUNCTION("XLOOKUP(C340, 
   IMPORTRANGE(""1RdEdgHYrZ33LJ7RUHj_h-qkAFL92bcVjtIdVa-UlsCw"", ""Interns!D:D""), 
   IMPORTRANGE(""1RdEdgHYrZ33LJ7RUHj_h-qkAFL92bcVjtIdVa-UlsCw"", ""Interns!M:M""), 
   ""Not Found"")"),"")</f>
        <v/>
      </c>
      <c r="AL340" s="23" t="str">
        <f>IFERROR(__xludf.DUMMYFUNCTION("XLOOKUP(C340, 
   IMPORTRANGE(""1RdEdgHYrZ33LJ7RUHj_h-qkAFL92bcVjtIdVa-UlsCw"", ""Interns!D:D""), 
   IMPORTRANGE(""1RdEdgHYrZ33LJ7RUHj_h-qkAFL92bcVjtIdVa-UlsCw"", ""Interns!N:N""), 
   ""Not Found"")"),"")</f>
        <v/>
      </c>
      <c r="AM340" s="23" t="str">
        <f>IFERROR(__xludf.DUMMYFUNCTION("XLOOKUP(C340, 
   IMPORTRANGE(""1RdEdgHYrZ33LJ7RUHj_h-qkAFL92bcVjtIdVa-UlsCw"", ""Interns!D:D""), 
   IMPORTRANGE(""1RdEdgHYrZ33LJ7RUHj_h-qkAFL92bcVjtIdVa-UlsCw"", ""Interns!O:O""), 
   ""Not Found"")"),"")</f>
        <v/>
      </c>
      <c r="AN340" s="23"/>
      <c r="AO340" s="23" t="s">
        <v>7587</v>
      </c>
      <c r="AP340" s="28" t="s">
        <v>5182</v>
      </c>
      <c r="AQ340" s="28" t="s">
        <v>7588</v>
      </c>
      <c r="AR340" s="23" t="s">
        <v>7589</v>
      </c>
      <c r="AS340" s="23"/>
      <c r="AT340" s="23"/>
      <c r="AU340" s="23"/>
      <c r="AV340" s="23"/>
    </row>
    <row r="341">
      <c r="A341" s="28" t="s">
        <v>5202</v>
      </c>
      <c r="B341" s="28" t="s">
        <v>5162</v>
      </c>
      <c r="C341" s="23" t="str">
        <f t="shared" si="1"/>
        <v>Josue Bueno</v>
      </c>
      <c r="D341" s="28" t="s">
        <v>7189</v>
      </c>
      <c r="E341" s="28" t="s">
        <v>7590</v>
      </c>
      <c r="F341" s="23">
        <f t="array" ref="F341">IFERROR(
    INDEX('Hub Interns 226'!A:A, MATCH(C341, 'Hub Interns 226'!B:B, 0)),"")</f>
        <v>644</v>
      </c>
      <c r="G341" s="23">
        <f t="array" ref="G341">IFERROR(
    INDEX('Hub Users 226'!A:A, MATCH(C341, 'Hub Users 226'!B:B, 0)),"")</f>
        <v>1077</v>
      </c>
      <c r="H341" s="28">
        <v>1265.0</v>
      </c>
      <c r="I341" s="28" t="s">
        <v>107</v>
      </c>
      <c r="J341" s="28" t="s">
        <v>5336</v>
      </c>
      <c r="K341" s="28" t="s">
        <v>5177</v>
      </c>
      <c r="L341" s="28" t="s">
        <v>5165</v>
      </c>
      <c r="M341" s="56" t="s">
        <v>7591</v>
      </c>
      <c r="N341" s="59">
        <v>44845.438888888886</v>
      </c>
      <c r="O341" s="58">
        <v>39419.0</v>
      </c>
      <c r="P341" s="28">
        <f t="shared" si="12"/>
        <v>18</v>
      </c>
      <c r="Q341" s="28" t="s">
        <v>240</v>
      </c>
      <c r="R341" s="28" t="s">
        <v>7592</v>
      </c>
      <c r="S341" s="28">
        <v>13.0</v>
      </c>
      <c r="T341" s="28">
        <v>31.0</v>
      </c>
      <c r="U341" s="28">
        <v>72.0</v>
      </c>
      <c r="V341" s="28">
        <v>10.0</v>
      </c>
      <c r="W341" s="28" t="s">
        <v>859</v>
      </c>
      <c r="X341" s="28" t="s">
        <v>272</v>
      </c>
      <c r="Y341" s="28" t="s">
        <v>7593</v>
      </c>
      <c r="Z341" s="28" t="s">
        <v>5918</v>
      </c>
      <c r="AA341" s="28" t="s">
        <v>477</v>
      </c>
      <c r="AB341" s="28">
        <v>15.0</v>
      </c>
      <c r="AC341" s="28" t="s">
        <v>23</v>
      </c>
      <c r="AD341" s="28" t="s">
        <v>101</v>
      </c>
      <c r="AE341" s="28" t="s">
        <v>15</v>
      </c>
      <c r="AF341" s="23"/>
      <c r="AG341" s="23"/>
      <c r="AH341" s="23" t="str">
        <f>IFERROR(__xludf.DUMMYFUNCTION("IF(
ISNUMBER(MATCH(
C341,
IMPORTRANGE(""https://docs.google.com/spreadsheets/d/1yTh1ELC33JHYOeEdgIiEclxPRyh0zOKtlawDltfUay8"",""'Interns'!A:A""),
0
)),
""Outreach Conducted"",
"""")"),"")</f>
        <v/>
      </c>
      <c r="AI341" s="23"/>
      <c r="AJ341" s="23"/>
      <c r="AK341" s="23" t="str">
        <f>IFERROR(__xludf.DUMMYFUNCTION("XLOOKUP(C341, 
   IMPORTRANGE(""1RdEdgHYrZ33LJ7RUHj_h-qkAFL92bcVjtIdVa-UlsCw"", ""Interns!D:D""), 
   IMPORTRANGE(""1RdEdgHYrZ33LJ7RUHj_h-qkAFL92bcVjtIdVa-UlsCw"", ""Interns!M:M""), 
   ""Not Found"")"),"")</f>
        <v/>
      </c>
      <c r="AL341" s="23" t="str">
        <f>IFERROR(__xludf.DUMMYFUNCTION("XLOOKUP(C341, 
   IMPORTRANGE(""1RdEdgHYrZ33LJ7RUHj_h-qkAFL92bcVjtIdVa-UlsCw"", ""Interns!D:D""), 
   IMPORTRANGE(""1RdEdgHYrZ33LJ7RUHj_h-qkAFL92bcVjtIdVa-UlsCw"", ""Interns!N:N""), 
   ""Not Found"")"),"")</f>
        <v/>
      </c>
      <c r="AM341" s="23" t="str">
        <f>IFERROR(__xludf.DUMMYFUNCTION("XLOOKUP(C341, 
   IMPORTRANGE(""1RdEdgHYrZ33LJ7RUHj_h-qkAFL92bcVjtIdVa-UlsCw"", ""Interns!D:D""), 
   IMPORTRANGE(""1RdEdgHYrZ33LJ7RUHj_h-qkAFL92bcVjtIdVa-UlsCw"", ""Interns!O:O""), 
   ""Not Found"")"),"")</f>
        <v/>
      </c>
      <c r="AN341" s="23"/>
      <c r="AO341" s="23" t="s">
        <v>7594</v>
      </c>
      <c r="AP341" s="28" t="s">
        <v>5191</v>
      </c>
      <c r="AQ341" s="28"/>
      <c r="AR341" s="23"/>
      <c r="AS341" s="23"/>
      <c r="AT341" s="23"/>
      <c r="AU341" s="23"/>
      <c r="AV341" s="23"/>
    </row>
    <row r="342">
      <c r="A342" s="28" t="s">
        <v>5161</v>
      </c>
      <c r="B342" s="28" t="s">
        <v>5162</v>
      </c>
      <c r="C342" s="23" t="str">
        <f t="shared" si="1"/>
        <v>Slinne Cruz</v>
      </c>
      <c r="D342" s="28" t="s">
        <v>7595</v>
      </c>
      <c r="E342" s="28" t="s">
        <v>4683</v>
      </c>
      <c r="F342" s="23">
        <f t="array" ref="F342">IFERROR(
    INDEX('Hub Interns 226'!A:A, MATCH(C342, 'Hub Interns 226'!B:B, 0)),"")</f>
        <v>1082</v>
      </c>
      <c r="G342" s="23">
        <f t="array" ref="G342">IFERROR(
    INDEX('Hub Users 226'!A:A, MATCH(C342, 'Hub Users 226'!B:B, 0)),"")</f>
        <v>1515</v>
      </c>
      <c r="H342" s="28">
        <v>500.0</v>
      </c>
      <c r="I342" s="28" t="s">
        <v>407</v>
      </c>
      <c r="J342" s="28" t="s">
        <v>5336</v>
      </c>
      <c r="K342" s="28" t="s">
        <v>5177</v>
      </c>
      <c r="L342" s="28" t="s">
        <v>5196</v>
      </c>
      <c r="M342" s="56" t="s">
        <v>7596</v>
      </c>
      <c r="N342" s="57">
        <v>44475.660416666666</v>
      </c>
      <c r="O342" s="58">
        <v>38203.0</v>
      </c>
      <c r="P342" s="28">
        <f t="shared" si="12"/>
        <v>21</v>
      </c>
      <c r="Q342" s="28" t="s">
        <v>7597</v>
      </c>
      <c r="R342" s="28" t="s">
        <v>7598</v>
      </c>
      <c r="S342" s="28">
        <v>15.0</v>
      </c>
      <c r="T342" s="28">
        <v>33.0</v>
      </c>
      <c r="U342" s="28">
        <v>80.0</v>
      </c>
      <c r="V342" s="28">
        <v>13.0</v>
      </c>
      <c r="W342" s="28" t="s">
        <v>859</v>
      </c>
      <c r="X342" s="28" t="s">
        <v>272</v>
      </c>
      <c r="Y342" s="28" t="s">
        <v>7599</v>
      </c>
      <c r="Z342" s="28" t="s">
        <v>5918</v>
      </c>
      <c r="AA342" s="28" t="s">
        <v>477</v>
      </c>
      <c r="AB342" s="28">
        <v>15.0</v>
      </c>
      <c r="AC342" s="28" t="s">
        <v>25</v>
      </c>
      <c r="AD342" s="23"/>
      <c r="AE342" s="28" t="s">
        <v>10</v>
      </c>
      <c r="AF342" s="23" t="str">
        <f>IFERROR(__xludf.DUMMYFUNCTION("TEXTJOIN("", "", TRUE,
  FILTER(Champions!C:C,
    ISNUMBER(SEARCH(C342, Champions!W:W))
  )
)"),"AUGUSTO SALCEDO, Casey Burry, Daniela Alarcon")</f>
        <v>AUGUSTO SALCEDO, Casey Burry, Daniela Alarcon</v>
      </c>
      <c r="AG342" s="23"/>
      <c r="AH342" s="23" t="str">
        <f>IFERROR(__xludf.DUMMYFUNCTION("IF(
ISNUMBER(MATCH(
C342,
IMPORTRANGE(""https://docs.google.com/spreadsheets/d/1yTh1ELC33JHYOeEdgIiEclxPRyh0zOKtlawDltfUay8"",""'Interns'!A:A""),
0
)),
""Outreach Conducted"",
"""")"),"")</f>
        <v/>
      </c>
      <c r="AI342" s="23"/>
      <c r="AJ342" s="23"/>
      <c r="AK342" s="23" t="str">
        <f>IFERROR(__xludf.DUMMYFUNCTION("XLOOKUP(C342, 
   IMPORTRANGE(""1RdEdgHYrZ33LJ7RUHj_h-qkAFL92bcVjtIdVa-UlsCw"", ""Interns!D:D""), 
   IMPORTRANGE(""1RdEdgHYrZ33LJ7RUHj_h-qkAFL92bcVjtIdVa-UlsCw"", ""Interns!M:M""), 
   ""Not Found"")"),"")</f>
        <v/>
      </c>
      <c r="AL342" s="23" t="str">
        <f>IFERROR(__xludf.DUMMYFUNCTION("XLOOKUP(C342, 
   IMPORTRANGE(""1RdEdgHYrZ33LJ7RUHj_h-qkAFL92bcVjtIdVa-UlsCw"", ""Interns!D:D""), 
   IMPORTRANGE(""1RdEdgHYrZ33LJ7RUHj_h-qkAFL92bcVjtIdVa-UlsCw"", ""Interns!N:N""), 
   ""Not Found"")"),"")</f>
        <v/>
      </c>
      <c r="AM342" s="23" t="str">
        <f>IFERROR(__xludf.DUMMYFUNCTION("XLOOKUP(C342, 
   IMPORTRANGE(""1RdEdgHYrZ33LJ7RUHj_h-qkAFL92bcVjtIdVa-UlsCw"", ""Interns!D:D""), 
   IMPORTRANGE(""1RdEdgHYrZ33LJ7RUHj_h-qkAFL92bcVjtIdVa-UlsCw"", ""Interns!O:O""), 
   ""Not Found"")"),"")</f>
        <v/>
      </c>
      <c r="AN342" s="23"/>
      <c r="AO342" s="23" t="s">
        <v>7600</v>
      </c>
      <c r="AP342" s="28" t="s">
        <v>5191</v>
      </c>
      <c r="AQ342" s="28" t="s">
        <v>7601</v>
      </c>
      <c r="AR342" s="23" t="s">
        <v>7602</v>
      </c>
      <c r="AS342" s="23"/>
      <c r="AT342" s="23"/>
      <c r="AU342" s="23"/>
      <c r="AV342" s="23"/>
    </row>
    <row r="343">
      <c r="A343" s="28" t="s">
        <v>5161</v>
      </c>
      <c r="B343" s="28" t="s">
        <v>5162</v>
      </c>
      <c r="C343" s="23" t="str">
        <f t="shared" si="1"/>
        <v>Genesis Lochart</v>
      </c>
      <c r="D343" s="28" t="s">
        <v>6519</v>
      </c>
      <c r="E343" s="28" t="s">
        <v>7603</v>
      </c>
      <c r="F343" s="23">
        <f t="array" ref="F343">IFERROR(
    INDEX('Hub Interns 226'!A:A, MATCH(C343, 'Hub Interns 226'!B:B, 0)),"")</f>
        <v>43</v>
      </c>
      <c r="G343" s="23">
        <f t="array" ref="G343">IFERROR(
    INDEX('Hub Users 226'!A:A, MATCH(C343, 'Hub Users 226'!B:B, 0)),"")</f>
        <v>476</v>
      </c>
      <c r="H343" s="28">
        <v>713.0</v>
      </c>
      <c r="I343" s="28" t="s">
        <v>425</v>
      </c>
      <c r="J343" s="28" t="s">
        <v>5336</v>
      </c>
      <c r="K343" s="28" t="s">
        <v>5177</v>
      </c>
      <c r="L343" s="28" t="s">
        <v>5196</v>
      </c>
      <c r="M343" s="56" t="s">
        <v>7604</v>
      </c>
      <c r="N343" s="59">
        <v>44547.61736111111</v>
      </c>
      <c r="O343" s="58">
        <v>38817.0</v>
      </c>
      <c r="P343" s="28">
        <f t="shared" si="12"/>
        <v>20</v>
      </c>
      <c r="Q343" s="28" t="s">
        <v>240</v>
      </c>
      <c r="R343" s="28" t="s">
        <v>7605</v>
      </c>
      <c r="S343" s="28">
        <v>7.0</v>
      </c>
      <c r="T343" s="28">
        <v>18.0</v>
      </c>
      <c r="U343" s="28">
        <v>54.0</v>
      </c>
      <c r="V343" s="28">
        <v>37.0</v>
      </c>
      <c r="W343" s="28" t="s">
        <v>294</v>
      </c>
      <c r="X343" s="28" t="s">
        <v>272</v>
      </c>
      <c r="Y343" s="28" t="s">
        <v>7606</v>
      </c>
      <c r="Z343" s="28" t="s">
        <v>5259</v>
      </c>
      <c r="AA343" s="28" t="s">
        <v>704</v>
      </c>
      <c r="AB343" s="28">
        <v>2.0</v>
      </c>
      <c r="AC343" s="28" t="s">
        <v>25</v>
      </c>
      <c r="AD343" s="28" t="s">
        <v>101</v>
      </c>
      <c r="AE343" s="28" t="s">
        <v>10</v>
      </c>
      <c r="AF343" s="23" t="str">
        <f>IFERROR(__xludf.DUMMYFUNCTION("TEXTJOIN("", "", TRUE,
  FILTER(Champions!C:C,
    ISNUMBER(SEARCH(C343, Champions!W:W))
  )
)"),"Amelia Geary, Anna Butuzova")</f>
        <v>Amelia Geary, Anna Butuzova</v>
      </c>
      <c r="AG343" s="23"/>
      <c r="AH343" s="23" t="str">
        <f>IFERROR(__xludf.DUMMYFUNCTION("IF(
ISNUMBER(MATCH(
C343,
IMPORTRANGE(""https://docs.google.com/spreadsheets/d/1yTh1ELC33JHYOeEdgIiEclxPRyh0zOKtlawDltfUay8"",""'Interns'!A:A""),
0
)),
""Outreach Conducted"",
"""")"),"")</f>
        <v/>
      </c>
      <c r="AI343" s="23"/>
      <c r="AJ343" s="23"/>
      <c r="AK343" s="23" t="str">
        <f>IFERROR(__xludf.DUMMYFUNCTION("XLOOKUP(C343, 
   IMPORTRANGE(""1RdEdgHYrZ33LJ7RUHj_h-qkAFL92bcVjtIdVa-UlsCw"", ""Interns!D:D""), 
   IMPORTRANGE(""1RdEdgHYrZ33LJ7RUHj_h-qkAFL92bcVjtIdVa-UlsCw"", ""Interns!M:M""), 
   ""Not Found"")"),"")</f>
        <v/>
      </c>
      <c r="AL343" s="23" t="str">
        <f>IFERROR(__xludf.DUMMYFUNCTION("XLOOKUP(C343, 
   IMPORTRANGE(""1RdEdgHYrZ33LJ7RUHj_h-qkAFL92bcVjtIdVa-UlsCw"", ""Interns!D:D""), 
   IMPORTRANGE(""1RdEdgHYrZ33LJ7RUHj_h-qkAFL92bcVjtIdVa-UlsCw"", ""Interns!N:N""), 
   ""Not Found"")"),"")</f>
        <v/>
      </c>
      <c r="AM343" s="23" t="str">
        <f>IFERROR(__xludf.DUMMYFUNCTION("XLOOKUP(C343, 
   IMPORTRANGE(""1RdEdgHYrZ33LJ7RUHj_h-qkAFL92bcVjtIdVa-UlsCw"", ""Interns!D:D""), 
   IMPORTRANGE(""1RdEdgHYrZ33LJ7RUHj_h-qkAFL92bcVjtIdVa-UlsCw"", ""Interns!O:O""), 
   ""Not Found"")"),"")</f>
        <v/>
      </c>
      <c r="AN343" s="23"/>
      <c r="AO343" s="23" t="s">
        <v>7607</v>
      </c>
      <c r="AP343" s="28" t="s">
        <v>5182</v>
      </c>
      <c r="AQ343" s="28" t="s">
        <v>7604</v>
      </c>
      <c r="AR343" s="23" t="s">
        <v>7608</v>
      </c>
      <c r="AS343" s="23"/>
      <c r="AT343" s="23"/>
      <c r="AU343" s="23"/>
      <c r="AV343" s="23"/>
    </row>
    <row r="344">
      <c r="A344" s="28" t="s">
        <v>5161</v>
      </c>
      <c r="B344" s="28" t="s">
        <v>5162</v>
      </c>
      <c r="C344" s="23" t="str">
        <f t="shared" si="1"/>
        <v>Carlos Disla</v>
      </c>
      <c r="D344" s="28" t="s">
        <v>846</v>
      </c>
      <c r="E344" s="28" t="s">
        <v>7609</v>
      </c>
      <c r="F344" s="23">
        <f t="array" ref="F344">IFERROR(
    INDEX('Hub Interns 226'!A:A, MATCH(C344, 'Hub Interns 226'!B:B, 0)),"")</f>
        <v>345</v>
      </c>
      <c r="G344" s="23">
        <f t="array" ref="G344">IFERROR(
    INDEX('Hub Users 226'!A:A, MATCH(C344, 'Hub Users 226'!B:B, 0)),"")</f>
        <v>778</v>
      </c>
      <c r="H344" s="28">
        <v>1252.0</v>
      </c>
      <c r="I344" s="28" t="s">
        <v>239</v>
      </c>
      <c r="J344" s="28" t="s">
        <v>5336</v>
      </c>
      <c r="K344" s="28" t="s">
        <v>5177</v>
      </c>
      <c r="L344" s="28" t="s">
        <v>5165</v>
      </c>
      <c r="M344" s="56" t="s">
        <v>7610</v>
      </c>
      <c r="N344" s="57">
        <v>44841.43472222222</v>
      </c>
      <c r="O344" s="58">
        <v>39465.0</v>
      </c>
      <c r="P344" s="28">
        <f t="shared" si="12"/>
        <v>18</v>
      </c>
      <c r="Q344" s="28" t="s">
        <v>7611</v>
      </c>
      <c r="R344" s="28" t="s">
        <v>7612</v>
      </c>
      <c r="S344" s="28">
        <v>13.0</v>
      </c>
      <c r="T344" s="28">
        <v>33.0</v>
      </c>
      <c r="U344" s="28">
        <v>86.0</v>
      </c>
      <c r="V344" s="28">
        <v>14.0</v>
      </c>
      <c r="W344" s="28" t="s">
        <v>859</v>
      </c>
      <c r="X344" s="28" t="s">
        <v>272</v>
      </c>
      <c r="Y344" s="28" t="s">
        <v>7613</v>
      </c>
      <c r="Z344" s="28" t="s">
        <v>5918</v>
      </c>
      <c r="AA344" s="28" t="s">
        <v>477</v>
      </c>
      <c r="AB344" s="28">
        <v>15.0</v>
      </c>
      <c r="AC344" s="28" t="s">
        <v>23</v>
      </c>
      <c r="AD344" s="28" t="s">
        <v>101</v>
      </c>
      <c r="AE344" s="28" t="s">
        <v>15</v>
      </c>
      <c r="AF344" s="23"/>
      <c r="AG344" s="23"/>
      <c r="AH344" s="23" t="str">
        <f>IFERROR(__xludf.DUMMYFUNCTION("IF(
ISNUMBER(MATCH(
C344,
IMPORTRANGE(""https://docs.google.com/spreadsheets/d/1yTh1ELC33JHYOeEdgIiEclxPRyh0zOKtlawDltfUay8"",""'Interns'!A:A""),
0
)),
""Outreach Conducted"",
"""")"),"")</f>
        <v/>
      </c>
      <c r="AI344" s="23"/>
      <c r="AJ344" s="23"/>
      <c r="AK344" s="23" t="str">
        <f>IFERROR(__xludf.DUMMYFUNCTION("XLOOKUP(C344, 
   IMPORTRANGE(""1RdEdgHYrZ33LJ7RUHj_h-qkAFL92bcVjtIdVa-UlsCw"", ""Interns!D:D""), 
   IMPORTRANGE(""1RdEdgHYrZ33LJ7RUHj_h-qkAFL92bcVjtIdVa-UlsCw"", ""Interns!M:M""), 
   ""Not Found"")"),"")</f>
        <v/>
      </c>
      <c r="AL344" s="23" t="str">
        <f>IFERROR(__xludf.DUMMYFUNCTION("XLOOKUP(C344, 
   IMPORTRANGE(""1RdEdgHYrZ33LJ7RUHj_h-qkAFL92bcVjtIdVa-UlsCw"", ""Interns!D:D""), 
   IMPORTRANGE(""1RdEdgHYrZ33LJ7RUHj_h-qkAFL92bcVjtIdVa-UlsCw"", ""Interns!N:N""), 
   ""Not Found"")"),"")</f>
        <v/>
      </c>
      <c r="AM344" s="23" t="str">
        <f>IFERROR(__xludf.DUMMYFUNCTION("XLOOKUP(C344, 
   IMPORTRANGE(""1RdEdgHYrZ33LJ7RUHj_h-qkAFL92bcVjtIdVa-UlsCw"", ""Interns!D:D""), 
   IMPORTRANGE(""1RdEdgHYrZ33LJ7RUHj_h-qkAFL92bcVjtIdVa-UlsCw"", ""Interns!O:O""), 
   ""Not Found"")"),"")</f>
        <v/>
      </c>
      <c r="AN344" s="23"/>
      <c r="AO344" s="23" t="s">
        <v>7614</v>
      </c>
      <c r="AP344" s="28" t="s">
        <v>5191</v>
      </c>
      <c r="AQ344" s="28"/>
      <c r="AR344" s="23"/>
      <c r="AS344" s="23"/>
      <c r="AT344" s="23"/>
      <c r="AU344" s="23"/>
      <c r="AV344" s="23"/>
    </row>
    <row r="345">
      <c r="A345" s="28" t="s">
        <v>5202</v>
      </c>
      <c r="B345" s="28" t="s">
        <v>5162</v>
      </c>
      <c r="C345" s="23" t="str">
        <f t="shared" si="1"/>
        <v>Shanick De Leon</v>
      </c>
      <c r="D345" s="28" t="s">
        <v>7615</v>
      </c>
      <c r="E345" s="28" t="s">
        <v>7616</v>
      </c>
      <c r="F345" s="23">
        <f t="array" ref="F345">IFERROR(
    INDEX('Hub Interns 226'!A:A, MATCH(C345, 'Hub Interns 226'!B:B, 0)),"")</f>
        <v>1094</v>
      </c>
      <c r="G345" s="23">
        <f t="array" ref="G345">IFERROR(
    INDEX('Hub Users 226'!A:A, MATCH(C345, 'Hub Users 226'!B:B, 0)),"")</f>
        <v>1527</v>
      </c>
      <c r="H345" s="28">
        <v>1238.0</v>
      </c>
      <c r="I345" s="28" t="s">
        <v>107</v>
      </c>
      <c r="J345" s="28" t="s">
        <v>5336</v>
      </c>
      <c r="K345" s="28" t="s">
        <v>5177</v>
      </c>
      <c r="L345" s="28" t="s">
        <v>5196</v>
      </c>
      <c r="M345" s="56" t="s">
        <v>7617</v>
      </c>
      <c r="N345" s="57">
        <v>44838.461805555555</v>
      </c>
      <c r="O345" s="58">
        <v>38637.0</v>
      </c>
      <c r="P345" s="28">
        <f t="shared" si="12"/>
        <v>20</v>
      </c>
      <c r="Q345" s="28" t="s">
        <v>7618</v>
      </c>
      <c r="R345" s="28" t="s">
        <v>7619</v>
      </c>
      <c r="S345" s="28">
        <v>13.0</v>
      </c>
      <c r="T345" s="28">
        <v>31.0</v>
      </c>
      <c r="U345" s="28">
        <v>72.0</v>
      </c>
      <c r="V345" s="28">
        <v>10.0</v>
      </c>
      <c r="W345" s="28" t="s">
        <v>271</v>
      </c>
      <c r="X345" s="28" t="s">
        <v>272</v>
      </c>
      <c r="Y345" s="28" t="s">
        <v>7620</v>
      </c>
      <c r="Z345" s="28" t="s">
        <v>5341</v>
      </c>
      <c r="AA345" s="28" t="s">
        <v>1085</v>
      </c>
      <c r="AB345" s="28">
        <v>10.0</v>
      </c>
      <c r="AC345" s="28" t="s">
        <v>25</v>
      </c>
      <c r="AD345" s="23"/>
      <c r="AE345" s="28" t="s">
        <v>15</v>
      </c>
      <c r="AF345" s="23" t="str">
        <f>IFERROR(__xludf.DUMMYFUNCTION("TEXTJOIN("", "", TRUE,
  FILTER(Champions!C:C,
    ISNUMBER(SEARCH(C345, Champions!W:W))
  )
)"),"Bindu Krishna, Bindu Krishna (D)")</f>
        <v>Bindu Krishna, Bindu Krishna (D)</v>
      </c>
      <c r="AG345" s="23"/>
      <c r="AH345" s="23" t="str">
        <f>IFERROR(__xludf.DUMMYFUNCTION("IF(
ISNUMBER(MATCH(
C345,
IMPORTRANGE(""https://docs.google.com/spreadsheets/d/1yTh1ELC33JHYOeEdgIiEclxPRyh0zOKtlawDltfUay8"",""'Interns'!A:A""),
0
)),
""Outreach Conducted"",
"""")"),"")</f>
        <v/>
      </c>
      <c r="AI345" s="23"/>
      <c r="AJ345" s="23"/>
      <c r="AK345" s="23" t="str">
        <f>IFERROR(__xludf.DUMMYFUNCTION("XLOOKUP(C345, 
   IMPORTRANGE(""1RdEdgHYrZ33LJ7RUHj_h-qkAFL92bcVjtIdVa-UlsCw"", ""Interns!D:D""), 
   IMPORTRANGE(""1RdEdgHYrZ33LJ7RUHj_h-qkAFL92bcVjtIdVa-UlsCw"", ""Interns!M:M""), 
   ""Not Found"")"),"")</f>
        <v/>
      </c>
      <c r="AL345" s="23" t="str">
        <f>IFERROR(__xludf.DUMMYFUNCTION("XLOOKUP(C345, 
   IMPORTRANGE(""1RdEdgHYrZ33LJ7RUHj_h-qkAFL92bcVjtIdVa-UlsCw"", ""Interns!D:D""), 
   IMPORTRANGE(""1RdEdgHYrZ33LJ7RUHj_h-qkAFL92bcVjtIdVa-UlsCw"", ""Interns!N:N""), 
   ""Not Found"")"),"")</f>
        <v/>
      </c>
      <c r="AM345" s="23" t="str">
        <f>IFERROR(__xludf.DUMMYFUNCTION("XLOOKUP(C345, 
   IMPORTRANGE(""1RdEdgHYrZ33LJ7RUHj_h-qkAFL92bcVjtIdVa-UlsCw"", ""Interns!D:D""), 
   IMPORTRANGE(""1RdEdgHYrZ33LJ7RUHj_h-qkAFL92bcVjtIdVa-UlsCw"", ""Interns!O:O""), 
   ""Not Found"")"),"")</f>
        <v/>
      </c>
      <c r="AN345" s="23"/>
      <c r="AO345" s="23" t="s">
        <v>7621</v>
      </c>
      <c r="AP345" s="28" t="s">
        <v>5182</v>
      </c>
      <c r="AQ345" s="28" t="s">
        <v>7622</v>
      </c>
      <c r="AR345" s="23" t="s">
        <v>7623</v>
      </c>
      <c r="AS345" s="23"/>
      <c r="AT345" s="23"/>
      <c r="AU345" s="23"/>
      <c r="AV345" s="23"/>
    </row>
    <row r="346">
      <c r="A346" s="28" t="s">
        <v>5202</v>
      </c>
      <c r="B346" s="28" t="s">
        <v>5162</v>
      </c>
      <c r="C346" s="23" t="str">
        <f t="shared" si="1"/>
        <v>Frailyn Cruz</v>
      </c>
      <c r="D346" s="28" t="s">
        <v>7624</v>
      </c>
      <c r="E346" s="28" t="s">
        <v>4683</v>
      </c>
      <c r="F346" s="23">
        <f t="array" ref="F346">IFERROR(
    INDEX('Hub Interns 226'!A:A, MATCH(C346, 'Hub Interns 226'!B:B, 0)),"")</f>
        <v>526</v>
      </c>
      <c r="G346" s="23">
        <f t="array" ref="G346">IFERROR(
    INDEX('Hub Users 226'!A:A, MATCH(C346, 'Hub Users 226'!B:B, 0)),"")</f>
        <v>959</v>
      </c>
      <c r="H346" s="28">
        <v>726.0</v>
      </c>
      <c r="I346" s="28" t="s">
        <v>290</v>
      </c>
      <c r="J346" s="28" t="s">
        <v>5336</v>
      </c>
      <c r="K346" s="28" t="s">
        <v>5177</v>
      </c>
      <c r="L346" s="28" t="s">
        <v>5165</v>
      </c>
      <c r="M346" s="56" t="s">
        <v>7625</v>
      </c>
      <c r="N346" s="59">
        <v>44550.498611111114</v>
      </c>
      <c r="O346" s="58">
        <v>38595.0</v>
      </c>
      <c r="P346" s="28">
        <f t="shared" si="12"/>
        <v>20</v>
      </c>
      <c r="Q346" s="28" t="s">
        <v>6522</v>
      </c>
      <c r="R346" s="28" t="s">
        <v>7626</v>
      </c>
      <c r="S346" s="28">
        <v>7.0</v>
      </c>
      <c r="T346" s="28">
        <v>12.0</v>
      </c>
      <c r="U346" s="28">
        <v>38.0</v>
      </c>
      <c r="V346" s="28">
        <v>30.0</v>
      </c>
      <c r="W346" s="28" t="s">
        <v>271</v>
      </c>
      <c r="X346" s="28" t="s">
        <v>272</v>
      </c>
      <c r="Y346" s="28" t="s">
        <v>7627</v>
      </c>
      <c r="Z346" s="28" t="s">
        <v>5483</v>
      </c>
      <c r="AA346" s="28" t="s">
        <v>457</v>
      </c>
      <c r="AB346" s="28">
        <v>25.0</v>
      </c>
      <c r="AC346" s="28" t="s">
        <v>25</v>
      </c>
      <c r="AD346" s="23"/>
      <c r="AE346" s="28" t="s">
        <v>10</v>
      </c>
      <c r="AF346" s="23" t="str">
        <f>IFERROR(__xludf.DUMMYFUNCTION("TEXTJOIN("", "", TRUE,
  FILTER(Champions!C:C,
    ISNUMBER(SEARCH(C346, Champions!W:W))
  )
)"),"Marissa Arciola")</f>
        <v>Marissa Arciola</v>
      </c>
      <c r="AG346" s="23"/>
      <c r="AH346" s="23" t="str">
        <f>IFERROR(__xludf.DUMMYFUNCTION("IF(
ISNUMBER(MATCH(
C346,
IMPORTRANGE(""https://docs.google.com/spreadsheets/d/1yTh1ELC33JHYOeEdgIiEclxPRyh0zOKtlawDltfUay8"",""'Interns'!A:A""),
0
)),
""Outreach Conducted"",
"""")"),"")</f>
        <v/>
      </c>
      <c r="AI346" s="23"/>
      <c r="AJ346" s="23"/>
      <c r="AK346" s="23" t="str">
        <f>IFERROR(__xludf.DUMMYFUNCTION("XLOOKUP(C346, 
   IMPORTRANGE(""1RdEdgHYrZ33LJ7RUHj_h-qkAFL92bcVjtIdVa-UlsCw"", ""Interns!D:D""), 
   IMPORTRANGE(""1RdEdgHYrZ33LJ7RUHj_h-qkAFL92bcVjtIdVa-UlsCw"", ""Interns!M:M""), 
   ""Not Found"")"),"")</f>
        <v/>
      </c>
      <c r="AL346" s="23" t="str">
        <f>IFERROR(__xludf.DUMMYFUNCTION("XLOOKUP(C346, 
   IMPORTRANGE(""1RdEdgHYrZ33LJ7RUHj_h-qkAFL92bcVjtIdVa-UlsCw"", ""Interns!D:D""), 
   IMPORTRANGE(""1RdEdgHYrZ33LJ7RUHj_h-qkAFL92bcVjtIdVa-UlsCw"", ""Interns!N:N""), 
   ""Not Found"")"),"")</f>
        <v/>
      </c>
      <c r="AM346" s="23" t="str">
        <f>IFERROR(__xludf.DUMMYFUNCTION("XLOOKUP(C346, 
   IMPORTRANGE(""1RdEdgHYrZ33LJ7RUHj_h-qkAFL92bcVjtIdVa-UlsCw"", ""Interns!D:D""), 
   IMPORTRANGE(""1RdEdgHYrZ33LJ7RUHj_h-qkAFL92bcVjtIdVa-UlsCw"", ""Interns!O:O""), 
   ""Not Found"")"),"")</f>
        <v/>
      </c>
      <c r="AN346" s="23"/>
      <c r="AO346" s="23" t="s">
        <v>7628</v>
      </c>
      <c r="AP346" s="28" t="s">
        <v>5182</v>
      </c>
      <c r="AQ346" s="28" t="s">
        <v>7625</v>
      </c>
      <c r="AR346" s="23" t="s">
        <v>7627</v>
      </c>
      <c r="AS346" s="23"/>
      <c r="AT346" s="23"/>
      <c r="AU346" s="23"/>
      <c r="AV346" s="23"/>
    </row>
    <row r="347">
      <c r="A347" s="28" t="s">
        <v>5202</v>
      </c>
      <c r="B347" s="28" t="s">
        <v>5162</v>
      </c>
      <c r="C347" s="23" t="str">
        <f t="shared" si="1"/>
        <v>Michael Suarez Suarez</v>
      </c>
      <c r="D347" s="28" t="s">
        <v>7629</v>
      </c>
      <c r="E347" s="28" t="s">
        <v>3395</v>
      </c>
      <c r="F347" s="23">
        <f t="array" ref="F347">IFERROR(
    INDEX('Hub Interns 226'!A:A, MATCH(C347, 'Hub Interns 226'!B:B, 0)),"")</f>
        <v>884</v>
      </c>
      <c r="G347" s="23">
        <f t="array" ref="G347">IFERROR(
    INDEX('Hub Users 226'!A:A, MATCH(C347, 'Hub Users 226'!B:B, 0)),"")</f>
        <v>1317</v>
      </c>
      <c r="H347" s="28">
        <v>697.0</v>
      </c>
      <c r="I347" s="28" t="s">
        <v>302</v>
      </c>
      <c r="J347" s="28" t="s">
        <v>5336</v>
      </c>
      <c r="K347" s="28" t="s">
        <v>5177</v>
      </c>
      <c r="L347" s="28" t="s">
        <v>5165</v>
      </c>
      <c r="M347" s="56" t="s">
        <v>7630</v>
      </c>
      <c r="N347" s="59">
        <v>44546.56041666667</v>
      </c>
      <c r="O347" s="58">
        <v>38167.0</v>
      </c>
      <c r="P347" s="28">
        <f t="shared" si="12"/>
        <v>21</v>
      </c>
      <c r="Q347" s="28" t="s">
        <v>6787</v>
      </c>
      <c r="R347" s="28" t="s">
        <v>7631</v>
      </c>
      <c r="S347" s="28">
        <v>13.0</v>
      </c>
      <c r="T347" s="28">
        <v>31.0</v>
      </c>
      <c r="U347" s="28">
        <v>72.0</v>
      </c>
      <c r="V347" s="28">
        <v>10.0</v>
      </c>
      <c r="W347" s="28" t="s">
        <v>271</v>
      </c>
      <c r="X347" s="28" t="s">
        <v>272</v>
      </c>
      <c r="Y347" s="28" t="s">
        <v>7632</v>
      </c>
      <c r="Z347" s="28" t="s">
        <v>5558</v>
      </c>
      <c r="AA347" s="28" t="s">
        <v>5559</v>
      </c>
      <c r="AB347" s="28">
        <v>10.0</v>
      </c>
      <c r="AC347" s="28" t="s">
        <v>25</v>
      </c>
      <c r="AD347" s="23"/>
      <c r="AE347" s="28" t="s">
        <v>10</v>
      </c>
      <c r="AF347" s="23" t="str">
        <f>IFERROR(__xludf.DUMMYFUNCTION("TEXTJOIN("", "", TRUE,
  FILTER(Champions!C:C,
    ISNUMBER(SEARCH(C347, Champions!W:W))
  )
)"),"John ?Nico? Johnson")</f>
        <v>John ?Nico? Johnson</v>
      </c>
      <c r="AG347" s="23"/>
      <c r="AH347" s="23" t="str">
        <f>IFERROR(__xludf.DUMMYFUNCTION("IF(
ISNUMBER(MATCH(
C347,
IMPORTRANGE(""https://docs.google.com/spreadsheets/d/1yTh1ELC33JHYOeEdgIiEclxPRyh0zOKtlawDltfUay8"",""'Interns'!A:A""),
0
)),
""Outreach Conducted"",
"""")"),"")</f>
        <v/>
      </c>
      <c r="AI347" s="23"/>
      <c r="AJ347" s="23"/>
      <c r="AK347" s="23" t="str">
        <f>IFERROR(__xludf.DUMMYFUNCTION("XLOOKUP(C347, 
   IMPORTRANGE(""1RdEdgHYrZ33LJ7RUHj_h-qkAFL92bcVjtIdVa-UlsCw"", ""Interns!D:D""), 
   IMPORTRANGE(""1RdEdgHYrZ33LJ7RUHj_h-qkAFL92bcVjtIdVa-UlsCw"", ""Interns!M:M""), 
   ""Not Found"")"),"")</f>
        <v/>
      </c>
      <c r="AL347" s="23" t="str">
        <f>IFERROR(__xludf.DUMMYFUNCTION("XLOOKUP(C347, 
   IMPORTRANGE(""1RdEdgHYrZ33LJ7RUHj_h-qkAFL92bcVjtIdVa-UlsCw"", ""Interns!D:D""), 
   IMPORTRANGE(""1RdEdgHYrZ33LJ7RUHj_h-qkAFL92bcVjtIdVa-UlsCw"", ""Interns!N:N""), 
   ""Not Found"")"),"")</f>
        <v/>
      </c>
      <c r="AM347" s="23" t="str">
        <f>IFERROR(__xludf.DUMMYFUNCTION("XLOOKUP(C347, 
   IMPORTRANGE(""1RdEdgHYrZ33LJ7RUHj_h-qkAFL92bcVjtIdVa-UlsCw"", ""Interns!D:D""), 
   IMPORTRANGE(""1RdEdgHYrZ33LJ7RUHj_h-qkAFL92bcVjtIdVa-UlsCw"", ""Interns!O:O""), 
   ""Not Found"")"),"")</f>
        <v/>
      </c>
      <c r="AN347" s="23"/>
      <c r="AO347" s="23" t="s">
        <v>7633</v>
      </c>
      <c r="AP347" s="28" t="s">
        <v>5908</v>
      </c>
      <c r="AQ347" s="28" t="s">
        <v>7634</v>
      </c>
      <c r="AR347" s="23" t="s">
        <v>7632</v>
      </c>
      <c r="AS347" s="23"/>
      <c r="AT347" s="23"/>
      <c r="AU347" s="23"/>
      <c r="AV347" s="23"/>
    </row>
    <row r="348">
      <c r="A348" s="28" t="s">
        <v>5202</v>
      </c>
      <c r="B348" s="28" t="s">
        <v>31</v>
      </c>
      <c r="C348" s="23" t="str">
        <f t="shared" si="1"/>
        <v>Leslie D. Sanchez Olivo</v>
      </c>
      <c r="D348" s="28" t="s">
        <v>7635</v>
      </c>
      <c r="E348" s="28" t="s">
        <v>7636</v>
      </c>
      <c r="F348" s="23">
        <f t="array" ref="F348">IFERROR(
    INDEX('Hub Interns 226'!A:A, MATCH(C348, 'Hub Interns 226'!B:B, 0)),"")</f>
        <v>794</v>
      </c>
      <c r="G348" s="23">
        <f t="array" ref="G348">IFERROR(
    INDEX('Hub Users 226'!A:A, MATCH(C348, 'Hub Users 226'!B:B, 0)),"")</f>
        <v>1227</v>
      </c>
      <c r="H348" s="28">
        <v>504.0</v>
      </c>
      <c r="I348" s="28" t="s">
        <v>290</v>
      </c>
      <c r="J348" s="28"/>
      <c r="K348" s="28"/>
      <c r="L348" s="28" t="s">
        <v>5196</v>
      </c>
      <c r="M348" s="56" t="s">
        <v>7637</v>
      </c>
      <c r="N348" s="57">
        <v>44476.600694444445</v>
      </c>
      <c r="O348" s="58">
        <v>39048.0</v>
      </c>
      <c r="P348" s="28">
        <f t="shared" si="12"/>
        <v>19</v>
      </c>
      <c r="Q348" s="28" t="s">
        <v>7638</v>
      </c>
      <c r="R348" s="28" t="s">
        <v>7639</v>
      </c>
      <c r="S348" s="28"/>
      <c r="T348" s="28"/>
      <c r="U348" s="28"/>
      <c r="V348" s="28"/>
      <c r="W348" s="28" t="s">
        <v>859</v>
      </c>
      <c r="X348" s="28" t="s">
        <v>272</v>
      </c>
      <c r="Y348" s="28" t="s">
        <v>7640</v>
      </c>
      <c r="Z348" s="28" t="s">
        <v>5918</v>
      </c>
      <c r="AA348" s="28" t="s">
        <v>477</v>
      </c>
      <c r="AB348" s="28">
        <v>15.0</v>
      </c>
      <c r="AC348" s="28" t="s">
        <v>25</v>
      </c>
      <c r="AD348" s="23"/>
      <c r="AE348" s="28" t="s">
        <v>10</v>
      </c>
      <c r="AF348" s="23" t="str">
        <f>IFERROR(__xludf.DUMMYFUNCTION("TEXTJOIN("", "", TRUE,
  FILTER(Champions!C:C,
    ISNUMBER(SEARCH(C348, Champions!W:W))
  )
)"),"Jigar Patel")</f>
        <v>Jigar Patel</v>
      </c>
      <c r="AG348" s="23"/>
      <c r="AH348" s="23" t="str">
        <f>IFERROR(__xludf.DUMMYFUNCTION("IF(
ISNUMBER(MATCH(
C348,
IMPORTRANGE(""https://docs.google.com/spreadsheets/d/1yTh1ELC33JHYOeEdgIiEclxPRyh0zOKtlawDltfUay8"",""'Interns'!A:A""),
0
)),
""Outreach Conducted"",
"""")"),"")</f>
        <v/>
      </c>
      <c r="AI348" s="23"/>
      <c r="AJ348" s="23"/>
      <c r="AK348" s="23" t="str">
        <f>IFERROR(__xludf.DUMMYFUNCTION("XLOOKUP(C348, 
   IMPORTRANGE(""1RdEdgHYrZ33LJ7RUHj_h-qkAFL92bcVjtIdVa-UlsCw"", ""Interns!D:D""), 
   IMPORTRANGE(""1RdEdgHYrZ33LJ7RUHj_h-qkAFL92bcVjtIdVa-UlsCw"", ""Interns!M:M""), 
   ""Not Found"")"),"")</f>
        <v/>
      </c>
      <c r="AL348" s="23" t="str">
        <f>IFERROR(__xludf.DUMMYFUNCTION("XLOOKUP(C348, 
   IMPORTRANGE(""1RdEdgHYrZ33LJ7RUHj_h-qkAFL92bcVjtIdVa-UlsCw"", ""Interns!D:D""), 
   IMPORTRANGE(""1RdEdgHYrZ33LJ7RUHj_h-qkAFL92bcVjtIdVa-UlsCw"", ""Interns!N:N""), 
   ""Not Found"")"),"")</f>
        <v/>
      </c>
      <c r="AM348" s="23" t="str">
        <f>IFERROR(__xludf.DUMMYFUNCTION("XLOOKUP(C348, 
   IMPORTRANGE(""1RdEdgHYrZ33LJ7RUHj_h-qkAFL92bcVjtIdVa-UlsCw"", ""Interns!D:D""), 
   IMPORTRANGE(""1RdEdgHYrZ33LJ7RUHj_h-qkAFL92bcVjtIdVa-UlsCw"", ""Interns!O:O""), 
   ""Not Found"")"),"")</f>
        <v/>
      </c>
      <c r="AN348" s="23"/>
      <c r="AO348" s="23" t="s">
        <v>7641</v>
      </c>
      <c r="AP348" s="28" t="s">
        <v>5182</v>
      </c>
      <c r="AQ348" s="28" t="s">
        <v>7642</v>
      </c>
      <c r="AR348" s="23" t="s">
        <v>7643</v>
      </c>
      <c r="AS348" s="23"/>
      <c r="AT348" s="23"/>
      <c r="AU348" s="23"/>
      <c r="AV348" s="23"/>
    </row>
    <row r="349">
      <c r="A349" s="28" t="s">
        <v>5161</v>
      </c>
      <c r="B349" s="28" t="s">
        <v>5162</v>
      </c>
      <c r="C349" s="23" t="str">
        <f t="shared" si="1"/>
        <v>Awilca Laurencio</v>
      </c>
      <c r="D349" s="28" t="s">
        <v>7644</v>
      </c>
      <c r="E349" s="28" t="s">
        <v>7645</v>
      </c>
      <c r="F349" s="23">
        <f t="array" ref="F349">IFERROR(
    INDEX('Hub Interns 226'!A:A, MATCH(C349, 'Hub Interns 226'!B:B, 0)),"")</f>
        <v>171</v>
      </c>
      <c r="G349" s="23">
        <f t="array" ref="G349">IFERROR(
    INDEX('Hub Users 226'!A:A, MATCH(C349, 'Hub Users 226'!B:B, 0)),"")</f>
        <v>604</v>
      </c>
      <c r="H349" s="28">
        <v>1251.0</v>
      </c>
      <c r="I349" s="28" t="s">
        <v>107</v>
      </c>
      <c r="J349" s="28" t="s">
        <v>5336</v>
      </c>
      <c r="K349" s="28" t="s">
        <v>5177</v>
      </c>
      <c r="L349" s="28" t="s">
        <v>5196</v>
      </c>
      <c r="M349" s="56" t="s">
        <v>7646</v>
      </c>
      <c r="N349" s="57">
        <v>44841.41388888889</v>
      </c>
      <c r="O349" s="58">
        <v>39240.0</v>
      </c>
      <c r="P349" s="28">
        <f t="shared" si="12"/>
        <v>18</v>
      </c>
      <c r="Q349" s="28" t="s">
        <v>240</v>
      </c>
      <c r="R349" s="28" t="s">
        <v>7647</v>
      </c>
      <c r="S349" s="28">
        <v>15.0</v>
      </c>
      <c r="T349" s="28">
        <v>33.0</v>
      </c>
      <c r="U349" s="28">
        <v>86.0</v>
      </c>
      <c r="V349" s="28">
        <v>14.0</v>
      </c>
      <c r="W349" s="28" t="s">
        <v>859</v>
      </c>
      <c r="X349" s="28" t="s">
        <v>272</v>
      </c>
      <c r="Y349" s="28" t="s">
        <v>7648</v>
      </c>
      <c r="Z349" s="28" t="s">
        <v>5918</v>
      </c>
      <c r="AA349" s="28" t="s">
        <v>477</v>
      </c>
      <c r="AB349" s="28">
        <v>15.0</v>
      </c>
      <c r="AC349" s="28" t="s">
        <v>23</v>
      </c>
      <c r="AD349" s="23"/>
      <c r="AE349" s="28" t="s">
        <v>15</v>
      </c>
      <c r="AF349" s="23"/>
      <c r="AG349" s="23"/>
      <c r="AH349" s="23" t="str">
        <f>IFERROR(__xludf.DUMMYFUNCTION("IF(
ISNUMBER(MATCH(
C349,
IMPORTRANGE(""https://docs.google.com/spreadsheets/d/1yTh1ELC33JHYOeEdgIiEclxPRyh0zOKtlawDltfUay8"",""'Interns'!A:A""),
0
)),
""Outreach Conducted"",
"""")"),"")</f>
        <v/>
      </c>
      <c r="AI349" s="23"/>
      <c r="AJ349" s="23"/>
      <c r="AK349" s="23" t="str">
        <f>IFERROR(__xludf.DUMMYFUNCTION("XLOOKUP(C349, 
   IMPORTRANGE(""1RdEdgHYrZ33LJ7RUHj_h-qkAFL92bcVjtIdVa-UlsCw"", ""Interns!D:D""), 
   IMPORTRANGE(""1RdEdgHYrZ33LJ7RUHj_h-qkAFL92bcVjtIdVa-UlsCw"", ""Interns!M:M""), 
   ""Not Found"")"),"")</f>
        <v/>
      </c>
      <c r="AL349" s="23" t="str">
        <f>IFERROR(__xludf.DUMMYFUNCTION("XLOOKUP(C349, 
   IMPORTRANGE(""1RdEdgHYrZ33LJ7RUHj_h-qkAFL92bcVjtIdVa-UlsCw"", ""Interns!D:D""), 
   IMPORTRANGE(""1RdEdgHYrZ33LJ7RUHj_h-qkAFL92bcVjtIdVa-UlsCw"", ""Interns!N:N""), 
   ""Not Found"")"),"")</f>
        <v/>
      </c>
      <c r="AM349" s="23" t="str">
        <f>IFERROR(__xludf.DUMMYFUNCTION("XLOOKUP(C349, 
   IMPORTRANGE(""1RdEdgHYrZ33LJ7RUHj_h-qkAFL92bcVjtIdVa-UlsCw"", ""Interns!D:D""), 
   IMPORTRANGE(""1RdEdgHYrZ33LJ7RUHj_h-qkAFL92bcVjtIdVa-UlsCw"", ""Interns!O:O""), 
   ""Not Found"")"),"")</f>
        <v/>
      </c>
      <c r="AN349" s="23"/>
      <c r="AO349" s="23" t="s">
        <v>7649</v>
      </c>
      <c r="AP349" s="28" t="s">
        <v>5191</v>
      </c>
      <c r="AQ349" s="28"/>
      <c r="AR349" s="23"/>
      <c r="AS349" s="23"/>
      <c r="AT349" s="23"/>
      <c r="AU349" s="23"/>
      <c r="AV349" s="23"/>
    </row>
    <row r="350">
      <c r="A350" s="28" t="s">
        <v>5161</v>
      </c>
      <c r="B350" s="28" t="s">
        <v>5162</v>
      </c>
      <c r="C350" s="23" t="str">
        <f t="shared" si="1"/>
        <v>Fania Minaya</v>
      </c>
      <c r="D350" s="28" t="s">
        <v>7650</v>
      </c>
      <c r="E350" s="28" t="s">
        <v>7651</v>
      </c>
      <c r="F350" s="23">
        <f t="array" ref="F350">IFERROR(
    INDEX('Hub Interns 226'!A:A, MATCH(C350, 'Hub Interns 226'!B:B, 0)),"")</f>
        <v>1288</v>
      </c>
      <c r="G350" s="23">
        <f t="array" ref="G350">IFERROR(
    INDEX('Hub Users 226'!A:A, MATCH(C350, 'Hub Users 226'!B:B, 0)),"")</f>
        <v>1780</v>
      </c>
      <c r="H350" s="28">
        <v>1659.0</v>
      </c>
      <c r="I350" s="28" t="s">
        <v>260</v>
      </c>
      <c r="J350" s="28" t="s">
        <v>5336</v>
      </c>
      <c r="K350" s="28" t="s">
        <v>5177</v>
      </c>
      <c r="L350" s="28" t="s">
        <v>5196</v>
      </c>
      <c r="M350" s="56" t="s">
        <v>7652</v>
      </c>
      <c r="N350" s="59">
        <v>45212.98402777778</v>
      </c>
      <c r="O350" s="58">
        <v>40147.0</v>
      </c>
      <c r="P350" s="28">
        <f t="shared" si="12"/>
        <v>16</v>
      </c>
      <c r="Q350" s="28" t="s">
        <v>7653</v>
      </c>
      <c r="R350" s="28" t="s">
        <v>7654</v>
      </c>
      <c r="S350" s="28">
        <v>15.0</v>
      </c>
      <c r="T350" s="28">
        <v>33.0</v>
      </c>
      <c r="U350" s="28">
        <v>78.0</v>
      </c>
      <c r="V350" s="28">
        <v>15.0</v>
      </c>
      <c r="W350" s="28" t="s">
        <v>859</v>
      </c>
      <c r="X350" s="28" t="s">
        <v>272</v>
      </c>
      <c r="Y350" s="28">
        <v>9.294278041E9</v>
      </c>
      <c r="Z350" s="28" t="s">
        <v>5918</v>
      </c>
      <c r="AA350" s="28" t="s">
        <v>477</v>
      </c>
      <c r="AB350" s="28">
        <v>15.0</v>
      </c>
      <c r="AC350" s="28" t="s">
        <v>25</v>
      </c>
      <c r="AD350" s="23"/>
      <c r="AE350" s="28" t="s">
        <v>18</v>
      </c>
      <c r="AF350" s="23" t="str">
        <f>IFERROR(__xludf.DUMMYFUNCTION("TEXTJOIN("", "", TRUE,
  FILTER(Champions!C:C,
    ISNUMBER(SEARCH(C350, Champions!W:W))
  )
)"),"Jenny Lisbet Chickering, Maria Graciela Burn, Fernanda Montane Azpiri")</f>
        <v>Jenny Lisbet Chickering, Maria Graciela Burn, Fernanda Montane Azpiri</v>
      </c>
      <c r="AG350" s="23"/>
      <c r="AH350" s="23" t="str">
        <f>IFERROR(__xludf.DUMMYFUNCTION("IF(
ISNUMBER(MATCH(
C350,
IMPORTRANGE(""https://docs.google.com/spreadsheets/d/1yTh1ELC33JHYOeEdgIiEclxPRyh0zOKtlawDltfUay8"",""'Interns'!A:A""),
0
)),
""Outreach Conducted"",
"""")"),"")</f>
        <v/>
      </c>
      <c r="AI350" s="23"/>
      <c r="AJ350" s="23"/>
      <c r="AK350" s="23" t="str">
        <f>IFERROR(__xludf.DUMMYFUNCTION("XLOOKUP(C350, 
   IMPORTRANGE(""1RdEdgHYrZ33LJ7RUHj_h-qkAFL92bcVjtIdVa-UlsCw"", ""Interns!D:D""), 
   IMPORTRANGE(""1RdEdgHYrZ33LJ7RUHj_h-qkAFL92bcVjtIdVa-UlsCw"", ""Interns!M:M""), 
   ""Not Found"")"),"")</f>
        <v/>
      </c>
      <c r="AL350" s="23" t="str">
        <f>IFERROR(__xludf.DUMMYFUNCTION("XLOOKUP(C350, 
   IMPORTRANGE(""1RdEdgHYrZ33LJ7RUHj_h-qkAFL92bcVjtIdVa-UlsCw"", ""Interns!D:D""), 
   IMPORTRANGE(""1RdEdgHYrZ33LJ7RUHj_h-qkAFL92bcVjtIdVa-UlsCw"", ""Interns!N:N""), 
   ""Not Found"")"),"")</f>
        <v/>
      </c>
      <c r="AM350" s="23" t="str">
        <f>IFERROR(__xludf.DUMMYFUNCTION("XLOOKUP(C350, 
   IMPORTRANGE(""1RdEdgHYrZ33LJ7RUHj_h-qkAFL92bcVjtIdVa-UlsCw"", ""Interns!D:D""), 
   IMPORTRANGE(""1RdEdgHYrZ33LJ7RUHj_h-qkAFL92bcVjtIdVa-UlsCw"", ""Interns!O:O""), 
   ""Not Found"")"),"")</f>
        <v/>
      </c>
      <c r="AN350" s="23"/>
      <c r="AO350" s="23" t="s">
        <v>7655</v>
      </c>
      <c r="AP350" s="28" t="s">
        <v>5182</v>
      </c>
      <c r="AQ350" s="28" t="s">
        <v>7656</v>
      </c>
      <c r="AR350" s="23">
        <v>3.479841058E9</v>
      </c>
      <c r="AS350" s="23"/>
      <c r="AT350" s="23"/>
      <c r="AU350" s="23"/>
      <c r="AV350" s="23"/>
    </row>
    <row r="351">
      <c r="A351" s="28" t="s">
        <v>5161</v>
      </c>
      <c r="B351" s="28" t="s">
        <v>5162</v>
      </c>
      <c r="C351" s="23" t="str">
        <f t="shared" si="1"/>
        <v>Emely Payano</v>
      </c>
      <c r="D351" s="28" t="s">
        <v>7219</v>
      </c>
      <c r="E351" s="28" t="s">
        <v>7657</v>
      </c>
      <c r="F351" s="23">
        <f t="array" ref="F351">IFERROR(
    INDEX('Hub Interns 226'!A:A, MATCH(C351, 'Hub Interns 226'!B:B, 0)),"")</f>
        <v>487</v>
      </c>
      <c r="G351" s="23">
        <f t="array" ref="G351">IFERROR(
    INDEX('Hub Users 226'!A:A, MATCH(C351, 'Hub Users 226'!B:B, 0)),"")</f>
        <v>920</v>
      </c>
      <c r="H351" s="28">
        <v>843.0</v>
      </c>
      <c r="I351" s="28" t="s">
        <v>417</v>
      </c>
      <c r="J351" s="28" t="s">
        <v>5336</v>
      </c>
      <c r="K351" s="28" t="s">
        <v>5177</v>
      </c>
      <c r="L351" s="28" t="s">
        <v>5196</v>
      </c>
      <c r="M351" s="56" t="s">
        <v>7658</v>
      </c>
      <c r="N351" s="57">
        <v>44582.944444444445</v>
      </c>
      <c r="O351" s="58">
        <v>38657.0</v>
      </c>
      <c r="P351" s="28">
        <f t="shared" si="12"/>
        <v>20</v>
      </c>
      <c r="Q351" s="28" t="s">
        <v>7659</v>
      </c>
      <c r="R351" s="28" t="s">
        <v>7660</v>
      </c>
      <c r="S351" s="28">
        <v>13.0</v>
      </c>
      <c r="T351" s="28">
        <v>33.0</v>
      </c>
      <c r="U351" s="28">
        <v>86.0</v>
      </c>
      <c r="V351" s="28">
        <v>15.0</v>
      </c>
      <c r="W351" s="28" t="s">
        <v>859</v>
      </c>
      <c r="X351" s="28" t="s">
        <v>272</v>
      </c>
      <c r="Y351" s="28" t="s">
        <v>7661</v>
      </c>
      <c r="Z351" s="28" t="s">
        <v>5310</v>
      </c>
      <c r="AA351" s="28" t="s">
        <v>362</v>
      </c>
      <c r="AB351" s="28">
        <v>16.0</v>
      </c>
      <c r="AC351" s="28" t="s">
        <v>25</v>
      </c>
      <c r="AD351" s="28" t="s">
        <v>101</v>
      </c>
      <c r="AE351" s="28" t="s">
        <v>10</v>
      </c>
      <c r="AF351" s="23" t="str">
        <f>IFERROR(__xludf.DUMMYFUNCTION("TEXTJOIN("", "", TRUE,
  FILTER(Champions!C:C,
    ISNUMBER(SEARCH(C351, Champions!W:W))
  )
)"),"Olga Patel, Frank Weber")</f>
        <v>Olga Patel, Frank Weber</v>
      </c>
      <c r="AG351" s="23"/>
      <c r="AH351" s="23" t="str">
        <f>IFERROR(__xludf.DUMMYFUNCTION("IF(
ISNUMBER(MATCH(
C351,
IMPORTRANGE(""https://docs.google.com/spreadsheets/d/1yTh1ELC33JHYOeEdgIiEclxPRyh0zOKtlawDltfUay8"",""'Interns'!A:A""),
0
)),
""Outreach Conducted"",
"""")"),"")</f>
        <v/>
      </c>
      <c r="AI351" s="23"/>
      <c r="AJ351" s="23"/>
      <c r="AK351" s="23" t="str">
        <f>IFERROR(__xludf.DUMMYFUNCTION("XLOOKUP(C351, 
   IMPORTRANGE(""1RdEdgHYrZ33LJ7RUHj_h-qkAFL92bcVjtIdVa-UlsCw"", ""Interns!D:D""), 
   IMPORTRANGE(""1RdEdgHYrZ33LJ7RUHj_h-qkAFL92bcVjtIdVa-UlsCw"", ""Interns!M:M""), 
   ""Not Found"")"),"Contacted")</f>
        <v>Contacted</v>
      </c>
      <c r="AL351" s="23" t="str">
        <f>IFERROR(__xludf.DUMMYFUNCTION("XLOOKUP(C351, 
   IMPORTRANGE(""1RdEdgHYrZ33LJ7RUHj_h-qkAFL92bcVjtIdVa-UlsCw"", ""Interns!D:D""), 
   IMPORTRANGE(""1RdEdgHYrZ33LJ7RUHj_h-qkAFL92bcVjtIdVa-UlsCw"", ""Interns!N:N""), 
   ""Not Found"")"),"#Cheers4Careers")</f>
        <v>#Cheers4Careers</v>
      </c>
      <c r="AM351" s="23" t="str">
        <f>IFERROR(__xludf.DUMMYFUNCTION("XLOOKUP(C351, 
   IMPORTRANGE(""1RdEdgHYrZ33LJ7RUHj_h-qkAFL92bcVjtIdVa-UlsCw"", ""Interns!D:D""), 
   IMPORTRANGE(""1RdEdgHYrZ33LJ7RUHj_h-qkAFL92bcVjtIdVa-UlsCw"", ""Interns!O:O""), 
   ""Not Found"")"),"Hetal reached out by Whatsapp on 3/28
Hetal reached out on 4/10 by whatsapp for April 18th #Cheers4Careers")</f>
        <v>Hetal reached out by Whatsapp on 3/28
Hetal reached out on 4/10 by whatsapp for April 18th #Cheers4Careers</v>
      </c>
      <c r="AN351" s="23"/>
      <c r="AO351" s="23" t="s">
        <v>7662</v>
      </c>
      <c r="AP351" s="28" t="s">
        <v>5191</v>
      </c>
      <c r="AQ351" s="28" t="s">
        <v>7663</v>
      </c>
      <c r="AR351" s="23" t="s">
        <v>7664</v>
      </c>
      <c r="AS351" s="23"/>
      <c r="AT351" s="23"/>
      <c r="AU351" s="23"/>
      <c r="AV351" s="23"/>
    </row>
    <row r="352">
      <c r="A352" s="28" t="s">
        <v>5161</v>
      </c>
      <c r="B352" s="28" t="s">
        <v>5162</v>
      </c>
      <c r="C352" s="23" t="str">
        <f t="shared" si="1"/>
        <v>Alexa Veloz Balbuena</v>
      </c>
      <c r="D352" s="28" t="s">
        <v>7348</v>
      </c>
      <c r="E352" s="28" t="s">
        <v>7665</v>
      </c>
      <c r="F352" s="23">
        <f t="array" ref="F352">IFERROR(
    INDEX('Hub Interns 226'!A:A, MATCH(C352, 'Hub Interns 226'!B:B, 0)),"")</f>
        <v>185</v>
      </c>
      <c r="G352" s="23">
        <f t="array" ref="G352">IFERROR(
    INDEX('Hub Users 226'!A:A, MATCH(C352, 'Hub Users 226'!B:B, 0)),"")</f>
        <v>618</v>
      </c>
      <c r="H352" s="28">
        <v>1215.0</v>
      </c>
      <c r="I352" s="28" t="s">
        <v>107</v>
      </c>
      <c r="J352" s="28" t="s">
        <v>5336</v>
      </c>
      <c r="K352" s="28" t="s">
        <v>5177</v>
      </c>
      <c r="L352" s="28" t="s">
        <v>5196</v>
      </c>
      <c r="M352" s="56" t="s">
        <v>7666</v>
      </c>
      <c r="N352" s="57">
        <v>44835.81736111111</v>
      </c>
      <c r="O352" s="58">
        <v>38659.0</v>
      </c>
      <c r="P352" s="28">
        <f t="shared" si="12"/>
        <v>20</v>
      </c>
      <c r="Q352" s="28" t="s">
        <v>7667</v>
      </c>
      <c r="R352" s="28" t="s">
        <v>7668</v>
      </c>
      <c r="S352" s="28">
        <v>13.0</v>
      </c>
      <c r="T352" s="28">
        <v>31.0</v>
      </c>
      <c r="U352" s="28">
        <v>81.0</v>
      </c>
      <c r="V352" s="28">
        <v>11.0</v>
      </c>
      <c r="W352" s="28" t="s">
        <v>859</v>
      </c>
      <c r="X352" s="28" t="s">
        <v>272</v>
      </c>
      <c r="Y352" s="28" t="s">
        <v>7669</v>
      </c>
      <c r="Z352" s="28" t="s">
        <v>7670</v>
      </c>
      <c r="AA352" s="28" t="s">
        <v>7671</v>
      </c>
      <c r="AB352" s="28">
        <v>10.0</v>
      </c>
      <c r="AC352" s="28" t="s">
        <v>25</v>
      </c>
      <c r="AD352" s="23"/>
      <c r="AE352" s="28" t="s">
        <v>15</v>
      </c>
      <c r="AF352" s="23" t="str">
        <f>IFERROR(__xludf.DUMMYFUNCTION("TEXTJOIN("", "", TRUE,
  FILTER(Champions!C:C,
    ISNUMBER(SEARCH(C352, Champions!W:W))
  )
)"),"Diane French, Saima Malik, Saima Malik (D)")</f>
        <v>Diane French, Saima Malik, Saima Malik (D)</v>
      </c>
      <c r="AG352" s="23"/>
      <c r="AH352" s="23" t="str">
        <f>IFERROR(__xludf.DUMMYFUNCTION("IF(
ISNUMBER(MATCH(
C352,
IMPORTRANGE(""https://docs.google.com/spreadsheets/d/1yTh1ELC33JHYOeEdgIiEclxPRyh0zOKtlawDltfUay8"",""'Interns'!A:A""),
0
)),
""Outreach Conducted"",
"""")"),"")</f>
        <v/>
      </c>
      <c r="AI352" s="23"/>
      <c r="AJ352" s="23"/>
      <c r="AK352" s="23" t="str">
        <f>IFERROR(__xludf.DUMMYFUNCTION("XLOOKUP(C352, 
   IMPORTRANGE(""1RdEdgHYrZ33LJ7RUHj_h-qkAFL92bcVjtIdVa-UlsCw"", ""Interns!D:D""), 
   IMPORTRANGE(""1RdEdgHYrZ33LJ7RUHj_h-qkAFL92bcVjtIdVa-UlsCw"", ""Interns!M:M""), 
   ""Not Found"")"),"Contacted")</f>
        <v>Contacted</v>
      </c>
      <c r="AL352" s="23" t="str">
        <f>IFERROR(__xludf.DUMMYFUNCTION("XLOOKUP(C352, 
   IMPORTRANGE(""1RdEdgHYrZ33LJ7RUHj_h-qkAFL92bcVjtIdVa-UlsCw"", ""Interns!D:D""), 
   IMPORTRANGE(""1RdEdgHYrZ33LJ7RUHj_h-qkAFL92bcVjtIdVa-UlsCw"", ""Interns!N:N""), 
   ""Not Found"")"),"#Cheers4Careers")</f>
        <v>#Cheers4Careers</v>
      </c>
      <c r="AM352" s="23" t="str">
        <f>IFERROR(__xludf.DUMMYFUNCTION("XLOOKUP(C352, 
   IMPORTRANGE(""1RdEdgHYrZ33LJ7RUHj_h-qkAFL92bcVjtIdVa-UlsCw"", ""Interns!D:D""), 
   IMPORTRANGE(""1RdEdgHYrZ33LJ7RUHj_h-qkAFL92bcVjtIdVa-UlsCw"", ""Interns!O:O""), 
   ""Not Found"")"),"Hetal reached out by email 3/27
Hetal reached out on 4/10 by whatsapp for April 18th #Cheers4Careers")</f>
        <v>Hetal reached out by email 3/27
Hetal reached out on 4/10 by whatsapp for April 18th #Cheers4Careers</v>
      </c>
      <c r="AN352" s="23"/>
      <c r="AO352" s="23" t="s">
        <v>7672</v>
      </c>
      <c r="AP352" s="28" t="s">
        <v>5191</v>
      </c>
      <c r="AQ352" s="28" t="s">
        <v>7673</v>
      </c>
      <c r="AR352" s="23" t="s">
        <v>7674</v>
      </c>
      <c r="AS352" s="23"/>
      <c r="AT352" s="23"/>
      <c r="AU352" s="23"/>
      <c r="AV352" s="23"/>
    </row>
    <row r="353">
      <c r="A353" s="28" t="s">
        <v>5161</v>
      </c>
      <c r="B353" s="28" t="s">
        <v>5162</v>
      </c>
      <c r="C353" s="23" t="str">
        <f t="shared" si="1"/>
        <v>Albert Mercedes Marte</v>
      </c>
      <c r="D353" s="28" t="s">
        <v>404</v>
      </c>
      <c r="E353" s="28" t="s">
        <v>7675</v>
      </c>
      <c r="F353" s="23">
        <f t="array" ref="F353">IFERROR(
    INDEX('Hub Interns 226'!A:A, MATCH(C353, 'Hub Interns 226'!B:B, 0)),"")</f>
        <v>174</v>
      </c>
      <c r="G353" s="23">
        <f t="array" ref="G353">IFERROR(
    INDEX('Hub Users 226'!A:A, MATCH(C353, 'Hub Users 226'!B:B, 0)),"")</f>
        <v>607</v>
      </c>
      <c r="H353" s="28">
        <v>1271.0</v>
      </c>
      <c r="I353" s="28" t="s">
        <v>239</v>
      </c>
      <c r="J353" s="28" t="s">
        <v>5336</v>
      </c>
      <c r="K353" s="28" t="s">
        <v>5177</v>
      </c>
      <c r="L353" s="28" t="s">
        <v>5165</v>
      </c>
      <c r="M353" s="56" t="s">
        <v>7676</v>
      </c>
      <c r="N353" s="59">
        <v>44845.544444444444</v>
      </c>
      <c r="O353" s="58">
        <v>39108.0</v>
      </c>
      <c r="P353" s="28">
        <f t="shared" si="12"/>
        <v>19</v>
      </c>
      <c r="Q353" s="28" t="s">
        <v>240</v>
      </c>
      <c r="R353" s="28" t="s">
        <v>7677</v>
      </c>
      <c r="S353" s="28">
        <v>16.0</v>
      </c>
      <c r="T353" s="28">
        <v>36.0</v>
      </c>
      <c r="U353" s="28">
        <v>83.0</v>
      </c>
      <c r="V353" s="28">
        <v>12.0</v>
      </c>
      <c r="W353" s="28" t="s">
        <v>859</v>
      </c>
      <c r="X353" s="28" t="s">
        <v>272</v>
      </c>
      <c r="Y353" s="28" t="s">
        <v>7678</v>
      </c>
      <c r="Z353" s="28" t="s">
        <v>5918</v>
      </c>
      <c r="AA353" s="28" t="s">
        <v>477</v>
      </c>
      <c r="AB353" s="28">
        <v>15.0</v>
      </c>
      <c r="AC353" s="28" t="s">
        <v>23</v>
      </c>
      <c r="AD353" s="23"/>
      <c r="AE353" s="28" t="s">
        <v>15</v>
      </c>
      <c r="AF353" s="23"/>
      <c r="AG353" s="23"/>
      <c r="AH353" s="23" t="str">
        <f>IFERROR(__xludf.DUMMYFUNCTION("IF(
ISNUMBER(MATCH(
C353,
IMPORTRANGE(""https://docs.google.com/spreadsheets/d/1yTh1ELC33JHYOeEdgIiEclxPRyh0zOKtlawDltfUay8"",""'Interns'!A:A""),
0
)),
""Outreach Conducted"",
"""")"),"")</f>
        <v/>
      </c>
      <c r="AI353" s="23"/>
      <c r="AJ353" s="23"/>
      <c r="AK353" s="23" t="str">
        <f>IFERROR(__xludf.DUMMYFUNCTION("XLOOKUP(C353, 
   IMPORTRANGE(""1RdEdgHYrZ33LJ7RUHj_h-qkAFL92bcVjtIdVa-UlsCw"", ""Interns!D:D""), 
   IMPORTRANGE(""1RdEdgHYrZ33LJ7RUHj_h-qkAFL92bcVjtIdVa-UlsCw"", ""Interns!M:M""), 
   ""Not Found"")"),"")</f>
        <v/>
      </c>
      <c r="AL353" s="23" t="str">
        <f>IFERROR(__xludf.DUMMYFUNCTION("XLOOKUP(C353, 
   IMPORTRANGE(""1RdEdgHYrZ33LJ7RUHj_h-qkAFL92bcVjtIdVa-UlsCw"", ""Interns!D:D""), 
   IMPORTRANGE(""1RdEdgHYrZ33LJ7RUHj_h-qkAFL92bcVjtIdVa-UlsCw"", ""Interns!N:N""), 
   ""Not Found"")"),"")</f>
        <v/>
      </c>
      <c r="AM353" s="23" t="str">
        <f>IFERROR(__xludf.DUMMYFUNCTION("XLOOKUP(C353, 
   IMPORTRANGE(""1RdEdgHYrZ33LJ7RUHj_h-qkAFL92bcVjtIdVa-UlsCw"", ""Interns!D:D""), 
   IMPORTRANGE(""1RdEdgHYrZ33LJ7RUHj_h-qkAFL92bcVjtIdVa-UlsCw"", ""Interns!O:O""), 
   ""Not Found"")"),"")</f>
        <v/>
      </c>
      <c r="AN353" s="23"/>
      <c r="AO353" s="23" t="s">
        <v>7679</v>
      </c>
      <c r="AP353" s="28" t="s">
        <v>5182</v>
      </c>
      <c r="AQ353" s="28"/>
      <c r="AR353" s="23"/>
      <c r="AS353" s="23"/>
      <c r="AT353" s="23"/>
      <c r="AU353" s="23"/>
      <c r="AV353" s="23"/>
    </row>
    <row r="354">
      <c r="A354" s="28" t="s">
        <v>5161</v>
      </c>
      <c r="B354" s="28" t="s">
        <v>5162</v>
      </c>
      <c r="C354" s="23" t="str">
        <f t="shared" si="1"/>
        <v>Marwin Silverio Rodriguez</v>
      </c>
      <c r="D354" s="28" t="s">
        <v>7680</v>
      </c>
      <c r="E354" s="28" t="s">
        <v>7681</v>
      </c>
      <c r="F354" s="23">
        <f t="array" ref="F354">IFERROR(
    INDEX('Hub Interns 226'!A:A, MATCH(C354, 'Hub Interns 226'!B:B, 0)),"")</f>
        <v>852</v>
      </c>
      <c r="G354" s="23">
        <f t="array" ref="G354">IFERROR(
    INDEX('Hub Users 226'!A:A, MATCH(C354, 'Hub Users 226'!B:B, 0)),"")</f>
        <v>1285</v>
      </c>
      <c r="H354" s="28">
        <v>651.0</v>
      </c>
      <c r="I354" s="28" t="s">
        <v>239</v>
      </c>
      <c r="J354" s="28" t="s">
        <v>5336</v>
      </c>
      <c r="K354" s="28" t="s">
        <v>5177</v>
      </c>
      <c r="L354" s="28" t="s">
        <v>5165</v>
      </c>
      <c r="M354" s="56" t="s">
        <v>7682</v>
      </c>
      <c r="N354" s="57">
        <v>44509.51736111111</v>
      </c>
      <c r="O354" s="58">
        <v>37028.0</v>
      </c>
      <c r="P354" s="28">
        <f t="shared" si="12"/>
        <v>25</v>
      </c>
      <c r="Q354" s="28" t="s">
        <v>7683</v>
      </c>
      <c r="R354" s="28" t="s">
        <v>7684</v>
      </c>
      <c r="S354" s="28">
        <v>13.0</v>
      </c>
      <c r="T354" s="28">
        <v>33.0</v>
      </c>
      <c r="U354" s="28">
        <v>86.0</v>
      </c>
      <c r="V354" s="28">
        <v>15.0</v>
      </c>
      <c r="W354" s="28" t="s">
        <v>859</v>
      </c>
      <c r="X354" s="28" t="s">
        <v>272</v>
      </c>
      <c r="Y354" s="28" t="s">
        <v>7685</v>
      </c>
      <c r="Z354" s="28" t="s">
        <v>7670</v>
      </c>
      <c r="AA354" s="28" t="s">
        <v>7671</v>
      </c>
      <c r="AB354" s="28">
        <v>10.0</v>
      </c>
      <c r="AC354" s="28" t="s">
        <v>25</v>
      </c>
      <c r="AD354" s="23"/>
      <c r="AE354" s="28" t="s">
        <v>10</v>
      </c>
      <c r="AF354" s="23" t="str">
        <f>IFERROR(__xludf.DUMMYFUNCTION("TEXTJOIN("", "", TRUE,
  FILTER(Champions!C:C,
    ISNUMBER(SEARCH(C354, Champions!W:W))
  )
)"),"Joseph Temowo, Samar Deen, Ebunoluwa Sotubo")</f>
        <v>Joseph Temowo, Samar Deen, Ebunoluwa Sotubo</v>
      </c>
      <c r="AG354" s="23"/>
      <c r="AH354" s="23" t="str">
        <f>IFERROR(__xludf.DUMMYFUNCTION("IF(
ISNUMBER(MATCH(
C354,
IMPORTRANGE(""https://docs.google.com/spreadsheets/d/1yTh1ELC33JHYOeEdgIiEclxPRyh0zOKtlawDltfUay8"",""'Interns'!A:A""),
0
)),
""Outreach Conducted"",
"""")"),"")</f>
        <v/>
      </c>
      <c r="AI354" s="23"/>
      <c r="AJ354" s="23"/>
      <c r="AK354" s="23" t="str">
        <f>IFERROR(__xludf.DUMMYFUNCTION("XLOOKUP(C354, 
   IMPORTRANGE(""1RdEdgHYrZ33LJ7RUHj_h-qkAFL92bcVjtIdVa-UlsCw"", ""Interns!D:D""), 
   IMPORTRANGE(""1RdEdgHYrZ33LJ7RUHj_h-qkAFL92bcVjtIdVa-UlsCw"", ""Interns!M:M""), 
   ""Not Found"")"),"Contacted")</f>
        <v>Contacted</v>
      </c>
      <c r="AL354" s="23" t="str">
        <f>IFERROR(__xludf.DUMMYFUNCTION("XLOOKUP(C354, 
   IMPORTRANGE(""1RdEdgHYrZ33LJ7RUHj_h-qkAFL92bcVjtIdVa-UlsCw"", ""Interns!D:D""), 
   IMPORTRANGE(""1RdEdgHYrZ33LJ7RUHj_h-qkAFL92bcVjtIdVa-UlsCw"", ""Interns!N:N""), 
   ""Not Found"")"),"#Cheers4Careers")</f>
        <v>#Cheers4Careers</v>
      </c>
      <c r="AM354" s="23" t="str">
        <f>IFERROR(__xludf.DUMMYFUNCTION("XLOOKUP(C354, 
   IMPORTRANGE(""1RdEdgHYrZ33LJ7RUHj_h-qkAFL92bcVjtIdVa-UlsCw"", ""Interns!D:D""), 
   IMPORTRANGE(""1RdEdgHYrZ33LJ7RUHj_h-qkAFL92bcVjtIdVa-UlsCw"", ""Interns!O:O""), 
   ""Not Found"")"),"Hetal reached out by email 3/27")</f>
        <v>Hetal reached out by email 3/27</v>
      </c>
      <c r="AN354" s="23"/>
      <c r="AO354" s="23" t="s">
        <v>7686</v>
      </c>
      <c r="AP354" s="28" t="s">
        <v>5182</v>
      </c>
      <c r="AQ354" s="28" t="s">
        <v>7687</v>
      </c>
      <c r="AR354" s="23" t="s">
        <v>7688</v>
      </c>
      <c r="AS354" s="23"/>
      <c r="AT354" s="23"/>
      <c r="AU354" s="23"/>
      <c r="AV354" s="23"/>
    </row>
    <row r="355">
      <c r="A355" s="28" t="s">
        <v>5161</v>
      </c>
      <c r="B355" s="28" t="s">
        <v>5162</v>
      </c>
      <c r="C355" s="23" t="str">
        <f t="shared" si="1"/>
        <v>Stheysis (Stacy) Genao</v>
      </c>
      <c r="D355" s="28" t="s">
        <v>7689</v>
      </c>
      <c r="E355" s="28" t="s">
        <v>7690</v>
      </c>
      <c r="F355" s="23">
        <f t="array" ref="F355">IFERROR(
    INDEX('Hub Interns 226'!A:A, MATCH(C355, 'Hub Interns 226'!B:B, 0)),"")</f>
        <v>1127</v>
      </c>
      <c r="G355" s="23">
        <f t="array" ref="G355">IFERROR(
    INDEX('Hub Users 226'!A:A, MATCH(C355, 'Hub Users 226'!B:B, 0)),"")</f>
        <v>1560</v>
      </c>
      <c r="H355" s="28">
        <v>1209.0</v>
      </c>
      <c r="I355" s="28" t="s">
        <v>1235</v>
      </c>
      <c r="J355" s="28" t="s">
        <v>5336</v>
      </c>
      <c r="K355" s="28" t="s">
        <v>5177</v>
      </c>
      <c r="L355" s="28" t="s">
        <v>5196</v>
      </c>
      <c r="M355" s="56" t="s">
        <v>7691</v>
      </c>
      <c r="N355" s="57">
        <v>44835.78472222222</v>
      </c>
      <c r="O355" s="58">
        <v>38149.0</v>
      </c>
      <c r="P355" s="28">
        <f t="shared" si="12"/>
        <v>21</v>
      </c>
      <c r="Q355" s="28" t="s">
        <v>7692</v>
      </c>
      <c r="R355" s="28" t="s">
        <v>7693</v>
      </c>
      <c r="S355" s="28">
        <v>15.0</v>
      </c>
      <c r="T355" s="28">
        <v>33.0</v>
      </c>
      <c r="U355" s="28">
        <v>80.0</v>
      </c>
      <c r="V355" s="28">
        <v>11.0</v>
      </c>
      <c r="W355" s="28" t="s">
        <v>859</v>
      </c>
      <c r="X355" s="28" t="s">
        <v>272</v>
      </c>
      <c r="Y355" s="28">
        <v>6.468042004E9</v>
      </c>
      <c r="Z355" s="28" t="s">
        <v>7670</v>
      </c>
      <c r="AA355" s="28" t="s">
        <v>7671</v>
      </c>
      <c r="AB355" s="28">
        <v>10.0</v>
      </c>
      <c r="AC355" s="28" t="s">
        <v>25</v>
      </c>
      <c r="AD355" s="23"/>
      <c r="AE355" s="28" t="s">
        <v>15</v>
      </c>
      <c r="AF355" s="23" t="str">
        <f>IFERROR(__xludf.DUMMYFUNCTION("TEXTJOIN("", "", TRUE,
  FILTER(Champions!C:C,
    ISNUMBER(SEARCH(C355, Champions!W:W))
  )
)"),"Diane French, Sharon Shi")</f>
        <v>Diane French, Sharon Shi</v>
      </c>
      <c r="AG355" s="23"/>
      <c r="AH355" s="23" t="str">
        <f>IFERROR(__xludf.DUMMYFUNCTION("IF(
ISNUMBER(MATCH(
C355,
IMPORTRANGE(""https://docs.google.com/spreadsheets/d/1yTh1ELC33JHYOeEdgIiEclxPRyh0zOKtlawDltfUay8"",""'Interns'!A:A""),
0
)),
""Outreach Conducted"",
"""")"),"")</f>
        <v/>
      </c>
      <c r="AI355" s="23"/>
      <c r="AJ355" s="23"/>
      <c r="AK355" s="23" t="str">
        <f>IFERROR(__xludf.DUMMYFUNCTION("XLOOKUP(C355, 
   IMPORTRANGE(""1RdEdgHYrZ33LJ7RUHj_h-qkAFL92bcVjtIdVa-UlsCw"", ""Interns!D:D""), 
   IMPORTRANGE(""1RdEdgHYrZ33LJ7RUHj_h-qkAFL92bcVjtIdVa-UlsCw"", ""Interns!M:M""), 
   ""Not Found"")"),"Contacted")</f>
        <v>Contacted</v>
      </c>
      <c r="AL355" s="23" t="str">
        <f>IFERROR(__xludf.DUMMYFUNCTION("XLOOKUP(C355, 
   IMPORTRANGE(""1RdEdgHYrZ33LJ7RUHj_h-qkAFL92bcVjtIdVa-UlsCw"", ""Interns!D:D""), 
   IMPORTRANGE(""1RdEdgHYrZ33LJ7RUHj_h-qkAFL92bcVjtIdVa-UlsCw"", ""Interns!N:N""), 
   ""Not Found"")"),"#Cheers4Careers")</f>
        <v>#Cheers4Careers</v>
      </c>
      <c r="AM355" s="23" t="str">
        <f>IFERROR(__xludf.DUMMYFUNCTION("XLOOKUP(C355, 
   IMPORTRANGE(""1RdEdgHYrZ33LJ7RUHj_h-qkAFL92bcVjtIdVa-UlsCw"", ""Interns!D:D""), 
   IMPORTRANGE(""1RdEdgHYrZ33LJ7RUHj_h-qkAFL92bcVjtIdVa-UlsCw"", ""Interns!O:O""), 
   ""Not Found"")"),"Hetal reached out by email 3/27")</f>
        <v>Hetal reached out by email 3/27</v>
      </c>
      <c r="AN355" s="23"/>
      <c r="AO355" s="23" t="s">
        <v>7694</v>
      </c>
      <c r="AP355" s="28" t="s">
        <v>5191</v>
      </c>
      <c r="AQ355" s="28" t="s">
        <v>7695</v>
      </c>
      <c r="AR355" s="23">
        <v>7.189026643E9</v>
      </c>
      <c r="AS355" s="23"/>
      <c r="AT355" s="23"/>
      <c r="AU355" s="23"/>
      <c r="AV355" s="23"/>
    </row>
    <row r="356">
      <c r="A356" s="28" t="s">
        <v>5161</v>
      </c>
      <c r="B356" s="28" t="s">
        <v>5162</v>
      </c>
      <c r="C356" s="23" t="str">
        <f t="shared" si="1"/>
        <v>Abigail Rodriguez Bautista</v>
      </c>
      <c r="D356" s="28" t="s">
        <v>458</v>
      </c>
      <c r="E356" s="28" t="s">
        <v>7696</v>
      </c>
      <c r="F356" s="23">
        <f t="array" ref="F356">IFERROR(
    INDEX('Hub Interns 226'!A:A, MATCH(C356, 'Hub Interns 226'!B:B, 0)),"")</f>
        <v>134</v>
      </c>
      <c r="G356" s="23">
        <f t="array" ref="G356">IFERROR(
    INDEX('Hub Users 226'!A:A, MATCH(C356, 'Hub Users 226'!B:B, 0)),"")</f>
        <v>567</v>
      </c>
      <c r="H356" s="28">
        <v>261.0</v>
      </c>
      <c r="I356" s="28" t="s">
        <v>107</v>
      </c>
      <c r="J356" s="28" t="s">
        <v>5336</v>
      </c>
      <c r="K356" s="28" t="s">
        <v>5177</v>
      </c>
      <c r="L356" s="28" t="s">
        <v>5196</v>
      </c>
      <c r="M356" s="56" t="s">
        <v>7697</v>
      </c>
      <c r="N356" s="57">
        <v>44206.99930555555</v>
      </c>
      <c r="O356" s="58">
        <v>38294.0</v>
      </c>
      <c r="P356" s="28">
        <f t="shared" si="12"/>
        <v>21</v>
      </c>
      <c r="Q356" s="28" t="s">
        <v>7698</v>
      </c>
      <c r="R356" s="28" t="s">
        <v>7699</v>
      </c>
      <c r="S356" s="28">
        <v>13.0</v>
      </c>
      <c r="T356" s="28">
        <v>33.0</v>
      </c>
      <c r="U356" s="28">
        <v>86.0</v>
      </c>
      <c r="V356" s="28">
        <v>14.0</v>
      </c>
      <c r="W356" s="28" t="s">
        <v>859</v>
      </c>
      <c r="X356" s="28" t="s">
        <v>272</v>
      </c>
      <c r="Y356" s="28" t="s">
        <v>7700</v>
      </c>
      <c r="Z356" s="28" t="s">
        <v>5918</v>
      </c>
      <c r="AA356" s="28" t="s">
        <v>477</v>
      </c>
      <c r="AB356" s="28">
        <v>15.0</v>
      </c>
      <c r="AC356" s="28" t="s">
        <v>25</v>
      </c>
      <c r="AD356" s="23"/>
      <c r="AE356" s="28" t="s">
        <v>8</v>
      </c>
      <c r="AF356" s="23" t="str">
        <f>IFERROR(__xludf.DUMMYFUNCTION("TEXTJOIN("", "", TRUE,
  FILTER(Champions!C:C,
    ISNUMBER(SEARCH(C356, Champions!W:W))
  )
)"),"Gabriela Amada Vega, Tracy Pullman")</f>
        <v>Gabriela Amada Vega, Tracy Pullman</v>
      </c>
      <c r="AG356" s="23"/>
      <c r="AH356" s="23" t="str">
        <f>IFERROR(__xludf.DUMMYFUNCTION("IF(
ISNUMBER(MATCH(
C356,
IMPORTRANGE(""https://docs.google.com/spreadsheets/d/1yTh1ELC33JHYOeEdgIiEclxPRyh0zOKtlawDltfUay8"",""'Interns'!A:A""),
0
)),
""Outreach Conducted"",
"""")"),"")</f>
        <v/>
      </c>
      <c r="AI356" s="23"/>
      <c r="AJ356" s="28" t="s">
        <v>7701</v>
      </c>
      <c r="AK356" s="23" t="str">
        <f>IFERROR(__xludf.DUMMYFUNCTION("XLOOKUP(C356, 
   IMPORTRANGE(""1RdEdgHYrZ33LJ7RUHj_h-qkAFL92bcVjtIdVa-UlsCw"", ""Interns!D:D""), 
   IMPORTRANGE(""1RdEdgHYrZ33LJ7RUHj_h-qkAFL92bcVjtIdVa-UlsCw"", ""Interns!M:M""), 
   ""Not Found"")"),"")</f>
        <v/>
      </c>
      <c r="AL356" s="23" t="str">
        <f>IFERROR(__xludf.DUMMYFUNCTION("XLOOKUP(C356, 
   IMPORTRANGE(""1RdEdgHYrZ33LJ7RUHj_h-qkAFL92bcVjtIdVa-UlsCw"", ""Interns!D:D""), 
   IMPORTRANGE(""1RdEdgHYrZ33LJ7RUHj_h-qkAFL92bcVjtIdVa-UlsCw"", ""Interns!N:N""), 
   ""Not Found"")"),"#SpeakingMyName")</f>
        <v>#SpeakingMyName</v>
      </c>
      <c r="AM356" s="23" t="str">
        <f>IFERROR(__xludf.DUMMYFUNCTION("XLOOKUP(C356, 
   IMPORTRANGE(""1RdEdgHYrZ33LJ7RUHj_h-qkAFL92bcVjtIdVa-UlsCw"", ""Interns!D:D""), 
   IMPORTRANGE(""1RdEdgHYrZ33LJ7RUHj_h-qkAFL92bcVjtIdVa-UlsCw"", ""Interns!O:O""), 
   ""Not Found"")"),"Alicia reached out by email on 5/15 for #SpeakingMyName")</f>
        <v>Alicia reached out by email on 5/15 for #SpeakingMyName</v>
      </c>
      <c r="AN356" s="23"/>
      <c r="AO356" s="23" t="s">
        <v>7702</v>
      </c>
      <c r="AP356" s="28" t="s">
        <v>5182</v>
      </c>
      <c r="AQ356" s="28" t="s">
        <v>7703</v>
      </c>
      <c r="AR356" s="23">
        <v>1.9294223799E10</v>
      </c>
      <c r="AS356" s="23"/>
      <c r="AT356" s="23"/>
      <c r="AU356" s="23"/>
      <c r="AV356" s="23"/>
    </row>
    <row r="357">
      <c r="A357" s="28" t="s">
        <v>5161</v>
      </c>
      <c r="B357" s="28" t="s">
        <v>5162</v>
      </c>
      <c r="C357" s="23" t="str">
        <f t="shared" si="1"/>
        <v>Yancen Rodriguez</v>
      </c>
      <c r="D357" s="28" t="s">
        <v>7704</v>
      </c>
      <c r="E357" s="28" t="s">
        <v>536</v>
      </c>
      <c r="F357" s="23">
        <f t="array" ref="F357">IFERROR(
    INDEX('Hub Interns 226'!A:A, MATCH(C357, 'Hub Interns 226'!B:B, 0)),"")</f>
        <v>1214</v>
      </c>
      <c r="G357" s="23">
        <f t="array" ref="G357">IFERROR(
    INDEX('Hub Users 226'!A:A, MATCH(C357, 'Hub Users 226'!B:B, 0)),"")</f>
        <v>1647</v>
      </c>
      <c r="H357" s="28">
        <v>1457.0</v>
      </c>
      <c r="I357" s="28" t="s">
        <v>239</v>
      </c>
      <c r="J357" s="28" t="s">
        <v>5336</v>
      </c>
      <c r="K357" s="28" t="s">
        <v>5177</v>
      </c>
      <c r="L357" s="28" t="s">
        <v>5165</v>
      </c>
      <c r="M357" s="56" t="s">
        <v>7705</v>
      </c>
      <c r="N357" s="57">
        <v>44935.47083333333</v>
      </c>
      <c r="O357" s="58">
        <v>39703.0</v>
      </c>
      <c r="P357" s="28">
        <f t="shared" si="12"/>
        <v>17</v>
      </c>
      <c r="Q357" s="28" t="s">
        <v>7706</v>
      </c>
      <c r="R357" s="28" t="s">
        <v>7707</v>
      </c>
      <c r="S357" s="28">
        <v>15.0</v>
      </c>
      <c r="T357" s="28">
        <v>33.0</v>
      </c>
      <c r="U357" s="28">
        <v>78.0</v>
      </c>
      <c r="V357" s="28">
        <v>15.0</v>
      </c>
      <c r="W357" s="28" t="s">
        <v>859</v>
      </c>
      <c r="X357" s="28" t="s">
        <v>272</v>
      </c>
      <c r="Y357" s="28" t="s">
        <v>7708</v>
      </c>
      <c r="Z357" s="28" t="s">
        <v>5918</v>
      </c>
      <c r="AA357" s="28" t="s">
        <v>477</v>
      </c>
      <c r="AB357" s="28">
        <v>15.0</v>
      </c>
      <c r="AC357" s="28" t="s">
        <v>25</v>
      </c>
      <c r="AD357" s="28" t="s">
        <v>101</v>
      </c>
      <c r="AE357" s="28" t="s">
        <v>17</v>
      </c>
      <c r="AF357" s="23" t="str">
        <f>IFERROR(__xludf.DUMMYFUNCTION("TEXTJOIN("", "", TRUE,
  FILTER(Champions!C:C,
    ISNUMBER(SEARCH(C357, Champions!W:W))
  )
)"),"Amrita Pritam, Leif Castren, Madhuri (Maddy) Koushik, Mario Badillo, Carlos Abad")</f>
        <v>Amrita Pritam, Leif Castren, Madhuri (Maddy) Koushik, Mario Badillo, Carlos Abad</v>
      </c>
      <c r="AG357" s="23"/>
      <c r="AH357" s="23" t="str">
        <f>IFERROR(__xludf.DUMMYFUNCTION("IF(
ISNUMBER(MATCH(
C357,
IMPORTRANGE(""https://docs.google.com/spreadsheets/d/1yTh1ELC33JHYOeEdgIiEclxPRyh0zOKtlawDltfUay8"",""'Interns'!A:A""),
0
)),
""Outreach Conducted"",
"""")"),"")</f>
        <v/>
      </c>
      <c r="AI357" s="23"/>
      <c r="AJ357" s="23"/>
      <c r="AK357" s="23" t="str">
        <f>IFERROR(__xludf.DUMMYFUNCTION("XLOOKUP(C357, 
   IMPORTRANGE(""1RdEdgHYrZ33LJ7RUHj_h-qkAFL92bcVjtIdVa-UlsCw"", ""Interns!D:D""), 
   IMPORTRANGE(""1RdEdgHYrZ33LJ7RUHj_h-qkAFL92bcVjtIdVa-UlsCw"", ""Interns!M:M""), 
   ""Not Found"")"),"")</f>
        <v/>
      </c>
      <c r="AL357" s="23" t="str">
        <f>IFERROR(__xludf.DUMMYFUNCTION("XLOOKUP(C357, 
   IMPORTRANGE(""1RdEdgHYrZ33LJ7RUHj_h-qkAFL92bcVjtIdVa-UlsCw"", ""Interns!D:D""), 
   IMPORTRANGE(""1RdEdgHYrZ33LJ7RUHj_h-qkAFL92bcVjtIdVa-UlsCw"", ""Interns!N:N""), 
   ""Not Found"")"),"")</f>
        <v/>
      </c>
      <c r="AM357" s="23" t="str">
        <f>IFERROR(__xludf.DUMMYFUNCTION("XLOOKUP(C357, 
   IMPORTRANGE(""1RdEdgHYrZ33LJ7RUHj_h-qkAFL92bcVjtIdVa-UlsCw"", ""Interns!D:D""), 
   IMPORTRANGE(""1RdEdgHYrZ33LJ7RUHj_h-qkAFL92bcVjtIdVa-UlsCw"", ""Interns!O:O""), 
   ""Not Found"")"),"")</f>
        <v/>
      </c>
      <c r="AN357" s="23"/>
      <c r="AO357" s="23" t="s">
        <v>7709</v>
      </c>
      <c r="AP357" s="28" t="s">
        <v>5191</v>
      </c>
      <c r="AQ357" s="28" t="s">
        <v>7710</v>
      </c>
      <c r="AR357" s="23" t="s">
        <v>7711</v>
      </c>
      <c r="AS357" s="23"/>
      <c r="AT357" s="23"/>
      <c r="AU357" s="23"/>
      <c r="AV357" s="23"/>
    </row>
    <row r="358">
      <c r="A358" s="28" t="s">
        <v>5202</v>
      </c>
      <c r="B358" s="28" t="s">
        <v>5162</v>
      </c>
      <c r="C358" s="23" t="str">
        <f t="shared" si="1"/>
        <v>Vimadel Estrella</v>
      </c>
      <c r="D358" s="28" t="s">
        <v>7712</v>
      </c>
      <c r="E358" s="28" t="s">
        <v>1315</v>
      </c>
      <c r="F358" s="23">
        <f t="array" ref="F358">IFERROR(
    INDEX('Hub Interns 226'!A:A, MATCH(C358, 'Hub Interns 226'!B:B, 0)),"")</f>
        <v>1179</v>
      </c>
      <c r="G358" s="23">
        <f t="array" ref="G358">IFERROR(
    INDEX('Hub Users 226'!A:A, MATCH(C358, 'Hub Users 226'!B:B, 0)),"")</f>
        <v>1612</v>
      </c>
      <c r="H358" s="28">
        <v>685.0</v>
      </c>
      <c r="I358" s="28" t="s">
        <v>407</v>
      </c>
      <c r="J358" s="28" t="s">
        <v>5336</v>
      </c>
      <c r="K358" s="28" t="s">
        <v>5177</v>
      </c>
      <c r="L358" s="28" t="s">
        <v>5196</v>
      </c>
      <c r="M358" s="56" t="s">
        <v>7713</v>
      </c>
      <c r="N358" s="59">
        <v>44546.53958333333</v>
      </c>
      <c r="O358" s="58">
        <v>37879.0</v>
      </c>
      <c r="P358" s="28">
        <f t="shared" si="12"/>
        <v>22</v>
      </c>
      <c r="Q358" s="28" t="s">
        <v>7714</v>
      </c>
      <c r="R358" s="28" t="s">
        <v>7715</v>
      </c>
      <c r="S358" s="28">
        <v>13.0</v>
      </c>
      <c r="T358" s="28">
        <v>31.0</v>
      </c>
      <c r="U358" s="28">
        <v>72.0</v>
      </c>
      <c r="V358" s="28">
        <v>10.0</v>
      </c>
      <c r="W358" s="28" t="s">
        <v>271</v>
      </c>
      <c r="X358" s="28" t="s">
        <v>272</v>
      </c>
      <c r="Y358" s="28" t="s">
        <v>7716</v>
      </c>
      <c r="Z358" s="28" t="s">
        <v>5558</v>
      </c>
      <c r="AA358" s="28" t="s">
        <v>5559</v>
      </c>
      <c r="AB358" s="28">
        <v>10.0</v>
      </c>
      <c r="AC358" s="28" t="s">
        <v>25</v>
      </c>
      <c r="AD358" s="23"/>
      <c r="AE358" s="28" t="s">
        <v>10</v>
      </c>
      <c r="AF358" s="23" t="str">
        <f>IFERROR(__xludf.DUMMYFUNCTION("TEXTJOIN("", "", TRUE,
  FILTER(Champions!C:C,
    ISNUMBER(SEARCH(C358, Champions!W:W))
  )
)"),"John ?Nico? Johnson")</f>
        <v>John ?Nico? Johnson</v>
      </c>
      <c r="AG358" s="23"/>
      <c r="AH358" s="23" t="str">
        <f>IFERROR(__xludf.DUMMYFUNCTION("IF(
ISNUMBER(MATCH(
C358,
IMPORTRANGE(""https://docs.google.com/spreadsheets/d/1yTh1ELC33JHYOeEdgIiEclxPRyh0zOKtlawDltfUay8"",""'Interns'!A:A""),
0
)),
""Outreach Conducted"",
"""")"),"")</f>
        <v/>
      </c>
      <c r="AI358" s="23"/>
      <c r="AJ358" s="23"/>
      <c r="AK358" s="23" t="str">
        <f>IFERROR(__xludf.DUMMYFUNCTION("XLOOKUP(C358, 
   IMPORTRANGE(""1RdEdgHYrZ33LJ7RUHj_h-qkAFL92bcVjtIdVa-UlsCw"", ""Interns!D:D""), 
   IMPORTRANGE(""1RdEdgHYrZ33LJ7RUHj_h-qkAFL92bcVjtIdVa-UlsCw"", ""Interns!M:M""), 
   ""Not Found"")"),"")</f>
        <v/>
      </c>
      <c r="AL358" s="23" t="str">
        <f>IFERROR(__xludf.DUMMYFUNCTION("XLOOKUP(C358, 
   IMPORTRANGE(""1RdEdgHYrZ33LJ7RUHj_h-qkAFL92bcVjtIdVa-UlsCw"", ""Interns!D:D""), 
   IMPORTRANGE(""1RdEdgHYrZ33LJ7RUHj_h-qkAFL92bcVjtIdVa-UlsCw"", ""Interns!N:N""), 
   ""Not Found"")"),"")</f>
        <v/>
      </c>
      <c r="AM358" s="23" t="str">
        <f>IFERROR(__xludf.DUMMYFUNCTION("XLOOKUP(C358, 
   IMPORTRANGE(""1RdEdgHYrZ33LJ7RUHj_h-qkAFL92bcVjtIdVa-UlsCw"", ""Interns!D:D""), 
   IMPORTRANGE(""1RdEdgHYrZ33LJ7RUHj_h-qkAFL92bcVjtIdVa-UlsCw"", ""Interns!O:O""), 
   ""Not Found"")"),"")</f>
        <v/>
      </c>
      <c r="AN358" s="23"/>
      <c r="AO358" s="23" t="s">
        <v>7717</v>
      </c>
      <c r="AP358" s="28" t="s">
        <v>5182</v>
      </c>
      <c r="AQ358" s="28" t="s">
        <v>7713</v>
      </c>
      <c r="AR358" s="23" t="s">
        <v>7632</v>
      </c>
      <c r="AS358" s="23"/>
      <c r="AT358" s="23"/>
      <c r="AU358" s="23"/>
      <c r="AV358" s="23"/>
    </row>
    <row r="359">
      <c r="A359" s="28" t="s">
        <v>5161</v>
      </c>
      <c r="B359" s="28" t="s">
        <v>5162</v>
      </c>
      <c r="C359" s="23" t="str">
        <f t="shared" si="1"/>
        <v>Felix Acevedo</v>
      </c>
      <c r="D359" s="28" t="s">
        <v>7718</v>
      </c>
      <c r="E359" s="28" t="s">
        <v>6993</v>
      </c>
      <c r="F359" s="23">
        <f t="array" ref="F359">IFERROR(
    INDEX('Hub Interns 226'!A:A, MATCH(C359, 'Hub Interns 226'!B:B, 0)),"")</f>
        <v>510</v>
      </c>
      <c r="G359" s="23">
        <f t="array" ref="G359">IFERROR(
    INDEX('Hub Users 226'!A:A, MATCH(C359, 'Hub Users 226'!B:B, 0)),"")</f>
        <v>943</v>
      </c>
      <c r="H359" s="28">
        <v>1294.0</v>
      </c>
      <c r="I359" s="28" t="s">
        <v>239</v>
      </c>
      <c r="J359" s="28" t="s">
        <v>5336</v>
      </c>
      <c r="K359" s="28" t="s">
        <v>5177</v>
      </c>
      <c r="L359" s="28" t="s">
        <v>5165</v>
      </c>
      <c r="M359" s="56" t="s">
        <v>7719</v>
      </c>
      <c r="N359" s="59">
        <v>44846.53194444445</v>
      </c>
      <c r="O359" s="58">
        <v>39251.0</v>
      </c>
      <c r="P359" s="28">
        <f t="shared" si="12"/>
        <v>18</v>
      </c>
      <c r="Q359" s="28" t="s">
        <v>240</v>
      </c>
      <c r="R359" s="28" t="s">
        <v>7720</v>
      </c>
      <c r="S359" s="28">
        <v>13.0</v>
      </c>
      <c r="T359" s="28">
        <v>31.0</v>
      </c>
      <c r="U359" s="28">
        <v>78.0</v>
      </c>
      <c r="V359" s="28">
        <v>14.0</v>
      </c>
      <c r="W359" s="28" t="s">
        <v>859</v>
      </c>
      <c r="X359" s="28" t="s">
        <v>272</v>
      </c>
      <c r="Y359" s="28" t="s">
        <v>7721</v>
      </c>
      <c r="Z359" s="28" t="s">
        <v>5918</v>
      </c>
      <c r="AA359" s="28" t="s">
        <v>477</v>
      </c>
      <c r="AB359" s="28">
        <v>15.0</v>
      </c>
      <c r="AC359" s="28" t="s">
        <v>23</v>
      </c>
      <c r="AD359" s="28" t="s">
        <v>101</v>
      </c>
      <c r="AE359" s="28" t="s">
        <v>15</v>
      </c>
      <c r="AF359" s="23"/>
      <c r="AG359" s="23"/>
      <c r="AH359" s="23" t="str">
        <f>IFERROR(__xludf.DUMMYFUNCTION("IF(
ISNUMBER(MATCH(
C359,
IMPORTRANGE(""https://docs.google.com/spreadsheets/d/1yTh1ELC33JHYOeEdgIiEclxPRyh0zOKtlawDltfUay8"",""'Interns'!A:A""),
0
)),
""Outreach Conducted"",
"""")"),"")</f>
        <v/>
      </c>
      <c r="AI359" s="23"/>
      <c r="AJ359" s="23"/>
      <c r="AK359" s="23" t="str">
        <f>IFERROR(__xludf.DUMMYFUNCTION("XLOOKUP(C359, 
   IMPORTRANGE(""1RdEdgHYrZ33LJ7RUHj_h-qkAFL92bcVjtIdVa-UlsCw"", ""Interns!D:D""), 
   IMPORTRANGE(""1RdEdgHYrZ33LJ7RUHj_h-qkAFL92bcVjtIdVa-UlsCw"", ""Interns!M:M""), 
   ""Not Found"")"),"")</f>
        <v/>
      </c>
      <c r="AL359" s="23" t="str">
        <f>IFERROR(__xludf.DUMMYFUNCTION("XLOOKUP(C359, 
   IMPORTRANGE(""1RdEdgHYrZ33LJ7RUHj_h-qkAFL92bcVjtIdVa-UlsCw"", ""Interns!D:D""), 
   IMPORTRANGE(""1RdEdgHYrZ33LJ7RUHj_h-qkAFL92bcVjtIdVa-UlsCw"", ""Interns!N:N""), 
   ""Not Found"")"),"")</f>
        <v/>
      </c>
      <c r="AM359" s="23" t="str">
        <f>IFERROR(__xludf.DUMMYFUNCTION("XLOOKUP(C359, 
   IMPORTRANGE(""1RdEdgHYrZ33LJ7RUHj_h-qkAFL92bcVjtIdVa-UlsCw"", ""Interns!D:D""), 
   IMPORTRANGE(""1RdEdgHYrZ33LJ7RUHj_h-qkAFL92bcVjtIdVa-UlsCw"", ""Interns!O:O""), 
   ""Not Found"")"),"")</f>
        <v/>
      </c>
      <c r="AN359" s="23"/>
      <c r="AO359" s="23" t="s">
        <v>7722</v>
      </c>
      <c r="AP359" s="28" t="s">
        <v>5191</v>
      </c>
      <c r="AQ359" s="28"/>
      <c r="AR359" s="23"/>
      <c r="AS359" s="23"/>
      <c r="AT359" s="23"/>
      <c r="AU359" s="23"/>
      <c r="AV359" s="23"/>
    </row>
    <row r="360">
      <c r="A360" s="28" t="s">
        <v>5161</v>
      </c>
      <c r="B360" s="28" t="s">
        <v>5162</v>
      </c>
      <c r="C360" s="23" t="str">
        <f t="shared" si="1"/>
        <v>Jeter Perez</v>
      </c>
      <c r="D360" s="28" t="s">
        <v>7723</v>
      </c>
      <c r="E360" s="28" t="s">
        <v>5175</v>
      </c>
      <c r="F360" s="23">
        <f t="array" ref="F360">IFERROR(
    INDEX('Hub Interns 226'!A:A, MATCH(C360, 'Hub Interns 226'!B:B, 0)),"")</f>
        <v>1292</v>
      </c>
      <c r="G360" s="23">
        <f t="array" ref="G360">IFERROR(
    INDEX('Hub Users 226'!A:A, MATCH(C360, 'Hub Users 226'!B:B, 0)),"")</f>
        <v>1785</v>
      </c>
      <c r="H360" s="28">
        <v>1678.0</v>
      </c>
      <c r="I360" s="28" t="s">
        <v>290</v>
      </c>
      <c r="J360" s="28" t="s">
        <v>5336</v>
      </c>
      <c r="K360" s="28" t="s">
        <v>5177</v>
      </c>
      <c r="L360" s="28" t="s">
        <v>5165</v>
      </c>
      <c r="M360" s="56" t="s">
        <v>7724</v>
      </c>
      <c r="N360" s="59">
        <v>45225.998611111114</v>
      </c>
      <c r="O360" s="58">
        <v>38902.0</v>
      </c>
      <c r="P360" s="28">
        <f t="shared" si="12"/>
        <v>19</v>
      </c>
      <c r="Q360" s="28" t="s">
        <v>7725</v>
      </c>
      <c r="R360" s="28" t="s">
        <v>7726</v>
      </c>
      <c r="S360" s="28">
        <v>15.0</v>
      </c>
      <c r="T360" s="28">
        <v>33.0</v>
      </c>
      <c r="U360" s="28">
        <v>86.0</v>
      </c>
      <c r="V360" s="28">
        <v>15.0</v>
      </c>
      <c r="W360" s="28" t="s">
        <v>859</v>
      </c>
      <c r="X360" s="28" t="s">
        <v>272</v>
      </c>
      <c r="Y360" s="28">
        <v>9.172020363E9</v>
      </c>
      <c r="Z360" s="28" t="s">
        <v>5918</v>
      </c>
      <c r="AA360" s="28" t="s">
        <v>477</v>
      </c>
      <c r="AB360" s="28">
        <v>15.0</v>
      </c>
      <c r="AC360" s="28" t="s">
        <v>25</v>
      </c>
      <c r="AD360" s="23"/>
      <c r="AE360" s="28" t="s">
        <v>18</v>
      </c>
      <c r="AF360" s="23" t="str">
        <f>IFERROR(__xludf.DUMMYFUNCTION("TEXTJOIN("", "", TRUE,
  FILTER(Champions!C:C,
    ISNUMBER(SEARCH(C360, Champions!W:W))
  )
)"),"AUGUSTO SALCEDO, Daniela Fernandez Espinosa, Jenny Lisbet Chickering")</f>
        <v>AUGUSTO SALCEDO, Daniela Fernandez Espinosa, Jenny Lisbet Chickering</v>
      </c>
      <c r="AG360" s="23"/>
      <c r="AH360" s="23" t="str">
        <f>IFERROR(__xludf.DUMMYFUNCTION("IF(
ISNUMBER(MATCH(
C360,
IMPORTRANGE(""https://docs.google.com/spreadsheets/d/1yTh1ELC33JHYOeEdgIiEclxPRyh0zOKtlawDltfUay8"",""'Interns'!A:A""),
0
)),
""Outreach Conducted"",
"""")"),"")</f>
        <v/>
      </c>
      <c r="AI360" s="23"/>
      <c r="AJ360" s="23"/>
      <c r="AK360" s="23" t="str">
        <f>IFERROR(__xludf.DUMMYFUNCTION("XLOOKUP(C360, 
   IMPORTRANGE(""1RdEdgHYrZ33LJ7RUHj_h-qkAFL92bcVjtIdVa-UlsCw"", ""Interns!D:D""), 
   IMPORTRANGE(""1RdEdgHYrZ33LJ7RUHj_h-qkAFL92bcVjtIdVa-UlsCw"", ""Interns!M:M""), 
   ""Not Found"")"),"")</f>
        <v/>
      </c>
      <c r="AL360" s="23" t="str">
        <f>IFERROR(__xludf.DUMMYFUNCTION("XLOOKUP(C360, 
   IMPORTRANGE(""1RdEdgHYrZ33LJ7RUHj_h-qkAFL92bcVjtIdVa-UlsCw"", ""Interns!D:D""), 
   IMPORTRANGE(""1RdEdgHYrZ33LJ7RUHj_h-qkAFL92bcVjtIdVa-UlsCw"", ""Interns!N:N""), 
   ""Not Found"")"),"")</f>
        <v/>
      </c>
      <c r="AM360" s="23" t="str">
        <f>IFERROR(__xludf.DUMMYFUNCTION("XLOOKUP(C360, 
   IMPORTRANGE(""1RdEdgHYrZ33LJ7RUHj_h-qkAFL92bcVjtIdVa-UlsCw"", ""Interns!D:D""), 
   IMPORTRANGE(""1RdEdgHYrZ33LJ7RUHj_h-qkAFL92bcVjtIdVa-UlsCw"", ""Interns!O:O""), 
   ""Not Found"")"),"")</f>
        <v/>
      </c>
      <c r="AN360" s="23"/>
      <c r="AO360" s="23" t="s">
        <v>7727</v>
      </c>
      <c r="AP360" s="28" t="s">
        <v>5182</v>
      </c>
      <c r="AQ360" s="28" t="s">
        <v>7728</v>
      </c>
      <c r="AR360" s="23">
        <v>3.473035887E9</v>
      </c>
      <c r="AS360" s="23"/>
      <c r="AT360" s="23"/>
      <c r="AU360" s="23"/>
      <c r="AV360" s="23"/>
    </row>
    <row r="361">
      <c r="A361" s="28" t="s">
        <v>5202</v>
      </c>
      <c r="B361" s="28" t="s">
        <v>5162</v>
      </c>
      <c r="C361" s="23" t="str">
        <f t="shared" si="1"/>
        <v>Anyeli Riveras</v>
      </c>
      <c r="D361" s="28" t="s">
        <v>7729</v>
      </c>
      <c r="E361" s="28" t="s">
        <v>7730</v>
      </c>
      <c r="F361" s="23">
        <f t="array" ref="F361">IFERROR(
    INDEX('Hub Interns 226'!A:A, MATCH(C361, 'Hub Interns 226'!B:B, 0)),"")</f>
        <v>251</v>
      </c>
      <c r="G361" s="23">
        <f t="array" ref="G361">IFERROR(
    INDEX('Hub Users 226'!A:A, MATCH(C361, 'Hub Users 226'!B:B, 0)),"")</f>
        <v>684</v>
      </c>
      <c r="H361" s="28">
        <v>937.0</v>
      </c>
      <c r="I361" s="28" t="s">
        <v>260</v>
      </c>
      <c r="J361" s="28" t="s">
        <v>5336</v>
      </c>
      <c r="K361" s="28" t="s">
        <v>5177</v>
      </c>
      <c r="L361" s="28" t="s">
        <v>5196</v>
      </c>
      <c r="M361" s="56" t="s">
        <v>7731</v>
      </c>
      <c r="N361" s="57">
        <v>44603.48402777778</v>
      </c>
      <c r="O361" s="58">
        <v>37735.0</v>
      </c>
      <c r="P361" s="28">
        <f t="shared" si="12"/>
        <v>23</v>
      </c>
      <c r="Q361" s="28" t="s">
        <v>240</v>
      </c>
      <c r="R361" s="28" t="s">
        <v>7732</v>
      </c>
      <c r="S361" s="28"/>
      <c r="T361" s="28"/>
      <c r="U361" s="28"/>
      <c r="V361" s="28"/>
      <c r="W361" s="28"/>
      <c r="X361" s="28" t="s">
        <v>272</v>
      </c>
      <c r="Y361" s="28" t="s">
        <v>7733</v>
      </c>
      <c r="Z361" s="28" t="s">
        <v>5208</v>
      </c>
      <c r="AA361" s="28" t="s">
        <v>2141</v>
      </c>
      <c r="AB361" s="28">
        <v>8.0</v>
      </c>
      <c r="AC361" s="28" t="s">
        <v>24</v>
      </c>
      <c r="AD361" s="23"/>
      <c r="AE361" s="28" t="s">
        <v>10</v>
      </c>
      <c r="AF361" s="23"/>
      <c r="AG361" s="23"/>
      <c r="AH361" s="23" t="str">
        <f>IFERROR(__xludf.DUMMYFUNCTION("IF(
ISNUMBER(MATCH(
C361,
IMPORTRANGE(""https://docs.google.com/spreadsheets/d/1yTh1ELC33JHYOeEdgIiEclxPRyh0zOKtlawDltfUay8"",""'Interns'!A:A""),
0
)),
""Outreach Conducted"",
"""")"),"")</f>
        <v/>
      </c>
      <c r="AI361" s="23"/>
      <c r="AJ361" s="23"/>
      <c r="AK361" s="23" t="str">
        <f>IFERROR(__xludf.DUMMYFUNCTION("XLOOKUP(C361, 
   IMPORTRANGE(""1RdEdgHYrZ33LJ7RUHj_h-qkAFL92bcVjtIdVa-UlsCw"", ""Interns!D:D""), 
   IMPORTRANGE(""1RdEdgHYrZ33LJ7RUHj_h-qkAFL92bcVjtIdVa-UlsCw"", ""Interns!M:M""), 
   ""Not Found"")"),"")</f>
        <v/>
      </c>
      <c r="AL361" s="23" t="str">
        <f>IFERROR(__xludf.DUMMYFUNCTION("XLOOKUP(C361, 
   IMPORTRANGE(""1RdEdgHYrZ33LJ7RUHj_h-qkAFL92bcVjtIdVa-UlsCw"", ""Interns!D:D""), 
   IMPORTRANGE(""1RdEdgHYrZ33LJ7RUHj_h-qkAFL92bcVjtIdVa-UlsCw"", ""Interns!N:N""), 
   ""Not Found"")"),"")</f>
        <v/>
      </c>
      <c r="AM361" s="23" t="str">
        <f>IFERROR(__xludf.DUMMYFUNCTION("XLOOKUP(C361, 
   IMPORTRANGE(""1RdEdgHYrZ33LJ7RUHj_h-qkAFL92bcVjtIdVa-UlsCw"", ""Interns!D:D""), 
   IMPORTRANGE(""1RdEdgHYrZ33LJ7RUHj_h-qkAFL92bcVjtIdVa-UlsCw"", ""Interns!O:O""), 
   ""Not Found"")"),"")</f>
        <v/>
      </c>
      <c r="AN361" s="23"/>
      <c r="AO361" s="23" t="s">
        <v>7734</v>
      </c>
      <c r="AP361" s="28" t="s">
        <v>5182</v>
      </c>
      <c r="AQ361" s="28"/>
      <c r="AR361" s="23"/>
      <c r="AS361" s="23"/>
      <c r="AT361" s="23"/>
      <c r="AU361" s="23"/>
      <c r="AV361" s="23"/>
    </row>
    <row r="362">
      <c r="A362" s="28" t="s">
        <v>5161</v>
      </c>
      <c r="B362" s="28" t="s">
        <v>5162</v>
      </c>
      <c r="C362" s="23" t="str">
        <f t="shared" si="1"/>
        <v>Kevin Duran</v>
      </c>
      <c r="D362" s="28" t="s">
        <v>3690</v>
      </c>
      <c r="E362" s="28" t="s">
        <v>4270</v>
      </c>
      <c r="F362" s="23">
        <f t="array" ref="F362">IFERROR(
    INDEX('Hub Interns 226'!A:A, MATCH(C362, 'Hub Interns 226'!B:B, 0)),"")</f>
        <v>1285</v>
      </c>
      <c r="G362" s="23">
        <f t="array" ref="G362">IFERROR(
    INDEX('Hub Users 226'!A:A, MATCH(C362, 'Hub Users 226'!B:B, 0)),"")</f>
        <v>1777</v>
      </c>
      <c r="H362" s="28">
        <v>1660.0</v>
      </c>
      <c r="I362" s="28" t="s">
        <v>407</v>
      </c>
      <c r="J362" s="28" t="s">
        <v>5336</v>
      </c>
      <c r="K362" s="28" t="s">
        <v>5177</v>
      </c>
      <c r="L362" s="28" t="s">
        <v>5165</v>
      </c>
      <c r="M362" s="56" t="s">
        <v>7735</v>
      </c>
      <c r="N362" s="59">
        <v>45212.99097222222</v>
      </c>
      <c r="O362" s="58">
        <v>39749.0</v>
      </c>
      <c r="P362" s="28">
        <f t="shared" si="12"/>
        <v>17</v>
      </c>
      <c r="Q362" s="28" t="s">
        <v>7736</v>
      </c>
      <c r="R362" s="28" t="s">
        <v>7737</v>
      </c>
      <c r="S362" s="28">
        <v>15.0</v>
      </c>
      <c r="T362" s="28">
        <v>33.0</v>
      </c>
      <c r="U362" s="28">
        <v>78.0</v>
      </c>
      <c r="V362" s="28">
        <v>15.0</v>
      </c>
      <c r="W362" s="28" t="s">
        <v>859</v>
      </c>
      <c r="X362" s="28" t="s">
        <v>272</v>
      </c>
      <c r="Y362" s="28" t="s">
        <v>7738</v>
      </c>
      <c r="Z362" s="28" t="s">
        <v>5918</v>
      </c>
      <c r="AA362" s="28" t="s">
        <v>477</v>
      </c>
      <c r="AB362" s="28">
        <v>15.0</v>
      </c>
      <c r="AC362" s="28" t="s">
        <v>25</v>
      </c>
      <c r="AD362" s="23"/>
      <c r="AE362" s="28" t="s">
        <v>18</v>
      </c>
      <c r="AF362" s="23" t="str">
        <f>IFERROR(__xludf.DUMMYFUNCTION("TEXTJOIN("", "", TRUE,
  FILTER(Champions!C:C,
    ISNUMBER(SEARCH(C362, Champions!W:W))
  )
)"),"Leif Castren, Carlos Abad, Jonathan Pinque")</f>
        <v>Leif Castren, Carlos Abad, Jonathan Pinque</v>
      </c>
      <c r="AG362" s="23"/>
      <c r="AH362" s="23" t="str">
        <f>IFERROR(__xludf.DUMMYFUNCTION("IF(
ISNUMBER(MATCH(
C362,
IMPORTRANGE(""https://docs.google.com/spreadsheets/d/1yTh1ELC33JHYOeEdgIiEclxPRyh0zOKtlawDltfUay8"",""'Interns'!A:A""),
0
)),
""Outreach Conducted"",
"""")"),"")</f>
        <v/>
      </c>
      <c r="AI362" s="23"/>
      <c r="AJ362" s="23"/>
      <c r="AK362" s="23" t="str">
        <f>IFERROR(__xludf.DUMMYFUNCTION("XLOOKUP(C362, 
   IMPORTRANGE(""1RdEdgHYrZ33LJ7RUHj_h-qkAFL92bcVjtIdVa-UlsCw"", ""Interns!D:D""), 
   IMPORTRANGE(""1RdEdgHYrZ33LJ7RUHj_h-qkAFL92bcVjtIdVa-UlsCw"", ""Interns!M:M""), 
   ""Not Found"")"),"")</f>
        <v/>
      </c>
      <c r="AL362" s="23" t="str">
        <f>IFERROR(__xludf.DUMMYFUNCTION("XLOOKUP(C362, 
   IMPORTRANGE(""1RdEdgHYrZ33LJ7RUHj_h-qkAFL92bcVjtIdVa-UlsCw"", ""Interns!D:D""), 
   IMPORTRANGE(""1RdEdgHYrZ33LJ7RUHj_h-qkAFL92bcVjtIdVa-UlsCw"", ""Interns!N:N""), 
   ""Not Found"")"),"")</f>
        <v/>
      </c>
      <c r="AM362" s="23" t="str">
        <f>IFERROR(__xludf.DUMMYFUNCTION("XLOOKUP(C362, 
   IMPORTRANGE(""1RdEdgHYrZ33LJ7RUHj_h-qkAFL92bcVjtIdVa-UlsCw"", ""Interns!D:D""), 
   IMPORTRANGE(""1RdEdgHYrZ33LJ7RUHj_h-qkAFL92bcVjtIdVa-UlsCw"", ""Interns!O:O""), 
   ""Not Found"")"),"")</f>
        <v/>
      </c>
      <c r="AN362" s="23"/>
      <c r="AO362" s="23">
        <v>10458.0</v>
      </c>
      <c r="AP362" s="28" t="s">
        <v>5191</v>
      </c>
      <c r="AQ362" s="28" t="s">
        <v>7735</v>
      </c>
      <c r="AR362" s="23">
        <v>6.46474244E9</v>
      </c>
      <c r="AS362" s="23"/>
      <c r="AT362" s="23"/>
      <c r="AU362" s="23"/>
      <c r="AV362" s="23"/>
    </row>
    <row r="363">
      <c r="A363" s="28" t="s">
        <v>5161</v>
      </c>
      <c r="B363" s="28" t="s">
        <v>5162</v>
      </c>
      <c r="C363" s="23" t="str">
        <f t="shared" si="1"/>
        <v>Danna Acosta Medina</v>
      </c>
      <c r="D363" s="28" t="s">
        <v>6774</v>
      </c>
      <c r="E363" s="28" t="s">
        <v>7739</v>
      </c>
      <c r="F363" s="23">
        <f t="array" ref="F363">IFERROR(
    INDEX('Hub Interns 226'!A:A, MATCH(C363, 'Hub Interns 226'!B:B, 0)),"")</f>
        <v>400</v>
      </c>
      <c r="G363" s="23">
        <f t="array" ref="G363">IFERROR(
    INDEX('Hub Users 226'!A:A, MATCH(C363, 'Hub Users 226'!B:B, 0)),"")</f>
        <v>833</v>
      </c>
      <c r="H363" s="28">
        <v>1259.0</v>
      </c>
      <c r="I363" s="28"/>
      <c r="J363" s="28" t="s">
        <v>5336</v>
      </c>
      <c r="K363" s="28" t="s">
        <v>5177</v>
      </c>
      <c r="L363" s="28" t="s">
        <v>5196</v>
      </c>
      <c r="M363" s="56" t="s">
        <v>7740</v>
      </c>
      <c r="N363" s="59">
        <v>44845.39097222222</v>
      </c>
      <c r="O363" s="58">
        <v>38872.0</v>
      </c>
      <c r="P363" s="28">
        <f t="shared" si="12"/>
        <v>19</v>
      </c>
      <c r="Q363" s="28" t="s">
        <v>240</v>
      </c>
      <c r="R363" s="28" t="s">
        <v>7741</v>
      </c>
      <c r="S363" s="28">
        <v>15.0</v>
      </c>
      <c r="T363" s="28">
        <v>33.0</v>
      </c>
      <c r="U363" s="28">
        <v>78.0</v>
      </c>
      <c r="V363" s="28">
        <v>15.0</v>
      </c>
      <c r="W363" s="28" t="s">
        <v>859</v>
      </c>
      <c r="X363" s="28" t="s">
        <v>272</v>
      </c>
      <c r="Y363" s="28" t="s">
        <v>7742</v>
      </c>
      <c r="Z363" s="28" t="s">
        <v>5918</v>
      </c>
      <c r="AA363" s="28" t="s">
        <v>477</v>
      </c>
      <c r="AB363" s="28">
        <v>15.0</v>
      </c>
      <c r="AC363" s="28" t="s">
        <v>23</v>
      </c>
      <c r="AD363" s="23"/>
      <c r="AE363" s="28" t="s">
        <v>15</v>
      </c>
      <c r="AF363" s="23"/>
      <c r="AG363" s="23"/>
      <c r="AH363" s="23" t="str">
        <f>IFERROR(__xludf.DUMMYFUNCTION("IF(
ISNUMBER(MATCH(
C363,
IMPORTRANGE(""https://docs.google.com/spreadsheets/d/1yTh1ELC33JHYOeEdgIiEclxPRyh0zOKtlawDltfUay8"",""'Interns'!A:A""),
0
)),
""Outreach Conducted"",
"""")"),"")</f>
        <v/>
      </c>
      <c r="AI363" s="23"/>
      <c r="AJ363" s="23"/>
      <c r="AK363" s="23" t="str">
        <f>IFERROR(__xludf.DUMMYFUNCTION("XLOOKUP(C363, 
   IMPORTRANGE(""1RdEdgHYrZ33LJ7RUHj_h-qkAFL92bcVjtIdVa-UlsCw"", ""Interns!D:D""), 
   IMPORTRANGE(""1RdEdgHYrZ33LJ7RUHj_h-qkAFL92bcVjtIdVa-UlsCw"", ""Interns!M:M""), 
   ""Not Found"")"),"")</f>
        <v/>
      </c>
      <c r="AL363" s="23" t="str">
        <f>IFERROR(__xludf.DUMMYFUNCTION("XLOOKUP(C363, 
   IMPORTRANGE(""1RdEdgHYrZ33LJ7RUHj_h-qkAFL92bcVjtIdVa-UlsCw"", ""Interns!D:D""), 
   IMPORTRANGE(""1RdEdgHYrZ33LJ7RUHj_h-qkAFL92bcVjtIdVa-UlsCw"", ""Interns!N:N""), 
   ""Not Found"")"),"")</f>
        <v/>
      </c>
      <c r="AM363" s="23" t="str">
        <f>IFERROR(__xludf.DUMMYFUNCTION("XLOOKUP(C363, 
   IMPORTRANGE(""1RdEdgHYrZ33LJ7RUHj_h-qkAFL92bcVjtIdVa-UlsCw"", ""Interns!D:D""), 
   IMPORTRANGE(""1RdEdgHYrZ33LJ7RUHj_h-qkAFL92bcVjtIdVa-UlsCw"", ""Interns!O:O""), 
   ""Not Found"")"),"")</f>
        <v/>
      </c>
      <c r="AN363" s="23"/>
      <c r="AO363" s="23" t="s">
        <v>7743</v>
      </c>
      <c r="AP363" s="28" t="s">
        <v>5182</v>
      </c>
      <c r="AQ363" s="28"/>
      <c r="AR363" s="23"/>
      <c r="AS363" s="23"/>
      <c r="AT363" s="23"/>
      <c r="AU363" s="23"/>
      <c r="AV363" s="23"/>
    </row>
    <row r="364">
      <c r="A364" s="28" t="s">
        <v>5202</v>
      </c>
      <c r="B364" s="28" t="s">
        <v>5162</v>
      </c>
      <c r="C364" s="23" t="str">
        <f t="shared" si="1"/>
        <v>Treicy Colon</v>
      </c>
      <c r="D364" s="28" t="s">
        <v>7744</v>
      </c>
      <c r="E364" s="28" t="s">
        <v>5335</v>
      </c>
      <c r="F364" s="23">
        <f t="array" ref="F364">IFERROR(
    INDEX('Hub Interns 226'!A:A, MATCH(C364, 'Hub Interns 226'!B:B, 0)),"")</f>
        <v>68</v>
      </c>
      <c r="G364" s="23">
        <f t="array" ref="G364">IFERROR(
    INDEX('Hub Users 226'!A:A, MATCH(C364, 'Hub Users 226'!B:B, 0)),"")</f>
        <v>501</v>
      </c>
      <c r="H364" s="28">
        <v>917.0</v>
      </c>
      <c r="I364" s="28" t="s">
        <v>239</v>
      </c>
      <c r="J364" s="28" t="s">
        <v>5336</v>
      </c>
      <c r="K364" s="28" t="s">
        <v>5177</v>
      </c>
      <c r="L364" s="28" t="s">
        <v>5196</v>
      </c>
      <c r="M364" s="56" t="s">
        <v>7745</v>
      </c>
      <c r="N364" s="57">
        <v>44602.631944444445</v>
      </c>
      <c r="O364" s="58">
        <v>38581.0</v>
      </c>
      <c r="P364" s="28">
        <f t="shared" si="12"/>
        <v>20</v>
      </c>
      <c r="Q364" s="28" t="s">
        <v>240</v>
      </c>
      <c r="R364" s="28" t="s">
        <v>7746</v>
      </c>
      <c r="S364" s="28">
        <v>7.0</v>
      </c>
      <c r="T364" s="28">
        <v>18.0</v>
      </c>
      <c r="U364" s="28">
        <v>54.0</v>
      </c>
      <c r="V364" s="28">
        <v>37.0</v>
      </c>
      <c r="W364" s="28" t="s">
        <v>294</v>
      </c>
      <c r="X364" s="28" t="s">
        <v>272</v>
      </c>
      <c r="Y364" s="28" t="s">
        <v>7747</v>
      </c>
      <c r="Z364" s="28" t="s">
        <v>5259</v>
      </c>
      <c r="AA364" s="28" t="s">
        <v>704</v>
      </c>
      <c r="AB364" s="28">
        <v>2.0</v>
      </c>
      <c r="AC364" s="28" t="s">
        <v>24</v>
      </c>
      <c r="AD364" s="23"/>
      <c r="AE364" s="28" t="s">
        <v>10</v>
      </c>
      <c r="AF364" s="23"/>
      <c r="AG364" s="23"/>
      <c r="AH364" s="23" t="str">
        <f>IFERROR(__xludf.DUMMYFUNCTION("IF(
ISNUMBER(MATCH(
C364,
IMPORTRANGE(""https://docs.google.com/spreadsheets/d/1yTh1ELC33JHYOeEdgIiEclxPRyh0zOKtlawDltfUay8"",""'Interns'!A:A""),
0
)),
""Outreach Conducted"",
"""")"),"")</f>
        <v/>
      </c>
      <c r="AI364" s="23"/>
      <c r="AJ364" s="23"/>
      <c r="AK364" s="23" t="str">
        <f>IFERROR(__xludf.DUMMYFUNCTION("XLOOKUP(C364, 
   IMPORTRANGE(""1RdEdgHYrZ33LJ7RUHj_h-qkAFL92bcVjtIdVa-UlsCw"", ""Interns!D:D""), 
   IMPORTRANGE(""1RdEdgHYrZ33LJ7RUHj_h-qkAFL92bcVjtIdVa-UlsCw"", ""Interns!M:M""), 
   ""Not Found"")"),"")</f>
        <v/>
      </c>
      <c r="AL364" s="23" t="str">
        <f>IFERROR(__xludf.DUMMYFUNCTION("XLOOKUP(C364, 
   IMPORTRANGE(""1RdEdgHYrZ33LJ7RUHj_h-qkAFL92bcVjtIdVa-UlsCw"", ""Interns!D:D""), 
   IMPORTRANGE(""1RdEdgHYrZ33LJ7RUHj_h-qkAFL92bcVjtIdVa-UlsCw"", ""Interns!N:N""), 
   ""Not Found"")"),"")</f>
        <v/>
      </c>
      <c r="AM364" s="23" t="str">
        <f>IFERROR(__xludf.DUMMYFUNCTION("XLOOKUP(C364, 
   IMPORTRANGE(""1RdEdgHYrZ33LJ7RUHj_h-qkAFL92bcVjtIdVa-UlsCw"", ""Interns!D:D""), 
   IMPORTRANGE(""1RdEdgHYrZ33LJ7RUHj_h-qkAFL92bcVjtIdVa-UlsCw"", ""Interns!O:O""), 
   ""Not Found"")"),"")</f>
        <v/>
      </c>
      <c r="AN364" s="23"/>
      <c r="AO364" s="23" t="s">
        <v>7748</v>
      </c>
      <c r="AP364" s="28" t="s">
        <v>5191</v>
      </c>
      <c r="AQ364" s="28"/>
      <c r="AR364" s="23"/>
      <c r="AS364" s="23"/>
      <c r="AT364" s="23"/>
      <c r="AU364" s="23"/>
      <c r="AV364" s="23"/>
    </row>
    <row r="365">
      <c r="A365" s="28" t="s">
        <v>5161</v>
      </c>
      <c r="B365" s="28" t="s">
        <v>5162</v>
      </c>
      <c r="C365" s="23" t="str">
        <f t="shared" si="1"/>
        <v>Sebastian Francisco</v>
      </c>
      <c r="D365" s="28" t="s">
        <v>6733</v>
      </c>
      <c r="E365" s="28" t="s">
        <v>7582</v>
      </c>
      <c r="F365" s="23">
        <f t="array" ref="F365">IFERROR(
    INDEX('Hub Interns 226'!A:A, MATCH(C365, 'Hub Interns 226'!B:B, 0)),"")</f>
        <v>1089</v>
      </c>
      <c r="G365" s="23">
        <f t="array" ref="G365">IFERROR(
    INDEX('Hub Users 226'!A:A, MATCH(C365, 'Hub Users 226'!B:B, 0)),"")</f>
        <v>1522</v>
      </c>
      <c r="H365" s="28">
        <v>498.0</v>
      </c>
      <c r="I365" s="28" t="s">
        <v>608</v>
      </c>
      <c r="J365" s="28" t="s">
        <v>5336</v>
      </c>
      <c r="K365" s="28" t="s">
        <v>5177</v>
      </c>
      <c r="L365" s="28" t="s">
        <v>5165</v>
      </c>
      <c r="M365" s="56" t="s">
        <v>7749</v>
      </c>
      <c r="N365" s="57">
        <v>44475.65555555555</v>
      </c>
      <c r="O365" s="58">
        <v>39341.0</v>
      </c>
      <c r="P365" s="28">
        <f t="shared" si="12"/>
        <v>18</v>
      </c>
      <c r="Q365" s="28" t="s">
        <v>7750</v>
      </c>
      <c r="R365" s="28" t="s">
        <v>7751</v>
      </c>
      <c r="S365" s="28">
        <v>13.0</v>
      </c>
      <c r="T365" s="28">
        <v>33.0</v>
      </c>
      <c r="U365" s="28">
        <v>78.0</v>
      </c>
      <c r="V365" s="28">
        <v>15.0</v>
      </c>
      <c r="W365" s="28" t="s">
        <v>859</v>
      </c>
      <c r="X365" s="28" t="s">
        <v>272</v>
      </c>
      <c r="Y365" s="28" t="s">
        <v>7752</v>
      </c>
      <c r="Z365" s="28" t="s">
        <v>5918</v>
      </c>
      <c r="AA365" s="28" t="s">
        <v>477</v>
      </c>
      <c r="AB365" s="28">
        <v>15.0</v>
      </c>
      <c r="AC365" s="28" t="s">
        <v>25</v>
      </c>
      <c r="AD365" s="23"/>
      <c r="AE365" s="28" t="s">
        <v>10</v>
      </c>
      <c r="AF365" s="23" t="str">
        <f>IFERROR(__xludf.DUMMYFUNCTION("TEXTJOIN("", "", TRUE,
  FILTER(Champions!C:C,
    ISNUMBER(SEARCH(C365, Champions!W:W))
  )
)"),"Lata Murti, Renata Lozano Giral, Sarah Anne Mead Lupberger")</f>
        <v>Lata Murti, Renata Lozano Giral, Sarah Anne Mead Lupberger</v>
      </c>
      <c r="AG365" s="23"/>
      <c r="AH365" s="23" t="str">
        <f>IFERROR(__xludf.DUMMYFUNCTION("IF(
ISNUMBER(MATCH(
C365,
IMPORTRANGE(""https://docs.google.com/spreadsheets/d/1yTh1ELC33JHYOeEdgIiEclxPRyh0zOKtlawDltfUay8"",""'Interns'!A:A""),
0
)),
""Outreach Conducted"",
"""")"),"")</f>
        <v/>
      </c>
      <c r="AI365" s="23"/>
      <c r="AJ365" s="23"/>
      <c r="AK365" s="23" t="str">
        <f>IFERROR(__xludf.DUMMYFUNCTION("XLOOKUP(C365, 
   IMPORTRANGE(""1RdEdgHYrZ33LJ7RUHj_h-qkAFL92bcVjtIdVa-UlsCw"", ""Interns!D:D""), 
   IMPORTRANGE(""1RdEdgHYrZ33LJ7RUHj_h-qkAFL92bcVjtIdVa-UlsCw"", ""Interns!M:M""), 
   ""Not Found"")"),"")</f>
        <v/>
      </c>
      <c r="AL365" s="23" t="str">
        <f>IFERROR(__xludf.DUMMYFUNCTION("XLOOKUP(C365, 
   IMPORTRANGE(""1RdEdgHYrZ33LJ7RUHj_h-qkAFL92bcVjtIdVa-UlsCw"", ""Interns!D:D""), 
   IMPORTRANGE(""1RdEdgHYrZ33LJ7RUHj_h-qkAFL92bcVjtIdVa-UlsCw"", ""Interns!N:N""), 
   ""Not Found"")"),"")</f>
        <v/>
      </c>
      <c r="AM365" s="23" t="str">
        <f>IFERROR(__xludf.DUMMYFUNCTION("XLOOKUP(C365, 
   IMPORTRANGE(""1RdEdgHYrZ33LJ7RUHj_h-qkAFL92bcVjtIdVa-UlsCw"", ""Interns!D:D""), 
   IMPORTRANGE(""1RdEdgHYrZ33LJ7RUHj_h-qkAFL92bcVjtIdVa-UlsCw"", ""Interns!O:O""), 
   ""Not Found"")"),"")</f>
        <v/>
      </c>
      <c r="AN365" s="23"/>
      <c r="AO365" s="23" t="s">
        <v>7753</v>
      </c>
      <c r="AP365" s="28" t="s">
        <v>5182</v>
      </c>
      <c r="AQ365" s="28" t="s">
        <v>7754</v>
      </c>
      <c r="AR365" s="23" t="s">
        <v>7755</v>
      </c>
      <c r="AS365" s="23"/>
      <c r="AT365" s="23"/>
      <c r="AU365" s="23"/>
      <c r="AV365" s="23"/>
    </row>
    <row r="366">
      <c r="A366" s="28" t="s">
        <v>5161</v>
      </c>
      <c r="B366" s="28" t="s">
        <v>5162</v>
      </c>
      <c r="C366" s="23" t="str">
        <f t="shared" si="1"/>
        <v>Charlin Liz</v>
      </c>
      <c r="D366" s="28" t="s">
        <v>7756</v>
      </c>
      <c r="E366" s="28" t="s">
        <v>7159</v>
      </c>
      <c r="F366" s="23">
        <f t="array" ref="F366">IFERROR(
    INDEX('Hub Interns 226'!A:A, MATCH(C366, 'Hub Interns 226'!B:B, 0)),"")</f>
        <v>789</v>
      </c>
      <c r="G366" s="23">
        <f t="array" ref="G366">IFERROR(
    INDEX('Hub Users 226'!A:A, MATCH(C366, 'Hub Users 226'!B:B, 0)),"")</f>
        <v>1222</v>
      </c>
      <c r="H366" s="28">
        <v>396.0</v>
      </c>
      <c r="I366" s="28" t="s">
        <v>260</v>
      </c>
      <c r="J366" s="28" t="s">
        <v>5336</v>
      </c>
      <c r="K366" s="28" t="s">
        <v>5177</v>
      </c>
      <c r="L366" s="28" t="s">
        <v>5196</v>
      </c>
      <c r="M366" s="56" t="s">
        <v>7757</v>
      </c>
      <c r="N366" s="57">
        <v>44285.56319444445</v>
      </c>
      <c r="O366" s="58">
        <v>37537.0</v>
      </c>
      <c r="P366" s="28">
        <f t="shared" si="12"/>
        <v>23</v>
      </c>
      <c r="Q366" s="28" t="s">
        <v>240</v>
      </c>
      <c r="R366" s="28" t="s">
        <v>7758</v>
      </c>
      <c r="S366" s="28">
        <v>8.0</v>
      </c>
      <c r="T366" s="28">
        <v>25.0</v>
      </c>
      <c r="U366" s="28">
        <v>55.0</v>
      </c>
      <c r="V366" s="28">
        <v>37.0</v>
      </c>
      <c r="W366" s="28" t="s">
        <v>294</v>
      </c>
      <c r="X366" s="28" t="s">
        <v>272</v>
      </c>
      <c r="Y366" s="28" t="s">
        <v>7759</v>
      </c>
      <c r="Z366" s="28" t="s">
        <v>7760</v>
      </c>
      <c r="AA366" s="28" t="s">
        <v>7761</v>
      </c>
      <c r="AB366" s="28">
        <v>38.0</v>
      </c>
      <c r="AC366" s="28" t="s">
        <v>24</v>
      </c>
      <c r="AD366" s="23"/>
      <c r="AE366" s="28" t="s">
        <v>8</v>
      </c>
      <c r="AF366" s="23"/>
      <c r="AG366" s="23"/>
      <c r="AH366" s="23" t="str">
        <f>IFERROR(__xludf.DUMMYFUNCTION("IF(
ISNUMBER(MATCH(
C366,
IMPORTRANGE(""https://docs.google.com/spreadsheets/d/1yTh1ELC33JHYOeEdgIiEclxPRyh0zOKtlawDltfUay8"",""'Interns'!A:A""),
0
)),
""Outreach Conducted"",
"""")"),"")</f>
        <v/>
      </c>
      <c r="AI366" s="23"/>
      <c r="AJ366" s="23"/>
      <c r="AK366" s="23" t="str">
        <f>IFERROR(__xludf.DUMMYFUNCTION("XLOOKUP(C366, 
   IMPORTRANGE(""1RdEdgHYrZ33LJ7RUHj_h-qkAFL92bcVjtIdVa-UlsCw"", ""Interns!D:D""), 
   IMPORTRANGE(""1RdEdgHYrZ33LJ7RUHj_h-qkAFL92bcVjtIdVa-UlsCw"", ""Interns!M:M""), 
   ""Not Found"")"),"")</f>
        <v/>
      </c>
      <c r="AL366" s="23" t="str">
        <f>IFERROR(__xludf.DUMMYFUNCTION("XLOOKUP(C366, 
   IMPORTRANGE(""1RdEdgHYrZ33LJ7RUHj_h-qkAFL92bcVjtIdVa-UlsCw"", ""Interns!D:D""), 
   IMPORTRANGE(""1RdEdgHYrZ33LJ7RUHj_h-qkAFL92bcVjtIdVa-UlsCw"", ""Interns!N:N""), 
   ""Not Found"")"),"")</f>
        <v/>
      </c>
      <c r="AM366" s="23" t="str">
        <f>IFERROR(__xludf.DUMMYFUNCTION("XLOOKUP(C366, 
   IMPORTRANGE(""1RdEdgHYrZ33LJ7RUHj_h-qkAFL92bcVjtIdVa-UlsCw"", ""Interns!D:D""), 
   IMPORTRANGE(""1RdEdgHYrZ33LJ7RUHj_h-qkAFL92bcVjtIdVa-UlsCw"", ""Interns!O:O""), 
   ""Not Found"")"),"")</f>
        <v/>
      </c>
      <c r="AN366" s="23"/>
      <c r="AO366" s="23" t="s">
        <v>7762</v>
      </c>
      <c r="AP366" s="28" t="s">
        <v>5182</v>
      </c>
      <c r="AQ366" s="28"/>
      <c r="AR366" s="23"/>
      <c r="AS366" s="23"/>
      <c r="AT366" s="23"/>
      <c r="AU366" s="23"/>
      <c r="AV366" s="23"/>
    </row>
    <row r="367">
      <c r="A367" s="28" t="s">
        <v>5202</v>
      </c>
      <c r="B367" s="28" t="s">
        <v>5162</v>
      </c>
      <c r="C367" s="23" t="str">
        <f t="shared" si="1"/>
        <v>Clemely Vasquez</v>
      </c>
      <c r="D367" s="28" t="s">
        <v>7763</v>
      </c>
      <c r="E367" s="28" t="s">
        <v>7764</v>
      </c>
      <c r="F367" s="23">
        <f t="array" ref="F367">IFERROR(
    INDEX('Hub Interns 226'!A:A, MATCH(C367, 'Hub Interns 226'!B:B, 0)),"")</f>
        <v>1172</v>
      </c>
      <c r="G367" s="23">
        <f t="array" ref="G367">IFERROR(
    INDEX('Hub Users 226'!A:A, MATCH(C367, 'Hub Users 226'!B:B, 0)),"")</f>
        <v>1605</v>
      </c>
      <c r="H367" s="28">
        <v>936.0</v>
      </c>
      <c r="I367" s="28" t="s">
        <v>260</v>
      </c>
      <c r="J367" s="28" t="s">
        <v>5336</v>
      </c>
      <c r="K367" s="28" t="s">
        <v>5177</v>
      </c>
      <c r="L367" s="28" t="s">
        <v>5196</v>
      </c>
      <c r="M367" s="56" t="s">
        <v>7765</v>
      </c>
      <c r="N367" s="57">
        <v>44603.48402777778</v>
      </c>
      <c r="O367" s="58">
        <v>38453.0</v>
      </c>
      <c r="P367" s="28">
        <f t="shared" si="12"/>
        <v>21</v>
      </c>
      <c r="Q367" s="28" t="s">
        <v>240</v>
      </c>
      <c r="R367" s="28" t="s">
        <v>7766</v>
      </c>
      <c r="S367" s="28">
        <v>15.0</v>
      </c>
      <c r="T367" s="28">
        <v>32.0</v>
      </c>
      <c r="U367" s="28">
        <v>84.0</v>
      </c>
      <c r="V367" s="28">
        <v>17.0</v>
      </c>
      <c r="W367" s="28" t="s">
        <v>859</v>
      </c>
      <c r="X367" s="28" t="s">
        <v>272</v>
      </c>
      <c r="Y367" s="28" t="s">
        <v>7767</v>
      </c>
      <c r="Z367" s="28" t="s">
        <v>5208</v>
      </c>
      <c r="AA367" s="28" t="s">
        <v>2141</v>
      </c>
      <c r="AB367" s="28">
        <v>8.0</v>
      </c>
      <c r="AC367" s="28" t="s">
        <v>24</v>
      </c>
      <c r="AD367" s="23"/>
      <c r="AE367" s="28" t="s">
        <v>10</v>
      </c>
      <c r="AF367" s="23"/>
      <c r="AG367" s="23"/>
      <c r="AH367" s="23" t="str">
        <f>IFERROR(__xludf.DUMMYFUNCTION("IF(
ISNUMBER(MATCH(
C367,
IMPORTRANGE(""https://docs.google.com/spreadsheets/d/1yTh1ELC33JHYOeEdgIiEclxPRyh0zOKtlawDltfUay8"",""'Interns'!A:A""),
0
)),
""Outreach Conducted"",
"""")"),"")</f>
        <v/>
      </c>
      <c r="AI367" s="23"/>
      <c r="AJ367" s="23"/>
      <c r="AK367" s="23" t="str">
        <f>IFERROR(__xludf.DUMMYFUNCTION("XLOOKUP(C367, 
   IMPORTRANGE(""1RdEdgHYrZ33LJ7RUHj_h-qkAFL92bcVjtIdVa-UlsCw"", ""Interns!D:D""), 
   IMPORTRANGE(""1RdEdgHYrZ33LJ7RUHj_h-qkAFL92bcVjtIdVa-UlsCw"", ""Interns!M:M""), 
   ""Not Found"")"),"")</f>
        <v/>
      </c>
      <c r="AL367" s="23" t="str">
        <f>IFERROR(__xludf.DUMMYFUNCTION("XLOOKUP(C367, 
   IMPORTRANGE(""1RdEdgHYrZ33LJ7RUHj_h-qkAFL92bcVjtIdVa-UlsCw"", ""Interns!D:D""), 
   IMPORTRANGE(""1RdEdgHYrZ33LJ7RUHj_h-qkAFL92bcVjtIdVa-UlsCw"", ""Interns!N:N""), 
   ""Not Found"")"),"")</f>
        <v/>
      </c>
      <c r="AM367" s="23" t="str">
        <f>IFERROR(__xludf.DUMMYFUNCTION("XLOOKUP(C367, 
   IMPORTRANGE(""1RdEdgHYrZ33LJ7RUHj_h-qkAFL92bcVjtIdVa-UlsCw"", ""Interns!D:D""), 
   IMPORTRANGE(""1RdEdgHYrZ33LJ7RUHj_h-qkAFL92bcVjtIdVa-UlsCw"", ""Interns!O:O""), 
   ""Not Found"")"),"")</f>
        <v/>
      </c>
      <c r="AN367" s="23"/>
      <c r="AO367" s="23" t="s">
        <v>7768</v>
      </c>
      <c r="AP367" s="28" t="s">
        <v>5182</v>
      </c>
      <c r="AQ367" s="28"/>
      <c r="AR367" s="23"/>
      <c r="AS367" s="23"/>
      <c r="AT367" s="23"/>
      <c r="AU367" s="23"/>
      <c r="AV367" s="23"/>
    </row>
    <row r="368">
      <c r="A368" s="28" t="s">
        <v>5161</v>
      </c>
      <c r="B368" s="28" t="s">
        <v>5162</v>
      </c>
      <c r="C368" s="23" t="str">
        <f t="shared" si="1"/>
        <v>Marthiel Cruz</v>
      </c>
      <c r="D368" s="28" t="s">
        <v>7769</v>
      </c>
      <c r="E368" s="28" t="s">
        <v>4683</v>
      </c>
      <c r="F368" s="23">
        <f t="array" ref="F368">IFERROR(
    INDEX('Hub Interns 226'!A:A, MATCH(C368, 'Hub Interns 226'!B:B, 0)),"")</f>
        <v>1281</v>
      </c>
      <c r="G368" s="23">
        <f t="array" ref="G368">IFERROR(
    INDEX('Hub Users 226'!A:A, MATCH(C368, 'Hub Users 226'!B:B, 0)),"")</f>
        <v>1767</v>
      </c>
      <c r="H368" s="28">
        <v>1675.0</v>
      </c>
      <c r="I368" s="28" t="s">
        <v>290</v>
      </c>
      <c r="J368" s="28" t="s">
        <v>5336</v>
      </c>
      <c r="K368" s="28" t="s">
        <v>5177</v>
      </c>
      <c r="L368" s="28" t="s">
        <v>5196</v>
      </c>
      <c r="M368" s="56" t="s">
        <v>7770</v>
      </c>
      <c r="N368" s="59">
        <v>45225.98402777778</v>
      </c>
      <c r="O368" s="58">
        <v>45209.0</v>
      </c>
      <c r="P368" s="28">
        <f t="shared" si="12"/>
        <v>2</v>
      </c>
      <c r="Q368" s="28" t="s">
        <v>7771</v>
      </c>
      <c r="R368" s="28" t="s">
        <v>7772</v>
      </c>
      <c r="S368" s="28">
        <v>15.0</v>
      </c>
      <c r="T368" s="28">
        <v>32.0</v>
      </c>
      <c r="U368" s="28">
        <v>86.0</v>
      </c>
      <c r="V368" s="28">
        <v>14.0</v>
      </c>
      <c r="W368" s="28" t="s">
        <v>859</v>
      </c>
      <c r="X368" s="28" t="s">
        <v>272</v>
      </c>
      <c r="Y368" s="23"/>
      <c r="Z368" s="28" t="s">
        <v>5918</v>
      </c>
      <c r="AA368" s="28" t="s">
        <v>477</v>
      </c>
      <c r="AB368" s="28">
        <v>15.0</v>
      </c>
      <c r="AC368" s="28" t="s">
        <v>25</v>
      </c>
      <c r="AD368" s="23"/>
      <c r="AE368" s="28" t="s">
        <v>18</v>
      </c>
      <c r="AF368" s="23" t="str">
        <f>IFERROR(__xludf.DUMMYFUNCTION("TEXTJOIN("", "", TRUE,
  FILTER(Champions!C:C,
    ISNUMBER(SEARCH(C368, Champions!W:W))
  )
)"),"Daniela Fernandez Espinosa, Jenny Lisbet Chickering, Fernanda Montane Azpiri")</f>
        <v>Daniela Fernandez Espinosa, Jenny Lisbet Chickering, Fernanda Montane Azpiri</v>
      </c>
      <c r="AG368" s="23"/>
      <c r="AH368" s="23" t="str">
        <f>IFERROR(__xludf.DUMMYFUNCTION("IF(
ISNUMBER(MATCH(
C368,
IMPORTRANGE(""https://docs.google.com/spreadsheets/d/1yTh1ELC33JHYOeEdgIiEclxPRyh0zOKtlawDltfUay8"",""'Interns'!A:A""),
0
)),
""Outreach Conducted"",
"""")"),"")</f>
        <v/>
      </c>
      <c r="AI368" s="23"/>
      <c r="AJ368" s="23"/>
      <c r="AK368" s="23" t="str">
        <f>IFERROR(__xludf.DUMMYFUNCTION("XLOOKUP(C368, 
   IMPORTRANGE(""1RdEdgHYrZ33LJ7RUHj_h-qkAFL92bcVjtIdVa-UlsCw"", ""Interns!D:D""), 
   IMPORTRANGE(""1RdEdgHYrZ33LJ7RUHj_h-qkAFL92bcVjtIdVa-UlsCw"", ""Interns!M:M""), 
   ""Not Found"")"),"")</f>
        <v/>
      </c>
      <c r="AL368" s="23" t="str">
        <f>IFERROR(__xludf.DUMMYFUNCTION("XLOOKUP(C368, 
   IMPORTRANGE(""1RdEdgHYrZ33LJ7RUHj_h-qkAFL92bcVjtIdVa-UlsCw"", ""Interns!D:D""), 
   IMPORTRANGE(""1RdEdgHYrZ33LJ7RUHj_h-qkAFL92bcVjtIdVa-UlsCw"", ""Interns!N:N""), 
   ""Not Found"")"),"")</f>
        <v/>
      </c>
      <c r="AM368" s="23" t="str">
        <f>IFERROR(__xludf.DUMMYFUNCTION("XLOOKUP(C368, 
   IMPORTRANGE(""1RdEdgHYrZ33LJ7RUHj_h-qkAFL92bcVjtIdVa-UlsCw"", ""Interns!D:D""), 
   IMPORTRANGE(""1RdEdgHYrZ33LJ7RUHj_h-qkAFL92bcVjtIdVa-UlsCw"", ""Interns!O:O""), 
   ""Not Found"")"),"")</f>
        <v/>
      </c>
      <c r="AN368" s="23"/>
      <c r="AO368" s="23" t="s">
        <v>7773</v>
      </c>
      <c r="AP368" s="28" t="s">
        <v>5880</v>
      </c>
      <c r="AQ368" s="28" t="s">
        <v>7774</v>
      </c>
      <c r="AR368" s="23">
        <v>6.469737367E9</v>
      </c>
      <c r="AS368" s="23"/>
      <c r="AT368" s="23"/>
      <c r="AU368" s="23"/>
      <c r="AV368" s="23"/>
    </row>
    <row r="369">
      <c r="A369" s="28" t="s">
        <v>5161</v>
      </c>
      <c r="B369" s="28" t="s">
        <v>5162</v>
      </c>
      <c r="C369" s="23" t="str">
        <f t="shared" si="1"/>
        <v>Nashly Del valle</v>
      </c>
      <c r="D369" s="28" t="s">
        <v>7775</v>
      </c>
      <c r="E369" s="28" t="s">
        <v>7776</v>
      </c>
      <c r="F369" s="23">
        <f t="array" ref="F369">IFERROR(
    INDEX('Hub Interns 226'!A:A, MATCH(C369, 'Hub Interns 226'!B:B, 0)),"")</f>
        <v>918</v>
      </c>
      <c r="G369" s="23">
        <f t="array" ref="G369">IFERROR(
    INDEX('Hub Users 226'!A:A, MATCH(C369, 'Hub Users 226'!B:B, 0)),"")</f>
        <v>1351</v>
      </c>
      <c r="H369" s="28">
        <v>407.0</v>
      </c>
      <c r="I369" s="28" t="s">
        <v>290</v>
      </c>
      <c r="J369" s="28" t="s">
        <v>5336</v>
      </c>
      <c r="K369" s="28" t="s">
        <v>5177</v>
      </c>
      <c r="L369" s="28" t="s">
        <v>5196</v>
      </c>
      <c r="M369" s="56" t="s">
        <v>7777</v>
      </c>
      <c r="N369" s="57">
        <v>44301.46944444445</v>
      </c>
      <c r="O369" s="58">
        <v>38397.0</v>
      </c>
      <c r="P369" s="28">
        <f t="shared" si="12"/>
        <v>21</v>
      </c>
      <c r="Q369" s="28" t="s">
        <v>240</v>
      </c>
      <c r="R369" s="28" t="s">
        <v>7778</v>
      </c>
      <c r="S369" s="28">
        <v>13.0</v>
      </c>
      <c r="T369" s="28">
        <v>31.0</v>
      </c>
      <c r="U369" s="28">
        <v>78.0</v>
      </c>
      <c r="V369" s="28">
        <v>14.0</v>
      </c>
      <c r="W369" s="28" t="s">
        <v>859</v>
      </c>
      <c r="X369" s="28" t="s">
        <v>272</v>
      </c>
      <c r="Y369" s="28" t="s">
        <v>7779</v>
      </c>
      <c r="Z369" s="28" t="s">
        <v>5558</v>
      </c>
      <c r="AA369" s="28" t="s">
        <v>5559</v>
      </c>
      <c r="AB369" s="28">
        <v>10.0</v>
      </c>
      <c r="AC369" s="28" t="s">
        <v>24</v>
      </c>
      <c r="AD369" s="23"/>
      <c r="AE369" s="28" t="s">
        <v>8</v>
      </c>
      <c r="AF369" s="23"/>
      <c r="AG369" s="23"/>
      <c r="AH369" s="23" t="str">
        <f>IFERROR(__xludf.DUMMYFUNCTION("IF(
ISNUMBER(MATCH(
C369,
IMPORTRANGE(""https://docs.google.com/spreadsheets/d/1yTh1ELC33JHYOeEdgIiEclxPRyh0zOKtlawDltfUay8"",""'Interns'!A:A""),
0
)),
""Outreach Conducted"",
"""")"),"")</f>
        <v/>
      </c>
      <c r="AI369" s="23"/>
      <c r="AJ369" s="23"/>
      <c r="AK369" s="23" t="str">
        <f>IFERROR(__xludf.DUMMYFUNCTION("XLOOKUP(C369, 
   IMPORTRANGE(""1RdEdgHYrZ33LJ7RUHj_h-qkAFL92bcVjtIdVa-UlsCw"", ""Interns!D:D""), 
   IMPORTRANGE(""1RdEdgHYrZ33LJ7RUHj_h-qkAFL92bcVjtIdVa-UlsCw"", ""Interns!M:M""), 
   ""Not Found"")"),"Contacted")</f>
        <v>Contacted</v>
      </c>
      <c r="AL369" s="23" t="str">
        <f>IFERROR(__xludf.DUMMYFUNCTION("XLOOKUP(C369, 
   IMPORTRANGE(""1RdEdgHYrZ33LJ7RUHj_h-qkAFL92bcVjtIdVa-UlsCw"", ""Interns!D:D""), 
   IMPORTRANGE(""1RdEdgHYrZ33LJ7RUHj_h-qkAFL92bcVjtIdVa-UlsCw"", ""Interns!N:N""), 
   ""Not Found"")"),"#Cheers4Careers")</f>
        <v>#Cheers4Careers</v>
      </c>
      <c r="AM369" s="23" t="str">
        <f>IFERROR(__xludf.DUMMYFUNCTION("XLOOKUP(C369, 
   IMPORTRANGE(""1RdEdgHYrZ33LJ7RUHj_h-qkAFL92bcVjtIdVa-UlsCw"", ""Interns!D:D""), 
   IMPORTRANGE(""1RdEdgHYrZ33LJ7RUHj_h-qkAFL92bcVjtIdVa-UlsCw"", ""Interns!O:O""), 
   ""Not Found"")"),"Hetal reached out by email 3/27")</f>
        <v>Hetal reached out by email 3/27</v>
      </c>
      <c r="AN369" s="23"/>
      <c r="AO369" s="23" t="s">
        <v>7780</v>
      </c>
      <c r="AP369" s="28" t="s">
        <v>5182</v>
      </c>
      <c r="AQ369" s="28"/>
      <c r="AR369" s="23"/>
      <c r="AS369" s="23"/>
      <c r="AT369" s="23"/>
      <c r="AU369" s="23"/>
      <c r="AV369" s="23"/>
    </row>
    <row r="370">
      <c r="A370" s="28" t="s">
        <v>5161</v>
      </c>
      <c r="B370" s="28" t="s">
        <v>5162</v>
      </c>
      <c r="C370" s="23" t="str">
        <f t="shared" si="1"/>
        <v>Kenny Hernandez</v>
      </c>
      <c r="D370" s="28" t="s">
        <v>7781</v>
      </c>
      <c r="E370" s="28" t="s">
        <v>2168</v>
      </c>
      <c r="F370" s="23">
        <f t="array" ref="F370">IFERROR(
    INDEX('Hub Interns 226'!A:A, MATCH(C370, 'Hub Interns 226'!B:B, 0)),"")</f>
        <v>746</v>
      </c>
      <c r="G370" s="23">
        <f t="array" ref="G370">IFERROR(
    INDEX('Hub Users 226'!A:A, MATCH(C370, 'Hub Users 226'!B:B, 0)),"")</f>
        <v>1179</v>
      </c>
      <c r="H370" s="28">
        <v>1446.0</v>
      </c>
      <c r="I370" s="28" t="s">
        <v>260</v>
      </c>
      <c r="J370" s="28" t="s">
        <v>5336</v>
      </c>
      <c r="K370" s="28" t="s">
        <v>5177</v>
      </c>
      <c r="L370" s="28" t="s">
        <v>5165</v>
      </c>
      <c r="M370" s="56" t="s">
        <v>7782</v>
      </c>
      <c r="N370" s="59">
        <v>44918.49236111111</v>
      </c>
      <c r="O370" s="58">
        <v>39324.0</v>
      </c>
      <c r="P370" s="28">
        <f t="shared" si="12"/>
        <v>18</v>
      </c>
      <c r="Q370" s="28" t="s">
        <v>240</v>
      </c>
      <c r="R370" s="28" t="s">
        <v>7783</v>
      </c>
      <c r="S370" s="28">
        <v>13.0</v>
      </c>
      <c r="T370" s="28">
        <v>31.0</v>
      </c>
      <c r="U370" s="28">
        <v>78.0</v>
      </c>
      <c r="V370" s="28">
        <v>14.0</v>
      </c>
      <c r="W370" s="28" t="s">
        <v>859</v>
      </c>
      <c r="X370" s="28" t="s">
        <v>272</v>
      </c>
      <c r="Y370" s="28" t="s">
        <v>7784</v>
      </c>
      <c r="Z370" s="28" t="s">
        <v>7785</v>
      </c>
      <c r="AA370" s="28" t="s">
        <v>5871</v>
      </c>
      <c r="AB370" s="28">
        <v>31.0</v>
      </c>
      <c r="AC370" s="28" t="s">
        <v>23</v>
      </c>
      <c r="AD370" s="23"/>
      <c r="AE370" s="28" t="s">
        <v>15</v>
      </c>
      <c r="AF370" s="23"/>
      <c r="AG370" s="23"/>
      <c r="AH370" s="23" t="str">
        <f>IFERROR(__xludf.DUMMYFUNCTION("IF(
ISNUMBER(MATCH(
C370,
IMPORTRANGE(""https://docs.google.com/spreadsheets/d/1yTh1ELC33JHYOeEdgIiEclxPRyh0zOKtlawDltfUay8"",""'Interns'!A:A""),
0
)),
""Outreach Conducted"",
"""")"),"")</f>
        <v/>
      </c>
      <c r="AI370" s="23"/>
      <c r="AJ370" s="23"/>
      <c r="AK370" s="23" t="str">
        <f>IFERROR(__xludf.DUMMYFUNCTION("XLOOKUP(C370, 
   IMPORTRANGE(""1RdEdgHYrZ33LJ7RUHj_h-qkAFL92bcVjtIdVa-UlsCw"", ""Interns!D:D""), 
   IMPORTRANGE(""1RdEdgHYrZ33LJ7RUHj_h-qkAFL92bcVjtIdVa-UlsCw"", ""Interns!M:M""), 
   ""Not Found"")"),"Contacted")</f>
        <v>Contacted</v>
      </c>
      <c r="AL370" s="23" t="str">
        <f>IFERROR(__xludf.DUMMYFUNCTION("XLOOKUP(C370, 
   IMPORTRANGE(""1RdEdgHYrZ33LJ7RUHj_h-qkAFL92bcVjtIdVa-UlsCw"", ""Interns!D:D""), 
   IMPORTRANGE(""1RdEdgHYrZ33LJ7RUHj_h-qkAFL92bcVjtIdVa-UlsCw"", ""Interns!N:N""), 
   ""Not Found"")"),"#Cheers4Careers")</f>
        <v>#Cheers4Careers</v>
      </c>
      <c r="AM370" s="23" t="str">
        <f>IFERROR(__xludf.DUMMYFUNCTION("XLOOKUP(C370, 
   IMPORTRANGE(""1RdEdgHYrZ33LJ7RUHj_h-qkAFL92bcVjtIdVa-UlsCw"", ""Interns!D:D""), 
   IMPORTRANGE(""1RdEdgHYrZ33LJ7RUHj_h-qkAFL92bcVjtIdVa-UlsCw"", ""Interns!O:O""), 
   ""Not Found"")"),"Hetal reached out March 27 for March #Cheers4 Careers ")</f>
        <v>Hetal reached out March 27 for March #Cheers4 Careers </v>
      </c>
      <c r="AN370" s="23"/>
      <c r="AO370" s="23" t="s">
        <v>7786</v>
      </c>
      <c r="AP370" s="28" t="s">
        <v>5191</v>
      </c>
      <c r="AQ370" s="28"/>
      <c r="AR370" s="23"/>
      <c r="AS370" s="23"/>
      <c r="AT370" s="23"/>
      <c r="AU370" s="23"/>
      <c r="AV370" s="23"/>
    </row>
    <row r="371">
      <c r="A371" s="28" t="s">
        <v>5161</v>
      </c>
      <c r="B371" s="28" t="s">
        <v>5162</v>
      </c>
      <c r="C371" s="23" t="str">
        <f t="shared" si="1"/>
        <v>Lia Luciano</v>
      </c>
      <c r="D371" s="28" t="s">
        <v>7787</v>
      </c>
      <c r="E371" s="28" t="s">
        <v>7788</v>
      </c>
      <c r="F371" s="23">
        <f t="array" ref="F371">IFERROR(
    INDEX('Hub Interns 226'!A:A, MATCH(C371, 'Hub Interns 226'!B:B, 0)),"")</f>
        <v>1294</v>
      </c>
      <c r="G371" s="23">
        <f t="array" ref="G371">IFERROR(
    INDEX('Hub Users 226'!A:A, MATCH(C371, 'Hub Users 226'!B:B, 0)),"")</f>
        <v>1786</v>
      </c>
      <c r="H371" s="28">
        <v>1677.0</v>
      </c>
      <c r="I371" s="28" t="s">
        <v>608</v>
      </c>
      <c r="J371" s="28" t="s">
        <v>5336</v>
      </c>
      <c r="K371" s="28" t="s">
        <v>5177</v>
      </c>
      <c r="L371" s="28" t="s">
        <v>5196</v>
      </c>
      <c r="M371" s="56" t="s">
        <v>7789</v>
      </c>
      <c r="N371" s="59">
        <v>45225.99375</v>
      </c>
      <c r="O371" s="58">
        <v>39700.0</v>
      </c>
      <c r="P371" s="28">
        <f t="shared" si="12"/>
        <v>17</v>
      </c>
      <c r="Q371" s="28" t="s">
        <v>240</v>
      </c>
      <c r="R371" s="28" t="s">
        <v>7790</v>
      </c>
      <c r="S371" s="28">
        <v>13.0</v>
      </c>
      <c r="T371" s="28">
        <v>33.0</v>
      </c>
      <c r="U371" s="28">
        <v>78.0</v>
      </c>
      <c r="V371" s="28">
        <v>14.0</v>
      </c>
      <c r="W371" s="28" t="s">
        <v>859</v>
      </c>
      <c r="X371" s="28" t="s">
        <v>272</v>
      </c>
      <c r="Y371" s="28">
        <v>3.475241198E9</v>
      </c>
      <c r="Z371" s="28" t="s">
        <v>5918</v>
      </c>
      <c r="AA371" s="28" t="s">
        <v>477</v>
      </c>
      <c r="AB371" s="28">
        <v>15.0</v>
      </c>
      <c r="AC371" s="28" t="s">
        <v>25</v>
      </c>
      <c r="AD371" s="23"/>
      <c r="AE371" s="28" t="s">
        <v>18</v>
      </c>
      <c r="AF371" s="23" t="str">
        <f>IFERROR(__xludf.DUMMYFUNCTION("TEXTJOIN("", "", TRUE,
  FILTER(Champions!C:C,
    ISNUMBER(SEARCH(C371, Champions!W:W))
  )
)"),"Addy Michelle Jimenez Haga, AUGUSTO SALCEDO, Jonathan Pinque")</f>
        <v>Addy Michelle Jimenez Haga, AUGUSTO SALCEDO, Jonathan Pinque</v>
      </c>
      <c r="AG371" s="23"/>
      <c r="AH371" s="23" t="str">
        <f>IFERROR(__xludf.DUMMYFUNCTION("IF(
ISNUMBER(MATCH(
C371,
IMPORTRANGE(""https://docs.google.com/spreadsheets/d/1yTh1ELC33JHYOeEdgIiEclxPRyh0zOKtlawDltfUay8"",""'Interns'!A:A""),
0
)),
""Outreach Conducted"",
"""")"),"")</f>
        <v/>
      </c>
      <c r="AI371" s="23"/>
      <c r="AJ371" s="23"/>
      <c r="AK371" s="23" t="str">
        <f>IFERROR(__xludf.DUMMYFUNCTION("XLOOKUP(C371, 
   IMPORTRANGE(""1RdEdgHYrZ33LJ7RUHj_h-qkAFL92bcVjtIdVa-UlsCw"", ""Interns!D:D""), 
   IMPORTRANGE(""1RdEdgHYrZ33LJ7RUHj_h-qkAFL92bcVjtIdVa-UlsCw"", ""Interns!M:M""), 
   ""Not Found"")"),"")</f>
        <v/>
      </c>
      <c r="AL371" s="23" t="str">
        <f>IFERROR(__xludf.DUMMYFUNCTION("XLOOKUP(C371, 
   IMPORTRANGE(""1RdEdgHYrZ33LJ7RUHj_h-qkAFL92bcVjtIdVa-UlsCw"", ""Interns!D:D""), 
   IMPORTRANGE(""1RdEdgHYrZ33LJ7RUHj_h-qkAFL92bcVjtIdVa-UlsCw"", ""Interns!N:N""), 
   ""Not Found"")"),"")</f>
        <v/>
      </c>
      <c r="AM371" s="23" t="str">
        <f>IFERROR(__xludf.DUMMYFUNCTION("XLOOKUP(C371, 
   IMPORTRANGE(""1RdEdgHYrZ33LJ7RUHj_h-qkAFL92bcVjtIdVa-UlsCw"", ""Interns!D:D""), 
   IMPORTRANGE(""1RdEdgHYrZ33LJ7RUHj_h-qkAFL92bcVjtIdVa-UlsCw"", ""Interns!O:O""), 
   ""Not Found"")"),"")</f>
        <v/>
      </c>
      <c r="AN371" s="23"/>
      <c r="AO371" s="23" t="s">
        <v>7791</v>
      </c>
      <c r="AP371" s="28" t="s">
        <v>5182</v>
      </c>
      <c r="AQ371" s="28" t="s">
        <v>7792</v>
      </c>
      <c r="AR371" s="23">
        <v>3.474555268E9</v>
      </c>
      <c r="AS371" s="23"/>
      <c r="AT371" s="23"/>
      <c r="AU371" s="23"/>
      <c r="AV371" s="23"/>
    </row>
    <row r="372">
      <c r="A372" s="28" t="s">
        <v>5161</v>
      </c>
      <c r="B372" s="28" t="s">
        <v>5162</v>
      </c>
      <c r="C372" s="23" t="str">
        <f t="shared" si="1"/>
        <v>Robeliza Nunez</v>
      </c>
      <c r="D372" s="28" t="s">
        <v>7793</v>
      </c>
      <c r="E372" s="28" t="s">
        <v>3988</v>
      </c>
      <c r="F372" s="23">
        <f t="array" ref="F372">IFERROR(
    INDEX('Hub Interns 226'!A:A, MATCH(C372, 'Hub Interns 226'!B:B, 0)),"")</f>
        <v>1030</v>
      </c>
      <c r="G372" s="23">
        <f t="array" ref="G372">IFERROR(
    INDEX('Hub Users 226'!A:A, MATCH(C372, 'Hub Users 226'!B:B, 0)),"")</f>
        <v>1463</v>
      </c>
      <c r="H372" s="28">
        <v>558.0</v>
      </c>
      <c r="I372" s="28" t="s">
        <v>608</v>
      </c>
      <c r="J372" s="28" t="s">
        <v>5336</v>
      </c>
      <c r="K372" s="28" t="s">
        <v>5177</v>
      </c>
      <c r="L372" s="28" t="s">
        <v>5196</v>
      </c>
      <c r="M372" s="56" t="s">
        <v>7794</v>
      </c>
      <c r="N372" s="57">
        <v>44477.65416666667</v>
      </c>
      <c r="O372" s="58">
        <v>37963.0</v>
      </c>
      <c r="P372" s="28">
        <f t="shared" si="12"/>
        <v>22</v>
      </c>
      <c r="Q372" s="28" t="s">
        <v>7795</v>
      </c>
      <c r="R372" s="28" t="s">
        <v>7796</v>
      </c>
      <c r="S372" s="28">
        <v>13.0</v>
      </c>
      <c r="T372" s="28">
        <v>33.0</v>
      </c>
      <c r="U372" s="28">
        <v>78.0</v>
      </c>
      <c r="V372" s="28">
        <v>14.0</v>
      </c>
      <c r="W372" s="28" t="s">
        <v>1173</v>
      </c>
      <c r="X372" s="28" t="s">
        <v>272</v>
      </c>
      <c r="Y372" s="23"/>
      <c r="Z372" s="28" t="s">
        <v>5918</v>
      </c>
      <c r="AA372" s="28" t="s">
        <v>477</v>
      </c>
      <c r="AB372" s="28">
        <v>15.0</v>
      </c>
      <c r="AC372" s="28" t="s">
        <v>25</v>
      </c>
      <c r="AD372" s="23"/>
      <c r="AE372" s="28" t="s">
        <v>10</v>
      </c>
      <c r="AF372" s="23" t="str">
        <f>IFERROR(__xludf.DUMMYFUNCTION("TEXTJOIN("", "", TRUE,
  FILTER(Champions!C:C,
    ISNUMBER(SEARCH(C372, Champions!W:W))
  )
)"),"Addy Michelle Jimenez Haga, Lata Murti, Scotney Young, Michelle Castillo")</f>
        <v>Addy Michelle Jimenez Haga, Lata Murti, Scotney Young, Michelle Castillo</v>
      </c>
      <c r="AG372" s="23"/>
      <c r="AH372" s="23" t="str">
        <f>IFERROR(__xludf.DUMMYFUNCTION("IF(
ISNUMBER(MATCH(
C372,
IMPORTRANGE(""https://docs.google.com/spreadsheets/d/1yTh1ELC33JHYOeEdgIiEclxPRyh0zOKtlawDltfUay8"",""'Interns'!A:A""),
0
)),
""Outreach Conducted"",
"""")"),"")</f>
        <v/>
      </c>
      <c r="AI372" s="23"/>
      <c r="AJ372" s="23"/>
      <c r="AK372" s="23" t="str">
        <f>IFERROR(__xludf.DUMMYFUNCTION("XLOOKUP(C372, 
   IMPORTRANGE(""1RdEdgHYrZ33LJ7RUHj_h-qkAFL92bcVjtIdVa-UlsCw"", ""Interns!D:D""), 
   IMPORTRANGE(""1RdEdgHYrZ33LJ7RUHj_h-qkAFL92bcVjtIdVa-UlsCw"", ""Interns!M:M""), 
   ""Not Found"")"),"Contacted")</f>
        <v>Contacted</v>
      </c>
      <c r="AL372" s="23" t="str">
        <f>IFERROR(__xludf.DUMMYFUNCTION("XLOOKUP(C372, 
   IMPORTRANGE(""1RdEdgHYrZ33LJ7RUHj_h-qkAFL92bcVjtIdVa-UlsCw"", ""Interns!D:D""), 
   IMPORTRANGE(""1RdEdgHYrZ33LJ7RUHj_h-qkAFL92bcVjtIdVa-UlsCw"", ""Interns!N:N""), 
   ""Not Found"")"),"#Cheers4Careers")</f>
        <v>#Cheers4Careers</v>
      </c>
      <c r="AM372" s="23" t="str">
        <f>IFERROR(__xludf.DUMMYFUNCTION("XLOOKUP(C372, 
   IMPORTRANGE(""1RdEdgHYrZ33LJ7RUHj_h-qkAFL92bcVjtIdVa-UlsCw"", ""Interns!D:D""), 
   IMPORTRANGE(""1RdEdgHYrZ33LJ7RUHj_h-qkAFL92bcVjtIdVa-UlsCw"", ""Interns!O:O""), 
   ""Not Found"")"),"Hetal reached out by whatsapp on 3/28
Hetal reached out on 4/10 by whatsapp for April 18th #Cheers4Careers")</f>
        <v>Hetal reached out by whatsapp on 3/28
Hetal reached out on 4/10 by whatsapp for April 18th #Cheers4Careers</v>
      </c>
      <c r="AN372" s="23"/>
      <c r="AO372" s="23" t="s">
        <v>7797</v>
      </c>
      <c r="AP372" s="28" t="s">
        <v>5989</v>
      </c>
      <c r="AQ372" s="28" t="s">
        <v>7798</v>
      </c>
      <c r="AR372" s="23" t="s">
        <v>7799</v>
      </c>
      <c r="AS372" s="23"/>
      <c r="AT372" s="23"/>
      <c r="AU372" s="23"/>
      <c r="AV372" s="23"/>
    </row>
    <row r="373">
      <c r="A373" s="28" t="s">
        <v>5161</v>
      </c>
      <c r="B373" s="28" t="s">
        <v>5162</v>
      </c>
      <c r="C373" s="23" t="str">
        <f t="shared" si="1"/>
        <v>Sebastian Cruz</v>
      </c>
      <c r="D373" s="28" t="s">
        <v>6733</v>
      </c>
      <c r="E373" s="28" t="s">
        <v>4683</v>
      </c>
      <c r="F373" s="23">
        <f t="array" ref="F373">IFERROR(
    INDEX('Hub Interns 226'!A:A, MATCH(C373, 'Hub Interns 226'!B:B, 0)),"")</f>
        <v>1084</v>
      </c>
      <c r="G373" s="23">
        <f t="array" ref="G373">IFERROR(
    INDEX('Hub Users 226'!A:A, MATCH(C373, 'Hub Users 226'!B:B, 0)),"")</f>
        <v>1517</v>
      </c>
      <c r="H373" s="28">
        <v>1266.0</v>
      </c>
      <c r="I373" s="28" t="s">
        <v>239</v>
      </c>
      <c r="J373" s="28" t="s">
        <v>5336</v>
      </c>
      <c r="K373" s="28" t="s">
        <v>5177</v>
      </c>
      <c r="L373" s="28" t="s">
        <v>5165</v>
      </c>
      <c r="M373" s="56" t="s">
        <v>7800</v>
      </c>
      <c r="N373" s="59">
        <v>44845.447222222225</v>
      </c>
      <c r="O373" s="58">
        <v>38788.0</v>
      </c>
      <c r="P373" s="28">
        <f t="shared" si="12"/>
        <v>20</v>
      </c>
      <c r="Q373" s="28" t="s">
        <v>7801</v>
      </c>
      <c r="R373" s="28" t="s">
        <v>7802</v>
      </c>
      <c r="S373" s="28">
        <v>11.0</v>
      </c>
      <c r="T373" s="28">
        <v>23.0</v>
      </c>
      <c r="U373" s="28">
        <v>61.0</v>
      </c>
      <c r="V373" s="28">
        <v>10.0</v>
      </c>
      <c r="W373" s="28" t="s">
        <v>271</v>
      </c>
      <c r="X373" s="28" t="s">
        <v>272</v>
      </c>
      <c r="Y373" s="28" t="s">
        <v>7803</v>
      </c>
      <c r="Z373" s="28" t="s">
        <v>5341</v>
      </c>
      <c r="AA373" s="28" t="s">
        <v>1085</v>
      </c>
      <c r="AB373" s="28">
        <v>10.0</v>
      </c>
      <c r="AC373" s="28" t="s">
        <v>25</v>
      </c>
      <c r="AD373" s="23"/>
      <c r="AE373" s="28" t="s">
        <v>15</v>
      </c>
      <c r="AF373" s="23" t="str">
        <f>IFERROR(__xludf.DUMMYFUNCTION("TEXTJOIN("", "", TRUE,
  FILTER(Champions!C:C,
    ISNUMBER(SEARCH(C373, Champions!W:W))
  )
)"),"Jason Alafgani, Kunal Jani, Mikey Bedney")</f>
        <v>Jason Alafgani, Kunal Jani, Mikey Bedney</v>
      </c>
      <c r="AG373" s="26" t="s">
        <v>5342</v>
      </c>
      <c r="AH373" s="23" t="str">
        <f>IFERROR(__xludf.DUMMYFUNCTION("IF(
ISNUMBER(MATCH(
C373,
IMPORTRANGE(""https://docs.google.com/spreadsheets/d/1yTh1ELC33JHYOeEdgIiEclxPRyh0zOKtlawDltfUay8"",""'Interns'!A:A""),
0
)),
""Outreach Conducted"",
"""")"),"")</f>
        <v/>
      </c>
      <c r="AI373" s="23"/>
      <c r="AJ373" s="23"/>
      <c r="AK373" s="23" t="str">
        <f>IFERROR(__xludf.DUMMYFUNCTION("XLOOKUP(C373, 
   IMPORTRANGE(""1RdEdgHYrZ33LJ7RUHj_h-qkAFL92bcVjtIdVa-UlsCw"", ""Interns!D:D""), 
   IMPORTRANGE(""1RdEdgHYrZ33LJ7RUHj_h-qkAFL92bcVjtIdVa-UlsCw"", ""Interns!M:M""), 
   ""Not Found"")"),"Contacted")</f>
        <v>Contacted</v>
      </c>
      <c r="AL373" s="23" t="str">
        <f>IFERROR(__xludf.DUMMYFUNCTION("XLOOKUP(C373, 
   IMPORTRANGE(""1RdEdgHYrZ33LJ7RUHj_h-qkAFL92bcVjtIdVa-UlsCw"", ""Interns!D:D""), 
   IMPORTRANGE(""1RdEdgHYrZ33LJ7RUHj_h-qkAFL92bcVjtIdVa-UlsCw"", ""Interns!N:N""), 
   ""Not Found"")"),"#Cheers4Careers")</f>
        <v>#Cheers4Careers</v>
      </c>
      <c r="AM373" s="23" t="str">
        <f>IFERROR(__xludf.DUMMYFUNCTION("XLOOKUP(C373, 
   IMPORTRANGE(""1RdEdgHYrZ33LJ7RUHj_h-qkAFL92bcVjtIdVa-UlsCw"", ""Interns!D:D""), 
   IMPORTRANGE(""1RdEdgHYrZ33LJ7RUHj_h-qkAFL92bcVjtIdVa-UlsCw"", ""Interns!O:O""), 
   ""Not Found"")"),"Texted on April 14 for #Cheers4Careers event")</f>
        <v>Texted on April 14 for #Cheers4Careers event</v>
      </c>
      <c r="AN373" s="23"/>
      <c r="AO373" s="23" t="s">
        <v>7804</v>
      </c>
      <c r="AP373" s="28" t="s">
        <v>5182</v>
      </c>
      <c r="AQ373" s="28" t="s">
        <v>7805</v>
      </c>
      <c r="AR373" s="23" t="s">
        <v>7806</v>
      </c>
      <c r="AS373" s="28" t="s">
        <v>7807</v>
      </c>
      <c r="AT373" s="23"/>
      <c r="AU373" s="23"/>
      <c r="AV373" s="23"/>
    </row>
    <row r="374">
      <c r="A374" s="28" t="s">
        <v>5202</v>
      </c>
      <c r="B374" s="28" t="s">
        <v>5162</v>
      </c>
      <c r="C374" s="23" t="str">
        <f t="shared" si="1"/>
        <v>Cindy Herrera</v>
      </c>
      <c r="D374" s="28" t="s">
        <v>7808</v>
      </c>
      <c r="E374" s="28" t="s">
        <v>3794</v>
      </c>
      <c r="F374" s="23">
        <f t="array" ref="F374">IFERROR(
    INDEX('Hub Interns 226'!A:A, MATCH(C374, 'Hub Interns 226'!B:B, 0)),"")</f>
        <v>376</v>
      </c>
      <c r="G374" s="23">
        <f t="array" ref="G374">IFERROR(
    INDEX('Hub Users 226'!A:A, MATCH(C374, 'Hub Users 226'!B:B, 0)),"")</f>
        <v>809</v>
      </c>
      <c r="H374" s="28">
        <v>359.0</v>
      </c>
      <c r="I374" s="28" t="s">
        <v>407</v>
      </c>
      <c r="J374" s="28" t="s">
        <v>5336</v>
      </c>
      <c r="K374" s="28" t="s">
        <v>5177</v>
      </c>
      <c r="L374" s="28" t="s">
        <v>5196</v>
      </c>
      <c r="M374" s="56" t="s">
        <v>7809</v>
      </c>
      <c r="N374" s="57">
        <v>44249.75069444445</v>
      </c>
      <c r="O374" s="58">
        <v>37720.0</v>
      </c>
      <c r="P374" s="28">
        <f t="shared" si="12"/>
        <v>23</v>
      </c>
      <c r="Q374" s="28" t="s">
        <v>7810</v>
      </c>
      <c r="R374" s="28" t="s">
        <v>7811</v>
      </c>
      <c r="S374" s="28">
        <v>7.0</v>
      </c>
      <c r="T374" s="28">
        <v>15.0</v>
      </c>
      <c r="U374" s="28">
        <v>38.0</v>
      </c>
      <c r="V374" s="28">
        <v>32.0</v>
      </c>
      <c r="W374" s="28" t="s">
        <v>294</v>
      </c>
      <c r="X374" s="28" t="s">
        <v>272</v>
      </c>
      <c r="Y374" s="28" t="s">
        <v>7812</v>
      </c>
      <c r="Z374" s="28" t="s">
        <v>7813</v>
      </c>
      <c r="AA374" s="28" t="s">
        <v>2033</v>
      </c>
      <c r="AB374" s="28">
        <v>37.0</v>
      </c>
      <c r="AC374" s="28" t="s">
        <v>25</v>
      </c>
      <c r="AD374" s="23"/>
      <c r="AE374" s="28" t="s">
        <v>8</v>
      </c>
      <c r="AF374" s="23" t="str">
        <f>IFERROR(__xludf.DUMMYFUNCTION("TEXTJOIN("", "", TRUE,
  FILTER(Champions!C:C,
    ISNUMBER(SEARCH(C374, Champions!W:W))
  )
)"),"Kristen Farver")</f>
        <v>Kristen Farver</v>
      </c>
      <c r="AG374" s="23"/>
      <c r="AH374" s="23" t="str">
        <f>IFERROR(__xludf.DUMMYFUNCTION("IF(
ISNUMBER(MATCH(
C374,
IMPORTRANGE(""https://docs.google.com/spreadsheets/d/1yTh1ELC33JHYOeEdgIiEclxPRyh0zOKtlawDltfUay8"",""'Interns'!A:A""),
0
)),
""Outreach Conducted"",
"""")"),"")</f>
        <v/>
      </c>
      <c r="AI374" s="23"/>
      <c r="AJ374" s="23"/>
      <c r="AK374" s="23" t="str">
        <f>IFERROR(__xludf.DUMMYFUNCTION("XLOOKUP(C374, 
   IMPORTRANGE(""1RdEdgHYrZ33LJ7RUHj_h-qkAFL92bcVjtIdVa-UlsCw"", ""Interns!D:D""), 
   IMPORTRANGE(""1RdEdgHYrZ33LJ7RUHj_h-qkAFL92bcVjtIdVa-UlsCw"", ""Interns!M:M""), 
   ""Not Found"")"),"")</f>
        <v/>
      </c>
      <c r="AL374" s="23" t="str">
        <f>IFERROR(__xludf.DUMMYFUNCTION("XLOOKUP(C374, 
   IMPORTRANGE(""1RdEdgHYrZ33LJ7RUHj_h-qkAFL92bcVjtIdVa-UlsCw"", ""Interns!D:D""), 
   IMPORTRANGE(""1RdEdgHYrZ33LJ7RUHj_h-qkAFL92bcVjtIdVa-UlsCw"", ""Interns!N:N""), 
   ""Not Found"")"),"")</f>
        <v/>
      </c>
      <c r="AM374" s="23" t="str">
        <f>IFERROR(__xludf.DUMMYFUNCTION("XLOOKUP(C374, 
   IMPORTRANGE(""1RdEdgHYrZ33LJ7RUHj_h-qkAFL92bcVjtIdVa-UlsCw"", ""Interns!D:D""), 
   IMPORTRANGE(""1RdEdgHYrZ33LJ7RUHj_h-qkAFL92bcVjtIdVa-UlsCw"", ""Interns!O:O""), 
   ""Not Found"")"),"")</f>
        <v/>
      </c>
      <c r="AN374" s="23"/>
      <c r="AO374" s="23" t="s">
        <v>7814</v>
      </c>
      <c r="AP374" s="28" t="s">
        <v>5191</v>
      </c>
      <c r="AQ374" s="28" t="s">
        <v>7815</v>
      </c>
      <c r="AR374" s="23" t="s">
        <v>7816</v>
      </c>
      <c r="AS374" s="23"/>
      <c r="AT374" s="23"/>
      <c r="AU374" s="23"/>
      <c r="AV374" s="23"/>
    </row>
    <row r="375">
      <c r="A375" s="28" t="s">
        <v>5202</v>
      </c>
      <c r="B375" s="28" t="s">
        <v>31</v>
      </c>
      <c r="C375" s="23" t="str">
        <f t="shared" si="1"/>
        <v>Oumou Diallo</v>
      </c>
      <c r="D375" s="28" t="s">
        <v>7817</v>
      </c>
      <c r="E375" s="28" t="s">
        <v>7818</v>
      </c>
      <c r="F375" s="23">
        <f t="array" ref="F375">IFERROR(
    INDEX('Hub Interns 226'!A:A, MATCH(C375, 'Hub Interns 226'!B:B, 0)),"")</f>
        <v>975</v>
      </c>
      <c r="G375" s="23">
        <f t="array" ref="G375">IFERROR(
    INDEX('Hub Users 226'!A:A, MATCH(C375, 'Hub Users 226'!B:B, 0)),"")</f>
        <v>1408</v>
      </c>
      <c r="H375" s="28">
        <v>465.0</v>
      </c>
      <c r="I375" s="28" t="s">
        <v>260</v>
      </c>
      <c r="J375" s="28"/>
      <c r="K375" s="28"/>
      <c r="L375" s="28" t="s">
        <v>5196</v>
      </c>
      <c r="M375" s="56" t="s">
        <v>7819</v>
      </c>
      <c r="N375" s="57">
        <v>44360.643055555556</v>
      </c>
      <c r="O375" s="58">
        <v>36896.0</v>
      </c>
      <c r="P375" s="28">
        <f t="shared" si="12"/>
        <v>25</v>
      </c>
      <c r="Q375" s="28" t="s">
        <v>7820</v>
      </c>
      <c r="R375" s="28" t="s">
        <v>7821</v>
      </c>
      <c r="S375" s="28"/>
      <c r="T375" s="28"/>
      <c r="U375" s="28"/>
      <c r="V375" s="28"/>
      <c r="W375" s="28" t="s">
        <v>859</v>
      </c>
      <c r="X375" s="28" t="s">
        <v>272</v>
      </c>
      <c r="Y375" s="28" t="s">
        <v>7822</v>
      </c>
      <c r="Z375" s="28" t="s">
        <v>5435</v>
      </c>
      <c r="AA375" s="28" t="s">
        <v>5436</v>
      </c>
      <c r="AB375" s="28">
        <v>10.0</v>
      </c>
      <c r="AC375" s="28" t="s">
        <v>25</v>
      </c>
      <c r="AD375" s="23"/>
      <c r="AE375" s="28" t="s">
        <v>10</v>
      </c>
      <c r="AF375" s="23" t="str">
        <f>IFERROR(__xludf.DUMMYFUNCTION("TEXTJOIN("", "", TRUE,
  FILTER(Champions!C:C,
    ISNUMBER(SEARCH(C375, Champions!W:W))
  )
)"),"Kerry-Ann Henry, Missie Miranda")</f>
        <v>Kerry-Ann Henry, Missie Miranda</v>
      </c>
      <c r="AG375" s="23"/>
      <c r="AH375" s="23" t="str">
        <f>IFERROR(__xludf.DUMMYFUNCTION("IF(
ISNUMBER(MATCH(
C375,
IMPORTRANGE(""https://docs.google.com/spreadsheets/d/1yTh1ELC33JHYOeEdgIiEclxPRyh0zOKtlawDltfUay8"",""'Interns'!A:A""),
0
)),
""Outreach Conducted"",
"""")"),"")</f>
        <v/>
      </c>
      <c r="AI375" s="23"/>
      <c r="AJ375" s="23"/>
      <c r="AK375" s="23" t="str">
        <f>IFERROR(__xludf.DUMMYFUNCTION("XLOOKUP(C375, 
   IMPORTRANGE(""1RdEdgHYrZ33LJ7RUHj_h-qkAFL92bcVjtIdVa-UlsCw"", ""Interns!D:D""), 
   IMPORTRANGE(""1RdEdgHYrZ33LJ7RUHj_h-qkAFL92bcVjtIdVa-UlsCw"", ""Interns!M:M""), 
   ""Not Found"")"),"")</f>
        <v/>
      </c>
      <c r="AL375" s="23" t="str">
        <f>IFERROR(__xludf.DUMMYFUNCTION("XLOOKUP(C375, 
   IMPORTRANGE(""1RdEdgHYrZ33LJ7RUHj_h-qkAFL92bcVjtIdVa-UlsCw"", ""Interns!D:D""), 
   IMPORTRANGE(""1RdEdgHYrZ33LJ7RUHj_h-qkAFL92bcVjtIdVa-UlsCw"", ""Interns!N:N""), 
   ""Not Found"")"),"")</f>
        <v/>
      </c>
      <c r="AM375" s="23" t="str">
        <f>IFERROR(__xludf.DUMMYFUNCTION("XLOOKUP(C375, 
   IMPORTRANGE(""1RdEdgHYrZ33LJ7RUHj_h-qkAFL92bcVjtIdVa-UlsCw"", ""Interns!D:D""), 
   IMPORTRANGE(""1RdEdgHYrZ33LJ7RUHj_h-qkAFL92bcVjtIdVa-UlsCw"", ""Interns!O:O""), 
   ""Not Found"")"),"")</f>
        <v/>
      </c>
      <c r="AN375" s="23"/>
      <c r="AO375" s="23" t="s">
        <v>7823</v>
      </c>
      <c r="AP375" s="28" t="s">
        <v>5191</v>
      </c>
      <c r="AQ375" s="28" t="s">
        <v>7824</v>
      </c>
      <c r="AR375" s="23" t="s">
        <v>7825</v>
      </c>
      <c r="AS375" s="23"/>
      <c r="AT375" s="23"/>
      <c r="AU375" s="23"/>
      <c r="AV375" s="23"/>
    </row>
    <row r="376">
      <c r="A376" s="28" t="s">
        <v>5161</v>
      </c>
      <c r="B376" s="28" t="s">
        <v>5162</v>
      </c>
      <c r="C376" s="23" t="str">
        <f t="shared" si="1"/>
        <v>Maycor Terrero</v>
      </c>
      <c r="D376" s="28" t="s">
        <v>7826</v>
      </c>
      <c r="E376" s="28" t="s">
        <v>7827</v>
      </c>
      <c r="F376" s="23">
        <f t="array" ref="F376">IFERROR(
    INDEX('Hub Interns 226'!A:A, MATCH(C376, 'Hub Interns 226'!B:B, 0)),"")</f>
        <v>860</v>
      </c>
      <c r="G376" s="23">
        <f t="array" ref="G376">IFERROR(
    INDEX('Hub Users 226'!A:A, MATCH(C376, 'Hub Users 226'!B:B, 0)),"")</f>
        <v>1293</v>
      </c>
      <c r="H376" s="28">
        <v>1606.0</v>
      </c>
      <c r="I376" s="28"/>
      <c r="J376" s="28" t="s">
        <v>5336</v>
      </c>
      <c r="K376" s="28" t="s">
        <v>5177</v>
      </c>
      <c r="L376" s="28" t="s">
        <v>5165</v>
      </c>
      <c r="M376" s="56" t="s">
        <v>7828</v>
      </c>
      <c r="N376" s="57">
        <v>45043.44583333333</v>
      </c>
      <c r="O376" s="58">
        <v>38962.0</v>
      </c>
      <c r="P376" s="28">
        <f t="shared" si="12"/>
        <v>19</v>
      </c>
      <c r="Q376" s="28" t="s">
        <v>240</v>
      </c>
      <c r="R376" s="28" t="s">
        <v>7829</v>
      </c>
      <c r="S376" s="28">
        <v>13.0</v>
      </c>
      <c r="T376" s="28">
        <v>31.0</v>
      </c>
      <c r="U376" s="28">
        <v>71.0</v>
      </c>
      <c r="V376" s="28">
        <v>10.0</v>
      </c>
      <c r="W376" s="28" t="s">
        <v>271</v>
      </c>
      <c r="X376" s="28" t="s">
        <v>272</v>
      </c>
      <c r="Y376" s="28" t="s">
        <v>7830</v>
      </c>
      <c r="Z376" s="28" t="s">
        <v>5341</v>
      </c>
      <c r="AA376" s="28" t="s">
        <v>1085</v>
      </c>
      <c r="AB376" s="28">
        <v>10.0</v>
      </c>
      <c r="AC376" s="28" t="s">
        <v>23</v>
      </c>
      <c r="AD376" s="23"/>
      <c r="AE376" s="28" t="s">
        <v>15</v>
      </c>
      <c r="AF376" s="23"/>
      <c r="AG376" s="23"/>
      <c r="AH376" s="23" t="str">
        <f>IFERROR(__xludf.DUMMYFUNCTION("IF(
ISNUMBER(MATCH(
C376,
IMPORTRANGE(""https://docs.google.com/spreadsheets/d/1yTh1ELC33JHYOeEdgIiEclxPRyh0zOKtlawDltfUay8"",""'Interns'!A:A""),
0
)),
""Outreach Conducted"",
"""")"),"")</f>
        <v/>
      </c>
      <c r="AI376" s="23"/>
      <c r="AJ376" s="23"/>
      <c r="AK376" s="23" t="str">
        <f>IFERROR(__xludf.DUMMYFUNCTION("XLOOKUP(C376, 
   IMPORTRANGE(""1RdEdgHYrZ33LJ7RUHj_h-qkAFL92bcVjtIdVa-UlsCw"", ""Interns!D:D""), 
   IMPORTRANGE(""1RdEdgHYrZ33LJ7RUHj_h-qkAFL92bcVjtIdVa-UlsCw"", ""Interns!M:M""), 
   ""Not Found"")"),"")</f>
        <v/>
      </c>
      <c r="AL376" s="23" t="str">
        <f>IFERROR(__xludf.DUMMYFUNCTION("XLOOKUP(C376, 
   IMPORTRANGE(""1RdEdgHYrZ33LJ7RUHj_h-qkAFL92bcVjtIdVa-UlsCw"", ""Interns!D:D""), 
   IMPORTRANGE(""1RdEdgHYrZ33LJ7RUHj_h-qkAFL92bcVjtIdVa-UlsCw"", ""Interns!N:N""), 
   ""Not Found"")"),"")</f>
        <v/>
      </c>
      <c r="AM376" s="23" t="str">
        <f>IFERROR(__xludf.DUMMYFUNCTION("XLOOKUP(C376, 
   IMPORTRANGE(""1RdEdgHYrZ33LJ7RUHj_h-qkAFL92bcVjtIdVa-UlsCw"", ""Interns!D:D""), 
   IMPORTRANGE(""1RdEdgHYrZ33LJ7RUHj_h-qkAFL92bcVjtIdVa-UlsCw"", ""Interns!O:O""), 
   ""Not Found"")"),"")</f>
        <v/>
      </c>
      <c r="AN376" s="23"/>
      <c r="AO376" s="23" t="s">
        <v>7831</v>
      </c>
      <c r="AP376" s="28" t="s">
        <v>5191</v>
      </c>
      <c r="AQ376" s="28"/>
      <c r="AR376" s="23"/>
      <c r="AS376" s="23"/>
      <c r="AT376" s="23"/>
      <c r="AU376" s="23"/>
      <c r="AV376" s="23"/>
    </row>
    <row r="377">
      <c r="A377" s="28" t="s">
        <v>5161</v>
      </c>
      <c r="B377" s="28" t="s">
        <v>5162</v>
      </c>
      <c r="C377" s="23" t="str">
        <f t="shared" si="1"/>
        <v>Tariana Garcia Encarnacion</v>
      </c>
      <c r="D377" s="28" t="s">
        <v>7832</v>
      </c>
      <c r="E377" s="28" t="s">
        <v>7833</v>
      </c>
      <c r="F377" s="23">
        <f t="array" ref="F377">IFERROR(
    INDEX('Hub Interns 226'!A:A, MATCH(C377, 'Hub Interns 226'!B:B, 0)),"")</f>
        <v>1144</v>
      </c>
      <c r="G377" s="23">
        <f t="array" ref="G377">IFERROR(
    INDEX('Hub Users 226'!A:A, MATCH(C377, 'Hub Users 226'!B:B, 0)),"")</f>
        <v>1577</v>
      </c>
      <c r="H377" s="28">
        <v>268.0</v>
      </c>
      <c r="I377" s="28" t="s">
        <v>107</v>
      </c>
      <c r="J377" s="28" t="s">
        <v>5336</v>
      </c>
      <c r="K377" s="28" t="s">
        <v>5177</v>
      </c>
      <c r="L377" s="28" t="s">
        <v>5196</v>
      </c>
      <c r="M377" s="56" t="s">
        <v>7834</v>
      </c>
      <c r="N377" s="57">
        <v>44208.39861111111</v>
      </c>
      <c r="O377" s="58">
        <v>38813.0</v>
      </c>
      <c r="P377" s="28">
        <f t="shared" si="12"/>
        <v>20</v>
      </c>
      <c r="Q377" s="28" t="s">
        <v>7835</v>
      </c>
      <c r="R377" s="28" t="s">
        <v>7836</v>
      </c>
      <c r="S377" s="28">
        <v>13.0</v>
      </c>
      <c r="T377" s="28">
        <v>33.0</v>
      </c>
      <c r="U377" s="28">
        <v>78.0</v>
      </c>
      <c r="V377" s="28">
        <v>15.0</v>
      </c>
      <c r="W377" s="28" t="s">
        <v>859</v>
      </c>
      <c r="X377" s="28" t="s">
        <v>272</v>
      </c>
      <c r="Y377" s="28">
        <v>6.46874627E9</v>
      </c>
      <c r="Z377" s="28" t="s">
        <v>5918</v>
      </c>
      <c r="AA377" s="28" t="s">
        <v>477</v>
      </c>
      <c r="AB377" s="28">
        <v>15.0</v>
      </c>
      <c r="AC377" s="28" t="s">
        <v>25</v>
      </c>
      <c r="AD377" s="28" t="s">
        <v>101</v>
      </c>
      <c r="AE377" s="26" t="s">
        <v>13</v>
      </c>
      <c r="AF377" s="23" t="str">
        <f>IFERROR(__xludf.DUMMYFUNCTION("TEXTJOIN("", "", TRUE,
  FILTER(Champions!C:C,
    ISNUMBER(SEARCH(C377, Champions!W:W))
  )
)"),"Addy Michelle Jimenez Haga, Albert Rocco, Bhavna Mohan Agnihotri, Erycka Montoya, Ayanna Lyons, Jan Panchalingam")</f>
        <v>Addy Michelle Jimenez Haga, Albert Rocco, Bhavna Mohan Agnihotri, Erycka Montoya, Ayanna Lyons, Jan Panchalingam</v>
      </c>
      <c r="AG377" s="23"/>
      <c r="AH377" s="23" t="str">
        <f>IFERROR(__xludf.DUMMYFUNCTION("IF(
ISNUMBER(MATCH(
C377,
IMPORTRANGE(""https://docs.google.com/spreadsheets/d/1yTh1ELC33JHYOeEdgIiEclxPRyh0zOKtlawDltfUay8"",""'Interns'!A:A""),
0
)),
""Outreach Conducted"",
"""")"),"")</f>
        <v/>
      </c>
      <c r="AI377" s="23"/>
      <c r="AJ377" s="23"/>
      <c r="AK377" s="23" t="str">
        <f>IFERROR(__xludf.DUMMYFUNCTION("XLOOKUP(C377, 
   IMPORTRANGE(""1RdEdgHYrZ33LJ7RUHj_h-qkAFL92bcVjtIdVa-UlsCw"", ""Interns!D:D""), 
   IMPORTRANGE(""1RdEdgHYrZ33LJ7RUHj_h-qkAFL92bcVjtIdVa-UlsCw"", ""Interns!M:M""), 
   ""Not Found"")"),"")</f>
        <v/>
      </c>
      <c r="AL377" s="23" t="str">
        <f>IFERROR(__xludf.DUMMYFUNCTION("XLOOKUP(C377, 
   IMPORTRANGE(""1RdEdgHYrZ33LJ7RUHj_h-qkAFL92bcVjtIdVa-UlsCw"", ""Interns!D:D""), 
   IMPORTRANGE(""1RdEdgHYrZ33LJ7RUHj_h-qkAFL92bcVjtIdVa-UlsCw"", ""Interns!N:N""), 
   ""Not Found"")"),"")</f>
        <v/>
      </c>
      <c r="AM377" s="23" t="str">
        <f>IFERROR(__xludf.DUMMYFUNCTION("XLOOKUP(C377, 
   IMPORTRANGE(""1RdEdgHYrZ33LJ7RUHj_h-qkAFL92bcVjtIdVa-UlsCw"", ""Interns!D:D""), 
   IMPORTRANGE(""1RdEdgHYrZ33LJ7RUHj_h-qkAFL92bcVjtIdVa-UlsCw"", ""Interns!O:O""), 
   ""Not Found"")"),"")</f>
        <v/>
      </c>
      <c r="AN377" s="23"/>
      <c r="AO377" s="23" t="s">
        <v>7170</v>
      </c>
      <c r="AP377" s="28" t="s">
        <v>5182</v>
      </c>
      <c r="AQ377" s="28" t="s">
        <v>7171</v>
      </c>
      <c r="AR377" s="23">
        <v>6.466577248E9</v>
      </c>
      <c r="AS377" s="23"/>
      <c r="AT377" s="23"/>
      <c r="AU377" s="23"/>
      <c r="AV377" s="23"/>
    </row>
    <row r="378">
      <c r="A378" s="28" t="s">
        <v>5161</v>
      </c>
      <c r="B378" s="28" t="s">
        <v>5162</v>
      </c>
      <c r="C378" s="23" t="str">
        <f t="shared" si="1"/>
        <v>Bianka Pena</v>
      </c>
      <c r="D378" s="28" t="s">
        <v>7837</v>
      </c>
      <c r="E378" s="28" t="s">
        <v>6838</v>
      </c>
      <c r="F378" s="23">
        <f t="array" ref="F378">IFERROR(
    INDEX('Hub Interns 226'!A:A, MATCH(C378, 'Hub Interns 226'!B:B, 0)),"")</f>
        <v>295</v>
      </c>
      <c r="G378" s="23">
        <f t="array" ref="G378">IFERROR(
    INDEX('Hub Users 226'!A:A, MATCH(C378, 'Hub Users 226'!B:B, 0)),"")</f>
        <v>728</v>
      </c>
      <c r="H378" s="28">
        <v>8.0</v>
      </c>
      <c r="I378" s="28" t="s">
        <v>260</v>
      </c>
      <c r="J378" s="28" t="s">
        <v>5336</v>
      </c>
      <c r="K378" s="28" t="s">
        <v>5177</v>
      </c>
      <c r="L378" s="28" t="s">
        <v>5196</v>
      </c>
      <c r="M378" s="56" t="s">
        <v>7838</v>
      </c>
      <c r="N378" s="57">
        <v>43733.854166666664</v>
      </c>
      <c r="O378" s="58">
        <v>36506.0</v>
      </c>
      <c r="P378" s="28">
        <f t="shared" si="12"/>
        <v>26</v>
      </c>
      <c r="Q378" s="28" t="s">
        <v>7839</v>
      </c>
      <c r="R378" s="28" t="s">
        <v>7840</v>
      </c>
      <c r="S378" s="28">
        <v>13.0</v>
      </c>
      <c r="T378" s="28">
        <v>33.0</v>
      </c>
      <c r="U378" s="28">
        <v>78.0</v>
      </c>
      <c r="V378" s="28">
        <v>14.0</v>
      </c>
      <c r="W378" s="28" t="s">
        <v>859</v>
      </c>
      <c r="X378" s="28" t="s">
        <v>272</v>
      </c>
      <c r="Y378" s="28" t="s">
        <v>7841</v>
      </c>
      <c r="Z378" s="28" t="s">
        <v>5435</v>
      </c>
      <c r="AA378" s="28" t="s">
        <v>5436</v>
      </c>
      <c r="AB378" s="28">
        <v>10.0</v>
      </c>
      <c r="AC378" s="28" t="s">
        <v>25</v>
      </c>
      <c r="AD378" s="28" t="s">
        <v>101</v>
      </c>
      <c r="AE378" s="28" t="s">
        <v>7</v>
      </c>
      <c r="AF378" s="23" t="str">
        <f>IFERROR(__xludf.DUMMYFUNCTION("TEXTJOIN("", "", TRUE,
  FILTER(Champions!C:C,
    ISNUMBER(SEARCH(C378, Champions!W:W))
  )
)"),"Addy Michelle Jimenez Haga, Ibtesam Khan, Nikita Catharine Viswasam, Seema Dixit, Susan Philipose, Yadhira Del Carmen Arroyo Cruz")</f>
        <v>Addy Michelle Jimenez Haga, Ibtesam Khan, Nikita Catharine Viswasam, Seema Dixit, Susan Philipose, Yadhira Del Carmen Arroyo Cruz</v>
      </c>
      <c r="AG378" s="26" t="s">
        <v>5273</v>
      </c>
      <c r="AH378" s="23" t="str">
        <f>IFERROR(__xludf.DUMMYFUNCTION("IF(
ISNUMBER(MATCH(
C378,
IMPORTRANGE(""https://docs.google.com/spreadsheets/d/1yTh1ELC33JHYOeEdgIiEclxPRyh0zOKtlawDltfUay8"",""'Interns'!A:A""),
0
)),
""Outreach Conducted"",
"""")"),"")</f>
        <v/>
      </c>
      <c r="AI378" s="23"/>
      <c r="AJ378" s="23"/>
      <c r="AK378" s="23" t="str">
        <f>IFERROR(__xludf.DUMMYFUNCTION("XLOOKUP(C378, 
   IMPORTRANGE(""1RdEdgHYrZ33LJ7RUHj_h-qkAFL92bcVjtIdVa-UlsCw"", ""Interns!D:D""), 
   IMPORTRANGE(""1RdEdgHYrZ33LJ7RUHj_h-qkAFL92bcVjtIdVa-UlsCw"", ""Interns!M:M""), 
   ""Not Found"")"),"Contacted")</f>
        <v>Contacted</v>
      </c>
      <c r="AL378" s="23" t="str">
        <f>IFERROR(__xludf.DUMMYFUNCTION("XLOOKUP(C378, 
   IMPORTRANGE(""1RdEdgHYrZ33LJ7RUHj_h-qkAFL92bcVjtIdVa-UlsCw"", ""Interns!D:D""), 
   IMPORTRANGE(""1RdEdgHYrZ33LJ7RUHj_h-qkAFL92bcVjtIdVa-UlsCw"", ""Interns!N:N""), 
   ""Not Found"")"),"#Cheers4Careers")</f>
        <v>#Cheers4Careers</v>
      </c>
      <c r="AM378" s="23" t="str">
        <f>IFERROR(__xludf.DUMMYFUNCTION("XLOOKUP(C378, 
   IMPORTRANGE(""1RdEdgHYrZ33LJ7RUHj_h-qkAFL92bcVjtIdVa-UlsCw"", ""Interns!D:D""), 
   IMPORTRANGE(""1RdEdgHYrZ33LJ7RUHj_h-qkAFL92bcVjtIdVa-UlsCw"", ""Interns!O:O""), 
   ""Not Found"")"),"Hetal reached out by email 3/27")</f>
        <v>Hetal reached out by email 3/27</v>
      </c>
      <c r="AN378" s="23"/>
      <c r="AO378" s="23" t="s">
        <v>7842</v>
      </c>
      <c r="AP378" s="28" t="s">
        <v>5191</v>
      </c>
      <c r="AQ378" s="28" t="s">
        <v>7843</v>
      </c>
      <c r="AR378" s="23" t="s">
        <v>50</v>
      </c>
      <c r="AS378" s="23"/>
      <c r="AT378" s="23"/>
      <c r="AU378" s="23"/>
      <c r="AV378" s="23"/>
    </row>
    <row r="379">
      <c r="A379" s="28" t="s">
        <v>5161</v>
      </c>
      <c r="B379" s="28" t="s">
        <v>5162</v>
      </c>
      <c r="C379" s="23" t="str">
        <f t="shared" si="1"/>
        <v>Jazling Garcia Garcia</v>
      </c>
      <c r="D379" s="28" t="s">
        <v>7844</v>
      </c>
      <c r="E379" s="28" t="s">
        <v>1484</v>
      </c>
      <c r="F379" s="23">
        <f t="array" ref="F379">IFERROR(
    INDEX('Hub Interns 226'!A:A, MATCH(C379, 'Hub Interns 226'!B:B, 0)),"")</f>
        <v>641</v>
      </c>
      <c r="G379" s="23">
        <f t="array" ref="G379">IFERROR(
    INDEX('Hub Users 226'!A:A, MATCH(C379, 'Hub Users 226'!B:B, 0)),"")</f>
        <v>1074</v>
      </c>
      <c r="H379" s="28">
        <v>489.0</v>
      </c>
      <c r="I379" s="28" t="s">
        <v>260</v>
      </c>
      <c r="J379" s="28" t="s">
        <v>5336</v>
      </c>
      <c r="K379" s="28" t="s">
        <v>5177</v>
      </c>
      <c r="L379" s="28" t="s">
        <v>5196</v>
      </c>
      <c r="M379" s="56" t="s">
        <v>7845</v>
      </c>
      <c r="N379" s="57">
        <v>44474.74513888889</v>
      </c>
      <c r="O379" s="58">
        <v>39214.0</v>
      </c>
      <c r="P379" s="28">
        <f t="shared" si="12"/>
        <v>19</v>
      </c>
      <c r="Q379" s="28" t="s">
        <v>240</v>
      </c>
      <c r="R379" s="28" t="s">
        <v>7846</v>
      </c>
      <c r="S379" s="28">
        <v>13.0</v>
      </c>
      <c r="T379" s="28">
        <v>33.0</v>
      </c>
      <c r="U379" s="28">
        <v>78.0</v>
      </c>
      <c r="V379" s="28">
        <v>14.0</v>
      </c>
      <c r="W379" s="28" t="s">
        <v>859</v>
      </c>
      <c r="X379" s="28" t="s">
        <v>272</v>
      </c>
      <c r="Y379" s="28" t="s">
        <v>7847</v>
      </c>
      <c r="Z379" s="28" t="s">
        <v>5918</v>
      </c>
      <c r="AA379" s="28" t="s">
        <v>477</v>
      </c>
      <c r="AB379" s="28">
        <v>15.0</v>
      </c>
      <c r="AC379" s="28" t="s">
        <v>25</v>
      </c>
      <c r="AD379" s="23"/>
      <c r="AE379" s="28" t="s">
        <v>10</v>
      </c>
      <c r="AF379" s="23" t="str">
        <f>IFERROR(__xludf.DUMMYFUNCTION("TEXTJOIN("", "", TRUE,
  FILTER(Champions!C:C,
    ISNUMBER(SEARCH(C379, Champions!W:W))
  )
)"),"Addy Michelle Jimenez Haga, Leif Castren, Jan Panchalingam")</f>
        <v>Addy Michelle Jimenez Haga, Leif Castren, Jan Panchalingam</v>
      </c>
      <c r="AG379" s="23"/>
      <c r="AH379" s="23" t="str">
        <f>IFERROR(__xludf.DUMMYFUNCTION("IF(
ISNUMBER(MATCH(
C379,
IMPORTRANGE(""https://docs.google.com/spreadsheets/d/1yTh1ELC33JHYOeEdgIiEclxPRyh0zOKtlawDltfUay8"",""'Interns'!A:A""),
0
)),
""Outreach Conducted"",
"""")"),"")</f>
        <v/>
      </c>
      <c r="AI379" s="23"/>
      <c r="AJ379" s="23"/>
      <c r="AK379" s="23" t="str">
        <f>IFERROR(__xludf.DUMMYFUNCTION("XLOOKUP(C379, 
   IMPORTRANGE(""1RdEdgHYrZ33LJ7RUHj_h-qkAFL92bcVjtIdVa-UlsCw"", ""Interns!D:D""), 
   IMPORTRANGE(""1RdEdgHYrZ33LJ7RUHj_h-qkAFL92bcVjtIdVa-UlsCw"", ""Interns!M:M""), 
   ""Not Found"")"),"")</f>
        <v/>
      </c>
      <c r="AL379" s="23" t="str">
        <f>IFERROR(__xludf.DUMMYFUNCTION("XLOOKUP(C379, 
   IMPORTRANGE(""1RdEdgHYrZ33LJ7RUHj_h-qkAFL92bcVjtIdVa-UlsCw"", ""Interns!D:D""), 
   IMPORTRANGE(""1RdEdgHYrZ33LJ7RUHj_h-qkAFL92bcVjtIdVa-UlsCw"", ""Interns!N:N""), 
   ""Not Found"")"),"")</f>
        <v/>
      </c>
      <c r="AM379" s="23" t="str">
        <f>IFERROR(__xludf.DUMMYFUNCTION("XLOOKUP(C379, 
   IMPORTRANGE(""1RdEdgHYrZ33LJ7RUHj_h-qkAFL92bcVjtIdVa-UlsCw"", ""Interns!D:D""), 
   IMPORTRANGE(""1RdEdgHYrZ33LJ7RUHj_h-qkAFL92bcVjtIdVa-UlsCw"", ""Interns!O:O""), 
   ""Not Found"")"),"")</f>
        <v/>
      </c>
      <c r="AN379" s="23"/>
      <c r="AO379" s="23" t="s">
        <v>7848</v>
      </c>
      <c r="AP379" s="28" t="s">
        <v>5182</v>
      </c>
      <c r="AQ379" s="28" t="s">
        <v>7845</v>
      </c>
      <c r="AR379" s="23" t="s">
        <v>7849</v>
      </c>
      <c r="AS379" s="23"/>
      <c r="AT379" s="23"/>
      <c r="AU379" s="23"/>
      <c r="AV379" s="23"/>
    </row>
    <row r="380">
      <c r="A380" s="28" t="s">
        <v>5161</v>
      </c>
      <c r="B380" s="28" t="s">
        <v>5162</v>
      </c>
      <c r="C380" s="23" t="str">
        <f t="shared" si="1"/>
        <v>Ana Gonzalez</v>
      </c>
      <c r="D380" s="28" t="s">
        <v>4816</v>
      </c>
      <c r="E380" s="28" t="s">
        <v>1377</v>
      </c>
      <c r="F380" s="23">
        <f t="array" ref="F380">IFERROR(
    INDEX('Hub Interns 226'!A:A, MATCH(C380, 'Hub Interns 226'!B:B, 0)),"")</f>
        <v>220</v>
      </c>
      <c r="G380" s="23">
        <f t="array" ref="G380">IFERROR(
    INDEX('Hub Users 226'!A:A, MATCH(C380, 'Hub Users 226'!B:B, 0)),"")</f>
        <v>653</v>
      </c>
      <c r="H380" s="28">
        <v>412.0</v>
      </c>
      <c r="I380" s="28" t="s">
        <v>417</v>
      </c>
      <c r="J380" s="28" t="s">
        <v>5336</v>
      </c>
      <c r="K380" s="28" t="s">
        <v>5177</v>
      </c>
      <c r="L380" s="28" t="s">
        <v>5196</v>
      </c>
      <c r="M380" s="56" t="s">
        <v>7850</v>
      </c>
      <c r="N380" s="57">
        <v>44305.566666666666</v>
      </c>
      <c r="O380" s="58">
        <v>38152.0</v>
      </c>
      <c r="P380" s="28">
        <f t="shared" si="12"/>
        <v>21</v>
      </c>
      <c r="Q380" s="28" t="s">
        <v>240</v>
      </c>
      <c r="R380" s="28" t="s">
        <v>7851</v>
      </c>
      <c r="S380" s="28">
        <v>13.0</v>
      </c>
      <c r="T380" s="28">
        <v>30.0</v>
      </c>
      <c r="U380" s="28">
        <v>70.0</v>
      </c>
      <c r="V380" s="28">
        <v>9.0</v>
      </c>
      <c r="W380" s="28" t="s">
        <v>271</v>
      </c>
      <c r="X380" s="28" t="s">
        <v>272</v>
      </c>
      <c r="Y380" s="28" t="s">
        <v>7852</v>
      </c>
      <c r="Z380" s="28" t="s">
        <v>5558</v>
      </c>
      <c r="AA380" s="28" t="s">
        <v>5559</v>
      </c>
      <c r="AB380" s="28">
        <v>10.0</v>
      </c>
      <c r="AC380" s="28" t="s">
        <v>24</v>
      </c>
      <c r="AD380" s="23"/>
      <c r="AE380" s="28" t="s">
        <v>8</v>
      </c>
      <c r="AF380" s="23" t="str">
        <f>IFERROR(__xludf.DUMMYFUNCTION("TEXTJOIN("", "", TRUE,
  FILTER(Champions!C:C,
    ISNUMBER(SEARCH(C380, Champions!W:W))
  )
)"),"Chiemela Okwandu, Bela Madrigal")</f>
        <v>Chiemela Okwandu, Bela Madrigal</v>
      </c>
      <c r="AG380" s="23"/>
      <c r="AH380" s="23" t="str">
        <f>IFERROR(__xludf.DUMMYFUNCTION("IF(
ISNUMBER(MATCH(
C380,
IMPORTRANGE(""https://docs.google.com/spreadsheets/d/1yTh1ELC33JHYOeEdgIiEclxPRyh0zOKtlawDltfUay8"",""'Interns'!A:A""),
0
)),
""Outreach Conducted"",
"""")"),"")</f>
        <v/>
      </c>
      <c r="AI380" s="23"/>
      <c r="AJ380" s="23"/>
      <c r="AK380" s="23" t="str">
        <f>IFERROR(__xludf.DUMMYFUNCTION("XLOOKUP(C380, 
   IMPORTRANGE(""1RdEdgHYrZ33LJ7RUHj_h-qkAFL92bcVjtIdVa-UlsCw"", ""Interns!D:D""), 
   IMPORTRANGE(""1RdEdgHYrZ33LJ7RUHj_h-qkAFL92bcVjtIdVa-UlsCw"", ""Interns!M:M""), 
   ""Not Found"")"),"Contacted")</f>
        <v>Contacted</v>
      </c>
      <c r="AL380" s="23" t="str">
        <f>IFERROR(__xludf.DUMMYFUNCTION("XLOOKUP(C380, 
   IMPORTRANGE(""1RdEdgHYrZ33LJ7RUHj_h-qkAFL92bcVjtIdVa-UlsCw"", ""Interns!D:D""), 
   IMPORTRANGE(""1RdEdgHYrZ33LJ7RUHj_h-qkAFL92bcVjtIdVa-UlsCw"", ""Interns!N:N""), 
   ""Not Found"")"),"#Cheers4Careers")</f>
        <v>#Cheers4Careers</v>
      </c>
      <c r="AM380" s="23" t="str">
        <f>IFERROR(__xludf.DUMMYFUNCTION("XLOOKUP(C380, 
   IMPORTRANGE(""1RdEdgHYrZ33LJ7RUHj_h-qkAFL92bcVjtIdVa-UlsCw"", ""Interns!D:D""), 
   IMPORTRANGE(""1RdEdgHYrZ33LJ7RUHj_h-qkAFL92bcVjtIdVa-UlsCw"", ""Interns!O:O""), 
   ""Not Found"")"),"Hetal reached out by email 3/27")</f>
        <v>Hetal reached out by email 3/27</v>
      </c>
      <c r="AN380" s="23"/>
      <c r="AO380" s="23" t="s">
        <v>7853</v>
      </c>
      <c r="AP380" s="28" t="s">
        <v>5182</v>
      </c>
      <c r="AQ380" s="28"/>
      <c r="AR380" s="23"/>
      <c r="AS380" s="23"/>
      <c r="AT380" s="23"/>
      <c r="AU380" s="23"/>
      <c r="AV380" s="23"/>
    </row>
    <row r="381">
      <c r="A381" s="28" t="s">
        <v>5161</v>
      </c>
      <c r="B381" s="28" t="s">
        <v>5162</v>
      </c>
      <c r="C381" s="23" t="str">
        <f t="shared" si="1"/>
        <v>Franllelis Rodriguez</v>
      </c>
      <c r="D381" s="28" t="s">
        <v>7854</v>
      </c>
      <c r="E381" s="28" t="s">
        <v>536</v>
      </c>
      <c r="F381" s="23">
        <f t="array" ref="F381">IFERROR(
    INDEX('Hub Interns 226'!A:A, MATCH(C381, 'Hub Interns 226'!B:B, 0)),"")</f>
        <v>506</v>
      </c>
      <c r="G381" s="23">
        <f t="array" ref="G381">IFERROR(
    INDEX('Hub Users 226'!A:A, MATCH(C381, 'Hub Users 226'!B:B, 0)),"")</f>
        <v>939</v>
      </c>
      <c r="H381" s="28">
        <v>958.0</v>
      </c>
      <c r="I381" s="28" t="s">
        <v>107</v>
      </c>
      <c r="J381" s="28" t="s">
        <v>5336</v>
      </c>
      <c r="K381" s="28" t="s">
        <v>5177</v>
      </c>
      <c r="L381" s="28" t="s">
        <v>5196</v>
      </c>
      <c r="M381" s="56" t="s">
        <v>7855</v>
      </c>
      <c r="N381" s="57">
        <v>44628.55</v>
      </c>
      <c r="O381" s="58">
        <v>38160.0</v>
      </c>
      <c r="P381" s="28">
        <f t="shared" si="12"/>
        <v>21</v>
      </c>
      <c r="Q381" s="28" t="s">
        <v>240</v>
      </c>
      <c r="R381" s="28" t="s">
        <v>7856</v>
      </c>
      <c r="S381" s="28">
        <v>9.0</v>
      </c>
      <c r="T381" s="28">
        <v>20.0</v>
      </c>
      <c r="U381" s="28">
        <v>43.0</v>
      </c>
      <c r="V381" s="28">
        <v>40.0</v>
      </c>
      <c r="W381" s="28" t="s">
        <v>294</v>
      </c>
      <c r="X381" s="28" t="s">
        <v>272</v>
      </c>
      <c r="Y381" s="28" t="s">
        <v>7857</v>
      </c>
      <c r="Z381" s="28" t="s">
        <v>5589</v>
      </c>
      <c r="AA381" s="28" t="s">
        <v>5590</v>
      </c>
      <c r="AB381" s="28">
        <v>35.0</v>
      </c>
      <c r="AC381" s="28" t="s">
        <v>24</v>
      </c>
      <c r="AD381" s="23"/>
      <c r="AE381" s="28" t="s">
        <v>10</v>
      </c>
      <c r="AF381" s="23"/>
      <c r="AG381" s="23"/>
      <c r="AH381" s="23" t="str">
        <f>IFERROR(__xludf.DUMMYFUNCTION("IF(
ISNUMBER(MATCH(
C381,
IMPORTRANGE(""https://docs.google.com/spreadsheets/d/1yTh1ELC33JHYOeEdgIiEclxPRyh0zOKtlawDltfUay8"",""'Interns'!A:A""),
0
)),
""Outreach Conducted"",
"""")"),"")</f>
        <v/>
      </c>
      <c r="AI381" s="23"/>
      <c r="AJ381" s="23"/>
      <c r="AK381" s="23" t="str">
        <f>IFERROR(__xludf.DUMMYFUNCTION("XLOOKUP(C381, 
   IMPORTRANGE(""1RdEdgHYrZ33LJ7RUHj_h-qkAFL92bcVjtIdVa-UlsCw"", ""Interns!D:D""), 
   IMPORTRANGE(""1RdEdgHYrZ33LJ7RUHj_h-qkAFL92bcVjtIdVa-UlsCw"", ""Interns!M:M""), 
   ""Not Found"")"),"Contacted")</f>
        <v>Contacted</v>
      </c>
      <c r="AL381" s="23" t="str">
        <f>IFERROR(__xludf.DUMMYFUNCTION("XLOOKUP(C381, 
   IMPORTRANGE(""1RdEdgHYrZ33LJ7RUHj_h-qkAFL92bcVjtIdVa-UlsCw"", ""Interns!D:D""), 
   IMPORTRANGE(""1RdEdgHYrZ33LJ7RUHj_h-qkAFL92bcVjtIdVa-UlsCw"", ""Interns!N:N""), 
   ""Not Found"")"),"#Cheers4Careers")</f>
        <v>#Cheers4Careers</v>
      </c>
      <c r="AM381" s="23" t="str">
        <f>IFERROR(__xludf.DUMMYFUNCTION("XLOOKUP(C381, 
   IMPORTRANGE(""1RdEdgHYrZ33LJ7RUHj_h-qkAFL92bcVjtIdVa-UlsCw"", ""Interns!D:D""), 
   IMPORTRANGE(""1RdEdgHYrZ33LJ7RUHj_h-qkAFL92bcVjtIdVa-UlsCw"", ""Interns!O:O""), 
   ""Not Found"")"),"Hetal reached out by email 3/27")</f>
        <v>Hetal reached out by email 3/27</v>
      </c>
      <c r="AN381" s="23"/>
      <c r="AO381" s="23" t="s">
        <v>7858</v>
      </c>
      <c r="AP381" s="28" t="s">
        <v>5191</v>
      </c>
      <c r="AQ381" s="28"/>
      <c r="AR381" s="23"/>
      <c r="AS381" s="23"/>
      <c r="AT381" s="23"/>
      <c r="AU381" s="23"/>
      <c r="AV381" s="23"/>
    </row>
    <row r="382">
      <c r="A382" s="28" t="s">
        <v>5202</v>
      </c>
      <c r="B382" s="28" t="s">
        <v>5162</v>
      </c>
      <c r="C382" s="23" t="str">
        <f t="shared" si="1"/>
        <v>Gabriela Pena</v>
      </c>
      <c r="D382" s="28" t="s">
        <v>1413</v>
      </c>
      <c r="E382" s="28" t="s">
        <v>6838</v>
      </c>
      <c r="F382" s="23">
        <f t="array" ref="F382">IFERROR(
    INDEX('Hub Interns 226'!A:A, MATCH(C382, 'Hub Interns 226'!B:B, 0)),"")</f>
        <v>534</v>
      </c>
      <c r="G382" s="23">
        <f t="array" ref="G382">IFERROR(
    INDEX('Hub Users 226'!A:A, MATCH(C382, 'Hub Users 226'!B:B, 0)),"")</f>
        <v>967</v>
      </c>
      <c r="H382" s="28">
        <v>1132.0</v>
      </c>
      <c r="I382" s="28" t="s">
        <v>290</v>
      </c>
      <c r="J382" s="28" t="s">
        <v>5336</v>
      </c>
      <c r="K382" s="28" t="s">
        <v>5177</v>
      </c>
      <c r="L382" s="28" t="s">
        <v>5196</v>
      </c>
      <c r="M382" s="56" t="s">
        <v>7859</v>
      </c>
      <c r="N382" s="57">
        <v>44734.61597222222</v>
      </c>
      <c r="O382" s="58">
        <v>39024.0</v>
      </c>
      <c r="P382" s="28">
        <f t="shared" si="12"/>
        <v>19</v>
      </c>
      <c r="Q382" s="28" t="s">
        <v>240</v>
      </c>
      <c r="R382" s="28" t="s">
        <v>7860</v>
      </c>
      <c r="S382" s="28">
        <v>14.0</v>
      </c>
      <c r="T382" s="28">
        <v>29.0</v>
      </c>
      <c r="U382" s="28">
        <v>84.0</v>
      </c>
      <c r="V382" s="28">
        <v>8.0</v>
      </c>
      <c r="W382" s="28" t="s">
        <v>859</v>
      </c>
      <c r="X382" s="28" t="s">
        <v>272</v>
      </c>
      <c r="Y382" s="28" t="s">
        <v>7861</v>
      </c>
      <c r="Z382" s="28" t="s">
        <v>5208</v>
      </c>
      <c r="AA382" s="28" t="s">
        <v>2141</v>
      </c>
      <c r="AB382" s="28">
        <v>8.0</v>
      </c>
      <c r="AC382" s="28" t="s">
        <v>25</v>
      </c>
      <c r="AD382" s="23"/>
      <c r="AE382" s="28" t="s">
        <v>15</v>
      </c>
      <c r="AF382" s="23" t="str">
        <f>IFERROR(__xludf.DUMMYFUNCTION("TEXTJOIN("", "", TRUE,
  FILTER(Champions!C:C,
    ISNUMBER(SEARCH(C382, Champions!W:W))
  )
)"),"Bindu Krishna, Bindu Krishna (D)")</f>
        <v>Bindu Krishna, Bindu Krishna (D)</v>
      </c>
      <c r="AG382" s="23"/>
      <c r="AH382" s="23" t="str">
        <f>IFERROR(__xludf.DUMMYFUNCTION("IF(
ISNUMBER(MATCH(
C382,
IMPORTRANGE(""https://docs.google.com/spreadsheets/d/1yTh1ELC33JHYOeEdgIiEclxPRyh0zOKtlawDltfUay8"",""'Interns'!A:A""),
0
)),
""Outreach Conducted"",
"""")"),"")</f>
        <v/>
      </c>
      <c r="AI382" s="23"/>
      <c r="AJ382" s="23"/>
      <c r="AK382" s="23" t="str">
        <f>IFERROR(__xludf.DUMMYFUNCTION("XLOOKUP(C382, 
   IMPORTRANGE(""1RdEdgHYrZ33LJ7RUHj_h-qkAFL92bcVjtIdVa-UlsCw"", ""Interns!D:D""), 
   IMPORTRANGE(""1RdEdgHYrZ33LJ7RUHj_h-qkAFL92bcVjtIdVa-UlsCw"", ""Interns!M:M""), 
   ""Not Found"")"),"")</f>
        <v/>
      </c>
      <c r="AL382" s="23" t="str">
        <f>IFERROR(__xludf.DUMMYFUNCTION("XLOOKUP(C382, 
   IMPORTRANGE(""1RdEdgHYrZ33LJ7RUHj_h-qkAFL92bcVjtIdVa-UlsCw"", ""Interns!D:D""), 
   IMPORTRANGE(""1RdEdgHYrZ33LJ7RUHj_h-qkAFL92bcVjtIdVa-UlsCw"", ""Interns!N:N""), 
   ""Not Found"")"),"")</f>
        <v/>
      </c>
      <c r="AM382" s="23" t="str">
        <f>IFERROR(__xludf.DUMMYFUNCTION("XLOOKUP(C382, 
   IMPORTRANGE(""1RdEdgHYrZ33LJ7RUHj_h-qkAFL92bcVjtIdVa-UlsCw"", ""Interns!D:D""), 
   IMPORTRANGE(""1RdEdgHYrZ33LJ7RUHj_h-qkAFL92bcVjtIdVa-UlsCw"", ""Interns!O:O""), 
   ""Not Found"")"),"")</f>
        <v/>
      </c>
      <c r="AN382" s="23"/>
      <c r="AO382" s="23" t="s">
        <v>7862</v>
      </c>
      <c r="AP382" s="28" t="s">
        <v>5191</v>
      </c>
      <c r="AQ382" s="28" t="s">
        <v>7863</v>
      </c>
      <c r="AR382" s="23" t="s">
        <v>7864</v>
      </c>
      <c r="AS382" s="23"/>
      <c r="AT382" s="23"/>
      <c r="AU382" s="23"/>
      <c r="AV382" s="23"/>
    </row>
    <row r="383">
      <c r="A383" s="28" t="s">
        <v>5161</v>
      </c>
      <c r="B383" s="28" t="s">
        <v>5162</v>
      </c>
      <c r="C383" s="23" t="str">
        <f t="shared" si="1"/>
        <v>Melvin Martinez</v>
      </c>
      <c r="D383" s="28" t="s">
        <v>7865</v>
      </c>
      <c r="E383" s="28" t="s">
        <v>2010</v>
      </c>
      <c r="F383" s="23">
        <f t="array" ref="F383">IFERROR(
    INDEX('Hub Interns 226'!A:A, MATCH(C383, 'Hub Interns 226'!B:B, 0)),"")</f>
        <v>873</v>
      </c>
      <c r="G383" s="23">
        <f t="array" ref="G383">IFERROR(
    INDEX('Hub Users 226'!A:A, MATCH(C383, 'Hub Users 226'!B:B, 0)),"")</f>
        <v>1306</v>
      </c>
      <c r="H383" s="28">
        <v>250.0</v>
      </c>
      <c r="I383" s="28" t="s">
        <v>1235</v>
      </c>
      <c r="J383" s="28" t="s">
        <v>5336</v>
      </c>
      <c r="K383" s="28" t="s">
        <v>5177</v>
      </c>
      <c r="L383" s="28" t="s">
        <v>5165</v>
      </c>
      <c r="M383" s="56" t="s">
        <v>7866</v>
      </c>
      <c r="N383" s="59">
        <v>44148.489583333336</v>
      </c>
      <c r="O383" s="58">
        <v>38228.0</v>
      </c>
      <c r="P383" s="28">
        <f t="shared" si="12"/>
        <v>21</v>
      </c>
      <c r="Q383" s="28" t="s">
        <v>7867</v>
      </c>
      <c r="R383" s="28" t="s">
        <v>7868</v>
      </c>
      <c r="S383" s="28"/>
      <c r="T383" s="28"/>
      <c r="U383" s="28"/>
      <c r="V383" s="28"/>
      <c r="W383" s="28" t="s">
        <v>380</v>
      </c>
      <c r="X383" s="28" t="s">
        <v>381</v>
      </c>
      <c r="Y383" s="23"/>
      <c r="Z383" s="28" t="s">
        <v>5220</v>
      </c>
      <c r="AA383" s="28" t="s">
        <v>1570</v>
      </c>
      <c r="AB383" s="28" t="s">
        <v>5221</v>
      </c>
      <c r="AC383" s="28" t="s">
        <v>25</v>
      </c>
      <c r="AD383" s="23"/>
      <c r="AE383" s="28" t="s">
        <v>8</v>
      </c>
      <c r="AF383" s="23" t="str">
        <f>IFERROR(__xludf.DUMMYFUNCTION("TEXTJOIN("", "", TRUE,
  FILTER(Champions!C:C,
    ISNUMBER(SEARCH(C383, Champions!W:W))
  )
)"),"Ian Paratore, Jayne Gonzalez, Stephanie Grandjacques")</f>
        <v>Ian Paratore, Jayne Gonzalez, Stephanie Grandjacques</v>
      </c>
      <c r="AG383" s="23"/>
      <c r="AH383" s="23" t="str">
        <f>IFERROR(__xludf.DUMMYFUNCTION("IF(
ISNUMBER(MATCH(
C383,
IMPORTRANGE(""https://docs.google.com/spreadsheets/d/1yTh1ELC33JHYOeEdgIiEclxPRyh0zOKtlawDltfUay8"",""'Interns'!A:A""),
0
)),
""Outreach Conducted"",
"""")"),"")</f>
        <v/>
      </c>
      <c r="AI383" s="23"/>
      <c r="AJ383" s="23"/>
      <c r="AK383" s="23" t="str">
        <f>IFERROR(__xludf.DUMMYFUNCTION("XLOOKUP(C383, 
   IMPORTRANGE(""1RdEdgHYrZ33LJ7RUHj_h-qkAFL92bcVjtIdVa-UlsCw"", ""Interns!D:D""), 
   IMPORTRANGE(""1RdEdgHYrZ33LJ7RUHj_h-qkAFL92bcVjtIdVa-UlsCw"", ""Interns!M:M""), 
   ""Not Found"")"),"")</f>
        <v/>
      </c>
      <c r="AL383" s="23" t="str">
        <f>IFERROR(__xludf.DUMMYFUNCTION("XLOOKUP(C383, 
   IMPORTRANGE(""1RdEdgHYrZ33LJ7RUHj_h-qkAFL92bcVjtIdVa-UlsCw"", ""Interns!D:D""), 
   IMPORTRANGE(""1RdEdgHYrZ33LJ7RUHj_h-qkAFL92bcVjtIdVa-UlsCw"", ""Interns!N:N""), 
   ""Not Found"")"),"")</f>
        <v/>
      </c>
      <c r="AM383" s="23" t="str">
        <f>IFERROR(__xludf.DUMMYFUNCTION("XLOOKUP(C383, 
   IMPORTRANGE(""1RdEdgHYrZ33LJ7RUHj_h-qkAFL92bcVjtIdVa-UlsCw"", ""Interns!D:D""), 
   IMPORTRANGE(""1RdEdgHYrZ33LJ7RUHj_h-qkAFL92bcVjtIdVa-UlsCw"", ""Interns!O:O""), 
   ""Not Found"")"),"")</f>
        <v/>
      </c>
      <c r="AN383" s="23"/>
      <c r="AO383" s="23" t="s">
        <v>7869</v>
      </c>
      <c r="AP383" s="28" t="s">
        <v>5191</v>
      </c>
      <c r="AQ383" s="28" t="s">
        <v>7870</v>
      </c>
      <c r="AR383" s="23">
        <v>2.674710617E9</v>
      </c>
      <c r="AS383" s="23"/>
      <c r="AT383" s="23"/>
      <c r="AU383" s="23"/>
      <c r="AV383" s="23"/>
    </row>
    <row r="384">
      <c r="A384" s="28" t="s">
        <v>5161</v>
      </c>
      <c r="B384" s="28" t="s">
        <v>5162</v>
      </c>
      <c r="C384" s="23" t="str">
        <f t="shared" si="1"/>
        <v>Angelica Reynoso</v>
      </c>
      <c r="D384" s="28" t="s">
        <v>6843</v>
      </c>
      <c r="E384" s="28" t="s">
        <v>7871</v>
      </c>
      <c r="F384" s="23">
        <f t="array" ref="F384">IFERROR(
    INDEX('Hub Interns 226'!A:A, MATCH(C384, 'Hub Interns 226'!B:B, 0)),"")</f>
        <v>256</v>
      </c>
      <c r="G384" s="23">
        <f t="array" ref="G384">IFERROR(
    INDEX('Hub Users 226'!A:A, MATCH(C384, 'Hub Users 226'!B:B, 0)),"")</f>
        <v>689</v>
      </c>
      <c r="H384" s="28">
        <v>587.0</v>
      </c>
      <c r="I384" s="28" t="s">
        <v>290</v>
      </c>
      <c r="J384" s="28" t="s">
        <v>5336</v>
      </c>
      <c r="K384" s="28" t="s">
        <v>5177</v>
      </c>
      <c r="L384" s="28" t="s">
        <v>5196</v>
      </c>
      <c r="M384" s="56" t="s">
        <v>7872</v>
      </c>
      <c r="N384" s="59">
        <v>44483.65069444444</v>
      </c>
      <c r="O384" s="58">
        <v>38267.0</v>
      </c>
      <c r="P384" s="28">
        <f t="shared" si="12"/>
        <v>21</v>
      </c>
      <c r="Q384" s="28" t="s">
        <v>7873</v>
      </c>
      <c r="R384" s="28" t="s">
        <v>7874</v>
      </c>
      <c r="S384" s="28">
        <v>13.0</v>
      </c>
      <c r="T384" s="28">
        <v>33.0</v>
      </c>
      <c r="U384" s="28">
        <v>78.0</v>
      </c>
      <c r="V384" s="28">
        <v>15.0</v>
      </c>
      <c r="W384" s="28" t="s">
        <v>859</v>
      </c>
      <c r="X384" s="28" t="s">
        <v>272</v>
      </c>
      <c r="Y384" s="28" t="s">
        <v>7875</v>
      </c>
      <c r="Z384" s="28" t="s">
        <v>5918</v>
      </c>
      <c r="AA384" s="28" t="s">
        <v>477</v>
      </c>
      <c r="AB384" s="28">
        <v>15.0</v>
      </c>
      <c r="AC384" s="28" t="s">
        <v>25</v>
      </c>
      <c r="AD384" s="23"/>
      <c r="AE384" s="28" t="s">
        <v>10</v>
      </c>
      <c r="AF384" s="23" t="str">
        <f>IFERROR(__xludf.DUMMYFUNCTION("TEXTJOIN("", "", TRUE,
  FILTER(Champions!C:C,
    ISNUMBER(SEARCH(C384, Champions!W:W))
  )
)"),"Priyanka Dixit, Sandra Llontop, Esteban Proaño")</f>
        <v>Priyanka Dixit, Sandra Llontop, Esteban Proaño</v>
      </c>
      <c r="AG384" s="23"/>
      <c r="AH384" s="23" t="str">
        <f>IFERROR(__xludf.DUMMYFUNCTION("IF(
ISNUMBER(MATCH(
C384,
IMPORTRANGE(""https://docs.google.com/spreadsheets/d/1yTh1ELC33JHYOeEdgIiEclxPRyh0zOKtlawDltfUay8"",""'Interns'!A:A""),
0
)),
""Outreach Conducted"",
"""")"),"")</f>
        <v/>
      </c>
      <c r="AI384" s="23"/>
      <c r="AJ384" s="23"/>
      <c r="AK384" s="23" t="str">
        <f>IFERROR(__xludf.DUMMYFUNCTION("XLOOKUP(C384, 
   IMPORTRANGE(""1RdEdgHYrZ33LJ7RUHj_h-qkAFL92bcVjtIdVa-UlsCw"", ""Interns!D:D""), 
   IMPORTRANGE(""1RdEdgHYrZ33LJ7RUHj_h-qkAFL92bcVjtIdVa-UlsCw"", ""Interns!M:M""), 
   ""Not Found"")"),"")</f>
        <v/>
      </c>
      <c r="AL384" s="23" t="str">
        <f>IFERROR(__xludf.DUMMYFUNCTION("XLOOKUP(C384, 
   IMPORTRANGE(""1RdEdgHYrZ33LJ7RUHj_h-qkAFL92bcVjtIdVa-UlsCw"", ""Interns!D:D""), 
   IMPORTRANGE(""1RdEdgHYrZ33LJ7RUHj_h-qkAFL92bcVjtIdVa-UlsCw"", ""Interns!N:N""), 
   ""Not Found"")"),"")</f>
        <v/>
      </c>
      <c r="AM384" s="23" t="str">
        <f>IFERROR(__xludf.DUMMYFUNCTION("XLOOKUP(C384, 
   IMPORTRANGE(""1RdEdgHYrZ33LJ7RUHj_h-qkAFL92bcVjtIdVa-UlsCw"", ""Interns!D:D""), 
   IMPORTRANGE(""1RdEdgHYrZ33LJ7RUHj_h-qkAFL92bcVjtIdVa-UlsCw"", ""Interns!O:O""), 
   ""Not Found"")"),"")</f>
        <v/>
      </c>
      <c r="AN384" s="23"/>
      <c r="AO384" s="23" t="s">
        <v>7876</v>
      </c>
      <c r="AP384" s="28" t="s">
        <v>5182</v>
      </c>
      <c r="AQ384" s="28" t="s">
        <v>7877</v>
      </c>
      <c r="AR384" s="23" t="s">
        <v>7878</v>
      </c>
      <c r="AS384" s="23"/>
      <c r="AT384" s="23"/>
      <c r="AU384" s="23"/>
      <c r="AV384" s="23"/>
    </row>
    <row r="385">
      <c r="A385" s="28" t="s">
        <v>5202</v>
      </c>
      <c r="B385" s="28" t="s">
        <v>5162</v>
      </c>
      <c r="C385" s="23" t="str">
        <f t="shared" si="1"/>
        <v>Manifer Triunfel</v>
      </c>
      <c r="D385" s="28" t="s">
        <v>7879</v>
      </c>
      <c r="E385" s="28" t="s">
        <v>7880</v>
      </c>
      <c r="F385" s="23">
        <f t="array" ref="F385">IFERROR(
    INDEX('Hub Interns 226'!A:A, MATCH(C385, 'Hub Interns 226'!B:B, 0)),"")</f>
        <v>832</v>
      </c>
      <c r="G385" s="23">
        <f t="array" ref="G385">IFERROR(
    INDEX('Hub Users 226'!A:A, MATCH(C385, 'Hub Users 226'!B:B, 0)),"")</f>
        <v>1265</v>
      </c>
      <c r="H385" s="28">
        <v>308.0</v>
      </c>
      <c r="I385" s="28" t="s">
        <v>302</v>
      </c>
      <c r="J385" s="28" t="s">
        <v>5336</v>
      </c>
      <c r="K385" s="28" t="s">
        <v>5177</v>
      </c>
      <c r="L385" s="28" t="s">
        <v>5196</v>
      </c>
      <c r="M385" s="56" t="s">
        <v>7881</v>
      </c>
      <c r="N385" s="57">
        <v>44233.65138888889</v>
      </c>
      <c r="O385" s="58">
        <v>37966.0</v>
      </c>
      <c r="P385" s="28">
        <f t="shared" si="12"/>
        <v>22</v>
      </c>
      <c r="Q385" s="28" t="s">
        <v>240</v>
      </c>
      <c r="R385" s="28" t="s">
        <v>7882</v>
      </c>
      <c r="S385" s="28">
        <v>15.0</v>
      </c>
      <c r="T385" s="28">
        <v>32.0</v>
      </c>
      <c r="U385" s="28">
        <v>79.0</v>
      </c>
      <c r="V385" s="28">
        <v>17.0</v>
      </c>
      <c r="W385" s="28" t="s">
        <v>859</v>
      </c>
      <c r="X385" s="28" t="s">
        <v>272</v>
      </c>
      <c r="Y385" s="28" t="s">
        <v>7883</v>
      </c>
      <c r="Z385" s="28" t="s">
        <v>5208</v>
      </c>
      <c r="AA385" s="28" t="s">
        <v>2141</v>
      </c>
      <c r="AB385" s="28">
        <v>8.0</v>
      </c>
      <c r="AC385" s="28" t="s">
        <v>25</v>
      </c>
      <c r="AD385" s="23"/>
      <c r="AE385" s="28" t="s">
        <v>8</v>
      </c>
      <c r="AF385" s="23" t="str">
        <f>IFERROR(__xludf.DUMMYFUNCTION("TEXTJOIN("", "", TRUE,
  FILTER(Champions!C:C,
    ISNUMBER(SEARCH(C385, Champions!W:W))
  )
)"),"Susan Boxman, Ariel Sabrina Brigmann")</f>
        <v>Susan Boxman, Ariel Sabrina Brigmann</v>
      </c>
      <c r="AG385" s="23"/>
      <c r="AH385" s="23" t="str">
        <f>IFERROR(__xludf.DUMMYFUNCTION("IF(
ISNUMBER(MATCH(
C385,
IMPORTRANGE(""https://docs.google.com/spreadsheets/d/1yTh1ELC33JHYOeEdgIiEclxPRyh0zOKtlawDltfUay8"",""'Interns'!A:A""),
0
)),
""Outreach Conducted"",
"""")"),"")</f>
        <v/>
      </c>
      <c r="AI385" s="23"/>
      <c r="AJ385" s="23"/>
      <c r="AK385" s="23" t="str">
        <f>IFERROR(__xludf.DUMMYFUNCTION("XLOOKUP(C385, 
   IMPORTRANGE(""1RdEdgHYrZ33LJ7RUHj_h-qkAFL92bcVjtIdVa-UlsCw"", ""Interns!D:D""), 
   IMPORTRANGE(""1RdEdgHYrZ33LJ7RUHj_h-qkAFL92bcVjtIdVa-UlsCw"", ""Interns!M:M""), 
   ""Not Found"")"),"")</f>
        <v/>
      </c>
      <c r="AL385" s="23" t="str">
        <f>IFERROR(__xludf.DUMMYFUNCTION("XLOOKUP(C385, 
   IMPORTRANGE(""1RdEdgHYrZ33LJ7RUHj_h-qkAFL92bcVjtIdVa-UlsCw"", ""Interns!D:D""), 
   IMPORTRANGE(""1RdEdgHYrZ33LJ7RUHj_h-qkAFL92bcVjtIdVa-UlsCw"", ""Interns!N:N""), 
   ""Not Found"")"),"")</f>
        <v/>
      </c>
      <c r="AM385" s="23" t="str">
        <f>IFERROR(__xludf.DUMMYFUNCTION("XLOOKUP(C385, 
   IMPORTRANGE(""1RdEdgHYrZ33LJ7RUHj_h-qkAFL92bcVjtIdVa-UlsCw"", ""Interns!D:D""), 
   IMPORTRANGE(""1RdEdgHYrZ33LJ7RUHj_h-qkAFL92bcVjtIdVa-UlsCw"", ""Interns!O:O""), 
   ""Not Found"")"),"")</f>
        <v/>
      </c>
      <c r="AN385" s="23"/>
      <c r="AO385" s="23" t="s">
        <v>7884</v>
      </c>
      <c r="AP385" s="28" t="s">
        <v>5182</v>
      </c>
      <c r="AQ385" s="28" t="s">
        <v>7885</v>
      </c>
      <c r="AR385" s="23" t="s">
        <v>7883</v>
      </c>
      <c r="AS385" s="23"/>
      <c r="AT385" s="23"/>
      <c r="AU385" s="23"/>
      <c r="AV385" s="23"/>
    </row>
    <row r="386">
      <c r="A386" s="28" t="s">
        <v>5161</v>
      </c>
      <c r="B386" s="28" t="s">
        <v>5162</v>
      </c>
      <c r="C386" s="23" t="str">
        <f t="shared" si="1"/>
        <v>Wenely Pichardo cabrera</v>
      </c>
      <c r="D386" s="28" t="s">
        <v>7886</v>
      </c>
      <c r="E386" s="28" t="s">
        <v>7887</v>
      </c>
      <c r="F386" s="23">
        <f t="array" ref="F386">IFERROR(
    INDEX('Hub Interns 226'!A:A, MATCH(C386, 'Hub Interns 226'!B:B, 0)),"")</f>
        <v>1198</v>
      </c>
      <c r="G386" s="23">
        <f t="array" ref="G386">IFERROR(
    INDEX('Hub Users 226'!A:A, MATCH(C386, 'Hub Users 226'!B:B, 0)),"")</f>
        <v>1631</v>
      </c>
      <c r="H386" s="28">
        <v>1302.0</v>
      </c>
      <c r="I386" s="28" t="s">
        <v>290</v>
      </c>
      <c r="J386" s="28" t="s">
        <v>5336</v>
      </c>
      <c r="K386" s="28" t="s">
        <v>5177</v>
      </c>
      <c r="L386" s="28" t="s">
        <v>5196</v>
      </c>
      <c r="M386" s="56" t="s">
        <v>7888</v>
      </c>
      <c r="N386" s="59">
        <v>44846.56736111111</v>
      </c>
      <c r="O386" s="58">
        <v>39328.0</v>
      </c>
      <c r="P386" s="28">
        <f t="shared" si="12"/>
        <v>18</v>
      </c>
      <c r="Q386" s="28" t="s">
        <v>240</v>
      </c>
      <c r="R386" s="28" t="s">
        <v>7889</v>
      </c>
      <c r="S386" s="28">
        <v>13.0</v>
      </c>
      <c r="T386" s="28">
        <v>33.0</v>
      </c>
      <c r="U386" s="28">
        <v>78.0</v>
      </c>
      <c r="V386" s="28">
        <v>14.0</v>
      </c>
      <c r="W386" s="28" t="s">
        <v>859</v>
      </c>
      <c r="X386" s="28" t="s">
        <v>272</v>
      </c>
      <c r="Y386" s="28" t="s">
        <v>7890</v>
      </c>
      <c r="Z386" s="28" t="s">
        <v>5918</v>
      </c>
      <c r="AA386" s="28" t="s">
        <v>477</v>
      </c>
      <c r="AB386" s="28">
        <v>15.0</v>
      </c>
      <c r="AC386" s="28" t="s">
        <v>23</v>
      </c>
      <c r="AD386" s="28" t="s">
        <v>101</v>
      </c>
      <c r="AE386" s="28" t="s">
        <v>15</v>
      </c>
      <c r="AF386" s="23"/>
      <c r="AG386" s="23"/>
      <c r="AH386" s="23" t="str">
        <f>IFERROR(__xludf.DUMMYFUNCTION("IF(
ISNUMBER(MATCH(
C386,
IMPORTRANGE(""https://docs.google.com/spreadsheets/d/1yTh1ELC33JHYOeEdgIiEclxPRyh0zOKtlawDltfUay8"",""'Interns'!A:A""),
0
)),
""Outreach Conducted"",
"""")"),"")</f>
        <v/>
      </c>
      <c r="AI386" s="23"/>
      <c r="AJ386" s="23"/>
      <c r="AK386" s="23" t="str">
        <f>IFERROR(__xludf.DUMMYFUNCTION("XLOOKUP(C386, 
   IMPORTRANGE(""1RdEdgHYrZ33LJ7RUHj_h-qkAFL92bcVjtIdVa-UlsCw"", ""Interns!D:D""), 
   IMPORTRANGE(""1RdEdgHYrZ33LJ7RUHj_h-qkAFL92bcVjtIdVa-UlsCw"", ""Interns!M:M""), 
   ""Not Found"")"),"")</f>
        <v/>
      </c>
      <c r="AL386" s="23" t="str">
        <f>IFERROR(__xludf.DUMMYFUNCTION("XLOOKUP(C386, 
   IMPORTRANGE(""1RdEdgHYrZ33LJ7RUHj_h-qkAFL92bcVjtIdVa-UlsCw"", ""Interns!D:D""), 
   IMPORTRANGE(""1RdEdgHYrZ33LJ7RUHj_h-qkAFL92bcVjtIdVa-UlsCw"", ""Interns!N:N""), 
   ""Not Found"")"),"")</f>
        <v/>
      </c>
      <c r="AM386" s="23" t="str">
        <f>IFERROR(__xludf.DUMMYFUNCTION("XLOOKUP(C386, 
   IMPORTRANGE(""1RdEdgHYrZ33LJ7RUHj_h-qkAFL92bcVjtIdVa-UlsCw"", ""Interns!D:D""), 
   IMPORTRANGE(""1RdEdgHYrZ33LJ7RUHj_h-qkAFL92bcVjtIdVa-UlsCw"", ""Interns!O:O""), 
   ""Not Found"")"),"")</f>
        <v/>
      </c>
      <c r="AN386" s="23"/>
      <c r="AO386" s="23" t="s">
        <v>7891</v>
      </c>
      <c r="AP386" s="28" t="s">
        <v>5182</v>
      </c>
      <c r="AQ386" s="28"/>
      <c r="AR386" s="23"/>
      <c r="AS386" s="23"/>
      <c r="AT386" s="23"/>
      <c r="AU386" s="23"/>
      <c r="AV386" s="23"/>
    </row>
    <row r="387">
      <c r="A387" s="28" t="s">
        <v>5161</v>
      </c>
      <c r="B387" s="28" t="s">
        <v>5162</v>
      </c>
      <c r="C387" s="23" t="str">
        <f t="shared" si="1"/>
        <v>Adalbelys Polanco</v>
      </c>
      <c r="D387" s="28" t="s">
        <v>7892</v>
      </c>
      <c r="E387" s="28" t="s">
        <v>7526</v>
      </c>
      <c r="F387" s="23">
        <f t="array" ref="F387">IFERROR(
    INDEX('Hub Interns 226'!A:A, MATCH(C387, 'Hub Interns 226'!B:B, 0)),"")</f>
        <v>146</v>
      </c>
      <c r="G387" s="23">
        <f t="array" ref="G387">IFERROR(
    INDEX('Hub Users 226'!A:A, MATCH(C387, 'Hub Users 226'!B:B, 0)),"")</f>
        <v>579</v>
      </c>
      <c r="H387" s="28">
        <v>1232.0</v>
      </c>
      <c r="I387" s="28" t="s">
        <v>260</v>
      </c>
      <c r="J387" s="28" t="s">
        <v>5336</v>
      </c>
      <c r="K387" s="28" t="s">
        <v>5177</v>
      </c>
      <c r="L387" s="28" t="s">
        <v>5196</v>
      </c>
      <c r="M387" s="56" t="s">
        <v>7893</v>
      </c>
      <c r="N387" s="57">
        <v>44838.44930555556</v>
      </c>
      <c r="O387" s="58">
        <v>39036.0</v>
      </c>
      <c r="P387" s="28">
        <f t="shared" si="12"/>
        <v>19</v>
      </c>
      <c r="Q387" s="28" t="s">
        <v>7894</v>
      </c>
      <c r="R387" s="28" t="s">
        <v>7895</v>
      </c>
      <c r="S387" s="28">
        <v>13.0</v>
      </c>
      <c r="T387" s="28">
        <v>31.0</v>
      </c>
      <c r="U387" s="28">
        <v>72.0</v>
      </c>
      <c r="V387" s="28">
        <v>10.0</v>
      </c>
      <c r="W387" s="28" t="s">
        <v>271</v>
      </c>
      <c r="X387" s="28" t="s">
        <v>272</v>
      </c>
      <c r="Y387" s="28" t="s">
        <v>7896</v>
      </c>
      <c r="Z387" s="28" t="s">
        <v>5341</v>
      </c>
      <c r="AA387" s="28" t="s">
        <v>1085</v>
      </c>
      <c r="AB387" s="28">
        <v>10.0</v>
      </c>
      <c r="AC387" s="28" t="s">
        <v>25</v>
      </c>
      <c r="AD387" s="23"/>
      <c r="AE387" s="28" t="s">
        <v>15</v>
      </c>
      <c r="AF387" s="23" t="str">
        <f>IFERROR(__xludf.DUMMYFUNCTION("TEXTJOIN("", "", TRUE,
  FILTER(Champions!C:C,
    ISNUMBER(SEARCH(C387, Champions!W:W))
  )
)"),"Abigail Mawhirter, Daniela Fernandez Espinosa, Donald Johnson")</f>
        <v>Abigail Mawhirter, Daniela Fernandez Espinosa, Donald Johnson</v>
      </c>
      <c r="AG387" s="23"/>
      <c r="AH387" s="23" t="str">
        <f>IFERROR(__xludf.DUMMYFUNCTION("IF(
ISNUMBER(MATCH(
C387,
IMPORTRANGE(""https://docs.google.com/spreadsheets/d/1yTh1ELC33JHYOeEdgIiEclxPRyh0zOKtlawDltfUay8"",""'Interns'!A:A""),
0
)),
""Outreach Conducted"",
"""")"),"")</f>
        <v/>
      </c>
      <c r="AI387" s="23"/>
      <c r="AJ387" s="23"/>
      <c r="AK387" s="23" t="str">
        <f>IFERROR(__xludf.DUMMYFUNCTION("XLOOKUP(C387, 
   IMPORTRANGE(""1RdEdgHYrZ33LJ7RUHj_h-qkAFL92bcVjtIdVa-UlsCw"", ""Interns!D:D""), 
   IMPORTRANGE(""1RdEdgHYrZ33LJ7RUHj_h-qkAFL92bcVjtIdVa-UlsCw"", ""Interns!M:M""), 
   ""Not Found"")"),"In Communication")</f>
        <v>In Communication</v>
      </c>
      <c r="AL387" s="23" t="str">
        <f>IFERROR(__xludf.DUMMYFUNCTION("XLOOKUP(C387, 
   IMPORTRANGE(""1RdEdgHYrZ33LJ7RUHj_h-qkAFL92bcVjtIdVa-UlsCw"", ""Interns!D:D""), 
   IMPORTRANGE(""1RdEdgHYrZ33LJ7RUHj_h-qkAFL92bcVjtIdVa-UlsCw"", ""Interns!N:N""), 
   ""Not Found"")"),"#Cheers4Careers")</f>
        <v>#Cheers4Careers</v>
      </c>
      <c r="AM387" s="23" t="str">
        <f>IFERROR(__xludf.DUMMYFUNCTION("XLOOKUP(C387, 
   IMPORTRANGE(""1RdEdgHYrZ33LJ7RUHj_h-qkAFL92bcVjtIdVa-UlsCw"", ""Interns!D:D""), 
   IMPORTRANGE(""1RdEdgHYrZ33LJ7RUHj_h-qkAFL92bcVjtIdVa-UlsCw"", ""Interns!O:O""), 
   ""Not Found"")"),"Texted on April 12 for #Cheers4Careers event. Interested but unable to attend due to distance (2 hours away). Open to future events.")</f>
        <v>Texted on April 12 for #Cheers4Careers event. Interested but unable to attend due to distance (2 hours away). Open to future events.</v>
      </c>
      <c r="AN387" s="23"/>
      <c r="AO387" s="23" t="s">
        <v>7897</v>
      </c>
      <c r="AP387" s="28" t="s">
        <v>5182</v>
      </c>
      <c r="AQ387" s="28" t="s">
        <v>7898</v>
      </c>
      <c r="AR387" s="23" t="s">
        <v>7899</v>
      </c>
      <c r="AS387" s="23"/>
      <c r="AT387" s="23"/>
      <c r="AU387" s="23"/>
      <c r="AV387" s="23"/>
    </row>
    <row r="388">
      <c r="A388" s="28" t="s">
        <v>5202</v>
      </c>
      <c r="B388" s="28" t="s">
        <v>5162</v>
      </c>
      <c r="C388" s="23" t="str">
        <f t="shared" si="1"/>
        <v>Elaisa Vinicio</v>
      </c>
      <c r="D388" s="28" t="s">
        <v>7900</v>
      </c>
      <c r="E388" s="28" t="s">
        <v>7901</v>
      </c>
      <c r="F388" s="23">
        <f t="array" ref="F388">IFERROR(
    INDEX('Hub Interns 226'!A:A, MATCH(C388, 'Hub Interns 226'!B:B, 0)),"")</f>
        <v>474</v>
      </c>
      <c r="G388" s="23">
        <f t="array" ref="G388">IFERROR(
    INDEX('Hub Users 226'!A:A, MATCH(C388, 'Hub Users 226'!B:B, 0)),"")</f>
        <v>907</v>
      </c>
      <c r="H388" s="28">
        <v>1218.0</v>
      </c>
      <c r="I388" s="28" t="s">
        <v>260</v>
      </c>
      <c r="J388" s="28" t="s">
        <v>5336</v>
      </c>
      <c r="K388" s="28" t="s">
        <v>5177</v>
      </c>
      <c r="L388" s="28" t="s">
        <v>5196</v>
      </c>
      <c r="M388" s="56" t="s">
        <v>7902</v>
      </c>
      <c r="N388" s="57">
        <v>44835.82986111111</v>
      </c>
      <c r="O388" s="58">
        <v>37750.0</v>
      </c>
      <c r="P388" s="28">
        <f t="shared" si="12"/>
        <v>23</v>
      </c>
      <c r="Q388" s="28" t="s">
        <v>7903</v>
      </c>
      <c r="R388" s="28" t="s">
        <v>7904</v>
      </c>
      <c r="S388" s="28">
        <v>15.0</v>
      </c>
      <c r="T388" s="28">
        <v>32.0</v>
      </c>
      <c r="U388" s="28">
        <v>77.0</v>
      </c>
      <c r="V388" s="28">
        <v>16.0</v>
      </c>
      <c r="W388" s="28" t="s">
        <v>859</v>
      </c>
      <c r="X388" s="28" t="s">
        <v>272</v>
      </c>
      <c r="Y388" s="28">
        <v>3.476515588E9</v>
      </c>
      <c r="Z388" s="28" t="s">
        <v>7670</v>
      </c>
      <c r="AA388" s="28" t="s">
        <v>7671</v>
      </c>
      <c r="AB388" s="28">
        <v>10.0</v>
      </c>
      <c r="AC388" s="28" t="s">
        <v>25</v>
      </c>
      <c r="AD388" s="23"/>
      <c r="AE388" s="28" t="s">
        <v>15</v>
      </c>
      <c r="AF388" s="23" t="str">
        <f>IFERROR(__xludf.DUMMYFUNCTION("TEXTJOIN("", "", TRUE,
  FILTER(Champions!C:C,
    ISNUMBER(SEARCH(C388, Champions!W:W))
  )
)"),"Monique Rochell Anderson")</f>
        <v>Monique Rochell Anderson</v>
      </c>
      <c r="AG388" s="23"/>
      <c r="AH388" s="23" t="str">
        <f>IFERROR(__xludf.DUMMYFUNCTION("IF(
ISNUMBER(MATCH(
C388,
IMPORTRANGE(""https://docs.google.com/spreadsheets/d/1yTh1ELC33JHYOeEdgIiEclxPRyh0zOKtlawDltfUay8"",""'Interns'!A:A""),
0
)),
""Outreach Conducted"",
"""")"),"")</f>
        <v/>
      </c>
      <c r="AI388" s="23"/>
      <c r="AJ388" s="23"/>
      <c r="AK388" s="23" t="str">
        <f>IFERROR(__xludf.DUMMYFUNCTION("XLOOKUP(C388, 
   IMPORTRANGE(""1RdEdgHYrZ33LJ7RUHj_h-qkAFL92bcVjtIdVa-UlsCw"", ""Interns!D:D""), 
   IMPORTRANGE(""1RdEdgHYrZ33LJ7RUHj_h-qkAFL92bcVjtIdVa-UlsCw"", ""Interns!M:M""), 
   ""Not Found"")"),"")</f>
        <v/>
      </c>
      <c r="AL388" s="23" t="str">
        <f>IFERROR(__xludf.DUMMYFUNCTION("XLOOKUP(C388, 
   IMPORTRANGE(""1RdEdgHYrZ33LJ7RUHj_h-qkAFL92bcVjtIdVa-UlsCw"", ""Interns!D:D""), 
   IMPORTRANGE(""1RdEdgHYrZ33LJ7RUHj_h-qkAFL92bcVjtIdVa-UlsCw"", ""Interns!N:N""), 
   ""Not Found"")"),"")</f>
        <v/>
      </c>
      <c r="AM388" s="23" t="str">
        <f>IFERROR(__xludf.DUMMYFUNCTION("XLOOKUP(C388, 
   IMPORTRANGE(""1RdEdgHYrZ33LJ7RUHj_h-qkAFL92bcVjtIdVa-UlsCw"", ""Interns!D:D""), 
   IMPORTRANGE(""1RdEdgHYrZ33LJ7RUHj_h-qkAFL92bcVjtIdVa-UlsCw"", ""Interns!O:O""), 
   ""Not Found"")"),"")</f>
        <v/>
      </c>
      <c r="AN388" s="23"/>
      <c r="AO388" s="23" t="s">
        <v>7905</v>
      </c>
      <c r="AP388" s="28" t="s">
        <v>5182</v>
      </c>
      <c r="AQ388" s="28" t="s">
        <v>7906</v>
      </c>
      <c r="AR388" s="23">
        <v>9.292852798E9</v>
      </c>
      <c r="AS388" s="28" t="s">
        <v>7907</v>
      </c>
      <c r="AT388" s="23"/>
      <c r="AU388" s="23"/>
      <c r="AV388" s="23"/>
    </row>
    <row r="389">
      <c r="A389" s="28" t="s">
        <v>5161</v>
      </c>
      <c r="B389" s="28" t="s">
        <v>5162</v>
      </c>
      <c r="C389" s="23" t="str">
        <f t="shared" si="1"/>
        <v>Michael Jorge nunez</v>
      </c>
      <c r="D389" s="22" t="s">
        <v>2424</v>
      </c>
      <c r="E389" s="22" t="s">
        <v>7908</v>
      </c>
      <c r="F389" s="23"/>
      <c r="G389" s="23"/>
      <c r="H389" s="22">
        <v>1893.0</v>
      </c>
      <c r="I389" s="28"/>
      <c r="J389" s="28" t="s">
        <v>5336</v>
      </c>
      <c r="K389" s="28" t="s">
        <v>5177</v>
      </c>
      <c r="L389" s="28" t="s">
        <v>5165</v>
      </c>
      <c r="M389" s="29" t="s">
        <v>7909</v>
      </c>
      <c r="N389" s="22"/>
      <c r="O389" s="25">
        <v>38958.0</v>
      </c>
      <c r="P389" s="28">
        <f t="shared" si="12"/>
        <v>19</v>
      </c>
      <c r="Q389" s="62" t="s">
        <v>7910</v>
      </c>
      <c r="R389" s="22" t="s">
        <v>7911</v>
      </c>
      <c r="S389" s="28">
        <v>14.0</v>
      </c>
      <c r="T389" s="28">
        <v>34.0</v>
      </c>
      <c r="U389" s="28">
        <v>82.0</v>
      </c>
      <c r="V389" s="28">
        <v>13.0</v>
      </c>
      <c r="W389" s="28" t="s">
        <v>859</v>
      </c>
      <c r="X389" s="28" t="s">
        <v>272</v>
      </c>
      <c r="Y389" s="22" t="s">
        <v>7912</v>
      </c>
      <c r="Z389" s="22" t="s">
        <v>5822</v>
      </c>
      <c r="AA389" s="28" t="s">
        <v>5822</v>
      </c>
      <c r="AB389" s="28">
        <v>30.0</v>
      </c>
      <c r="AC389" s="28" t="s">
        <v>27</v>
      </c>
      <c r="AD389" s="23"/>
      <c r="AE389" s="28" t="s">
        <v>20</v>
      </c>
      <c r="AF389" s="23"/>
      <c r="AG389" s="23"/>
      <c r="AH389" s="23" t="str">
        <f>IFERROR(__xludf.DUMMYFUNCTION("IF(
ISNUMBER(MATCH(
C389,
IMPORTRANGE(""https://docs.google.com/spreadsheets/d/1yTh1ELC33JHYOeEdgIiEclxPRyh0zOKtlawDltfUay8"",""'Interns'!A:A""),
0
)),
""Outreach Conducted"",
"""")"),"")</f>
        <v/>
      </c>
      <c r="AI389" s="23"/>
      <c r="AJ389" s="23"/>
      <c r="AK389" s="23"/>
      <c r="AL389" s="23" t="str">
        <f>IFERROR(__xludf.DUMMYFUNCTION("XLOOKUP(C389, 
   IMPORTRANGE(""1RdEdgHYrZ33LJ7RUHj_h-qkAFL92bcVjtIdVa-UlsCw"", ""Interns!D:D""), 
   IMPORTRANGE(""1RdEdgHYrZ33LJ7RUHj_h-qkAFL92bcVjtIdVa-UlsCw"", ""Interns!N:N""), 
   ""Not Found"")"),"#Cheers4Careers")</f>
        <v>#Cheers4Careers</v>
      </c>
      <c r="AM389" s="23" t="str">
        <f>IFERROR(__xludf.DUMMYFUNCTION("XLOOKUP(C389, 
   IMPORTRANGE(""1RdEdgHYrZ33LJ7RUHj_h-qkAFL92bcVjtIdVa-UlsCw"", ""Interns!D:D""), 
   IMPORTRANGE(""1RdEdgHYrZ33LJ7RUHj_h-qkAFL92bcVjtIdVa-UlsCw"", ""Interns!O:O""), 
   ""Not Found"")"),"Hetal reached out March 27 for March #Cheers4 Careers ")</f>
        <v>Hetal reached out March 27 for March #Cheers4 Careers </v>
      </c>
      <c r="AN389" s="23"/>
      <c r="AO389" s="23" t="s">
        <v>7913</v>
      </c>
      <c r="AP389" s="28" t="s">
        <v>5182</v>
      </c>
      <c r="AQ389" s="28" t="s">
        <v>7914</v>
      </c>
      <c r="AR389" s="23" t="s">
        <v>7915</v>
      </c>
      <c r="AS389" s="23"/>
      <c r="AT389" s="23"/>
      <c r="AU389" s="23"/>
      <c r="AV389" s="23"/>
    </row>
    <row r="390">
      <c r="A390" s="28" t="s">
        <v>5202</v>
      </c>
      <c r="B390" s="28" t="s">
        <v>5162</v>
      </c>
      <c r="C390" s="23" t="str">
        <f t="shared" si="1"/>
        <v>Noely Candelario</v>
      </c>
      <c r="D390" s="28" t="s">
        <v>7916</v>
      </c>
      <c r="E390" s="28" t="s">
        <v>7917</v>
      </c>
      <c r="F390" s="23">
        <f t="array" ref="F390">IFERROR(
    INDEX('Hub Interns 226'!A:A, MATCH(C390, 'Hub Interns 226'!B:B, 0)),"")</f>
        <v>59</v>
      </c>
      <c r="G390" s="23">
        <f t="array" ref="G390">IFERROR(
    INDEX('Hub Users 226'!A:A, MATCH(C390, 'Hub Users 226'!B:B, 0)),"")</f>
        <v>492</v>
      </c>
      <c r="H390" s="28">
        <v>868.0</v>
      </c>
      <c r="I390" s="28" t="s">
        <v>260</v>
      </c>
      <c r="J390" s="28" t="s">
        <v>5336</v>
      </c>
      <c r="K390" s="28" t="s">
        <v>5177</v>
      </c>
      <c r="L390" s="28" t="s">
        <v>5196</v>
      </c>
      <c r="M390" s="56" t="s">
        <v>7918</v>
      </c>
      <c r="N390" s="57">
        <v>44596.01458333333</v>
      </c>
      <c r="O390" s="58">
        <v>38632.0</v>
      </c>
      <c r="P390" s="28">
        <f t="shared" si="12"/>
        <v>20</v>
      </c>
      <c r="Q390" s="28" t="s">
        <v>240</v>
      </c>
      <c r="R390" s="28" t="s">
        <v>7919</v>
      </c>
      <c r="S390" s="28">
        <v>7.0</v>
      </c>
      <c r="T390" s="28">
        <v>15.0</v>
      </c>
      <c r="U390" s="28">
        <v>38.0</v>
      </c>
      <c r="V390" s="28">
        <v>32.0</v>
      </c>
      <c r="W390" s="28" t="s">
        <v>1173</v>
      </c>
      <c r="X390" s="28" t="s">
        <v>272</v>
      </c>
      <c r="Y390" s="28" t="s">
        <v>7920</v>
      </c>
      <c r="Z390" s="28" t="s">
        <v>5259</v>
      </c>
      <c r="AA390" s="28" t="s">
        <v>704</v>
      </c>
      <c r="AB390" s="28">
        <v>2.0</v>
      </c>
      <c r="AC390" s="28" t="s">
        <v>24</v>
      </c>
      <c r="AD390" s="23"/>
      <c r="AE390" s="28" t="s">
        <v>10</v>
      </c>
      <c r="AF390" s="23"/>
      <c r="AG390" s="23"/>
      <c r="AH390" s="23" t="str">
        <f>IFERROR(__xludf.DUMMYFUNCTION("IF(
ISNUMBER(MATCH(
C390,
IMPORTRANGE(""https://docs.google.com/spreadsheets/d/1yTh1ELC33JHYOeEdgIiEclxPRyh0zOKtlawDltfUay8"",""'Interns'!A:A""),
0
)),
""Outreach Conducted"",
"""")"),"")</f>
        <v/>
      </c>
      <c r="AI390" s="23"/>
      <c r="AJ390" s="23"/>
      <c r="AK390" s="23" t="str">
        <f>IFERROR(__xludf.DUMMYFUNCTION("XLOOKUP(C390, 
   IMPORTRANGE(""1RdEdgHYrZ33LJ7RUHj_h-qkAFL92bcVjtIdVa-UlsCw"", ""Interns!D:D""), 
   IMPORTRANGE(""1RdEdgHYrZ33LJ7RUHj_h-qkAFL92bcVjtIdVa-UlsCw"", ""Interns!M:M""), 
   ""Not Found"")"),"")</f>
        <v/>
      </c>
      <c r="AL390" s="23" t="str">
        <f>IFERROR(__xludf.DUMMYFUNCTION("XLOOKUP(C390, 
   IMPORTRANGE(""1RdEdgHYrZ33LJ7RUHj_h-qkAFL92bcVjtIdVa-UlsCw"", ""Interns!D:D""), 
   IMPORTRANGE(""1RdEdgHYrZ33LJ7RUHj_h-qkAFL92bcVjtIdVa-UlsCw"", ""Interns!N:N""), 
   ""Not Found"")"),"")</f>
        <v/>
      </c>
      <c r="AM390" s="23" t="str">
        <f>IFERROR(__xludf.DUMMYFUNCTION("XLOOKUP(C390, 
   IMPORTRANGE(""1RdEdgHYrZ33LJ7RUHj_h-qkAFL92bcVjtIdVa-UlsCw"", ""Interns!D:D""), 
   IMPORTRANGE(""1RdEdgHYrZ33LJ7RUHj_h-qkAFL92bcVjtIdVa-UlsCw"", ""Interns!O:O""), 
   ""Not Found"")"),"")</f>
        <v/>
      </c>
      <c r="AN390" s="23"/>
      <c r="AO390" s="23" t="s">
        <v>7921</v>
      </c>
      <c r="AP390" s="28" t="s">
        <v>5182</v>
      </c>
      <c r="AQ390" s="28"/>
      <c r="AR390" s="23"/>
      <c r="AS390" s="23"/>
      <c r="AT390" s="23"/>
      <c r="AU390" s="23"/>
      <c r="AV390" s="23"/>
    </row>
    <row r="391">
      <c r="A391" s="28" t="s">
        <v>5161</v>
      </c>
      <c r="B391" s="28" t="s">
        <v>5162</v>
      </c>
      <c r="C391" s="23" t="str">
        <f t="shared" si="1"/>
        <v>Emily Tavarez</v>
      </c>
      <c r="D391" s="28" t="s">
        <v>1285</v>
      </c>
      <c r="E391" s="28" t="s">
        <v>7048</v>
      </c>
      <c r="F391" s="23">
        <f t="array" ref="F391">IFERROR(
    INDEX('Hub Interns 226'!A:A, MATCH(C391, 'Hub Interns 226'!B:B, 0)),"")</f>
        <v>501</v>
      </c>
      <c r="G391" s="23">
        <f t="array" ref="G391">IFERROR(
    INDEX('Hub Users 226'!A:A, MATCH(C391, 'Hub Users 226'!B:B, 0)),"")</f>
        <v>934</v>
      </c>
      <c r="H391" s="28">
        <v>1466.0</v>
      </c>
      <c r="I391" s="28" t="s">
        <v>407</v>
      </c>
      <c r="J391" s="28" t="s">
        <v>5336</v>
      </c>
      <c r="K391" s="28" t="s">
        <v>5177</v>
      </c>
      <c r="L391" s="28" t="s">
        <v>5196</v>
      </c>
      <c r="M391" s="56" t="s">
        <v>7922</v>
      </c>
      <c r="N391" s="57">
        <v>44936.46527777778</v>
      </c>
      <c r="O391" s="58">
        <v>38805.0</v>
      </c>
      <c r="P391" s="28">
        <f t="shared" si="12"/>
        <v>20</v>
      </c>
      <c r="Q391" s="28" t="s">
        <v>7923</v>
      </c>
      <c r="R391" s="28" t="s">
        <v>7924</v>
      </c>
      <c r="S391" s="28">
        <v>13.0</v>
      </c>
      <c r="T391" s="28">
        <v>33.0</v>
      </c>
      <c r="U391" s="28">
        <v>78.0</v>
      </c>
      <c r="V391" s="28"/>
      <c r="W391" s="28" t="s">
        <v>859</v>
      </c>
      <c r="X391" s="28" t="s">
        <v>272</v>
      </c>
      <c r="Y391" s="28" t="s">
        <v>7925</v>
      </c>
      <c r="Z391" s="28" t="s">
        <v>5918</v>
      </c>
      <c r="AA391" s="28" t="s">
        <v>477</v>
      </c>
      <c r="AB391" s="28">
        <v>15.0</v>
      </c>
      <c r="AC391" s="28" t="s">
        <v>25</v>
      </c>
      <c r="AD391" s="23"/>
      <c r="AE391" s="28" t="s">
        <v>15</v>
      </c>
      <c r="AF391" s="23" t="str">
        <f>IFERROR(__xludf.DUMMYFUNCTION("TEXTJOIN("", "", TRUE,
  FILTER(Champions!C:C,
    ISNUMBER(SEARCH(C391, Champions!W:W))
  )
)"),"Gisela Castaneda, Chelsea Baker")</f>
        <v>Gisela Castaneda, Chelsea Baker</v>
      </c>
      <c r="AG391" s="23"/>
      <c r="AH391" s="23" t="str">
        <f>IFERROR(__xludf.DUMMYFUNCTION("IF(
ISNUMBER(MATCH(
C391,
IMPORTRANGE(""https://docs.google.com/spreadsheets/d/1yTh1ELC33JHYOeEdgIiEclxPRyh0zOKtlawDltfUay8"",""'Interns'!A:A""),
0
)),
""Outreach Conducted"",
"""")"),"")</f>
        <v/>
      </c>
      <c r="AI391" s="23"/>
      <c r="AJ391" s="23"/>
      <c r="AK391" s="23" t="str">
        <f>IFERROR(__xludf.DUMMYFUNCTION("XLOOKUP(C391, 
   IMPORTRANGE(""1RdEdgHYrZ33LJ7RUHj_h-qkAFL92bcVjtIdVa-UlsCw"", ""Interns!D:D""), 
   IMPORTRANGE(""1RdEdgHYrZ33LJ7RUHj_h-qkAFL92bcVjtIdVa-UlsCw"", ""Interns!M:M""), 
   ""Not Found"")"),"")</f>
        <v/>
      </c>
      <c r="AL391" s="23" t="str">
        <f>IFERROR(__xludf.DUMMYFUNCTION("XLOOKUP(C391, 
   IMPORTRANGE(""1RdEdgHYrZ33LJ7RUHj_h-qkAFL92bcVjtIdVa-UlsCw"", ""Interns!D:D""), 
   IMPORTRANGE(""1RdEdgHYrZ33LJ7RUHj_h-qkAFL92bcVjtIdVa-UlsCw"", ""Interns!N:N""), 
   ""Not Found"")"),"")</f>
        <v/>
      </c>
      <c r="AM391" s="23" t="str">
        <f>IFERROR(__xludf.DUMMYFUNCTION("XLOOKUP(C391, 
   IMPORTRANGE(""1RdEdgHYrZ33LJ7RUHj_h-qkAFL92bcVjtIdVa-UlsCw"", ""Interns!D:D""), 
   IMPORTRANGE(""1RdEdgHYrZ33LJ7RUHj_h-qkAFL92bcVjtIdVa-UlsCw"", ""Interns!O:O""), 
   ""Not Found"")"),"")</f>
        <v/>
      </c>
      <c r="AN391" s="23"/>
      <c r="AO391" s="23" t="s">
        <v>7926</v>
      </c>
      <c r="AP391" s="28" t="s">
        <v>5989</v>
      </c>
      <c r="AQ391" s="28" t="s">
        <v>7927</v>
      </c>
      <c r="AR391" s="23" t="s">
        <v>7925</v>
      </c>
      <c r="AS391" s="23"/>
      <c r="AT391" s="23"/>
      <c r="AU391" s="23"/>
      <c r="AV391" s="23"/>
    </row>
    <row r="392">
      <c r="A392" s="28" t="s">
        <v>5161</v>
      </c>
      <c r="B392" s="28" t="s">
        <v>5162</v>
      </c>
      <c r="C392" s="23" t="str">
        <f t="shared" si="1"/>
        <v>Crisffer Urena</v>
      </c>
      <c r="D392" s="28" t="s">
        <v>7928</v>
      </c>
      <c r="E392" s="28" t="s">
        <v>7929</v>
      </c>
      <c r="F392" s="23">
        <f t="array" ref="F392">IFERROR(
    INDEX('Hub Interns 226'!A:A, MATCH(C392, 'Hub Interns 226'!B:B, 0)),"")</f>
        <v>397</v>
      </c>
      <c r="G392" s="23">
        <f t="array" ref="G392">IFERROR(
    INDEX('Hub Users 226'!A:A, MATCH(C392, 'Hub Users 226'!B:B, 0)),"")</f>
        <v>830</v>
      </c>
      <c r="H392" s="28">
        <v>770.0</v>
      </c>
      <c r="I392" s="28" t="s">
        <v>407</v>
      </c>
      <c r="J392" s="28" t="s">
        <v>5336</v>
      </c>
      <c r="K392" s="28" t="s">
        <v>5177</v>
      </c>
      <c r="L392" s="28" t="s">
        <v>5165</v>
      </c>
      <c r="M392" s="56" t="s">
        <v>7930</v>
      </c>
      <c r="N392" s="59">
        <v>44552.63333333333</v>
      </c>
      <c r="O392" s="58">
        <v>37623.0</v>
      </c>
      <c r="P392" s="28">
        <f t="shared" si="12"/>
        <v>23</v>
      </c>
      <c r="Q392" s="28" t="s">
        <v>240</v>
      </c>
      <c r="R392" s="28" t="s">
        <v>7931</v>
      </c>
      <c r="S392" s="28">
        <v>13.0</v>
      </c>
      <c r="T392" s="28">
        <v>30.0</v>
      </c>
      <c r="U392" s="28">
        <v>71.0</v>
      </c>
      <c r="V392" s="28">
        <v>9.0</v>
      </c>
      <c r="W392" s="28" t="s">
        <v>271</v>
      </c>
      <c r="X392" s="28" t="s">
        <v>272</v>
      </c>
      <c r="Y392" s="28" t="s">
        <v>7932</v>
      </c>
      <c r="Z392" s="28" t="s">
        <v>5779</v>
      </c>
      <c r="AA392" s="28" t="s">
        <v>3931</v>
      </c>
      <c r="AB392" s="28">
        <v>2.0</v>
      </c>
      <c r="AC392" s="28" t="s">
        <v>25</v>
      </c>
      <c r="AD392" s="23"/>
      <c r="AE392" s="28" t="s">
        <v>10</v>
      </c>
      <c r="AF392" s="23" t="str">
        <f>IFERROR(__xludf.DUMMYFUNCTION("TEXTJOIN("", "", TRUE,
  FILTER(Champions!C:C,
    ISNUMBER(SEARCH(C392, Champions!W:W))
  )
)"),"Christopher Pasi, Carolina Parra")</f>
        <v>Christopher Pasi, Carolina Parra</v>
      </c>
      <c r="AG392" s="26" t="s">
        <v>5316</v>
      </c>
      <c r="AH392" s="23" t="str">
        <f>IFERROR(__xludf.DUMMYFUNCTION("IF(
ISNUMBER(MATCH(
C392,
IMPORTRANGE(""https://docs.google.com/spreadsheets/d/1yTh1ELC33JHYOeEdgIiEclxPRyh0zOKtlawDltfUay8"",""'Interns'!A:A""),
0
)),
""Outreach Conducted"",
"""")"),"")</f>
        <v/>
      </c>
      <c r="AI392" s="23"/>
      <c r="AJ392" s="23"/>
      <c r="AK392" s="23" t="str">
        <f>IFERROR(__xludf.DUMMYFUNCTION("XLOOKUP(C392, 
   IMPORTRANGE(""1RdEdgHYrZ33LJ7RUHj_h-qkAFL92bcVjtIdVa-UlsCw"", ""Interns!D:D""), 
   IMPORTRANGE(""1RdEdgHYrZ33LJ7RUHj_h-qkAFL92bcVjtIdVa-UlsCw"", ""Interns!M:M""), 
   ""Not Found"")"),"Contacted")</f>
        <v>Contacted</v>
      </c>
      <c r="AL392" s="23" t="str">
        <f>IFERROR(__xludf.DUMMYFUNCTION("XLOOKUP(C392, 
   IMPORTRANGE(""1RdEdgHYrZ33LJ7RUHj_h-qkAFL92bcVjtIdVa-UlsCw"", ""Interns!D:D""), 
   IMPORTRANGE(""1RdEdgHYrZ33LJ7RUHj_h-qkAFL92bcVjtIdVa-UlsCw"", ""Interns!N:N""), 
   ""Not Found"")"),"#Cheers4Careers")</f>
        <v>#Cheers4Careers</v>
      </c>
      <c r="AM392" s="23" t="str">
        <f>IFERROR(__xludf.DUMMYFUNCTION("XLOOKUP(C392,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392" s="23"/>
      <c r="AO392" s="23" t="s">
        <v>7933</v>
      </c>
      <c r="AP392" s="28" t="s">
        <v>5182</v>
      </c>
      <c r="AQ392" s="28" t="s">
        <v>7934</v>
      </c>
      <c r="AR392" s="23" t="s">
        <v>7935</v>
      </c>
      <c r="AS392" s="23"/>
      <c r="AT392" s="23"/>
      <c r="AU392" s="23"/>
      <c r="AV392" s="23"/>
    </row>
    <row r="393">
      <c r="A393" s="28" t="s">
        <v>5161</v>
      </c>
      <c r="B393" s="28" t="s">
        <v>5162</v>
      </c>
      <c r="C393" s="23" t="str">
        <f t="shared" si="1"/>
        <v>Alisha Ramos</v>
      </c>
      <c r="D393" s="28" t="s">
        <v>7936</v>
      </c>
      <c r="E393" s="28" t="s">
        <v>7937</v>
      </c>
      <c r="F393" s="23">
        <f t="array" ref="F393">IFERROR(
    INDEX('Hub Interns 226'!A:A, MATCH(C393, 'Hub Interns 226'!B:B, 0)),"")</f>
        <v>945</v>
      </c>
      <c r="G393" s="23">
        <f t="array" ref="G393">IFERROR(
    INDEX('Hub Users 226'!A:A, MATCH(C393, 'Hub Users 226'!B:B, 0)),"")</f>
        <v>1378</v>
      </c>
      <c r="H393" s="28">
        <v>666.0</v>
      </c>
      <c r="I393" s="28" t="s">
        <v>290</v>
      </c>
      <c r="J393" s="28" t="s">
        <v>5336</v>
      </c>
      <c r="K393" s="28" t="s">
        <v>5177</v>
      </c>
      <c r="L393" s="28" t="s">
        <v>5196</v>
      </c>
      <c r="M393" s="56" t="s">
        <v>7938</v>
      </c>
      <c r="N393" s="59">
        <v>44540.62013888889</v>
      </c>
      <c r="O393" s="58">
        <v>37986.0</v>
      </c>
      <c r="P393" s="28">
        <f t="shared" si="12"/>
        <v>22</v>
      </c>
      <c r="Q393" s="28" t="s">
        <v>240</v>
      </c>
      <c r="R393" s="28" t="s">
        <v>7939</v>
      </c>
      <c r="S393" s="28">
        <v>13.0</v>
      </c>
      <c r="T393" s="28">
        <v>29.0</v>
      </c>
      <c r="U393" s="28">
        <v>68.0</v>
      </c>
      <c r="V393" s="28">
        <v>8.0</v>
      </c>
      <c r="W393" s="28" t="s">
        <v>271</v>
      </c>
      <c r="X393" s="28" t="s">
        <v>272</v>
      </c>
      <c r="Y393" s="28" t="s">
        <v>7940</v>
      </c>
      <c r="Z393" s="28" t="s">
        <v>5779</v>
      </c>
      <c r="AA393" s="28" t="s">
        <v>3931</v>
      </c>
      <c r="AB393" s="28">
        <v>2.0</v>
      </c>
      <c r="AC393" s="28" t="s">
        <v>25</v>
      </c>
      <c r="AD393" s="23"/>
      <c r="AE393" s="28" t="s">
        <v>10</v>
      </c>
      <c r="AF393" s="23" t="str">
        <f>IFERROR(__xludf.DUMMYFUNCTION("TEXTJOIN("", "", TRUE,
  FILTER(Champions!C:C,
    ISNUMBER(SEARCH(C393, Champions!W:W))
  )
)"),"Christopher Pasi, Carolina Parra")</f>
        <v>Christopher Pasi, Carolina Parra</v>
      </c>
      <c r="AG393" s="23"/>
      <c r="AH393" s="23" t="str">
        <f>IFERROR(__xludf.DUMMYFUNCTION("IF(
ISNUMBER(MATCH(
C393,
IMPORTRANGE(""https://docs.google.com/spreadsheets/d/1yTh1ELC33JHYOeEdgIiEclxPRyh0zOKtlawDltfUay8"",""'Interns'!A:A""),
0
)),
""Outreach Conducted"",
"""")"),"")</f>
        <v/>
      </c>
      <c r="AI393" s="23"/>
      <c r="AJ393" s="23"/>
      <c r="AK393" s="23" t="str">
        <f>IFERROR(__xludf.DUMMYFUNCTION("XLOOKUP(C393, 
   IMPORTRANGE(""1RdEdgHYrZ33LJ7RUHj_h-qkAFL92bcVjtIdVa-UlsCw"", ""Interns!D:D""), 
   IMPORTRANGE(""1RdEdgHYrZ33LJ7RUHj_h-qkAFL92bcVjtIdVa-UlsCw"", ""Interns!M:M""), 
   ""Not Found"")"),"Contacted")</f>
        <v>Contacted</v>
      </c>
      <c r="AL393" s="23" t="str">
        <f>IFERROR(__xludf.DUMMYFUNCTION("XLOOKUP(C393, 
   IMPORTRANGE(""1RdEdgHYrZ33LJ7RUHj_h-qkAFL92bcVjtIdVa-UlsCw"", ""Interns!D:D""), 
   IMPORTRANGE(""1RdEdgHYrZ33LJ7RUHj_h-qkAFL92bcVjtIdVa-UlsCw"", ""Interns!N:N""), 
   ""Not Found"")"),"#Cheers4Careers")</f>
        <v>#Cheers4Careers</v>
      </c>
      <c r="AM393" s="23" t="str">
        <f>IFERROR(__xludf.DUMMYFUNCTION("XLOOKUP(C393, 
   IMPORTRANGE(""1RdEdgHYrZ33LJ7RUHj_h-qkAFL92bcVjtIdVa-UlsCw"", ""Interns!D:D""), 
   IMPORTRANGE(""1RdEdgHYrZ33LJ7RUHj_h-qkAFL92bcVjtIdVa-UlsCw"", ""Interns!O:O""), 
   ""Not Found"")"),"Hetal reached out March 27 for March #Cheers4 Careers - email blocked
")</f>
        <v>Hetal reached out March 27 for March #Cheers4 Careers - email blocked
</v>
      </c>
      <c r="AN393" s="23"/>
      <c r="AO393" s="23" t="s">
        <v>7941</v>
      </c>
      <c r="AP393" s="28" t="s">
        <v>5182</v>
      </c>
      <c r="AQ393" s="28" t="s">
        <v>7942</v>
      </c>
      <c r="AR393" s="23" t="s">
        <v>7943</v>
      </c>
      <c r="AS393" s="23"/>
      <c r="AT393" s="23"/>
      <c r="AU393" s="23"/>
      <c r="AV393" s="23"/>
    </row>
    <row r="394">
      <c r="A394" s="28" t="s">
        <v>5161</v>
      </c>
      <c r="B394" s="28" t="s">
        <v>5162</v>
      </c>
      <c r="C394" s="23" t="str">
        <f t="shared" si="1"/>
        <v>Elver Veras</v>
      </c>
      <c r="D394" s="28" t="s">
        <v>7944</v>
      </c>
      <c r="E394" s="28" t="s">
        <v>7945</v>
      </c>
      <c r="F394" s="23">
        <f t="array" ref="F394">IFERROR(
    INDEX('Hub Interns 226'!A:A, MATCH(C394, 'Hub Interns 226'!B:B, 0)),"")</f>
        <v>483</v>
      </c>
      <c r="G394" s="23">
        <f t="array" ref="G394">IFERROR(
    INDEX('Hub Users 226'!A:A, MATCH(C394, 'Hub Users 226'!B:B, 0)),"")</f>
        <v>916</v>
      </c>
      <c r="H394" s="28">
        <v>610.0</v>
      </c>
      <c r="I394" s="28" t="s">
        <v>302</v>
      </c>
      <c r="J394" s="28" t="s">
        <v>5336</v>
      </c>
      <c r="K394" s="28" t="s">
        <v>5177</v>
      </c>
      <c r="L394" s="28" t="s">
        <v>5165</v>
      </c>
      <c r="M394" s="56" t="s">
        <v>7946</v>
      </c>
      <c r="N394" s="59">
        <v>44490.65694444445</v>
      </c>
      <c r="O394" s="58">
        <v>38367.0</v>
      </c>
      <c r="P394" s="28">
        <f t="shared" si="12"/>
        <v>21</v>
      </c>
      <c r="Q394" s="28" t="s">
        <v>240</v>
      </c>
      <c r="R394" s="28" t="s">
        <v>7947</v>
      </c>
      <c r="S394" s="28">
        <v>14.0</v>
      </c>
      <c r="T394" s="28">
        <v>34.0</v>
      </c>
      <c r="U394" s="28">
        <v>82.0</v>
      </c>
      <c r="V394" s="28">
        <v>13.0</v>
      </c>
      <c r="W394" s="28" t="s">
        <v>859</v>
      </c>
      <c r="X394" s="28" t="s">
        <v>272</v>
      </c>
      <c r="Y394" s="28" t="s">
        <v>7948</v>
      </c>
      <c r="Z394" s="28" t="s">
        <v>5189</v>
      </c>
      <c r="AA394" s="28" t="s">
        <v>619</v>
      </c>
      <c r="AB394" s="28">
        <v>20.0</v>
      </c>
      <c r="AC394" s="28" t="s">
        <v>25</v>
      </c>
      <c r="AD394" s="23"/>
      <c r="AE394" s="28" t="s">
        <v>10</v>
      </c>
      <c r="AF394" s="23" t="str">
        <f>IFERROR(__xludf.DUMMYFUNCTION("TEXTJOIN("", "", TRUE,
  FILTER(Champions!C:C,
    ISNUMBER(SEARCH(C394, Champions!W:W))
  )
)"),"John ?Nico? Johnson, Victor Evans")</f>
        <v>John ?Nico? Johnson, Victor Evans</v>
      </c>
      <c r="AG394" s="23"/>
      <c r="AH394" s="23" t="str">
        <f>IFERROR(__xludf.DUMMYFUNCTION("IF(
ISNUMBER(MATCH(
C394,
IMPORTRANGE(""https://docs.google.com/spreadsheets/d/1yTh1ELC33JHYOeEdgIiEclxPRyh0zOKtlawDltfUay8"",""'Interns'!A:A""),
0
)),
""Outreach Conducted"",
"""")"),"")</f>
        <v/>
      </c>
      <c r="AI394" s="23"/>
      <c r="AJ394" s="23"/>
      <c r="AK394" s="23" t="str">
        <f>IFERROR(__xludf.DUMMYFUNCTION("XLOOKUP(C394, 
   IMPORTRANGE(""1RdEdgHYrZ33LJ7RUHj_h-qkAFL92bcVjtIdVa-UlsCw"", ""Interns!D:D""), 
   IMPORTRANGE(""1RdEdgHYrZ33LJ7RUHj_h-qkAFL92bcVjtIdVa-UlsCw"", ""Interns!M:M""), 
   ""Not Found"")"),"Contacted")</f>
        <v>Contacted</v>
      </c>
      <c r="AL394" s="23" t="str">
        <f>IFERROR(__xludf.DUMMYFUNCTION("XLOOKUP(C394, 
   IMPORTRANGE(""1RdEdgHYrZ33LJ7RUHj_h-qkAFL92bcVjtIdVa-UlsCw"", ""Interns!D:D""), 
   IMPORTRANGE(""1RdEdgHYrZ33LJ7RUHj_h-qkAFL92bcVjtIdVa-UlsCw"", ""Interns!N:N""), 
   ""Not Found"")"),"#Cheers4Careers")</f>
        <v>#Cheers4Careers</v>
      </c>
      <c r="AM394" s="23" t="str">
        <f>IFERROR(__xludf.DUMMYFUNCTION("XLOOKUP(C394, 
   IMPORTRANGE(""1RdEdgHYrZ33LJ7RUHj_h-qkAFL92bcVjtIdVa-UlsCw"", ""Interns!D:D""), 
   IMPORTRANGE(""1RdEdgHYrZ33LJ7RUHj_h-qkAFL92bcVjtIdVa-UlsCw"", ""Interns!O:O""), 
   ""Not Found"")"),"Hetal reached out by email 3/27 followed by text")</f>
        <v>Hetal reached out by email 3/27 followed by text</v>
      </c>
      <c r="AN394" s="23"/>
      <c r="AO394" s="23" t="s">
        <v>7949</v>
      </c>
      <c r="AP394" s="28" t="s">
        <v>5182</v>
      </c>
      <c r="AQ394" s="28" t="s">
        <v>7950</v>
      </c>
      <c r="AR394" s="23" t="s">
        <v>7951</v>
      </c>
      <c r="AS394" s="23"/>
      <c r="AT394" s="23"/>
      <c r="AU394" s="23"/>
      <c r="AV394" s="23"/>
    </row>
    <row r="395">
      <c r="A395" s="28" t="s">
        <v>5161</v>
      </c>
      <c r="B395" s="28" t="s">
        <v>5162</v>
      </c>
      <c r="C395" s="23" t="str">
        <f t="shared" si="1"/>
        <v>Andy Caba</v>
      </c>
      <c r="D395" s="28" t="s">
        <v>3932</v>
      </c>
      <c r="E395" s="28" t="s">
        <v>7952</v>
      </c>
      <c r="F395" s="23" t="str">
        <f t="array" ref="F395">IFERROR(
    INDEX('Hub Interns 226'!A:A, MATCH(C395, 'Hub Interns 226'!B:B, 0)),"")</f>
        <v/>
      </c>
      <c r="G395" s="23">
        <f t="array" ref="G395">IFERROR(
    INDEX('Hub Users 226'!A:A, MATCH(C395, 'Hub Users 226'!B:B, 0)),"")</f>
        <v>1783</v>
      </c>
      <c r="H395" s="28">
        <v>1679.0</v>
      </c>
      <c r="I395" s="28" t="s">
        <v>290</v>
      </c>
      <c r="J395" s="28" t="s">
        <v>5336</v>
      </c>
      <c r="K395" s="28" t="s">
        <v>5177</v>
      </c>
      <c r="L395" s="28" t="s">
        <v>5165</v>
      </c>
      <c r="M395" s="56" t="s">
        <v>7953</v>
      </c>
      <c r="N395" s="59">
        <v>45226.00347222222</v>
      </c>
      <c r="O395" s="58">
        <v>39595.0</v>
      </c>
      <c r="P395" s="28">
        <f t="shared" si="12"/>
        <v>17</v>
      </c>
      <c r="Q395" s="28" t="s">
        <v>7954</v>
      </c>
      <c r="R395" s="28" t="s">
        <v>7955</v>
      </c>
      <c r="S395" s="28">
        <v>15.0</v>
      </c>
      <c r="T395" s="28">
        <v>33.0</v>
      </c>
      <c r="U395" s="28">
        <v>80.0</v>
      </c>
      <c r="V395" s="28">
        <v>11.0</v>
      </c>
      <c r="W395" s="28" t="s">
        <v>859</v>
      </c>
      <c r="X395" s="28" t="s">
        <v>272</v>
      </c>
      <c r="Y395" s="28" t="s">
        <v>7956</v>
      </c>
      <c r="Z395" s="28" t="s">
        <v>5918</v>
      </c>
      <c r="AA395" s="28" t="s">
        <v>477</v>
      </c>
      <c r="AB395" s="28">
        <v>15.0</v>
      </c>
      <c r="AC395" s="28" t="s">
        <v>25</v>
      </c>
      <c r="AD395" s="23"/>
      <c r="AE395" s="28" t="s">
        <v>18</v>
      </c>
      <c r="AF395" s="23" t="str">
        <f>IFERROR(__xludf.DUMMYFUNCTION("TEXTJOIN("", "", TRUE,
  FILTER(Champions!C:C,
    ISNUMBER(SEARCH(C395, Champions!W:W))
  )
)"),"AUGUSTO SALCEDO, Maria Graciela Burn")</f>
        <v>AUGUSTO SALCEDO, Maria Graciela Burn</v>
      </c>
      <c r="AG395" s="23"/>
      <c r="AH395" s="23" t="str">
        <f>IFERROR(__xludf.DUMMYFUNCTION("IF(
ISNUMBER(MATCH(
C395,
IMPORTRANGE(""https://docs.google.com/spreadsheets/d/1yTh1ELC33JHYOeEdgIiEclxPRyh0zOKtlawDltfUay8"",""'Interns'!A:A""),
0
)),
""Outreach Conducted"",
"""")"),"")</f>
        <v/>
      </c>
      <c r="AI395" s="23"/>
      <c r="AJ395" s="23"/>
      <c r="AK395" s="23" t="str">
        <f>IFERROR(__xludf.DUMMYFUNCTION("XLOOKUP(C395, 
   IMPORTRANGE(""1RdEdgHYrZ33LJ7RUHj_h-qkAFL92bcVjtIdVa-UlsCw"", ""Interns!D:D""), 
   IMPORTRANGE(""1RdEdgHYrZ33LJ7RUHj_h-qkAFL92bcVjtIdVa-UlsCw"", ""Interns!M:M""), 
   ""Not Found"")"),"")</f>
        <v/>
      </c>
      <c r="AL395" s="23" t="str">
        <f>IFERROR(__xludf.DUMMYFUNCTION("XLOOKUP(C395, 
   IMPORTRANGE(""1RdEdgHYrZ33LJ7RUHj_h-qkAFL92bcVjtIdVa-UlsCw"", ""Interns!D:D""), 
   IMPORTRANGE(""1RdEdgHYrZ33LJ7RUHj_h-qkAFL92bcVjtIdVa-UlsCw"", ""Interns!N:N""), 
   ""Not Found"")"),"")</f>
        <v/>
      </c>
      <c r="AM395" s="23" t="str">
        <f>IFERROR(__xludf.DUMMYFUNCTION("XLOOKUP(C395, 
   IMPORTRANGE(""1RdEdgHYrZ33LJ7RUHj_h-qkAFL92bcVjtIdVa-UlsCw"", ""Interns!D:D""), 
   IMPORTRANGE(""1RdEdgHYrZ33LJ7RUHj_h-qkAFL92bcVjtIdVa-UlsCw"", ""Interns!O:O""), 
   ""Not Found"")"),"")</f>
        <v/>
      </c>
      <c r="AN395" s="23"/>
      <c r="AO395" s="23" t="s">
        <v>7957</v>
      </c>
      <c r="AP395" s="28" t="s">
        <v>5191</v>
      </c>
      <c r="AQ395" s="28" t="s">
        <v>7958</v>
      </c>
      <c r="AR395" s="23" t="s">
        <v>7956</v>
      </c>
      <c r="AS395" s="23"/>
      <c r="AT395" s="23"/>
      <c r="AU395" s="23"/>
      <c r="AV395" s="23"/>
    </row>
    <row r="396">
      <c r="A396" s="28" t="s">
        <v>5202</v>
      </c>
      <c r="B396" s="28" t="s">
        <v>5162</v>
      </c>
      <c r="C396" s="23" t="str">
        <f t="shared" si="1"/>
        <v>Nerely Roa</v>
      </c>
      <c r="D396" s="28" t="s">
        <v>7959</v>
      </c>
      <c r="E396" s="28" t="s">
        <v>7960</v>
      </c>
      <c r="F396" s="23">
        <f t="array" ref="F396">IFERROR(
    INDEX('Hub Interns 226'!A:A, MATCH(C396, 'Hub Interns 226'!B:B, 0)),"")</f>
        <v>950</v>
      </c>
      <c r="G396" s="23">
        <f t="array" ref="G396">IFERROR(
    INDEX('Hub Users 226'!A:A, MATCH(C396, 'Hub Users 226'!B:B, 0)),"")</f>
        <v>1383</v>
      </c>
      <c r="H396" s="28">
        <v>1557.0</v>
      </c>
      <c r="I396" s="28" t="s">
        <v>538</v>
      </c>
      <c r="J396" s="28" t="s">
        <v>5336</v>
      </c>
      <c r="K396" s="28" t="s">
        <v>5177</v>
      </c>
      <c r="L396" s="28" t="s">
        <v>5196</v>
      </c>
      <c r="M396" s="56" t="s">
        <v>7961</v>
      </c>
      <c r="N396" s="57">
        <v>44960.64166666667</v>
      </c>
      <c r="O396" s="58">
        <v>38991.0</v>
      </c>
      <c r="P396" s="28">
        <f t="shared" si="12"/>
        <v>19</v>
      </c>
      <c r="Q396" s="28" t="s">
        <v>7962</v>
      </c>
      <c r="R396" s="28" t="s">
        <v>7963</v>
      </c>
      <c r="S396" s="28">
        <v>14.0</v>
      </c>
      <c r="T396" s="28">
        <v>32.0</v>
      </c>
      <c r="U396" s="28">
        <v>85.0</v>
      </c>
      <c r="V396" s="28">
        <v>17.0</v>
      </c>
      <c r="W396" s="28" t="s">
        <v>859</v>
      </c>
      <c r="X396" s="28" t="s">
        <v>272</v>
      </c>
      <c r="Y396" s="28" t="s">
        <v>7964</v>
      </c>
      <c r="Z396" s="28" t="s">
        <v>5918</v>
      </c>
      <c r="AA396" s="28" t="s">
        <v>477</v>
      </c>
      <c r="AB396" s="28">
        <v>15.0</v>
      </c>
      <c r="AC396" s="28" t="s">
        <v>25</v>
      </c>
      <c r="AD396" s="23"/>
      <c r="AE396" s="28" t="s">
        <v>15</v>
      </c>
      <c r="AF396" s="23" t="str">
        <f>IFERROR(__xludf.DUMMYFUNCTION("TEXTJOIN("", "", TRUE,
  FILTER(Champions!C:C,
    ISNUMBER(SEARCH(C396, Champions!W:W))
  )
)"),"Angelo Rodriguez, Neha Singla")</f>
        <v>Angelo Rodriguez, Neha Singla</v>
      </c>
      <c r="AG396" s="23"/>
      <c r="AH396" s="23" t="str">
        <f>IFERROR(__xludf.DUMMYFUNCTION("IF(
ISNUMBER(MATCH(
C396,
IMPORTRANGE(""https://docs.google.com/spreadsheets/d/1yTh1ELC33JHYOeEdgIiEclxPRyh0zOKtlawDltfUay8"",""'Interns'!A:A""),
0
)),
""Outreach Conducted"",
"""")"),"")</f>
        <v/>
      </c>
      <c r="AI396" s="23"/>
      <c r="AJ396" s="23"/>
      <c r="AK396" s="23" t="str">
        <f>IFERROR(__xludf.DUMMYFUNCTION("XLOOKUP(C396, 
   IMPORTRANGE(""1RdEdgHYrZ33LJ7RUHj_h-qkAFL92bcVjtIdVa-UlsCw"", ""Interns!D:D""), 
   IMPORTRANGE(""1RdEdgHYrZ33LJ7RUHj_h-qkAFL92bcVjtIdVa-UlsCw"", ""Interns!M:M""), 
   ""Not Found"")"),"")</f>
        <v/>
      </c>
      <c r="AL396" s="23" t="str">
        <f>IFERROR(__xludf.DUMMYFUNCTION("XLOOKUP(C396, 
   IMPORTRANGE(""1RdEdgHYrZ33LJ7RUHj_h-qkAFL92bcVjtIdVa-UlsCw"", ""Interns!D:D""), 
   IMPORTRANGE(""1RdEdgHYrZ33LJ7RUHj_h-qkAFL92bcVjtIdVa-UlsCw"", ""Interns!N:N""), 
   ""Not Found"")"),"")</f>
        <v/>
      </c>
      <c r="AM396" s="23" t="str">
        <f>IFERROR(__xludf.DUMMYFUNCTION("XLOOKUP(C396, 
   IMPORTRANGE(""1RdEdgHYrZ33LJ7RUHj_h-qkAFL92bcVjtIdVa-UlsCw"", ""Interns!D:D""), 
   IMPORTRANGE(""1RdEdgHYrZ33LJ7RUHj_h-qkAFL92bcVjtIdVa-UlsCw"", ""Interns!O:O""), 
   ""Not Found"")"),"")</f>
        <v/>
      </c>
      <c r="AN396" s="23"/>
      <c r="AO396" s="23" t="s">
        <v>7965</v>
      </c>
      <c r="AP396" s="28" t="s">
        <v>5182</v>
      </c>
      <c r="AQ396" s="28" t="s">
        <v>7966</v>
      </c>
      <c r="AR396" s="23" t="s">
        <v>7964</v>
      </c>
      <c r="AS396" s="23"/>
      <c r="AT396" s="23"/>
      <c r="AU396" s="23"/>
      <c r="AV396" s="23"/>
    </row>
    <row r="397">
      <c r="A397" s="28" t="s">
        <v>5161</v>
      </c>
      <c r="B397" s="28" t="s">
        <v>5162</v>
      </c>
      <c r="C397" s="23" t="str">
        <f t="shared" si="1"/>
        <v>Angel Guzman</v>
      </c>
      <c r="D397" s="28" t="s">
        <v>6000</v>
      </c>
      <c r="E397" s="28" t="s">
        <v>847</v>
      </c>
      <c r="F397" s="23">
        <f t="array" ref="F397">IFERROR(
    INDEX('Hub Interns 226'!A:A, MATCH("Angel Angel", 'Hub Interns 226'!B:B, 0)),"")</f>
        <v>1283</v>
      </c>
      <c r="G397" s="23">
        <f t="array" ref="G397">IFERROR(
    INDEX('Hub Users 226'!A:A, MATCH("Angel Angel", 'Hub Users 226'!B:B, 0)),"")</f>
        <v>1770</v>
      </c>
      <c r="H397" s="28">
        <v>1665.0</v>
      </c>
      <c r="I397" s="28" t="s">
        <v>260</v>
      </c>
      <c r="J397" s="28" t="s">
        <v>5336</v>
      </c>
      <c r="K397" s="28" t="s">
        <v>5177</v>
      </c>
      <c r="L397" s="28" t="s">
        <v>5165</v>
      </c>
      <c r="M397" s="56" t="s">
        <v>7967</v>
      </c>
      <c r="N397" s="59">
        <v>45213.041666666664</v>
      </c>
      <c r="O397" s="58"/>
      <c r="P397" s="28"/>
      <c r="Q397" s="28" t="s">
        <v>7968</v>
      </c>
      <c r="R397" s="28" t="s">
        <v>7969</v>
      </c>
      <c r="S397" s="28">
        <v>13.0</v>
      </c>
      <c r="T397" s="28">
        <v>33.0</v>
      </c>
      <c r="U397" s="28">
        <v>78.0</v>
      </c>
      <c r="V397" s="28">
        <v>15.0</v>
      </c>
      <c r="W397" s="28" t="s">
        <v>859</v>
      </c>
      <c r="X397" s="28" t="s">
        <v>272</v>
      </c>
      <c r="Y397" s="28">
        <v>3.477341544E9</v>
      </c>
      <c r="Z397" s="28" t="s">
        <v>5918</v>
      </c>
      <c r="AA397" s="28" t="s">
        <v>477</v>
      </c>
      <c r="AB397" s="28">
        <v>15.0</v>
      </c>
      <c r="AC397" s="28" t="s">
        <v>25</v>
      </c>
      <c r="AD397" s="23"/>
      <c r="AE397" s="28" t="s">
        <v>18</v>
      </c>
      <c r="AF397" s="23" t="str">
        <f>IFERROR(__xludf.DUMMYFUNCTION("TEXTJOIN("", "", TRUE,
  FILTER(Champions!C:C,
    ISNUMBER(SEARCH(C397, Champions!W:W))
  )
)"),"AUGUSTO SALCEDO, Luz Santana, Esteban Proaño")</f>
        <v>AUGUSTO SALCEDO, Luz Santana, Esteban Proaño</v>
      </c>
      <c r="AG397" s="23"/>
      <c r="AH397" s="23" t="str">
        <f>IFERROR(__xludf.DUMMYFUNCTION("IF(
ISNUMBER(MATCH(
C397,
IMPORTRANGE(""https://docs.google.com/spreadsheets/d/1yTh1ELC33JHYOeEdgIiEclxPRyh0zOKtlawDltfUay8"",""'Interns'!A:A""),
0
)),
""Outreach Conducted"",
"""")"),"")</f>
        <v/>
      </c>
      <c r="AI397" s="23"/>
      <c r="AJ397" s="23"/>
      <c r="AK397" s="23" t="str">
        <f>IFERROR(__xludf.DUMMYFUNCTION("XLOOKUP(C397, 
   IMPORTRANGE(""1RdEdgHYrZ33LJ7RUHj_h-qkAFL92bcVjtIdVa-UlsCw"", ""Interns!D:D""), 
   IMPORTRANGE(""1RdEdgHYrZ33LJ7RUHj_h-qkAFL92bcVjtIdVa-UlsCw"", ""Interns!M:M""), 
   ""Not Found"")"),"")</f>
        <v/>
      </c>
      <c r="AL397" s="23" t="str">
        <f>IFERROR(__xludf.DUMMYFUNCTION("XLOOKUP(C397, 
   IMPORTRANGE(""1RdEdgHYrZ33LJ7RUHj_h-qkAFL92bcVjtIdVa-UlsCw"", ""Interns!D:D""), 
   IMPORTRANGE(""1RdEdgHYrZ33LJ7RUHj_h-qkAFL92bcVjtIdVa-UlsCw"", ""Interns!N:N""), 
   ""Not Found"")"),"")</f>
        <v/>
      </c>
      <c r="AM397" s="23" t="str">
        <f>IFERROR(__xludf.DUMMYFUNCTION("XLOOKUP(C397, 
   IMPORTRANGE(""1RdEdgHYrZ33LJ7RUHj_h-qkAFL92bcVjtIdVa-UlsCw"", ""Interns!D:D""), 
   IMPORTRANGE(""1RdEdgHYrZ33LJ7RUHj_h-qkAFL92bcVjtIdVa-UlsCw"", ""Interns!O:O""), 
   ""Not Found"")"),"")</f>
        <v/>
      </c>
      <c r="AN397" s="23"/>
      <c r="AO397" s="23" t="s">
        <v>6000</v>
      </c>
      <c r="AP397" s="28" t="s">
        <v>5182</v>
      </c>
      <c r="AQ397" s="28" t="s">
        <v>7967</v>
      </c>
      <c r="AR397" s="23">
        <v>3.477341544E9</v>
      </c>
      <c r="AS397" s="23"/>
      <c r="AT397" s="23"/>
      <c r="AU397" s="23"/>
      <c r="AV397" s="23"/>
    </row>
    <row r="398">
      <c r="A398" s="28" t="s">
        <v>5161</v>
      </c>
      <c r="B398" s="28" t="s">
        <v>5162</v>
      </c>
      <c r="C398" s="23" t="str">
        <f t="shared" si="1"/>
        <v>Angel Tavarez</v>
      </c>
      <c r="D398" s="28" t="s">
        <v>6000</v>
      </c>
      <c r="E398" s="28" t="s">
        <v>7048</v>
      </c>
      <c r="F398" s="23">
        <f t="array" ref="F398">IFERROR(
    INDEX('Hub Interns 226'!A:A, MATCH(C398, 'Hub Interns 226'!B:B, 0)),"")</f>
        <v>233</v>
      </c>
      <c r="G398" s="23">
        <f t="array" ref="G398">IFERROR(
    INDEX('Hub Users 226'!A:A, MATCH(C398, 'Hub Users 226'!B:B, 0)),"")</f>
        <v>666</v>
      </c>
      <c r="H398" s="28">
        <v>1382.0</v>
      </c>
      <c r="I398" s="28" t="s">
        <v>239</v>
      </c>
      <c r="J398" s="28" t="s">
        <v>5336</v>
      </c>
      <c r="K398" s="28" t="s">
        <v>5177</v>
      </c>
      <c r="L398" s="28" t="s">
        <v>5165</v>
      </c>
      <c r="M398" s="56" t="s">
        <v>7970</v>
      </c>
      <c r="N398" s="59">
        <v>44860.842361111114</v>
      </c>
      <c r="O398" s="58">
        <v>39055.0</v>
      </c>
      <c r="P398" s="28">
        <f t="shared" ref="P398:P408" si="13">DATEDIF(O398, TODAY(), "Y")</f>
        <v>19</v>
      </c>
      <c r="Q398" s="28" t="s">
        <v>7971</v>
      </c>
      <c r="R398" s="28" t="s">
        <v>7972</v>
      </c>
      <c r="S398" s="28">
        <v>13.0</v>
      </c>
      <c r="T398" s="28">
        <v>31.0</v>
      </c>
      <c r="U398" s="28">
        <v>72.0</v>
      </c>
      <c r="V398" s="28">
        <v>10.0</v>
      </c>
      <c r="W398" s="28" t="s">
        <v>271</v>
      </c>
      <c r="X398" s="28" t="s">
        <v>272</v>
      </c>
      <c r="Y398" s="28" t="s">
        <v>7973</v>
      </c>
      <c r="Z398" s="28" t="s">
        <v>5341</v>
      </c>
      <c r="AA398" s="28" t="s">
        <v>1085</v>
      </c>
      <c r="AB398" s="28">
        <v>10.0</v>
      </c>
      <c r="AC398" s="28" t="s">
        <v>25</v>
      </c>
      <c r="AD398" s="23"/>
      <c r="AE398" s="28" t="s">
        <v>15</v>
      </c>
      <c r="AF398" s="23" t="str">
        <f>IFERROR(__xludf.DUMMYFUNCTION("TEXTJOIN("", "", TRUE,
  FILTER(Champions!C:C,
    ISNUMBER(SEARCH(C398, Champions!W:W))
  )
)"),"Carmelo DeLeon, Hesam Moghaddam, Mikey Bedney")</f>
        <v>Carmelo DeLeon, Hesam Moghaddam, Mikey Bedney</v>
      </c>
      <c r="AG398" s="26" t="s">
        <v>5342</v>
      </c>
      <c r="AH398" s="23" t="str">
        <f>IFERROR(__xludf.DUMMYFUNCTION("IF(
ISNUMBER(MATCH(
C398,
IMPORTRANGE(""https://docs.google.com/spreadsheets/d/1yTh1ELC33JHYOeEdgIiEclxPRyh0zOKtlawDltfUay8"",""'Interns'!A:A""),
0
)),
""Outreach Conducted"",
"""")"),"")</f>
        <v/>
      </c>
      <c r="AI398" s="23"/>
      <c r="AJ398" s="23"/>
      <c r="AK398" s="23" t="str">
        <f>IFERROR(__xludf.DUMMYFUNCTION("XLOOKUP(C398, 
   IMPORTRANGE(""1RdEdgHYrZ33LJ7RUHj_h-qkAFL92bcVjtIdVa-UlsCw"", ""Interns!D:D""), 
   IMPORTRANGE(""1RdEdgHYrZ33LJ7RUHj_h-qkAFL92bcVjtIdVa-UlsCw"", ""Interns!M:M""), 
   ""Not Found"")"),"Contacted")</f>
        <v>Contacted</v>
      </c>
      <c r="AL398" s="23" t="str">
        <f>IFERROR(__xludf.DUMMYFUNCTION("XLOOKUP(C398, 
   IMPORTRANGE(""1RdEdgHYrZ33LJ7RUHj_h-qkAFL92bcVjtIdVa-UlsCw"", ""Interns!D:D""), 
   IMPORTRANGE(""1RdEdgHYrZ33LJ7RUHj_h-qkAFL92bcVjtIdVa-UlsCw"", ""Interns!N:N""), 
   ""Not Found"")"),"#Cheers4Careers")</f>
        <v>#Cheers4Careers</v>
      </c>
      <c r="AM398" s="23" t="str">
        <f>IFERROR(__xludf.DUMMYFUNCTION("XLOOKUP(C398, 
   IMPORTRANGE(""1RdEdgHYrZ33LJ7RUHj_h-qkAFL92bcVjtIdVa-UlsCw"", ""Interns!D:D""), 
   IMPORTRANGE(""1RdEdgHYrZ33LJ7RUHj_h-qkAFL92bcVjtIdVa-UlsCw"", ""Interns!O:O""), 
   ""Not Found"")"),"Texted on April 14 for #Cheers4Careers event")</f>
        <v>Texted on April 14 for #Cheers4Careers event</v>
      </c>
      <c r="AN398" s="23"/>
      <c r="AO398" s="23" t="s">
        <v>7974</v>
      </c>
      <c r="AP398" s="28" t="s">
        <v>5182</v>
      </c>
      <c r="AQ398" s="28" t="s">
        <v>7970</v>
      </c>
      <c r="AR398" s="23" t="s">
        <v>7975</v>
      </c>
      <c r="AS398" s="23"/>
      <c r="AT398" s="23"/>
      <c r="AU398" s="23"/>
      <c r="AV398" s="23"/>
    </row>
    <row r="399">
      <c r="A399" s="28" t="s">
        <v>5161</v>
      </c>
      <c r="B399" s="28" t="s">
        <v>5162</v>
      </c>
      <c r="C399" s="23" t="str">
        <f t="shared" si="1"/>
        <v>Ashly Quezada</v>
      </c>
      <c r="D399" s="28" t="s">
        <v>7976</v>
      </c>
      <c r="E399" s="28" t="s">
        <v>7114</v>
      </c>
      <c r="F399" s="23">
        <f t="array" ref="F399">IFERROR(
    INDEX('Hub Interns 226'!A:A, MATCH(C399, 'Hub Interns 226'!B:B, 0)),"")</f>
        <v>1609</v>
      </c>
      <c r="G399" s="23">
        <f t="array" ref="G399">IFERROR(
    INDEX('Hub Users 226'!A:A, MATCH(C399, 'Hub Users 226'!B:B, 0)),"")</f>
        <v>2215</v>
      </c>
      <c r="H399" s="28">
        <v>1871.0</v>
      </c>
      <c r="I399" s="28"/>
      <c r="J399" s="28" t="s">
        <v>5336</v>
      </c>
      <c r="K399" s="28" t="s">
        <v>5177</v>
      </c>
      <c r="L399" s="28" t="s">
        <v>5196</v>
      </c>
      <c r="M399" s="56" t="s">
        <v>7977</v>
      </c>
      <c r="N399" s="66">
        <v>45692.58819444444</v>
      </c>
      <c r="O399" s="58">
        <v>39286.0</v>
      </c>
      <c r="P399" s="28">
        <f t="shared" si="13"/>
        <v>18</v>
      </c>
      <c r="Q399" s="28" t="s">
        <v>7978</v>
      </c>
      <c r="R399" s="28" t="s">
        <v>7979</v>
      </c>
      <c r="S399" s="28">
        <v>15.0</v>
      </c>
      <c r="T399" s="28">
        <v>33.0</v>
      </c>
      <c r="U399" s="28">
        <v>80.0</v>
      </c>
      <c r="V399" s="28">
        <v>11.0</v>
      </c>
      <c r="W399" s="28" t="s">
        <v>859</v>
      </c>
      <c r="X399" s="28" t="s">
        <v>272</v>
      </c>
      <c r="Y399" s="28" t="s">
        <v>7980</v>
      </c>
      <c r="Z399" s="28" t="s">
        <v>5853</v>
      </c>
      <c r="AA399" s="28" t="s">
        <v>704</v>
      </c>
      <c r="AB399" s="28">
        <v>2.0</v>
      </c>
      <c r="AC399" s="28" t="s">
        <v>25</v>
      </c>
      <c r="AD399" s="23"/>
      <c r="AE399" s="28" t="s">
        <v>19</v>
      </c>
      <c r="AF399" s="23" t="str">
        <f>IFERROR(__xludf.DUMMYFUNCTION("TEXTJOIN("", "", TRUE,
  FILTER(Champions!C:C,
    ISNUMBER(SEARCH(C399, Champions!W:W))
  )
)"),"YAZMIN PARIAMACHI")</f>
        <v>YAZMIN PARIAMACHI</v>
      </c>
      <c r="AG399" s="23"/>
      <c r="AH399" s="23" t="str">
        <f>IFERROR(__xludf.DUMMYFUNCTION("IF(
ISNUMBER(MATCH(
C399,
IMPORTRANGE(""https://docs.google.com/spreadsheets/d/1yTh1ELC33JHYOeEdgIiEclxPRyh0zOKtlawDltfUay8"",""'Interns'!A:A""),
0
)),
""Outreach Conducted"",
"""")"),"")</f>
        <v/>
      </c>
      <c r="AI399" s="23"/>
      <c r="AJ399" s="23"/>
      <c r="AK399" s="23" t="str">
        <f>IFERROR(__xludf.DUMMYFUNCTION("XLOOKUP(C399, 
   IMPORTRANGE(""1RdEdgHYrZ33LJ7RUHj_h-qkAFL92bcVjtIdVa-UlsCw"", ""Interns!D:D""), 
   IMPORTRANGE(""1RdEdgHYrZ33LJ7RUHj_h-qkAFL92bcVjtIdVa-UlsCw"", ""Interns!M:M""), 
   ""Not Found"")"),"Contacted")</f>
        <v>Contacted</v>
      </c>
      <c r="AL399" s="23" t="str">
        <f>IFERROR(__xludf.DUMMYFUNCTION("XLOOKUP(C399, 
   IMPORTRANGE(""1RdEdgHYrZ33LJ7RUHj_h-qkAFL92bcVjtIdVa-UlsCw"", ""Interns!D:D""), 
   IMPORTRANGE(""1RdEdgHYrZ33LJ7RUHj_h-qkAFL92bcVjtIdVa-UlsCw"", ""Interns!N:N""), 
   ""Not Found"")"),"#Cheers4Careers")</f>
        <v>#Cheers4Careers</v>
      </c>
      <c r="AM399" s="23" t="str">
        <f>IFERROR(__xludf.DUMMYFUNCTION("XLOOKUP(C399, 
   IMPORTRANGE(""1RdEdgHYrZ33LJ7RUHj_h-qkAFL92bcVjtIdVa-UlsCw"", ""Interns!D:D""), 
   IMPORTRANGE(""1RdEdgHYrZ33LJ7RUHj_h-qkAFL92bcVjtIdVa-UlsCw"", ""Interns!O:O""), 
   ""Not Found"")"),"Ousmane reached out by email 3/26 and reach out by text 3/28")</f>
        <v>Ousmane reached out by email 3/26 and reach out by text 3/28</v>
      </c>
      <c r="AN399" s="23"/>
      <c r="AO399" s="23" t="s">
        <v>7981</v>
      </c>
      <c r="AP399" s="28" t="s">
        <v>5191</v>
      </c>
      <c r="AQ399" s="28" t="s">
        <v>7982</v>
      </c>
      <c r="AR399" s="23" t="s">
        <v>7983</v>
      </c>
      <c r="AS399" s="23"/>
      <c r="AT399" s="23"/>
      <c r="AU399" s="23"/>
      <c r="AV399" s="23"/>
    </row>
    <row r="400">
      <c r="A400" s="28" t="s">
        <v>5161</v>
      </c>
      <c r="B400" s="28" t="s">
        <v>5162</v>
      </c>
      <c r="C400" s="23" t="str">
        <f t="shared" si="1"/>
        <v>Antonella Polanco</v>
      </c>
      <c r="D400" s="28" t="s">
        <v>7984</v>
      </c>
      <c r="E400" s="28" t="s">
        <v>7526</v>
      </c>
      <c r="F400" s="23">
        <f t="array" ref="F400">IFERROR(
    INDEX('Hub Interns 226'!A:A, MATCH(C400, 'Hub Interns 226'!B:B, 0)),"")</f>
        <v>250</v>
      </c>
      <c r="G400" s="23">
        <f t="array" ref="G400">IFERROR(
    INDEX('Hub Users 226'!A:A, MATCH(C400, 'Hub Users 226'!B:B, 0)),"")</f>
        <v>683</v>
      </c>
      <c r="H400" s="28">
        <v>1327.0</v>
      </c>
      <c r="I400" s="28" t="s">
        <v>260</v>
      </c>
      <c r="J400" s="28" t="s">
        <v>5336</v>
      </c>
      <c r="K400" s="28" t="s">
        <v>5177</v>
      </c>
      <c r="L400" s="28" t="s">
        <v>5196</v>
      </c>
      <c r="M400" s="56" t="s">
        <v>7985</v>
      </c>
      <c r="N400" s="59">
        <v>44851.805555555555</v>
      </c>
      <c r="O400" s="58">
        <v>39553.0</v>
      </c>
      <c r="P400" s="28">
        <f t="shared" si="13"/>
        <v>18</v>
      </c>
      <c r="Q400" s="28" t="s">
        <v>240</v>
      </c>
      <c r="R400" s="28" t="s">
        <v>7986</v>
      </c>
      <c r="S400" s="28">
        <v>14.0</v>
      </c>
      <c r="T400" s="28">
        <v>13.0</v>
      </c>
      <c r="U400" s="28">
        <v>35.0</v>
      </c>
      <c r="V400" s="28">
        <v>21.0</v>
      </c>
      <c r="W400" s="28" t="s">
        <v>1173</v>
      </c>
      <c r="X400" s="28" t="s">
        <v>272</v>
      </c>
      <c r="Y400" s="28" t="s">
        <v>7987</v>
      </c>
      <c r="Z400" s="28" t="s">
        <v>5403</v>
      </c>
      <c r="AA400" s="28" t="s">
        <v>5404</v>
      </c>
      <c r="AB400" s="28">
        <v>21.0</v>
      </c>
      <c r="AC400" s="28" t="s">
        <v>23</v>
      </c>
      <c r="AD400" s="23"/>
      <c r="AE400" s="28" t="s">
        <v>15</v>
      </c>
      <c r="AF400" s="23"/>
      <c r="AG400" s="23"/>
      <c r="AH400" s="23" t="str">
        <f>IFERROR(__xludf.DUMMYFUNCTION("IF(
ISNUMBER(MATCH(
C400,
IMPORTRANGE(""https://docs.google.com/spreadsheets/d/1yTh1ELC33JHYOeEdgIiEclxPRyh0zOKtlawDltfUay8"",""'Interns'!A:A""),
0
)),
""Outreach Conducted"",
"""")"),"")</f>
        <v/>
      </c>
      <c r="AI400" s="23"/>
      <c r="AJ400" s="23"/>
      <c r="AK400" s="23" t="str">
        <f>IFERROR(__xludf.DUMMYFUNCTION("XLOOKUP(C400, 
   IMPORTRANGE(""1RdEdgHYrZ33LJ7RUHj_h-qkAFL92bcVjtIdVa-UlsCw"", ""Interns!D:D""), 
   IMPORTRANGE(""1RdEdgHYrZ33LJ7RUHj_h-qkAFL92bcVjtIdVa-UlsCw"", ""Interns!M:M""), 
   ""Not Found"")"),"Contacted")</f>
        <v>Contacted</v>
      </c>
      <c r="AL400" s="23" t="str">
        <f>IFERROR(__xludf.DUMMYFUNCTION("XLOOKUP(C400, 
   IMPORTRANGE(""1RdEdgHYrZ33LJ7RUHj_h-qkAFL92bcVjtIdVa-UlsCw"", ""Interns!D:D""), 
   IMPORTRANGE(""1RdEdgHYrZ33LJ7RUHj_h-qkAFL92bcVjtIdVa-UlsCw"", ""Interns!N:N""), 
   ""Not Found"")"),"#Cheers4Careers")</f>
        <v>#Cheers4Careers</v>
      </c>
      <c r="AM400" s="23" t="str">
        <f>IFERROR(__xludf.DUMMYFUNCTION("XLOOKUP(C400, 
   IMPORTRANGE(""1RdEdgHYrZ33LJ7RUHj_h-qkAFL92bcVjtIdVa-UlsCw"", ""Interns!D:D""), 
   IMPORTRANGE(""1RdEdgHYrZ33LJ7RUHj_h-qkAFL92bcVjtIdVa-UlsCw"", ""Interns!O:O""), 
   ""Not Found"")"),"Reached out by text 3/26-3/28 followed up by email 3/27 by Jackie and Hetal reached out by whatsapp on 3/28
Hetal reached out on 4/10 by whatsapp for April 18th #Cheers4Careers")</f>
        <v>Reached out by text 3/26-3/28 followed up by email 3/27 by Jackie and Hetal reached out by whatsapp on 3/28
Hetal reached out on 4/10 by whatsapp for April 18th #Cheers4Careers</v>
      </c>
      <c r="AN400" s="23"/>
      <c r="AO400" s="23" t="s">
        <v>7988</v>
      </c>
      <c r="AP400" s="28" t="s">
        <v>5182</v>
      </c>
      <c r="AQ400" s="28"/>
      <c r="AR400" s="23"/>
      <c r="AS400" s="23"/>
      <c r="AT400" s="23"/>
      <c r="AU400" s="23"/>
      <c r="AV400" s="23"/>
    </row>
    <row r="401">
      <c r="A401" s="28" t="s">
        <v>5161</v>
      </c>
      <c r="B401" s="28" t="s">
        <v>5162</v>
      </c>
      <c r="C401" s="23" t="str">
        <f t="shared" si="1"/>
        <v>Akira Quezada</v>
      </c>
      <c r="D401" s="28" t="s">
        <v>7989</v>
      </c>
      <c r="E401" s="28" t="s">
        <v>7114</v>
      </c>
      <c r="F401" s="23">
        <f t="array" ref="F401">IFERROR(
    INDEX('Hub Interns 226'!A:A, MATCH(C401, 'Hub Interns 226'!B:B, 0)),"")</f>
        <v>169</v>
      </c>
      <c r="G401" s="23">
        <f t="array" ref="G401">IFERROR(
    INDEX('Hub Users 226'!A:A, MATCH(C401, 'Hub Users 226'!B:B, 0)),"")</f>
        <v>602</v>
      </c>
      <c r="H401" s="28">
        <v>476.0</v>
      </c>
      <c r="I401" s="28" t="s">
        <v>239</v>
      </c>
      <c r="J401" s="28" t="s">
        <v>5336</v>
      </c>
      <c r="K401" s="28" t="s">
        <v>5177</v>
      </c>
      <c r="L401" s="28" t="s">
        <v>5196</v>
      </c>
      <c r="M401" s="56" t="s">
        <v>7990</v>
      </c>
      <c r="N401" s="57">
        <v>44363.986805555556</v>
      </c>
      <c r="O401" s="58">
        <v>38619.0</v>
      </c>
      <c r="P401" s="28">
        <f t="shared" si="13"/>
        <v>20</v>
      </c>
      <c r="Q401" s="28" t="s">
        <v>7991</v>
      </c>
      <c r="R401" s="28" t="s">
        <v>7992</v>
      </c>
      <c r="S401" s="28">
        <v>14.0</v>
      </c>
      <c r="T401" s="28">
        <v>29.0</v>
      </c>
      <c r="U401" s="28">
        <v>84.0</v>
      </c>
      <c r="V401" s="28">
        <v>8.0</v>
      </c>
      <c r="W401" s="28" t="s">
        <v>859</v>
      </c>
      <c r="X401" s="28" t="s">
        <v>272</v>
      </c>
      <c r="Y401" s="28" t="s">
        <v>7993</v>
      </c>
      <c r="Z401" s="28" t="s">
        <v>5208</v>
      </c>
      <c r="AA401" s="28" t="s">
        <v>2141</v>
      </c>
      <c r="AB401" s="28">
        <v>8.0</v>
      </c>
      <c r="AC401" s="28" t="s">
        <v>25</v>
      </c>
      <c r="AD401" s="28" t="s">
        <v>101</v>
      </c>
      <c r="AE401" s="28" t="s">
        <v>10</v>
      </c>
      <c r="AF401" s="23" t="str">
        <f>IFERROR(__xludf.DUMMYFUNCTION("TEXTJOIN("", "", TRUE,
  FILTER(Champions!C:C,
    ISNUMBER(SEARCH(C401, Champions!W:W))
  )
)"),"Anya Smith, Anya Smith, Kunal Jani, Natsumi Komatani, Swathi Koundinya")</f>
        <v>Anya Smith, Anya Smith, Kunal Jani, Natsumi Komatani, Swathi Koundinya</v>
      </c>
      <c r="AG401" s="26" t="s">
        <v>5697</v>
      </c>
      <c r="AH401" s="23" t="str">
        <f>IFERROR(__xludf.DUMMYFUNCTION("IF(
ISNUMBER(MATCH(
C401,
IMPORTRANGE(""https://docs.google.com/spreadsheets/d/1yTh1ELC33JHYOeEdgIiEclxPRyh0zOKtlawDltfUay8"",""'Interns'!A:A""),
0
)),
""Outreach Conducted"",
"""")"),"")</f>
        <v/>
      </c>
      <c r="AI401" s="23"/>
      <c r="AJ401" s="23"/>
      <c r="AK401" s="23" t="str">
        <f>IFERROR(__xludf.DUMMYFUNCTION("XLOOKUP(C401, 
   IMPORTRANGE(""1RdEdgHYrZ33LJ7RUHj_h-qkAFL92bcVjtIdVa-UlsCw"", ""Interns!D:D""), 
   IMPORTRANGE(""1RdEdgHYrZ33LJ7RUHj_h-qkAFL92bcVjtIdVa-UlsCw"", ""Interns!M:M""), 
   ""Not Found"")"),"Contacted")</f>
        <v>Contacted</v>
      </c>
      <c r="AL401" s="23" t="str">
        <f>IFERROR(__xludf.DUMMYFUNCTION("XLOOKUP(C401, 
   IMPORTRANGE(""1RdEdgHYrZ33LJ7RUHj_h-qkAFL92bcVjtIdVa-UlsCw"", ""Interns!D:D""), 
   IMPORTRANGE(""1RdEdgHYrZ33LJ7RUHj_h-qkAFL92bcVjtIdVa-UlsCw"", ""Interns!N:N""), 
   ""Not Found"")"),"#Cheers4Careers")</f>
        <v>#Cheers4Careers</v>
      </c>
      <c r="AM401" s="23" t="str">
        <f>IFERROR(__xludf.DUMMYFUNCTION("XLOOKUP(C401, 
   IMPORTRANGE(""1RdEdgHYrZ33LJ7RUHj_h-qkAFL92bcVjtIdVa-UlsCw"", ""Interns!D:D""), 
   IMPORTRANGE(""1RdEdgHYrZ33LJ7RUHj_h-qkAFL92bcVjtIdVa-UlsCw"", ""Interns!O:O""), 
   ""Not Found"")"),"Hetal reached out by email 3/27 and text and Hetal reached out by Whatsapp on 3/28
Hetal reached out on 4/10 by whatsapp for April 18th #Cheers4Careers")</f>
        <v>Hetal reached out by email 3/27 and text and Hetal reached out by Whatsapp on 3/28
Hetal reached out on 4/10 by whatsapp for April 18th #Cheers4Careers</v>
      </c>
      <c r="AN401" s="23"/>
      <c r="AO401" s="23" t="s">
        <v>7994</v>
      </c>
      <c r="AP401" s="28" t="s">
        <v>5191</v>
      </c>
      <c r="AQ401" s="28" t="s">
        <v>7995</v>
      </c>
      <c r="AR401" s="23" t="s">
        <v>7996</v>
      </c>
      <c r="AS401" s="23"/>
      <c r="AT401" s="23"/>
      <c r="AU401" s="23"/>
      <c r="AV401" s="23"/>
    </row>
    <row r="402">
      <c r="A402" s="28" t="s">
        <v>5161</v>
      </c>
      <c r="B402" s="28" t="s">
        <v>5162</v>
      </c>
      <c r="C402" s="23" t="str">
        <f t="shared" si="1"/>
        <v>Mario Brito</v>
      </c>
      <c r="D402" s="28" t="s">
        <v>2384</v>
      </c>
      <c r="E402" s="28" t="s">
        <v>7997</v>
      </c>
      <c r="F402" s="23">
        <f t="array" ref="F402">IFERROR(
    INDEX('Hub Interns 226'!A:A, MATCH(C402, 'Hub Interns 226'!B:B, 0)),"")</f>
        <v>891</v>
      </c>
      <c r="G402" s="23">
        <f t="array" ref="G402">IFERROR(
    INDEX('Hub Users 226'!A:A, MATCH(C402, 'Hub Users 226'!B:B, 0)),"")</f>
        <v>1324</v>
      </c>
      <c r="H402" s="28">
        <v>1166.0</v>
      </c>
      <c r="I402" s="28" t="s">
        <v>407</v>
      </c>
      <c r="J402" s="28" t="s">
        <v>5336</v>
      </c>
      <c r="K402" s="28" t="s">
        <v>5177</v>
      </c>
      <c r="L402" s="28" t="s">
        <v>5165</v>
      </c>
      <c r="M402" s="56" t="s">
        <v>7998</v>
      </c>
      <c r="N402" s="57">
        <v>44753.83194444444</v>
      </c>
      <c r="O402" s="58">
        <v>37736.0</v>
      </c>
      <c r="P402" s="28">
        <f t="shared" si="13"/>
        <v>23</v>
      </c>
      <c r="Q402" s="28" t="s">
        <v>7999</v>
      </c>
      <c r="R402" s="28" t="s">
        <v>8000</v>
      </c>
      <c r="S402" s="28">
        <v>15.0</v>
      </c>
      <c r="T402" s="28">
        <v>33.0</v>
      </c>
      <c r="U402" s="28">
        <v>81.0</v>
      </c>
      <c r="V402" s="28">
        <v>11.0</v>
      </c>
      <c r="W402" s="28" t="s">
        <v>294</v>
      </c>
      <c r="X402" s="28" t="s">
        <v>272</v>
      </c>
      <c r="Y402" s="28" t="s">
        <v>8001</v>
      </c>
      <c r="Z402" s="28" t="s">
        <v>5435</v>
      </c>
      <c r="AA402" s="28" t="s">
        <v>5436</v>
      </c>
      <c r="AB402" s="28">
        <v>10.0</v>
      </c>
      <c r="AC402" s="28" t="s">
        <v>25</v>
      </c>
      <c r="AD402" s="28" t="s">
        <v>101</v>
      </c>
      <c r="AE402" s="28" t="s">
        <v>15</v>
      </c>
      <c r="AF402" s="23" t="str">
        <f>IFERROR(__xludf.DUMMYFUNCTION("TEXTJOIN("", "", TRUE,
  FILTER(Champions!C:C,
    ISNUMBER(SEARCH(C402, Champions!W:W))
  )
)"),"Leif Castren, Oheneba Afriyie, Sunaina Mehta")</f>
        <v>Leif Castren, Oheneba Afriyie, Sunaina Mehta</v>
      </c>
      <c r="AG402" s="23"/>
      <c r="AH402" s="23" t="str">
        <f>IFERROR(__xludf.DUMMYFUNCTION("IF(
ISNUMBER(MATCH(
C402,
IMPORTRANGE(""https://docs.google.com/spreadsheets/d/1yTh1ELC33JHYOeEdgIiEclxPRyh0zOKtlawDltfUay8"",""'Interns'!A:A""),
0
)),
""Outreach Conducted"",
"""")"),"")</f>
        <v/>
      </c>
      <c r="AI402" s="23"/>
      <c r="AJ402" s="23"/>
      <c r="AK402" s="23" t="str">
        <f>IFERROR(__xludf.DUMMYFUNCTION("XLOOKUP(C402, 
   IMPORTRANGE(""1RdEdgHYrZ33LJ7RUHj_h-qkAFL92bcVjtIdVa-UlsCw"", ""Interns!D:D""), 
   IMPORTRANGE(""1RdEdgHYrZ33LJ7RUHj_h-qkAFL92bcVjtIdVa-UlsCw"", ""Interns!M:M""), 
   ""Not Found"")"),"Contacted")</f>
        <v>Contacted</v>
      </c>
      <c r="AL402" s="23" t="str">
        <f>IFERROR(__xludf.DUMMYFUNCTION("XLOOKUP(C402, 
   IMPORTRANGE(""1RdEdgHYrZ33LJ7RUHj_h-qkAFL92bcVjtIdVa-UlsCw"", ""Interns!D:D""), 
   IMPORTRANGE(""1RdEdgHYrZ33LJ7RUHj_h-qkAFL92bcVjtIdVa-UlsCw"", ""Interns!N:N""), 
   ""Not Found"")"),"#Cheers4Careers")</f>
        <v>#Cheers4Careers</v>
      </c>
      <c r="AM402" s="23" t="str">
        <f>IFERROR(__xludf.DUMMYFUNCTION("XLOOKUP(C402, 
   IMPORTRANGE(""1RdEdgHYrZ33LJ7RUHj_h-qkAFL92bcVjtIdVa-UlsCw"", ""Interns!D:D""), 
   IMPORTRANGE(""1RdEdgHYrZ33LJ7RUHj_h-qkAFL92bcVjtIdVa-UlsCw"", ""Interns!O:O""), 
   ""Not Found"")"),"Hetal reached out by email 3/27")</f>
        <v>Hetal reached out by email 3/27</v>
      </c>
      <c r="AN402" s="23"/>
      <c r="AO402" s="23" t="s">
        <v>8002</v>
      </c>
      <c r="AP402" s="28" t="s">
        <v>5182</v>
      </c>
      <c r="AQ402" s="28" t="s">
        <v>8003</v>
      </c>
      <c r="AR402" s="23" t="s">
        <v>8004</v>
      </c>
      <c r="AS402" s="23"/>
      <c r="AT402" s="23"/>
      <c r="AU402" s="23"/>
      <c r="AV402" s="23"/>
    </row>
    <row r="403">
      <c r="A403" s="28" t="s">
        <v>5202</v>
      </c>
      <c r="B403" s="28" t="s">
        <v>5162</v>
      </c>
      <c r="C403" s="23" t="str">
        <f t="shared" si="1"/>
        <v>Valentina Abreu</v>
      </c>
      <c r="D403" s="28" t="s">
        <v>3440</v>
      </c>
      <c r="E403" s="28" t="s">
        <v>8005</v>
      </c>
      <c r="F403" s="23">
        <f t="array" ref="F403">IFERROR(
    INDEX('Hub Interns 226'!A:A, MATCH(C403, 'Hub Interns 226'!B:B, 0)),"")</f>
        <v>1164</v>
      </c>
      <c r="G403" s="23">
        <f t="array" ref="G403">IFERROR(
    INDEX('Hub Users 226'!A:A, MATCH(C403, 'Hub Users 226'!B:B, 0)),"")</f>
        <v>1597</v>
      </c>
      <c r="H403" s="28">
        <v>1217.0</v>
      </c>
      <c r="I403" s="28" t="s">
        <v>290</v>
      </c>
      <c r="J403" s="28" t="s">
        <v>5336</v>
      </c>
      <c r="K403" s="28" t="s">
        <v>5177</v>
      </c>
      <c r="L403" s="28" t="s">
        <v>5196</v>
      </c>
      <c r="M403" s="56" t="s">
        <v>8006</v>
      </c>
      <c r="N403" s="57">
        <v>44835.82638888889</v>
      </c>
      <c r="O403" s="58">
        <v>38397.0</v>
      </c>
      <c r="P403" s="28">
        <f t="shared" si="13"/>
        <v>21</v>
      </c>
      <c r="Q403" s="28" t="s">
        <v>8007</v>
      </c>
      <c r="R403" s="28" t="s">
        <v>8008</v>
      </c>
      <c r="S403" s="28">
        <v>13.0</v>
      </c>
      <c r="T403" s="28">
        <v>31.0</v>
      </c>
      <c r="U403" s="28">
        <v>72.0</v>
      </c>
      <c r="V403" s="28">
        <v>10.0</v>
      </c>
      <c r="W403" s="28" t="s">
        <v>859</v>
      </c>
      <c r="X403" s="28" t="s">
        <v>272</v>
      </c>
      <c r="Y403" s="28">
        <v>3.47888544E9</v>
      </c>
      <c r="Z403" s="28" t="s">
        <v>5435</v>
      </c>
      <c r="AA403" s="28" t="s">
        <v>5436</v>
      </c>
      <c r="AB403" s="28">
        <v>10.0</v>
      </c>
      <c r="AC403" s="28" t="s">
        <v>25</v>
      </c>
      <c r="AD403" s="23"/>
      <c r="AE403" s="28" t="s">
        <v>15</v>
      </c>
      <c r="AF403" s="23" t="str">
        <f>IFERROR(__xludf.DUMMYFUNCTION("TEXTJOIN("", "", TRUE,
  FILTER(Champions!C:C,
    ISNUMBER(SEARCH(C403, Champions!W:W))
  )
)"),"Diane French, Saima Malik, Saima Malik (D)")</f>
        <v>Diane French, Saima Malik, Saima Malik (D)</v>
      </c>
      <c r="AG403" s="23"/>
      <c r="AH403" s="23" t="str">
        <f>IFERROR(__xludf.DUMMYFUNCTION("IF(
ISNUMBER(MATCH(
C403,
IMPORTRANGE(""https://docs.google.com/spreadsheets/d/1yTh1ELC33JHYOeEdgIiEclxPRyh0zOKtlawDltfUay8"",""'Interns'!A:A""),
0
)),
""Outreach Conducted"",
"""")"),"")</f>
        <v/>
      </c>
      <c r="AI403" s="23"/>
      <c r="AJ403" s="23"/>
      <c r="AK403" s="23" t="str">
        <f>IFERROR(__xludf.DUMMYFUNCTION("XLOOKUP(C403, 
   IMPORTRANGE(""1RdEdgHYrZ33LJ7RUHj_h-qkAFL92bcVjtIdVa-UlsCw"", ""Interns!D:D""), 
   IMPORTRANGE(""1RdEdgHYrZ33LJ7RUHj_h-qkAFL92bcVjtIdVa-UlsCw"", ""Interns!M:M""), 
   ""Not Found"")"),"")</f>
        <v/>
      </c>
      <c r="AL403" s="23" t="str">
        <f>IFERROR(__xludf.DUMMYFUNCTION("XLOOKUP(C403, 
   IMPORTRANGE(""1RdEdgHYrZ33LJ7RUHj_h-qkAFL92bcVjtIdVa-UlsCw"", ""Interns!D:D""), 
   IMPORTRANGE(""1RdEdgHYrZ33LJ7RUHj_h-qkAFL92bcVjtIdVa-UlsCw"", ""Interns!N:N""), 
   ""Not Found"")"),"")</f>
        <v/>
      </c>
      <c r="AM403" s="23" t="str">
        <f>IFERROR(__xludf.DUMMYFUNCTION("XLOOKUP(C403, 
   IMPORTRANGE(""1RdEdgHYrZ33LJ7RUHj_h-qkAFL92bcVjtIdVa-UlsCw"", ""Interns!D:D""), 
   IMPORTRANGE(""1RdEdgHYrZ33LJ7RUHj_h-qkAFL92bcVjtIdVa-UlsCw"", ""Interns!O:O""), 
   ""Not Found"")"),"")</f>
        <v/>
      </c>
      <c r="AN403" s="23"/>
      <c r="AO403" s="23" t="s">
        <v>8009</v>
      </c>
      <c r="AP403" s="28" t="s">
        <v>5191</v>
      </c>
      <c r="AQ403" s="28" t="s">
        <v>8010</v>
      </c>
      <c r="AR403" s="23">
        <v>3.47888544E9</v>
      </c>
      <c r="AS403" s="23"/>
      <c r="AT403" s="23"/>
      <c r="AU403" s="23"/>
      <c r="AV403" s="23"/>
    </row>
    <row r="404">
      <c r="A404" s="28" t="s">
        <v>5202</v>
      </c>
      <c r="B404" s="28" t="s">
        <v>5162</v>
      </c>
      <c r="C404" s="23" t="str">
        <f t="shared" si="1"/>
        <v>Albert D Leon Johnson</v>
      </c>
      <c r="D404" s="28" t="s">
        <v>8011</v>
      </c>
      <c r="E404" s="28" t="s">
        <v>8012</v>
      </c>
      <c r="F404" s="23">
        <f t="array" ref="F404">IFERROR(
    INDEX('Hub Interns 226'!A:A, MATCH(C404, 'Hub Interns 226'!B:B, 0)),"")</f>
        <v>429</v>
      </c>
      <c r="G404" s="23">
        <f t="array" ref="G404">IFERROR(
    INDEX('Hub Users 226'!A:A, MATCH(C404, 'Hub Users 226'!B:B, 0)),"")</f>
        <v>862</v>
      </c>
      <c r="H404" s="28">
        <v>263.0</v>
      </c>
      <c r="I404" s="28" t="s">
        <v>1235</v>
      </c>
      <c r="J404" s="28" t="s">
        <v>5336</v>
      </c>
      <c r="K404" s="28" t="s">
        <v>5177</v>
      </c>
      <c r="L404" s="28" t="s">
        <v>5165</v>
      </c>
      <c r="M404" s="56" t="s">
        <v>8013</v>
      </c>
      <c r="N404" s="57">
        <v>44207.03680555556</v>
      </c>
      <c r="O404" s="58">
        <v>38440.0</v>
      </c>
      <c r="P404" s="28">
        <f t="shared" si="13"/>
        <v>21</v>
      </c>
      <c r="Q404" s="28" t="s">
        <v>8014</v>
      </c>
      <c r="R404" s="28" t="s">
        <v>8015</v>
      </c>
      <c r="S404" s="28">
        <v>15.0</v>
      </c>
      <c r="T404" s="28">
        <v>29.0</v>
      </c>
      <c r="U404" s="28">
        <v>84.0</v>
      </c>
      <c r="V404" s="28">
        <v>8.0</v>
      </c>
      <c r="W404" s="28" t="s">
        <v>859</v>
      </c>
      <c r="X404" s="28" t="s">
        <v>272</v>
      </c>
      <c r="Y404" s="28" t="s">
        <v>8016</v>
      </c>
      <c r="Z404" s="28" t="s">
        <v>5918</v>
      </c>
      <c r="AA404" s="28" t="s">
        <v>477</v>
      </c>
      <c r="AB404" s="28">
        <v>15.0</v>
      </c>
      <c r="AC404" s="28" t="s">
        <v>25</v>
      </c>
      <c r="AD404" s="23"/>
      <c r="AE404" s="28" t="s">
        <v>8</v>
      </c>
      <c r="AF404" s="23" t="str">
        <f>IFERROR(__xludf.DUMMYFUNCTION("TEXTJOIN("", "", TRUE,
  FILTER(Champions!C:C,
    ISNUMBER(SEARCH(C404, Champions!W:W))
  )
)"),"Ritika Naik")</f>
        <v>Ritika Naik</v>
      </c>
      <c r="AG404" s="23"/>
      <c r="AH404" s="23" t="str">
        <f>IFERROR(__xludf.DUMMYFUNCTION("IF(
ISNUMBER(MATCH(
C404,
IMPORTRANGE(""https://docs.google.com/spreadsheets/d/1yTh1ELC33JHYOeEdgIiEclxPRyh0zOKtlawDltfUay8"",""'Interns'!A:A""),
0
)),
""Outreach Conducted"",
"""")"),"")</f>
        <v/>
      </c>
      <c r="AI404" s="23"/>
      <c r="AJ404" s="23"/>
      <c r="AK404" s="23" t="str">
        <f>IFERROR(__xludf.DUMMYFUNCTION("XLOOKUP(C404, 
   IMPORTRANGE(""1RdEdgHYrZ33LJ7RUHj_h-qkAFL92bcVjtIdVa-UlsCw"", ""Interns!D:D""), 
   IMPORTRANGE(""1RdEdgHYrZ33LJ7RUHj_h-qkAFL92bcVjtIdVa-UlsCw"", ""Interns!M:M""), 
   ""Not Found"")"),"")</f>
        <v/>
      </c>
      <c r="AL404" s="23" t="str">
        <f>IFERROR(__xludf.DUMMYFUNCTION("XLOOKUP(C404, 
   IMPORTRANGE(""1RdEdgHYrZ33LJ7RUHj_h-qkAFL92bcVjtIdVa-UlsCw"", ""Interns!D:D""), 
   IMPORTRANGE(""1RdEdgHYrZ33LJ7RUHj_h-qkAFL92bcVjtIdVa-UlsCw"", ""Interns!N:N""), 
   ""Not Found"")"),"")</f>
        <v/>
      </c>
      <c r="AM404" s="23" t="str">
        <f>IFERROR(__xludf.DUMMYFUNCTION("XLOOKUP(C404, 
   IMPORTRANGE(""1RdEdgHYrZ33LJ7RUHj_h-qkAFL92bcVjtIdVa-UlsCw"", ""Interns!D:D""), 
   IMPORTRANGE(""1RdEdgHYrZ33LJ7RUHj_h-qkAFL92bcVjtIdVa-UlsCw"", ""Interns!O:O""), 
   ""Not Found"")"),"")</f>
        <v/>
      </c>
      <c r="AN404" s="23"/>
      <c r="AO404" s="23" t="s">
        <v>8017</v>
      </c>
      <c r="AP404" s="28" t="s">
        <v>5182</v>
      </c>
      <c r="AQ404" s="28" t="s">
        <v>8013</v>
      </c>
      <c r="AR404" s="23">
        <v>9.292857623E9</v>
      </c>
      <c r="AS404" s="23"/>
      <c r="AT404" s="23"/>
      <c r="AU404" s="23"/>
      <c r="AV404" s="23"/>
    </row>
    <row r="405">
      <c r="A405" s="28" t="s">
        <v>5202</v>
      </c>
      <c r="B405" s="28" t="s">
        <v>5162</v>
      </c>
      <c r="C405" s="23" t="str">
        <f t="shared" si="1"/>
        <v>Javier Fortuna</v>
      </c>
      <c r="D405" s="28" t="s">
        <v>8018</v>
      </c>
      <c r="E405" s="28" t="s">
        <v>8019</v>
      </c>
      <c r="F405" s="23">
        <f t="array" ref="F405">IFERROR(
    INDEX('Hub Interns 226'!A:A, MATCH(C405, 'Hub Interns 226'!B:B, 0)),"")</f>
        <v>44</v>
      </c>
      <c r="G405" s="23">
        <f t="array" ref="G405">IFERROR(
    INDEX('Hub Users 226'!A:A, MATCH(C405, 'Hub Users 226'!B:B, 0)),"")</f>
        <v>477</v>
      </c>
      <c r="H405" s="28">
        <v>923.0</v>
      </c>
      <c r="I405" s="28" t="s">
        <v>407</v>
      </c>
      <c r="J405" s="28" t="s">
        <v>5336</v>
      </c>
      <c r="K405" s="28" t="s">
        <v>5177</v>
      </c>
      <c r="L405" s="28" t="s">
        <v>5165</v>
      </c>
      <c r="M405" s="56" t="s">
        <v>8020</v>
      </c>
      <c r="N405" s="57">
        <v>44603.450694444444</v>
      </c>
      <c r="O405" s="58">
        <v>38111.0</v>
      </c>
      <c r="P405" s="28">
        <f t="shared" si="13"/>
        <v>22</v>
      </c>
      <c r="Q405" s="28" t="s">
        <v>240</v>
      </c>
      <c r="R405" s="28" t="s">
        <v>8021</v>
      </c>
      <c r="S405" s="28"/>
      <c r="T405" s="28"/>
      <c r="U405" s="28"/>
      <c r="V405" s="28"/>
      <c r="W405" s="28" t="s">
        <v>859</v>
      </c>
      <c r="X405" s="28" t="s">
        <v>272</v>
      </c>
      <c r="Y405" s="28" t="s">
        <v>8022</v>
      </c>
      <c r="Z405" s="28" t="s">
        <v>5259</v>
      </c>
      <c r="AA405" s="28" t="s">
        <v>704</v>
      </c>
      <c r="AB405" s="28">
        <v>2.0</v>
      </c>
      <c r="AC405" s="28" t="s">
        <v>24</v>
      </c>
      <c r="AD405" s="23"/>
      <c r="AE405" s="28" t="s">
        <v>10</v>
      </c>
      <c r="AF405" s="23"/>
      <c r="AG405" s="23"/>
      <c r="AH405" s="23" t="str">
        <f>IFERROR(__xludf.DUMMYFUNCTION("IF(
ISNUMBER(MATCH(
C405,
IMPORTRANGE(""https://docs.google.com/spreadsheets/d/1yTh1ELC33JHYOeEdgIiEclxPRyh0zOKtlawDltfUay8"",""'Interns'!A:A""),
0
)),
""Outreach Conducted"",
"""")"),"")</f>
        <v/>
      </c>
      <c r="AI405" s="23"/>
      <c r="AJ405" s="23"/>
      <c r="AK405" s="23" t="str">
        <f>IFERROR(__xludf.DUMMYFUNCTION("XLOOKUP(C405, 
   IMPORTRANGE(""1RdEdgHYrZ33LJ7RUHj_h-qkAFL92bcVjtIdVa-UlsCw"", ""Interns!D:D""), 
   IMPORTRANGE(""1RdEdgHYrZ33LJ7RUHj_h-qkAFL92bcVjtIdVa-UlsCw"", ""Interns!M:M""), 
   ""Not Found"")"),"")</f>
        <v/>
      </c>
      <c r="AL405" s="23" t="str">
        <f>IFERROR(__xludf.DUMMYFUNCTION("XLOOKUP(C405, 
   IMPORTRANGE(""1RdEdgHYrZ33LJ7RUHj_h-qkAFL92bcVjtIdVa-UlsCw"", ""Interns!D:D""), 
   IMPORTRANGE(""1RdEdgHYrZ33LJ7RUHj_h-qkAFL92bcVjtIdVa-UlsCw"", ""Interns!N:N""), 
   ""Not Found"")"),"")</f>
        <v/>
      </c>
      <c r="AM405" s="23" t="str">
        <f>IFERROR(__xludf.DUMMYFUNCTION("XLOOKUP(C405, 
   IMPORTRANGE(""1RdEdgHYrZ33LJ7RUHj_h-qkAFL92bcVjtIdVa-UlsCw"", ""Interns!D:D""), 
   IMPORTRANGE(""1RdEdgHYrZ33LJ7RUHj_h-qkAFL92bcVjtIdVa-UlsCw"", ""Interns!O:O""), 
   ""Not Found"")"),"")</f>
        <v/>
      </c>
      <c r="AN405" s="23"/>
      <c r="AO405" s="23" t="s">
        <v>8023</v>
      </c>
      <c r="AP405" s="28" t="s">
        <v>5182</v>
      </c>
      <c r="AQ405" s="28"/>
      <c r="AR405" s="23"/>
      <c r="AS405" s="23"/>
      <c r="AT405" s="23"/>
      <c r="AU405" s="23"/>
      <c r="AV405" s="23"/>
    </row>
    <row r="406">
      <c r="A406" s="28" t="s">
        <v>5161</v>
      </c>
      <c r="B406" s="28" t="s">
        <v>5162</v>
      </c>
      <c r="C406" s="23" t="str">
        <f t="shared" si="1"/>
        <v>Eliana Cabral</v>
      </c>
      <c r="D406" s="28" t="s">
        <v>7068</v>
      </c>
      <c r="E406" s="28" t="s">
        <v>8024</v>
      </c>
      <c r="F406" s="23">
        <f t="array" ref="F406">IFERROR(
    INDEX('Hub Interns 226'!A:A, MATCH(C406, 'Hub Interns 226'!B:B, 0)),"")</f>
        <v>478</v>
      </c>
      <c r="G406" s="23">
        <f t="array" ref="G406">IFERROR(
    INDEX('Hub Users 226'!A:A, MATCH(C406, 'Hub Users 226'!B:B, 0)),"")</f>
        <v>911</v>
      </c>
      <c r="H406" s="28">
        <v>624.0</v>
      </c>
      <c r="I406" s="28" t="s">
        <v>107</v>
      </c>
      <c r="J406" s="28" t="s">
        <v>5336</v>
      </c>
      <c r="K406" s="28" t="s">
        <v>5177</v>
      </c>
      <c r="L406" s="28" t="s">
        <v>5196</v>
      </c>
      <c r="M406" s="56" t="s">
        <v>8025</v>
      </c>
      <c r="N406" s="59">
        <v>44495.775</v>
      </c>
      <c r="O406" s="58">
        <v>38036.0</v>
      </c>
      <c r="P406" s="28">
        <f t="shared" si="13"/>
        <v>22</v>
      </c>
      <c r="Q406" s="28" t="s">
        <v>240</v>
      </c>
      <c r="R406" s="28" t="s">
        <v>8026</v>
      </c>
      <c r="S406" s="28">
        <v>14.0</v>
      </c>
      <c r="T406" s="28">
        <v>29.0</v>
      </c>
      <c r="U406" s="28">
        <v>84.0</v>
      </c>
      <c r="V406" s="28">
        <v>8.0</v>
      </c>
      <c r="W406" s="28" t="s">
        <v>859</v>
      </c>
      <c r="X406" s="28" t="s">
        <v>272</v>
      </c>
      <c r="Y406" s="28" t="s">
        <v>8027</v>
      </c>
      <c r="Z406" s="28" t="s">
        <v>7670</v>
      </c>
      <c r="AA406" s="28" t="s">
        <v>7671</v>
      </c>
      <c r="AB406" s="28">
        <v>10.0</v>
      </c>
      <c r="AC406" s="28" t="s">
        <v>25</v>
      </c>
      <c r="AD406" s="23"/>
      <c r="AE406" s="28" t="s">
        <v>10</v>
      </c>
      <c r="AF406" s="23" t="str">
        <f>IFERROR(__xludf.DUMMYFUNCTION("TEXTJOIN("", "", TRUE,
  FILTER(Champions!C:C,
    ISNUMBER(SEARCH(C406, Champions!W:W))
  )
)"),"Bhavna Mohan Agnihotri, Enrique Linan, Tania Lopez")</f>
        <v>Bhavna Mohan Agnihotri, Enrique Linan, Tania Lopez</v>
      </c>
      <c r="AG406" s="23"/>
      <c r="AH406" s="23" t="str">
        <f>IFERROR(__xludf.DUMMYFUNCTION("IF(
ISNUMBER(MATCH(
C406,
IMPORTRANGE(""https://docs.google.com/spreadsheets/d/1yTh1ELC33JHYOeEdgIiEclxPRyh0zOKtlawDltfUay8"",""'Interns'!A:A""),
0
)),
""Outreach Conducted"",
"""")"),"")</f>
        <v/>
      </c>
      <c r="AI406" s="23"/>
      <c r="AJ406" s="23"/>
      <c r="AK406" s="23" t="str">
        <f>IFERROR(__xludf.DUMMYFUNCTION("XLOOKUP(C406, 
   IMPORTRANGE(""1RdEdgHYrZ33LJ7RUHj_h-qkAFL92bcVjtIdVa-UlsCw"", ""Interns!D:D""), 
   IMPORTRANGE(""1RdEdgHYrZ33LJ7RUHj_h-qkAFL92bcVjtIdVa-UlsCw"", ""Interns!M:M""), 
   ""Not Found"")"),"Contacted")</f>
        <v>Contacted</v>
      </c>
      <c r="AL406" s="23" t="str">
        <f>IFERROR(__xludf.DUMMYFUNCTION("XLOOKUP(C406, 
   IMPORTRANGE(""1RdEdgHYrZ33LJ7RUHj_h-qkAFL92bcVjtIdVa-UlsCw"", ""Interns!D:D""), 
   IMPORTRANGE(""1RdEdgHYrZ33LJ7RUHj_h-qkAFL92bcVjtIdVa-UlsCw"", ""Interns!N:N""), 
   ""Not Found"")"),"#Cheers4Careers")</f>
        <v>#Cheers4Careers</v>
      </c>
      <c r="AM406" s="23" t="str">
        <f>IFERROR(__xludf.DUMMYFUNCTION("XLOOKUP(C406, 
   IMPORTRANGE(""1RdEdgHYrZ33LJ7RUHj_h-qkAFL92bcVjtIdVa-UlsCw"", ""Interns!D:D""), 
   IMPORTRANGE(""1RdEdgHYrZ33LJ7RUHj_h-qkAFL92bcVjtIdVa-UlsCw"", ""Interns!O:O""), 
   ""Not Found"")"),"Hetal reached out by email 3/27")</f>
        <v>Hetal reached out by email 3/27</v>
      </c>
      <c r="AN406" s="23"/>
      <c r="AO406" s="23" t="s">
        <v>8028</v>
      </c>
      <c r="AP406" s="28" t="s">
        <v>5989</v>
      </c>
      <c r="AQ406" s="28" t="s">
        <v>8029</v>
      </c>
      <c r="AR406" s="23" t="s">
        <v>8030</v>
      </c>
      <c r="AS406" s="23"/>
      <c r="AT406" s="23"/>
      <c r="AU406" s="23"/>
      <c r="AV406" s="23"/>
    </row>
    <row r="407">
      <c r="A407" s="28" t="s">
        <v>5161</v>
      </c>
      <c r="B407" s="28" t="s">
        <v>5162</v>
      </c>
      <c r="C407" s="23" t="str">
        <f t="shared" si="1"/>
        <v>Jazir Cabrera</v>
      </c>
      <c r="D407" s="28" t="s">
        <v>8031</v>
      </c>
      <c r="E407" s="28" t="s">
        <v>7390</v>
      </c>
      <c r="F407" s="23">
        <f t="array" ref="F407">IFERROR(
    INDEX('Hub Interns 226'!A:A, MATCH(C407, 'Hub Interns 226'!B:B, 0)),"")</f>
        <v>640</v>
      </c>
      <c r="G407" s="23">
        <f t="array" ref="G407">IFERROR(
    INDEX('Hub Users 226'!A:A, MATCH(C407, 'Hub Users 226'!B:B, 0)),"")</f>
        <v>1073</v>
      </c>
      <c r="H407" s="28">
        <v>1306.0</v>
      </c>
      <c r="I407" s="28" t="s">
        <v>785</v>
      </c>
      <c r="J407" s="28" t="s">
        <v>5336</v>
      </c>
      <c r="K407" s="28" t="s">
        <v>5177</v>
      </c>
      <c r="L407" s="28" t="s">
        <v>5165</v>
      </c>
      <c r="M407" s="56" t="s">
        <v>8032</v>
      </c>
      <c r="N407" s="59">
        <v>44847.42916666667</v>
      </c>
      <c r="O407" s="58">
        <v>39267.0</v>
      </c>
      <c r="P407" s="28">
        <f t="shared" si="13"/>
        <v>18</v>
      </c>
      <c r="Q407" s="28" t="s">
        <v>240</v>
      </c>
      <c r="R407" s="28" t="s">
        <v>8033</v>
      </c>
      <c r="S407" s="28">
        <v>15.0</v>
      </c>
      <c r="T407" s="28">
        <v>29.0</v>
      </c>
      <c r="U407" s="28">
        <v>84.0</v>
      </c>
      <c r="V407" s="28">
        <v>17.0</v>
      </c>
      <c r="W407" s="28" t="s">
        <v>859</v>
      </c>
      <c r="X407" s="28" t="s">
        <v>272</v>
      </c>
      <c r="Y407" s="28" t="s">
        <v>8034</v>
      </c>
      <c r="Z407" s="28" t="s">
        <v>5918</v>
      </c>
      <c r="AA407" s="28" t="s">
        <v>477</v>
      </c>
      <c r="AB407" s="28">
        <v>15.0</v>
      </c>
      <c r="AC407" s="28" t="s">
        <v>23</v>
      </c>
      <c r="AD407" s="28" t="s">
        <v>101</v>
      </c>
      <c r="AE407" s="28" t="s">
        <v>15</v>
      </c>
      <c r="AF407" s="23"/>
      <c r="AG407" s="23"/>
      <c r="AH407" s="23" t="str">
        <f>IFERROR(__xludf.DUMMYFUNCTION("IF(
ISNUMBER(MATCH(
C407,
IMPORTRANGE(""https://docs.google.com/spreadsheets/d/1yTh1ELC33JHYOeEdgIiEclxPRyh0zOKtlawDltfUay8"",""'Interns'!A:A""),
0
)),
""Outreach Conducted"",
"""")"),"")</f>
        <v/>
      </c>
      <c r="AI407" s="23"/>
      <c r="AJ407" s="23"/>
      <c r="AK407" s="23" t="str">
        <f>IFERROR(__xludf.DUMMYFUNCTION("XLOOKUP(C407, 
   IMPORTRANGE(""1RdEdgHYrZ33LJ7RUHj_h-qkAFL92bcVjtIdVa-UlsCw"", ""Interns!D:D""), 
   IMPORTRANGE(""1RdEdgHYrZ33LJ7RUHj_h-qkAFL92bcVjtIdVa-UlsCw"", ""Interns!M:M""), 
   ""Not Found"")"),"")</f>
        <v/>
      </c>
      <c r="AL407" s="23" t="str">
        <f>IFERROR(__xludf.DUMMYFUNCTION("XLOOKUP(C407, 
   IMPORTRANGE(""1RdEdgHYrZ33LJ7RUHj_h-qkAFL92bcVjtIdVa-UlsCw"", ""Interns!D:D""), 
   IMPORTRANGE(""1RdEdgHYrZ33LJ7RUHj_h-qkAFL92bcVjtIdVa-UlsCw"", ""Interns!N:N""), 
   ""Not Found"")"),"")</f>
        <v/>
      </c>
      <c r="AM407" s="23" t="str">
        <f>IFERROR(__xludf.DUMMYFUNCTION("XLOOKUP(C407, 
   IMPORTRANGE(""1RdEdgHYrZ33LJ7RUHj_h-qkAFL92bcVjtIdVa-UlsCw"", ""Interns!D:D""), 
   IMPORTRANGE(""1RdEdgHYrZ33LJ7RUHj_h-qkAFL92bcVjtIdVa-UlsCw"", ""Interns!O:O""), 
   ""Not Found"")"),"")</f>
        <v/>
      </c>
      <c r="AN407" s="23"/>
      <c r="AO407" s="23" t="s">
        <v>8035</v>
      </c>
      <c r="AP407" s="28" t="s">
        <v>5191</v>
      </c>
      <c r="AQ407" s="28"/>
      <c r="AR407" s="23"/>
      <c r="AS407" s="23"/>
      <c r="AT407" s="23"/>
      <c r="AU407" s="23"/>
      <c r="AV407" s="23"/>
    </row>
    <row r="408">
      <c r="A408" s="28" t="s">
        <v>5202</v>
      </c>
      <c r="B408" s="28" t="s">
        <v>5162</v>
      </c>
      <c r="C408" s="23" t="str">
        <f t="shared" si="1"/>
        <v>Ronald Pujols</v>
      </c>
      <c r="D408" s="28" t="s">
        <v>8036</v>
      </c>
      <c r="E408" s="28" t="s">
        <v>8037</v>
      </c>
      <c r="F408" s="23">
        <f t="array" ref="F408">IFERROR(
    INDEX('Hub Interns 226'!A:A, MATCH("Ronald. Pujols", 'Hub Interns 226'!B:B, 0)),"")</f>
        <v>1036</v>
      </c>
      <c r="G408" s="23">
        <f t="array" ref="G408">IFERROR(
    INDEX('Hub Users 226'!A:A, MATCH("Ronald. Pujols", 'Hub Users 226'!B:B, 0)),"")</f>
        <v>1469</v>
      </c>
      <c r="H408" s="28">
        <v>1496.0</v>
      </c>
      <c r="I408" s="28" t="s">
        <v>107</v>
      </c>
      <c r="J408" s="28" t="s">
        <v>5336</v>
      </c>
      <c r="K408" s="28" t="s">
        <v>5177</v>
      </c>
      <c r="L408" s="28" t="s">
        <v>5165</v>
      </c>
      <c r="M408" s="56" t="s">
        <v>8038</v>
      </c>
      <c r="N408" s="57">
        <v>44949.65694444445</v>
      </c>
      <c r="O408" s="58">
        <v>38853.0</v>
      </c>
      <c r="P408" s="28">
        <f t="shared" si="13"/>
        <v>20</v>
      </c>
      <c r="Q408" s="28" t="s">
        <v>8039</v>
      </c>
      <c r="R408" s="28" t="s">
        <v>8040</v>
      </c>
      <c r="S408" s="28"/>
      <c r="T408" s="28"/>
      <c r="U408" s="28"/>
      <c r="V408" s="28"/>
      <c r="W408" s="28" t="s">
        <v>859</v>
      </c>
      <c r="X408" s="28" t="s">
        <v>272</v>
      </c>
      <c r="Y408" s="28" t="s">
        <v>8041</v>
      </c>
      <c r="Z408" s="28" t="s">
        <v>5918</v>
      </c>
      <c r="AA408" s="28" t="s">
        <v>477</v>
      </c>
      <c r="AB408" s="28">
        <v>15.0</v>
      </c>
      <c r="AC408" s="28" t="s">
        <v>25</v>
      </c>
      <c r="AD408" s="23"/>
      <c r="AE408" s="28" t="s">
        <v>15</v>
      </c>
      <c r="AF408" s="23" t="str">
        <f>IFERROR(__xludf.DUMMYFUNCTION("TEXTJOIN("", "", TRUE,
  FILTER(Champions!C:C,
    ISNUMBER(SEARCH(C408, Champions!W:W))
  )
)"),"Addy Michelle Jimenez Haga, Chelsea Baker")</f>
        <v>Addy Michelle Jimenez Haga, Chelsea Baker</v>
      </c>
      <c r="AG408" s="23"/>
      <c r="AH408" s="23" t="str">
        <f>IFERROR(__xludf.DUMMYFUNCTION("IF(
ISNUMBER(MATCH(
C408,
IMPORTRANGE(""https://docs.google.com/spreadsheets/d/1yTh1ELC33JHYOeEdgIiEclxPRyh0zOKtlawDltfUay8"",""'Interns'!A:A""),
0
)),
""Outreach Conducted"",
"""")"),"")</f>
        <v/>
      </c>
      <c r="AI408" s="23"/>
      <c r="AJ408" s="23"/>
      <c r="AK408" s="23" t="str">
        <f>IFERROR(__xludf.DUMMYFUNCTION("XLOOKUP(C408, 
   IMPORTRANGE(""1RdEdgHYrZ33LJ7RUHj_h-qkAFL92bcVjtIdVa-UlsCw"", ""Interns!D:D""), 
   IMPORTRANGE(""1RdEdgHYrZ33LJ7RUHj_h-qkAFL92bcVjtIdVa-UlsCw"", ""Interns!M:M""), 
   ""Not Found"")"),"")</f>
        <v/>
      </c>
      <c r="AL408" s="23" t="str">
        <f>IFERROR(__xludf.DUMMYFUNCTION("XLOOKUP(C408, 
   IMPORTRANGE(""1RdEdgHYrZ33LJ7RUHj_h-qkAFL92bcVjtIdVa-UlsCw"", ""Interns!D:D""), 
   IMPORTRANGE(""1RdEdgHYrZ33LJ7RUHj_h-qkAFL92bcVjtIdVa-UlsCw"", ""Interns!N:N""), 
   ""Not Found"")"),"")</f>
        <v/>
      </c>
      <c r="AM408" s="23" t="str">
        <f>IFERROR(__xludf.DUMMYFUNCTION("XLOOKUP(C408, 
   IMPORTRANGE(""1RdEdgHYrZ33LJ7RUHj_h-qkAFL92bcVjtIdVa-UlsCw"", ""Interns!D:D""), 
   IMPORTRANGE(""1RdEdgHYrZ33LJ7RUHj_h-qkAFL92bcVjtIdVa-UlsCw"", ""Interns!O:O""), 
   ""Not Found"")"),"")</f>
        <v/>
      </c>
      <c r="AN408" s="23"/>
      <c r="AO408" s="23" t="s">
        <v>8042</v>
      </c>
      <c r="AP408" s="28" t="s">
        <v>5182</v>
      </c>
      <c r="AQ408" s="28" t="s">
        <v>8043</v>
      </c>
      <c r="AR408" s="23" t="s">
        <v>8044</v>
      </c>
      <c r="AS408" s="23"/>
      <c r="AT408" s="23"/>
      <c r="AU408" s="23"/>
      <c r="AV408" s="23"/>
    </row>
    <row r="409">
      <c r="A409" s="28" t="s">
        <v>5202</v>
      </c>
      <c r="B409" s="28" t="s">
        <v>5162</v>
      </c>
      <c r="C409" s="23" t="str">
        <f t="shared" si="1"/>
        <v>Alessia Garcia</v>
      </c>
      <c r="D409" s="28" t="s">
        <v>8045</v>
      </c>
      <c r="E409" s="28" t="s">
        <v>1484</v>
      </c>
      <c r="F409" s="23" t="str">
        <f t="array" ref="F409">IFERROR(
    INDEX('Hub Interns 226'!A:A, MATCH(C409, 'Hub Interns 226'!B:B, 0)),"")</f>
        <v/>
      </c>
      <c r="G409" s="23" t="str">
        <f t="array" ref="G409">IFERROR(
    INDEX('Hub Users 226'!A:A, MATCH(C409, 'Hub Users 226'!B:B, 0)),"")</f>
        <v/>
      </c>
      <c r="H409" s="28">
        <v>18.0</v>
      </c>
      <c r="I409" s="28" t="s">
        <v>260</v>
      </c>
      <c r="J409" s="28" t="s">
        <v>5336</v>
      </c>
      <c r="K409" s="28" t="s">
        <v>5177</v>
      </c>
      <c r="L409" s="28" t="s">
        <v>5196</v>
      </c>
      <c r="M409" s="23"/>
      <c r="N409" s="57">
        <v>43741.63055555556</v>
      </c>
      <c r="O409" s="58"/>
      <c r="P409" s="28"/>
      <c r="Q409" s="28" t="s">
        <v>240</v>
      </c>
      <c r="R409" s="23"/>
      <c r="S409" s="28"/>
      <c r="T409" s="28"/>
      <c r="U409" s="28"/>
      <c r="V409" s="28"/>
      <c r="W409" s="28" t="s">
        <v>380</v>
      </c>
      <c r="X409" s="28" t="s">
        <v>381</v>
      </c>
      <c r="Y409" s="28">
        <v>2.153036227E9</v>
      </c>
      <c r="Z409" s="28" t="s">
        <v>5491</v>
      </c>
      <c r="AA409" s="28" t="s">
        <v>5492</v>
      </c>
      <c r="AB409" s="28">
        <v>47.0</v>
      </c>
      <c r="AC409" s="28" t="s">
        <v>25</v>
      </c>
      <c r="AD409" s="23"/>
      <c r="AE409" s="28" t="s">
        <v>4</v>
      </c>
      <c r="AF409" s="23" t="str">
        <f>IFERROR(__xludf.DUMMYFUNCTION("TEXTJOIN("", "", TRUE,
  FILTER(Champions!C:C,
    ISNUMBER(SEARCH(C409, Champions!W:W))
  )
)"),"#N/A")</f>
        <v>#N/A</v>
      </c>
      <c r="AG409" s="23"/>
      <c r="AH409" s="23" t="str">
        <f>IFERROR(__xludf.DUMMYFUNCTION("IF(
ISNUMBER(MATCH(
C409,
IMPORTRANGE(""https://docs.google.com/spreadsheets/d/1yTh1ELC33JHYOeEdgIiEclxPRyh0zOKtlawDltfUay8"",""'Interns'!A:A""),
0
)),
""Outreach Conducted"",
"""")"),"")</f>
        <v/>
      </c>
      <c r="AI409" s="23"/>
      <c r="AJ409" s="23"/>
      <c r="AK409" s="23" t="str">
        <f>IFERROR(__xludf.DUMMYFUNCTION("XLOOKUP(C409, 
   IMPORTRANGE(""1RdEdgHYrZ33LJ7RUHj_h-qkAFL92bcVjtIdVa-UlsCw"", ""Interns!D:D""), 
   IMPORTRANGE(""1RdEdgHYrZ33LJ7RUHj_h-qkAFL92bcVjtIdVa-UlsCw"", ""Interns!M:M""), 
   ""Not Found"")"),"")</f>
        <v/>
      </c>
      <c r="AL409" s="23" t="str">
        <f>IFERROR(__xludf.DUMMYFUNCTION("XLOOKUP(C409, 
   IMPORTRANGE(""1RdEdgHYrZ33LJ7RUHj_h-qkAFL92bcVjtIdVa-UlsCw"", ""Interns!D:D""), 
   IMPORTRANGE(""1RdEdgHYrZ33LJ7RUHj_h-qkAFL92bcVjtIdVa-UlsCw"", ""Interns!N:N""), 
   ""Not Found"")"),"")</f>
        <v/>
      </c>
      <c r="AM409" s="23">
        <f>IFERROR(__xludf.DUMMYFUNCTION("XLOOKUP(C409, 
   IMPORTRANGE(""1RdEdgHYrZ33LJ7RUHj_h-qkAFL92bcVjtIdVa-UlsCw"", ""Interns!D:D""), 
   IMPORTRANGE(""1RdEdgHYrZ33LJ7RUHj_h-qkAFL92bcVjtIdVa-UlsCw"", ""Interns!O:O""), 
   ""Not Found"")"),24.0)</f>
        <v>24</v>
      </c>
      <c r="AN409" s="23"/>
      <c r="AO409" s="23" t="s">
        <v>8046</v>
      </c>
      <c r="AP409" s="28" t="s">
        <v>5182</v>
      </c>
      <c r="AQ409" s="28" t="s">
        <v>8046</v>
      </c>
      <c r="AR409" s="23" t="s">
        <v>8047</v>
      </c>
      <c r="AS409" s="23"/>
      <c r="AT409" s="23"/>
      <c r="AU409" s="23"/>
      <c r="AV409" s="23"/>
    </row>
    <row r="410">
      <c r="A410" s="28" t="s">
        <v>5161</v>
      </c>
      <c r="B410" s="28" t="s">
        <v>31</v>
      </c>
      <c r="C410" s="23" t="str">
        <f t="shared" si="1"/>
        <v>Angely Abreu</v>
      </c>
      <c r="D410" s="28" t="s">
        <v>8048</v>
      </c>
      <c r="E410" s="28" t="s">
        <v>8005</v>
      </c>
      <c r="F410" s="23">
        <f t="array" ref="F410">IFERROR(
    INDEX('Hub Interns 226'!A:A, MATCH(C410, 'Hub Interns 226'!B:B, 0)),"")</f>
        <v>240</v>
      </c>
      <c r="G410" s="23">
        <f t="array" ref="G410">IFERROR(
    INDEX('Hub Users 226'!A:A, MATCH(C410, 'Hub Users 226'!B:B, 0)),"")</f>
        <v>673</v>
      </c>
      <c r="H410" s="28">
        <v>1504.0</v>
      </c>
      <c r="I410" s="28" t="s">
        <v>260</v>
      </c>
      <c r="J410" s="28" t="s">
        <v>5336</v>
      </c>
      <c r="K410" s="28" t="s">
        <v>5177</v>
      </c>
      <c r="L410" s="28" t="s">
        <v>5196</v>
      </c>
      <c r="M410" s="56" t="s">
        <v>8049</v>
      </c>
      <c r="N410" s="57">
        <v>44951.42569444444</v>
      </c>
      <c r="O410" s="58">
        <v>40053.0</v>
      </c>
      <c r="P410" s="28">
        <f t="shared" ref="P410:P411" si="14">DATEDIF(O410, TODAY(), "Y")</f>
        <v>16</v>
      </c>
      <c r="Q410" s="28" t="s">
        <v>8050</v>
      </c>
      <c r="R410" s="28" t="s">
        <v>8051</v>
      </c>
      <c r="S410" s="28">
        <v>14.0</v>
      </c>
      <c r="T410" s="28">
        <v>13.0</v>
      </c>
      <c r="U410" s="28">
        <v>34.0</v>
      </c>
      <c r="V410" s="28">
        <v>21.0</v>
      </c>
      <c r="W410" s="28" t="s">
        <v>1173</v>
      </c>
      <c r="X410" s="28" t="s">
        <v>272</v>
      </c>
      <c r="Y410" s="28" t="s">
        <v>8052</v>
      </c>
      <c r="Z410" s="28" t="s">
        <v>5403</v>
      </c>
      <c r="AA410" s="28" t="s">
        <v>5404</v>
      </c>
      <c r="AB410" s="28">
        <v>21.0</v>
      </c>
      <c r="AC410" s="28" t="s">
        <v>23</v>
      </c>
      <c r="AD410" s="28" t="s">
        <v>101</v>
      </c>
      <c r="AE410" s="28" t="s">
        <v>15</v>
      </c>
      <c r="AF410" s="23"/>
      <c r="AG410" s="23"/>
      <c r="AH410" s="23" t="str">
        <f>IFERROR(__xludf.DUMMYFUNCTION("IF(
ISNUMBER(MATCH(
C410,
IMPORTRANGE(""https://docs.google.com/spreadsheets/d/1yTh1ELC33JHYOeEdgIiEclxPRyh0zOKtlawDltfUay8"",""'Interns'!A:A""),
0
)),
""Outreach Conducted"",
"""")"),"")</f>
        <v/>
      </c>
      <c r="AI410" s="23"/>
      <c r="AJ410" s="23"/>
      <c r="AK410" s="23" t="str">
        <f>IFERROR(__xludf.DUMMYFUNCTION("XLOOKUP(C410, 
   IMPORTRANGE(""1RdEdgHYrZ33LJ7RUHj_h-qkAFL92bcVjtIdVa-UlsCw"", ""Interns!D:D""), 
   IMPORTRANGE(""1RdEdgHYrZ33LJ7RUHj_h-qkAFL92bcVjtIdVa-UlsCw"", ""Interns!M:M""), 
   ""Not Found"")"),"Contacted")</f>
        <v>Contacted</v>
      </c>
      <c r="AL410" s="23" t="str">
        <f>IFERROR(__xludf.DUMMYFUNCTION("XLOOKUP(C410, 
   IMPORTRANGE(""1RdEdgHYrZ33LJ7RUHj_h-qkAFL92bcVjtIdVa-UlsCw"", ""Interns!D:D""), 
   IMPORTRANGE(""1RdEdgHYrZ33LJ7RUHj_h-qkAFL92bcVjtIdVa-UlsCw"", ""Interns!N:N""), 
   ""Not Found"")"),"#Cheers4Careers")</f>
        <v>#Cheers4Careers</v>
      </c>
      <c r="AM410" s="23" t="str">
        <f>IFERROR(__xludf.DUMMYFUNCTION("XLOOKUP(C410, 
   IMPORTRANGE(""1RdEdgHYrZ33LJ7RUHj_h-qkAFL92bcVjtIdVa-UlsCw"", ""Interns!D:D""), 
   IMPORTRANGE(""1RdEdgHYrZ33LJ7RUHj_h-qkAFL92bcVjtIdVa-UlsCw"", ""Interns!O:O""), 
   ""Not Found"")"),"Reached out by text 3/26-3/28 followed up by email 3/27 by Jackie")</f>
        <v>Reached out by text 3/26-3/28 followed up by email 3/27 by Jackie</v>
      </c>
      <c r="AN410" s="23"/>
      <c r="AO410" s="23" t="s">
        <v>8053</v>
      </c>
      <c r="AP410" s="28" t="s">
        <v>5182</v>
      </c>
      <c r="AQ410" s="28"/>
      <c r="AR410" s="23"/>
      <c r="AS410" s="23"/>
      <c r="AT410" s="23"/>
      <c r="AU410" s="23"/>
      <c r="AV410" s="23"/>
    </row>
    <row r="411">
      <c r="A411" s="28" t="s">
        <v>5161</v>
      </c>
      <c r="B411" s="28" t="s">
        <v>5162</v>
      </c>
      <c r="C411" s="23" t="str">
        <f t="shared" si="1"/>
        <v>Angely Abreu</v>
      </c>
      <c r="D411" s="28" t="s">
        <v>8048</v>
      </c>
      <c r="E411" s="28" t="s">
        <v>8005</v>
      </c>
      <c r="F411" s="23">
        <f t="array" ref="F411">IFERROR(
    INDEX('Hub Interns 226'!A:A, MATCH(C411, 'Hub Interns 226'!B:B, 0)),"")</f>
        <v>240</v>
      </c>
      <c r="G411" s="23">
        <f t="array" ref="G411">IFERROR(
    INDEX('Hub Users 226'!A:A, MATCH(C411, 'Hub Users 226'!B:B, 0)),"")</f>
        <v>673</v>
      </c>
      <c r="H411" s="28">
        <v>1030.0</v>
      </c>
      <c r="I411" s="28" t="s">
        <v>260</v>
      </c>
      <c r="J411" s="28" t="s">
        <v>5336</v>
      </c>
      <c r="K411" s="28" t="s">
        <v>5177</v>
      </c>
      <c r="L411" s="28" t="s">
        <v>5196</v>
      </c>
      <c r="M411" s="56" t="s">
        <v>8054</v>
      </c>
      <c r="N411" s="57">
        <v>44663.643055555556</v>
      </c>
      <c r="O411" s="58">
        <v>40053.0</v>
      </c>
      <c r="P411" s="28">
        <f t="shared" si="14"/>
        <v>16</v>
      </c>
      <c r="Q411" s="28" t="s">
        <v>240</v>
      </c>
      <c r="R411" s="28" t="s">
        <v>8055</v>
      </c>
      <c r="S411" s="28">
        <v>14.0</v>
      </c>
      <c r="T411" s="28">
        <v>13.0</v>
      </c>
      <c r="U411" s="28">
        <v>34.0</v>
      </c>
      <c r="V411" s="28">
        <v>21.0</v>
      </c>
      <c r="W411" s="28" t="s">
        <v>1173</v>
      </c>
      <c r="X411" s="28" t="s">
        <v>272</v>
      </c>
      <c r="Y411" s="28" t="s">
        <v>8052</v>
      </c>
      <c r="Z411" s="28" t="s">
        <v>5403</v>
      </c>
      <c r="AA411" s="28" t="s">
        <v>5404</v>
      </c>
      <c r="AB411" s="28">
        <v>21.0</v>
      </c>
      <c r="AC411" s="28" t="s">
        <v>24</v>
      </c>
      <c r="AD411" s="23"/>
      <c r="AE411" s="28" t="s">
        <v>10</v>
      </c>
      <c r="AF411" s="23"/>
      <c r="AG411" s="23"/>
      <c r="AH411" s="23" t="str">
        <f>IFERROR(__xludf.DUMMYFUNCTION("IF(
ISNUMBER(MATCH(
C411,
IMPORTRANGE(""https://docs.google.com/spreadsheets/d/1yTh1ELC33JHYOeEdgIiEclxPRyh0zOKtlawDltfUay8"",""'Interns'!A:A""),
0
)),
""Outreach Conducted"",
"""")"),"")</f>
        <v/>
      </c>
      <c r="AI411" s="23"/>
      <c r="AJ411" s="23"/>
      <c r="AK411" s="23" t="str">
        <f>IFERROR(__xludf.DUMMYFUNCTION("XLOOKUP(C411, 
   IMPORTRANGE(""1RdEdgHYrZ33LJ7RUHj_h-qkAFL92bcVjtIdVa-UlsCw"", ""Interns!D:D""), 
   IMPORTRANGE(""1RdEdgHYrZ33LJ7RUHj_h-qkAFL92bcVjtIdVa-UlsCw"", ""Interns!M:M""), 
   ""Not Found"")"),"Contacted")</f>
        <v>Contacted</v>
      </c>
      <c r="AL411" s="23" t="str">
        <f>IFERROR(__xludf.DUMMYFUNCTION("XLOOKUP(C411, 
   IMPORTRANGE(""1RdEdgHYrZ33LJ7RUHj_h-qkAFL92bcVjtIdVa-UlsCw"", ""Interns!D:D""), 
   IMPORTRANGE(""1RdEdgHYrZ33LJ7RUHj_h-qkAFL92bcVjtIdVa-UlsCw"", ""Interns!N:N""), 
   ""Not Found"")"),"#Cheers4Careers")</f>
        <v>#Cheers4Careers</v>
      </c>
      <c r="AM411" s="23" t="str">
        <f>IFERROR(__xludf.DUMMYFUNCTION("XLOOKUP(C411, 
   IMPORTRANGE(""1RdEdgHYrZ33LJ7RUHj_h-qkAFL92bcVjtIdVa-UlsCw"", ""Interns!D:D""), 
   IMPORTRANGE(""1RdEdgHYrZ33LJ7RUHj_h-qkAFL92bcVjtIdVa-UlsCw"", ""Interns!O:O""), 
   ""Not Found"")"),"Reached out by text 3/26-3/28 followed up by email 3/27 by Jackie")</f>
        <v>Reached out by text 3/26-3/28 followed up by email 3/27 by Jackie</v>
      </c>
      <c r="AN411" s="23"/>
      <c r="AO411" s="23" t="s">
        <v>8053</v>
      </c>
      <c r="AP411" s="28" t="s">
        <v>5182</v>
      </c>
      <c r="AQ411" s="28"/>
      <c r="AR411" s="23"/>
      <c r="AS411" s="23"/>
      <c r="AT411" s="23"/>
      <c r="AU411" s="23"/>
      <c r="AV411" s="23"/>
    </row>
    <row r="412">
      <c r="A412" s="28" t="s">
        <v>5202</v>
      </c>
      <c r="B412" s="28" t="s">
        <v>5162</v>
      </c>
      <c r="C412" s="23" t="str">
        <f t="shared" si="1"/>
        <v>Angelis Hernandez</v>
      </c>
      <c r="D412" s="28" t="s">
        <v>8056</v>
      </c>
      <c r="E412" s="28" t="s">
        <v>2168</v>
      </c>
      <c r="F412" s="23" t="str">
        <f t="array" ref="F412">IFERROR(
    INDEX('Hub Interns 226'!A:A, MATCH(C412, 'Hub Interns 226'!B:B, 0)),"")</f>
        <v/>
      </c>
      <c r="G412" s="23" t="str">
        <f t="array" ref="G412">IFERROR(
    INDEX('Hub Users 226'!A:A, MATCH(C412, 'Hub Users 226'!B:B, 0)),"")</f>
        <v/>
      </c>
      <c r="H412" s="28">
        <v>38.0</v>
      </c>
      <c r="I412" s="28" t="s">
        <v>407</v>
      </c>
      <c r="J412" s="28" t="s">
        <v>5336</v>
      </c>
      <c r="K412" s="28" t="s">
        <v>5177</v>
      </c>
      <c r="L412" s="28" t="s">
        <v>5196</v>
      </c>
      <c r="M412" s="23"/>
      <c r="N412" s="57">
        <v>43741.63055555556</v>
      </c>
      <c r="O412" s="58"/>
      <c r="P412" s="28"/>
      <c r="Q412" s="28" t="s">
        <v>240</v>
      </c>
      <c r="R412" s="23"/>
      <c r="S412" s="28"/>
      <c r="T412" s="28"/>
      <c r="U412" s="28"/>
      <c r="V412" s="28"/>
      <c r="W412" s="28" t="s">
        <v>380</v>
      </c>
      <c r="X412" s="28" t="s">
        <v>381</v>
      </c>
      <c r="Y412" s="28" t="s">
        <v>8057</v>
      </c>
      <c r="Z412" s="28" t="s">
        <v>5491</v>
      </c>
      <c r="AA412" s="28" t="s">
        <v>5492</v>
      </c>
      <c r="AB412" s="28">
        <v>47.0</v>
      </c>
      <c r="AC412" s="28" t="s">
        <v>25</v>
      </c>
      <c r="AD412" s="23"/>
      <c r="AE412" s="28" t="s">
        <v>4</v>
      </c>
      <c r="AF412" s="23" t="str">
        <f>IFERROR(__xludf.DUMMYFUNCTION("TEXTJOIN("", "", TRUE,
  FILTER(Champions!C:C,
    ISNUMBER(SEARCH(C412, Champions!W:W))
  )
)"),"#N/A")</f>
        <v>#N/A</v>
      </c>
      <c r="AG412" s="23"/>
      <c r="AH412" s="23" t="str">
        <f>IFERROR(__xludf.DUMMYFUNCTION("IF(
ISNUMBER(MATCH(
C412,
IMPORTRANGE(""https://docs.google.com/spreadsheets/d/1yTh1ELC33JHYOeEdgIiEclxPRyh0zOKtlawDltfUay8"",""'Interns'!A:A""),
0
)),
""Outreach Conducted"",
"""")"),"")</f>
        <v/>
      </c>
      <c r="AI412" s="23"/>
      <c r="AJ412" s="23"/>
      <c r="AK412" s="23" t="str">
        <f>IFERROR(__xludf.DUMMYFUNCTION("XLOOKUP(C412, 
   IMPORTRANGE(""1RdEdgHYrZ33LJ7RUHj_h-qkAFL92bcVjtIdVa-UlsCw"", ""Interns!D:D""), 
   IMPORTRANGE(""1RdEdgHYrZ33LJ7RUHj_h-qkAFL92bcVjtIdVa-UlsCw"", ""Interns!M:M""), 
   ""Not Found"")"),"")</f>
        <v/>
      </c>
      <c r="AL412" s="23" t="str">
        <f>IFERROR(__xludf.DUMMYFUNCTION("XLOOKUP(C412, 
   IMPORTRANGE(""1RdEdgHYrZ33LJ7RUHj_h-qkAFL92bcVjtIdVa-UlsCw"", ""Interns!D:D""), 
   IMPORTRANGE(""1RdEdgHYrZ33LJ7RUHj_h-qkAFL92bcVjtIdVa-UlsCw"", ""Interns!N:N""), 
   ""Not Found"")"),"")</f>
        <v/>
      </c>
      <c r="AM412" s="23">
        <f>IFERROR(__xludf.DUMMYFUNCTION("XLOOKUP(C412, 
   IMPORTRANGE(""1RdEdgHYrZ33LJ7RUHj_h-qkAFL92bcVjtIdVa-UlsCw"", ""Interns!D:D""), 
   IMPORTRANGE(""1RdEdgHYrZ33LJ7RUHj_h-qkAFL92bcVjtIdVa-UlsCw"", ""Interns!O:O""), 
   ""Not Found"")"),7.0)</f>
        <v>7</v>
      </c>
      <c r="AN412" s="23"/>
      <c r="AO412" s="23" t="s">
        <v>8058</v>
      </c>
      <c r="AP412" s="28" t="s">
        <v>5182</v>
      </c>
      <c r="AQ412" s="28" t="s">
        <v>8058</v>
      </c>
      <c r="AR412" s="23" t="s">
        <v>8057</v>
      </c>
      <c r="AS412" s="23"/>
      <c r="AT412" s="23"/>
      <c r="AU412" s="23"/>
      <c r="AV412" s="23"/>
    </row>
    <row r="413">
      <c r="A413" s="28" t="s">
        <v>5161</v>
      </c>
      <c r="B413" s="28" t="s">
        <v>5162</v>
      </c>
      <c r="C413" s="23" t="str">
        <f t="shared" si="1"/>
        <v>Dilcia Guzman</v>
      </c>
      <c r="D413" s="28" t="s">
        <v>8059</v>
      </c>
      <c r="E413" s="28" t="s">
        <v>847</v>
      </c>
      <c r="F413" s="23">
        <f t="array" ref="F413">IFERROR(
    INDEX('Hub Interns 226'!A:A, MATCH(C413, 'Hub Interns 226'!B:B, 0)),"")</f>
        <v>449</v>
      </c>
      <c r="G413" s="23">
        <f t="array" ref="G413">IFERROR(
    INDEX('Hub Users 226'!A:A, MATCH(C413, 'Hub Users 226'!B:B, 0)),"")</f>
        <v>882</v>
      </c>
      <c r="H413" s="28">
        <v>1236.0</v>
      </c>
      <c r="I413" s="28" t="s">
        <v>407</v>
      </c>
      <c r="J413" s="28" t="s">
        <v>5336</v>
      </c>
      <c r="K413" s="28" t="s">
        <v>5177</v>
      </c>
      <c r="L413" s="28" t="s">
        <v>5196</v>
      </c>
      <c r="M413" s="56" t="s">
        <v>8060</v>
      </c>
      <c r="N413" s="57">
        <v>44838.459027777775</v>
      </c>
      <c r="O413" s="58">
        <v>38694.0</v>
      </c>
      <c r="P413" s="28">
        <f t="shared" ref="P413:P492" si="15">DATEDIF(O413, TODAY(), "Y")</f>
        <v>20</v>
      </c>
      <c r="Q413" s="28" t="s">
        <v>240</v>
      </c>
      <c r="R413" s="28" t="s">
        <v>8061</v>
      </c>
      <c r="S413" s="28">
        <v>13.0</v>
      </c>
      <c r="T413" s="28">
        <v>31.0</v>
      </c>
      <c r="U413" s="28">
        <v>72.0</v>
      </c>
      <c r="V413" s="28">
        <v>10.0</v>
      </c>
      <c r="W413" s="28" t="s">
        <v>271</v>
      </c>
      <c r="X413" s="28" t="s">
        <v>272</v>
      </c>
      <c r="Y413" s="28" t="s">
        <v>8062</v>
      </c>
      <c r="Z413" s="28" t="s">
        <v>5341</v>
      </c>
      <c r="AA413" s="28" t="s">
        <v>1085</v>
      </c>
      <c r="AB413" s="28">
        <v>10.0</v>
      </c>
      <c r="AC413" s="28" t="s">
        <v>23</v>
      </c>
      <c r="AD413" s="28" t="s">
        <v>101</v>
      </c>
      <c r="AE413" s="28" t="s">
        <v>15</v>
      </c>
      <c r="AF413" s="23"/>
      <c r="AG413" s="23"/>
      <c r="AH413" s="23" t="str">
        <f>IFERROR(__xludf.DUMMYFUNCTION("IF(
ISNUMBER(MATCH(
C413,
IMPORTRANGE(""https://docs.google.com/spreadsheets/d/1yTh1ELC33JHYOeEdgIiEclxPRyh0zOKtlawDltfUay8"",""'Interns'!A:A""),
0
)),
""Outreach Conducted"",
"""")"),"")</f>
        <v/>
      </c>
      <c r="AI413" s="23"/>
      <c r="AJ413" s="23"/>
      <c r="AK413" s="23" t="str">
        <f>IFERROR(__xludf.DUMMYFUNCTION("XLOOKUP(C413, 
   IMPORTRANGE(""1RdEdgHYrZ33LJ7RUHj_h-qkAFL92bcVjtIdVa-UlsCw"", ""Interns!D:D""), 
   IMPORTRANGE(""1RdEdgHYrZ33LJ7RUHj_h-qkAFL92bcVjtIdVa-UlsCw"", ""Interns!M:M""), 
   ""Not Found"")"),"")</f>
        <v/>
      </c>
      <c r="AL413" s="23" t="str">
        <f>IFERROR(__xludf.DUMMYFUNCTION("XLOOKUP(C413, 
   IMPORTRANGE(""1RdEdgHYrZ33LJ7RUHj_h-qkAFL92bcVjtIdVa-UlsCw"", ""Interns!D:D""), 
   IMPORTRANGE(""1RdEdgHYrZ33LJ7RUHj_h-qkAFL92bcVjtIdVa-UlsCw"", ""Interns!N:N""), 
   ""Not Found"")"),"")</f>
        <v/>
      </c>
      <c r="AM413" s="23" t="str">
        <f>IFERROR(__xludf.DUMMYFUNCTION("XLOOKUP(C413, 
   IMPORTRANGE(""1RdEdgHYrZ33LJ7RUHj_h-qkAFL92bcVjtIdVa-UlsCw"", ""Interns!D:D""), 
   IMPORTRANGE(""1RdEdgHYrZ33LJ7RUHj_h-qkAFL92bcVjtIdVa-UlsCw"", ""Interns!O:O""), 
   ""Not Found"")"),"")</f>
        <v/>
      </c>
      <c r="AN413" s="23"/>
      <c r="AO413" s="23" t="s">
        <v>8063</v>
      </c>
      <c r="AP413" s="28" t="s">
        <v>5182</v>
      </c>
      <c r="AQ413" s="28"/>
      <c r="AR413" s="23"/>
      <c r="AS413" s="23"/>
      <c r="AT413" s="23"/>
      <c r="AU413" s="23"/>
      <c r="AV413" s="23"/>
    </row>
    <row r="414">
      <c r="A414" s="28" t="s">
        <v>5161</v>
      </c>
      <c r="B414" s="28" t="s">
        <v>5162</v>
      </c>
      <c r="C414" s="23" t="str">
        <f t="shared" si="1"/>
        <v>Yosandy Liz</v>
      </c>
      <c r="D414" s="28" t="s">
        <v>8064</v>
      </c>
      <c r="E414" s="28" t="s">
        <v>7159</v>
      </c>
      <c r="F414" s="23">
        <f t="array" ref="F414">IFERROR(
    INDEX('Hub Interns 226'!A:A, MATCH(C414, 'Hub Interns 226'!B:B, 0)),"")</f>
        <v>1241</v>
      </c>
      <c r="G414" s="23">
        <f t="array" ref="G414">IFERROR(
    INDEX('Hub Users 226'!A:A, MATCH(C414, 'Hub Users 226'!B:B, 0)),"")</f>
        <v>1674</v>
      </c>
      <c r="H414" s="28">
        <v>763.0</v>
      </c>
      <c r="I414" s="28" t="s">
        <v>107</v>
      </c>
      <c r="J414" s="28" t="s">
        <v>5336</v>
      </c>
      <c r="K414" s="28" t="s">
        <v>5177</v>
      </c>
      <c r="L414" s="28" t="s">
        <v>5196</v>
      </c>
      <c r="M414" s="56" t="s">
        <v>8065</v>
      </c>
      <c r="N414" s="59">
        <v>44551.8875</v>
      </c>
      <c r="O414" s="58">
        <v>38492.0</v>
      </c>
      <c r="P414" s="28">
        <f t="shared" si="15"/>
        <v>20</v>
      </c>
      <c r="Q414" s="28" t="s">
        <v>240</v>
      </c>
      <c r="R414" s="28" t="s">
        <v>8066</v>
      </c>
      <c r="S414" s="28">
        <v>14.0</v>
      </c>
      <c r="T414" s="28">
        <v>34.0</v>
      </c>
      <c r="U414" s="28">
        <v>85.0</v>
      </c>
      <c r="V414" s="28">
        <v>18.0</v>
      </c>
      <c r="W414" s="28" t="s">
        <v>859</v>
      </c>
      <c r="X414" s="28" t="s">
        <v>272</v>
      </c>
      <c r="Y414" s="28" t="s">
        <v>8067</v>
      </c>
      <c r="Z414" s="28" t="s">
        <v>5341</v>
      </c>
      <c r="AA414" s="28" t="s">
        <v>1085</v>
      </c>
      <c r="AB414" s="28">
        <v>10.0</v>
      </c>
      <c r="AC414" s="28" t="s">
        <v>25</v>
      </c>
      <c r="AD414" s="28" t="s">
        <v>101</v>
      </c>
      <c r="AE414" s="28" t="s">
        <v>10</v>
      </c>
      <c r="AF414" s="23" t="str">
        <f>IFERROR(__xludf.DUMMYFUNCTION("TEXTJOIN("", "", TRUE,
  FILTER(Champions!C:C,
    ISNUMBER(SEARCH(C414, Champions!W:W))
  )
)"),"Dragana Glumac, Fatima Ramadan Sanz")</f>
        <v>Dragana Glumac, Fatima Ramadan Sanz</v>
      </c>
      <c r="AG414" s="23"/>
      <c r="AH414" s="23" t="str">
        <f>IFERROR(__xludf.DUMMYFUNCTION("IF(
ISNUMBER(MATCH(
C414,
IMPORTRANGE(""https://docs.google.com/spreadsheets/d/1yTh1ELC33JHYOeEdgIiEclxPRyh0zOKtlawDltfUay8"",""'Interns'!A:A""),
0
)),
""Outreach Conducted"",
"""")"),"")</f>
        <v/>
      </c>
      <c r="AI414" s="23"/>
      <c r="AJ414" s="23"/>
      <c r="AK414" s="23" t="str">
        <f>IFERROR(__xludf.DUMMYFUNCTION("XLOOKUP(C414, 
   IMPORTRANGE(""1RdEdgHYrZ33LJ7RUHj_h-qkAFL92bcVjtIdVa-UlsCw"", ""Interns!D:D""), 
   IMPORTRANGE(""1RdEdgHYrZ33LJ7RUHj_h-qkAFL92bcVjtIdVa-UlsCw"", ""Interns!M:M""), 
   ""Not Found"")"),"Contacted")</f>
        <v>Contacted</v>
      </c>
      <c r="AL414" s="23" t="str">
        <f>IFERROR(__xludf.DUMMYFUNCTION("XLOOKUP(C414, 
   IMPORTRANGE(""1RdEdgHYrZ33LJ7RUHj_h-qkAFL92bcVjtIdVa-UlsCw"", ""Interns!D:D""), 
   IMPORTRANGE(""1RdEdgHYrZ33LJ7RUHj_h-qkAFL92bcVjtIdVa-UlsCw"", ""Interns!N:N""), 
   ""Not Found"")"),"#Cheers4Careers")</f>
        <v>#Cheers4Careers</v>
      </c>
      <c r="AM414" s="23" t="str">
        <f>IFERROR(__xludf.DUMMYFUNCTION("XLOOKUP(C414, 
   IMPORTRANGE(""1RdEdgHYrZ33LJ7RUHj_h-qkAFL92bcVjtIdVa-UlsCw"", ""Interns!D:D""), 
   IMPORTRANGE(""1RdEdgHYrZ33LJ7RUHj_h-qkAFL92bcVjtIdVa-UlsCw"", ""Interns!O:O""), 
   ""Not Found"")"),"Texted on April 12 for #Cheers4Careers event")</f>
        <v>Texted on April 12 for #Cheers4Careers event</v>
      </c>
      <c r="AN414" s="23"/>
      <c r="AO414" s="23" t="s">
        <v>8068</v>
      </c>
      <c r="AP414" s="28" t="s">
        <v>5182</v>
      </c>
      <c r="AQ414" s="28" t="s">
        <v>8069</v>
      </c>
      <c r="AR414" s="23" t="s">
        <v>8070</v>
      </c>
      <c r="AS414" s="23"/>
      <c r="AT414" s="23"/>
      <c r="AU414" s="23"/>
      <c r="AV414" s="23"/>
    </row>
    <row r="415">
      <c r="A415" s="28" t="s">
        <v>5161</v>
      </c>
      <c r="B415" s="28" t="s">
        <v>5162</v>
      </c>
      <c r="C415" s="23" t="str">
        <f t="shared" si="1"/>
        <v>Benjamin Medrano</v>
      </c>
      <c r="D415" s="28" t="s">
        <v>686</v>
      </c>
      <c r="E415" s="28" t="s">
        <v>8071</v>
      </c>
      <c r="F415" s="23">
        <f t="array" ref="F415">IFERROR(
    INDEX('Hub Interns 226'!A:A, MATCH(C415, 'Hub Interns 226'!B:B, 0)),"")</f>
        <v>303</v>
      </c>
      <c r="G415" s="23">
        <f t="array" ref="G415">IFERROR(
    INDEX('Hub Users 226'!A:A, MATCH(C415, 'Hub Users 226'!B:B, 0)),"")</f>
        <v>736</v>
      </c>
      <c r="H415" s="28">
        <v>1268.0</v>
      </c>
      <c r="I415" s="28" t="s">
        <v>239</v>
      </c>
      <c r="J415" s="28" t="s">
        <v>5336</v>
      </c>
      <c r="K415" s="28" t="s">
        <v>5177</v>
      </c>
      <c r="L415" s="28" t="s">
        <v>5165</v>
      </c>
      <c r="M415" s="56" t="s">
        <v>8072</v>
      </c>
      <c r="N415" s="59">
        <v>44845.45416666667</v>
      </c>
      <c r="O415" s="58">
        <v>39045.0</v>
      </c>
      <c r="P415" s="28">
        <f t="shared" si="15"/>
        <v>19</v>
      </c>
      <c r="Q415" s="28" t="s">
        <v>240</v>
      </c>
      <c r="R415" s="28" t="s">
        <v>8073</v>
      </c>
      <c r="S415" s="28">
        <v>15.0</v>
      </c>
      <c r="T415" s="28">
        <v>33.0</v>
      </c>
      <c r="U415" s="28">
        <v>78.0</v>
      </c>
      <c r="V415" s="28">
        <v>15.0</v>
      </c>
      <c r="W415" s="28" t="s">
        <v>859</v>
      </c>
      <c r="X415" s="28" t="s">
        <v>272</v>
      </c>
      <c r="Y415" s="28" t="s">
        <v>8074</v>
      </c>
      <c r="Z415" s="28" t="s">
        <v>5918</v>
      </c>
      <c r="AA415" s="28" t="s">
        <v>477</v>
      </c>
      <c r="AB415" s="28">
        <v>15.0</v>
      </c>
      <c r="AC415" s="28" t="s">
        <v>23</v>
      </c>
      <c r="AD415" s="28" t="s">
        <v>101</v>
      </c>
      <c r="AE415" s="28" t="s">
        <v>15</v>
      </c>
      <c r="AF415" s="23"/>
      <c r="AG415" s="23"/>
      <c r="AH415" s="23" t="str">
        <f>IFERROR(__xludf.DUMMYFUNCTION("IF(
ISNUMBER(MATCH(
C415,
IMPORTRANGE(""https://docs.google.com/spreadsheets/d/1yTh1ELC33JHYOeEdgIiEclxPRyh0zOKtlawDltfUay8"",""'Interns'!A:A""),
0
)),
""Outreach Conducted"",
"""")"),"")</f>
        <v/>
      </c>
      <c r="AI415" s="23"/>
      <c r="AJ415" s="23"/>
      <c r="AK415" s="23" t="str">
        <f>IFERROR(__xludf.DUMMYFUNCTION("XLOOKUP(C415, 
   IMPORTRANGE(""1RdEdgHYrZ33LJ7RUHj_h-qkAFL92bcVjtIdVa-UlsCw"", ""Interns!D:D""), 
   IMPORTRANGE(""1RdEdgHYrZ33LJ7RUHj_h-qkAFL92bcVjtIdVa-UlsCw"", ""Interns!M:M""), 
   ""Not Found"")"),"")</f>
        <v/>
      </c>
      <c r="AL415" s="23" t="str">
        <f>IFERROR(__xludf.DUMMYFUNCTION("XLOOKUP(C415, 
   IMPORTRANGE(""1RdEdgHYrZ33LJ7RUHj_h-qkAFL92bcVjtIdVa-UlsCw"", ""Interns!D:D""), 
   IMPORTRANGE(""1RdEdgHYrZ33LJ7RUHj_h-qkAFL92bcVjtIdVa-UlsCw"", ""Interns!N:N""), 
   ""Not Found"")"),"")</f>
        <v/>
      </c>
      <c r="AM415" s="23" t="str">
        <f>IFERROR(__xludf.DUMMYFUNCTION("XLOOKUP(C415, 
   IMPORTRANGE(""1RdEdgHYrZ33LJ7RUHj_h-qkAFL92bcVjtIdVa-UlsCw"", ""Interns!D:D""), 
   IMPORTRANGE(""1RdEdgHYrZ33LJ7RUHj_h-qkAFL92bcVjtIdVa-UlsCw"", ""Interns!O:O""), 
   ""Not Found"")"),"")</f>
        <v/>
      </c>
      <c r="AN415" s="23"/>
      <c r="AO415" s="23" t="s">
        <v>8075</v>
      </c>
      <c r="AP415" s="28" t="s">
        <v>5182</v>
      </c>
      <c r="AQ415" s="28"/>
      <c r="AR415" s="23"/>
      <c r="AS415" s="23"/>
      <c r="AT415" s="23"/>
      <c r="AU415" s="23"/>
      <c r="AV415" s="23"/>
    </row>
    <row r="416">
      <c r="A416" s="28" t="s">
        <v>5161</v>
      </c>
      <c r="B416" s="28" t="s">
        <v>31</v>
      </c>
      <c r="C416" s="23" t="str">
        <f t="shared" si="1"/>
        <v>Greisi Colon</v>
      </c>
      <c r="D416" s="28" t="s">
        <v>7442</v>
      </c>
      <c r="E416" s="28" t="s">
        <v>5335</v>
      </c>
      <c r="F416" s="23">
        <f t="array" ref="F416">IFERROR(
    INDEX('Hub Interns 226'!A:A, MATCH(C416, 'Hub Interns 226'!B:B, 0)),"")</f>
        <v>556</v>
      </c>
      <c r="G416" s="23">
        <f t="array" ref="G416">IFERROR(
    INDEX('Hub Users 226'!A:A, MATCH(C416, 'Hub Users 226'!B:B, 0)),"")</f>
        <v>989</v>
      </c>
      <c r="H416" s="28">
        <v>857.0</v>
      </c>
      <c r="I416" s="28" t="s">
        <v>608</v>
      </c>
      <c r="J416" s="28"/>
      <c r="K416" s="28"/>
      <c r="L416" s="28" t="s">
        <v>5196</v>
      </c>
      <c r="M416" s="56" t="s">
        <v>8076</v>
      </c>
      <c r="N416" s="57">
        <v>44589.79652777778</v>
      </c>
      <c r="O416" s="58">
        <v>38068.0</v>
      </c>
      <c r="P416" s="28">
        <f t="shared" si="15"/>
        <v>22</v>
      </c>
      <c r="Q416" s="28" t="s">
        <v>8077</v>
      </c>
      <c r="R416" s="28" t="s">
        <v>8078</v>
      </c>
      <c r="S416" s="28"/>
      <c r="T416" s="28"/>
      <c r="U416" s="28"/>
      <c r="V416" s="28">
        <v>14.0</v>
      </c>
      <c r="W416" s="28" t="s">
        <v>859</v>
      </c>
      <c r="X416" s="28" t="s">
        <v>272</v>
      </c>
      <c r="Y416" s="28" t="s">
        <v>7445</v>
      </c>
      <c r="Z416" s="28" t="s">
        <v>5310</v>
      </c>
      <c r="AA416" s="28" t="s">
        <v>362</v>
      </c>
      <c r="AB416" s="28">
        <v>16.0</v>
      </c>
      <c r="AC416" s="28" t="s">
        <v>25</v>
      </c>
      <c r="AD416" s="23"/>
      <c r="AE416" s="28" t="s">
        <v>10</v>
      </c>
      <c r="AF416" s="23" t="str">
        <f>IFERROR(__xludf.DUMMYFUNCTION("TEXTJOIN("", "", TRUE,
  FILTER(Champions!C:C,
    ISNUMBER(SEARCH(C416, Champions!W:W))
  )
)"),"Scotney Young, Tara Shajan")</f>
        <v>Scotney Young, Tara Shajan</v>
      </c>
      <c r="AG416" s="23"/>
      <c r="AH416" s="23" t="str">
        <f>IFERROR(__xludf.DUMMYFUNCTION("IF(
ISNUMBER(MATCH(
C416,
IMPORTRANGE(""https://docs.google.com/spreadsheets/d/1yTh1ELC33JHYOeEdgIiEclxPRyh0zOKtlawDltfUay8"",""'Interns'!A:A""),
0
)),
""Outreach Conducted"",
"""")"),"")</f>
        <v/>
      </c>
      <c r="AI416" s="23"/>
      <c r="AJ416" s="23"/>
      <c r="AK416" s="23" t="str">
        <f>IFERROR(__xludf.DUMMYFUNCTION("XLOOKUP(C416, 
   IMPORTRANGE(""1RdEdgHYrZ33LJ7RUHj_h-qkAFL92bcVjtIdVa-UlsCw"", ""Interns!D:D""), 
   IMPORTRANGE(""1RdEdgHYrZ33LJ7RUHj_h-qkAFL92bcVjtIdVa-UlsCw"", ""Interns!M:M""), 
   ""Not Found"")"),"")</f>
        <v/>
      </c>
      <c r="AL416" s="23" t="str">
        <f>IFERROR(__xludf.DUMMYFUNCTION("XLOOKUP(C416, 
   IMPORTRANGE(""1RdEdgHYrZ33LJ7RUHj_h-qkAFL92bcVjtIdVa-UlsCw"", ""Interns!D:D""), 
   IMPORTRANGE(""1RdEdgHYrZ33LJ7RUHj_h-qkAFL92bcVjtIdVa-UlsCw"", ""Interns!N:N""), 
   ""Not Found"")"),"")</f>
        <v/>
      </c>
      <c r="AM416" s="23" t="str">
        <f>IFERROR(__xludf.DUMMYFUNCTION("XLOOKUP(C416, 
   IMPORTRANGE(""1RdEdgHYrZ33LJ7RUHj_h-qkAFL92bcVjtIdVa-UlsCw"", ""Interns!D:D""), 
   IMPORTRANGE(""1RdEdgHYrZ33LJ7RUHj_h-qkAFL92bcVjtIdVa-UlsCw"", ""Interns!O:O""), 
   ""Not Found"")"),"")</f>
        <v/>
      </c>
      <c r="AN416" s="23"/>
      <c r="AO416" s="23" t="s">
        <v>7446</v>
      </c>
      <c r="AP416" s="28" t="s">
        <v>5191</v>
      </c>
      <c r="AQ416" s="28" t="s">
        <v>8079</v>
      </c>
      <c r="AR416" s="23" t="s">
        <v>8080</v>
      </c>
      <c r="AS416" s="23"/>
      <c r="AT416" s="23"/>
      <c r="AU416" s="23"/>
      <c r="AV416" s="23"/>
    </row>
    <row r="417">
      <c r="A417" s="28" t="s">
        <v>5161</v>
      </c>
      <c r="B417" s="28" t="s">
        <v>5162</v>
      </c>
      <c r="C417" s="23" t="str">
        <f t="shared" si="1"/>
        <v>Andrews Tavarez</v>
      </c>
      <c r="D417" s="28" t="s">
        <v>8081</v>
      </c>
      <c r="E417" s="28" t="s">
        <v>7048</v>
      </c>
      <c r="F417" s="23">
        <f t="array" ref="F417">IFERROR(
    INDEX('Hub Interns 226'!A:A, MATCH(C417, 'Hub Interns 226'!B:B, 0)),"")</f>
        <v>231</v>
      </c>
      <c r="G417" s="23">
        <f t="array" ref="G417">IFERROR(
    INDEX('Hub Users 226'!A:A, MATCH(C417, 'Hub Users 226'!B:B, 0)),"")</f>
        <v>664</v>
      </c>
      <c r="H417" s="28">
        <v>1415.0</v>
      </c>
      <c r="I417" s="28" t="s">
        <v>107</v>
      </c>
      <c r="J417" s="28" t="s">
        <v>5336</v>
      </c>
      <c r="K417" s="28" t="s">
        <v>5177</v>
      </c>
      <c r="L417" s="28" t="s">
        <v>5165</v>
      </c>
      <c r="M417" s="56" t="s">
        <v>8082</v>
      </c>
      <c r="N417" s="57">
        <v>44866.373611111114</v>
      </c>
      <c r="O417" s="58">
        <v>40399.0</v>
      </c>
      <c r="P417" s="28">
        <f t="shared" si="15"/>
        <v>15</v>
      </c>
      <c r="Q417" s="28" t="s">
        <v>8083</v>
      </c>
      <c r="R417" s="28" t="s">
        <v>8084</v>
      </c>
      <c r="S417" s="28">
        <v>7.0</v>
      </c>
      <c r="T417" s="28">
        <v>12.0</v>
      </c>
      <c r="U417" s="28">
        <v>37.0</v>
      </c>
      <c r="V417" s="28">
        <v>26.0</v>
      </c>
      <c r="W417" s="28" t="s">
        <v>1173</v>
      </c>
      <c r="X417" s="28" t="s">
        <v>272</v>
      </c>
      <c r="Y417" s="28" t="s">
        <v>5351</v>
      </c>
      <c r="Z417" s="28" t="s">
        <v>5352</v>
      </c>
      <c r="AA417" s="28" t="s">
        <v>5287</v>
      </c>
      <c r="AB417" s="28">
        <v>26.0</v>
      </c>
      <c r="AC417" s="28" t="s">
        <v>23</v>
      </c>
      <c r="AD417" s="23"/>
      <c r="AE417" s="28" t="s">
        <v>15</v>
      </c>
      <c r="AF417" s="23"/>
      <c r="AG417" s="23"/>
      <c r="AH417" s="23" t="str">
        <f>IFERROR(__xludf.DUMMYFUNCTION("IF(
ISNUMBER(MATCH(
C417,
IMPORTRANGE(""https://docs.google.com/spreadsheets/d/1yTh1ELC33JHYOeEdgIiEclxPRyh0zOKtlawDltfUay8"",""'Interns'!A:A""),
0
)),
""Outreach Conducted"",
"""")"),"")</f>
        <v/>
      </c>
      <c r="AI417" s="23"/>
      <c r="AJ417" s="23"/>
      <c r="AK417" s="23" t="str">
        <f>IFERROR(__xludf.DUMMYFUNCTION("XLOOKUP(C417, 
   IMPORTRANGE(""1RdEdgHYrZ33LJ7RUHj_h-qkAFL92bcVjtIdVa-UlsCw"", ""Interns!D:D""), 
   IMPORTRANGE(""1RdEdgHYrZ33LJ7RUHj_h-qkAFL92bcVjtIdVa-UlsCw"", ""Interns!M:M""), 
   ""Not Found"")"),"Contacted")</f>
        <v>Contacted</v>
      </c>
      <c r="AL417" s="23" t="str">
        <f>IFERROR(__xludf.DUMMYFUNCTION("XLOOKUP(C417, 
   IMPORTRANGE(""1RdEdgHYrZ33LJ7RUHj_h-qkAFL92bcVjtIdVa-UlsCw"", ""Interns!D:D""), 
   IMPORTRANGE(""1RdEdgHYrZ33LJ7RUHj_h-qkAFL92bcVjtIdVa-UlsCw"", ""Interns!N:N""), 
   ""Not Found"")"),"#Cheers4Careers")</f>
        <v>#Cheers4Careers</v>
      </c>
      <c r="AM417" s="23" t="str">
        <f>IFERROR(__xludf.DUMMYFUNCTION("XLOOKUP(C417,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417" s="23"/>
      <c r="AO417" s="23" t="s">
        <v>8085</v>
      </c>
      <c r="AP417" s="28" t="s">
        <v>5191</v>
      </c>
      <c r="AQ417" s="28"/>
      <c r="AR417" s="23"/>
      <c r="AS417" s="23"/>
      <c r="AT417" s="23"/>
      <c r="AU417" s="23"/>
      <c r="AV417" s="23"/>
    </row>
    <row r="418">
      <c r="A418" s="28" t="s">
        <v>5161</v>
      </c>
      <c r="B418" s="28" t="s">
        <v>5162</v>
      </c>
      <c r="C418" s="23" t="str">
        <f t="shared" si="1"/>
        <v>Alina Delgado</v>
      </c>
      <c r="D418" s="28" t="s">
        <v>374</v>
      </c>
      <c r="E418" s="28" t="s">
        <v>8086</v>
      </c>
      <c r="F418" s="23">
        <f t="array" ref="F418">IFERROR(
    INDEX('Hub Interns 226'!A:A, MATCH(C418, 'Hub Interns 226'!B:B, 0)),"")</f>
        <v>191</v>
      </c>
      <c r="G418" s="23">
        <f t="array" ref="G418">IFERROR(
    INDEX('Hub Users 226'!A:A, MATCH(C418, 'Hub Users 226'!B:B, 0)),"")</f>
        <v>624</v>
      </c>
      <c r="H418" s="28">
        <v>983.0</v>
      </c>
      <c r="I418" s="28"/>
      <c r="J418" s="28" t="s">
        <v>5336</v>
      </c>
      <c r="K418" s="28" t="s">
        <v>5177</v>
      </c>
      <c r="L418" s="28" t="s">
        <v>8087</v>
      </c>
      <c r="M418" s="56" t="s">
        <v>8088</v>
      </c>
      <c r="N418" s="57">
        <v>44643.552083333336</v>
      </c>
      <c r="O418" s="58">
        <v>40089.0</v>
      </c>
      <c r="P418" s="28">
        <f t="shared" si="15"/>
        <v>16</v>
      </c>
      <c r="Q418" s="28" t="s">
        <v>240</v>
      </c>
      <c r="R418" s="28" t="s">
        <v>8089</v>
      </c>
      <c r="S418" s="28">
        <v>7.0</v>
      </c>
      <c r="T418" s="28">
        <v>18.0</v>
      </c>
      <c r="U418" s="28">
        <v>53.0</v>
      </c>
      <c r="V418" s="28">
        <v>34.0</v>
      </c>
      <c r="W418" s="28" t="s">
        <v>294</v>
      </c>
      <c r="X418" s="28" t="s">
        <v>272</v>
      </c>
      <c r="Y418" s="28" t="s">
        <v>8090</v>
      </c>
      <c r="Z418" s="28" t="s">
        <v>7427</v>
      </c>
      <c r="AA418" s="28" t="s">
        <v>7428</v>
      </c>
      <c r="AB418" s="28">
        <v>34.0</v>
      </c>
      <c r="AC418" s="28" t="s">
        <v>24</v>
      </c>
      <c r="AD418" s="23"/>
      <c r="AE418" s="28" t="s">
        <v>10</v>
      </c>
      <c r="AF418" s="23"/>
      <c r="AG418" s="23"/>
      <c r="AH418" s="23" t="str">
        <f>IFERROR(__xludf.DUMMYFUNCTION("IF(
ISNUMBER(MATCH(
C418,
IMPORTRANGE(""https://docs.google.com/spreadsheets/d/1yTh1ELC33JHYOeEdgIiEclxPRyh0zOKtlawDltfUay8"",""'Interns'!A:A""),
0
)),
""Outreach Conducted"",
"""")"),"")</f>
        <v/>
      </c>
      <c r="AI418" s="23"/>
      <c r="AJ418" s="23"/>
      <c r="AK418" s="23" t="str">
        <f>IFERROR(__xludf.DUMMYFUNCTION("XLOOKUP(C418, 
   IMPORTRANGE(""1RdEdgHYrZ33LJ7RUHj_h-qkAFL92bcVjtIdVa-UlsCw"", ""Interns!D:D""), 
   IMPORTRANGE(""1RdEdgHYrZ33LJ7RUHj_h-qkAFL92bcVjtIdVa-UlsCw"", ""Interns!M:M""), 
   ""Not Found"")"),"Contacted")</f>
        <v>Contacted</v>
      </c>
      <c r="AL418" s="23" t="str">
        <f>IFERROR(__xludf.DUMMYFUNCTION("XLOOKUP(C418, 
   IMPORTRANGE(""1RdEdgHYrZ33LJ7RUHj_h-qkAFL92bcVjtIdVa-UlsCw"", ""Interns!D:D""), 
   IMPORTRANGE(""1RdEdgHYrZ33LJ7RUHj_h-qkAFL92bcVjtIdVa-UlsCw"", ""Interns!N:N""), 
   ""Not Found"")"),"#Cheers4Careers")</f>
        <v>#Cheers4Careers</v>
      </c>
      <c r="AM418" s="23" t="str">
        <f>IFERROR(__xludf.DUMMYFUNCTION("XLOOKUP(C418, 
   IMPORTRANGE(""1RdEdgHYrZ33LJ7RUHj_h-qkAFL92bcVjtIdVa-UlsCw"", ""Interns!D:D""), 
   IMPORTRANGE(""1RdEdgHYrZ33LJ7RUHj_h-qkAFL92bcVjtIdVa-UlsCw"", ""Interns!O:O""), 
   ""Not Found"")"),"Hetal reached out by email 3/27")</f>
        <v>Hetal reached out by email 3/27</v>
      </c>
      <c r="AN418" s="23"/>
      <c r="AO418" s="23" t="s">
        <v>8091</v>
      </c>
      <c r="AP418" s="28" t="s">
        <v>5182</v>
      </c>
      <c r="AQ418" s="28"/>
      <c r="AR418" s="23"/>
      <c r="AS418" s="23"/>
      <c r="AT418" s="23"/>
      <c r="AU418" s="23"/>
      <c r="AV418" s="23"/>
    </row>
    <row r="419">
      <c r="A419" s="28" t="s">
        <v>5161</v>
      </c>
      <c r="B419" s="28" t="s">
        <v>5162</v>
      </c>
      <c r="C419" s="23" t="str">
        <f t="shared" si="1"/>
        <v>Yairel Aquino</v>
      </c>
      <c r="D419" s="22" t="s">
        <v>8092</v>
      </c>
      <c r="E419" s="22" t="s">
        <v>8093</v>
      </c>
      <c r="F419" s="23"/>
      <c r="G419" s="23"/>
      <c r="H419" s="22">
        <v>1970.0</v>
      </c>
      <c r="I419" s="28"/>
      <c r="J419" s="28" t="s">
        <v>5336</v>
      </c>
      <c r="K419" s="28" t="s">
        <v>5177</v>
      </c>
      <c r="L419" s="28" t="s">
        <v>5196</v>
      </c>
      <c r="M419" s="29" t="s">
        <v>8094</v>
      </c>
      <c r="N419" s="63">
        <v>45637.552777777775</v>
      </c>
      <c r="O419" s="25">
        <v>41547.0</v>
      </c>
      <c r="P419" s="28">
        <f t="shared" si="15"/>
        <v>12</v>
      </c>
      <c r="Q419" s="62" t="s">
        <v>240</v>
      </c>
      <c r="R419" s="22" t="s">
        <v>8095</v>
      </c>
      <c r="S419" s="28">
        <v>7.0</v>
      </c>
      <c r="T419" s="28">
        <v>12.0</v>
      </c>
      <c r="U419" s="28">
        <v>37.0</v>
      </c>
      <c r="V419" s="28">
        <v>26.0</v>
      </c>
      <c r="W419" s="28" t="s">
        <v>1173</v>
      </c>
      <c r="X419" s="28" t="s">
        <v>272</v>
      </c>
      <c r="Y419" s="24"/>
      <c r="Z419" s="22" t="s">
        <v>5536</v>
      </c>
      <c r="AA419" s="28" t="s">
        <v>5287</v>
      </c>
      <c r="AB419" s="28">
        <v>26.0</v>
      </c>
      <c r="AC419" s="28" t="s">
        <v>27</v>
      </c>
      <c r="AD419" s="23"/>
      <c r="AE419" s="28" t="s">
        <v>19</v>
      </c>
      <c r="AF419" s="23"/>
      <c r="AG419" s="23"/>
      <c r="AH419" s="23" t="str">
        <f>IFERROR(__xludf.DUMMYFUNCTION("IF(
ISNUMBER(MATCH(
C419,
IMPORTRANGE(""https://docs.google.com/spreadsheets/d/1yTh1ELC33JHYOeEdgIiEclxPRyh0zOKtlawDltfUay8"",""'Interns'!A:A""),
0
)),
""Outreach Conducted"",
"""")"),"")</f>
        <v/>
      </c>
      <c r="AI419" s="23"/>
      <c r="AJ419" s="23"/>
      <c r="AK419" s="23"/>
      <c r="AL419" s="23" t="str">
        <f>IFERROR(__xludf.DUMMYFUNCTION("XLOOKUP(C419, 
   IMPORTRANGE(""1RdEdgHYrZ33LJ7RUHj_h-qkAFL92bcVjtIdVa-UlsCw"", ""Interns!D:D""), 
   IMPORTRANGE(""1RdEdgHYrZ33LJ7RUHj_h-qkAFL92bcVjtIdVa-UlsCw"", ""Interns!N:N""), 
   ""Not Found"")"),"Not Found")</f>
        <v>Not Found</v>
      </c>
      <c r="AM419" s="23" t="str">
        <f>IFERROR(__xludf.DUMMYFUNCTION("XLOOKUP(C419, 
   IMPORTRANGE(""1RdEdgHYrZ33LJ7RUHj_h-qkAFL92bcVjtIdVa-UlsCw"", ""Interns!D:D""), 
   IMPORTRANGE(""1RdEdgHYrZ33LJ7RUHj_h-qkAFL92bcVjtIdVa-UlsCw"", ""Interns!O:O""), 
   ""Not Found"")"),"Not Found")</f>
        <v>Not Found</v>
      </c>
      <c r="AN419" s="23"/>
      <c r="AO419" s="23" t="s">
        <v>8096</v>
      </c>
      <c r="AP419" s="28" t="s">
        <v>5182</v>
      </c>
      <c r="AQ419" s="28" t="s">
        <v>8094</v>
      </c>
      <c r="AR419" s="23">
        <v>9.296478665E9</v>
      </c>
      <c r="AS419" s="23"/>
      <c r="AT419" s="23"/>
      <c r="AU419" s="23"/>
      <c r="AV419" s="23"/>
    </row>
    <row r="420">
      <c r="A420" s="28" t="s">
        <v>5161</v>
      </c>
      <c r="B420" s="28" t="s">
        <v>5162</v>
      </c>
      <c r="C420" s="23" t="str">
        <f t="shared" si="1"/>
        <v>Diego Rojas</v>
      </c>
      <c r="D420" s="28" t="s">
        <v>8097</v>
      </c>
      <c r="E420" s="28" t="s">
        <v>6566</v>
      </c>
      <c r="F420" s="23">
        <f t="array" ref="F420">IFERROR(
    INDEX('Hub Interns 226'!A:A, MATCH(C420, 'Hub Interns 226'!B:B, 0)),"")</f>
        <v>462</v>
      </c>
      <c r="G420" s="23">
        <f t="array" ref="G420">IFERROR(
    INDEX('Hub Users 226'!A:A, MATCH(C420, 'Hub Users 226'!B:B, 0)),"")</f>
        <v>895</v>
      </c>
      <c r="H420" s="28">
        <v>494.0</v>
      </c>
      <c r="I420" s="28" t="s">
        <v>1235</v>
      </c>
      <c r="J420" s="28" t="s">
        <v>5336</v>
      </c>
      <c r="K420" s="28" t="s">
        <v>5177</v>
      </c>
      <c r="L420" s="28" t="s">
        <v>5165</v>
      </c>
      <c r="M420" s="56" t="s">
        <v>8098</v>
      </c>
      <c r="N420" s="57">
        <v>44475.64444444444</v>
      </c>
      <c r="O420" s="58">
        <v>37759.0</v>
      </c>
      <c r="P420" s="28">
        <f t="shared" si="15"/>
        <v>23</v>
      </c>
      <c r="Q420" s="28" t="s">
        <v>240</v>
      </c>
      <c r="R420" s="28" t="s">
        <v>8099</v>
      </c>
      <c r="S420" s="28">
        <v>15.0</v>
      </c>
      <c r="T420" s="28">
        <v>32.0</v>
      </c>
      <c r="U420" s="28">
        <v>86.0</v>
      </c>
      <c r="V420" s="28">
        <v>15.0</v>
      </c>
      <c r="W420" s="28" t="s">
        <v>859</v>
      </c>
      <c r="X420" s="28" t="s">
        <v>272</v>
      </c>
      <c r="Y420" s="28" t="s">
        <v>8100</v>
      </c>
      <c r="Z420" s="28" t="s">
        <v>5918</v>
      </c>
      <c r="AA420" s="28" t="s">
        <v>477</v>
      </c>
      <c r="AB420" s="28">
        <v>15.0</v>
      </c>
      <c r="AC420" s="28" t="s">
        <v>25</v>
      </c>
      <c r="AD420" s="23"/>
      <c r="AE420" s="28" t="s">
        <v>10</v>
      </c>
      <c r="AF420" s="23" t="str">
        <f>IFERROR(__xludf.DUMMYFUNCTION("TEXTJOIN("", "", TRUE,
  FILTER(Champions!C:C,
    ISNUMBER(SEARCH(C420, Champions!W:W))
  )
)"),"AUGUSTO SALCEDO, Daniela Alarcon, Kenia Wellington")</f>
        <v>AUGUSTO SALCEDO, Daniela Alarcon, Kenia Wellington</v>
      </c>
      <c r="AG420" s="23"/>
      <c r="AH420" s="23" t="str">
        <f>IFERROR(__xludf.DUMMYFUNCTION("IF(
ISNUMBER(MATCH(
C420,
IMPORTRANGE(""https://docs.google.com/spreadsheets/d/1yTh1ELC33JHYOeEdgIiEclxPRyh0zOKtlawDltfUay8"",""'Interns'!A:A""),
0
)),
""Outreach Conducted"",
"""")"),"")</f>
        <v/>
      </c>
      <c r="AI420" s="23"/>
      <c r="AJ420" s="23"/>
      <c r="AK420" s="23" t="str">
        <f>IFERROR(__xludf.DUMMYFUNCTION("XLOOKUP(C420, 
   IMPORTRANGE(""1RdEdgHYrZ33LJ7RUHj_h-qkAFL92bcVjtIdVa-UlsCw"", ""Interns!D:D""), 
   IMPORTRANGE(""1RdEdgHYrZ33LJ7RUHj_h-qkAFL92bcVjtIdVa-UlsCw"", ""Interns!M:M""), 
   ""Not Found"")"),"")</f>
        <v/>
      </c>
      <c r="AL420" s="23" t="str">
        <f>IFERROR(__xludf.DUMMYFUNCTION("XLOOKUP(C420, 
   IMPORTRANGE(""1RdEdgHYrZ33LJ7RUHj_h-qkAFL92bcVjtIdVa-UlsCw"", ""Interns!D:D""), 
   IMPORTRANGE(""1RdEdgHYrZ33LJ7RUHj_h-qkAFL92bcVjtIdVa-UlsCw"", ""Interns!N:N""), 
   ""Not Found"")"),"")</f>
        <v/>
      </c>
      <c r="AM420" s="23" t="str">
        <f>IFERROR(__xludf.DUMMYFUNCTION("XLOOKUP(C420, 
   IMPORTRANGE(""1RdEdgHYrZ33LJ7RUHj_h-qkAFL92bcVjtIdVa-UlsCw"", ""Interns!D:D""), 
   IMPORTRANGE(""1RdEdgHYrZ33LJ7RUHj_h-qkAFL92bcVjtIdVa-UlsCw"", ""Interns!O:O""), 
   ""Not Found"")"),"")</f>
        <v/>
      </c>
      <c r="AN420" s="23"/>
      <c r="AO420" s="23" t="s">
        <v>8101</v>
      </c>
      <c r="AP420" s="28" t="s">
        <v>5191</v>
      </c>
      <c r="AQ420" s="28" t="s">
        <v>8102</v>
      </c>
      <c r="AR420" s="23" t="s">
        <v>8103</v>
      </c>
      <c r="AS420" s="23"/>
      <c r="AT420" s="23"/>
      <c r="AU420" s="23"/>
      <c r="AV420" s="23"/>
    </row>
    <row r="421">
      <c r="A421" s="28" t="s">
        <v>5161</v>
      </c>
      <c r="B421" s="28" t="s">
        <v>5162</v>
      </c>
      <c r="C421" s="23" t="str">
        <f t="shared" si="1"/>
        <v>Josue Martinez</v>
      </c>
      <c r="D421" s="28" t="s">
        <v>7189</v>
      </c>
      <c r="E421" s="28" t="s">
        <v>2010</v>
      </c>
      <c r="F421" s="23" t="str">
        <f t="array" ref="F421">IFERROR(
    INDEX('Hub Interns 226'!A:A, MATCH(C421, 'Hub Interns 226'!B:B, 0)),"")</f>
        <v/>
      </c>
      <c r="G421" s="23">
        <f t="array" ref="G421">IFERROR(
    INDEX('Hub Users 226'!A:A, MATCH(C421, 'Hub Users 226'!B:B, 0)),"")</f>
        <v>1764</v>
      </c>
      <c r="H421" s="28">
        <v>1663.0</v>
      </c>
      <c r="I421" s="28" t="s">
        <v>260</v>
      </c>
      <c r="J421" s="28" t="s">
        <v>5336</v>
      </c>
      <c r="K421" s="28" t="s">
        <v>5177</v>
      </c>
      <c r="L421" s="28" t="s">
        <v>5165</v>
      </c>
      <c r="M421" s="56" t="s">
        <v>8104</v>
      </c>
      <c r="N421" s="59">
        <v>45213.03125</v>
      </c>
      <c r="O421" s="58">
        <v>39746.0</v>
      </c>
      <c r="P421" s="28">
        <f t="shared" si="15"/>
        <v>17</v>
      </c>
      <c r="Q421" s="28" t="s">
        <v>240</v>
      </c>
      <c r="R421" s="28" t="s">
        <v>8105</v>
      </c>
      <c r="S421" s="28">
        <v>15.0</v>
      </c>
      <c r="T421" s="28">
        <v>33.0</v>
      </c>
      <c r="U421" s="28">
        <v>78.0</v>
      </c>
      <c r="V421" s="28">
        <v>15.0</v>
      </c>
      <c r="W421" s="28" t="s">
        <v>859</v>
      </c>
      <c r="X421" s="28" t="s">
        <v>272</v>
      </c>
      <c r="Y421" s="28">
        <v>9.144969424E9</v>
      </c>
      <c r="Z421" s="28" t="s">
        <v>5918</v>
      </c>
      <c r="AA421" s="28" t="s">
        <v>477</v>
      </c>
      <c r="AB421" s="28">
        <v>15.0</v>
      </c>
      <c r="AC421" s="28" t="s">
        <v>25</v>
      </c>
      <c r="AD421" s="23"/>
      <c r="AE421" s="28" t="s">
        <v>18</v>
      </c>
      <c r="AF421" s="23" t="str">
        <f>IFERROR(__xludf.DUMMYFUNCTION("TEXTJOIN("", "", TRUE,
  FILTER(Champions!C:C,
    ISNUMBER(SEARCH(C421, Champions!W:W))
  )
)"),"AUGUSTO SALCEDO, Luz Santana, Esteban Proaño")</f>
        <v>AUGUSTO SALCEDO, Luz Santana, Esteban Proaño</v>
      </c>
      <c r="AG421" s="23"/>
      <c r="AH421" s="23" t="str">
        <f>IFERROR(__xludf.DUMMYFUNCTION("IF(
ISNUMBER(MATCH(
C421,
IMPORTRANGE(""https://docs.google.com/spreadsheets/d/1yTh1ELC33JHYOeEdgIiEclxPRyh0zOKtlawDltfUay8"",""'Interns'!A:A""),
0
)),
""Outreach Conducted"",
"""")"),"")</f>
        <v/>
      </c>
      <c r="AI421" s="23"/>
      <c r="AJ421" s="23"/>
      <c r="AK421" s="23" t="str">
        <f>IFERROR(__xludf.DUMMYFUNCTION("XLOOKUP(C421, 
   IMPORTRANGE(""1RdEdgHYrZ33LJ7RUHj_h-qkAFL92bcVjtIdVa-UlsCw"", ""Interns!D:D""), 
   IMPORTRANGE(""1RdEdgHYrZ33LJ7RUHj_h-qkAFL92bcVjtIdVa-UlsCw"", ""Interns!M:M""), 
   ""Not Found"")"),"")</f>
        <v/>
      </c>
      <c r="AL421" s="23" t="str">
        <f>IFERROR(__xludf.DUMMYFUNCTION("XLOOKUP(C421, 
   IMPORTRANGE(""1RdEdgHYrZ33LJ7RUHj_h-qkAFL92bcVjtIdVa-UlsCw"", ""Interns!D:D""), 
   IMPORTRANGE(""1RdEdgHYrZ33LJ7RUHj_h-qkAFL92bcVjtIdVa-UlsCw"", ""Interns!N:N""), 
   ""Not Found"")"),"")</f>
        <v/>
      </c>
      <c r="AM421" s="23" t="str">
        <f>IFERROR(__xludf.DUMMYFUNCTION("XLOOKUP(C421, 
   IMPORTRANGE(""1RdEdgHYrZ33LJ7RUHj_h-qkAFL92bcVjtIdVa-UlsCw"", ""Interns!D:D""), 
   IMPORTRANGE(""1RdEdgHYrZ33LJ7RUHj_h-qkAFL92bcVjtIdVa-UlsCw"", ""Interns!O:O""), 
   ""Not Found"")"),"")</f>
        <v/>
      </c>
      <c r="AN421" s="23"/>
      <c r="AO421" s="23" t="s">
        <v>8106</v>
      </c>
      <c r="AP421" s="28" t="s">
        <v>5191</v>
      </c>
      <c r="AQ421" s="28" t="s">
        <v>8107</v>
      </c>
      <c r="AR421" s="23" t="s">
        <v>8107</v>
      </c>
      <c r="AS421" s="23"/>
      <c r="AT421" s="23"/>
      <c r="AU421" s="23"/>
      <c r="AV421" s="23"/>
    </row>
    <row r="422">
      <c r="A422" s="28" t="s">
        <v>5161</v>
      </c>
      <c r="B422" s="28" t="s">
        <v>5162</v>
      </c>
      <c r="C422" s="23" t="str">
        <f t="shared" si="1"/>
        <v>Johalyn Perez</v>
      </c>
      <c r="D422" s="28" t="s">
        <v>8108</v>
      </c>
      <c r="E422" s="28" t="s">
        <v>5175</v>
      </c>
      <c r="F422" s="23">
        <f t="array" ref="F422">IFERROR(
    INDEX('Hub Interns 226'!A:A, MATCH(C422, 'Hub Interns 226'!B:B, 0)),"")</f>
        <v>674</v>
      </c>
      <c r="G422" s="23">
        <f t="array" ref="G422">IFERROR(
    INDEX('Hub Users 226'!A:A, MATCH(C422, 'Hub Users 226'!B:B, 0)),"")</f>
        <v>1107</v>
      </c>
      <c r="H422" s="28">
        <v>838.0</v>
      </c>
      <c r="I422" s="28" t="s">
        <v>260</v>
      </c>
      <c r="J422" s="28" t="s">
        <v>5336</v>
      </c>
      <c r="K422" s="28" t="s">
        <v>5177</v>
      </c>
      <c r="L422" s="28" t="s">
        <v>5165</v>
      </c>
      <c r="M422" s="56" t="s">
        <v>8109</v>
      </c>
      <c r="N422" s="57">
        <v>44577.65555555555</v>
      </c>
      <c r="O422" s="58">
        <v>38616.0</v>
      </c>
      <c r="P422" s="28">
        <f t="shared" si="15"/>
        <v>20</v>
      </c>
      <c r="Q422" s="28" t="s">
        <v>8110</v>
      </c>
      <c r="R422" s="28" t="s">
        <v>8111</v>
      </c>
      <c r="S422" s="28">
        <v>13.0</v>
      </c>
      <c r="T422" s="28">
        <v>31.0</v>
      </c>
      <c r="U422" s="28">
        <v>72.0</v>
      </c>
      <c r="V422" s="28">
        <v>10.0</v>
      </c>
      <c r="W422" s="28" t="s">
        <v>271</v>
      </c>
      <c r="X422" s="28" t="s">
        <v>272</v>
      </c>
      <c r="Y422" s="28" t="s">
        <v>8112</v>
      </c>
      <c r="Z422" s="28" t="s">
        <v>5341</v>
      </c>
      <c r="AA422" s="28" t="s">
        <v>1085</v>
      </c>
      <c r="AB422" s="28">
        <v>10.0</v>
      </c>
      <c r="AC422" s="28" t="s">
        <v>25</v>
      </c>
      <c r="AD422" s="28" t="s">
        <v>101</v>
      </c>
      <c r="AE422" s="28" t="s">
        <v>10</v>
      </c>
      <c r="AF422" s="23" t="str">
        <f>IFERROR(__xludf.DUMMYFUNCTION("TEXTJOIN("", "", TRUE,
  FILTER(Champions!C:C,
    ISNUMBER(SEARCH(C422, Champions!W:W))
  )
)"),"Alina Ispas Montbriand, Bindu Krishna, Sunkyung Park, Bindu Krishna (D)")</f>
        <v>Alina Ispas Montbriand, Bindu Krishna, Sunkyung Park, Bindu Krishna (D)</v>
      </c>
      <c r="AG422" s="23"/>
      <c r="AH422" s="23" t="str">
        <f>IFERROR(__xludf.DUMMYFUNCTION("IF(
ISNUMBER(MATCH(
C422,
IMPORTRANGE(""https://docs.google.com/spreadsheets/d/1yTh1ELC33JHYOeEdgIiEclxPRyh0zOKtlawDltfUay8"",""'Interns'!A:A""),
0
)),
""Outreach Conducted"",
"""")"),"")</f>
        <v/>
      </c>
      <c r="AI422" s="23"/>
      <c r="AJ422" s="23"/>
      <c r="AK422" s="23" t="str">
        <f>IFERROR(__xludf.DUMMYFUNCTION("XLOOKUP(C422, 
   IMPORTRANGE(""1RdEdgHYrZ33LJ7RUHj_h-qkAFL92bcVjtIdVa-UlsCw"", ""Interns!D:D""), 
   IMPORTRANGE(""1RdEdgHYrZ33LJ7RUHj_h-qkAFL92bcVjtIdVa-UlsCw"", ""Interns!M:M""), 
   ""Not Found"")"),"Contacted")</f>
        <v>Contacted</v>
      </c>
      <c r="AL422" s="23" t="str">
        <f>IFERROR(__xludf.DUMMYFUNCTION("XLOOKUP(C422, 
   IMPORTRANGE(""1RdEdgHYrZ33LJ7RUHj_h-qkAFL92bcVjtIdVa-UlsCw"", ""Interns!D:D""), 
   IMPORTRANGE(""1RdEdgHYrZ33LJ7RUHj_h-qkAFL92bcVjtIdVa-UlsCw"", ""Interns!N:N""), 
   ""Not Found"")"),"#Cheers4Careers")</f>
        <v>#Cheers4Careers</v>
      </c>
      <c r="AM422" s="23" t="str">
        <f>IFERROR(__xludf.DUMMYFUNCTION("XLOOKUP(C422, 
   IMPORTRANGE(""1RdEdgHYrZ33LJ7RUHj_h-qkAFL92bcVjtIdVa-UlsCw"", ""Interns!D:D""), 
   IMPORTRANGE(""1RdEdgHYrZ33LJ7RUHj_h-qkAFL92bcVjtIdVa-UlsCw"", ""Interns!O:O""), 
   ""Not Found"")"),"Texted on April 12 for #Cheers4Careers event")</f>
        <v>Texted on April 12 for #Cheers4Careers event</v>
      </c>
      <c r="AN422" s="23"/>
      <c r="AO422" s="23" t="s">
        <v>8113</v>
      </c>
      <c r="AP422" s="28" t="s">
        <v>5182</v>
      </c>
      <c r="AQ422" s="28" t="s">
        <v>8114</v>
      </c>
      <c r="AR422" s="23" t="s">
        <v>8115</v>
      </c>
      <c r="AS422" s="23"/>
      <c r="AT422" s="23"/>
      <c r="AU422" s="23"/>
      <c r="AV422" s="23"/>
    </row>
    <row r="423">
      <c r="A423" s="28" t="s">
        <v>5161</v>
      </c>
      <c r="B423" s="28" t="s">
        <v>5162</v>
      </c>
      <c r="C423" s="23" t="str">
        <f t="shared" si="1"/>
        <v>Omar Piron II</v>
      </c>
      <c r="D423" s="28" t="s">
        <v>3878</v>
      </c>
      <c r="E423" s="28" t="s">
        <v>8116</v>
      </c>
      <c r="F423" s="23">
        <f t="array" ref="F423">IFERROR(
    INDEX('Hub Interns 226'!A:A, MATCH(C423, 'Hub Interns 226'!B:B, 0)),"")</f>
        <v>967</v>
      </c>
      <c r="G423" s="23">
        <f t="array" ref="G423">IFERROR(
    INDEX('Hub Users 226'!A:A, MATCH(C423, 'Hub Users 226'!B:B, 0)),"")</f>
        <v>1400</v>
      </c>
      <c r="H423" s="28">
        <v>813.0</v>
      </c>
      <c r="I423" s="28" t="s">
        <v>239</v>
      </c>
      <c r="J423" s="28" t="s">
        <v>5336</v>
      </c>
      <c r="K423" s="28" t="s">
        <v>5177</v>
      </c>
      <c r="L423" s="28" t="s">
        <v>5165</v>
      </c>
      <c r="M423" s="56" t="s">
        <v>8117</v>
      </c>
      <c r="N423" s="57">
        <v>44569.009722222225</v>
      </c>
      <c r="O423" s="58">
        <v>38683.0</v>
      </c>
      <c r="P423" s="28">
        <f t="shared" si="15"/>
        <v>20</v>
      </c>
      <c r="Q423" s="28" t="s">
        <v>240</v>
      </c>
      <c r="R423" s="28" t="s">
        <v>8118</v>
      </c>
      <c r="S423" s="28">
        <v>13.0</v>
      </c>
      <c r="T423" s="28">
        <v>31.0</v>
      </c>
      <c r="U423" s="28">
        <v>72.0</v>
      </c>
      <c r="V423" s="28">
        <v>10.0</v>
      </c>
      <c r="W423" s="28" t="s">
        <v>271</v>
      </c>
      <c r="X423" s="28" t="s">
        <v>272</v>
      </c>
      <c r="Y423" s="28" t="s">
        <v>8119</v>
      </c>
      <c r="Z423" s="28" t="s">
        <v>5341</v>
      </c>
      <c r="AA423" s="28" t="s">
        <v>1085</v>
      </c>
      <c r="AB423" s="28">
        <v>10.0</v>
      </c>
      <c r="AC423" s="28" t="s">
        <v>25</v>
      </c>
      <c r="AD423" s="23"/>
      <c r="AE423" s="28" t="s">
        <v>10</v>
      </c>
      <c r="AF423" s="23" t="str">
        <f>IFERROR(__xludf.DUMMYFUNCTION("TEXTJOIN("", "", TRUE,
  FILTER(Champions!C:C,
    ISNUMBER(SEARCH(C423, Champions!W:W))
  )
)"),"Louise Malone, Natalie Oniszk-De Vincenzi")</f>
        <v>Louise Malone, Natalie Oniszk-De Vincenzi</v>
      </c>
      <c r="AG423" s="23"/>
      <c r="AH423" s="23" t="str">
        <f>IFERROR(__xludf.DUMMYFUNCTION("IF(
ISNUMBER(MATCH(
C423,
IMPORTRANGE(""https://docs.google.com/spreadsheets/d/1yTh1ELC33JHYOeEdgIiEclxPRyh0zOKtlawDltfUay8"",""'Interns'!A:A""),
0
)),
""Outreach Conducted"",
"""")"),"")</f>
        <v/>
      </c>
      <c r="AI423" s="23"/>
      <c r="AJ423" s="23"/>
      <c r="AK423" s="23" t="str">
        <f>IFERROR(__xludf.DUMMYFUNCTION("XLOOKUP(C423, 
   IMPORTRANGE(""1RdEdgHYrZ33LJ7RUHj_h-qkAFL92bcVjtIdVa-UlsCw"", ""Interns!D:D""), 
   IMPORTRANGE(""1RdEdgHYrZ33LJ7RUHj_h-qkAFL92bcVjtIdVa-UlsCw"", ""Interns!M:M""), 
   ""Not Found"")"),"Contacted")</f>
        <v>Contacted</v>
      </c>
      <c r="AL423" s="23" t="str">
        <f>IFERROR(__xludf.DUMMYFUNCTION("XLOOKUP(C423, 
   IMPORTRANGE(""1RdEdgHYrZ33LJ7RUHj_h-qkAFL92bcVjtIdVa-UlsCw"", ""Interns!D:D""), 
   IMPORTRANGE(""1RdEdgHYrZ33LJ7RUHj_h-qkAFL92bcVjtIdVa-UlsCw"", ""Interns!N:N""), 
   ""Not Found"")"),"#Cheers4Careers")</f>
        <v>#Cheers4Careers</v>
      </c>
      <c r="AM423" s="23" t="str">
        <f>IFERROR(__xludf.DUMMYFUNCTION("XLOOKUP(C423, 
   IMPORTRANGE(""1RdEdgHYrZ33LJ7RUHj_h-qkAFL92bcVjtIdVa-UlsCw"", ""Interns!D:D""), 
   IMPORTRANGE(""1RdEdgHYrZ33LJ7RUHj_h-qkAFL92bcVjtIdVa-UlsCw"", ""Interns!O:O""), 
   ""Not Found"")"),"Texted on April 14 for #Cheers4Careers event")</f>
        <v>Texted on April 14 for #Cheers4Careers event</v>
      </c>
      <c r="AN423" s="23"/>
      <c r="AO423" s="23" t="s">
        <v>8120</v>
      </c>
      <c r="AP423" s="28" t="s">
        <v>5182</v>
      </c>
      <c r="AQ423" s="28" t="s">
        <v>8121</v>
      </c>
      <c r="AR423" s="23" t="s">
        <v>8122</v>
      </c>
      <c r="AS423" s="28" t="s">
        <v>8123</v>
      </c>
      <c r="AT423" s="23"/>
      <c r="AU423" s="23"/>
      <c r="AV423" s="23"/>
    </row>
    <row r="424">
      <c r="A424" s="28" t="s">
        <v>5161</v>
      </c>
      <c r="B424" s="28" t="s">
        <v>5162</v>
      </c>
      <c r="C424" s="23" t="str">
        <f t="shared" si="1"/>
        <v>Kerly Rodriguez</v>
      </c>
      <c r="D424" s="28" t="s">
        <v>8124</v>
      </c>
      <c r="E424" s="28" t="s">
        <v>536</v>
      </c>
      <c r="F424" s="23">
        <f t="array" ref="F424">IFERROR(
    INDEX('Hub Interns 226'!A:A, MATCH(C424, 'Hub Interns 226'!B:B, 0)),"")</f>
        <v>740</v>
      </c>
      <c r="G424" s="23">
        <f t="array" ref="G424">IFERROR(
    INDEX('Hub Users 226'!A:A, MATCH(C424, 'Hub Users 226'!B:B, 0)),"")</f>
        <v>1173</v>
      </c>
      <c r="H424" s="28">
        <v>1467.0</v>
      </c>
      <c r="I424" s="28" t="s">
        <v>608</v>
      </c>
      <c r="J424" s="28" t="s">
        <v>5336</v>
      </c>
      <c r="K424" s="28" t="s">
        <v>5177</v>
      </c>
      <c r="L424" s="28" t="s">
        <v>5196</v>
      </c>
      <c r="M424" s="56" t="s">
        <v>8125</v>
      </c>
      <c r="N424" s="57">
        <v>44938.63611111111</v>
      </c>
      <c r="O424" s="58">
        <v>39028.0</v>
      </c>
      <c r="P424" s="28">
        <f t="shared" si="15"/>
        <v>19</v>
      </c>
      <c r="Q424" s="28" t="s">
        <v>8126</v>
      </c>
      <c r="R424" s="28" t="s">
        <v>8127</v>
      </c>
      <c r="S424" s="28">
        <v>7.0</v>
      </c>
      <c r="T424" s="28">
        <v>19.0</v>
      </c>
      <c r="U424" s="28">
        <v>55.0</v>
      </c>
      <c r="V424" s="28">
        <v>37.0</v>
      </c>
      <c r="W424" s="28" t="s">
        <v>294</v>
      </c>
      <c r="X424" s="28" t="s">
        <v>272</v>
      </c>
      <c r="Y424" s="28" t="s">
        <v>8128</v>
      </c>
      <c r="Z424" s="28" t="s">
        <v>5259</v>
      </c>
      <c r="AA424" s="28" t="s">
        <v>704</v>
      </c>
      <c r="AB424" s="28">
        <v>2.0</v>
      </c>
      <c r="AC424" s="28" t="s">
        <v>25</v>
      </c>
      <c r="AD424" s="23"/>
      <c r="AE424" s="28" t="s">
        <v>15</v>
      </c>
      <c r="AF424" s="23" t="str">
        <f>IFERROR(__xludf.DUMMYFUNCTION("TEXTJOIN("", "", TRUE,
  FILTER(Champions!C:C,
    ISNUMBER(SEARCH(C424, Champions!W:W))
  )
)"),"Lata Murti, Pritika Kumar")</f>
        <v>Lata Murti, Pritika Kumar</v>
      </c>
      <c r="AG424" s="23"/>
      <c r="AH424" s="23" t="str">
        <f>IFERROR(__xludf.DUMMYFUNCTION("IF(
ISNUMBER(MATCH(
C424,
IMPORTRANGE(""https://docs.google.com/spreadsheets/d/1yTh1ELC33JHYOeEdgIiEclxPRyh0zOKtlawDltfUay8"",""'Interns'!A:A""),
0
)),
""Outreach Conducted"",
"""")"),"")</f>
        <v/>
      </c>
      <c r="AI424" s="23"/>
      <c r="AJ424" s="23"/>
      <c r="AK424" s="23" t="str">
        <f>IFERROR(__xludf.DUMMYFUNCTION("XLOOKUP(C424, 
   IMPORTRANGE(""1RdEdgHYrZ33LJ7RUHj_h-qkAFL92bcVjtIdVa-UlsCw"", ""Interns!D:D""), 
   IMPORTRANGE(""1RdEdgHYrZ33LJ7RUHj_h-qkAFL92bcVjtIdVa-UlsCw"", ""Interns!M:M""), 
   ""Not Found"")"),"")</f>
        <v/>
      </c>
      <c r="AL424" s="23" t="str">
        <f>IFERROR(__xludf.DUMMYFUNCTION("XLOOKUP(C424, 
   IMPORTRANGE(""1RdEdgHYrZ33LJ7RUHj_h-qkAFL92bcVjtIdVa-UlsCw"", ""Interns!D:D""), 
   IMPORTRANGE(""1RdEdgHYrZ33LJ7RUHj_h-qkAFL92bcVjtIdVa-UlsCw"", ""Interns!N:N""), 
   ""Not Found"")"),"")</f>
        <v/>
      </c>
      <c r="AM424" s="23" t="str">
        <f>IFERROR(__xludf.DUMMYFUNCTION("XLOOKUP(C424, 
   IMPORTRANGE(""1RdEdgHYrZ33LJ7RUHj_h-qkAFL92bcVjtIdVa-UlsCw"", ""Interns!D:D""), 
   IMPORTRANGE(""1RdEdgHYrZ33LJ7RUHj_h-qkAFL92bcVjtIdVa-UlsCw"", ""Interns!O:O""), 
   ""Not Found"")"),"")</f>
        <v/>
      </c>
      <c r="AN424" s="23"/>
      <c r="AO424" s="23" t="s">
        <v>8129</v>
      </c>
      <c r="AP424" s="28" t="s">
        <v>5191</v>
      </c>
      <c r="AQ424" s="28" t="s">
        <v>8130</v>
      </c>
      <c r="AR424" s="23" t="s">
        <v>8131</v>
      </c>
      <c r="AS424" s="23"/>
      <c r="AT424" s="23"/>
      <c r="AU424" s="23"/>
      <c r="AV424" s="23"/>
    </row>
    <row r="425">
      <c r="A425" s="28" t="s">
        <v>5161</v>
      </c>
      <c r="B425" s="28" t="s">
        <v>5162</v>
      </c>
      <c r="C425" s="23" t="str">
        <f t="shared" si="1"/>
        <v>Alana Molina</v>
      </c>
      <c r="D425" s="28" t="s">
        <v>8132</v>
      </c>
      <c r="E425" s="28" t="s">
        <v>6357</v>
      </c>
      <c r="F425" s="23" t="str">
        <f t="array" ref="F425">IFERROR(
    INDEX('Hub Interns 226'!A:A, MATCH(C425, 'Hub Interns 226'!B:B, 0)),"")</f>
        <v/>
      </c>
      <c r="G425" s="23">
        <f t="array" ref="G425">IFERROR(
    INDEX('Hub Users 226'!A:A, MATCH(C425, 'Hub Users 226'!B:B, 0)),"")</f>
        <v>1816</v>
      </c>
      <c r="H425" s="28">
        <v>1709.0</v>
      </c>
      <c r="I425" s="28" t="s">
        <v>107</v>
      </c>
      <c r="J425" s="28" t="s">
        <v>5336</v>
      </c>
      <c r="K425" s="28" t="s">
        <v>5177</v>
      </c>
      <c r="L425" s="28" t="s">
        <v>5196</v>
      </c>
      <c r="M425" s="56" t="s">
        <v>8133</v>
      </c>
      <c r="N425" s="59">
        <v>45250.99236111111</v>
      </c>
      <c r="O425" s="58">
        <v>40332.0</v>
      </c>
      <c r="P425" s="28">
        <f t="shared" si="15"/>
        <v>15</v>
      </c>
      <c r="Q425" s="28" t="s">
        <v>240</v>
      </c>
      <c r="R425" s="28" t="s">
        <v>8134</v>
      </c>
      <c r="S425" s="28">
        <v>6.0</v>
      </c>
      <c r="T425" s="28">
        <v>12.0</v>
      </c>
      <c r="U425" s="28">
        <v>30.0</v>
      </c>
      <c r="V425" s="28">
        <v>30.0</v>
      </c>
      <c r="W425" s="28" t="s">
        <v>1173</v>
      </c>
      <c r="X425" s="28" t="s">
        <v>272</v>
      </c>
      <c r="Y425" s="28" t="s">
        <v>8135</v>
      </c>
      <c r="Z425" s="28" t="s">
        <v>5170</v>
      </c>
      <c r="AA425" s="28" t="s">
        <v>5171</v>
      </c>
      <c r="AB425" s="28">
        <v>30.0</v>
      </c>
      <c r="AC425" s="28" t="s">
        <v>23</v>
      </c>
      <c r="AD425" s="28" t="s">
        <v>101</v>
      </c>
      <c r="AE425" s="28" t="s">
        <v>18</v>
      </c>
      <c r="AF425" s="23"/>
      <c r="AG425" s="23"/>
      <c r="AH425" s="23" t="str">
        <f>IFERROR(__xludf.DUMMYFUNCTION("IF(
ISNUMBER(MATCH(
C425,
IMPORTRANGE(""https://docs.google.com/spreadsheets/d/1yTh1ELC33JHYOeEdgIiEclxPRyh0zOKtlawDltfUay8"",""'Interns'!A:A""),
0
)),
""Outreach Conducted"",
"""")"),"")</f>
        <v/>
      </c>
      <c r="AI425" s="23"/>
      <c r="AJ425" s="23"/>
      <c r="AK425" s="23" t="str">
        <f>IFERROR(__xludf.DUMMYFUNCTION("XLOOKUP(C425, 
   IMPORTRANGE(""1RdEdgHYrZ33LJ7RUHj_h-qkAFL92bcVjtIdVa-UlsCw"", ""Interns!D:D""), 
   IMPORTRANGE(""1RdEdgHYrZ33LJ7RUHj_h-qkAFL92bcVjtIdVa-UlsCw"", ""Interns!M:M""), 
   ""Not Found"")"),"Contacted")</f>
        <v>Contacted</v>
      </c>
      <c r="AL425" s="23" t="str">
        <f>IFERROR(__xludf.DUMMYFUNCTION("XLOOKUP(C425, 
   IMPORTRANGE(""1RdEdgHYrZ33LJ7RUHj_h-qkAFL92bcVjtIdVa-UlsCw"", ""Interns!D:D""), 
   IMPORTRANGE(""1RdEdgHYrZ33LJ7RUHj_h-qkAFL92bcVjtIdVa-UlsCw"", ""Interns!N:N""), 
   ""Not Found"")"),"#Cheers4Careers")</f>
        <v>#Cheers4Careers</v>
      </c>
      <c r="AM425" s="23" t="str">
        <f>IFERROR(__xludf.DUMMYFUNCTION("XLOOKUP(C425, 
   IMPORTRANGE(""1RdEdgHYrZ33LJ7RUHj_h-qkAFL92bcVjtIdVa-UlsCw"", ""Interns!D:D""), 
   IMPORTRANGE(""1RdEdgHYrZ33LJ7RUHj_h-qkAFL92bcVjtIdVa-UlsCw"", ""Interns!O:O""), 
   ""Not Found"")"),"Hetal reached out March 27 for March #Cheers4 Careers ")</f>
        <v>Hetal reached out March 27 for March #Cheers4 Careers </v>
      </c>
      <c r="AN425" s="23"/>
      <c r="AO425" s="23" t="s">
        <v>8136</v>
      </c>
      <c r="AP425" s="28" t="s">
        <v>5191</v>
      </c>
      <c r="AQ425" s="28" t="s">
        <v>8133</v>
      </c>
      <c r="AR425" s="23" t="s">
        <v>8137</v>
      </c>
      <c r="AS425" s="23"/>
      <c r="AT425" s="23"/>
      <c r="AU425" s="23"/>
      <c r="AV425" s="23"/>
    </row>
    <row r="426">
      <c r="A426" s="28" t="s">
        <v>5202</v>
      </c>
      <c r="B426" s="28" t="s">
        <v>5162</v>
      </c>
      <c r="C426" s="23" t="str">
        <f t="shared" si="1"/>
        <v>Herimar Bonifacio</v>
      </c>
      <c r="D426" s="28" t="s">
        <v>8138</v>
      </c>
      <c r="E426" s="28" t="s">
        <v>8139</v>
      </c>
      <c r="F426" s="23">
        <f t="array" ref="F426">IFERROR(
    INDEX('Hub Interns 226'!A:A, MATCH(C426, 'Hub Interns 226'!B:B, 0)),"")</f>
        <v>572</v>
      </c>
      <c r="G426" s="23">
        <f t="array" ref="G426">IFERROR(
    INDEX('Hub Users 226'!A:A, MATCH(C426, 'Hub Users 226'!B:B, 0)),"")</f>
        <v>1005</v>
      </c>
      <c r="H426" s="28">
        <v>264.0</v>
      </c>
      <c r="I426" s="28" t="s">
        <v>425</v>
      </c>
      <c r="J426" s="28" t="s">
        <v>5336</v>
      </c>
      <c r="K426" s="28" t="s">
        <v>5177</v>
      </c>
      <c r="L426" s="28" t="s">
        <v>5196</v>
      </c>
      <c r="M426" s="56" t="s">
        <v>8140</v>
      </c>
      <c r="N426" s="57">
        <v>44207.04791666667</v>
      </c>
      <c r="O426" s="58">
        <v>38289.0</v>
      </c>
      <c r="P426" s="28">
        <f t="shared" si="15"/>
        <v>21</v>
      </c>
      <c r="Q426" s="28" t="s">
        <v>240</v>
      </c>
      <c r="R426" s="28" t="s">
        <v>8141</v>
      </c>
      <c r="S426" s="28">
        <v>15.0</v>
      </c>
      <c r="T426" s="28">
        <v>32.0</v>
      </c>
      <c r="U426" s="28">
        <v>77.0</v>
      </c>
      <c r="V426" s="28">
        <v>16.0</v>
      </c>
      <c r="W426" s="28" t="s">
        <v>859</v>
      </c>
      <c r="X426" s="28" t="s">
        <v>272</v>
      </c>
      <c r="Y426" s="28" t="s">
        <v>8142</v>
      </c>
      <c r="Z426" s="28" t="s">
        <v>5918</v>
      </c>
      <c r="AA426" s="28" t="s">
        <v>477</v>
      </c>
      <c r="AB426" s="28">
        <v>15.0</v>
      </c>
      <c r="AC426" s="28" t="s">
        <v>25</v>
      </c>
      <c r="AD426" s="28" t="s">
        <v>101</v>
      </c>
      <c r="AE426" s="28" t="s">
        <v>8</v>
      </c>
      <c r="AF426" s="23" t="str">
        <f>IFERROR(__xludf.DUMMYFUNCTION("TEXTJOIN("", "", TRUE,
  FILTER(Champions!C:C,
    ISNUMBER(SEARCH(C426, Champions!W:W))
  )
)"),"Ayanna Lyons, Susan Boxman")</f>
        <v>Ayanna Lyons, Susan Boxman</v>
      </c>
      <c r="AG426" s="23"/>
      <c r="AH426" s="23" t="str">
        <f>IFERROR(__xludf.DUMMYFUNCTION("IF(
ISNUMBER(MATCH(
C426,
IMPORTRANGE(""https://docs.google.com/spreadsheets/d/1yTh1ELC33JHYOeEdgIiEclxPRyh0zOKtlawDltfUay8"",""'Interns'!A:A""),
0
)),
""Outreach Conducted"",
"""")"),"")</f>
        <v/>
      </c>
      <c r="AI426" s="23"/>
      <c r="AJ426" s="23"/>
      <c r="AK426" s="23" t="str">
        <f>IFERROR(__xludf.DUMMYFUNCTION("XLOOKUP(C426, 
   IMPORTRANGE(""1RdEdgHYrZ33LJ7RUHj_h-qkAFL92bcVjtIdVa-UlsCw"", ""Interns!D:D""), 
   IMPORTRANGE(""1RdEdgHYrZ33LJ7RUHj_h-qkAFL92bcVjtIdVa-UlsCw"", ""Interns!M:M""), 
   ""Not Found"")"),"")</f>
        <v/>
      </c>
      <c r="AL426" s="23" t="str">
        <f>IFERROR(__xludf.DUMMYFUNCTION("XLOOKUP(C426, 
   IMPORTRANGE(""1RdEdgHYrZ33LJ7RUHj_h-qkAFL92bcVjtIdVa-UlsCw"", ""Interns!D:D""), 
   IMPORTRANGE(""1RdEdgHYrZ33LJ7RUHj_h-qkAFL92bcVjtIdVa-UlsCw"", ""Interns!N:N""), 
   ""Not Found"")"),"")</f>
        <v/>
      </c>
      <c r="AM426" s="23" t="str">
        <f>IFERROR(__xludf.DUMMYFUNCTION("XLOOKUP(C426, 
   IMPORTRANGE(""1RdEdgHYrZ33LJ7RUHj_h-qkAFL92bcVjtIdVa-UlsCw"", ""Interns!D:D""), 
   IMPORTRANGE(""1RdEdgHYrZ33LJ7RUHj_h-qkAFL92bcVjtIdVa-UlsCw"", ""Interns!O:O""), 
   ""Not Found"")"),"")</f>
        <v/>
      </c>
      <c r="AN426" s="23"/>
      <c r="AO426" s="23" t="s">
        <v>8143</v>
      </c>
      <c r="AP426" s="28" t="s">
        <v>5182</v>
      </c>
      <c r="AQ426" s="28" t="s">
        <v>8144</v>
      </c>
      <c r="AR426" s="23">
        <v>9.172884793E9</v>
      </c>
      <c r="AS426" s="23"/>
      <c r="AT426" s="23"/>
      <c r="AU426" s="23"/>
      <c r="AV426" s="23"/>
    </row>
    <row r="427">
      <c r="A427" s="28" t="s">
        <v>5161</v>
      </c>
      <c r="B427" s="28" t="s">
        <v>5162</v>
      </c>
      <c r="C427" s="23" t="str">
        <f t="shared" si="1"/>
        <v>Danna (Diana) Zhicay</v>
      </c>
      <c r="D427" s="28" t="s">
        <v>8145</v>
      </c>
      <c r="E427" s="28" t="s">
        <v>8146</v>
      </c>
      <c r="F427" s="23">
        <f t="array" ref="F427">IFERROR(
    INDEX('Hub Interns 226'!A:A, MATCH("Diana", 'Hub Interns 226'!B:B, 0)),"")</f>
        <v>1314</v>
      </c>
      <c r="G427" s="23">
        <f t="array" ref="G427">IFERROR(
    INDEX('Hub Users 226'!A:A, MATCH("Danna Zhicay", 'Hub Users 226'!B:B, 0)),"")</f>
        <v>1805</v>
      </c>
      <c r="H427" s="28">
        <v>1700.0</v>
      </c>
      <c r="I427" s="28" t="s">
        <v>269</v>
      </c>
      <c r="J427" s="28" t="s">
        <v>5336</v>
      </c>
      <c r="K427" s="28" t="s">
        <v>5177</v>
      </c>
      <c r="L427" s="28" t="s">
        <v>5196</v>
      </c>
      <c r="M427" s="56" t="s">
        <v>8147</v>
      </c>
      <c r="N427" s="59">
        <v>45250.94930555556</v>
      </c>
      <c r="O427" s="58">
        <v>40300.0</v>
      </c>
      <c r="P427" s="28">
        <f t="shared" si="15"/>
        <v>16</v>
      </c>
      <c r="Q427" s="28" t="s">
        <v>240</v>
      </c>
      <c r="R427" s="28" t="s">
        <v>8148</v>
      </c>
      <c r="S427" s="60">
        <v>6.0</v>
      </c>
      <c r="T427" s="60">
        <v>12.0</v>
      </c>
      <c r="U427" s="60">
        <v>30.0</v>
      </c>
      <c r="V427" s="28">
        <v>30.0</v>
      </c>
      <c r="W427" s="28" t="s">
        <v>1173</v>
      </c>
      <c r="X427" s="28" t="s">
        <v>272</v>
      </c>
      <c r="Y427" s="28">
        <v>7.182056788E9</v>
      </c>
      <c r="Z427" s="28" t="s">
        <v>5170</v>
      </c>
      <c r="AA427" s="28" t="s">
        <v>5171</v>
      </c>
      <c r="AB427" s="28">
        <v>30.0</v>
      </c>
      <c r="AC427" s="28" t="s">
        <v>23</v>
      </c>
      <c r="AD427" s="23"/>
      <c r="AE427" s="28" t="s">
        <v>18</v>
      </c>
      <c r="AF427" s="23"/>
      <c r="AG427" s="23"/>
      <c r="AH427" s="23" t="str">
        <f>IFERROR(__xludf.DUMMYFUNCTION("IF(
ISNUMBER(MATCH(
C427,
IMPORTRANGE(""https://docs.google.com/spreadsheets/d/1yTh1ELC33JHYOeEdgIiEclxPRyh0zOKtlawDltfUay8"",""'Interns'!A:A""),
0
)),
""Outreach Conducted"",
"""")"),"")</f>
        <v/>
      </c>
      <c r="AI427" s="23"/>
      <c r="AJ427" s="23"/>
      <c r="AK427" s="23" t="str">
        <f>IFERROR(__xludf.DUMMYFUNCTION("XLOOKUP(C427, 
   IMPORTRANGE(""1RdEdgHYrZ33LJ7RUHj_h-qkAFL92bcVjtIdVa-UlsCw"", ""Interns!D:D""), 
   IMPORTRANGE(""1RdEdgHYrZ33LJ7RUHj_h-qkAFL92bcVjtIdVa-UlsCw"", ""Interns!M:M""), 
   ""Not Found"")"),"Contacted")</f>
        <v>Contacted</v>
      </c>
      <c r="AL427" s="23" t="str">
        <f>IFERROR(__xludf.DUMMYFUNCTION("XLOOKUP(C427, 
   IMPORTRANGE(""1RdEdgHYrZ33LJ7RUHj_h-qkAFL92bcVjtIdVa-UlsCw"", ""Interns!D:D""), 
   IMPORTRANGE(""1RdEdgHYrZ33LJ7RUHj_h-qkAFL92bcVjtIdVa-UlsCw"", ""Interns!N:N""), 
   ""Not Found"")"),"#Cheers4Careers")</f>
        <v>#Cheers4Careers</v>
      </c>
      <c r="AM427" s="23" t="str">
        <f>IFERROR(__xludf.DUMMYFUNCTION("XLOOKUP(C427, 
   IMPORTRANGE(""1RdEdgHYrZ33LJ7RUHj_h-qkAFL92bcVjtIdVa-UlsCw"", ""Interns!D:D""), 
   IMPORTRANGE(""1RdEdgHYrZ33LJ7RUHj_h-qkAFL92bcVjtIdVa-UlsCw"", ""Interns!O:O""), 
   ""Not Found"")"),"Hetal reached out March 27 for March #Cheers4 Careers ")</f>
        <v>Hetal reached out March 27 for March #Cheers4 Careers </v>
      </c>
      <c r="AN427" s="23"/>
      <c r="AO427" s="23" t="s">
        <v>8149</v>
      </c>
      <c r="AP427" s="28" t="s">
        <v>5182</v>
      </c>
      <c r="AQ427" s="28" t="s">
        <v>8147</v>
      </c>
      <c r="AR427" s="23">
        <v>7.182056788E9</v>
      </c>
      <c r="AS427" s="23"/>
      <c r="AT427" s="23"/>
      <c r="AU427" s="23"/>
      <c r="AV427" s="23"/>
    </row>
    <row r="428">
      <c r="A428" s="28" t="s">
        <v>5161</v>
      </c>
      <c r="B428" s="28" t="s">
        <v>5162</v>
      </c>
      <c r="C428" s="23" t="str">
        <f t="shared" si="1"/>
        <v>Joshua Jimenez</v>
      </c>
      <c r="D428" s="28" t="s">
        <v>1797</v>
      </c>
      <c r="E428" s="28" t="s">
        <v>6785</v>
      </c>
      <c r="F428" s="23">
        <f t="array" ref="F428">IFERROR(
    INDEX('Hub Interns 226'!A:A, MATCH(C428, 'Hub Interns 226'!B:B, 0)),"")</f>
        <v>691</v>
      </c>
      <c r="G428" s="23">
        <f t="array" ref="G428">IFERROR(
    INDEX('Hub Users 226'!A:A, MATCH(C428, 'Hub Users 226'!B:B, 0)),"")</f>
        <v>1124</v>
      </c>
      <c r="H428" s="28">
        <v>769.0</v>
      </c>
      <c r="I428" s="28" t="s">
        <v>407</v>
      </c>
      <c r="J428" s="28" t="s">
        <v>5336</v>
      </c>
      <c r="K428" s="28" t="s">
        <v>5177</v>
      </c>
      <c r="L428" s="28" t="s">
        <v>5165</v>
      </c>
      <c r="M428" s="56" t="s">
        <v>8150</v>
      </c>
      <c r="N428" s="59">
        <v>44552.61736111111</v>
      </c>
      <c r="O428" s="58">
        <v>38447.0</v>
      </c>
      <c r="P428" s="28">
        <f t="shared" si="15"/>
        <v>21</v>
      </c>
      <c r="Q428" s="28" t="s">
        <v>240</v>
      </c>
      <c r="R428" s="28" t="s">
        <v>8151</v>
      </c>
      <c r="S428" s="28">
        <v>13.0</v>
      </c>
      <c r="T428" s="28">
        <v>31.0</v>
      </c>
      <c r="U428" s="28">
        <v>72.0</v>
      </c>
      <c r="V428" s="28">
        <v>10.0</v>
      </c>
      <c r="W428" s="28" t="s">
        <v>271</v>
      </c>
      <c r="X428" s="28" t="s">
        <v>272</v>
      </c>
      <c r="Y428" s="28" t="s">
        <v>8152</v>
      </c>
      <c r="Z428" s="28" t="s">
        <v>5341</v>
      </c>
      <c r="AA428" s="28" t="s">
        <v>1085</v>
      </c>
      <c r="AB428" s="28">
        <v>10.0</v>
      </c>
      <c r="AC428" s="28" t="s">
        <v>25</v>
      </c>
      <c r="AD428" s="23"/>
      <c r="AE428" s="28" t="s">
        <v>10</v>
      </c>
      <c r="AF428" s="23" t="str">
        <f>IFERROR(__xludf.DUMMYFUNCTION("TEXTJOIN("", "", TRUE,
  FILTER(Champions!C:C,
    ISNUMBER(SEARCH(C428, Champions!W:W))
  )
)"),"Lee Davis, Maha Khalawi")</f>
        <v>Lee Davis, Maha Khalawi</v>
      </c>
      <c r="AG428" s="23"/>
      <c r="AH428" s="23" t="str">
        <f>IFERROR(__xludf.DUMMYFUNCTION("IF(
ISNUMBER(MATCH(
C428,
IMPORTRANGE(""https://docs.google.com/spreadsheets/d/1yTh1ELC33JHYOeEdgIiEclxPRyh0zOKtlawDltfUay8"",""'Interns'!A:A""),
0
)),
""Outreach Conducted"",
"""")"),"")</f>
        <v/>
      </c>
      <c r="AI428" s="23"/>
      <c r="AJ428" s="23"/>
      <c r="AK428" s="23" t="str">
        <f>IFERROR(__xludf.DUMMYFUNCTION("XLOOKUP(C428, 
   IMPORTRANGE(""1RdEdgHYrZ33LJ7RUHj_h-qkAFL92bcVjtIdVa-UlsCw"", ""Interns!D:D""), 
   IMPORTRANGE(""1RdEdgHYrZ33LJ7RUHj_h-qkAFL92bcVjtIdVa-UlsCw"", ""Interns!M:M""), 
   ""Not Found"")"),"Contacted")</f>
        <v>Contacted</v>
      </c>
      <c r="AL428" s="23" t="str">
        <f>IFERROR(__xludf.DUMMYFUNCTION("XLOOKUP(C428, 
   IMPORTRANGE(""1RdEdgHYrZ33LJ7RUHj_h-qkAFL92bcVjtIdVa-UlsCw"", ""Interns!D:D""), 
   IMPORTRANGE(""1RdEdgHYrZ33LJ7RUHj_h-qkAFL92bcVjtIdVa-UlsCw"", ""Interns!N:N""), 
   ""Not Found"")"),"#Cheers4Careers")</f>
        <v>#Cheers4Careers</v>
      </c>
      <c r="AM428" s="23" t="str">
        <f>IFERROR(__xludf.DUMMYFUNCTION("XLOOKUP(C428, 
   IMPORTRANGE(""1RdEdgHYrZ33LJ7RUHj_h-qkAFL92bcVjtIdVa-UlsCw"", ""Interns!D:D""), 
   IMPORTRANGE(""1RdEdgHYrZ33LJ7RUHj_h-qkAFL92bcVjtIdVa-UlsCw"", ""Interns!O:O""), 
   ""Not Found"")"),"Texted on April 14 for #Cheers4Careers event")</f>
        <v>Texted on April 14 for #Cheers4Careers event</v>
      </c>
      <c r="AN428" s="23"/>
      <c r="AO428" s="23" t="s">
        <v>8153</v>
      </c>
      <c r="AP428" s="28" t="s">
        <v>5182</v>
      </c>
      <c r="AQ428" s="28" t="s">
        <v>8154</v>
      </c>
      <c r="AR428" s="23" t="s">
        <v>8155</v>
      </c>
      <c r="AS428" s="23"/>
      <c r="AT428" s="23"/>
      <c r="AU428" s="23"/>
      <c r="AV428" s="23"/>
    </row>
    <row r="429">
      <c r="A429" s="28" t="s">
        <v>5161</v>
      </c>
      <c r="B429" s="28" t="s">
        <v>5162</v>
      </c>
      <c r="C429" s="23" t="str">
        <f t="shared" si="1"/>
        <v>Jariel Fernandez</v>
      </c>
      <c r="D429" s="28" t="s">
        <v>8156</v>
      </c>
      <c r="E429" s="28" t="s">
        <v>2413</v>
      </c>
      <c r="F429" s="23">
        <f t="array" ref="F429">IFERROR(
    INDEX('Hub Interns 226'!A:A, MATCH(C429, 'Hub Interns 226'!B:B, 0)),"")</f>
        <v>624</v>
      </c>
      <c r="G429" s="23">
        <f t="array" ref="G429">IFERROR(
    INDEX('Hub Users 226'!A:A, MATCH(C429, 'Hub Users 226'!B:B, 0)),"")</f>
        <v>1057</v>
      </c>
      <c r="H429" s="28">
        <v>722.0</v>
      </c>
      <c r="I429" s="28" t="s">
        <v>260</v>
      </c>
      <c r="J429" s="28" t="s">
        <v>5336</v>
      </c>
      <c r="K429" s="28" t="s">
        <v>5177</v>
      </c>
      <c r="L429" s="28" t="s">
        <v>5165</v>
      </c>
      <c r="M429" s="56" t="s">
        <v>8157</v>
      </c>
      <c r="N429" s="59">
        <v>44549.87222222222</v>
      </c>
      <c r="O429" s="58">
        <v>38594.0</v>
      </c>
      <c r="P429" s="28">
        <f t="shared" si="15"/>
        <v>20</v>
      </c>
      <c r="Q429" s="28" t="s">
        <v>240</v>
      </c>
      <c r="R429" s="28" t="s">
        <v>8158</v>
      </c>
      <c r="S429" s="28">
        <v>13.0</v>
      </c>
      <c r="T429" s="28">
        <v>31.0</v>
      </c>
      <c r="U429" s="28">
        <v>72.0</v>
      </c>
      <c r="V429" s="28">
        <v>10.0</v>
      </c>
      <c r="W429" s="28" t="s">
        <v>271</v>
      </c>
      <c r="X429" s="28" t="s">
        <v>272</v>
      </c>
      <c r="Y429" s="28" t="s">
        <v>8159</v>
      </c>
      <c r="Z429" s="28" t="s">
        <v>5341</v>
      </c>
      <c r="AA429" s="28" t="s">
        <v>1085</v>
      </c>
      <c r="AB429" s="28">
        <v>10.0</v>
      </c>
      <c r="AC429" s="28" t="s">
        <v>25</v>
      </c>
      <c r="AD429" s="23"/>
      <c r="AE429" s="28" t="s">
        <v>10</v>
      </c>
      <c r="AF429" s="23" t="str">
        <f>IFERROR(__xludf.DUMMYFUNCTION("TEXTJOIN("", "", TRUE,
  FILTER(Champions!C:C,
    ISNUMBER(SEARCH(C429, Champions!W:W))
  )
)"),"Alina Ispas Montbriand, Samantha Cadorniga, Sunkyung Park")</f>
        <v>Alina Ispas Montbriand, Samantha Cadorniga, Sunkyung Park</v>
      </c>
      <c r="AG429" s="23"/>
      <c r="AH429" s="23" t="str">
        <f>IFERROR(__xludf.DUMMYFUNCTION("IF(
ISNUMBER(MATCH(
C429,
IMPORTRANGE(""https://docs.google.com/spreadsheets/d/1yTh1ELC33JHYOeEdgIiEclxPRyh0zOKtlawDltfUay8"",""'Interns'!A:A""),
0
)),
""Outreach Conducted"",
"""")"),"")</f>
        <v/>
      </c>
      <c r="AI429" s="23"/>
      <c r="AJ429" s="23"/>
      <c r="AK429" s="23" t="str">
        <f>IFERROR(__xludf.DUMMYFUNCTION("XLOOKUP(C429, 
   IMPORTRANGE(""1RdEdgHYrZ33LJ7RUHj_h-qkAFL92bcVjtIdVa-UlsCw"", ""Interns!D:D""), 
   IMPORTRANGE(""1RdEdgHYrZ33LJ7RUHj_h-qkAFL92bcVjtIdVa-UlsCw"", ""Interns!M:M""), 
   ""Not Found"")"),"Contacted")</f>
        <v>Contacted</v>
      </c>
      <c r="AL429" s="23" t="str">
        <f>IFERROR(__xludf.DUMMYFUNCTION("XLOOKUP(C429, 
   IMPORTRANGE(""1RdEdgHYrZ33LJ7RUHj_h-qkAFL92bcVjtIdVa-UlsCw"", ""Interns!D:D""), 
   IMPORTRANGE(""1RdEdgHYrZ33LJ7RUHj_h-qkAFL92bcVjtIdVa-UlsCw"", ""Interns!N:N""), 
   ""Not Found"")"),"#Cheers4Careers")</f>
        <v>#Cheers4Careers</v>
      </c>
      <c r="AM429" s="23" t="str">
        <f>IFERROR(__xludf.DUMMYFUNCTION("XLOOKUP(C429, 
   IMPORTRANGE(""1RdEdgHYrZ33LJ7RUHj_h-qkAFL92bcVjtIdVa-UlsCw"", ""Interns!D:D""), 
   IMPORTRANGE(""1RdEdgHYrZ33LJ7RUHj_h-qkAFL92bcVjtIdVa-UlsCw"", ""Interns!O:O""), 
   ""Not Found"")"),"Texted on April 14 for #Cheers4Careers event")</f>
        <v>Texted on April 14 for #Cheers4Careers event</v>
      </c>
      <c r="AN429" s="23"/>
      <c r="AO429" s="23" t="s">
        <v>8160</v>
      </c>
      <c r="AP429" s="28" t="s">
        <v>5191</v>
      </c>
      <c r="AQ429" s="28" t="s">
        <v>8161</v>
      </c>
      <c r="AR429" s="23" t="s">
        <v>8162</v>
      </c>
      <c r="AS429" s="23"/>
      <c r="AT429" s="23"/>
      <c r="AU429" s="23"/>
      <c r="AV429" s="23"/>
    </row>
    <row r="430">
      <c r="A430" s="28" t="s">
        <v>5161</v>
      </c>
      <c r="B430" s="28" t="s">
        <v>5162</v>
      </c>
      <c r="C430" s="23" t="str">
        <f t="shared" si="1"/>
        <v>Lisy Sanchez</v>
      </c>
      <c r="D430" s="28" t="s">
        <v>8163</v>
      </c>
      <c r="E430" s="28" t="s">
        <v>6853</v>
      </c>
      <c r="F430" s="23">
        <f t="array" ref="F430">IFERROR(
    INDEX('Hub Interns 226'!A:A, MATCH(C430, 'Hub Interns 226'!B:B, 0)),"")</f>
        <v>787</v>
      </c>
      <c r="G430" s="23">
        <f t="array" ref="G430">IFERROR(
    INDEX('Hub Users 226'!A:A, MATCH(C430, 'Hub Users 226'!B:B, 0)),"")</f>
        <v>1220</v>
      </c>
      <c r="H430" s="28">
        <v>788.0</v>
      </c>
      <c r="I430" s="28" t="s">
        <v>107</v>
      </c>
      <c r="J430" s="28" t="s">
        <v>5336</v>
      </c>
      <c r="K430" s="28" t="s">
        <v>5177</v>
      </c>
      <c r="L430" s="28" t="s">
        <v>5196</v>
      </c>
      <c r="M430" s="56" t="s">
        <v>8164</v>
      </c>
      <c r="N430" s="59">
        <v>44553.74375</v>
      </c>
      <c r="O430" s="58">
        <v>38757.0</v>
      </c>
      <c r="P430" s="28">
        <f t="shared" si="15"/>
        <v>20</v>
      </c>
      <c r="Q430" s="28" t="s">
        <v>240</v>
      </c>
      <c r="R430" s="28" t="s">
        <v>8165</v>
      </c>
      <c r="S430" s="28">
        <v>13.0</v>
      </c>
      <c r="T430" s="28">
        <v>31.0</v>
      </c>
      <c r="U430" s="28">
        <v>72.0</v>
      </c>
      <c r="V430" s="28">
        <v>10.0</v>
      </c>
      <c r="W430" s="28" t="s">
        <v>271</v>
      </c>
      <c r="X430" s="28" t="s">
        <v>272</v>
      </c>
      <c r="Y430" s="28" t="s">
        <v>8166</v>
      </c>
      <c r="Z430" s="28" t="s">
        <v>5341</v>
      </c>
      <c r="AA430" s="28" t="s">
        <v>1085</v>
      </c>
      <c r="AB430" s="28">
        <v>10.0</v>
      </c>
      <c r="AC430" s="28" t="s">
        <v>25</v>
      </c>
      <c r="AD430" s="23"/>
      <c r="AE430" s="28" t="s">
        <v>10</v>
      </c>
      <c r="AF430" s="23" t="str">
        <f>IFERROR(__xludf.DUMMYFUNCTION("TEXTJOIN("", "", TRUE,
  FILTER(Champions!C:C,
    ISNUMBER(SEARCH(C430, Champions!W:W))
  )
)"),"Dragana Glumac, Suzette Nicole Bennett")</f>
        <v>Dragana Glumac, Suzette Nicole Bennett</v>
      </c>
      <c r="AG430" s="23"/>
      <c r="AH430" s="23" t="str">
        <f>IFERROR(__xludf.DUMMYFUNCTION("IF(
ISNUMBER(MATCH(
C430,
IMPORTRANGE(""https://docs.google.com/spreadsheets/d/1yTh1ELC33JHYOeEdgIiEclxPRyh0zOKtlawDltfUay8"",""'Interns'!A:A""),
0
)),
""Outreach Conducted"",
"""")"),"")</f>
        <v/>
      </c>
      <c r="AI430" s="23"/>
      <c r="AJ430" s="23"/>
      <c r="AK430" s="23" t="str">
        <f>IFERROR(__xludf.DUMMYFUNCTION("XLOOKUP(C430, 
   IMPORTRANGE(""1RdEdgHYrZ33LJ7RUHj_h-qkAFL92bcVjtIdVa-UlsCw"", ""Interns!D:D""), 
   IMPORTRANGE(""1RdEdgHYrZ33LJ7RUHj_h-qkAFL92bcVjtIdVa-UlsCw"", ""Interns!M:M""), 
   ""Not Found"")"),"Contacted")</f>
        <v>Contacted</v>
      </c>
      <c r="AL430" s="23" t="str">
        <f>IFERROR(__xludf.DUMMYFUNCTION("XLOOKUP(C430, 
   IMPORTRANGE(""1RdEdgHYrZ33LJ7RUHj_h-qkAFL92bcVjtIdVa-UlsCw"", ""Interns!D:D""), 
   IMPORTRANGE(""1RdEdgHYrZ33LJ7RUHj_h-qkAFL92bcVjtIdVa-UlsCw"", ""Interns!N:N""), 
   ""Not Found"")"),"#Cheers4Careers")</f>
        <v>#Cheers4Careers</v>
      </c>
      <c r="AM430" s="23" t="str">
        <f>IFERROR(__xludf.DUMMYFUNCTION("XLOOKUP(C430, 
   IMPORTRANGE(""1RdEdgHYrZ33LJ7RUHj_h-qkAFL92bcVjtIdVa-UlsCw"", ""Interns!D:D""), 
   IMPORTRANGE(""1RdEdgHYrZ33LJ7RUHj_h-qkAFL92bcVjtIdVa-UlsCw"", ""Interns!O:O""), 
   ""Not Found"")"),"Hetal reached out by whatsapp on 3/28
Hetal reached out on 4/10 by whatsapp for April 18th #Cheers4Careers")</f>
        <v>Hetal reached out by whatsapp on 3/28
Hetal reached out on 4/10 by whatsapp for April 18th #Cheers4Careers</v>
      </c>
      <c r="AN430" s="23"/>
      <c r="AO430" s="23" t="s">
        <v>8167</v>
      </c>
      <c r="AP430" s="28" t="s">
        <v>5989</v>
      </c>
      <c r="AQ430" s="28" t="s">
        <v>8168</v>
      </c>
      <c r="AR430" s="23" t="s">
        <v>8169</v>
      </c>
      <c r="AS430" s="28" t="s">
        <v>8170</v>
      </c>
      <c r="AT430" s="23"/>
      <c r="AU430" s="23"/>
      <c r="AV430" s="23"/>
    </row>
    <row r="431">
      <c r="A431" s="28" t="s">
        <v>5161</v>
      </c>
      <c r="B431" s="28" t="s">
        <v>5162</v>
      </c>
      <c r="C431" s="23" t="str">
        <f t="shared" si="1"/>
        <v>Yorlan Espinal</v>
      </c>
      <c r="D431" s="28" t="s">
        <v>8171</v>
      </c>
      <c r="E431" s="28" t="s">
        <v>8172</v>
      </c>
      <c r="F431" s="23">
        <f t="array" ref="F431">IFERROR(
    INDEX('Hub Interns 226'!A:A, MATCH(C431, 'Hub Interns 226'!B:B, 0)),"")</f>
        <v>1239</v>
      </c>
      <c r="G431" s="23">
        <f t="array" ref="G431">IFERROR(
    INDEX('Hub Users 226'!A:A, MATCH(C431, 'Hub Users 226'!B:B, 0)),"")</f>
        <v>1672</v>
      </c>
      <c r="H431" s="28">
        <v>1186.0</v>
      </c>
      <c r="I431" s="28" t="s">
        <v>239</v>
      </c>
      <c r="J431" s="28" t="s">
        <v>5336</v>
      </c>
      <c r="K431" s="28" t="s">
        <v>5177</v>
      </c>
      <c r="L431" s="28" t="s">
        <v>5165</v>
      </c>
      <c r="M431" s="56" t="s">
        <v>8173</v>
      </c>
      <c r="N431" s="57">
        <v>44833.47777777778</v>
      </c>
      <c r="O431" s="58">
        <v>38749.0</v>
      </c>
      <c r="P431" s="28">
        <f t="shared" si="15"/>
        <v>20</v>
      </c>
      <c r="Q431" s="28" t="s">
        <v>8174</v>
      </c>
      <c r="R431" s="28" t="s">
        <v>8175</v>
      </c>
      <c r="S431" s="28">
        <v>13.0</v>
      </c>
      <c r="T431" s="28">
        <v>31.0</v>
      </c>
      <c r="U431" s="28">
        <v>72.0</v>
      </c>
      <c r="V431" s="28">
        <v>10.0</v>
      </c>
      <c r="W431" s="28" t="s">
        <v>271</v>
      </c>
      <c r="X431" s="28" t="s">
        <v>272</v>
      </c>
      <c r="Y431" s="28" t="s">
        <v>8176</v>
      </c>
      <c r="Z431" s="28" t="s">
        <v>5341</v>
      </c>
      <c r="AA431" s="28" t="s">
        <v>1085</v>
      </c>
      <c r="AB431" s="28">
        <v>10.0</v>
      </c>
      <c r="AC431" s="28" t="s">
        <v>25</v>
      </c>
      <c r="AD431" s="28" t="s">
        <v>101</v>
      </c>
      <c r="AE431" s="28" t="s">
        <v>15</v>
      </c>
      <c r="AF431" s="23" t="str">
        <f>IFERROR(__xludf.DUMMYFUNCTION("TEXTJOIN("", "", TRUE,
  FILTER(Champions!C:C,
    ISNUMBER(SEARCH(C431, Champions!W:W))
  )
)"),"Mikey Bedney, Samar Deen, Vatsala Sarathy")</f>
        <v>Mikey Bedney, Samar Deen, Vatsala Sarathy</v>
      </c>
      <c r="AG431" s="23"/>
      <c r="AH431" s="23" t="str">
        <f>IFERROR(__xludf.DUMMYFUNCTION("IF(
ISNUMBER(MATCH(
C431,
IMPORTRANGE(""https://docs.google.com/spreadsheets/d/1yTh1ELC33JHYOeEdgIiEclxPRyh0zOKtlawDltfUay8"",""'Interns'!A:A""),
0
)),
""Outreach Conducted"",
"""")"),"")</f>
        <v/>
      </c>
      <c r="AI431" s="23"/>
      <c r="AJ431" s="23"/>
      <c r="AK431" s="23" t="str">
        <f>IFERROR(__xludf.DUMMYFUNCTION("XLOOKUP(C431, 
   IMPORTRANGE(""1RdEdgHYrZ33LJ7RUHj_h-qkAFL92bcVjtIdVa-UlsCw"", ""Interns!D:D""), 
   IMPORTRANGE(""1RdEdgHYrZ33LJ7RUHj_h-qkAFL92bcVjtIdVa-UlsCw"", ""Interns!M:M""), 
   ""Not Found"")"),"Contacted")</f>
        <v>Contacted</v>
      </c>
      <c r="AL431" s="23" t="str">
        <f>IFERROR(__xludf.DUMMYFUNCTION("XLOOKUP(C431, 
   IMPORTRANGE(""1RdEdgHYrZ33LJ7RUHj_h-qkAFL92bcVjtIdVa-UlsCw"", ""Interns!D:D""), 
   IMPORTRANGE(""1RdEdgHYrZ33LJ7RUHj_h-qkAFL92bcVjtIdVa-UlsCw"", ""Interns!N:N""), 
   ""Not Found"")"),"#Cheers4Careers")</f>
        <v>#Cheers4Careers</v>
      </c>
      <c r="AM431" s="23" t="str">
        <f>IFERROR(__xludf.DUMMYFUNCTION("XLOOKUP(C431, 
   IMPORTRANGE(""1RdEdgHYrZ33LJ7RUHj_h-qkAFL92bcVjtIdVa-UlsCw"", ""Interns!D:D""), 
   IMPORTRANGE(""1RdEdgHYrZ33LJ7RUHj_h-qkAFL92bcVjtIdVa-UlsCw"", ""Interns!O:O""), 
   ""Not Found"")"),"Texted on April 14 for #Cheers4Careers event")</f>
        <v>Texted on April 14 for #Cheers4Careers event</v>
      </c>
      <c r="AN431" s="23"/>
      <c r="AO431" s="23" t="s">
        <v>8177</v>
      </c>
      <c r="AP431" s="28" t="s">
        <v>5182</v>
      </c>
      <c r="AQ431" s="28" t="s">
        <v>8178</v>
      </c>
      <c r="AR431" s="23" t="s">
        <v>8179</v>
      </c>
      <c r="AS431" s="23"/>
      <c r="AT431" s="23"/>
      <c r="AU431" s="23"/>
      <c r="AV431" s="23"/>
    </row>
    <row r="432">
      <c r="A432" s="28" t="s">
        <v>5202</v>
      </c>
      <c r="B432" s="28" t="s">
        <v>5162</v>
      </c>
      <c r="C432" s="23" t="str">
        <f t="shared" si="1"/>
        <v>Sabrina Galay</v>
      </c>
      <c r="D432" s="28" t="s">
        <v>6433</v>
      </c>
      <c r="E432" s="28" t="s">
        <v>6981</v>
      </c>
      <c r="F432" s="23">
        <f t="array" ref="F432">IFERROR(
    INDEX('Hub Interns 226'!A:A, MATCH(C432, 'Hub Interns 226'!B:B, 0)),"")</f>
        <v>1052</v>
      </c>
      <c r="G432" s="23">
        <f t="array" ref="G432">IFERROR(
    INDEX('Hub Users 226'!A:A, MATCH(C432, 'Hub Users 226'!B:B, 0)),"")</f>
        <v>1485</v>
      </c>
      <c r="H432" s="28">
        <v>1212.0</v>
      </c>
      <c r="I432" s="28" t="s">
        <v>260</v>
      </c>
      <c r="J432" s="28" t="s">
        <v>5336</v>
      </c>
      <c r="K432" s="28" t="s">
        <v>5177</v>
      </c>
      <c r="L432" s="28" t="s">
        <v>5196</v>
      </c>
      <c r="M432" s="56" t="s">
        <v>8180</v>
      </c>
      <c r="N432" s="57">
        <v>44835.802083333336</v>
      </c>
      <c r="O432" s="58">
        <v>38957.0</v>
      </c>
      <c r="P432" s="28">
        <f t="shared" si="15"/>
        <v>19</v>
      </c>
      <c r="Q432" s="28" t="s">
        <v>8181</v>
      </c>
      <c r="R432" s="28" t="s">
        <v>8182</v>
      </c>
      <c r="S432" s="28"/>
      <c r="T432" s="28"/>
      <c r="U432" s="28"/>
      <c r="V432" s="28">
        <v>8.0</v>
      </c>
      <c r="W432" s="28" t="s">
        <v>859</v>
      </c>
      <c r="X432" s="28" t="s">
        <v>272</v>
      </c>
      <c r="Y432" s="28" t="s">
        <v>8183</v>
      </c>
      <c r="Z432" s="28" t="s">
        <v>5435</v>
      </c>
      <c r="AA432" s="28" t="s">
        <v>5436</v>
      </c>
      <c r="AB432" s="28">
        <v>10.0</v>
      </c>
      <c r="AC432" s="28" t="s">
        <v>25</v>
      </c>
      <c r="AD432" s="23"/>
      <c r="AE432" s="28" t="s">
        <v>15</v>
      </c>
      <c r="AF432" s="23" t="str">
        <f>IFERROR(__xludf.DUMMYFUNCTION("TEXTJOIN("", "", TRUE,
  FILTER(Champions!C:C,
    ISNUMBER(SEARCH(C432, Champions!W:W))
  )
)"),"Carmen Maldonado-Bowling, Monique Rochell Anderson")</f>
        <v>Carmen Maldonado-Bowling, Monique Rochell Anderson</v>
      </c>
      <c r="AG432" s="23"/>
      <c r="AH432" s="23" t="str">
        <f>IFERROR(__xludf.DUMMYFUNCTION("IF(
ISNUMBER(MATCH(
C432,
IMPORTRANGE(""https://docs.google.com/spreadsheets/d/1yTh1ELC33JHYOeEdgIiEclxPRyh0zOKtlawDltfUay8"",""'Interns'!A:A""),
0
)),
""Outreach Conducted"",
"""")"),"")</f>
        <v/>
      </c>
      <c r="AI432" s="23"/>
      <c r="AJ432" s="23"/>
      <c r="AK432" s="23" t="str">
        <f>IFERROR(__xludf.DUMMYFUNCTION("XLOOKUP(C432, 
   IMPORTRANGE(""1RdEdgHYrZ33LJ7RUHj_h-qkAFL92bcVjtIdVa-UlsCw"", ""Interns!D:D""), 
   IMPORTRANGE(""1RdEdgHYrZ33LJ7RUHj_h-qkAFL92bcVjtIdVa-UlsCw"", ""Interns!M:M""), 
   ""Not Found"")"),"")</f>
        <v/>
      </c>
      <c r="AL432" s="23" t="str">
        <f>IFERROR(__xludf.DUMMYFUNCTION("XLOOKUP(C432, 
   IMPORTRANGE(""1RdEdgHYrZ33LJ7RUHj_h-qkAFL92bcVjtIdVa-UlsCw"", ""Interns!D:D""), 
   IMPORTRANGE(""1RdEdgHYrZ33LJ7RUHj_h-qkAFL92bcVjtIdVa-UlsCw"", ""Interns!N:N""), 
   ""Not Found"")"),"")</f>
        <v/>
      </c>
      <c r="AM432" s="23" t="str">
        <f>IFERROR(__xludf.DUMMYFUNCTION("XLOOKUP(C432, 
   IMPORTRANGE(""1RdEdgHYrZ33LJ7RUHj_h-qkAFL92bcVjtIdVa-UlsCw"", ""Interns!D:D""), 
   IMPORTRANGE(""1RdEdgHYrZ33LJ7RUHj_h-qkAFL92bcVjtIdVa-UlsCw"", ""Interns!O:O""), 
   ""Not Found"")"),"")</f>
        <v/>
      </c>
      <c r="AN432" s="23"/>
      <c r="AO432" s="23" t="s">
        <v>8184</v>
      </c>
      <c r="AP432" s="28" t="s">
        <v>5182</v>
      </c>
      <c r="AQ432" s="28" t="s">
        <v>8185</v>
      </c>
      <c r="AR432" s="23" t="s">
        <v>8183</v>
      </c>
      <c r="AS432" s="23"/>
      <c r="AT432" s="23"/>
      <c r="AU432" s="23"/>
      <c r="AV432" s="23"/>
    </row>
    <row r="433">
      <c r="A433" s="28" t="s">
        <v>5161</v>
      </c>
      <c r="B433" s="28" t="s">
        <v>5162</v>
      </c>
      <c r="C433" s="23" t="str">
        <f t="shared" si="1"/>
        <v>Claudia Santana</v>
      </c>
      <c r="D433" s="28" t="s">
        <v>968</v>
      </c>
      <c r="E433" s="28" t="s">
        <v>2178</v>
      </c>
      <c r="F433" s="23">
        <f t="array" ref="F433">IFERROR(
    INDEX('Hub Interns 226'!A:A, MATCH(C433, 'Hub Interns 226'!B:B, 0)),"")</f>
        <v>1027</v>
      </c>
      <c r="G433" s="23">
        <f t="array" ref="G433">IFERROR(
    INDEX('Hub Users 226'!A:A, MATCH(C433, 'Hub Users 226'!B:B, 0)),"")</f>
        <v>1460</v>
      </c>
      <c r="H433" s="28">
        <v>405.0</v>
      </c>
      <c r="I433" s="28" t="s">
        <v>302</v>
      </c>
      <c r="J433" s="28" t="s">
        <v>5336</v>
      </c>
      <c r="K433" s="28" t="s">
        <v>5177</v>
      </c>
      <c r="L433" s="28" t="s">
        <v>5196</v>
      </c>
      <c r="M433" s="56" t="s">
        <v>8186</v>
      </c>
      <c r="N433" s="57">
        <v>44299.919444444444</v>
      </c>
      <c r="O433" s="58">
        <v>36962.0</v>
      </c>
      <c r="P433" s="28">
        <f t="shared" si="15"/>
        <v>25</v>
      </c>
      <c r="Q433" s="28" t="s">
        <v>240</v>
      </c>
      <c r="R433" s="28" t="s">
        <v>8187</v>
      </c>
      <c r="S433" s="28">
        <v>13.0</v>
      </c>
      <c r="T433" s="28">
        <v>31.0</v>
      </c>
      <c r="U433" s="28">
        <v>72.0</v>
      </c>
      <c r="V433" s="28">
        <v>10.0</v>
      </c>
      <c r="W433" s="28" t="s">
        <v>859</v>
      </c>
      <c r="X433" s="28" t="s">
        <v>272</v>
      </c>
      <c r="Y433" s="28" t="s">
        <v>8188</v>
      </c>
      <c r="Z433" s="28" t="s">
        <v>5435</v>
      </c>
      <c r="AA433" s="28" t="s">
        <v>7761</v>
      </c>
      <c r="AB433" s="28">
        <v>10.0</v>
      </c>
      <c r="AC433" s="28" t="s">
        <v>24</v>
      </c>
      <c r="AD433" s="23"/>
      <c r="AE433" s="28" t="s">
        <v>8</v>
      </c>
      <c r="AF433" s="23"/>
      <c r="AG433" s="23"/>
      <c r="AH433" s="23" t="str">
        <f>IFERROR(__xludf.DUMMYFUNCTION("IF(
ISNUMBER(MATCH(
C433,
IMPORTRANGE(""https://docs.google.com/spreadsheets/d/1yTh1ELC33JHYOeEdgIiEclxPRyh0zOKtlawDltfUay8"",""'Interns'!A:A""),
0
)),
""Outreach Conducted"",
"""")"),"")</f>
        <v/>
      </c>
      <c r="AI433" s="23"/>
      <c r="AJ433" s="23"/>
      <c r="AK433" s="23" t="str">
        <f>IFERROR(__xludf.DUMMYFUNCTION("XLOOKUP(C433, 
   IMPORTRANGE(""1RdEdgHYrZ33LJ7RUHj_h-qkAFL92bcVjtIdVa-UlsCw"", ""Interns!D:D""), 
   IMPORTRANGE(""1RdEdgHYrZ33LJ7RUHj_h-qkAFL92bcVjtIdVa-UlsCw"", ""Interns!M:M""), 
   ""Not Found"")"),"")</f>
        <v/>
      </c>
      <c r="AL433" s="23" t="str">
        <f>IFERROR(__xludf.DUMMYFUNCTION("XLOOKUP(C433, 
   IMPORTRANGE(""1RdEdgHYrZ33LJ7RUHj_h-qkAFL92bcVjtIdVa-UlsCw"", ""Interns!D:D""), 
   IMPORTRANGE(""1RdEdgHYrZ33LJ7RUHj_h-qkAFL92bcVjtIdVa-UlsCw"", ""Interns!N:N""), 
   ""Not Found"")"),"")</f>
        <v/>
      </c>
      <c r="AM433" s="23" t="str">
        <f>IFERROR(__xludf.DUMMYFUNCTION("XLOOKUP(C433, 
   IMPORTRANGE(""1RdEdgHYrZ33LJ7RUHj_h-qkAFL92bcVjtIdVa-UlsCw"", ""Interns!D:D""), 
   IMPORTRANGE(""1RdEdgHYrZ33LJ7RUHj_h-qkAFL92bcVjtIdVa-UlsCw"", ""Interns!O:O""), 
   ""Not Found"")"),"")</f>
        <v/>
      </c>
      <c r="AN433" s="23"/>
      <c r="AO433" s="23" t="s">
        <v>2178</v>
      </c>
      <c r="AP433" s="28" t="s">
        <v>5191</v>
      </c>
      <c r="AQ433" s="28"/>
      <c r="AR433" s="23"/>
      <c r="AS433" s="23"/>
      <c r="AT433" s="23"/>
      <c r="AU433" s="23"/>
      <c r="AV433" s="23"/>
    </row>
    <row r="434">
      <c r="A434" s="28" t="s">
        <v>5161</v>
      </c>
      <c r="B434" s="28" t="s">
        <v>5162</v>
      </c>
      <c r="C434" s="23" t="str">
        <f t="shared" si="1"/>
        <v>Emanuel Ortiz</v>
      </c>
      <c r="D434" s="28" t="s">
        <v>8189</v>
      </c>
      <c r="E434" s="28" t="s">
        <v>8190</v>
      </c>
      <c r="F434" s="23">
        <f t="array" ref="F434">IFERROR(
    INDEX('Hub Interns 226'!A:A, MATCH(C434, 'Hub Interns 226'!B:B, 0)),"")</f>
        <v>485</v>
      </c>
      <c r="G434" s="23">
        <f t="array" ref="G434">IFERROR(
    INDEX('Hub Users 226'!A:A, MATCH(C434, 'Hub Users 226'!B:B, 0)),"")</f>
        <v>918</v>
      </c>
      <c r="H434" s="28">
        <v>1243.0</v>
      </c>
      <c r="I434" s="28" t="s">
        <v>239</v>
      </c>
      <c r="J434" s="28" t="s">
        <v>5336</v>
      </c>
      <c r="K434" s="28" t="s">
        <v>5177</v>
      </c>
      <c r="L434" s="28" t="s">
        <v>5165</v>
      </c>
      <c r="M434" s="56" t="s">
        <v>8191</v>
      </c>
      <c r="N434" s="57">
        <v>44838.700694444444</v>
      </c>
      <c r="O434" s="58">
        <v>39038.0</v>
      </c>
      <c r="P434" s="28">
        <f t="shared" si="15"/>
        <v>19</v>
      </c>
      <c r="Q434" s="28" t="s">
        <v>8192</v>
      </c>
      <c r="R434" s="28" t="s">
        <v>8193</v>
      </c>
      <c r="S434" s="28">
        <v>13.0</v>
      </c>
      <c r="T434" s="28">
        <v>31.0</v>
      </c>
      <c r="U434" s="28">
        <v>72.0</v>
      </c>
      <c r="V434" s="28">
        <v>10.0</v>
      </c>
      <c r="W434" s="28" t="s">
        <v>271</v>
      </c>
      <c r="X434" s="28" t="s">
        <v>272</v>
      </c>
      <c r="Y434" s="28" t="s">
        <v>8194</v>
      </c>
      <c r="Z434" s="28" t="s">
        <v>5341</v>
      </c>
      <c r="AA434" s="28" t="s">
        <v>1085</v>
      </c>
      <c r="AB434" s="28">
        <v>10.0</v>
      </c>
      <c r="AC434" s="28" t="s">
        <v>25</v>
      </c>
      <c r="AD434" s="28" t="s">
        <v>101</v>
      </c>
      <c r="AE434" s="28" t="s">
        <v>15</v>
      </c>
      <c r="AF434" s="23" t="str">
        <f>IFERROR(__xludf.DUMMYFUNCTION("TEXTJOIN("", "", TRUE,
  FILTER(Champions!C:C,
    ISNUMBER(SEARCH(C434, Champions!W:W))
  )
)"),"John ?Nico? Johnson, Mikey Bedney, Samar Deen")</f>
        <v>John ?Nico? Johnson, Mikey Bedney, Samar Deen</v>
      </c>
      <c r="AG434" s="23"/>
      <c r="AH434" s="23" t="str">
        <f>IFERROR(__xludf.DUMMYFUNCTION("IF(
ISNUMBER(MATCH(
C434,
IMPORTRANGE(""https://docs.google.com/spreadsheets/d/1yTh1ELC33JHYOeEdgIiEclxPRyh0zOKtlawDltfUay8"",""'Interns'!A:A""),
0
)),
""Outreach Conducted"",
"""")"),"")</f>
        <v/>
      </c>
      <c r="AI434" s="23"/>
      <c r="AJ434" s="23"/>
      <c r="AK434" s="23" t="str">
        <f>IFERROR(__xludf.DUMMYFUNCTION("XLOOKUP(C434, 
   IMPORTRANGE(""1RdEdgHYrZ33LJ7RUHj_h-qkAFL92bcVjtIdVa-UlsCw"", ""Interns!D:D""), 
   IMPORTRANGE(""1RdEdgHYrZ33LJ7RUHj_h-qkAFL92bcVjtIdVa-UlsCw"", ""Interns!M:M""), 
   ""Not Found"")"),"Contacted")</f>
        <v>Contacted</v>
      </c>
      <c r="AL434" s="23" t="str">
        <f>IFERROR(__xludf.DUMMYFUNCTION("XLOOKUP(C434, 
   IMPORTRANGE(""1RdEdgHYrZ33LJ7RUHj_h-qkAFL92bcVjtIdVa-UlsCw"", ""Interns!D:D""), 
   IMPORTRANGE(""1RdEdgHYrZ33LJ7RUHj_h-qkAFL92bcVjtIdVa-UlsCw"", ""Interns!N:N""), 
   ""Not Found"")"),"#Cheers4Careers")</f>
        <v>#Cheers4Careers</v>
      </c>
      <c r="AM434" s="23" t="str">
        <f>IFERROR(__xludf.DUMMYFUNCTION("XLOOKUP(C434, 
   IMPORTRANGE(""1RdEdgHYrZ33LJ7RUHj_h-qkAFL92bcVjtIdVa-UlsCw"", ""Interns!D:D""), 
   IMPORTRANGE(""1RdEdgHYrZ33LJ7RUHj_h-qkAFL92bcVjtIdVa-UlsCw"", ""Interns!O:O""), 
   ""Not Found"")"),"Texted on April 14 for #Cheers4Careers event")</f>
        <v>Texted on April 14 for #Cheers4Careers event</v>
      </c>
      <c r="AN434" s="23"/>
      <c r="AO434" s="23" t="s">
        <v>8195</v>
      </c>
      <c r="AP434" s="28" t="s">
        <v>5182</v>
      </c>
      <c r="AQ434" s="28" t="s">
        <v>8196</v>
      </c>
      <c r="AR434" s="23" t="s">
        <v>8197</v>
      </c>
      <c r="AS434" s="23"/>
      <c r="AT434" s="23"/>
      <c r="AU434" s="23"/>
      <c r="AV434" s="23"/>
    </row>
    <row r="435">
      <c r="A435" s="28" t="s">
        <v>5161</v>
      </c>
      <c r="B435" s="28" t="s">
        <v>5162</v>
      </c>
      <c r="C435" s="23" t="str">
        <f t="shared" si="1"/>
        <v>Jayson Munoz</v>
      </c>
      <c r="D435" s="28" t="s">
        <v>8198</v>
      </c>
      <c r="E435" s="28" t="s">
        <v>6520</v>
      </c>
      <c r="F435" s="23">
        <f t="array" ref="F435">IFERROR(
    INDEX('Hub Interns 226'!A:A, MATCH(C435, 'Hub Interns 226'!B:B, 0)),"")</f>
        <v>639</v>
      </c>
      <c r="G435" s="23">
        <f t="array" ref="G435">IFERROR(
    INDEX('Hub Users 226'!A:A, MATCH(C435, 'Hub Users 226'!B:B, 0)),"")</f>
        <v>1072</v>
      </c>
      <c r="H435" s="28">
        <v>1350.0</v>
      </c>
      <c r="I435" s="28" t="s">
        <v>407</v>
      </c>
      <c r="J435" s="28" t="s">
        <v>5336</v>
      </c>
      <c r="K435" s="28" t="s">
        <v>5177</v>
      </c>
      <c r="L435" s="28" t="s">
        <v>5165</v>
      </c>
      <c r="M435" s="56" t="s">
        <v>8199</v>
      </c>
      <c r="N435" s="59">
        <v>44859.479166666664</v>
      </c>
      <c r="O435" s="58">
        <v>38830.0</v>
      </c>
      <c r="P435" s="28">
        <f t="shared" si="15"/>
        <v>20</v>
      </c>
      <c r="Q435" s="28" t="s">
        <v>8200</v>
      </c>
      <c r="R435" s="28" t="s">
        <v>8201</v>
      </c>
      <c r="S435" s="28">
        <v>13.0</v>
      </c>
      <c r="T435" s="28">
        <v>31.0</v>
      </c>
      <c r="U435" s="28">
        <v>72.0</v>
      </c>
      <c r="V435" s="28">
        <v>10.0</v>
      </c>
      <c r="W435" s="28" t="s">
        <v>271</v>
      </c>
      <c r="X435" s="28" t="s">
        <v>272</v>
      </c>
      <c r="Y435" s="28" t="s">
        <v>8202</v>
      </c>
      <c r="Z435" s="28" t="s">
        <v>5341</v>
      </c>
      <c r="AA435" s="28" t="s">
        <v>1085</v>
      </c>
      <c r="AB435" s="28">
        <v>10.0</v>
      </c>
      <c r="AC435" s="28" t="s">
        <v>25</v>
      </c>
      <c r="AD435" s="23"/>
      <c r="AE435" s="28" t="s">
        <v>15</v>
      </c>
      <c r="AF435" s="23" t="str">
        <f>IFERROR(__xludf.DUMMYFUNCTION("TEXTJOIN("", "", TRUE,
  FILTER(Champions!C:C,
    ISNUMBER(SEARCH(C435, Champions!W:W))
  )
)"),"Christa Neu, Min Jung Park, Samar Deen")</f>
        <v>Christa Neu, Min Jung Park, Samar Deen</v>
      </c>
      <c r="AG435" s="26" t="s">
        <v>5342</v>
      </c>
      <c r="AH435" s="23" t="str">
        <f>IFERROR(__xludf.DUMMYFUNCTION("IF(
ISNUMBER(MATCH(
C435,
IMPORTRANGE(""https://docs.google.com/spreadsheets/d/1yTh1ELC33JHYOeEdgIiEclxPRyh0zOKtlawDltfUay8"",""'Interns'!A:A""),
0
)),
""Outreach Conducted"",
"""")"),"")</f>
        <v/>
      </c>
      <c r="AI435" s="23"/>
      <c r="AJ435" s="23"/>
      <c r="AK435" s="23" t="str">
        <f>IFERROR(__xludf.DUMMYFUNCTION("XLOOKUP(C435, 
   IMPORTRANGE(""1RdEdgHYrZ33LJ7RUHj_h-qkAFL92bcVjtIdVa-UlsCw"", ""Interns!D:D""), 
   IMPORTRANGE(""1RdEdgHYrZ33LJ7RUHj_h-qkAFL92bcVjtIdVa-UlsCw"", ""Interns!M:M""), 
   ""Not Found"")"),"Contacted")</f>
        <v>Contacted</v>
      </c>
      <c r="AL435" s="23" t="str">
        <f>IFERROR(__xludf.DUMMYFUNCTION("XLOOKUP(C435, 
   IMPORTRANGE(""1RdEdgHYrZ33LJ7RUHj_h-qkAFL92bcVjtIdVa-UlsCw"", ""Interns!D:D""), 
   IMPORTRANGE(""1RdEdgHYrZ33LJ7RUHj_h-qkAFL92bcVjtIdVa-UlsCw"", ""Interns!N:N""), 
   ""Not Found"")"),"#Cheers4Careers")</f>
        <v>#Cheers4Careers</v>
      </c>
      <c r="AM435" s="23" t="str">
        <f>IFERROR(__xludf.DUMMYFUNCTION("XLOOKUP(C435, 
   IMPORTRANGE(""1RdEdgHYrZ33LJ7RUHj_h-qkAFL92bcVjtIdVa-UlsCw"", ""Interns!D:D""), 
   IMPORTRANGE(""1RdEdgHYrZ33LJ7RUHj_h-qkAFL92bcVjtIdVa-UlsCw"", ""Interns!O:O""), 
   ""Not Found"")"),"Texted on April 14 for #Cheers4Careers event")</f>
        <v>Texted on April 14 for #Cheers4Careers event</v>
      </c>
      <c r="AN435" s="23"/>
      <c r="AO435" s="23" t="s">
        <v>8203</v>
      </c>
      <c r="AP435" s="28" t="s">
        <v>5182</v>
      </c>
      <c r="AQ435" s="28" t="s">
        <v>8204</v>
      </c>
      <c r="AR435" s="23" t="s">
        <v>8205</v>
      </c>
      <c r="AS435" s="23"/>
      <c r="AT435" s="23"/>
      <c r="AU435" s="23"/>
      <c r="AV435" s="23"/>
    </row>
    <row r="436">
      <c r="A436" s="28" t="s">
        <v>5202</v>
      </c>
      <c r="B436" s="28" t="s">
        <v>5162</v>
      </c>
      <c r="C436" s="23" t="str">
        <f t="shared" si="1"/>
        <v>Alfredo Rodriguez</v>
      </c>
      <c r="D436" s="28" t="s">
        <v>8206</v>
      </c>
      <c r="E436" s="28" t="s">
        <v>536</v>
      </c>
      <c r="F436" s="23">
        <f t="array" ref="F436">IFERROR(
    INDEX('Hub Interns 226'!A:A, MATCH(C436, 'Hub Interns 226'!B:B, 0)),"")</f>
        <v>190</v>
      </c>
      <c r="G436" s="23">
        <f t="array" ref="G436">IFERROR(
    INDEX('Hub Users 226'!A:A, MATCH(C436, 'Hub Users 226'!B:B, 0)),"")</f>
        <v>623</v>
      </c>
      <c r="H436" s="28">
        <v>1034.0</v>
      </c>
      <c r="I436" s="28"/>
      <c r="J436" s="28" t="s">
        <v>5336</v>
      </c>
      <c r="K436" s="28" t="s">
        <v>5177</v>
      </c>
      <c r="L436" s="28" t="s">
        <v>5165</v>
      </c>
      <c r="M436" s="56" t="s">
        <v>8207</v>
      </c>
      <c r="N436" s="57">
        <v>44665.62986111111</v>
      </c>
      <c r="O436" s="58">
        <v>38341.0</v>
      </c>
      <c r="P436" s="28">
        <f t="shared" si="15"/>
        <v>21</v>
      </c>
      <c r="Q436" s="28" t="s">
        <v>240</v>
      </c>
      <c r="R436" s="28" t="s">
        <v>8208</v>
      </c>
      <c r="S436" s="28"/>
      <c r="T436" s="28"/>
      <c r="U436" s="28"/>
      <c r="V436" s="28"/>
      <c r="W436" s="28" t="s">
        <v>859</v>
      </c>
      <c r="X436" s="28" t="s">
        <v>272</v>
      </c>
      <c r="Y436" s="28" t="s">
        <v>8209</v>
      </c>
      <c r="Z436" s="28" t="s">
        <v>5310</v>
      </c>
      <c r="AA436" s="28" t="s">
        <v>362</v>
      </c>
      <c r="AB436" s="28">
        <v>16.0</v>
      </c>
      <c r="AC436" s="28" t="s">
        <v>24</v>
      </c>
      <c r="AD436" s="23"/>
      <c r="AE436" s="28" t="s">
        <v>10</v>
      </c>
      <c r="AF436" s="23"/>
      <c r="AG436" s="23"/>
      <c r="AH436" s="23" t="str">
        <f>IFERROR(__xludf.DUMMYFUNCTION("IF(
ISNUMBER(MATCH(
C436,
IMPORTRANGE(""https://docs.google.com/spreadsheets/d/1yTh1ELC33JHYOeEdgIiEclxPRyh0zOKtlawDltfUay8"",""'Interns'!A:A""),
0
)),
""Outreach Conducted"",
"""")"),"")</f>
        <v/>
      </c>
      <c r="AI436" s="23"/>
      <c r="AJ436" s="23"/>
      <c r="AK436" s="23" t="str">
        <f>IFERROR(__xludf.DUMMYFUNCTION("XLOOKUP(C436, 
   IMPORTRANGE(""1RdEdgHYrZ33LJ7RUHj_h-qkAFL92bcVjtIdVa-UlsCw"", ""Interns!D:D""), 
   IMPORTRANGE(""1RdEdgHYrZ33LJ7RUHj_h-qkAFL92bcVjtIdVa-UlsCw"", ""Interns!M:M""), 
   ""Not Found"")"),"")</f>
        <v/>
      </c>
      <c r="AL436" s="23" t="str">
        <f>IFERROR(__xludf.DUMMYFUNCTION("XLOOKUP(C436, 
   IMPORTRANGE(""1RdEdgHYrZ33LJ7RUHj_h-qkAFL92bcVjtIdVa-UlsCw"", ""Interns!D:D""), 
   IMPORTRANGE(""1RdEdgHYrZ33LJ7RUHj_h-qkAFL92bcVjtIdVa-UlsCw"", ""Interns!N:N""), 
   ""Not Found"")"),"")</f>
        <v/>
      </c>
      <c r="AM436" s="23" t="str">
        <f>IFERROR(__xludf.DUMMYFUNCTION("XLOOKUP(C436, 
   IMPORTRANGE(""1RdEdgHYrZ33LJ7RUHj_h-qkAFL92bcVjtIdVa-UlsCw"", ""Interns!D:D""), 
   IMPORTRANGE(""1RdEdgHYrZ33LJ7RUHj_h-qkAFL92bcVjtIdVa-UlsCw"", ""Interns!O:O""), 
   ""Not Found"")"),"")</f>
        <v/>
      </c>
      <c r="AN436" s="23"/>
      <c r="AO436" s="23" t="s">
        <v>8210</v>
      </c>
      <c r="AP436" s="28" t="s">
        <v>5191</v>
      </c>
      <c r="AQ436" s="28"/>
      <c r="AR436" s="23"/>
      <c r="AS436" s="23"/>
      <c r="AT436" s="23"/>
      <c r="AU436" s="23"/>
      <c r="AV436" s="23"/>
    </row>
    <row r="437">
      <c r="A437" s="28" t="s">
        <v>5161</v>
      </c>
      <c r="B437" s="28" t="s">
        <v>5162</v>
      </c>
      <c r="C437" s="23" t="str">
        <f t="shared" si="1"/>
        <v>Cristian Rodriguez</v>
      </c>
      <c r="D437" s="28" t="s">
        <v>8211</v>
      </c>
      <c r="E437" s="28" t="s">
        <v>536</v>
      </c>
      <c r="F437" s="23">
        <f t="array" ref="F437">IFERROR(
    INDEX('Hub Interns 226'!A:A, MATCH(C437, 'Hub Interns 226'!B:B, 0)),"")</f>
        <v>390</v>
      </c>
      <c r="G437" s="23">
        <f t="array" ref="G437">IFERROR(
    INDEX('Hub Users 226'!A:A, MATCH(C437, 'Hub Users 226'!B:B, 0)),"")</f>
        <v>823</v>
      </c>
      <c r="H437" s="28">
        <v>810.0</v>
      </c>
      <c r="I437" s="28" t="s">
        <v>239</v>
      </c>
      <c r="J437" s="28" t="s">
        <v>5336</v>
      </c>
      <c r="K437" s="28" t="s">
        <v>5177</v>
      </c>
      <c r="L437" s="28" t="s">
        <v>5165</v>
      </c>
      <c r="M437" s="56" t="s">
        <v>8212</v>
      </c>
      <c r="N437" s="57">
        <v>44568.77291666667</v>
      </c>
      <c r="O437" s="58">
        <v>38962.0</v>
      </c>
      <c r="P437" s="28">
        <f t="shared" si="15"/>
        <v>19</v>
      </c>
      <c r="Q437" s="28" t="s">
        <v>8213</v>
      </c>
      <c r="R437" s="28" t="s">
        <v>8214</v>
      </c>
      <c r="S437" s="28">
        <v>13.0</v>
      </c>
      <c r="T437" s="28">
        <v>31.0</v>
      </c>
      <c r="U437" s="28">
        <v>72.0</v>
      </c>
      <c r="V437" s="28">
        <v>10.0</v>
      </c>
      <c r="W437" s="28" t="s">
        <v>271</v>
      </c>
      <c r="X437" s="28" t="s">
        <v>272</v>
      </c>
      <c r="Y437" s="28" t="s">
        <v>8215</v>
      </c>
      <c r="Z437" s="28" t="s">
        <v>5341</v>
      </c>
      <c r="AA437" s="28" t="s">
        <v>1085</v>
      </c>
      <c r="AB437" s="28">
        <v>10.0</v>
      </c>
      <c r="AC437" s="28" t="s">
        <v>25</v>
      </c>
      <c r="AD437" s="23"/>
      <c r="AE437" s="28" t="s">
        <v>10</v>
      </c>
      <c r="AF437" s="23" t="str">
        <f>IFERROR(__xludf.DUMMYFUNCTION("TEXTJOIN("", "", TRUE,
  FILTER(Champions!C:C,
    ISNUMBER(SEARCH(C437, Champions!W:W))
  )
)"),"Louise Malone")</f>
        <v>Louise Malone</v>
      </c>
      <c r="AG437" s="23"/>
      <c r="AH437" s="23" t="str">
        <f>IFERROR(__xludf.DUMMYFUNCTION("IF(
ISNUMBER(MATCH(
C437,
IMPORTRANGE(""https://docs.google.com/spreadsheets/d/1yTh1ELC33JHYOeEdgIiEclxPRyh0zOKtlawDltfUay8"",""'Interns'!A:A""),
0
)),
""Outreach Conducted"",
"""")"),"")</f>
        <v/>
      </c>
      <c r="AI437" s="23"/>
      <c r="AJ437" s="23"/>
      <c r="AK437" s="23" t="str">
        <f>IFERROR(__xludf.DUMMYFUNCTION("XLOOKUP(C437, 
   IMPORTRANGE(""1RdEdgHYrZ33LJ7RUHj_h-qkAFL92bcVjtIdVa-UlsCw"", ""Interns!D:D""), 
   IMPORTRANGE(""1RdEdgHYrZ33LJ7RUHj_h-qkAFL92bcVjtIdVa-UlsCw"", ""Interns!M:M""), 
   ""Not Found"")"),"Contacted")</f>
        <v>Contacted</v>
      </c>
      <c r="AL437" s="23" t="str">
        <f>IFERROR(__xludf.DUMMYFUNCTION("XLOOKUP(C437, 
   IMPORTRANGE(""1RdEdgHYrZ33LJ7RUHj_h-qkAFL92bcVjtIdVa-UlsCw"", ""Interns!D:D""), 
   IMPORTRANGE(""1RdEdgHYrZ33LJ7RUHj_h-qkAFL92bcVjtIdVa-UlsCw"", ""Interns!N:N""), 
   ""Not Found"")"),"#Cheers4Careers")</f>
        <v>#Cheers4Careers</v>
      </c>
      <c r="AM437" s="23" t="str">
        <f>IFERROR(__xludf.DUMMYFUNCTION("XLOOKUP(C437, 
   IMPORTRANGE(""1RdEdgHYrZ33LJ7RUHj_h-qkAFL92bcVjtIdVa-UlsCw"", ""Interns!D:D""), 
   IMPORTRANGE(""1RdEdgHYrZ33LJ7RUHj_h-qkAFL92bcVjtIdVa-UlsCw"", ""Interns!O:O""), 
   ""Not Found"")"),"Texted on April 12 for #Cheers4Careers event")</f>
        <v>Texted on April 12 for #Cheers4Careers event</v>
      </c>
      <c r="AN437" s="23"/>
      <c r="AO437" s="23" t="s">
        <v>8216</v>
      </c>
      <c r="AP437" s="28" t="s">
        <v>5182</v>
      </c>
      <c r="AQ437" s="28" t="s">
        <v>8217</v>
      </c>
      <c r="AR437" s="23" t="s">
        <v>8218</v>
      </c>
      <c r="AS437" s="23"/>
      <c r="AT437" s="23"/>
      <c r="AU437" s="23"/>
      <c r="AV437" s="23"/>
    </row>
    <row r="438">
      <c r="A438" s="28" t="s">
        <v>5161</v>
      </c>
      <c r="B438" s="28" t="s">
        <v>5162</v>
      </c>
      <c r="C438" s="23" t="str">
        <f t="shared" si="1"/>
        <v>Ciara Cruz</v>
      </c>
      <c r="D438" s="28" t="s">
        <v>8219</v>
      </c>
      <c r="E438" s="28" t="s">
        <v>4683</v>
      </c>
      <c r="F438" s="23">
        <f t="array" ref="F438">IFERROR(
    INDEX('Hub Interns 226'!A:A, MATCH(C438, 'Hub Interns 226'!B:B, 0)),"")</f>
        <v>373</v>
      </c>
      <c r="G438" s="23">
        <f t="array" ref="G438">IFERROR(
    INDEX('Hub Users 226'!A:A, MATCH(C438, 'Hub Users 226'!B:B, 0)),"")</f>
        <v>806</v>
      </c>
      <c r="H438" s="28">
        <v>789.0</v>
      </c>
      <c r="I438" s="28" t="s">
        <v>608</v>
      </c>
      <c r="J438" s="28" t="s">
        <v>5336</v>
      </c>
      <c r="K438" s="28" t="s">
        <v>5177</v>
      </c>
      <c r="L438" s="28" t="s">
        <v>5196</v>
      </c>
      <c r="M438" s="56" t="s">
        <v>8220</v>
      </c>
      <c r="N438" s="59">
        <v>44553.88402777778</v>
      </c>
      <c r="O438" s="58">
        <v>38583.0</v>
      </c>
      <c r="P438" s="28">
        <f t="shared" si="15"/>
        <v>20</v>
      </c>
      <c r="Q438" s="28" t="s">
        <v>240</v>
      </c>
      <c r="R438" s="28" t="s">
        <v>8221</v>
      </c>
      <c r="S438" s="28">
        <v>13.0</v>
      </c>
      <c r="T438" s="28">
        <v>31.0</v>
      </c>
      <c r="U438" s="28">
        <v>72.0</v>
      </c>
      <c r="V438" s="28">
        <v>10.0</v>
      </c>
      <c r="W438" s="28" t="s">
        <v>271</v>
      </c>
      <c r="X438" s="28" t="s">
        <v>272</v>
      </c>
      <c r="Y438" s="28" t="s">
        <v>8222</v>
      </c>
      <c r="Z438" s="28" t="s">
        <v>5341</v>
      </c>
      <c r="AA438" s="28" t="s">
        <v>1085</v>
      </c>
      <c r="AB438" s="28">
        <v>10.0</v>
      </c>
      <c r="AC438" s="28" t="s">
        <v>25</v>
      </c>
      <c r="AD438" s="23"/>
      <c r="AE438" s="28" t="s">
        <v>10</v>
      </c>
      <c r="AF438" s="23" t="str">
        <f>IFERROR(__xludf.DUMMYFUNCTION("TEXTJOIN("", "", TRUE,
  FILTER(Champions!C:C,
    ISNUMBER(SEARCH(C438, Champions!W:W))
  )
)"),"Fatima Ramadan Sanz, Waad Massoud")</f>
        <v>Fatima Ramadan Sanz, Waad Massoud</v>
      </c>
      <c r="AG438" s="23"/>
      <c r="AH438" s="23" t="str">
        <f>IFERROR(__xludf.DUMMYFUNCTION("IF(
ISNUMBER(MATCH(
C438,
IMPORTRANGE(""https://docs.google.com/spreadsheets/d/1yTh1ELC33JHYOeEdgIiEclxPRyh0zOKtlawDltfUay8"",""'Interns'!A:A""),
0
)),
""Outreach Conducted"",
"""")"),"")</f>
        <v/>
      </c>
      <c r="AI438" s="23"/>
      <c r="AJ438" s="23"/>
      <c r="AK438" s="23" t="str">
        <f>IFERROR(__xludf.DUMMYFUNCTION("XLOOKUP(C438, 
   IMPORTRANGE(""1RdEdgHYrZ33LJ7RUHj_h-qkAFL92bcVjtIdVa-UlsCw"", ""Interns!D:D""), 
   IMPORTRANGE(""1RdEdgHYrZ33LJ7RUHj_h-qkAFL92bcVjtIdVa-UlsCw"", ""Interns!M:M""), 
   ""Not Found"")"),"Contacted")</f>
        <v>Contacted</v>
      </c>
      <c r="AL438" s="23" t="str">
        <f>IFERROR(__xludf.DUMMYFUNCTION("XLOOKUP(C438, 
   IMPORTRANGE(""1RdEdgHYrZ33LJ7RUHj_h-qkAFL92bcVjtIdVa-UlsCw"", ""Interns!D:D""), 
   IMPORTRANGE(""1RdEdgHYrZ33LJ7RUHj_h-qkAFL92bcVjtIdVa-UlsCw"", ""Interns!N:N""), 
   ""Not Found"")"),"#Cheers4Careers")</f>
        <v>#Cheers4Careers</v>
      </c>
      <c r="AM438" s="23" t="str">
        <f>IFERROR(__xludf.DUMMYFUNCTION("XLOOKUP(C438, 
   IMPORTRANGE(""1RdEdgHYrZ33LJ7RUHj_h-qkAFL92bcVjtIdVa-UlsCw"", ""Interns!D:D""), 
   IMPORTRANGE(""1RdEdgHYrZ33LJ7RUHj_h-qkAFL92bcVjtIdVa-UlsCw"", ""Interns!O:O""), 
   ""Not Found"")"),"Hetal reached out March 27 for March #Cheers4 Careers and texted")</f>
        <v>Hetal reached out March 27 for March #Cheers4 Careers and texted</v>
      </c>
      <c r="AN438" s="23"/>
      <c r="AO438" s="23" t="s">
        <v>8223</v>
      </c>
      <c r="AP438" s="28" t="s">
        <v>5182</v>
      </c>
      <c r="AQ438" s="28" t="s">
        <v>8224</v>
      </c>
      <c r="AR438" s="23" t="s">
        <v>8225</v>
      </c>
      <c r="AS438" s="23"/>
      <c r="AT438" s="23"/>
      <c r="AU438" s="23"/>
      <c r="AV438" s="23"/>
    </row>
    <row r="439">
      <c r="A439" s="28" t="s">
        <v>5161</v>
      </c>
      <c r="B439" s="28" t="s">
        <v>5162</v>
      </c>
      <c r="C439" s="23" t="str">
        <f t="shared" si="1"/>
        <v>Jeyrent Cid Martinez</v>
      </c>
      <c r="D439" s="28" t="s">
        <v>8226</v>
      </c>
      <c r="E439" s="28" t="s">
        <v>8227</v>
      </c>
      <c r="F439" s="23">
        <f t="array" ref="F439">IFERROR(
    INDEX('Hub Interns 226'!A:A, MATCH(C439, 'Hub Interns 226'!B:B, 0)),"")</f>
        <v>658</v>
      </c>
      <c r="G439" s="23">
        <f t="array" ref="G439">IFERROR(
    INDEX('Hub Users 226'!A:A, MATCH(C439, 'Hub Users 226'!B:B, 0)),"")</f>
        <v>1091</v>
      </c>
      <c r="H439" s="28">
        <v>1277.0</v>
      </c>
      <c r="I439" s="28" t="s">
        <v>239</v>
      </c>
      <c r="J439" s="28" t="s">
        <v>5336</v>
      </c>
      <c r="K439" s="28" t="s">
        <v>5177</v>
      </c>
      <c r="L439" s="28" t="s">
        <v>5165</v>
      </c>
      <c r="M439" s="56" t="s">
        <v>8228</v>
      </c>
      <c r="N439" s="59">
        <v>44845.60625</v>
      </c>
      <c r="O439" s="58">
        <v>39001.0</v>
      </c>
      <c r="P439" s="28">
        <f t="shared" si="15"/>
        <v>19</v>
      </c>
      <c r="Q439" s="28" t="s">
        <v>8229</v>
      </c>
      <c r="R439" s="28" t="s">
        <v>8230</v>
      </c>
      <c r="S439" s="28">
        <v>15.0</v>
      </c>
      <c r="T439" s="28">
        <v>33.0</v>
      </c>
      <c r="U439" s="28">
        <v>81.0</v>
      </c>
      <c r="V439" s="28">
        <v>11.0</v>
      </c>
      <c r="W439" s="28" t="s">
        <v>859</v>
      </c>
      <c r="X439" s="28" t="s">
        <v>272</v>
      </c>
      <c r="Y439" s="28" t="s">
        <v>8231</v>
      </c>
      <c r="Z439" s="28" t="s">
        <v>5341</v>
      </c>
      <c r="AA439" s="28" t="s">
        <v>1085</v>
      </c>
      <c r="AB439" s="28">
        <v>10.0</v>
      </c>
      <c r="AC439" s="28" t="s">
        <v>25</v>
      </c>
      <c r="AD439" s="23"/>
      <c r="AE439" s="28" t="s">
        <v>15</v>
      </c>
      <c r="AF439" s="23" t="str">
        <f>IFERROR(__xludf.DUMMYFUNCTION("TEXTJOIN("", "", TRUE,
  FILTER(Champions!C:C,
    ISNUMBER(SEARCH(C439, Champions!W:W))
  )
)"),"Jason Alafgani, Mikey Bedney, Samar Deen")</f>
        <v>Jason Alafgani, Mikey Bedney, Samar Deen</v>
      </c>
      <c r="AG439" s="23"/>
      <c r="AH439" s="23" t="str">
        <f>IFERROR(__xludf.DUMMYFUNCTION("IF(
ISNUMBER(MATCH(
C439,
IMPORTRANGE(""https://docs.google.com/spreadsheets/d/1yTh1ELC33JHYOeEdgIiEclxPRyh0zOKtlawDltfUay8"",""'Interns'!A:A""),
0
)),
""Outreach Conducted"",
"""")"),"")</f>
        <v/>
      </c>
      <c r="AI439" s="23"/>
      <c r="AJ439" s="23"/>
      <c r="AK439" s="23" t="str">
        <f>IFERROR(__xludf.DUMMYFUNCTION("XLOOKUP(C439, 
   IMPORTRANGE(""1RdEdgHYrZ33LJ7RUHj_h-qkAFL92bcVjtIdVa-UlsCw"", ""Interns!D:D""), 
   IMPORTRANGE(""1RdEdgHYrZ33LJ7RUHj_h-qkAFL92bcVjtIdVa-UlsCw"", ""Interns!M:M""), 
   ""Not Found"")"),"Contacted")</f>
        <v>Contacted</v>
      </c>
      <c r="AL439" s="23" t="str">
        <f>IFERROR(__xludf.DUMMYFUNCTION("XLOOKUP(C439, 
   IMPORTRANGE(""1RdEdgHYrZ33LJ7RUHj_h-qkAFL92bcVjtIdVa-UlsCw"", ""Interns!D:D""), 
   IMPORTRANGE(""1RdEdgHYrZ33LJ7RUHj_h-qkAFL92bcVjtIdVa-UlsCw"", ""Interns!N:N""), 
   ""Not Found"")"),"#Cheers4Careers")</f>
        <v>#Cheers4Careers</v>
      </c>
      <c r="AM439" s="23" t="str">
        <f>IFERROR(__xludf.DUMMYFUNCTION("XLOOKUP(C439, 
   IMPORTRANGE(""1RdEdgHYrZ33LJ7RUHj_h-qkAFL92bcVjtIdVa-UlsCw"", ""Interns!D:D""), 
   IMPORTRANGE(""1RdEdgHYrZ33LJ7RUHj_h-qkAFL92bcVjtIdVa-UlsCw"", ""Interns!O:O""), 
   ""Not Found"")"),"Texted on April 14 for #Cheers4Careers event")</f>
        <v>Texted on April 14 for #Cheers4Careers event</v>
      </c>
      <c r="AN439" s="23"/>
      <c r="AO439" s="23" t="s">
        <v>8232</v>
      </c>
      <c r="AP439" s="28" t="s">
        <v>5182</v>
      </c>
      <c r="AQ439" s="28" t="s">
        <v>8233</v>
      </c>
      <c r="AR439" s="23" t="s">
        <v>8231</v>
      </c>
      <c r="AS439" s="23"/>
      <c r="AT439" s="23"/>
      <c r="AU439" s="23"/>
      <c r="AV439" s="23"/>
    </row>
    <row r="440">
      <c r="A440" s="28" t="s">
        <v>5161</v>
      </c>
      <c r="B440" s="28" t="s">
        <v>5162</v>
      </c>
      <c r="C440" s="23" t="str">
        <f t="shared" si="1"/>
        <v>Yoleinny Sosa Marte</v>
      </c>
      <c r="D440" s="28" t="s">
        <v>8234</v>
      </c>
      <c r="E440" s="28" t="s">
        <v>8235</v>
      </c>
      <c r="F440" s="23">
        <f t="array" ref="F440">IFERROR(
    INDEX('Hub Interns 226'!A:A, MATCH(C440, 'Hub Interns 226'!B:B, 0)),"")</f>
        <v>1362</v>
      </c>
      <c r="G440" s="23">
        <f t="array" ref="G440">IFERROR(
    INDEX('Hub Users 226'!A:A, MATCH(C440, 'Hub Users 226'!B:B, 0)),"")</f>
        <v>1902</v>
      </c>
      <c r="H440" s="28">
        <v>1768.0</v>
      </c>
      <c r="I440" s="28" t="s">
        <v>608</v>
      </c>
      <c r="J440" s="28" t="s">
        <v>5336</v>
      </c>
      <c r="K440" s="28" t="s">
        <v>5177</v>
      </c>
      <c r="L440" s="28" t="s">
        <v>5196</v>
      </c>
      <c r="M440" s="56" t="s">
        <v>8236</v>
      </c>
      <c r="N440" s="57">
        <v>45307.60208333333</v>
      </c>
      <c r="O440" s="58">
        <v>39043.0</v>
      </c>
      <c r="P440" s="28">
        <f t="shared" si="15"/>
        <v>19</v>
      </c>
      <c r="Q440" s="28" t="s">
        <v>8237</v>
      </c>
      <c r="R440" s="28" t="s">
        <v>8238</v>
      </c>
      <c r="S440" s="28">
        <v>14.0</v>
      </c>
      <c r="T440" s="28">
        <v>29.0</v>
      </c>
      <c r="U440" s="28">
        <v>84.0</v>
      </c>
      <c r="V440" s="28">
        <v>8.0</v>
      </c>
      <c r="W440" s="28" t="s">
        <v>859</v>
      </c>
      <c r="X440" s="28" t="s">
        <v>272</v>
      </c>
      <c r="Y440" s="28">
        <v>9.178255947E9</v>
      </c>
      <c r="Z440" s="28" t="s">
        <v>5918</v>
      </c>
      <c r="AA440" s="28" t="s">
        <v>477</v>
      </c>
      <c r="AB440" s="28">
        <v>15.0</v>
      </c>
      <c r="AC440" s="28" t="s">
        <v>25</v>
      </c>
      <c r="AD440" s="23"/>
      <c r="AE440" s="28" t="s">
        <v>18</v>
      </c>
      <c r="AF440" s="23" t="str">
        <f>IFERROR(__xludf.DUMMYFUNCTION("TEXTJOIN("", "", TRUE,
  FILTER(Champions!C:C,
    ISNUMBER(SEARCH(C440, Champions!W:W))
  )
)"),"Addy Michelle Jimenez Haga, Jonathan Pinque")</f>
        <v>Addy Michelle Jimenez Haga, Jonathan Pinque</v>
      </c>
      <c r="AG440" s="23"/>
      <c r="AH440" s="23" t="str">
        <f>IFERROR(__xludf.DUMMYFUNCTION("IF(
ISNUMBER(MATCH(
C440,
IMPORTRANGE(""https://docs.google.com/spreadsheets/d/1yTh1ELC33JHYOeEdgIiEclxPRyh0zOKtlawDltfUay8"",""'Interns'!A:A""),
0
)),
""Outreach Conducted"",
"""")"),"")</f>
        <v/>
      </c>
      <c r="AI440" s="23"/>
      <c r="AJ440" s="23"/>
      <c r="AK440" s="23" t="str">
        <f>IFERROR(__xludf.DUMMYFUNCTION("XLOOKUP(C440, 
   IMPORTRANGE(""1RdEdgHYrZ33LJ7RUHj_h-qkAFL92bcVjtIdVa-UlsCw"", ""Interns!D:D""), 
   IMPORTRANGE(""1RdEdgHYrZ33LJ7RUHj_h-qkAFL92bcVjtIdVa-UlsCw"", ""Interns!M:M""), 
   ""Not Found"")"),"")</f>
        <v/>
      </c>
      <c r="AL440" s="23" t="str">
        <f>IFERROR(__xludf.DUMMYFUNCTION("XLOOKUP(C440, 
   IMPORTRANGE(""1RdEdgHYrZ33LJ7RUHj_h-qkAFL92bcVjtIdVa-UlsCw"", ""Interns!D:D""), 
   IMPORTRANGE(""1RdEdgHYrZ33LJ7RUHj_h-qkAFL92bcVjtIdVa-UlsCw"", ""Interns!N:N""), 
   ""Not Found"")"),"")</f>
        <v/>
      </c>
      <c r="AM440" s="23" t="str">
        <f>IFERROR(__xludf.DUMMYFUNCTION("XLOOKUP(C440, 
   IMPORTRANGE(""1RdEdgHYrZ33LJ7RUHj_h-qkAFL92bcVjtIdVa-UlsCw"", ""Interns!D:D""), 
   IMPORTRANGE(""1RdEdgHYrZ33LJ7RUHj_h-qkAFL92bcVjtIdVa-UlsCw"", ""Interns!O:O""), 
   ""Not Found"")"),"")</f>
        <v/>
      </c>
      <c r="AN440" s="23"/>
      <c r="AO440" s="23" t="s">
        <v>8239</v>
      </c>
      <c r="AP440" s="28" t="s">
        <v>5880</v>
      </c>
      <c r="AQ440" s="28" t="s">
        <v>8236</v>
      </c>
      <c r="AR440" s="23">
        <v>9.178650607E9</v>
      </c>
      <c r="AS440" s="23"/>
      <c r="AT440" s="23"/>
      <c r="AU440" s="23"/>
      <c r="AV440" s="23"/>
    </row>
    <row r="441">
      <c r="A441" s="28" t="s">
        <v>5202</v>
      </c>
      <c r="B441" s="28" t="s">
        <v>5162</v>
      </c>
      <c r="C441" s="23" t="str">
        <f t="shared" si="1"/>
        <v>Axel Almonte</v>
      </c>
      <c r="D441" s="28" t="s">
        <v>8240</v>
      </c>
      <c r="E441" s="28" t="s">
        <v>8241</v>
      </c>
      <c r="F441" s="23">
        <f t="array" ref="F441">IFERROR(
    INDEX('Hub Interns 226'!A:A, MATCH(C441, 'Hub Interns 226'!B:B, 0)),"")</f>
        <v>279</v>
      </c>
      <c r="G441" s="23">
        <f t="array" ref="G441">IFERROR(
    INDEX('Hub Users 226'!A:A, MATCH(C441, 'Hub Users 226'!B:B, 0)),"")</f>
        <v>712</v>
      </c>
      <c r="H441" s="28">
        <v>749.0</v>
      </c>
      <c r="I441" s="28" t="s">
        <v>260</v>
      </c>
      <c r="J441" s="28" t="s">
        <v>5336</v>
      </c>
      <c r="K441" s="28" t="s">
        <v>5177</v>
      </c>
      <c r="L441" s="28" t="s">
        <v>5165</v>
      </c>
      <c r="M441" s="56" t="s">
        <v>8242</v>
      </c>
      <c r="N441" s="59">
        <v>44551.561111111114</v>
      </c>
      <c r="O441" s="58">
        <v>38489.0</v>
      </c>
      <c r="P441" s="28">
        <f t="shared" si="15"/>
        <v>21</v>
      </c>
      <c r="Q441" s="28" t="s">
        <v>8243</v>
      </c>
      <c r="R441" s="28" t="s">
        <v>8244</v>
      </c>
      <c r="S441" s="28">
        <v>5.0</v>
      </c>
      <c r="T441" s="28">
        <v>14.0</v>
      </c>
      <c r="U441" s="28">
        <v>33.0</v>
      </c>
      <c r="V441" s="28">
        <v>27.0</v>
      </c>
      <c r="W441" s="28" t="s">
        <v>1173</v>
      </c>
      <c r="X441" s="28" t="s">
        <v>272</v>
      </c>
      <c r="Y441" s="28" t="s">
        <v>8245</v>
      </c>
      <c r="Z441" s="28" t="s">
        <v>5483</v>
      </c>
      <c r="AA441" s="28" t="s">
        <v>457</v>
      </c>
      <c r="AB441" s="28">
        <v>25.0</v>
      </c>
      <c r="AC441" s="28" t="s">
        <v>25</v>
      </c>
      <c r="AD441" s="23"/>
      <c r="AE441" s="28" t="s">
        <v>10</v>
      </c>
      <c r="AF441" s="23" t="str">
        <f>IFERROR(__xludf.DUMMYFUNCTION("TEXTJOIN("", "", TRUE,
  FILTER(Champions!C:C,
    ISNUMBER(SEARCH(C441, Champions!W:W))
  )
)"),"Stephanie Grandjacques, Yada Treesukosol")</f>
        <v>Stephanie Grandjacques, Yada Treesukosol</v>
      </c>
      <c r="AG441" s="23"/>
      <c r="AH441" s="23" t="str">
        <f>IFERROR(__xludf.DUMMYFUNCTION("IF(
ISNUMBER(MATCH(
C441,
IMPORTRANGE(""https://docs.google.com/spreadsheets/d/1yTh1ELC33JHYOeEdgIiEclxPRyh0zOKtlawDltfUay8"",""'Interns'!A:A""),
0
)),
""Outreach Conducted"",
"""")"),"")</f>
        <v/>
      </c>
      <c r="AI441" s="23"/>
      <c r="AJ441" s="23"/>
      <c r="AK441" s="23" t="str">
        <f>IFERROR(__xludf.DUMMYFUNCTION("XLOOKUP(C441, 
   IMPORTRANGE(""1RdEdgHYrZ33LJ7RUHj_h-qkAFL92bcVjtIdVa-UlsCw"", ""Interns!D:D""), 
   IMPORTRANGE(""1RdEdgHYrZ33LJ7RUHj_h-qkAFL92bcVjtIdVa-UlsCw"", ""Interns!M:M""), 
   ""Not Found"")"),"")</f>
        <v/>
      </c>
      <c r="AL441" s="23" t="str">
        <f>IFERROR(__xludf.DUMMYFUNCTION("XLOOKUP(C441, 
   IMPORTRANGE(""1RdEdgHYrZ33LJ7RUHj_h-qkAFL92bcVjtIdVa-UlsCw"", ""Interns!D:D""), 
   IMPORTRANGE(""1RdEdgHYrZ33LJ7RUHj_h-qkAFL92bcVjtIdVa-UlsCw"", ""Interns!N:N""), 
   ""Not Found"")"),"")</f>
        <v/>
      </c>
      <c r="AM441" s="23" t="str">
        <f>IFERROR(__xludf.DUMMYFUNCTION("XLOOKUP(C441, 
   IMPORTRANGE(""1RdEdgHYrZ33LJ7RUHj_h-qkAFL92bcVjtIdVa-UlsCw"", ""Interns!D:D""), 
   IMPORTRANGE(""1RdEdgHYrZ33LJ7RUHj_h-qkAFL92bcVjtIdVa-UlsCw"", ""Interns!O:O""), 
   ""Not Found"")"),"")</f>
        <v/>
      </c>
      <c r="AN441" s="23"/>
      <c r="AO441" s="23" t="s">
        <v>8246</v>
      </c>
      <c r="AP441" s="28" t="s">
        <v>5182</v>
      </c>
      <c r="AQ441" s="28" t="s">
        <v>6476</v>
      </c>
      <c r="AR441" s="23" t="s">
        <v>8247</v>
      </c>
      <c r="AS441" s="23"/>
      <c r="AT441" s="23"/>
      <c r="AU441" s="23"/>
      <c r="AV441" s="23"/>
    </row>
    <row r="442">
      <c r="A442" s="28" t="s">
        <v>5161</v>
      </c>
      <c r="B442" s="28" t="s">
        <v>5162</v>
      </c>
      <c r="C442" s="23" t="str">
        <f t="shared" si="1"/>
        <v>Lleilin Guerra</v>
      </c>
      <c r="D442" s="28" t="s">
        <v>8248</v>
      </c>
      <c r="E442" s="28" t="s">
        <v>8249</v>
      </c>
      <c r="F442" s="23">
        <f t="array" ref="F442">IFERROR(
    INDEX('Hub Interns 226'!A:A, MATCH(C442, 'Hub Interns 226'!B:B, 0)),"")</f>
        <v>1363</v>
      </c>
      <c r="G442" s="23">
        <f t="array" ref="G442">IFERROR(
    INDEX('Hub Users 226'!A:A, MATCH(C442, 'Hub Users 226'!B:B, 0)),"")</f>
        <v>1903</v>
      </c>
      <c r="H442" s="28">
        <v>1769.0</v>
      </c>
      <c r="I442" s="28" t="s">
        <v>425</v>
      </c>
      <c r="J442" s="28" t="s">
        <v>5336</v>
      </c>
      <c r="K442" s="28" t="s">
        <v>5177</v>
      </c>
      <c r="L442" s="28" t="s">
        <v>5196</v>
      </c>
      <c r="M442" s="56" t="s">
        <v>8250</v>
      </c>
      <c r="N442" s="57">
        <v>45307.60763888889</v>
      </c>
      <c r="O442" s="58">
        <v>39679.0</v>
      </c>
      <c r="P442" s="28">
        <f t="shared" si="15"/>
        <v>17</v>
      </c>
      <c r="Q442" s="28" t="s">
        <v>240</v>
      </c>
      <c r="R442" s="28" t="s">
        <v>8251</v>
      </c>
      <c r="S442" s="28">
        <v>14.0</v>
      </c>
      <c r="T442" s="28">
        <v>29.0</v>
      </c>
      <c r="U442" s="28">
        <v>84.0</v>
      </c>
      <c r="V442" s="28">
        <v>8.0</v>
      </c>
      <c r="W442" s="28" t="s">
        <v>859</v>
      </c>
      <c r="X442" s="28" t="s">
        <v>272</v>
      </c>
      <c r="Y442" s="28">
        <v>9.178650607E9</v>
      </c>
      <c r="Z442" s="28" t="s">
        <v>5918</v>
      </c>
      <c r="AA442" s="28" t="s">
        <v>477</v>
      </c>
      <c r="AB442" s="28">
        <v>15.0</v>
      </c>
      <c r="AC442" s="28" t="s">
        <v>25</v>
      </c>
      <c r="AD442" s="23"/>
      <c r="AE442" s="28" t="s">
        <v>18</v>
      </c>
      <c r="AF442" s="23" t="str">
        <f>IFERROR(__xludf.DUMMYFUNCTION("TEXTJOIN("", "", TRUE,
  FILTER(Champions!C:C,
    ISNUMBER(SEARCH(C442, Champions!W:W))
  )
)"),"Addy Michelle Jimenez Haga, Reina Teeger")</f>
        <v>Addy Michelle Jimenez Haga, Reina Teeger</v>
      </c>
      <c r="AG442" s="23"/>
      <c r="AH442" s="23" t="str">
        <f>IFERROR(__xludf.DUMMYFUNCTION("IF(
ISNUMBER(MATCH(
C442,
IMPORTRANGE(""https://docs.google.com/spreadsheets/d/1yTh1ELC33JHYOeEdgIiEclxPRyh0zOKtlawDltfUay8"",""'Interns'!A:A""),
0
)),
""Outreach Conducted"",
"""")"),"")</f>
        <v/>
      </c>
      <c r="AI442" s="23"/>
      <c r="AJ442" s="23"/>
      <c r="AK442" s="23" t="str">
        <f>IFERROR(__xludf.DUMMYFUNCTION("XLOOKUP(C442, 
   IMPORTRANGE(""1RdEdgHYrZ33LJ7RUHj_h-qkAFL92bcVjtIdVa-UlsCw"", ""Interns!D:D""), 
   IMPORTRANGE(""1RdEdgHYrZ33LJ7RUHj_h-qkAFL92bcVjtIdVa-UlsCw"", ""Interns!M:M""), 
   ""Not Found"")"),"")</f>
        <v/>
      </c>
      <c r="AL442" s="23" t="str">
        <f>IFERROR(__xludf.DUMMYFUNCTION("XLOOKUP(C442, 
   IMPORTRANGE(""1RdEdgHYrZ33LJ7RUHj_h-qkAFL92bcVjtIdVa-UlsCw"", ""Interns!D:D""), 
   IMPORTRANGE(""1RdEdgHYrZ33LJ7RUHj_h-qkAFL92bcVjtIdVa-UlsCw"", ""Interns!N:N""), 
   ""Not Found"")"),"")</f>
        <v/>
      </c>
      <c r="AM442" s="23" t="str">
        <f>IFERROR(__xludf.DUMMYFUNCTION("XLOOKUP(C442, 
   IMPORTRANGE(""1RdEdgHYrZ33LJ7RUHj_h-qkAFL92bcVjtIdVa-UlsCw"", ""Interns!D:D""), 
   IMPORTRANGE(""1RdEdgHYrZ33LJ7RUHj_h-qkAFL92bcVjtIdVa-UlsCw"", ""Interns!O:O""), 
   ""Not Found"")"),"")</f>
        <v/>
      </c>
      <c r="AN442" s="23"/>
      <c r="AO442" s="23" t="s">
        <v>8252</v>
      </c>
      <c r="AP442" s="28" t="s">
        <v>5880</v>
      </c>
      <c r="AQ442" s="28" t="s">
        <v>8253</v>
      </c>
      <c r="AR442" s="23">
        <v>9.17856733E9</v>
      </c>
      <c r="AS442" s="23"/>
      <c r="AT442" s="23"/>
      <c r="AU442" s="23"/>
      <c r="AV442" s="23"/>
    </row>
    <row r="443">
      <c r="A443" s="28" t="s">
        <v>5161</v>
      </c>
      <c r="B443" s="28" t="s">
        <v>5162</v>
      </c>
      <c r="C443" s="23" t="str">
        <f t="shared" si="1"/>
        <v>Tryana Hernandez</v>
      </c>
      <c r="D443" s="28" t="s">
        <v>8254</v>
      </c>
      <c r="E443" s="28" t="s">
        <v>2168</v>
      </c>
      <c r="F443" s="23">
        <f t="array" ref="F443">IFERROR(
    INDEX('Hub Interns 226'!A:A, MATCH(C443, 'Hub Interns 226'!B:B, 0)),"")</f>
        <v>1156</v>
      </c>
      <c r="G443" s="23">
        <f t="array" ref="G443">IFERROR(
    INDEX('Hub Users 226'!A:A, MATCH(C443, 'Hub Users 226'!B:B, 0)),"")</f>
        <v>1589</v>
      </c>
      <c r="H443" s="28">
        <v>1182.0</v>
      </c>
      <c r="I443" s="28" t="s">
        <v>107</v>
      </c>
      <c r="J443" s="28" t="s">
        <v>5336</v>
      </c>
      <c r="K443" s="28" t="s">
        <v>5177</v>
      </c>
      <c r="L443" s="28" t="s">
        <v>5196</v>
      </c>
      <c r="M443" s="56" t="s">
        <v>8255</v>
      </c>
      <c r="N443" s="57">
        <v>44833.46111111111</v>
      </c>
      <c r="O443" s="58">
        <v>38878.0</v>
      </c>
      <c r="P443" s="28">
        <f t="shared" si="15"/>
        <v>19</v>
      </c>
      <c r="Q443" s="28" t="s">
        <v>8256</v>
      </c>
      <c r="R443" s="28" t="s">
        <v>8257</v>
      </c>
      <c r="S443" s="28">
        <v>13.0</v>
      </c>
      <c r="T443" s="28">
        <v>31.0</v>
      </c>
      <c r="U443" s="28">
        <v>72.0</v>
      </c>
      <c r="V443" s="28">
        <v>10.0</v>
      </c>
      <c r="W443" s="28" t="s">
        <v>271</v>
      </c>
      <c r="X443" s="28" t="s">
        <v>272</v>
      </c>
      <c r="Y443" s="28" t="s">
        <v>8258</v>
      </c>
      <c r="Z443" s="28" t="s">
        <v>5341</v>
      </c>
      <c r="AA443" s="28" t="s">
        <v>1085</v>
      </c>
      <c r="AB443" s="28">
        <v>10.0</v>
      </c>
      <c r="AC443" s="28" t="s">
        <v>25</v>
      </c>
      <c r="AD443" s="23"/>
      <c r="AE443" s="28" t="s">
        <v>15</v>
      </c>
      <c r="AF443" s="23" t="str">
        <f>IFERROR(__xludf.DUMMYFUNCTION("TEXTJOIN("", "", TRUE,
  FILTER(Champions!C:C,
    ISNUMBER(SEARCH(C443, Champions!W:W))
  )
)"),"Abigail Mawhirter, Bhavna Mohan Agnihotri, Donald Johnson")</f>
        <v>Abigail Mawhirter, Bhavna Mohan Agnihotri, Donald Johnson</v>
      </c>
      <c r="AG443" s="23"/>
      <c r="AH443" s="23" t="str">
        <f>IFERROR(__xludf.DUMMYFUNCTION("IF(
ISNUMBER(MATCH(
C443,
IMPORTRANGE(""https://docs.google.com/spreadsheets/d/1yTh1ELC33JHYOeEdgIiEclxPRyh0zOKtlawDltfUay8"",""'Interns'!A:A""),
0
)),
""Outreach Conducted"",
"""")"),"")</f>
        <v/>
      </c>
      <c r="AI443" s="23"/>
      <c r="AJ443" s="23"/>
      <c r="AK443" s="23" t="str">
        <f>IFERROR(__xludf.DUMMYFUNCTION("XLOOKUP(C443, 
   IMPORTRANGE(""1RdEdgHYrZ33LJ7RUHj_h-qkAFL92bcVjtIdVa-UlsCw"", ""Interns!D:D""), 
   IMPORTRANGE(""1RdEdgHYrZ33LJ7RUHj_h-qkAFL92bcVjtIdVa-UlsCw"", ""Interns!M:M""), 
   ""Not Found"")"),"Contacted")</f>
        <v>Contacted</v>
      </c>
      <c r="AL443" s="23" t="str">
        <f>IFERROR(__xludf.DUMMYFUNCTION("XLOOKUP(C443, 
   IMPORTRANGE(""1RdEdgHYrZ33LJ7RUHj_h-qkAFL92bcVjtIdVa-UlsCw"", ""Interns!D:D""), 
   IMPORTRANGE(""1RdEdgHYrZ33LJ7RUHj_h-qkAFL92bcVjtIdVa-UlsCw"", ""Interns!N:N""), 
   ""Not Found"")"),"#Cheers4Careers")</f>
        <v>#Cheers4Careers</v>
      </c>
      <c r="AM443" s="23" t="str">
        <f>IFERROR(__xludf.DUMMYFUNCTION("XLOOKUP(C443, 
   IMPORTRANGE(""1RdEdgHYrZ33LJ7RUHj_h-qkAFL92bcVjtIdVa-UlsCw"", ""Interns!D:D""), 
   IMPORTRANGE(""1RdEdgHYrZ33LJ7RUHj_h-qkAFL92bcVjtIdVa-UlsCw"", ""Interns!O:O""), 
   ""Not Found"")"),"Texted on April 12 for #Cheers4Careers event")</f>
        <v>Texted on April 12 for #Cheers4Careers event</v>
      </c>
      <c r="AN443" s="23"/>
      <c r="AO443" s="23" t="s">
        <v>8259</v>
      </c>
      <c r="AP443" s="28" t="s">
        <v>5182</v>
      </c>
      <c r="AQ443" s="28" t="s">
        <v>8260</v>
      </c>
      <c r="AR443" s="23" t="s">
        <v>8261</v>
      </c>
      <c r="AS443" s="23"/>
      <c r="AT443" s="23"/>
      <c r="AU443" s="23"/>
      <c r="AV443" s="23"/>
    </row>
    <row r="444">
      <c r="A444" s="28" t="s">
        <v>5161</v>
      </c>
      <c r="B444" s="28" t="s">
        <v>31</v>
      </c>
      <c r="C444" s="23" t="str">
        <f t="shared" si="1"/>
        <v>Avril. Mejia</v>
      </c>
      <c r="D444" s="28" t="s">
        <v>8262</v>
      </c>
      <c r="E444" s="28" t="s">
        <v>8263</v>
      </c>
      <c r="F444" s="23">
        <f t="array" ref="F444">IFERROR(
    INDEX('Hub Interns 226'!A:A, MATCH("Avril Mejia", 'Hub Interns 226'!B:B, 0)),"")</f>
        <v>1393</v>
      </c>
      <c r="G444" s="23">
        <f t="array" ref="G444">IFERROR(
    INDEX('Hub Users 226'!A:A, MATCH("Avril Mejia", 'Hub Users 226'!B:B, 0)),"")</f>
        <v>1949</v>
      </c>
      <c r="H444" s="28">
        <v>1162.0</v>
      </c>
      <c r="I444" s="28" t="s">
        <v>260</v>
      </c>
      <c r="J444" s="28"/>
      <c r="K444" s="28"/>
      <c r="L444" s="28" t="s">
        <v>5196</v>
      </c>
      <c r="M444" s="56" t="s">
        <v>8264</v>
      </c>
      <c r="N444" s="57">
        <v>44753.51527777778</v>
      </c>
      <c r="O444" s="58">
        <v>37588.0</v>
      </c>
      <c r="P444" s="28">
        <f t="shared" si="15"/>
        <v>23</v>
      </c>
      <c r="Q444" s="28" t="s">
        <v>240</v>
      </c>
      <c r="R444" s="28" t="s">
        <v>8265</v>
      </c>
      <c r="S444" s="28"/>
      <c r="T444" s="28"/>
      <c r="U444" s="28"/>
      <c r="V444" s="28"/>
      <c r="W444" s="28" t="s">
        <v>859</v>
      </c>
      <c r="X444" s="28" t="s">
        <v>272</v>
      </c>
      <c r="Y444" s="28" t="s">
        <v>8266</v>
      </c>
      <c r="Z444" s="28" t="s">
        <v>5259</v>
      </c>
      <c r="AA444" s="28" t="s">
        <v>704</v>
      </c>
      <c r="AB444" s="28">
        <v>2.0</v>
      </c>
      <c r="AC444" s="28" t="s">
        <v>23</v>
      </c>
      <c r="AD444" s="23"/>
      <c r="AE444" s="28" t="s">
        <v>15</v>
      </c>
      <c r="AF444" s="23"/>
      <c r="AG444" s="23"/>
      <c r="AH444" s="23" t="str">
        <f>IFERROR(__xludf.DUMMYFUNCTION("IF(
ISNUMBER(MATCH(
C444,
IMPORTRANGE(""https://docs.google.com/spreadsheets/d/1yTh1ELC33JHYOeEdgIiEclxPRyh0zOKtlawDltfUay8"",""'Interns'!A:A""),
0
)),
""Outreach Conducted"",
"""")"),"")</f>
        <v/>
      </c>
      <c r="AI444" s="23"/>
      <c r="AJ444" s="23"/>
      <c r="AK444" s="23" t="str">
        <f>IFERROR(__xludf.DUMMYFUNCTION("XLOOKUP(C444, 
   IMPORTRANGE(""1RdEdgHYrZ33LJ7RUHj_h-qkAFL92bcVjtIdVa-UlsCw"", ""Interns!D:D""), 
   IMPORTRANGE(""1RdEdgHYrZ33LJ7RUHj_h-qkAFL92bcVjtIdVa-UlsCw"", ""Interns!M:M""), 
   ""Not Found"")"),"")</f>
        <v/>
      </c>
      <c r="AL444" s="23" t="str">
        <f>IFERROR(__xludf.DUMMYFUNCTION("XLOOKUP(C444, 
   IMPORTRANGE(""1RdEdgHYrZ33LJ7RUHj_h-qkAFL92bcVjtIdVa-UlsCw"", ""Interns!D:D""), 
   IMPORTRANGE(""1RdEdgHYrZ33LJ7RUHj_h-qkAFL92bcVjtIdVa-UlsCw"", ""Interns!N:N""), 
   ""Not Found"")"),"")</f>
        <v/>
      </c>
      <c r="AM444" s="23" t="str">
        <f>IFERROR(__xludf.DUMMYFUNCTION("XLOOKUP(C444, 
   IMPORTRANGE(""1RdEdgHYrZ33LJ7RUHj_h-qkAFL92bcVjtIdVa-UlsCw"", ""Interns!D:D""), 
   IMPORTRANGE(""1RdEdgHYrZ33LJ7RUHj_h-qkAFL92bcVjtIdVa-UlsCw"", ""Interns!O:O""), 
   ""Not Found"")"),"")</f>
        <v/>
      </c>
      <c r="AN444" s="23"/>
      <c r="AO444" s="23" t="s">
        <v>8267</v>
      </c>
      <c r="AP444" s="28" t="s">
        <v>5182</v>
      </c>
      <c r="AQ444" s="28" t="s">
        <v>8268</v>
      </c>
      <c r="AR444" s="23" t="s">
        <v>8269</v>
      </c>
      <c r="AS444" s="23"/>
      <c r="AT444" s="23"/>
      <c r="AU444" s="23"/>
      <c r="AV444" s="23"/>
    </row>
    <row r="445">
      <c r="A445" s="28" t="s">
        <v>5161</v>
      </c>
      <c r="B445" s="28" t="s">
        <v>5162</v>
      </c>
      <c r="C445" s="23" t="str">
        <f t="shared" si="1"/>
        <v>Israel Martinez</v>
      </c>
      <c r="D445" s="28" t="s">
        <v>8270</v>
      </c>
      <c r="E445" s="28" t="s">
        <v>2010</v>
      </c>
      <c r="F445" s="23">
        <f t="array" ref="F445">IFERROR(
    INDEX('Hub Interns 226'!A:A, MATCH(C445, 'Hub Interns 226'!B:B, 0)),"")</f>
        <v>602</v>
      </c>
      <c r="G445" s="23">
        <f t="array" ref="G445">IFERROR(
    INDEX('Hub Users 226'!A:A, MATCH(C445, 'Hub Users 226'!B:B, 0)),"")</f>
        <v>1035</v>
      </c>
      <c r="H445" s="28">
        <v>802.0</v>
      </c>
      <c r="I445" s="28" t="s">
        <v>785</v>
      </c>
      <c r="J445" s="28" t="s">
        <v>5336</v>
      </c>
      <c r="K445" s="28" t="s">
        <v>5177</v>
      </c>
      <c r="L445" s="28" t="s">
        <v>5165</v>
      </c>
      <c r="M445" s="56" t="s">
        <v>8271</v>
      </c>
      <c r="N445" s="57">
        <v>44566.57777777778</v>
      </c>
      <c r="O445" s="58">
        <v>38904.0</v>
      </c>
      <c r="P445" s="28">
        <f t="shared" si="15"/>
        <v>19</v>
      </c>
      <c r="Q445" s="28" t="s">
        <v>8272</v>
      </c>
      <c r="R445" s="28" t="s">
        <v>8273</v>
      </c>
      <c r="S445" s="28">
        <v>13.0</v>
      </c>
      <c r="T445" s="28">
        <v>30.0</v>
      </c>
      <c r="U445" s="28">
        <v>71.0</v>
      </c>
      <c r="V445" s="28">
        <v>7.0</v>
      </c>
      <c r="W445" s="28" t="s">
        <v>271</v>
      </c>
      <c r="X445" s="28" t="s">
        <v>272</v>
      </c>
      <c r="Y445" s="28" t="s">
        <v>8274</v>
      </c>
      <c r="Z445" s="28" t="s">
        <v>5341</v>
      </c>
      <c r="AA445" s="28" t="s">
        <v>1085</v>
      </c>
      <c r="AB445" s="28">
        <v>10.0</v>
      </c>
      <c r="AC445" s="28" t="s">
        <v>25</v>
      </c>
      <c r="AD445" s="28" t="s">
        <v>101</v>
      </c>
      <c r="AE445" s="26" t="s">
        <v>12</v>
      </c>
      <c r="AF445" s="23" t="str">
        <f>IFERROR(__xludf.DUMMYFUNCTION("TEXTJOIN("", "", TRUE,
  FILTER(Champions!C:C,
    ISNUMBER(SEARCH(C445, Champions!W:W))
  )
)"),"Bindu Krishna, Lee Davis, Sandra Denton, Leif Castren, Natalie Jane Miller, Bindu Krishna (D)")</f>
        <v>Bindu Krishna, Lee Davis, Sandra Denton, Leif Castren, Natalie Jane Miller, Bindu Krishna (D)</v>
      </c>
      <c r="AG445" s="26" t="s">
        <v>7320</v>
      </c>
      <c r="AH445" s="23" t="str">
        <f>IFERROR(__xludf.DUMMYFUNCTION("IF(
ISNUMBER(MATCH(
C445,
IMPORTRANGE(""https://docs.google.com/spreadsheets/d/1yTh1ELC33JHYOeEdgIiEclxPRyh0zOKtlawDltfUay8"",""'Interns'!A:A""),
0
)),
""Outreach Conducted"",
"""")"),"")</f>
        <v/>
      </c>
      <c r="AI445" s="23"/>
      <c r="AJ445" s="23"/>
      <c r="AK445" s="23" t="str">
        <f>IFERROR(__xludf.DUMMYFUNCTION("XLOOKUP(C445, 
   IMPORTRANGE(""1RdEdgHYrZ33LJ7RUHj_h-qkAFL92bcVjtIdVa-UlsCw"", ""Interns!D:D""), 
   IMPORTRANGE(""1RdEdgHYrZ33LJ7RUHj_h-qkAFL92bcVjtIdVa-UlsCw"", ""Interns!M:M""), 
   ""Not Found"")"),"Contacted")</f>
        <v>Contacted</v>
      </c>
      <c r="AL445" s="23" t="str">
        <f>IFERROR(__xludf.DUMMYFUNCTION("XLOOKUP(C445, 
   IMPORTRANGE(""1RdEdgHYrZ33LJ7RUHj_h-qkAFL92bcVjtIdVa-UlsCw"", ""Interns!D:D""), 
   IMPORTRANGE(""1RdEdgHYrZ33LJ7RUHj_h-qkAFL92bcVjtIdVa-UlsCw"", ""Interns!N:N""), 
   ""Not Found"")"),"#Cheers4Careers")</f>
        <v>#Cheers4Careers</v>
      </c>
      <c r="AM445" s="23" t="str">
        <f>IFERROR(__xludf.DUMMYFUNCTION("XLOOKUP(C445, 
   IMPORTRANGE(""1RdEdgHYrZ33LJ7RUHj_h-qkAFL92bcVjtIdVa-UlsCw"", ""Interns!D:D""), 
   IMPORTRANGE(""1RdEdgHYrZ33LJ7RUHj_h-qkAFL92bcVjtIdVa-UlsCw"", ""Interns!O:O""), 
   ""Not Found"")"),"Texted on April 14 for #Cheers4Careers event")</f>
        <v>Texted on April 14 for #Cheers4Careers event</v>
      </c>
      <c r="AN445" s="23"/>
      <c r="AO445" s="23" t="s">
        <v>8275</v>
      </c>
      <c r="AP445" s="28" t="s">
        <v>5182</v>
      </c>
      <c r="AQ445" s="28" t="s">
        <v>8276</v>
      </c>
      <c r="AR445" s="23" t="s">
        <v>8277</v>
      </c>
      <c r="AS445" s="28" t="s">
        <v>8278</v>
      </c>
      <c r="AT445" s="23"/>
      <c r="AU445" s="23"/>
      <c r="AV445" s="23"/>
    </row>
    <row r="446">
      <c r="A446" s="28" t="s">
        <v>5161</v>
      </c>
      <c r="B446" s="28" t="s">
        <v>5162</v>
      </c>
      <c r="C446" s="23" t="str">
        <f t="shared" si="1"/>
        <v>Nicole Molano</v>
      </c>
      <c r="D446" s="28" t="s">
        <v>8279</v>
      </c>
      <c r="E446" s="28" t="s">
        <v>8280</v>
      </c>
      <c r="F446" s="23">
        <f t="array" ref="F446">IFERROR(
    INDEX('Hub Interns 226'!A:A, MATCH(C446, 'Hub Interns 226'!B:B, 0)),"")</f>
        <v>936</v>
      </c>
      <c r="G446" s="23">
        <f t="array" ref="G446">IFERROR(
    INDEX('Hub Users 226'!A:A, MATCH(C446, 'Hub Users 226'!B:B, 0)),"")</f>
        <v>1369</v>
      </c>
      <c r="H446" s="28">
        <v>312.0</v>
      </c>
      <c r="I446" s="28" t="s">
        <v>1235</v>
      </c>
      <c r="J446" s="28" t="s">
        <v>5336</v>
      </c>
      <c r="K446" s="28" t="s">
        <v>5177</v>
      </c>
      <c r="L446" s="28" t="s">
        <v>5196</v>
      </c>
      <c r="M446" s="56" t="s">
        <v>8281</v>
      </c>
      <c r="N446" s="57">
        <v>44234.888194444444</v>
      </c>
      <c r="O446" s="58">
        <v>38168.0</v>
      </c>
      <c r="P446" s="28">
        <f t="shared" si="15"/>
        <v>21</v>
      </c>
      <c r="Q446" s="28" t="s">
        <v>240</v>
      </c>
      <c r="R446" s="28" t="s">
        <v>8282</v>
      </c>
      <c r="S446" s="28">
        <v>15.0</v>
      </c>
      <c r="T446" s="28">
        <v>31.0</v>
      </c>
      <c r="U446" s="28">
        <v>77.0</v>
      </c>
      <c r="V446" s="28">
        <v>14.0</v>
      </c>
      <c r="W446" s="28" t="s">
        <v>859</v>
      </c>
      <c r="X446" s="28" t="s">
        <v>272</v>
      </c>
      <c r="Y446" s="28" t="s">
        <v>8283</v>
      </c>
      <c r="Z446" s="28" t="s">
        <v>5310</v>
      </c>
      <c r="AA446" s="28" t="s">
        <v>362</v>
      </c>
      <c r="AB446" s="28">
        <v>16.0</v>
      </c>
      <c r="AC446" s="28" t="s">
        <v>25</v>
      </c>
      <c r="AD446" s="23"/>
      <c r="AE446" s="28" t="s">
        <v>8</v>
      </c>
      <c r="AF446" s="23" t="str">
        <f>IFERROR(__xludf.DUMMYFUNCTION("TEXTJOIN("", "", TRUE,
  FILTER(Champions!C:C,
    ISNUMBER(SEARCH(C446, Champions!W:W))
  )
)"),"Akanksha Raina, Maria Graciela Burn, Maria Guia Burn")</f>
        <v>Akanksha Raina, Maria Graciela Burn, Maria Guia Burn</v>
      </c>
      <c r="AG446" s="23"/>
      <c r="AH446" s="23" t="str">
        <f>IFERROR(__xludf.DUMMYFUNCTION("IF(
ISNUMBER(MATCH(
C446,
IMPORTRANGE(""https://docs.google.com/spreadsheets/d/1yTh1ELC33JHYOeEdgIiEclxPRyh0zOKtlawDltfUay8"",""'Interns'!A:A""),
0
)),
""Outreach Conducted"",
"""")"),"")</f>
        <v/>
      </c>
      <c r="AI446" s="23"/>
      <c r="AJ446" s="23"/>
      <c r="AK446" s="23" t="str">
        <f>IFERROR(__xludf.DUMMYFUNCTION("XLOOKUP(C446, 
   IMPORTRANGE(""1RdEdgHYrZ33LJ7RUHj_h-qkAFL92bcVjtIdVa-UlsCw"", ""Interns!D:D""), 
   IMPORTRANGE(""1RdEdgHYrZ33LJ7RUHj_h-qkAFL92bcVjtIdVa-UlsCw"", ""Interns!M:M""), 
   ""Not Found"")"),"")</f>
        <v/>
      </c>
      <c r="AL446" s="23" t="str">
        <f>IFERROR(__xludf.DUMMYFUNCTION("XLOOKUP(C446, 
   IMPORTRANGE(""1RdEdgHYrZ33LJ7RUHj_h-qkAFL92bcVjtIdVa-UlsCw"", ""Interns!D:D""), 
   IMPORTRANGE(""1RdEdgHYrZ33LJ7RUHj_h-qkAFL92bcVjtIdVa-UlsCw"", ""Interns!N:N""), 
   ""Not Found"")"),"")</f>
        <v/>
      </c>
      <c r="AM446" s="23" t="str">
        <f>IFERROR(__xludf.DUMMYFUNCTION("XLOOKUP(C446, 
   IMPORTRANGE(""1RdEdgHYrZ33LJ7RUHj_h-qkAFL92bcVjtIdVa-UlsCw"", ""Interns!D:D""), 
   IMPORTRANGE(""1RdEdgHYrZ33LJ7RUHj_h-qkAFL92bcVjtIdVa-UlsCw"", ""Interns!O:O""), 
   ""Not Found"")"),"")</f>
        <v/>
      </c>
      <c r="AN446" s="23"/>
      <c r="AO446" s="23" t="s">
        <v>8284</v>
      </c>
      <c r="AP446" s="28" t="s">
        <v>5191</v>
      </c>
      <c r="AQ446" s="28" t="s">
        <v>8285</v>
      </c>
      <c r="AR446" s="23" t="s">
        <v>8286</v>
      </c>
      <c r="AS446" s="23"/>
      <c r="AT446" s="23"/>
      <c r="AU446" s="23"/>
      <c r="AV446" s="23"/>
    </row>
    <row r="447">
      <c r="A447" s="28" t="s">
        <v>5161</v>
      </c>
      <c r="B447" s="28" t="s">
        <v>5162</v>
      </c>
      <c r="C447" s="23" t="str">
        <f t="shared" si="1"/>
        <v>Kimberly Paulino</v>
      </c>
      <c r="D447" s="28" t="s">
        <v>1985</v>
      </c>
      <c r="E447" s="28" t="s">
        <v>6513</v>
      </c>
      <c r="F447" s="23">
        <f t="array" ref="F447">IFERROR(
    INDEX('Hub Interns 226'!A:A, MATCH(C447, 'Hub Interns 226'!B:B, 0)),"")</f>
        <v>750</v>
      </c>
      <c r="G447" s="23">
        <f t="array" ref="G447">IFERROR(
    INDEX('Hub Users 226'!A:A, MATCH(C447, 'Hub Users 226'!B:B, 0)),"")</f>
        <v>1183</v>
      </c>
      <c r="H447" s="28">
        <v>1235.0</v>
      </c>
      <c r="I447" s="28" t="s">
        <v>260</v>
      </c>
      <c r="J447" s="28" t="s">
        <v>5336</v>
      </c>
      <c r="K447" s="28" t="s">
        <v>5177</v>
      </c>
      <c r="L447" s="28" t="s">
        <v>5196</v>
      </c>
      <c r="M447" s="56" t="s">
        <v>8287</v>
      </c>
      <c r="N447" s="57">
        <v>44838.45625</v>
      </c>
      <c r="O447" s="58">
        <v>38957.0</v>
      </c>
      <c r="P447" s="28">
        <f t="shared" si="15"/>
        <v>19</v>
      </c>
      <c r="Q447" s="28" t="s">
        <v>8288</v>
      </c>
      <c r="R447" s="28" t="s">
        <v>8289</v>
      </c>
      <c r="S447" s="28">
        <v>13.0</v>
      </c>
      <c r="T447" s="28">
        <v>31.0</v>
      </c>
      <c r="U447" s="28">
        <v>72.0</v>
      </c>
      <c r="V447" s="28">
        <v>10.0</v>
      </c>
      <c r="W447" s="28" t="s">
        <v>271</v>
      </c>
      <c r="X447" s="28" t="s">
        <v>272</v>
      </c>
      <c r="Y447" s="28" t="s">
        <v>8290</v>
      </c>
      <c r="Z447" s="28" t="s">
        <v>5341</v>
      </c>
      <c r="AA447" s="28" t="s">
        <v>1085</v>
      </c>
      <c r="AB447" s="28">
        <v>10.0</v>
      </c>
      <c r="AC447" s="28" t="s">
        <v>25</v>
      </c>
      <c r="AD447" s="23"/>
      <c r="AE447" s="28" t="s">
        <v>15</v>
      </c>
      <c r="AF447" s="23" t="str">
        <f>IFERROR(__xludf.DUMMYFUNCTION("TEXTJOIN("", "", TRUE,
  FILTER(Champions!C:C,
    ISNUMBER(SEARCH(C447, Champions!W:W))
  )
)"),"Anne Tam, Bindu Krishna, Donald Johnson, Bindu Krishna (D)")</f>
        <v>Anne Tam, Bindu Krishna, Donald Johnson, Bindu Krishna (D)</v>
      </c>
      <c r="AG447" s="23"/>
      <c r="AH447" s="23" t="str">
        <f>IFERROR(__xludf.DUMMYFUNCTION("IF(
ISNUMBER(MATCH(
C447,
IMPORTRANGE(""https://docs.google.com/spreadsheets/d/1yTh1ELC33JHYOeEdgIiEclxPRyh0zOKtlawDltfUay8"",""'Interns'!A:A""),
0
)),
""Outreach Conducted"",
"""")"),"")</f>
        <v/>
      </c>
      <c r="AI447" s="23"/>
      <c r="AJ447" s="23"/>
      <c r="AK447" s="23" t="str">
        <f>IFERROR(__xludf.DUMMYFUNCTION("XLOOKUP(C447, 
   IMPORTRANGE(""1RdEdgHYrZ33LJ7RUHj_h-qkAFL92bcVjtIdVa-UlsCw"", ""Interns!D:D""), 
   IMPORTRANGE(""1RdEdgHYrZ33LJ7RUHj_h-qkAFL92bcVjtIdVa-UlsCw"", ""Interns!M:M""), 
   ""Not Found"")"),"Contacted")</f>
        <v>Contacted</v>
      </c>
      <c r="AL447" s="23" t="str">
        <f>IFERROR(__xludf.DUMMYFUNCTION("XLOOKUP(C447, 
   IMPORTRANGE(""1RdEdgHYrZ33LJ7RUHj_h-qkAFL92bcVjtIdVa-UlsCw"", ""Interns!D:D""), 
   IMPORTRANGE(""1RdEdgHYrZ33LJ7RUHj_h-qkAFL92bcVjtIdVa-UlsCw"", ""Interns!N:N""), 
   ""Not Found"")"),"#Cheers4Careers")</f>
        <v>#Cheers4Careers</v>
      </c>
      <c r="AM447" s="23" t="str">
        <f>IFERROR(__xludf.DUMMYFUNCTION("XLOOKUP(C447, 
   IMPORTRANGE(""1RdEdgHYrZ33LJ7RUHj_h-qkAFL92bcVjtIdVa-UlsCw"", ""Interns!D:D""), 
   IMPORTRANGE(""1RdEdgHYrZ33LJ7RUHj_h-qkAFL92bcVjtIdVa-UlsCw"", ""Interns!O:O""), 
   ""Not Found"")"),"Texted on April 12 for #Cheers4Careers event")</f>
        <v>Texted on April 12 for #Cheers4Careers event</v>
      </c>
      <c r="AN447" s="23"/>
      <c r="AO447" s="23" t="s">
        <v>8291</v>
      </c>
      <c r="AP447" s="28" t="s">
        <v>5182</v>
      </c>
      <c r="AQ447" s="28" t="s">
        <v>8292</v>
      </c>
      <c r="AR447" s="23" t="s">
        <v>8293</v>
      </c>
      <c r="AS447" s="28" t="s">
        <v>8294</v>
      </c>
      <c r="AT447" s="23"/>
      <c r="AU447" s="23"/>
      <c r="AV447" s="23"/>
    </row>
    <row r="448">
      <c r="A448" s="28" t="s">
        <v>5161</v>
      </c>
      <c r="B448" s="28" t="s">
        <v>5162</v>
      </c>
      <c r="C448" s="23" t="str">
        <f t="shared" si="1"/>
        <v>Samuel Tavarez</v>
      </c>
      <c r="D448" s="28" t="s">
        <v>8295</v>
      </c>
      <c r="E448" s="28" t="s">
        <v>7048</v>
      </c>
      <c r="F448" s="23">
        <f t="array" ref="F448">IFERROR(
    INDEX('Hub Interns 226'!A:A, MATCH(C448, 'Hub Interns 226'!B:B, 0)),"")</f>
        <v>1778</v>
      </c>
      <c r="G448" s="23">
        <f t="array" ref="G448">IFERROR(
    INDEX('Hub Users 226'!A:A, MATCH(C448, 'Hub Users 226'!B:B, 0)),"")</f>
        <v>2608</v>
      </c>
      <c r="H448" s="28">
        <v>1644.0</v>
      </c>
      <c r="I448" s="28" t="s">
        <v>290</v>
      </c>
      <c r="J448" s="28" t="s">
        <v>5336</v>
      </c>
      <c r="K448" s="28" t="s">
        <v>5177</v>
      </c>
      <c r="L448" s="28" t="s">
        <v>5165</v>
      </c>
      <c r="M448" s="56" t="s">
        <v>119</v>
      </c>
      <c r="N448" s="57">
        <v>45116.958333333336</v>
      </c>
      <c r="O448" s="58">
        <v>38803.0</v>
      </c>
      <c r="P448" s="28">
        <f t="shared" si="15"/>
        <v>20</v>
      </c>
      <c r="Q448" s="28" t="s">
        <v>8296</v>
      </c>
      <c r="R448" s="28" t="s">
        <v>8297</v>
      </c>
      <c r="S448" s="28">
        <v>13.0</v>
      </c>
      <c r="T448" s="28">
        <v>31.0</v>
      </c>
      <c r="U448" s="28">
        <v>71.0</v>
      </c>
      <c r="V448" s="28">
        <v>10.0</v>
      </c>
      <c r="W448" s="28" t="s">
        <v>271</v>
      </c>
      <c r="X448" s="28" t="s">
        <v>272</v>
      </c>
      <c r="Y448" s="28" t="s">
        <v>8298</v>
      </c>
      <c r="Z448" s="28" t="s">
        <v>8299</v>
      </c>
      <c r="AA448" s="28" t="s">
        <v>5639</v>
      </c>
      <c r="AB448" s="23"/>
      <c r="AC448" s="28" t="s">
        <v>27</v>
      </c>
      <c r="AD448" s="28" t="s">
        <v>101</v>
      </c>
      <c r="AE448" s="28" t="s">
        <v>18</v>
      </c>
      <c r="AF448" s="23"/>
      <c r="AG448" s="26" t="s">
        <v>5697</v>
      </c>
      <c r="AH448" s="23" t="str">
        <f>IFERROR(__xludf.DUMMYFUNCTION("IF(
ISNUMBER(MATCH(
C448,
IMPORTRANGE(""https://docs.google.com/spreadsheets/d/1yTh1ELC33JHYOeEdgIiEclxPRyh0zOKtlawDltfUay8"",""'Interns'!A:A""),
0
)),
""Outreach Conducted"",
"""")"),"")</f>
        <v/>
      </c>
      <c r="AI448" s="23"/>
      <c r="AJ448" s="23"/>
      <c r="AK448" s="23" t="str">
        <f>IFERROR(__xludf.DUMMYFUNCTION("XLOOKUP(C448, 
   IMPORTRANGE(""1RdEdgHYrZ33LJ7RUHj_h-qkAFL92bcVjtIdVa-UlsCw"", ""Interns!D:D""), 
   IMPORTRANGE(""1RdEdgHYrZ33LJ7RUHj_h-qkAFL92bcVjtIdVa-UlsCw"", ""Interns!M:M""), 
   ""Not Found"")"),"RSVP'd")</f>
        <v>RSVP'd</v>
      </c>
      <c r="AL448" s="23" t="str">
        <f>IFERROR(__xludf.DUMMYFUNCTION("XLOOKUP(C448, 
   IMPORTRANGE(""1RdEdgHYrZ33LJ7RUHj_h-qkAFL92bcVjtIdVa-UlsCw"", ""Interns!D:D""), 
   IMPORTRANGE(""1RdEdgHYrZ33LJ7RUHj_h-qkAFL92bcVjtIdVa-UlsCw"", ""Interns!N:N""), 
   ""Not Found"")"),"#Cheers4Careers, Soiree")</f>
        <v>#Cheers4Careers, Soiree</v>
      </c>
      <c r="AM448" s="23" t="str">
        <f>IFERROR(__xludf.DUMMYFUNCTION("XLOOKUP(C448, 
   IMPORTRANGE(""1RdEdgHYrZ33LJ7RUHj_h-qkAFL92bcVjtIdVa-UlsCw"", ""Interns!D:D""), 
   IMPORTRANGE(""1RdEdgHYrZ33LJ7RUHj_h-qkAFL92bcVjtIdVa-UlsCw"", ""Interns!O:O""), 
   ""Not Found"")"),"Hetal reached out by text 3/27 for #Cheers4Careers said he can't attend next one but interested in Soiree
Registered for the April event.")</f>
        <v>Hetal reached out by text 3/27 for #Cheers4Careers said he can't attend next one but interested in Soiree
Registered for the April event.</v>
      </c>
      <c r="AN448" s="23"/>
      <c r="AO448" s="23" t="s">
        <v>8300</v>
      </c>
      <c r="AP448" s="28" t="s">
        <v>5191</v>
      </c>
      <c r="AQ448" s="28" t="s">
        <v>8301</v>
      </c>
      <c r="AR448" s="23" t="s">
        <v>8302</v>
      </c>
      <c r="AS448" s="23"/>
      <c r="AT448" s="23"/>
      <c r="AU448" s="23"/>
      <c r="AV448" s="23"/>
    </row>
    <row r="449">
      <c r="A449" s="28" t="s">
        <v>5161</v>
      </c>
      <c r="B449" s="28" t="s">
        <v>5162</v>
      </c>
      <c r="C449" s="23" t="str">
        <f t="shared" si="1"/>
        <v>Rashel Cabreja</v>
      </c>
      <c r="D449" s="28" t="s">
        <v>8303</v>
      </c>
      <c r="E449" s="28" t="s">
        <v>8304</v>
      </c>
      <c r="F449" s="23">
        <f t="array" ref="F449">IFERROR(
    INDEX('Hub Interns 226'!A:A, MATCH(C449, 'Hub Interns 226'!B:B, 0)),"")</f>
        <v>1019</v>
      </c>
      <c r="G449" s="23">
        <f t="array" ref="G449">IFERROR(
    INDEX('Hub Users 226'!A:A, MATCH(C449, 'Hub Users 226'!B:B, 0)),"")</f>
        <v>1452</v>
      </c>
      <c r="H449" s="28">
        <v>1197.0</v>
      </c>
      <c r="I449" s="28" t="s">
        <v>107</v>
      </c>
      <c r="J449" s="28" t="s">
        <v>5336</v>
      </c>
      <c r="K449" s="28" t="s">
        <v>5177</v>
      </c>
      <c r="L449" s="28" t="s">
        <v>5196</v>
      </c>
      <c r="M449" s="56" t="s">
        <v>8305</v>
      </c>
      <c r="N449" s="57">
        <v>44833.61319444444</v>
      </c>
      <c r="O449" s="58">
        <v>38836.0</v>
      </c>
      <c r="P449" s="28">
        <f t="shared" si="15"/>
        <v>20</v>
      </c>
      <c r="Q449" s="28" t="s">
        <v>8306</v>
      </c>
      <c r="R449" s="28" t="s">
        <v>8307</v>
      </c>
      <c r="S449" s="28">
        <v>13.0</v>
      </c>
      <c r="T449" s="28">
        <v>31.0</v>
      </c>
      <c r="U449" s="28">
        <v>72.0</v>
      </c>
      <c r="V449" s="28">
        <v>10.0</v>
      </c>
      <c r="W449" s="28" t="s">
        <v>271</v>
      </c>
      <c r="X449" s="28" t="s">
        <v>272</v>
      </c>
      <c r="Y449" s="28" t="s">
        <v>8308</v>
      </c>
      <c r="Z449" s="28" t="s">
        <v>5341</v>
      </c>
      <c r="AA449" s="28" t="s">
        <v>1085</v>
      </c>
      <c r="AB449" s="28">
        <v>10.0</v>
      </c>
      <c r="AC449" s="28" t="s">
        <v>25</v>
      </c>
      <c r="AD449" s="23"/>
      <c r="AE449" s="28" t="s">
        <v>15</v>
      </c>
      <c r="AF449" s="23" t="str">
        <f>IFERROR(__xludf.DUMMYFUNCTION("TEXTJOIN("", "", TRUE,
  FILTER(Champions!C:C,
    ISNUMBER(SEARCH(C449, Champions!W:W))
  )
)"),"Anne Tam, Donald Johnson, Sunkyung Park")</f>
        <v>Anne Tam, Donald Johnson, Sunkyung Park</v>
      </c>
      <c r="AG449" s="23"/>
      <c r="AH449" s="23" t="str">
        <f>IFERROR(__xludf.DUMMYFUNCTION("IF(
ISNUMBER(MATCH(
C449,
IMPORTRANGE(""https://docs.google.com/spreadsheets/d/1yTh1ELC33JHYOeEdgIiEclxPRyh0zOKtlawDltfUay8"",""'Interns'!A:A""),
0
)),
""Outreach Conducted"",
"""")"),"")</f>
        <v/>
      </c>
      <c r="AI449" s="23"/>
      <c r="AJ449" s="23"/>
      <c r="AK449" s="23" t="str">
        <f>IFERROR(__xludf.DUMMYFUNCTION("XLOOKUP(C449, 
   IMPORTRANGE(""1RdEdgHYrZ33LJ7RUHj_h-qkAFL92bcVjtIdVa-UlsCw"", ""Interns!D:D""), 
   IMPORTRANGE(""1RdEdgHYrZ33LJ7RUHj_h-qkAFL92bcVjtIdVa-UlsCw"", ""Interns!M:M""), 
   ""Not Found"")"),"Contacted")</f>
        <v>Contacted</v>
      </c>
      <c r="AL449" s="23" t="str">
        <f>IFERROR(__xludf.DUMMYFUNCTION("XLOOKUP(C449, 
   IMPORTRANGE(""1RdEdgHYrZ33LJ7RUHj_h-qkAFL92bcVjtIdVa-UlsCw"", ""Interns!D:D""), 
   IMPORTRANGE(""1RdEdgHYrZ33LJ7RUHj_h-qkAFL92bcVjtIdVa-UlsCw"", ""Interns!N:N""), 
   ""Not Found"")"),"#Cheers4Careers")</f>
        <v>#Cheers4Careers</v>
      </c>
      <c r="AM449" s="23" t="str">
        <f>IFERROR(__xludf.DUMMYFUNCTION("XLOOKUP(C449, 
   IMPORTRANGE(""1RdEdgHYrZ33LJ7RUHj_h-qkAFL92bcVjtIdVa-UlsCw"", ""Interns!D:D""), 
   IMPORTRANGE(""1RdEdgHYrZ33LJ7RUHj_h-qkAFL92bcVjtIdVa-UlsCw"", ""Interns!O:O""), 
   ""Not Found"")"),"Texted on April 12 for #Cheers4Careers event")</f>
        <v>Texted on April 12 for #Cheers4Careers event</v>
      </c>
      <c r="AN449" s="23"/>
      <c r="AO449" s="23" t="s">
        <v>8309</v>
      </c>
      <c r="AP449" s="28" t="s">
        <v>5182</v>
      </c>
      <c r="AQ449" s="28" t="s">
        <v>8310</v>
      </c>
      <c r="AR449" s="23" t="s">
        <v>8311</v>
      </c>
      <c r="AS449" s="23"/>
      <c r="AT449" s="23"/>
      <c r="AU449" s="23"/>
      <c r="AV449" s="23"/>
    </row>
    <row r="450">
      <c r="A450" s="28" t="s">
        <v>5161</v>
      </c>
      <c r="B450" s="28" t="s">
        <v>5162</v>
      </c>
      <c r="C450" s="23" t="str">
        <f t="shared" si="1"/>
        <v>Aaliyah Escalante</v>
      </c>
      <c r="D450" s="28" t="s">
        <v>7041</v>
      </c>
      <c r="E450" s="28" t="s">
        <v>8312</v>
      </c>
      <c r="F450" s="23">
        <f t="array" ref="F450">IFERROR(
    INDEX('Hub Interns 226'!A:A, MATCH(C450, 'Hub Interns 226'!B:B, 0)),"")</f>
        <v>127</v>
      </c>
      <c r="G450" s="23">
        <f t="array" ref="G450">IFERROR(
    INDEX('Hub Users 226'!A:A, MATCH(C450, 'Hub Users 226'!B:B, 0)),"")</f>
        <v>560</v>
      </c>
      <c r="H450" s="28">
        <v>1435.0</v>
      </c>
      <c r="I450" s="28" t="s">
        <v>107</v>
      </c>
      <c r="J450" s="28" t="s">
        <v>5336</v>
      </c>
      <c r="K450" s="28" t="s">
        <v>5177</v>
      </c>
      <c r="L450" s="28" t="s">
        <v>5196</v>
      </c>
      <c r="M450" s="56" t="s">
        <v>8313</v>
      </c>
      <c r="N450" s="59">
        <v>44880.626388888886</v>
      </c>
      <c r="O450" s="58">
        <v>38603.0</v>
      </c>
      <c r="P450" s="28">
        <f t="shared" si="15"/>
        <v>20</v>
      </c>
      <c r="Q450" s="28" t="s">
        <v>8314</v>
      </c>
      <c r="R450" s="28" t="s">
        <v>8315</v>
      </c>
      <c r="S450" s="28">
        <v>13.0</v>
      </c>
      <c r="T450" s="28">
        <v>31.0</v>
      </c>
      <c r="U450" s="28">
        <v>72.0</v>
      </c>
      <c r="V450" s="28">
        <v>10.0</v>
      </c>
      <c r="W450" s="28" t="s">
        <v>271</v>
      </c>
      <c r="X450" s="28" t="s">
        <v>272</v>
      </c>
      <c r="Y450" s="28" t="s">
        <v>8316</v>
      </c>
      <c r="Z450" s="28" t="s">
        <v>5341</v>
      </c>
      <c r="AA450" s="28" t="s">
        <v>1085</v>
      </c>
      <c r="AB450" s="28">
        <v>10.0</v>
      </c>
      <c r="AC450" s="28" t="s">
        <v>25</v>
      </c>
      <c r="AD450" s="23"/>
      <c r="AE450" s="28" t="s">
        <v>15</v>
      </c>
      <c r="AF450" s="23" t="str">
        <f>IFERROR(__xludf.DUMMYFUNCTION("TEXTJOIN("", "", TRUE,
  FILTER(Champions!C:C,
    ISNUMBER(SEARCH(C450, Champions!W:W))
  )
)"),"Anne Tam, Bhavna Mohan Agnihotri, Leigh Ann Wilson")</f>
        <v>Anne Tam, Bhavna Mohan Agnihotri, Leigh Ann Wilson</v>
      </c>
      <c r="AG450" s="26" t="s">
        <v>5342</v>
      </c>
      <c r="AH450" s="23" t="str">
        <f>IFERROR(__xludf.DUMMYFUNCTION("IF(
ISNUMBER(MATCH(
C450,
IMPORTRANGE(""https://docs.google.com/spreadsheets/d/1yTh1ELC33JHYOeEdgIiEclxPRyh0zOKtlawDltfUay8"",""'Interns'!A:A""),
0
)),
""Outreach Conducted"",
"""")"),"")</f>
        <v/>
      </c>
      <c r="AI450" s="23"/>
      <c r="AJ450" s="23"/>
      <c r="AK450" s="23" t="str">
        <f>IFERROR(__xludf.DUMMYFUNCTION("XLOOKUP(C450, 
   IMPORTRANGE(""1RdEdgHYrZ33LJ7RUHj_h-qkAFL92bcVjtIdVa-UlsCw"", ""Interns!D:D""), 
   IMPORTRANGE(""1RdEdgHYrZ33LJ7RUHj_h-qkAFL92bcVjtIdVa-UlsCw"", ""Interns!M:M""), 
   ""Not Found"")"),"Contacted")</f>
        <v>Contacted</v>
      </c>
      <c r="AL450" s="23" t="str">
        <f>IFERROR(__xludf.DUMMYFUNCTION("XLOOKUP(C450, 
   IMPORTRANGE(""1RdEdgHYrZ33LJ7RUHj_h-qkAFL92bcVjtIdVa-UlsCw"", ""Interns!D:D""), 
   IMPORTRANGE(""1RdEdgHYrZ33LJ7RUHj_h-qkAFL92bcVjtIdVa-UlsCw"", ""Interns!N:N""), 
   ""Not Found"")"),"#Cheers4Careers")</f>
        <v>#Cheers4Careers</v>
      </c>
      <c r="AM450" s="23" t="str">
        <f>IFERROR(__xludf.DUMMYFUNCTION("XLOOKUP(C450, 
   IMPORTRANGE(""1RdEdgHYrZ33LJ7RUHj_h-qkAFL92bcVjtIdVa-UlsCw"", ""Interns!D:D""), 
   IMPORTRANGE(""1RdEdgHYrZ33LJ7RUHj_h-qkAFL92bcVjtIdVa-UlsCw"", ""Interns!O:O""), 
   ""Not Found"")"),"Texted on April 11 for #Cheers4Careers event")</f>
        <v>Texted on April 11 for #Cheers4Careers event</v>
      </c>
      <c r="AN450" s="23"/>
      <c r="AO450" s="23" t="s">
        <v>8317</v>
      </c>
      <c r="AP450" s="28" t="s">
        <v>5182</v>
      </c>
      <c r="AQ450" s="28" t="s">
        <v>8318</v>
      </c>
      <c r="AR450" s="23" t="s">
        <v>8319</v>
      </c>
      <c r="AS450" s="28" t="s">
        <v>8320</v>
      </c>
      <c r="AT450" s="23"/>
      <c r="AU450" s="23"/>
      <c r="AV450" s="23"/>
    </row>
    <row r="451">
      <c r="A451" s="28" t="s">
        <v>5161</v>
      </c>
      <c r="B451" s="28" t="s">
        <v>5162</v>
      </c>
      <c r="C451" s="23" t="str">
        <f t="shared" si="1"/>
        <v>Yisneiri Rojas</v>
      </c>
      <c r="D451" s="28" t="s">
        <v>8321</v>
      </c>
      <c r="E451" s="28" t="s">
        <v>6566</v>
      </c>
      <c r="F451" s="23">
        <f t="array" ref="F451">IFERROR(
    INDEX('Hub Interns 226'!A:A, MATCH(C451, 'Hub Interns 226'!B:B, 0)),"")</f>
        <v>1231</v>
      </c>
      <c r="G451" s="23">
        <f t="array" ref="G451">IFERROR(
    INDEX('Hub Users 226'!A:A, MATCH(C451, 'Hub Users 226'!B:B, 0)),"")</f>
        <v>1664</v>
      </c>
      <c r="H451" s="28">
        <v>1237.0</v>
      </c>
      <c r="I451" s="28" t="s">
        <v>290</v>
      </c>
      <c r="J451" s="28" t="s">
        <v>5336</v>
      </c>
      <c r="K451" s="28" t="s">
        <v>5177</v>
      </c>
      <c r="L451" s="28" t="s">
        <v>5196</v>
      </c>
      <c r="M451" s="56" t="s">
        <v>8322</v>
      </c>
      <c r="N451" s="57">
        <v>44838.46041666667</v>
      </c>
      <c r="O451" s="58">
        <v>38840.0</v>
      </c>
      <c r="P451" s="28">
        <f t="shared" si="15"/>
        <v>20</v>
      </c>
      <c r="Q451" s="28" t="s">
        <v>8323</v>
      </c>
      <c r="R451" s="28" t="s">
        <v>8324</v>
      </c>
      <c r="S451" s="28">
        <v>13.0</v>
      </c>
      <c r="T451" s="28">
        <v>31.0</v>
      </c>
      <c r="U451" s="28">
        <v>72.0</v>
      </c>
      <c r="V451" s="28">
        <v>10.0</v>
      </c>
      <c r="W451" s="28" t="s">
        <v>271</v>
      </c>
      <c r="X451" s="28" t="s">
        <v>272</v>
      </c>
      <c r="Y451" s="28" t="s">
        <v>8325</v>
      </c>
      <c r="Z451" s="28" t="s">
        <v>5341</v>
      </c>
      <c r="AA451" s="28" t="s">
        <v>1085</v>
      </c>
      <c r="AB451" s="28">
        <v>10.0</v>
      </c>
      <c r="AC451" s="28" t="s">
        <v>25</v>
      </c>
      <c r="AD451" s="23"/>
      <c r="AE451" s="28" t="s">
        <v>15</v>
      </c>
      <c r="AF451" s="23" t="str">
        <f>IFERROR(__xludf.DUMMYFUNCTION("TEXTJOIN("", "", TRUE,
  FILTER(Champions!C:C,
    ISNUMBER(SEARCH(C451, Champions!W:W))
  )
)"),"Chiemela Okwandu, Joan Marie Cadenhead, Frank Guia")</f>
        <v>Chiemela Okwandu, Joan Marie Cadenhead, Frank Guia</v>
      </c>
      <c r="AG451" s="23"/>
      <c r="AH451" s="23" t="str">
        <f>IFERROR(__xludf.DUMMYFUNCTION("IF(
ISNUMBER(MATCH(
C451,
IMPORTRANGE(""https://docs.google.com/spreadsheets/d/1yTh1ELC33JHYOeEdgIiEclxPRyh0zOKtlawDltfUay8"",""'Interns'!A:A""),
0
)),
""Outreach Conducted"",
"""")"),"")</f>
        <v/>
      </c>
      <c r="AI451" s="23"/>
      <c r="AJ451" s="23"/>
      <c r="AK451" s="23" t="str">
        <f>IFERROR(__xludf.DUMMYFUNCTION("XLOOKUP(C451, 
   IMPORTRANGE(""1RdEdgHYrZ33LJ7RUHj_h-qkAFL92bcVjtIdVa-UlsCw"", ""Interns!D:D""), 
   IMPORTRANGE(""1RdEdgHYrZ33LJ7RUHj_h-qkAFL92bcVjtIdVa-UlsCw"", ""Interns!M:M""), 
   ""Not Found"")"),"Contacted")</f>
        <v>Contacted</v>
      </c>
      <c r="AL451" s="23" t="str">
        <f>IFERROR(__xludf.DUMMYFUNCTION("XLOOKUP(C451, 
   IMPORTRANGE(""1RdEdgHYrZ33LJ7RUHj_h-qkAFL92bcVjtIdVa-UlsCw"", ""Interns!D:D""), 
   IMPORTRANGE(""1RdEdgHYrZ33LJ7RUHj_h-qkAFL92bcVjtIdVa-UlsCw"", ""Interns!N:N""), 
   ""Not Found"")"),"#Cheers4Careers")</f>
        <v>#Cheers4Careers</v>
      </c>
      <c r="AM451" s="23" t="str">
        <f>IFERROR(__xludf.DUMMYFUNCTION("XLOOKUP(C451, 
   IMPORTRANGE(""1RdEdgHYrZ33LJ7RUHj_h-qkAFL92bcVjtIdVa-UlsCw"", ""Interns!D:D""), 
   IMPORTRANGE(""1RdEdgHYrZ33LJ7RUHj_h-qkAFL92bcVjtIdVa-UlsCw"", ""Interns!O:O""), 
   ""Not Found"")"),"Texted on April 12 for #Cheers4Careers event")</f>
        <v>Texted on April 12 for #Cheers4Careers event</v>
      </c>
      <c r="AN451" s="23"/>
      <c r="AO451" s="23" t="s">
        <v>8326</v>
      </c>
      <c r="AP451" s="28" t="s">
        <v>5182</v>
      </c>
      <c r="AQ451" s="28" t="s">
        <v>8327</v>
      </c>
      <c r="AR451" s="23" t="s">
        <v>8328</v>
      </c>
      <c r="AS451" s="23"/>
      <c r="AT451" s="23"/>
      <c r="AU451" s="23"/>
      <c r="AV451" s="23"/>
    </row>
    <row r="452">
      <c r="A452" s="28" t="s">
        <v>5161</v>
      </c>
      <c r="B452" s="28" t="s">
        <v>5162</v>
      </c>
      <c r="C452" s="23" t="str">
        <f t="shared" si="1"/>
        <v>Samuel Rodriguez</v>
      </c>
      <c r="D452" s="28" t="s">
        <v>8295</v>
      </c>
      <c r="E452" s="28" t="s">
        <v>536</v>
      </c>
      <c r="F452" s="23">
        <f t="array" ref="F452">IFERROR(
    INDEX('Hub Interns 226'!A:A, MATCH(C452, 'Hub Interns 226'!B:B, 0)),"")</f>
        <v>1117</v>
      </c>
      <c r="G452" s="23">
        <f t="array" ref="G452">IFERROR(
    INDEX('Hub Users 226'!A:A, MATCH(C452, 'Hub Users 226'!B:B, 0)),"")</f>
        <v>1550</v>
      </c>
      <c r="H452" s="28">
        <v>719.0</v>
      </c>
      <c r="I452" s="28" t="s">
        <v>239</v>
      </c>
      <c r="J452" s="28" t="s">
        <v>5336</v>
      </c>
      <c r="K452" s="28" t="s">
        <v>5177</v>
      </c>
      <c r="L452" s="28" t="s">
        <v>5165</v>
      </c>
      <c r="M452" s="56" t="s">
        <v>8329</v>
      </c>
      <c r="N452" s="59">
        <v>44547.77013888889</v>
      </c>
      <c r="O452" s="58">
        <v>39080.0</v>
      </c>
      <c r="P452" s="28">
        <f t="shared" si="15"/>
        <v>19</v>
      </c>
      <c r="Q452" s="28" t="s">
        <v>8330</v>
      </c>
      <c r="R452" s="28" t="s">
        <v>8331</v>
      </c>
      <c r="S452" s="28">
        <v>13.0</v>
      </c>
      <c r="T452" s="28">
        <v>31.0</v>
      </c>
      <c r="U452" s="28">
        <v>72.0</v>
      </c>
      <c r="V452" s="28">
        <v>10.0</v>
      </c>
      <c r="W452" s="28" t="s">
        <v>271</v>
      </c>
      <c r="X452" s="28" t="s">
        <v>272</v>
      </c>
      <c r="Y452" s="28" t="s">
        <v>8332</v>
      </c>
      <c r="Z452" s="28" t="s">
        <v>5341</v>
      </c>
      <c r="AA452" s="28" t="s">
        <v>1085</v>
      </c>
      <c r="AB452" s="28">
        <v>10.0</v>
      </c>
      <c r="AC452" s="28" t="s">
        <v>25</v>
      </c>
      <c r="AD452" s="28" t="s">
        <v>101</v>
      </c>
      <c r="AE452" s="26" t="s">
        <v>12</v>
      </c>
      <c r="AF452" s="23" t="str">
        <f>IFERROR(__xludf.DUMMYFUNCTION("TEXTJOIN("", "", TRUE,
  FILTER(Champions!C:C,
    ISNUMBER(SEARCH(C452, Champions!W:W))
  )
)"),"Lee Davis, Hesam Moghaddam, Samar Deen, Waad Massoud, Robert Wadams")</f>
        <v>Lee Davis, Hesam Moghaddam, Samar Deen, Waad Massoud, Robert Wadams</v>
      </c>
      <c r="AG452" s="23"/>
      <c r="AH452" s="23" t="str">
        <f>IFERROR(__xludf.DUMMYFUNCTION("IF(
ISNUMBER(MATCH(
C452,
IMPORTRANGE(""https://docs.google.com/spreadsheets/d/1yTh1ELC33JHYOeEdgIiEclxPRyh0zOKtlawDltfUay8"",""'Interns'!A:A""),
0
)),
""Outreach Conducted"",
"""")"),"")</f>
        <v/>
      </c>
      <c r="AI452" s="23"/>
      <c r="AJ452" s="23"/>
      <c r="AK452" s="23" t="str">
        <f>IFERROR(__xludf.DUMMYFUNCTION("XLOOKUP(C452, 
   IMPORTRANGE(""1RdEdgHYrZ33LJ7RUHj_h-qkAFL92bcVjtIdVa-UlsCw"", ""Interns!D:D""), 
   IMPORTRANGE(""1RdEdgHYrZ33LJ7RUHj_h-qkAFL92bcVjtIdVa-UlsCw"", ""Interns!M:M""), 
   ""Not Found"")"),"Contacted")</f>
        <v>Contacted</v>
      </c>
      <c r="AL452" s="23" t="str">
        <f>IFERROR(__xludf.DUMMYFUNCTION("XLOOKUP(C452, 
   IMPORTRANGE(""1RdEdgHYrZ33LJ7RUHj_h-qkAFL92bcVjtIdVa-UlsCw"", ""Interns!D:D""), 
   IMPORTRANGE(""1RdEdgHYrZ33LJ7RUHj_h-qkAFL92bcVjtIdVa-UlsCw"", ""Interns!N:N""), 
   ""Not Found"")"),"#Cheers4Careers")</f>
        <v>#Cheers4Careers</v>
      </c>
      <c r="AM452" s="23" t="str">
        <f>IFERROR(__xludf.DUMMYFUNCTION("XLOOKUP(C452, 
   IMPORTRANGE(""1RdEdgHYrZ33LJ7RUHj_h-qkAFL92bcVjtIdVa-UlsCw"", ""Interns!D:D""), 
   IMPORTRANGE(""1RdEdgHYrZ33LJ7RUHj_h-qkAFL92bcVjtIdVa-UlsCw"", ""Interns!O:O""), 
   ""Not Found"")"),"Texted on April 14 for #Cheers4Careers event")</f>
        <v>Texted on April 14 for #Cheers4Careers event</v>
      </c>
      <c r="AN452" s="23"/>
      <c r="AO452" s="23" t="s">
        <v>8333</v>
      </c>
      <c r="AP452" s="28" t="s">
        <v>5182</v>
      </c>
      <c r="AQ452" s="28" t="s">
        <v>8334</v>
      </c>
      <c r="AR452" s="23" t="s">
        <v>8335</v>
      </c>
      <c r="AS452" s="23"/>
      <c r="AT452" s="23"/>
      <c r="AU452" s="23"/>
      <c r="AV452" s="23"/>
    </row>
    <row r="453">
      <c r="A453" s="28" t="s">
        <v>5161</v>
      </c>
      <c r="B453" s="28" t="s">
        <v>5162</v>
      </c>
      <c r="C453" s="23" t="str">
        <f t="shared" si="1"/>
        <v>Luis Grullon</v>
      </c>
      <c r="D453" s="28" t="s">
        <v>6689</v>
      </c>
      <c r="E453" s="28" t="s">
        <v>7373</v>
      </c>
      <c r="F453" s="23">
        <f t="array" ref="F453">IFERROR(
    INDEX('Hub Interns 226'!A:A, MATCH(C453, 'Hub Interns 226'!B:B, 0)),"")</f>
        <v>795</v>
      </c>
      <c r="G453" s="23">
        <f t="array" ref="G453">IFERROR(
    INDEX('Hub Users 226'!A:A, MATCH(C453, 'Hub Users 226'!B:B, 0)),"")</f>
        <v>1228</v>
      </c>
      <c r="H453" s="28">
        <v>1177.0</v>
      </c>
      <c r="I453" s="28" t="s">
        <v>239</v>
      </c>
      <c r="J453" s="28" t="s">
        <v>5336</v>
      </c>
      <c r="K453" s="28" t="s">
        <v>5177</v>
      </c>
      <c r="L453" s="28" t="s">
        <v>5165</v>
      </c>
      <c r="M453" s="56" t="s">
        <v>8336</v>
      </c>
      <c r="N453" s="57">
        <v>44817.663194444445</v>
      </c>
      <c r="O453" s="58">
        <v>38652.0</v>
      </c>
      <c r="P453" s="28">
        <f t="shared" si="15"/>
        <v>20</v>
      </c>
      <c r="Q453" s="28" t="s">
        <v>8337</v>
      </c>
      <c r="R453" s="28" t="s">
        <v>8338</v>
      </c>
      <c r="S453" s="28">
        <v>13.0</v>
      </c>
      <c r="T453" s="28">
        <v>31.0</v>
      </c>
      <c r="U453" s="28">
        <v>72.0</v>
      </c>
      <c r="V453" s="28">
        <v>10.0</v>
      </c>
      <c r="W453" s="28" t="s">
        <v>271</v>
      </c>
      <c r="X453" s="28" t="s">
        <v>272</v>
      </c>
      <c r="Y453" s="28" t="s">
        <v>8339</v>
      </c>
      <c r="Z453" s="28" t="s">
        <v>5341</v>
      </c>
      <c r="AA453" s="28" t="s">
        <v>1085</v>
      </c>
      <c r="AB453" s="28">
        <v>10.0</v>
      </c>
      <c r="AC453" s="28" t="s">
        <v>25</v>
      </c>
      <c r="AD453" s="28" t="s">
        <v>101</v>
      </c>
      <c r="AE453" s="28" t="s">
        <v>15</v>
      </c>
      <c r="AF453" s="23" t="str">
        <f>IFERROR(__xludf.DUMMYFUNCTION("TEXTJOIN("", "", TRUE,
  FILTER(Champions!C:C,
    ISNUMBER(SEARCH(C453, Champions!W:W))
  )
)"),"Hesam Moghaddam, Jason Alafgani, Frank Weber")</f>
        <v>Hesam Moghaddam, Jason Alafgani, Frank Weber</v>
      </c>
      <c r="AG453" s="23"/>
      <c r="AH453" s="23" t="str">
        <f>IFERROR(__xludf.DUMMYFUNCTION("IF(
ISNUMBER(MATCH(
C453,
IMPORTRANGE(""https://docs.google.com/spreadsheets/d/1yTh1ELC33JHYOeEdgIiEclxPRyh0zOKtlawDltfUay8"",""'Interns'!A:A""),
0
)),
""Outreach Conducted"",
"""")"),"")</f>
        <v/>
      </c>
      <c r="AI453" s="23"/>
      <c r="AJ453" s="23"/>
      <c r="AK453" s="23" t="str">
        <f>IFERROR(__xludf.DUMMYFUNCTION("XLOOKUP(C453, 
   IMPORTRANGE(""1RdEdgHYrZ33LJ7RUHj_h-qkAFL92bcVjtIdVa-UlsCw"", ""Interns!D:D""), 
   IMPORTRANGE(""1RdEdgHYrZ33LJ7RUHj_h-qkAFL92bcVjtIdVa-UlsCw"", ""Interns!M:M""), 
   ""Not Found"")"),"Contacted")</f>
        <v>Contacted</v>
      </c>
      <c r="AL453" s="23" t="str">
        <f>IFERROR(__xludf.DUMMYFUNCTION("XLOOKUP(C453, 
   IMPORTRANGE(""1RdEdgHYrZ33LJ7RUHj_h-qkAFL92bcVjtIdVa-UlsCw"", ""Interns!D:D""), 
   IMPORTRANGE(""1RdEdgHYrZ33LJ7RUHj_h-qkAFL92bcVjtIdVa-UlsCw"", ""Interns!N:N""), 
   ""Not Found"")"),"#Cheers4Careers")</f>
        <v>#Cheers4Careers</v>
      </c>
      <c r="AM453" s="23" t="str">
        <f>IFERROR(__xludf.DUMMYFUNCTION("XLOOKUP(C453, 
   IMPORTRANGE(""1RdEdgHYrZ33LJ7RUHj_h-qkAFL92bcVjtIdVa-UlsCw"", ""Interns!D:D""), 
   IMPORTRANGE(""1RdEdgHYrZ33LJ7RUHj_h-qkAFL92bcVjtIdVa-UlsCw"", ""Interns!O:O""), 
   ""Not Found"")"),"Texted on April 14 for #Cheers4Careers event")</f>
        <v>Texted on April 14 for #Cheers4Careers event</v>
      </c>
      <c r="AN453" s="23"/>
      <c r="AO453" s="23" t="s">
        <v>8340</v>
      </c>
      <c r="AP453" s="28" t="s">
        <v>5182</v>
      </c>
      <c r="AQ453" s="28" t="s">
        <v>8341</v>
      </c>
      <c r="AR453" s="23" t="s">
        <v>8342</v>
      </c>
      <c r="AS453" s="23"/>
      <c r="AT453" s="23"/>
      <c r="AU453" s="23"/>
      <c r="AV453" s="23"/>
    </row>
    <row r="454">
      <c r="A454" s="28" t="s">
        <v>5161</v>
      </c>
      <c r="B454" s="28" t="s">
        <v>5162</v>
      </c>
      <c r="C454" s="23" t="str">
        <f t="shared" si="1"/>
        <v>Elaine Felipe</v>
      </c>
      <c r="D454" s="28" t="s">
        <v>8343</v>
      </c>
      <c r="E454" s="28" t="s">
        <v>8344</v>
      </c>
      <c r="F454" s="23">
        <f t="array" ref="F454">IFERROR(
    INDEX('Hub Interns 226'!A:A, MATCH(C454, 'Hub Interns 226'!B:B, 0)),"")</f>
        <v>473</v>
      </c>
      <c r="G454" s="23">
        <f t="array" ref="G454">IFERROR(
    INDEX('Hub Users 226'!A:A, MATCH(C454, 'Hub Users 226'!B:B, 0)),"")</f>
        <v>906</v>
      </c>
      <c r="H454" s="28">
        <v>929.0</v>
      </c>
      <c r="I454" s="28" t="s">
        <v>290</v>
      </c>
      <c r="J454" s="28" t="s">
        <v>5336</v>
      </c>
      <c r="K454" s="28" t="s">
        <v>5177</v>
      </c>
      <c r="L454" s="28" t="s">
        <v>5196</v>
      </c>
      <c r="M454" s="56" t="s">
        <v>8345</v>
      </c>
      <c r="N454" s="57">
        <v>44603.47986111111</v>
      </c>
      <c r="O454" s="58">
        <v>38400.0</v>
      </c>
      <c r="P454" s="28">
        <f t="shared" si="15"/>
        <v>21</v>
      </c>
      <c r="Q454" s="28" t="s">
        <v>240</v>
      </c>
      <c r="R454" s="28" t="s">
        <v>8346</v>
      </c>
      <c r="S454" s="28">
        <v>14.0</v>
      </c>
      <c r="T454" s="28">
        <v>29.0</v>
      </c>
      <c r="U454" s="28">
        <v>84.0</v>
      </c>
      <c r="V454" s="28">
        <v>8.0</v>
      </c>
      <c r="W454" s="28" t="s">
        <v>859</v>
      </c>
      <c r="X454" s="28" t="s">
        <v>272</v>
      </c>
      <c r="Y454" s="28" t="s">
        <v>8347</v>
      </c>
      <c r="Z454" s="28" t="s">
        <v>5208</v>
      </c>
      <c r="AA454" s="28" t="s">
        <v>2141</v>
      </c>
      <c r="AB454" s="28">
        <v>8.0</v>
      </c>
      <c r="AC454" s="28" t="s">
        <v>24</v>
      </c>
      <c r="AD454" s="23"/>
      <c r="AE454" s="28" t="s">
        <v>10</v>
      </c>
      <c r="AF454" s="23"/>
      <c r="AG454" s="23"/>
      <c r="AH454" s="23" t="str">
        <f>IFERROR(__xludf.DUMMYFUNCTION("IF(
ISNUMBER(MATCH(
C454,
IMPORTRANGE(""https://docs.google.com/spreadsheets/d/1yTh1ELC33JHYOeEdgIiEclxPRyh0zOKtlawDltfUay8"",""'Interns'!A:A""),
0
)),
""Outreach Conducted"",
"""")"),"")</f>
        <v/>
      </c>
      <c r="AI454" s="23"/>
      <c r="AJ454" s="23"/>
      <c r="AK454" s="23" t="str">
        <f>IFERROR(__xludf.DUMMYFUNCTION("XLOOKUP(C454, 
   IMPORTRANGE(""1RdEdgHYrZ33LJ7RUHj_h-qkAFL92bcVjtIdVa-UlsCw"", ""Interns!D:D""), 
   IMPORTRANGE(""1RdEdgHYrZ33LJ7RUHj_h-qkAFL92bcVjtIdVa-UlsCw"", ""Interns!M:M""), 
   ""Not Found"")"),"Contacted")</f>
        <v>Contacted</v>
      </c>
      <c r="AL454" s="23" t="str">
        <f>IFERROR(__xludf.DUMMYFUNCTION("XLOOKUP(C454, 
   IMPORTRANGE(""1RdEdgHYrZ33LJ7RUHj_h-qkAFL92bcVjtIdVa-UlsCw"", ""Interns!D:D""), 
   IMPORTRANGE(""1RdEdgHYrZ33LJ7RUHj_h-qkAFL92bcVjtIdVa-UlsCw"", ""Interns!N:N""), 
   ""Not Found"")"),"#Cheers4Careers")</f>
        <v>#Cheers4Careers</v>
      </c>
      <c r="AM454" s="23" t="str">
        <f>IFERROR(__xludf.DUMMYFUNCTION("XLOOKUP(C454, 
   IMPORTRANGE(""1RdEdgHYrZ33LJ7RUHj_h-qkAFL92bcVjtIdVa-UlsCw"", ""Interns!D:D""), 
   IMPORTRANGE(""1RdEdgHYrZ33LJ7RUHj_h-qkAFL92bcVjtIdVa-UlsCw"", ""Interns!O:O""), 
   ""Not Found"")"),"Hetal reached out by email 3/27")</f>
        <v>Hetal reached out by email 3/27</v>
      </c>
      <c r="AN454" s="23"/>
      <c r="AO454" s="23" t="s">
        <v>8348</v>
      </c>
      <c r="AP454" s="28" t="s">
        <v>5182</v>
      </c>
      <c r="AQ454" s="28"/>
      <c r="AR454" s="23"/>
      <c r="AS454" s="23"/>
      <c r="AT454" s="23"/>
      <c r="AU454" s="23"/>
      <c r="AV454" s="23"/>
    </row>
    <row r="455">
      <c r="A455" s="28" t="s">
        <v>5161</v>
      </c>
      <c r="B455" s="28" t="s">
        <v>5162</v>
      </c>
      <c r="C455" s="23" t="str">
        <f t="shared" si="1"/>
        <v>chrystall rivas</v>
      </c>
      <c r="D455" s="28" t="s">
        <v>8349</v>
      </c>
      <c r="E455" s="28" t="s">
        <v>8350</v>
      </c>
      <c r="F455" s="23">
        <f t="array" ref="F455">IFERROR(
    INDEX('Hub Interns 226'!A:A, MATCH(C455, 'Hub Interns 226'!B:B, 0)),"")</f>
        <v>370</v>
      </c>
      <c r="G455" s="23">
        <f t="array" ref="G455">IFERROR(
    INDEX('Hub Users 226'!A:A, MATCH(C455, 'Hub Users 226'!B:B, 0)),"")</f>
        <v>803</v>
      </c>
      <c r="H455" s="28">
        <v>1024.0</v>
      </c>
      <c r="I455" s="28" t="s">
        <v>239</v>
      </c>
      <c r="J455" s="28" t="s">
        <v>5336</v>
      </c>
      <c r="K455" s="28" t="s">
        <v>5177</v>
      </c>
      <c r="L455" s="28" t="s">
        <v>6647</v>
      </c>
      <c r="M455" s="56" t="s">
        <v>8351</v>
      </c>
      <c r="N455" s="57">
        <v>44658.58888888889</v>
      </c>
      <c r="O455" s="58">
        <v>39778.0</v>
      </c>
      <c r="P455" s="28">
        <f t="shared" si="15"/>
        <v>17</v>
      </c>
      <c r="Q455" s="28" t="s">
        <v>240</v>
      </c>
      <c r="R455" s="28" t="s">
        <v>8352</v>
      </c>
      <c r="S455" s="28">
        <v>6.0</v>
      </c>
      <c r="T455" s="28">
        <v>15.0</v>
      </c>
      <c r="U455" s="28">
        <v>28.0</v>
      </c>
      <c r="V455" s="28">
        <v>29.0</v>
      </c>
      <c r="W455" s="28" t="s">
        <v>1173</v>
      </c>
      <c r="X455" s="28" t="s">
        <v>272</v>
      </c>
      <c r="Y455" s="28" t="s">
        <v>8353</v>
      </c>
      <c r="Z455" s="28" t="s">
        <v>5352</v>
      </c>
      <c r="AA455" s="28" t="s">
        <v>5287</v>
      </c>
      <c r="AB455" s="28">
        <v>26.0</v>
      </c>
      <c r="AC455" s="28" t="s">
        <v>24</v>
      </c>
      <c r="AD455" s="23"/>
      <c r="AE455" s="28" t="s">
        <v>10</v>
      </c>
      <c r="AF455" s="23"/>
      <c r="AG455" s="23"/>
      <c r="AH455" s="23" t="str">
        <f>IFERROR(__xludf.DUMMYFUNCTION("IF(
ISNUMBER(MATCH(
C455,
IMPORTRANGE(""https://docs.google.com/spreadsheets/d/1yTh1ELC33JHYOeEdgIiEclxPRyh0zOKtlawDltfUay8"",""'Interns'!A:A""),
0
)),
""Outreach Conducted"",
"""")"),"")</f>
        <v/>
      </c>
      <c r="AI455" s="23"/>
      <c r="AJ455" s="23"/>
      <c r="AK455" s="23" t="str">
        <f>IFERROR(__xludf.DUMMYFUNCTION("XLOOKUP(C455, 
   IMPORTRANGE(""1RdEdgHYrZ33LJ7RUHj_h-qkAFL92bcVjtIdVa-UlsCw"", ""Interns!D:D""), 
   IMPORTRANGE(""1RdEdgHYrZ33LJ7RUHj_h-qkAFL92bcVjtIdVa-UlsCw"", ""Interns!M:M""), 
   ""Not Found"")"),"Contacted")</f>
        <v>Contacted</v>
      </c>
      <c r="AL455" s="23" t="str">
        <f>IFERROR(__xludf.DUMMYFUNCTION("XLOOKUP(C455, 
   IMPORTRANGE(""1RdEdgHYrZ33LJ7RUHj_h-qkAFL92bcVjtIdVa-UlsCw"", ""Interns!D:D""), 
   IMPORTRANGE(""1RdEdgHYrZ33LJ7RUHj_h-qkAFL92bcVjtIdVa-UlsCw"", ""Interns!N:N""), 
   ""Not Found"")"),"#Cheers4Careers")</f>
        <v>#Cheers4Careers</v>
      </c>
      <c r="AM455" s="23" t="str">
        <f>IFERROR(__xludf.DUMMYFUNCTION("XLOOKUP(C455, 
   IMPORTRANGE(""1RdEdgHYrZ33LJ7RUHj_h-qkAFL92bcVjtIdVa-UlsCw"", ""Interns!D:D""), 
   IMPORTRANGE(""1RdEdgHYrZ33LJ7RUHj_h-qkAFL92bcVjtIdVa-UlsCw"", ""Interns!O:O""), 
   ""Not Found"")"),"Hetal reached out by email 3/27")</f>
        <v>Hetal reached out by email 3/27</v>
      </c>
      <c r="AN455" s="23"/>
      <c r="AO455" s="23" t="s">
        <v>8354</v>
      </c>
      <c r="AP455" s="28" t="s">
        <v>5182</v>
      </c>
      <c r="AQ455" s="28"/>
      <c r="AR455" s="23"/>
      <c r="AS455" s="23"/>
      <c r="AT455" s="23"/>
      <c r="AU455" s="23"/>
      <c r="AV455" s="23"/>
    </row>
    <row r="456">
      <c r="A456" s="28" t="s">
        <v>5161</v>
      </c>
      <c r="B456" s="28" t="s">
        <v>5162</v>
      </c>
      <c r="C456" s="23" t="str">
        <f t="shared" si="1"/>
        <v>Lisvany Guzman</v>
      </c>
      <c r="D456" s="28" t="s">
        <v>8355</v>
      </c>
      <c r="E456" s="28" t="s">
        <v>847</v>
      </c>
      <c r="F456" s="23">
        <f t="array" ref="F456">IFERROR(
    INDEX('Hub Interns 226'!A:A, MATCH(C456, 'Hub Interns 226'!B:B, 0)),"")</f>
        <v>786</v>
      </c>
      <c r="G456" s="23">
        <f t="array" ref="G456">IFERROR(
    INDEX('Hub Users 226'!A:A, MATCH(C456, 'Hub Users 226'!B:B, 0)),"")</f>
        <v>1219</v>
      </c>
      <c r="H456" s="28">
        <v>849.0</v>
      </c>
      <c r="I456" s="28" t="s">
        <v>260</v>
      </c>
      <c r="J456" s="28" t="s">
        <v>5336</v>
      </c>
      <c r="K456" s="28" t="s">
        <v>5177</v>
      </c>
      <c r="L456" s="28" t="s">
        <v>5196</v>
      </c>
      <c r="M456" s="56" t="s">
        <v>8356</v>
      </c>
      <c r="N456" s="57">
        <v>44586.720138888886</v>
      </c>
      <c r="O456" s="58">
        <v>38556.0</v>
      </c>
      <c r="P456" s="28">
        <f t="shared" si="15"/>
        <v>20</v>
      </c>
      <c r="Q456" s="28" t="s">
        <v>8357</v>
      </c>
      <c r="R456" s="28" t="s">
        <v>8358</v>
      </c>
      <c r="S456" s="28">
        <v>15.0</v>
      </c>
      <c r="T456" s="28">
        <v>29.0</v>
      </c>
      <c r="U456" s="28">
        <v>79.0</v>
      </c>
      <c r="V456" s="28">
        <v>17.0</v>
      </c>
      <c r="W456" s="28" t="s">
        <v>859</v>
      </c>
      <c r="X456" s="28" t="s">
        <v>272</v>
      </c>
      <c r="Y456" s="28">
        <v>1.9176032144E10</v>
      </c>
      <c r="Z456" s="28" t="s">
        <v>5310</v>
      </c>
      <c r="AA456" s="28" t="s">
        <v>362</v>
      </c>
      <c r="AB456" s="28">
        <v>16.0</v>
      </c>
      <c r="AC456" s="28" t="s">
        <v>25</v>
      </c>
      <c r="AD456" s="23"/>
      <c r="AE456" s="28" t="s">
        <v>10</v>
      </c>
      <c r="AF456" s="23" t="str">
        <f>IFERROR(__xludf.DUMMYFUNCTION("TEXTJOIN("", "", TRUE,
  FILTER(Champions!C:C,
    ISNUMBER(SEARCH(C456, Champions!W:W))
  )
)"),"Albert Rocco, Ritika Naik")</f>
        <v>Albert Rocco, Ritika Naik</v>
      </c>
      <c r="AG456" s="23"/>
      <c r="AH456" s="23" t="str">
        <f>IFERROR(__xludf.DUMMYFUNCTION("IF(
ISNUMBER(MATCH(
C456,
IMPORTRANGE(""https://docs.google.com/spreadsheets/d/1yTh1ELC33JHYOeEdgIiEclxPRyh0zOKtlawDltfUay8"",""'Interns'!A:A""),
0
)),
""Outreach Conducted"",
"""")"),"")</f>
        <v/>
      </c>
      <c r="AI456" s="23"/>
      <c r="AJ456" s="23"/>
      <c r="AK456" s="23" t="str">
        <f>IFERROR(__xludf.DUMMYFUNCTION("XLOOKUP(C456, 
   IMPORTRANGE(""1RdEdgHYrZ33LJ7RUHj_h-qkAFL92bcVjtIdVa-UlsCw"", ""Interns!D:D""), 
   IMPORTRANGE(""1RdEdgHYrZ33LJ7RUHj_h-qkAFL92bcVjtIdVa-UlsCw"", ""Interns!M:M""), 
   ""Not Found"")"),"")</f>
        <v/>
      </c>
      <c r="AL456" s="23" t="str">
        <f>IFERROR(__xludf.DUMMYFUNCTION("XLOOKUP(C456, 
   IMPORTRANGE(""1RdEdgHYrZ33LJ7RUHj_h-qkAFL92bcVjtIdVa-UlsCw"", ""Interns!D:D""), 
   IMPORTRANGE(""1RdEdgHYrZ33LJ7RUHj_h-qkAFL92bcVjtIdVa-UlsCw"", ""Interns!N:N""), 
   ""Not Found"")"),"")</f>
        <v/>
      </c>
      <c r="AM456" s="23" t="str">
        <f>IFERROR(__xludf.DUMMYFUNCTION("XLOOKUP(C456, 
   IMPORTRANGE(""1RdEdgHYrZ33LJ7RUHj_h-qkAFL92bcVjtIdVa-UlsCw"", ""Interns!D:D""), 
   IMPORTRANGE(""1RdEdgHYrZ33LJ7RUHj_h-qkAFL92bcVjtIdVa-UlsCw"", ""Interns!O:O""), 
   ""Not Found"")"),"")</f>
        <v/>
      </c>
      <c r="AN456" s="23"/>
      <c r="AO456" s="23" t="s">
        <v>8359</v>
      </c>
      <c r="AP456" s="28" t="s">
        <v>5182</v>
      </c>
      <c r="AQ456" s="28" t="s">
        <v>8360</v>
      </c>
      <c r="AR456" s="23" t="s">
        <v>8361</v>
      </c>
      <c r="AS456" s="23"/>
      <c r="AT456" s="23"/>
      <c r="AU456" s="23"/>
      <c r="AV456" s="23"/>
    </row>
    <row r="457">
      <c r="A457" s="28" t="s">
        <v>5202</v>
      </c>
      <c r="B457" s="28" t="s">
        <v>5162</v>
      </c>
      <c r="C457" s="23" t="str">
        <f t="shared" si="1"/>
        <v>brayan mendez</v>
      </c>
      <c r="D457" s="28" t="s">
        <v>8362</v>
      </c>
      <c r="E457" s="28" t="s">
        <v>8363</v>
      </c>
      <c r="F457" s="23">
        <f t="array" ref="F457">IFERROR(
    INDEX('Hub Interns 226'!A:A, MATCH(C457, 'Hub Interns 226'!B:B, 0)),"")</f>
        <v>37</v>
      </c>
      <c r="G457" s="23">
        <f t="array" ref="G457">IFERROR(
    INDEX('Hub Users 226'!A:A, MATCH(C457, 'Hub Users 226'!B:B, 0)),"")</f>
        <v>470</v>
      </c>
      <c r="H457" s="28">
        <v>942.0</v>
      </c>
      <c r="I457" s="28"/>
      <c r="J457" s="28" t="s">
        <v>5336</v>
      </c>
      <c r="K457" s="28" t="s">
        <v>5177</v>
      </c>
      <c r="L457" s="28" t="s">
        <v>5165</v>
      </c>
      <c r="M457" s="56" t="s">
        <v>8364</v>
      </c>
      <c r="N457" s="57">
        <v>44603.59652777778</v>
      </c>
      <c r="O457" s="58">
        <v>38333.0</v>
      </c>
      <c r="P457" s="28">
        <f t="shared" si="15"/>
        <v>21</v>
      </c>
      <c r="Q457" s="28" t="s">
        <v>240</v>
      </c>
      <c r="R457" s="28" t="s">
        <v>8365</v>
      </c>
      <c r="S457" s="28">
        <v>13.0</v>
      </c>
      <c r="T457" s="28">
        <v>31.0</v>
      </c>
      <c r="U457" s="28">
        <v>86.0</v>
      </c>
      <c r="V457" s="28">
        <v>14.0</v>
      </c>
      <c r="W457" s="28" t="s">
        <v>859</v>
      </c>
      <c r="X457" s="28" t="s">
        <v>272</v>
      </c>
      <c r="Y457" s="28" t="s">
        <v>8366</v>
      </c>
      <c r="Z457" s="28" t="s">
        <v>5259</v>
      </c>
      <c r="AA457" s="28" t="s">
        <v>704</v>
      </c>
      <c r="AB457" s="28">
        <v>2.0</v>
      </c>
      <c r="AC457" s="28" t="s">
        <v>24</v>
      </c>
      <c r="AD457" s="23"/>
      <c r="AE457" s="28" t="s">
        <v>10</v>
      </c>
      <c r="AF457" s="23"/>
      <c r="AG457" s="23"/>
      <c r="AH457" s="23" t="str">
        <f>IFERROR(__xludf.DUMMYFUNCTION("IF(
ISNUMBER(MATCH(
C457,
IMPORTRANGE(""https://docs.google.com/spreadsheets/d/1yTh1ELC33JHYOeEdgIiEclxPRyh0zOKtlawDltfUay8"",""'Interns'!A:A""),
0
)),
""Outreach Conducted"",
"""")"),"")</f>
        <v/>
      </c>
      <c r="AI457" s="23"/>
      <c r="AJ457" s="23"/>
      <c r="AK457" s="23" t="str">
        <f>IFERROR(__xludf.DUMMYFUNCTION("XLOOKUP(C457, 
   IMPORTRANGE(""1RdEdgHYrZ33LJ7RUHj_h-qkAFL92bcVjtIdVa-UlsCw"", ""Interns!D:D""), 
   IMPORTRANGE(""1RdEdgHYrZ33LJ7RUHj_h-qkAFL92bcVjtIdVa-UlsCw"", ""Interns!M:M""), 
   ""Not Found"")"),"")</f>
        <v/>
      </c>
      <c r="AL457" s="23" t="str">
        <f>IFERROR(__xludf.DUMMYFUNCTION("XLOOKUP(C457, 
   IMPORTRANGE(""1RdEdgHYrZ33LJ7RUHj_h-qkAFL92bcVjtIdVa-UlsCw"", ""Interns!D:D""), 
   IMPORTRANGE(""1RdEdgHYrZ33LJ7RUHj_h-qkAFL92bcVjtIdVa-UlsCw"", ""Interns!N:N""), 
   ""Not Found"")"),"")</f>
        <v/>
      </c>
      <c r="AM457" s="23" t="str">
        <f>IFERROR(__xludf.DUMMYFUNCTION("XLOOKUP(C457, 
   IMPORTRANGE(""1RdEdgHYrZ33LJ7RUHj_h-qkAFL92bcVjtIdVa-UlsCw"", ""Interns!D:D""), 
   IMPORTRANGE(""1RdEdgHYrZ33LJ7RUHj_h-qkAFL92bcVjtIdVa-UlsCw"", ""Interns!O:O""), 
   ""Not Found"")"),"")</f>
        <v/>
      </c>
      <c r="AN457" s="23"/>
      <c r="AO457" s="23" t="s">
        <v>8367</v>
      </c>
      <c r="AP457" s="28" t="s">
        <v>5182</v>
      </c>
      <c r="AQ457" s="28"/>
      <c r="AR457" s="23"/>
      <c r="AS457" s="23"/>
      <c r="AT457" s="23"/>
      <c r="AU457" s="23"/>
      <c r="AV457" s="23"/>
    </row>
    <row r="458">
      <c r="A458" s="28" t="s">
        <v>5161</v>
      </c>
      <c r="B458" s="28" t="s">
        <v>5162</v>
      </c>
      <c r="C458" s="23" t="str">
        <f t="shared" si="1"/>
        <v>Wildainy Martinez</v>
      </c>
      <c r="D458" s="28" t="s">
        <v>8368</v>
      </c>
      <c r="E458" s="28" t="s">
        <v>2010</v>
      </c>
      <c r="F458" s="23">
        <f t="array" ref="F458">IFERROR(
    INDEX('Hub Interns 226'!A:A, MATCH(C458, 'Hub Interns 226'!B:B, 0)),"")</f>
        <v>71</v>
      </c>
      <c r="G458" s="23">
        <f t="array" ref="G458">IFERROR(
    INDEX('Hub Users 226'!A:A, MATCH(C458, 'Hub Users 226'!B:B, 0)),"")</f>
        <v>504</v>
      </c>
      <c r="H458" s="28">
        <v>711.0</v>
      </c>
      <c r="I458" s="28" t="s">
        <v>260</v>
      </c>
      <c r="J458" s="28" t="s">
        <v>5336</v>
      </c>
      <c r="K458" s="28" t="s">
        <v>5177</v>
      </c>
      <c r="L458" s="28" t="s">
        <v>5196</v>
      </c>
      <c r="M458" s="56" t="s">
        <v>8369</v>
      </c>
      <c r="N458" s="59">
        <v>44547.60208333333</v>
      </c>
      <c r="O458" s="58">
        <v>38602.0</v>
      </c>
      <c r="P458" s="28">
        <f t="shared" si="15"/>
        <v>20</v>
      </c>
      <c r="Q458" s="28" t="s">
        <v>240</v>
      </c>
      <c r="R458" s="28" t="s">
        <v>8370</v>
      </c>
      <c r="S458" s="28">
        <v>10.0</v>
      </c>
      <c r="T458" s="28">
        <v>27.0</v>
      </c>
      <c r="U458" s="28">
        <v>74.0</v>
      </c>
      <c r="V458" s="28">
        <v>2.0</v>
      </c>
      <c r="W458" s="28" t="s">
        <v>271</v>
      </c>
      <c r="X458" s="28" t="s">
        <v>272</v>
      </c>
      <c r="Y458" s="28" t="s">
        <v>8371</v>
      </c>
      <c r="Z458" s="28" t="s">
        <v>5259</v>
      </c>
      <c r="AA458" s="28" t="s">
        <v>704</v>
      </c>
      <c r="AB458" s="28">
        <v>2.0</v>
      </c>
      <c r="AC458" s="28" t="s">
        <v>25</v>
      </c>
      <c r="AD458" s="23"/>
      <c r="AE458" s="28" t="s">
        <v>10</v>
      </c>
      <c r="AF458" s="23" t="str">
        <f>IFERROR(__xludf.DUMMYFUNCTION("TEXTJOIN("", "", TRUE,
  FILTER(Champions!C:C,
    ISNUMBER(SEARCH(C458, Champions!W:W))
  )
)"),"John Mix, Ritika Naik")</f>
        <v>John Mix, Ritika Naik</v>
      </c>
      <c r="AG458" s="23"/>
      <c r="AH458" s="23" t="str">
        <f>IFERROR(__xludf.DUMMYFUNCTION("IF(
ISNUMBER(MATCH(
C458,
IMPORTRANGE(""https://docs.google.com/spreadsheets/d/1yTh1ELC33JHYOeEdgIiEclxPRyh0zOKtlawDltfUay8"",""'Interns'!A:A""),
0
)),
""Outreach Conducted"",
"""")"),"")</f>
        <v/>
      </c>
      <c r="AI458" s="23"/>
      <c r="AJ458" s="23"/>
      <c r="AK458" s="23" t="str">
        <f>IFERROR(__xludf.DUMMYFUNCTION("XLOOKUP(C458, 
   IMPORTRANGE(""1RdEdgHYrZ33LJ7RUHj_h-qkAFL92bcVjtIdVa-UlsCw"", ""Interns!D:D""), 
   IMPORTRANGE(""1RdEdgHYrZ33LJ7RUHj_h-qkAFL92bcVjtIdVa-UlsCw"", ""Interns!M:M""), 
   ""Not Found"")"),"")</f>
        <v/>
      </c>
      <c r="AL458" s="23" t="str">
        <f>IFERROR(__xludf.DUMMYFUNCTION("XLOOKUP(C458, 
   IMPORTRANGE(""1RdEdgHYrZ33LJ7RUHj_h-qkAFL92bcVjtIdVa-UlsCw"", ""Interns!D:D""), 
   IMPORTRANGE(""1RdEdgHYrZ33LJ7RUHj_h-qkAFL92bcVjtIdVa-UlsCw"", ""Interns!N:N""), 
   ""Not Found"")"),"")</f>
        <v/>
      </c>
      <c r="AM458" s="23" t="str">
        <f>IFERROR(__xludf.DUMMYFUNCTION("XLOOKUP(C458, 
   IMPORTRANGE(""1RdEdgHYrZ33LJ7RUHj_h-qkAFL92bcVjtIdVa-UlsCw"", ""Interns!D:D""), 
   IMPORTRANGE(""1RdEdgHYrZ33LJ7RUHj_h-qkAFL92bcVjtIdVa-UlsCw"", ""Interns!O:O""), 
   ""Not Found"")"),"")</f>
        <v/>
      </c>
      <c r="AN458" s="23"/>
      <c r="AO458" s="23" t="s">
        <v>739</v>
      </c>
      <c r="AP458" s="28" t="s">
        <v>5182</v>
      </c>
      <c r="AQ458" s="28" t="s">
        <v>8372</v>
      </c>
      <c r="AR458" s="23" t="s">
        <v>8373</v>
      </c>
      <c r="AS458" s="23"/>
      <c r="AT458" s="23"/>
      <c r="AU458" s="23"/>
      <c r="AV458" s="23"/>
    </row>
    <row r="459">
      <c r="A459" s="28" t="s">
        <v>5161</v>
      </c>
      <c r="B459" s="28" t="s">
        <v>5162</v>
      </c>
      <c r="C459" s="23" t="str">
        <f t="shared" si="1"/>
        <v>Lhianna Capell</v>
      </c>
      <c r="D459" s="28" t="s">
        <v>8374</v>
      </c>
      <c r="E459" s="28" t="s">
        <v>8375</v>
      </c>
      <c r="F459" s="23">
        <f t="array" ref="F459">IFERROR(
    INDEX('Hub Interns 226'!A:A, MATCH(C459, 'Hub Interns 226'!B:B, 0)),"")</f>
        <v>780</v>
      </c>
      <c r="G459" s="23">
        <f t="array" ref="G459">IFERROR(
    INDEX('Hub Users 226'!A:A, MATCH(C459, 'Hub Users 226'!B:B, 0)),"")</f>
        <v>1213</v>
      </c>
      <c r="H459" s="28">
        <v>1185.0</v>
      </c>
      <c r="I459" s="28" t="s">
        <v>608</v>
      </c>
      <c r="J459" s="28" t="s">
        <v>5336</v>
      </c>
      <c r="K459" s="28" t="s">
        <v>5177</v>
      </c>
      <c r="L459" s="28" t="s">
        <v>5196</v>
      </c>
      <c r="M459" s="56" t="s">
        <v>8376</v>
      </c>
      <c r="N459" s="57">
        <v>44833.475694444445</v>
      </c>
      <c r="O459" s="58">
        <v>38871.0</v>
      </c>
      <c r="P459" s="28">
        <f t="shared" si="15"/>
        <v>19</v>
      </c>
      <c r="Q459" s="28" t="s">
        <v>8377</v>
      </c>
      <c r="R459" s="28" t="s">
        <v>8378</v>
      </c>
      <c r="S459" s="28">
        <v>13.0</v>
      </c>
      <c r="T459" s="28">
        <v>31.0</v>
      </c>
      <c r="U459" s="28">
        <v>71.0</v>
      </c>
      <c r="V459" s="28">
        <v>10.0</v>
      </c>
      <c r="W459" s="28" t="s">
        <v>271</v>
      </c>
      <c r="X459" s="28" t="s">
        <v>272</v>
      </c>
      <c r="Y459" s="28" t="s">
        <v>8379</v>
      </c>
      <c r="Z459" s="28" t="s">
        <v>5341</v>
      </c>
      <c r="AA459" s="28" t="s">
        <v>1085</v>
      </c>
      <c r="AB459" s="28">
        <v>10.0</v>
      </c>
      <c r="AC459" s="28" t="s">
        <v>25</v>
      </c>
      <c r="AD459" s="28" t="s">
        <v>101</v>
      </c>
      <c r="AE459" s="28" t="s">
        <v>15</v>
      </c>
      <c r="AF459" s="23" t="str">
        <f>IFERROR(__xludf.DUMMYFUNCTION("TEXTJOIN("", "", TRUE,
  FILTER(Champions!C:C,
    ISNUMBER(SEARCH(C459, Champions!W:W))
  )
)"),"Anne Tam, Donald Johnson")</f>
        <v>Anne Tam, Donald Johnson</v>
      </c>
      <c r="AG459" s="23"/>
      <c r="AH459" s="23" t="str">
        <f>IFERROR(__xludf.DUMMYFUNCTION("IF(
ISNUMBER(MATCH(
C459,
IMPORTRANGE(""https://docs.google.com/spreadsheets/d/1yTh1ELC33JHYOeEdgIiEclxPRyh0zOKtlawDltfUay8"",""'Interns'!A:A""),
0
)),
""Outreach Conducted"",
"""")"),"")</f>
        <v/>
      </c>
      <c r="AI459" s="23"/>
      <c r="AJ459" s="23"/>
      <c r="AK459" s="23" t="str">
        <f>IFERROR(__xludf.DUMMYFUNCTION("XLOOKUP(C459, 
   IMPORTRANGE(""1RdEdgHYrZ33LJ7RUHj_h-qkAFL92bcVjtIdVa-UlsCw"", ""Interns!D:D""), 
   IMPORTRANGE(""1RdEdgHYrZ33LJ7RUHj_h-qkAFL92bcVjtIdVa-UlsCw"", ""Interns!M:M""), 
   ""Not Found"")"),"Contacted")</f>
        <v>Contacted</v>
      </c>
      <c r="AL459" s="23" t="str">
        <f>IFERROR(__xludf.DUMMYFUNCTION("XLOOKUP(C459, 
   IMPORTRANGE(""1RdEdgHYrZ33LJ7RUHj_h-qkAFL92bcVjtIdVa-UlsCw"", ""Interns!D:D""), 
   IMPORTRANGE(""1RdEdgHYrZ33LJ7RUHj_h-qkAFL92bcVjtIdVa-UlsCw"", ""Interns!N:N""), 
   ""Not Found"")"),"#Cheers4Careers")</f>
        <v>#Cheers4Careers</v>
      </c>
      <c r="AM459" s="23" t="str">
        <f>IFERROR(__xludf.DUMMYFUNCTION("XLOOKUP(C459, 
   IMPORTRANGE(""1RdEdgHYrZ33LJ7RUHj_h-qkAFL92bcVjtIdVa-UlsCw"", ""Interns!D:D""), 
   IMPORTRANGE(""1RdEdgHYrZ33LJ7RUHj_h-qkAFL92bcVjtIdVa-UlsCw"", ""Interns!O:O""), 
   ""Not Found"")"),"Texted on April 12 for #Cheers4Careers event")</f>
        <v>Texted on April 12 for #Cheers4Careers event</v>
      </c>
      <c r="AN459" s="23"/>
      <c r="AO459" s="23" t="s">
        <v>8380</v>
      </c>
      <c r="AP459" s="28" t="s">
        <v>5182</v>
      </c>
      <c r="AQ459" s="28" t="s">
        <v>8381</v>
      </c>
      <c r="AR459" s="23" t="s">
        <v>8382</v>
      </c>
      <c r="AS459" s="23"/>
      <c r="AT459" s="23"/>
      <c r="AU459" s="23"/>
      <c r="AV459" s="23"/>
    </row>
    <row r="460">
      <c r="A460" s="28" t="s">
        <v>5202</v>
      </c>
      <c r="B460" s="28" t="s">
        <v>5162</v>
      </c>
      <c r="C460" s="23" t="str">
        <f t="shared" si="1"/>
        <v>Abner Abreu</v>
      </c>
      <c r="D460" s="28" t="s">
        <v>8383</v>
      </c>
      <c r="E460" s="28" t="s">
        <v>8005</v>
      </c>
      <c r="F460" s="23">
        <f t="array" ref="F460">IFERROR(
    INDEX('Hub Interns 226'!A:A, MATCH(C460, 'Hub Interns 226'!B:B, 0)),"")</f>
        <v>135</v>
      </c>
      <c r="G460" s="23">
        <f t="array" ref="G460">IFERROR(
    INDEX('Hub Users 226'!A:A, MATCH(C460, 'Hub Users 226'!B:B, 0)),"")</f>
        <v>568</v>
      </c>
      <c r="H460" s="28">
        <v>553.0</v>
      </c>
      <c r="I460" s="28" t="s">
        <v>425</v>
      </c>
      <c r="J460" s="28" t="s">
        <v>5336</v>
      </c>
      <c r="K460" s="28" t="s">
        <v>5177</v>
      </c>
      <c r="L460" s="28" t="s">
        <v>5165</v>
      </c>
      <c r="M460" s="56" t="s">
        <v>8384</v>
      </c>
      <c r="N460" s="57">
        <v>44477.55625</v>
      </c>
      <c r="O460" s="58">
        <v>37914.0</v>
      </c>
      <c r="P460" s="28">
        <f t="shared" si="15"/>
        <v>22</v>
      </c>
      <c r="Q460" s="28" t="s">
        <v>8385</v>
      </c>
      <c r="R460" s="28" t="s">
        <v>8386</v>
      </c>
      <c r="S460" s="28"/>
      <c r="T460" s="28"/>
      <c r="U460" s="28"/>
      <c r="V460" s="28"/>
      <c r="W460" s="28" t="s">
        <v>1173</v>
      </c>
      <c r="X460" s="28" t="s">
        <v>272</v>
      </c>
      <c r="Y460" s="23"/>
      <c r="Z460" s="28" t="s">
        <v>5189</v>
      </c>
      <c r="AA460" s="28" t="s">
        <v>619</v>
      </c>
      <c r="AB460" s="28">
        <v>20.0</v>
      </c>
      <c r="AC460" s="28" t="s">
        <v>25</v>
      </c>
      <c r="AD460" s="23"/>
      <c r="AE460" s="28" t="s">
        <v>10</v>
      </c>
      <c r="AF460" s="23" t="str">
        <f>IFERROR(__xludf.DUMMYFUNCTION("TEXTJOIN("", "", TRUE,
  FILTER(Champions!C:C,
    ISNUMBER(SEARCH(C460, Champions!W:W))
  )
)"),"Vanessa Rodriguez")</f>
        <v>Vanessa Rodriguez</v>
      </c>
      <c r="AG460" s="23"/>
      <c r="AH460" s="23" t="str">
        <f>IFERROR(__xludf.DUMMYFUNCTION("IF(
ISNUMBER(MATCH(
C460,
IMPORTRANGE(""https://docs.google.com/spreadsheets/d/1yTh1ELC33JHYOeEdgIiEclxPRyh0zOKtlawDltfUay8"",""'Interns'!A:A""),
0
)),
""Outreach Conducted"",
"""")"),"")</f>
        <v/>
      </c>
      <c r="AI460" s="23"/>
      <c r="AJ460" s="23"/>
      <c r="AK460" s="23" t="str">
        <f>IFERROR(__xludf.DUMMYFUNCTION("XLOOKUP(C460, 
   IMPORTRANGE(""1RdEdgHYrZ33LJ7RUHj_h-qkAFL92bcVjtIdVa-UlsCw"", ""Interns!D:D""), 
   IMPORTRANGE(""1RdEdgHYrZ33LJ7RUHj_h-qkAFL92bcVjtIdVa-UlsCw"", ""Interns!M:M""), 
   ""Not Found"")"),"")</f>
        <v/>
      </c>
      <c r="AL460" s="23" t="str">
        <f>IFERROR(__xludf.DUMMYFUNCTION("XLOOKUP(C460, 
   IMPORTRANGE(""1RdEdgHYrZ33LJ7RUHj_h-qkAFL92bcVjtIdVa-UlsCw"", ""Interns!D:D""), 
   IMPORTRANGE(""1RdEdgHYrZ33LJ7RUHj_h-qkAFL92bcVjtIdVa-UlsCw"", ""Interns!N:N""), 
   ""Not Found"")"),"")</f>
        <v/>
      </c>
      <c r="AM460" s="23" t="str">
        <f>IFERROR(__xludf.DUMMYFUNCTION("XLOOKUP(C460, 
   IMPORTRANGE(""1RdEdgHYrZ33LJ7RUHj_h-qkAFL92bcVjtIdVa-UlsCw"", ""Interns!D:D""), 
   IMPORTRANGE(""1RdEdgHYrZ33LJ7RUHj_h-qkAFL92bcVjtIdVa-UlsCw"", ""Interns!O:O""), 
   ""Not Found"")"),"")</f>
        <v/>
      </c>
      <c r="AN460" s="23"/>
      <c r="AO460" s="23" t="s">
        <v>1864</v>
      </c>
      <c r="AP460" s="28" t="s">
        <v>5182</v>
      </c>
      <c r="AQ460" s="28" t="s">
        <v>8384</v>
      </c>
      <c r="AR460" s="23" t="s">
        <v>8387</v>
      </c>
      <c r="AS460" s="23"/>
      <c r="AT460" s="23"/>
      <c r="AU460" s="23"/>
      <c r="AV460" s="23"/>
    </row>
    <row r="461">
      <c r="A461" s="28" t="s">
        <v>5161</v>
      </c>
      <c r="B461" s="28" t="s">
        <v>5162</v>
      </c>
      <c r="C461" s="23" t="str">
        <f t="shared" si="1"/>
        <v>Yeuri iven</v>
      </c>
      <c r="D461" s="28" t="s">
        <v>8388</v>
      </c>
      <c r="E461" s="28" t="s">
        <v>8389</v>
      </c>
      <c r="F461" s="23">
        <f t="array" ref="F461">IFERROR(
    INDEX('Hub Interns 226'!A:A, MATCH(C461, 'Hub Interns 226'!B:B, 0)),"")</f>
        <v>1229</v>
      </c>
      <c r="G461" s="23">
        <f t="array" ref="G461">IFERROR(
    INDEX('Hub Users 226'!A:A, MATCH(C461, 'Hub Users 226'!B:B, 0)),"")</f>
        <v>1662</v>
      </c>
      <c r="H461" s="28">
        <v>389.0</v>
      </c>
      <c r="I461" s="28" t="s">
        <v>239</v>
      </c>
      <c r="J461" s="28" t="s">
        <v>5336</v>
      </c>
      <c r="K461" s="28" t="s">
        <v>5177</v>
      </c>
      <c r="L461" s="28" t="s">
        <v>5165</v>
      </c>
      <c r="M461" s="56" t="s">
        <v>8390</v>
      </c>
      <c r="N461" s="57">
        <v>44260.62847222222</v>
      </c>
      <c r="O461" s="58">
        <v>38600.0</v>
      </c>
      <c r="P461" s="28">
        <f t="shared" si="15"/>
        <v>20</v>
      </c>
      <c r="Q461" s="28" t="s">
        <v>240</v>
      </c>
      <c r="R461" s="28" t="s">
        <v>8391</v>
      </c>
      <c r="S461" s="28">
        <v>14.0</v>
      </c>
      <c r="T461" s="28">
        <v>32.0</v>
      </c>
      <c r="U461" s="28">
        <v>84.0</v>
      </c>
      <c r="V461" s="28">
        <v>17.0</v>
      </c>
      <c r="W461" s="28" t="s">
        <v>859</v>
      </c>
      <c r="X461" s="28" t="s">
        <v>272</v>
      </c>
      <c r="Y461" s="28" t="s">
        <v>8392</v>
      </c>
      <c r="Z461" s="28" t="s">
        <v>5208</v>
      </c>
      <c r="AA461" s="28" t="s">
        <v>2141</v>
      </c>
      <c r="AB461" s="28">
        <v>8.0</v>
      </c>
      <c r="AC461" s="28" t="s">
        <v>24</v>
      </c>
      <c r="AD461" s="23"/>
      <c r="AE461" s="28" t="s">
        <v>8</v>
      </c>
      <c r="AF461" s="23"/>
      <c r="AG461" s="23"/>
      <c r="AH461" s="23" t="str">
        <f>IFERROR(__xludf.DUMMYFUNCTION("IF(
ISNUMBER(MATCH(
C461,
IMPORTRANGE(""https://docs.google.com/spreadsheets/d/1yTh1ELC33JHYOeEdgIiEclxPRyh0zOKtlawDltfUay8"",""'Interns'!A:A""),
0
)),
""Outreach Conducted"",
"""")"),"")</f>
        <v/>
      </c>
      <c r="AI461" s="23"/>
      <c r="AJ461" s="23"/>
      <c r="AK461" s="23" t="str">
        <f>IFERROR(__xludf.DUMMYFUNCTION("XLOOKUP(C461, 
   IMPORTRANGE(""1RdEdgHYrZ33LJ7RUHj_h-qkAFL92bcVjtIdVa-UlsCw"", ""Interns!D:D""), 
   IMPORTRANGE(""1RdEdgHYrZ33LJ7RUHj_h-qkAFL92bcVjtIdVa-UlsCw"", ""Interns!M:M""), 
   ""Not Found"")"),"Contacted")</f>
        <v>Contacted</v>
      </c>
      <c r="AL461" s="23" t="str">
        <f>IFERROR(__xludf.DUMMYFUNCTION("XLOOKUP(C461, 
   IMPORTRANGE(""1RdEdgHYrZ33LJ7RUHj_h-qkAFL92bcVjtIdVa-UlsCw"", ""Interns!D:D""), 
   IMPORTRANGE(""1RdEdgHYrZ33LJ7RUHj_h-qkAFL92bcVjtIdVa-UlsCw"", ""Interns!N:N""), 
   ""Not Found"")"),"#Cheers4Careers")</f>
        <v>#Cheers4Careers</v>
      </c>
      <c r="AM461" s="23" t="str">
        <f>IFERROR(__xludf.DUMMYFUNCTION("XLOOKUP(C461, 
   IMPORTRANGE(""1RdEdgHYrZ33LJ7RUHj_h-qkAFL92bcVjtIdVa-UlsCw"", ""Interns!D:D""), 
   IMPORTRANGE(""1RdEdgHYrZ33LJ7RUHj_h-qkAFL92bcVjtIdVa-UlsCw"", ""Interns!O:O""), 
   ""Not Found"")"),"Hetal reached out by email 3/27")</f>
        <v>Hetal reached out by email 3/27</v>
      </c>
      <c r="AN461" s="23"/>
      <c r="AO461" s="23" t="s">
        <v>8393</v>
      </c>
      <c r="AP461" s="28" t="s">
        <v>5191</v>
      </c>
      <c r="AQ461" s="28"/>
      <c r="AR461" s="23"/>
      <c r="AS461" s="23"/>
      <c r="AT461" s="23"/>
      <c r="AU461" s="23"/>
      <c r="AV461" s="23"/>
    </row>
    <row r="462">
      <c r="A462" s="28" t="s">
        <v>5161</v>
      </c>
      <c r="B462" s="28" t="s">
        <v>5162</v>
      </c>
      <c r="C462" s="23" t="str">
        <f t="shared" si="1"/>
        <v>Diego Rodriguez</v>
      </c>
      <c r="D462" s="28" t="s">
        <v>8097</v>
      </c>
      <c r="E462" s="28" t="s">
        <v>536</v>
      </c>
      <c r="F462" s="23">
        <f t="array" ref="F462">IFERROR(
    INDEX('Hub Interns 226'!A:A, MATCH(C462, 'Hub Interns 226'!B:B, 0)),"")</f>
        <v>1146</v>
      </c>
      <c r="G462" s="23">
        <f t="array" ref="G462">IFERROR(
    INDEX('Hub Users 226'!A:A, MATCH(C462, 'Hub Users 226'!B:B, 0)),"")</f>
        <v>1579</v>
      </c>
      <c r="H462" s="28">
        <v>1283.0</v>
      </c>
      <c r="I462" s="28" t="s">
        <v>239</v>
      </c>
      <c r="J462" s="28" t="s">
        <v>5336</v>
      </c>
      <c r="K462" s="28" t="s">
        <v>5177</v>
      </c>
      <c r="L462" s="28" t="s">
        <v>5165</v>
      </c>
      <c r="M462" s="56" t="s">
        <v>8394</v>
      </c>
      <c r="N462" s="59">
        <v>44845.61041666667</v>
      </c>
      <c r="O462" s="58">
        <v>39216.0</v>
      </c>
      <c r="P462" s="28">
        <f t="shared" si="15"/>
        <v>19</v>
      </c>
      <c r="Q462" s="28" t="s">
        <v>240</v>
      </c>
      <c r="R462" s="28" t="s">
        <v>8395</v>
      </c>
      <c r="S462" s="28">
        <v>15.0</v>
      </c>
      <c r="T462" s="28">
        <v>33.0</v>
      </c>
      <c r="U462" s="28">
        <v>78.0</v>
      </c>
      <c r="V462" s="28">
        <v>15.0</v>
      </c>
      <c r="W462" s="28" t="s">
        <v>859</v>
      </c>
      <c r="X462" s="28" t="s">
        <v>272</v>
      </c>
      <c r="Y462" s="28" t="s">
        <v>8396</v>
      </c>
      <c r="Z462" s="28" t="s">
        <v>5918</v>
      </c>
      <c r="AA462" s="28" t="s">
        <v>477</v>
      </c>
      <c r="AB462" s="28">
        <v>15.0</v>
      </c>
      <c r="AC462" s="28" t="s">
        <v>23</v>
      </c>
      <c r="AD462" s="28" t="s">
        <v>101</v>
      </c>
      <c r="AE462" s="28" t="s">
        <v>15</v>
      </c>
      <c r="AF462" s="23"/>
      <c r="AG462" s="23"/>
      <c r="AH462" s="23" t="str">
        <f>IFERROR(__xludf.DUMMYFUNCTION("IF(
ISNUMBER(MATCH(
C462,
IMPORTRANGE(""https://docs.google.com/spreadsheets/d/1yTh1ELC33JHYOeEdgIiEclxPRyh0zOKtlawDltfUay8"",""'Interns'!A:A""),
0
)),
""Outreach Conducted"",
"""")"),"")</f>
        <v/>
      </c>
      <c r="AI462" s="23"/>
      <c r="AJ462" s="23"/>
      <c r="AK462" s="23" t="str">
        <f>IFERROR(__xludf.DUMMYFUNCTION("XLOOKUP(C462, 
   IMPORTRANGE(""1RdEdgHYrZ33LJ7RUHj_h-qkAFL92bcVjtIdVa-UlsCw"", ""Interns!D:D""), 
   IMPORTRANGE(""1RdEdgHYrZ33LJ7RUHj_h-qkAFL92bcVjtIdVa-UlsCw"", ""Interns!M:M""), 
   ""Not Found"")"),"")</f>
        <v/>
      </c>
      <c r="AL462" s="23" t="str">
        <f>IFERROR(__xludf.DUMMYFUNCTION("XLOOKUP(C462, 
   IMPORTRANGE(""1RdEdgHYrZ33LJ7RUHj_h-qkAFL92bcVjtIdVa-UlsCw"", ""Interns!D:D""), 
   IMPORTRANGE(""1RdEdgHYrZ33LJ7RUHj_h-qkAFL92bcVjtIdVa-UlsCw"", ""Interns!N:N""), 
   ""Not Found"")"),"")</f>
        <v/>
      </c>
      <c r="AM462" s="23" t="str">
        <f>IFERROR(__xludf.DUMMYFUNCTION("XLOOKUP(C462, 
   IMPORTRANGE(""1RdEdgHYrZ33LJ7RUHj_h-qkAFL92bcVjtIdVa-UlsCw"", ""Interns!D:D""), 
   IMPORTRANGE(""1RdEdgHYrZ33LJ7RUHj_h-qkAFL92bcVjtIdVa-UlsCw"", ""Interns!O:O""), 
   ""Not Found"")"),"")</f>
        <v/>
      </c>
      <c r="AN462" s="23"/>
      <c r="AO462" s="23" t="s">
        <v>8397</v>
      </c>
      <c r="AP462" s="28" t="s">
        <v>5182</v>
      </c>
      <c r="AQ462" s="28"/>
      <c r="AR462" s="23"/>
      <c r="AS462" s="23"/>
      <c r="AT462" s="23"/>
      <c r="AU462" s="23"/>
      <c r="AV462" s="23"/>
    </row>
    <row r="463">
      <c r="A463" s="28" t="s">
        <v>5161</v>
      </c>
      <c r="B463" s="28" t="s">
        <v>5162</v>
      </c>
      <c r="C463" s="23" t="str">
        <f t="shared" si="1"/>
        <v>Wilenie De Jesus Lancer</v>
      </c>
      <c r="D463" s="28" t="s">
        <v>8398</v>
      </c>
      <c r="E463" s="28" t="s">
        <v>8399</v>
      </c>
      <c r="F463" s="23">
        <f t="array" ref="F463">IFERROR(
    INDEX('Hub Interns 226'!A:A, MATCH(C463, 'Hub Interns 226'!B:B, 0)),"")</f>
        <v>1189</v>
      </c>
      <c r="G463" s="23">
        <f t="array" ref="G463">IFERROR(
    INDEX('Hub Users 226'!A:A, MATCH(C463, 'Hub Users 226'!B:B, 0)),"")</f>
        <v>1622</v>
      </c>
      <c r="H463" s="28">
        <v>1282.0</v>
      </c>
      <c r="I463" s="28" t="s">
        <v>107</v>
      </c>
      <c r="J463" s="28" t="s">
        <v>5336</v>
      </c>
      <c r="K463" s="28" t="s">
        <v>5177</v>
      </c>
      <c r="L463" s="28" t="s">
        <v>5196</v>
      </c>
      <c r="M463" s="56" t="s">
        <v>8400</v>
      </c>
      <c r="N463" s="59">
        <v>44845.61041666667</v>
      </c>
      <c r="O463" s="58">
        <v>38873.0</v>
      </c>
      <c r="P463" s="28">
        <f t="shared" si="15"/>
        <v>19</v>
      </c>
      <c r="Q463" s="28" t="s">
        <v>8401</v>
      </c>
      <c r="R463" s="28" t="s">
        <v>8402</v>
      </c>
      <c r="S463" s="28">
        <v>13.0</v>
      </c>
      <c r="T463" s="28">
        <v>31.0</v>
      </c>
      <c r="U463" s="28">
        <v>72.0</v>
      </c>
      <c r="V463" s="28">
        <v>10.0</v>
      </c>
      <c r="W463" s="28" t="s">
        <v>271</v>
      </c>
      <c r="X463" s="28" t="s">
        <v>272</v>
      </c>
      <c r="Y463" s="28" t="s">
        <v>8403</v>
      </c>
      <c r="Z463" s="28" t="s">
        <v>5341</v>
      </c>
      <c r="AA463" s="28" t="s">
        <v>1085</v>
      </c>
      <c r="AB463" s="28">
        <v>10.0</v>
      </c>
      <c r="AC463" s="28" t="s">
        <v>25</v>
      </c>
      <c r="AD463" s="23"/>
      <c r="AE463" s="28" t="s">
        <v>15</v>
      </c>
      <c r="AF463" s="23" t="str">
        <f>IFERROR(__xludf.DUMMYFUNCTION("TEXTJOIN("", "", TRUE,
  FILTER(Champions!C:C,
    ISNUMBER(SEARCH(C463, Champions!W:W))
  )
)"),"Chiemela Okwandu, Joan Marie Cadenhead, Sunkyung Park")</f>
        <v>Chiemela Okwandu, Joan Marie Cadenhead, Sunkyung Park</v>
      </c>
      <c r="AG463" s="23"/>
      <c r="AH463" s="23" t="str">
        <f>IFERROR(__xludf.DUMMYFUNCTION("IF(
ISNUMBER(MATCH(
C463,
IMPORTRANGE(""https://docs.google.com/spreadsheets/d/1yTh1ELC33JHYOeEdgIiEclxPRyh0zOKtlawDltfUay8"",""'Interns'!A:A""),
0
)),
""Outreach Conducted"",
"""")"),"")</f>
        <v/>
      </c>
      <c r="AI463" s="23"/>
      <c r="AJ463" s="23"/>
      <c r="AK463" s="23" t="str">
        <f>IFERROR(__xludf.DUMMYFUNCTION("XLOOKUP(C463, 
   IMPORTRANGE(""1RdEdgHYrZ33LJ7RUHj_h-qkAFL92bcVjtIdVa-UlsCw"", ""Interns!D:D""), 
   IMPORTRANGE(""1RdEdgHYrZ33LJ7RUHj_h-qkAFL92bcVjtIdVa-UlsCw"", ""Interns!M:M""), 
   ""Not Found"")"),"Contacted")</f>
        <v>Contacted</v>
      </c>
      <c r="AL463" s="23" t="str">
        <f>IFERROR(__xludf.DUMMYFUNCTION("XLOOKUP(C463, 
   IMPORTRANGE(""1RdEdgHYrZ33LJ7RUHj_h-qkAFL92bcVjtIdVa-UlsCw"", ""Interns!D:D""), 
   IMPORTRANGE(""1RdEdgHYrZ33LJ7RUHj_h-qkAFL92bcVjtIdVa-UlsCw"", ""Interns!N:N""), 
   ""Not Found"")"),"#Cheers4Careers")</f>
        <v>#Cheers4Careers</v>
      </c>
      <c r="AM463" s="23" t="str">
        <f>IFERROR(__xludf.DUMMYFUNCTION("XLOOKUP(C463, 
   IMPORTRANGE(""1RdEdgHYrZ33LJ7RUHj_h-qkAFL92bcVjtIdVa-UlsCw"", ""Interns!D:D""), 
   IMPORTRANGE(""1RdEdgHYrZ33LJ7RUHj_h-qkAFL92bcVjtIdVa-UlsCw"", ""Interns!O:O""), 
   ""Not Found"")"),"Texted on April 11 for #Cheers4Careers event")</f>
        <v>Texted on April 11 for #Cheers4Careers event</v>
      </c>
      <c r="AN463" s="23"/>
      <c r="AO463" s="23" t="s">
        <v>8404</v>
      </c>
      <c r="AP463" s="28" t="s">
        <v>5182</v>
      </c>
      <c r="AQ463" s="28" t="s">
        <v>8405</v>
      </c>
      <c r="AR463" s="23" t="s">
        <v>8406</v>
      </c>
      <c r="AS463" s="23"/>
      <c r="AT463" s="23"/>
      <c r="AU463" s="23"/>
      <c r="AV463" s="23"/>
    </row>
    <row r="464">
      <c r="A464" s="28" t="s">
        <v>5161</v>
      </c>
      <c r="B464" s="28" t="s">
        <v>5162</v>
      </c>
      <c r="C464" s="23" t="str">
        <f t="shared" si="1"/>
        <v>Ana Almanzar</v>
      </c>
      <c r="D464" s="28" t="s">
        <v>4816</v>
      </c>
      <c r="E464" s="28" t="s">
        <v>8407</v>
      </c>
      <c r="F464" s="23">
        <f t="array" ref="F464">IFERROR(
    INDEX('Hub Interns 226'!A:A, MATCH(C464, 'Hub Interns 226'!B:B, 0)),"")</f>
        <v>218</v>
      </c>
      <c r="G464" s="23">
        <f t="array" ref="G464">IFERROR(
    INDEX('Hub Users 226'!A:A, MATCH(C464, 'Hub Users 226'!B:B, 0)),"")</f>
        <v>651</v>
      </c>
      <c r="H464" s="28">
        <v>1118.0</v>
      </c>
      <c r="I464" s="28" t="s">
        <v>1235</v>
      </c>
      <c r="J464" s="28" t="s">
        <v>5336</v>
      </c>
      <c r="K464" s="28" t="s">
        <v>5177</v>
      </c>
      <c r="L464" s="28" t="s">
        <v>5196</v>
      </c>
      <c r="M464" s="56" t="s">
        <v>8408</v>
      </c>
      <c r="N464" s="57">
        <v>44726.65277777778</v>
      </c>
      <c r="O464" s="58">
        <v>38663.0</v>
      </c>
      <c r="P464" s="28">
        <f t="shared" si="15"/>
        <v>20</v>
      </c>
      <c r="Q464" s="28" t="s">
        <v>8409</v>
      </c>
      <c r="R464" s="28" t="s">
        <v>8410</v>
      </c>
      <c r="S464" s="28">
        <v>15.0</v>
      </c>
      <c r="T464" s="28">
        <v>32.0</v>
      </c>
      <c r="U464" s="28">
        <v>79.0</v>
      </c>
      <c r="V464" s="28">
        <v>17.0</v>
      </c>
      <c r="W464" s="28" t="s">
        <v>859</v>
      </c>
      <c r="X464" s="28" t="s">
        <v>272</v>
      </c>
      <c r="Y464" s="28" t="s">
        <v>8411</v>
      </c>
      <c r="Z464" s="28" t="s">
        <v>5208</v>
      </c>
      <c r="AA464" s="28" t="s">
        <v>2141</v>
      </c>
      <c r="AB464" s="28">
        <v>8.0</v>
      </c>
      <c r="AC464" s="28" t="s">
        <v>25</v>
      </c>
      <c r="AD464" s="23"/>
      <c r="AE464" s="28" t="s">
        <v>15</v>
      </c>
      <c r="AF464" s="23" t="str">
        <f>IFERROR(__xludf.DUMMYFUNCTION("TEXTJOIN("", "", TRUE,
  FILTER(Champions!C:C,
    ISNUMBER(SEARCH(C464, Champions!W:W))
  )
)"),"Lata Murti, Esteban Proaño")</f>
        <v>Lata Murti, Esteban Proaño</v>
      </c>
      <c r="AG464" s="23"/>
      <c r="AH464" s="23" t="str">
        <f>IFERROR(__xludf.DUMMYFUNCTION("IF(
ISNUMBER(MATCH(
C464,
IMPORTRANGE(""https://docs.google.com/spreadsheets/d/1yTh1ELC33JHYOeEdgIiEclxPRyh0zOKtlawDltfUay8"",""'Interns'!A:A""),
0
)),
""Outreach Conducted"",
"""")"),"")</f>
        <v/>
      </c>
      <c r="AI464" s="23"/>
      <c r="AJ464" s="23"/>
      <c r="AK464" s="23" t="str">
        <f>IFERROR(__xludf.DUMMYFUNCTION("XLOOKUP(C464, 
   IMPORTRANGE(""1RdEdgHYrZ33LJ7RUHj_h-qkAFL92bcVjtIdVa-UlsCw"", ""Interns!D:D""), 
   IMPORTRANGE(""1RdEdgHYrZ33LJ7RUHj_h-qkAFL92bcVjtIdVa-UlsCw"", ""Interns!M:M""), 
   ""Not Found"")"),"Contacted")</f>
        <v>Contacted</v>
      </c>
      <c r="AL464" s="23" t="str">
        <f>IFERROR(__xludf.DUMMYFUNCTION("XLOOKUP(C464, 
   IMPORTRANGE(""1RdEdgHYrZ33LJ7RUHj_h-qkAFL92bcVjtIdVa-UlsCw"", ""Interns!D:D""), 
   IMPORTRANGE(""1RdEdgHYrZ33LJ7RUHj_h-qkAFL92bcVjtIdVa-UlsCw"", ""Interns!N:N""), 
   ""Not Found"")"),"#Cheers4Careers")</f>
        <v>#Cheers4Careers</v>
      </c>
      <c r="AM464" s="23" t="str">
        <f>IFERROR(__xludf.DUMMYFUNCTION("XLOOKUP(C464, 
   IMPORTRANGE(""1RdEdgHYrZ33LJ7RUHj_h-qkAFL92bcVjtIdVa-UlsCw"", ""Interns!D:D""), 
   IMPORTRANGE(""1RdEdgHYrZ33LJ7RUHj_h-qkAFL92bcVjtIdVa-UlsCw"", ""Interns!O:O""), 
   ""Not Found"")"),"Hetal reached out by email 3/27")</f>
        <v>Hetal reached out by email 3/27</v>
      </c>
      <c r="AN464" s="23"/>
      <c r="AO464" s="23" t="s">
        <v>8412</v>
      </c>
      <c r="AP464" s="28" t="s">
        <v>5240</v>
      </c>
      <c r="AQ464" s="28" t="s">
        <v>8408</v>
      </c>
      <c r="AR464" s="23" t="s">
        <v>8413</v>
      </c>
      <c r="AS464" s="23"/>
      <c r="AT464" s="23"/>
      <c r="AU464" s="23"/>
      <c r="AV464" s="23"/>
    </row>
    <row r="465">
      <c r="A465" s="28" t="s">
        <v>5161</v>
      </c>
      <c r="B465" s="28" t="s">
        <v>5162</v>
      </c>
      <c r="C465" s="23" t="str">
        <f t="shared" si="1"/>
        <v>Leudis Rosario</v>
      </c>
      <c r="D465" s="28" t="s">
        <v>8414</v>
      </c>
      <c r="E465" s="28" t="s">
        <v>7208</v>
      </c>
      <c r="F465" s="23">
        <f t="array" ref="F465">IFERROR(
    INDEX('Hub Interns 226'!A:A, MATCH(C465, 'Hub Interns 226'!B:B, 0)),"")</f>
        <v>777</v>
      </c>
      <c r="G465" s="23">
        <f t="array" ref="G465">IFERROR(
    INDEX('Hub Users 226'!A:A, MATCH(C465, 'Hub Users 226'!B:B, 0)),"")</f>
        <v>1210</v>
      </c>
      <c r="H465" s="28">
        <v>1378.0</v>
      </c>
      <c r="I465" s="28" t="s">
        <v>239</v>
      </c>
      <c r="J465" s="28" t="s">
        <v>5336</v>
      </c>
      <c r="K465" s="28" t="s">
        <v>5177</v>
      </c>
      <c r="L465" s="28" t="s">
        <v>5165</v>
      </c>
      <c r="M465" s="56" t="s">
        <v>8415</v>
      </c>
      <c r="N465" s="59">
        <v>44860.580555555556</v>
      </c>
      <c r="O465" s="58">
        <v>39008.0</v>
      </c>
      <c r="P465" s="28">
        <f t="shared" si="15"/>
        <v>19</v>
      </c>
      <c r="Q465" s="28" t="s">
        <v>8416</v>
      </c>
      <c r="R465" s="28" t="s">
        <v>8417</v>
      </c>
      <c r="S465" s="28">
        <v>13.0</v>
      </c>
      <c r="T465" s="28">
        <v>31.0</v>
      </c>
      <c r="U465" s="28">
        <v>71.0</v>
      </c>
      <c r="V465" s="28">
        <v>10.0</v>
      </c>
      <c r="W465" s="28" t="s">
        <v>271</v>
      </c>
      <c r="X465" s="28" t="s">
        <v>272</v>
      </c>
      <c r="Y465" s="28" t="s">
        <v>8418</v>
      </c>
      <c r="Z465" s="28" t="s">
        <v>5341</v>
      </c>
      <c r="AA465" s="28" t="s">
        <v>1085</v>
      </c>
      <c r="AB465" s="28">
        <v>10.0</v>
      </c>
      <c r="AC465" s="28" t="s">
        <v>25</v>
      </c>
      <c r="AD465" s="23"/>
      <c r="AE465" s="28" t="s">
        <v>15</v>
      </c>
      <c r="AF465" s="23" t="str">
        <f>IFERROR(__xludf.DUMMYFUNCTION("TEXTJOIN("", "", TRUE,
  FILTER(Champions!C:C,
    ISNUMBER(SEARCH(C465, Champions!W:W))
  )
)"),"Carmelo DeLeon, Mikey Bedney, Vatsala Sarathy")</f>
        <v>Carmelo DeLeon, Mikey Bedney, Vatsala Sarathy</v>
      </c>
      <c r="AG465" s="26" t="s">
        <v>5342</v>
      </c>
      <c r="AH465" s="23" t="str">
        <f>IFERROR(__xludf.DUMMYFUNCTION("IF(
ISNUMBER(MATCH(
C465,
IMPORTRANGE(""https://docs.google.com/spreadsheets/d/1yTh1ELC33JHYOeEdgIiEclxPRyh0zOKtlawDltfUay8"",""'Interns'!A:A""),
0
)),
""Outreach Conducted"",
"""")"),"")</f>
        <v/>
      </c>
      <c r="AI465" s="23"/>
      <c r="AJ465" s="23"/>
      <c r="AK465" s="23" t="str">
        <f>IFERROR(__xludf.DUMMYFUNCTION("XLOOKUP(C465, 
   IMPORTRANGE(""1RdEdgHYrZ33LJ7RUHj_h-qkAFL92bcVjtIdVa-UlsCw"", ""Interns!D:D""), 
   IMPORTRANGE(""1RdEdgHYrZ33LJ7RUHj_h-qkAFL92bcVjtIdVa-UlsCw"", ""Interns!M:M""), 
   ""Not Found"")"),"Contacted")</f>
        <v>Contacted</v>
      </c>
      <c r="AL465" s="23" t="str">
        <f>IFERROR(__xludf.DUMMYFUNCTION("XLOOKUP(C465, 
   IMPORTRANGE(""1RdEdgHYrZ33LJ7RUHj_h-qkAFL92bcVjtIdVa-UlsCw"", ""Interns!D:D""), 
   IMPORTRANGE(""1RdEdgHYrZ33LJ7RUHj_h-qkAFL92bcVjtIdVa-UlsCw"", ""Interns!N:N""), 
   ""Not Found"")"),"#Cheers4Careers")</f>
        <v>#Cheers4Careers</v>
      </c>
      <c r="AM465" s="23" t="str">
        <f>IFERROR(__xludf.DUMMYFUNCTION("XLOOKUP(C465, 
   IMPORTRANGE(""1RdEdgHYrZ33LJ7RUHj_h-qkAFL92bcVjtIdVa-UlsCw"", ""Interns!D:D""), 
   IMPORTRANGE(""1RdEdgHYrZ33LJ7RUHj_h-qkAFL92bcVjtIdVa-UlsCw"", ""Interns!O:O""), 
   ""Not Found"")"),"Texted on April 14 for #Cheers4Careers event")</f>
        <v>Texted on April 14 for #Cheers4Careers event</v>
      </c>
      <c r="AN465" s="23"/>
      <c r="AO465" s="23" t="s">
        <v>8419</v>
      </c>
      <c r="AP465" s="28" t="s">
        <v>5182</v>
      </c>
      <c r="AQ465" s="28" t="s">
        <v>8420</v>
      </c>
      <c r="AR465" s="23" t="s">
        <v>8421</v>
      </c>
      <c r="AS465" s="23"/>
      <c r="AT465" s="23"/>
      <c r="AU465" s="23"/>
      <c r="AV465" s="23"/>
    </row>
    <row r="466">
      <c r="A466" s="28" t="s">
        <v>5202</v>
      </c>
      <c r="B466" s="28" t="s">
        <v>5162</v>
      </c>
      <c r="C466" s="23" t="str">
        <f t="shared" si="1"/>
        <v>Diana Chima</v>
      </c>
      <c r="D466" s="28" t="s">
        <v>1096</v>
      </c>
      <c r="E466" s="28" t="s">
        <v>8422</v>
      </c>
      <c r="F466" s="23">
        <f t="array" ref="F466">IFERROR(
    INDEX('Hub Interns 226'!A:A, MATCH(C466, 'Hub Interns 226'!B:B, 0)),"")</f>
        <v>445</v>
      </c>
      <c r="G466" s="23">
        <f t="array" ref="G466">IFERROR(
    INDEX('Hub Users 226'!A:A, MATCH(C466, 'Hub Users 226'!B:B, 0)),"")</f>
        <v>878</v>
      </c>
      <c r="H466" s="28">
        <v>605.0</v>
      </c>
      <c r="I466" s="28" t="s">
        <v>260</v>
      </c>
      <c r="J466" s="28" t="s">
        <v>2388</v>
      </c>
      <c r="K466" s="28" t="s">
        <v>5463</v>
      </c>
      <c r="L466" s="28" t="s">
        <v>5196</v>
      </c>
      <c r="M466" s="56" t="s">
        <v>8423</v>
      </c>
      <c r="N466" s="59">
        <v>44490.64791666667</v>
      </c>
      <c r="O466" s="58">
        <v>37796.0</v>
      </c>
      <c r="P466" s="28">
        <f t="shared" si="15"/>
        <v>22</v>
      </c>
      <c r="Q466" s="28" t="s">
        <v>240</v>
      </c>
      <c r="R466" s="28" t="s">
        <v>8424</v>
      </c>
      <c r="S466" s="28">
        <v>14.0</v>
      </c>
      <c r="T466" s="28">
        <v>13.0</v>
      </c>
      <c r="U466" s="28">
        <v>39.0</v>
      </c>
      <c r="V466" s="28">
        <v>21.0</v>
      </c>
      <c r="W466" s="28" t="s">
        <v>1173</v>
      </c>
      <c r="X466" s="28" t="s">
        <v>272</v>
      </c>
      <c r="Y466" s="28" t="s">
        <v>8425</v>
      </c>
      <c r="Z466" s="28" t="s">
        <v>5189</v>
      </c>
      <c r="AA466" s="28" t="s">
        <v>619</v>
      </c>
      <c r="AB466" s="28">
        <v>20.0</v>
      </c>
      <c r="AC466" s="28" t="s">
        <v>25</v>
      </c>
      <c r="AD466" s="23"/>
      <c r="AE466" s="28" t="s">
        <v>10</v>
      </c>
      <c r="AF466" s="23" t="str">
        <f>IFERROR(__xludf.DUMMYFUNCTION("TEXTJOIN("", "", TRUE,
  FILTER(Champions!C:C,
    ISNUMBER(SEARCH(C466, Champions!W:W))
  )
)"),"Estrella Mestres, Kenya Medina")</f>
        <v>Estrella Mestres, Kenya Medina</v>
      </c>
      <c r="AG466" s="23"/>
      <c r="AH466" s="23" t="str">
        <f>IFERROR(__xludf.DUMMYFUNCTION("IF(
ISNUMBER(MATCH(
C466,
IMPORTRANGE(""https://docs.google.com/spreadsheets/d/1yTh1ELC33JHYOeEdgIiEclxPRyh0zOKtlawDltfUay8"",""'Interns'!A:A""),
0
)),
""Outreach Conducted"",
"""")"),"")</f>
        <v/>
      </c>
      <c r="AI466" s="23"/>
      <c r="AJ466" s="23"/>
      <c r="AK466" s="23" t="str">
        <f>IFERROR(__xludf.DUMMYFUNCTION("XLOOKUP(C466, 
   IMPORTRANGE(""1RdEdgHYrZ33LJ7RUHj_h-qkAFL92bcVjtIdVa-UlsCw"", ""Interns!D:D""), 
   IMPORTRANGE(""1RdEdgHYrZ33LJ7RUHj_h-qkAFL92bcVjtIdVa-UlsCw"", ""Interns!M:M""), 
   ""Not Found"")"),"")</f>
        <v/>
      </c>
      <c r="AL466" s="23" t="str">
        <f>IFERROR(__xludf.DUMMYFUNCTION("XLOOKUP(C466, 
   IMPORTRANGE(""1RdEdgHYrZ33LJ7RUHj_h-qkAFL92bcVjtIdVa-UlsCw"", ""Interns!D:D""), 
   IMPORTRANGE(""1RdEdgHYrZ33LJ7RUHj_h-qkAFL92bcVjtIdVa-UlsCw"", ""Interns!N:N""), 
   ""Not Found"")"),"")</f>
        <v/>
      </c>
      <c r="AM466" s="23" t="str">
        <f>IFERROR(__xludf.DUMMYFUNCTION("XLOOKUP(C466, 
   IMPORTRANGE(""1RdEdgHYrZ33LJ7RUHj_h-qkAFL92bcVjtIdVa-UlsCw"", ""Interns!D:D""), 
   IMPORTRANGE(""1RdEdgHYrZ33LJ7RUHj_h-qkAFL92bcVjtIdVa-UlsCw"", ""Interns!O:O""), 
   ""Not Found"")"),"")</f>
        <v/>
      </c>
      <c r="AN466" s="23"/>
      <c r="AO466" s="23" t="s">
        <v>8426</v>
      </c>
      <c r="AP466" s="28" t="s">
        <v>5182</v>
      </c>
      <c r="AQ466" s="28" t="s">
        <v>8423</v>
      </c>
      <c r="AR466" s="23" t="s">
        <v>8427</v>
      </c>
      <c r="AS466" s="23"/>
      <c r="AT466" s="23"/>
      <c r="AU466" s="23"/>
      <c r="AV466" s="23"/>
    </row>
    <row r="467">
      <c r="A467" s="28" t="s">
        <v>5161</v>
      </c>
      <c r="B467" s="28" t="s">
        <v>5162</v>
      </c>
      <c r="C467" s="23" t="str">
        <f t="shared" si="1"/>
        <v>Nadilka Hernandez</v>
      </c>
      <c r="D467" s="28" t="s">
        <v>8428</v>
      </c>
      <c r="E467" s="28" t="s">
        <v>2168</v>
      </c>
      <c r="F467" s="23">
        <f t="array" ref="F467">IFERROR(
    INDEX('Hub Interns 226'!A:A, MATCH(C467, 'Hub Interns 226'!B:B, 0)),"")</f>
        <v>908</v>
      </c>
      <c r="G467" s="23">
        <f t="array" ref="G467">IFERROR(
    INDEX('Hub Users 226'!A:A, MATCH(C467, 'Hub Users 226'!B:B, 0)),"")</f>
        <v>1341</v>
      </c>
      <c r="H467" s="28">
        <v>709.0</v>
      </c>
      <c r="I467" s="28" t="s">
        <v>290</v>
      </c>
      <c r="J467" s="28" t="s">
        <v>5336</v>
      </c>
      <c r="K467" s="28" t="s">
        <v>5177</v>
      </c>
      <c r="L467" s="28" t="s">
        <v>5196</v>
      </c>
      <c r="M467" s="56" t="s">
        <v>8429</v>
      </c>
      <c r="N467" s="59">
        <v>44547.01666666667</v>
      </c>
      <c r="O467" s="58">
        <v>38685.0</v>
      </c>
      <c r="P467" s="28">
        <f t="shared" si="15"/>
        <v>20</v>
      </c>
      <c r="Q467" s="28" t="s">
        <v>240</v>
      </c>
      <c r="R467" s="28" t="s">
        <v>8430</v>
      </c>
      <c r="S467" s="28">
        <v>14.0</v>
      </c>
      <c r="T467" s="28">
        <v>13.0</v>
      </c>
      <c r="U467" s="28">
        <v>39.0</v>
      </c>
      <c r="V467" s="28">
        <v>25.0</v>
      </c>
      <c r="W467" s="28" t="s">
        <v>1173</v>
      </c>
      <c r="X467" s="28" t="s">
        <v>272</v>
      </c>
      <c r="Y467" s="28" t="s">
        <v>8431</v>
      </c>
      <c r="Z467" s="28" t="s">
        <v>5483</v>
      </c>
      <c r="AA467" s="28" t="s">
        <v>457</v>
      </c>
      <c r="AB467" s="28">
        <v>25.0</v>
      </c>
      <c r="AC467" s="28" t="s">
        <v>25</v>
      </c>
      <c r="AD467" s="23"/>
      <c r="AE467" s="28" t="s">
        <v>10</v>
      </c>
      <c r="AF467" s="23" t="str">
        <f>IFERROR(__xludf.DUMMYFUNCTION("TEXTJOIN("", "", TRUE,
  FILTER(Champions!C:C,
    ISNUMBER(SEARCH(C467, Champions!W:W))
  )
)"),"Marissa Arciola, Ryane Montanez")</f>
        <v>Marissa Arciola, Ryane Montanez</v>
      </c>
      <c r="AG467" s="23"/>
      <c r="AH467" s="23" t="str">
        <f>IFERROR(__xludf.DUMMYFUNCTION("IF(
ISNUMBER(MATCH(
C467,
IMPORTRANGE(""https://docs.google.com/spreadsheets/d/1yTh1ELC33JHYOeEdgIiEclxPRyh0zOKtlawDltfUay8"",""'Interns'!A:A""),
0
)),
""Outreach Conducted"",
"""")"),"")</f>
        <v/>
      </c>
      <c r="AI467" s="23"/>
      <c r="AJ467" s="23"/>
      <c r="AK467" s="23" t="str">
        <f>IFERROR(__xludf.DUMMYFUNCTION("XLOOKUP(C467, 
   IMPORTRANGE(""1RdEdgHYrZ33LJ7RUHj_h-qkAFL92bcVjtIdVa-UlsCw"", ""Interns!D:D""), 
   IMPORTRANGE(""1RdEdgHYrZ33LJ7RUHj_h-qkAFL92bcVjtIdVa-UlsCw"", ""Interns!M:M""), 
   ""Not Found"")"),"Contacted")</f>
        <v>Contacted</v>
      </c>
      <c r="AL467" s="23" t="str">
        <f>IFERROR(__xludf.DUMMYFUNCTION("XLOOKUP(C467, 
   IMPORTRANGE(""1RdEdgHYrZ33LJ7RUHj_h-qkAFL92bcVjtIdVa-UlsCw"", ""Interns!D:D""), 
   IMPORTRANGE(""1RdEdgHYrZ33LJ7RUHj_h-qkAFL92bcVjtIdVa-UlsCw"", ""Interns!N:N""), 
   ""Not Found"")"),"#Cheers4Careers")</f>
        <v>#Cheers4Careers</v>
      </c>
      <c r="AM467" s="23" t="str">
        <f>IFERROR(__xludf.DUMMYFUNCTION("XLOOKUP(C467, 
   IMPORTRANGE(""1RdEdgHYrZ33LJ7RUHj_h-qkAFL92bcVjtIdVa-UlsCw"", ""Interns!D:D""), 
   IMPORTRANGE(""1RdEdgHYrZ33LJ7RUHj_h-qkAFL92bcVjtIdVa-UlsCw"", ""Interns!O:O""), 
   ""Not Found"")"),"Hetal reached out by email 3/27")</f>
        <v>Hetal reached out by email 3/27</v>
      </c>
      <c r="AN467" s="23"/>
      <c r="AO467" s="23" t="s">
        <v>8432</v>
      </c>
      <c r="AP467" s="28" t="s">
        <v>5182</v>
      </c>
      <c r="AQ467" s="28" t="s">
        <v>8433</v>
      </c>
      <c r="AR467" s="23" t="s">
        <v>8434</v>
      </c>
      <c r="AS467" s="23"/>
      <c r="AT467" s="23"/>
      <c r="AU467" s="23"/>
      <c r="AV467" s="23"/>
    </row>
    <row r="468">
      <c r="A468" s="28" t="s">
        <v>5202</v>
      </c>
      <c r="B468" s="28" t="s">
        <v>5162</v>
      </c>
      <c r="C468" s="23" t="str">
        <f t="shared" si="1"/>
        <v>Karen Guaman</v>
      </c>
      <c r="D468" s="28" t="s">
        <v>1818</v>
      </c>
      <c r="E468" s="28" t="s">
        <v>8435</v>
      </c>
      <c r="F468" s="23">
        <f t="array" ref="F468">IFERROR(
    INDEX('Hub Interns 226'!A:A, MATCH(C468, 'Hub Interns 226'!B:B, 0)),"")</f>
        <v>326</v>
      </c>
      <c r="G468" s="23">
        <f t="array" ref="G468">IFERROR(
    INDEX('Hub Users 226'!A:A, MATCH(C468, 'Hub Users 226'!B:B, 0)),"")</f>
        <v>759</v>
      </c>
      <c r="H468" s="28">
        <v>910.0</v>
      </c>
      <c r="I468" s="28"/>
      <c r="J468" s="28" t="s">
        <v>2388</v>
      </c>
      <c r="K468" s="28" t="s">
        <v>5463</v>
      </c>
      <c r="L468" s="28" t="s">
        <v>5196</v>
      </c>
      <c r="M468" s="56" t="s">
        <v>8436</v>
      </c>
      <c r="N468" s="57">
        <v>44601.58125</v>
      </c>
      <c r="O468" s="58">
        <v>39051.0</v>
      </c>
      <c r="P468" s="28">
        <f t="shared" si="15"/>
        <v>19</v>
      </c>
      <c r="Q468" s="28" t="s">
        <v>240</v>
      </c>
      <c r="R468" s="28" t="s">
        <v>8437</v>
      </c>
      <c r="S468" s="28">
        <v>6.0</v>
      </c>
      <c r="T468" s="28">
        <v>16.0</v>
      </c>
      <c r="U468" s="28">
        <v>40.0</v>
      </c>
      <c r="V468" s="28">
        <v>20.0</v>
      </c>
      <c r="W468" s="28" t="s">
        <v>1173</v>
      </c>
      <c r="X468" s="28" t="s">
        <v>272</v>
      </c>
      <c r="Y468" s="28" t="s">
        <v>8438</v>
      </c>
      <c r="Z468" s="28" t="s">
        <v>5189</v>
      </c>
      <c r="AA468" s="28" t="s">
        <v>619</v>
      </c>
      <c r="AB468" s="28">
        <v>20.0</v>
      </c>
      <c r="AC468" s="28" t="s">
        <v>24</v>
      </c>
      <c r="AD468" s="23"/>
      <c r="AE468" s="28" t="s">
        <v>10</v>
      </c>
      <c r="AF468" s="23"/>
      <c r="AG468" s="23"/>
      <c r="AH468" s="23" t="str">
        <f>IFERROR(__xludf.DUMMYFUNCTION("IF(
ISNUMBER(MATCH(
C468,
IMPORTRANGE(""https://docs.google.com/spreadsheets/d/1yTh1ELC33JHYOeEdgIiEclxPRyh0zOKtlawDltfUay8"",""'Interns'!A:A""),
0
)),
""Outreach Conducted"",
"""")"),"")</f>
        <v/>
      </c>
      <c r="AI468" s="23"/>
      <c r="AJ468" s="23"/>
      <c r="AK468" s="23" t="str">
        <f>IFERROR(__xludf.DUMMYFUNCTION("XLOOKUP(C468, 
   IMPORTRANGE(""1RdEdgHYrZ33LJ7RUHj_h-qkAFL92bcVjtIdVa-UlsCw"", ""Interns!D:D""), 
   IMPORTRANGE(""1RdEdgHYrZ33LJ7RUHj_h-qkAFL92bcVjtIdVa-UlsCw"", ""Interns!M:M""), 
   ""Not Found"")"),"")</f>
        <v/>
      </c>
      <c r="AL468" s="23" t="str">
        <f>IFERROR(__xludf.DUMMYFUNCTION("XLOOKUP(C468, 
   IMPORTRANGE(""1RdEdgHYrZ33LJ7RUHj_h-qkAFL92bcVjtIdVa-UlsCw"", ""Interns!D:D""), 
   IMPORTRANGE(""1RdEdgHYrZ33LJ7RUHj_h-qkAFL92bcVjtIdVa-UlsCw"", ""Interns!N:N""), 
   ""Not Found"")"),"")</f>
        <v/>
      </c>
      <c r="AM468" s="23" t="str">
        <f>IFERROR(__xludf.DUMMYFUNCTION("XLOOKUP(C468, 
   IMPORTRANGE(""1RdEdgHYrZ33LJ7RUHj_h-qkAFL92bcVjtIdVa-UlsCw"", ""Interns!D:D""), 
   IMPORTRANGE(""1RdEdgHYrZ33LJ7RUHj_h-qkAFL92bcVjtIdVa-UlsCw"", ""Interns!O:O""), 
   ""Not Found"")"),"")</f>
        <v/>
      </c>
      <c r="AN468" s="23"/>
      <c r="AO468" s="23" t="s">
        <v>8439</v>
      </c>
      <c r="AP468" s="28" t="s">
        <v>5182</v>
      </c>
      <c r="AQ468" s="28"/>
      <c r="AR468" s="23"/>
      <c r="AS468" s="23"/>
      <c r="AT468" s="23"/>
      <c r="AU468" s="23"/>
      <c r="AV468" s="23"/>
    </row>
    <row r="469">
      <c r="A469" s="28" t="s">
        <v>5161</v>
      </c>
      <c r="B469" s="28" t="s">
        <v>5162</v>
      </c>
      <c r="C469" s="23" t="str">
        <f t="shared" si="1"/>
        <v>Jason Hernandez</v>
      </c>
      <c r="D469" s="28" t="s">
        <v>1676</v>
      </c>
      <c r="E469" s="28" t="s">
        <v>2168</v>
      </c>
      <c r="F469" s="23">
        <f t="array" ref="F469">IFERROR(
    INDEX('Hub Interns 226'!A:A, MATCH(C469, 'Hub Interns 226'!B:B, 0)),"")</f>
        <v>630</v>
      </c>
      <c r="G469" s="23">
        <f t="array" ref="G469">IFERROR(
    INDEX('Hub Users 226'!A:A, MATCH(C469, 'Hub Users 226'!B:B, 0)),"")</f>
        <v>1063</v>
      </c>
      <c r="H469" s="28">
        <v>1348.0</v>
      </c>
      <c r="I469" s="28" t="s">
        <v>107</v>
      </c>
      <c r="J469" s="28" t="s">
        <v>5336</v>
      </c>
      <c r="K469" s="28" t="s">
        <v>5177</v>
      </c>
      <c r="L469" s="28" t="s">
        <v>5165</v>
      </c>
      <c r="M469" s="56" t="s">
        <v>8440</v>
      </c>
      <c r="N469" s="59">
        <v>44859.475</v>
      </c>
      <c r="O469" s="58">
        <v>38938.0</v>
      </c>
      <c r="P469" s="28">
        <f t="shared" si="15"/>
        <v>19</v>
      </c>
      <c r="Q469" s="28" t="s">
        <v>8441</v>
      </c>
      <c r="R469" s="28" t="s">
        <v>8442</v>
      </c>
      <c r="S469" s="28">
        <v>13.0</v>
      </c>
      <c r="T469" s="28">
        <v>31.0</v>
      </c>
      <c r="U469" s="28">
        <v>71.0</v>
      </c>
      <c r="V469" s="28">
        <v>7.0</v>
      </c>
      <c r="W469" s="28" t="s">
        <v>271</v>
      </c>
      <c r="X469" s="28" t="s">
        <v>272</v>
      </c>
      <c r="Y469" s="28" t="s">
        <v>8443</v>
      </c>
      <c r="Z469" s="28" t="s">
        <v>5341</v>
      </c>
      <c r="AA469" s="28" t="s">
        <v>1085</v>
      </c>
      <c r="AB469" s="28">
        <v>10.0</v>
      </c>
      <c r="AC469" s="28" t="s">
        <v>25</v>
      </c>
      <c r="AD469" s="23"/>
      <c r="AE469" s="28" t="s">
        <v>15</v>
      </c>
      <c r="AF469" s="23" t="str">
        <f>IFERROR(__xludf.DUMMYFUNCTION("TEXTJOIN("", "", TRUE,
  FILTER(Champions!C:C,
    ISNUMBER(SEARCH(C469, Champions!W:W))
  )
)"),"John ?Nico? Johnson, Dwayne Taylor, Jason Alafgani")</f>
        <v>John ?Nico? Johnson, Dwayne Taylor, Jason Alafgani</v>
      </c>
      <c r="AG469" s="26" t="s">
        <v>5342</v>
      </c>
      <c r="AH469" s="23" t="str">
        <f>IFERROR(__xludf.DUMMYFUNCTION("IF(
ISNUMBER(MATCH(
C469,
IMPORTRANGE(""https://docs.google.com/spreadsheets/d/1yTh1ELC33JHYOeEdgIiEclxPRyh0zOKtlawDltfUay8"",""'Interns'!A:A""),
0
)),
""Outreach Conducted"",
"""")"),"")</f>
        <v/>
      </c>
      <c r="AI469" s="23"/>
      <c r="AJ469" s="23"/>
      <c r="AK469" s="23" t="str">
        <f>IFERROR(__xludf.DUMMYFUNCTION("XLOOKUP(C469, 
   IMPORTRANGE(""1RdEdgHYrZ33LJ7RUHj_h-qkAFL92bcVjtIdVa-UlsCw"", ""Interns!D:D""), 
   IMPORTRANGE(""1RdEdgHYrZ33LJ7RUHj_h-qkAFL92bcVjtIdVa-UlsCw"", ""Interns!M:M""), 
   ""Not Found"")"),"Contacted")</f>
        <v>Contacted</v>
      </c>
      <c r="AL469" s="23" t="str">
        <f>IFERROR(__xludf.DUMMYFUNCTION("XLOOKUP(C469, 
   IMPORTRANGE(""1RdEdgHYrZ33LJ7RUHj_h-qkAFL92bcVjtIdVa-UlsCw"", ""Interns!D:D""), 
   IMPORTRANGE(""1RdEdgHYrZ33LJ7RUHj_h-qkAFL92bcVjtIdVa-UlsCw"", ""Interns!N:N""), 
   ""Not Found"")"),"#Cheers4Careers")</f>
        <v>#Cheers4Careers</v>
      </c>
      <c r="AM469" s="23" t="str">
        <f>IFERROR(__xludf.DUMMYFUNCTION("XLOOKUP(C469, 
   IMPORTRANGE(""1RdEdgHYrZ33LJ7RUHj_h-qkAFL92bcVjtIdVa-UlsCw"", ""Interns!D:D""), 
   IMPORTRANGE(""1RdEdgHYrZ33LJ7RUHj_h-qkAFL92bcVjtIdVa-UlsCw"", ""Interns!O:O""), 
   ""Not Found"")"),"Texted on April 14 for #Cheers4Careers event")</f>
        <v>Texted on April 14 for #Cheers4Careers event</v>
      </c>
      <c r="AN469" s="23"/>
      <c r="AO469" s="23" t="s">
        <v>8444</v>
      </c>
      <c r="AP469" s="28" t="s">
        <v>5182</v>
      </c>
      <c r="AQ469" s="28" t="s">
        <v>8440</v>
      </c>
      <c r="AR469" s="23" t="s">
        <v>8443</v>
      </c>
      <c r="AS469" s="23"/>
      <c r="AT469" s="23"/>
      <c r="AU469" s="23"/>
      <c r="AV469" s="23"/>
    </row>
    <row r="470">
      <c r="A470" s="28" t="s">
        <v>5161</v>
      </c>
      <c r="B470" s="28" t="s">
        <v>5162</v>
      </c>
      <c r="C470" s="23" t="str">
        <f t="shared" si="1"/>
        <v>Jazlyn Feliciano Hidalgo</v>
      </c>
      <c r="D470" s="28" t="s">
        <v>8445</v>
      </c>
      <c r="E470" s="28" t="s">
        <v>8446</v>
      </c>
      <c r="F470" s="23">
        <f t="array" ref="F470">IFERROR(
    INDEX('Hub Interns 226'!A:A, MATCH(C470, 'Hub Interns 226'!B:B, 0)),"")</f>
        <v>642</v>
      </c>
      <c r="G470" s="23">
        <f t="array" ref="G470">IFERROR(
    INDEX('Hub Users 226'!A:A, MATCH(C470, 'Hub Users 226'!B:B, 0)),"")</f>
        <v>1075</v>
      </c>
      <c r="H470" s="28">
        <v>1440.0</v>
      </c>
      <c r="I470" s="28" t="s">
        <v>269</v>
      </c>
      <c r="J470" s="28" t="s">
        <v>5336</v>
      </c>
      <c r="K470" s="28" t="s">
        <v>5177</v>
      </c>
      <c r="L470" s="28" t="s">
        <v>5196</v>
      </c>
      <c r="M470" s="56" t="s">
        <v>8447</v>
      </c>
      <c r="N470" s="59">
        <v>44882.597916666666</v>
      </c>
      <c r="O470" s="58">
        <v>39408.0</v>
      </c>
      <c r="P470" s="28">
        <f t="shared" si="15"/>
        <v>18</v>
      </c>
      <c r="Q470" s="28" t="s">
        <v>240</v>
      </c>
      <c r="R470" s="28" t="s">
        <v>8448</v>
      </c>
      <c r="S470" s="28">
        <v>5.0</v>
      </c>
      <c r="T470" s="28">
        <v>11.0</v>
      </c>
      <c r="U470" s="28">
        <v>33.0</v>
      </c>
      <c r="V470" s="28">
        <v>23.0</v>
      </c>
      <c r="W470" s="28" t="s">
        <v>1173</v>
      </c>
      <c r="X470" s="28" t="s">
        <v>272</v>
      </c>
      <c r="Y470" s="28" t="s">
        <v>8449</v>
      </c>
      <c r="Z470" s="28" t="s">
        <v>5332</v>
      </c>
      <c r="AA470" s="28" t="s">
        <v>421</v>
      </c>
      <c r="AB470" s="28">
        <v>31.0</v>
      </c>
      <c r="AC470" s="28" t="s">
        <v>23</v>
      </c>
      <c r="AD470" s="23"/>
      <c r="AE470" s="28" t="s">
        <v>15</v>
      </c>
      <c r="AF470" s="23"/>
      <c r="AG470" s="23"/>
      <c r="AH470" s="23" t="str">
        <f>IFERROR(__xludf.DUMMYFUNCTION("IF(
ISNUMBER(MATCH(
C470,
IMPORTRANGE(""https://docs.google.com/spreadsheets/d/1yTh1ELC33JHYOeEdgIiEclxPRyh0zOKtlawDltfUay8"",""'Interns'!A:A""),
0
)),
""Outreach Conducted"",
"""")"),"")</f>
        <v/>
      </c>
      <c r="AI470" s="23"/>
      <c r="AJ470" s="23"/>
      <c r="AK470" s="23" t="str">
        <f>IFERROR(__xludf.DUMMYFUNCTION("XLOOKUP(C470, 
   IMPORTRANGE(""1RdEdgHYrZ33LJ7RUHj_h-qkAFL92bcVjtIdVa-UlsCw"", ""Interns!D:D""), 
   IMPORTRANGE(""1RdEdgHYrZ33LJ7RUHj_h-qkAFL92bcVjtIdVa-UlsCw"", ""Interns!M:M""), 
   ""Not Found"")"),"Contacted")</f>
        <v>Contacted</v>
      </c>
      <c r="AL470" s="23" t="str">
        <f>IFERROR(__xludf.DUMMYFUNCTION("XLOOKUP(C470, 
   IMPORTRANGE(""1RdEdgHYrZ33LJ7RUHj_h-qkAFL92bcVjtIdVa-UlsCw"", ""Interns!D:D""), 
   IMPORTRANGE(""1RdEdgHYrZ33LJ7RUHj_h-qkAFL92bcVjtIdVa-UlsCw"", ""Interns!N:N""), 
   ""Not Found"")"),"#Cheers4Careers")</f>
        <v>#Cheers4Careers</v>
      </c>
      <c r="AM470" s="23" t="str">
        <f>IFERROR(__xludf.DUMMYFUNCTION("XLOOKUP(C470, 
   IMPORTRANGE(""1RdEdgHYrZ33LJ7RUHj_h-qkAFL92bcVjtIdVa-UlsCw"", ""Interns!D:D""), 
   IMPORTRANGE(""1RdEdgHYrZ33LJ7RUHj_h-qkAFL92bcVjtIdVa-UlsCw"", ""Interns!O:O""), 
   ""Not Found"")"),"Hetal reached out March 27 for March #Cheers4 Careers ")</f>
        <v>Hetal reached out March 27 for March #Cheers4 Careers </v>
      </c>
      <c r="AN470" s="23"/>
      <c r="AO470" s="23" t="s">
        <v>8450</v>
      </c>
      <c r="AP470" s="28" t="s">
        <v>5173</v>
      </c>
      <c r="AQ470" s="28"/>
      <c r="AR470" s="23"/>
      <c r="AS470" s="23"/>
      <c r="AT470" s="23"/>
      <c r="AU470" s="23"/>
      <c r="AV470" s="23"/>
    </row>
    <row r="471">
      <c r="A471" s="28" t="s">
        <v>5161</v>
      </c>
      <c r="B471" s="28" t="s">
        <v>5162</v>
      </c>
      <c r="C471" s="23" t="str">
        <f t="shared" si="1"/>
        <v>Valery Stephanie Ozuna taveras</v>
      </c>
      <c r="D471" s="28" t="s">
        <v>8451</v>
      </c>
      <c r="E471" s="28" t="s">
        <v>8452</v>
      </c>
      <c r="F471" s="23">
        <f t="array" ref="F471">IFERROR(
    INDEX('Hub Interns 226'!A:A, MATCH(C471, 'Hub Interns 226'!B:B, 0)),"")</f>
        <v>1169</v>
      </c>
      <c r="G471" s="23">
        <f t="array" ref="G471">IFERROR(
    INDEX('Hub Users 226'!A:A, MATCH(C471, 'Hub Users 226'!B:B, 0)),"")</f>
        <v>1602</v>
      </c>
      <c r="H471" s="28">
        <v>1441.0</v>
      </c>
      <c r="I471" s="28" t="s">
        <v>239</v>
      </c>
      <c r="J471" s="28" t="s">
        <v>5336</v>
      </c>
      <c r="K471" s="28" t="s">
        <v>5177</v>
      </c>
      <c r="L471" s="28" t="s">
        <v>5196</v>
      </c>
      <c r="M471" s="56" t="s">
        <v>8453</v>
      </c>
      <c r="N471" s="59">
        <v>44882.60763888889</v>
      </c>
      <c r="O471" s="58">
        <v>39726.0</v>
      </c>
      <c r="P471" s="28">
        <f t="shared" si="15"/>
        <v>17</v>
      </c>
      <c r="Q471" s="28" t="s">
        <v>240</v>
      </c>
      <c r="R471" s="28" t="s">
        <v>8448</v>
      </c>
      <c r="S471" s="28">
        <v>5.0</v>
      </c>
      <c r="T471" s="28">
        <v>11.0</v>
      </c>
      <c r="U471" s="28">
        <v>33.0</v>
      </c>
      <c r="V471" s="28">
        <v>23.0</v>
      </c>
      <c r="W471" s="28" t="s">
        <v>1173</v>
      </c>
      <c r="X471" s="28" t="s">
        <v>272</v>
      </c>
      <c r="Y471" s="28" t="s">
        <v>8449</v>
      </c>
      <c r="Z471" s="28" t="s">
        <v>5332</v>
      </c>
      <c r="AA471" s="28" t="s">
        <v>421</v>
      </c>
      <c r="AB471" s="28">
        <v>31.0</v>
      </c>
      <c r="AC471" s="28" t="s">
        <v>23</v>
      </c>
      <c r="AD471" s="23"/>
      <c r="AE471" s="28" t="s">
        <v>15</v>
      </c>
      <c r="AF471" s="23"/>
      <c r="AG471" s="23"/>
      <c r="AH471" s="23" t="str">
        <f>IFERROR(__xludf.DUMMYFUNCTION("IF(
ISNUMBER(MATCH(
C471,
IMPORTRANGE(""https://docs.google.com/spreadsheets/d/1yTh1ELC33JHYOeEdgIiEclxPRyh0zOKtlawDltfUay8"",""'Interns'!A:A""),
0
)),
""Outreach Conducted"",
"""")"),"")</f>
        <v/>
      </c>
      <c r="AI471" s="23"/>
      <c r="AJ471" s="23"/>
      <c r="AK471" s="23" t="str">
        <f>IFERROR(__xludf.DUMMYFUNCTION("XLOOKUP(C471, 
   IMPORTRANGE(""1RdEdgHYrZ33LJ7RUHj_h-qkAFL92bcVjtIdVa-UlsCw"", ""Interns!D:D""), 
   IMPORTRANGE(""1RdEdgHYrZ33LJ7RUHj_h-qkAFL92bcVjtIdVa-UlsCw"", ""Interns!M:M""), 
   ""Not Found"")"),"Contacted")</f>
        <v>Contacted</v>
      </c>
      <c r="AL471" s="23" t="str">
        <f>IFERROR(__xludf.DUMMYFUNCTION("XLOOKUP(C471, 
   IMPORTRANGE(""1RdEdgHYrZ33LJ7RUHj_h-qkAFL92bcVjtIdVa-UlsCw"", ""Interns!D:D""), 
   IMPORTRANGE(""1RdEdgHYrZ33LJ7RUHj_h-qkAFL92bcVjtIdVa-UlsCw"", ""Interns!N:N""), 
   ""Not Found"")"),"#Cheers4Careers")</f>
        <v>#Cheers4Careers</v>
      </c>
      <c r="AM471" s="23" t="str">
        <f>IFERROR(__xludf.DUMMYFUNCTION("XLOOKUP(C471, 
   IMPORTRANGE(""1RdEdgHYrZ33LJ7RUHj_h-qkAFL92bcVjtIdVa-UlsCw"", ""Interns!D:D""), 
   IMPORTRANGE(""1RdEdgHYrZ33LJ7RUHj_h-qkAFL92bcVjtIdVa-UlsCw"", ""Interns!O:O""), 
   ""Not Found"")"),"Hetal reached out March 27 for March #Cheers4 Careers  and texted")</f>
        <v>Hetal reached out March 27 for March #Cheers4 Careers  and texted</v>
      </c>
      <c r="AN471" s="23"/>
      <c r="AO471" s="23" t="s">
        <v>8450</v>
      </c>
      <c r="AP471" s="28" t="s">
        <v>5182</v>
      </c>
      <c r="AQ471" s="28"/>
      <c r="AR471" s="23"/>
      <c r="AS471" s="23"/>
      <c r="AT471" s="23"/>
      <c r="AU471" s="23"/>
      <c r="AV471" s="23"/>
    </row>
    <row r="472">
      <c r="A472" s="28" t="s">
        <v>5202</v>
      </c>
      <c r="B472" s="28" t="s">
        <v>5162</v>
      </c>
      <c r="C472" s="23" t="str">
        <f t="shared" si="1"/>
        <v>Dina Lagua</v>
      </c>
      <c r="D472" s="28" t="s">
        <v>8454</v>
      </c>
      <c r="E472" s="28" t="s">
        <v>8455</v>
      </c>
      <c r="F472" s="23">
        <f t="array" ref="F472">IFERROR(
    INDEX('Hub Interns 226'!A:A, MATCH(C472, 'Hub Interns 226'!B:B, 0)),"")</f>
        <v>450</v>
      </c>
      <c r="G472" s="23">
        <f t="array" ref="G472">IFERROR(
    INDEX('Hub Users 226'!A:A, MATCH(C472, 'Hub Users 226'!B:B, 0)),"")</f>
        <v>883</v>
      </c>
      <c r="H472" s="28">
        <v>757.0</v>
      </c>
      <c r="I472" s="28" t="s">
        <v>260</v>
      </c>
      <c r="J472" s="28" t="s">
        <v>2388</v>
      </c>
      <c r="K472" s="28" t="s">
        <v>5463</v>
      </c>
      <c r="L472" s="28" t="s">
        <v>5196</v>
      </c>
      <c r="M472" s="56" t="s">
        <v>8456</v>
      </c>
      <c r="N472" s="59">
        <v>44551.58611111111</v>
      </c>
      <c r="O472" s="58">
        <v>38755.0</v>
      </c>
      <c r="P472" s="28">
        <f t="shared" si="15"/>
        <v>20</v>
      </c>
      <c r="Q472" s="28" t="s">
        <v>240</v>
      </c>
      <c r="R472" s="28" t="s">
        <v>8457</v>
      </c>
      <c r="S472" s="28">
        <v>7.0</v>
      </c>
      <c r="T472" s="28">
        <v>18.0</v>
      </c>
      <c r="U472" s="28">
        <v>38.0</v>
      </c>
      <c r="V472" s="28">
        <v>34.0</v>
      </c>
      <c r="W472" s="28" t="s">
        <v>1173</v>
      </c>
      <c r="X472" s="28" t="s">
        <v>272</v>
      </c>
      <c r="Y472" s="28" t="s">
        <v>8458</v>
      </c>
      <c r="Z472" s="28" t="s">
        <v>5483</v>
      </c>
      <c r="AA472" s="28" t="s">
        <v>457</v>
      </c>
      <c r="AB472" s="28">
        <v>25.0</v>
      </c>
      <c r="AC472" s="28" t="s">
        <v>25</v>
      </c>
      <c r="AD472" s="23"/>
      <c r="AE472" s="28" t="s">
        <v>10</v>
      </c>
      <c r="AF472" s="23" t="str">
        <f>IFERROR(__xludf.DUMMYFUNCTION("TEXTJOIN("", "", TRUE,
  FILTER(Champions!C:C,
    ISNUMBER(SEARCH(C472, Champions!W:W))
  )
)"),"Ibtesam Khan, Frank Weber")</f>
        <v>Ibtesam Khan, Frank Weber</v>
      </c>
      <c r="AG472" s="23"/>
      <c r="AH472" s="23" t="str">
        <f>IFERROR(__xludf.DUMMYFUNCTION("IF(
ISNUMBER(MATCH(
C472,
IMPORTRANGE(""https://docs.google.com/spreadsheets/d/1yTh1ELC33JHYOeEdgIiEclxPRyh0zOKtlawDltfUay8"",""'Interns'!A:A""),
0
)),
""Outreach Conducted"",
"""")"),"")</f>
        <v/>
      </c>
      <c r="AI472" s="23"/>
      <c r="AJ472" s="23"/>
      <c r="AK472" s="23" t="str">
        <f>IFERROR(__xludf.DUMMYFUNCTION("XLOOKUP(C472, 
   IMPORTRANGE(""1RdEdgHYrZ33LJ7RUHj_h-qkAFL92bcVjtIdVa-UlsCw"", ""Interns!D:D""), 
   IMPORTRANGE(""1RdEdgHYrZ33LJ7RUHj_h-qkAFL92bcVjtIdVa-UlsCw"", ""Interns!M:M""), 
   ""Not Found"")"),"")</f>
        <v/>
      </c>
      <c r="AL472" s="23" t="str">
        <f>IFERROR(__xludf.DUMMYFUNCTION("XLOOKUP(C472, 
   IMPORTRANGE(""1RdEdgHYrZ33LJ7RUHj_h-qkAFL92bcVjtIdVa-UlsCw"", ""Interns!D:D""), 
   IMPORTRANGE(""1RdEdgHYrZ33LJ7RUHj_h-qkAFL92bcVjtIdVa-UlsCw"", ""Interns!N:N""), 
   ""Not Found"")"),"")</f>
        <v/>
      </c>
      <c r="AM472" s="23" t="str">
        <f>IFERROR(__xludf.DUMMYFUNCTION("XLOOKUP(C472, 
   IMPORTRANGE(""1RdEdgHYrZ33LJ7RUHj_h-qkAFL92bcVjtIdVa-UlsCw"", ""Interns!D:D""), 
   IMPORTRANGE(""1RdEdgHYrZ33LJ7RUHj_h-qkAFL92bcVjtIdVa-UlsCw"", ""Interns!O:O""), 
   ""Not Found"")"),"")</f>
        <v/>
      </c>
      <c r="AN472" s="23"/>
      <c r="AO472" s="23" t="s">
        <v>8459</v>
      </c>
      <c r="AP472" s="28" t="s">
        <v>5191</v>
      </c>
      <c r="AQ472" s="28" t="s">
        <v>8460</v>
      </c>
      <c r="AR472" s="23" t="s">
        <v>8461</v>
      </c>
      <c r="AS472" s="23"/>
      <c r="AT472" s="23"/>
      <c r="AU472" s="23"/>
      <c r="AV472" s="23"/>
    </row>
    <row r="473">
      <c r="A473" s="28" t="s">
        <v>5202</v>
      </c>
      <c r="B473" s="28" t="s">
        <v>5162</v>
      </c>
      <c r="C473" s="23" t="str">
        <f t="shared" si="1"/>
        <v>Emily Cosquillo</v>
      </c>
      <c r="D473" s="28" t="s">
        <v>1285</v>
      </c>
      <c r="E473" s="28" t="s">
        <v>8462</v>
      </c>
      <c r="F473" s="23">
        <f t="array" ref="F473">IFERROR(
    INDEX('Hub Interns 226'!A:A, MATCH(C473, 'Hub Interns 226'!B:B, 0)),"")</f>
        <v>40</v>
      </c>
      <c r="G473" s="23">
        <f t="array" ref="G473">IFERROR(
    INDEX('Hub Users 226'!A:A, MATCH(C473, 'Hub Users 226'!B:B, 0)),"")</f>
        <v>473</v>
      </c>
      <c r="H473" s="28">
        <v>918.0</v>
      </c>
      <c r="I473" s="28" t="s">
        <v>260</v>
      </c>
      <c r="J473" s="28" t="s">
        <v>2388</v>
      </c>
      <c r="K473" s="28" t="s">
        <v>5463</v>
      </c>
      <c r="L473" s="28" t="s">
        <v>5196</v>
      </c>
      <c r="M473" s="56" t="s">
        <v>8463</v>
      </c>
      <c r="N473" s="57">
        <v>44602.65</v>
      </c>
      <c r="O473" s="58">
        <v>38546.0</v>
      </c>
      <c r="P473" s="28">
        <f t="shared" si="15"/>
        <v>20</v>
      </c>
      <c r="Q473" s="28" t="s">
        <v>240</v>
      </c>
      <c r="R473" s="28" t="s">
        <v>8464</v>
      </c>
      <c r="S473" s="28">
        <v>7.0</v>
      </c>
      <c r="T473" s="28">
        <v>18.0</v>
      </c>
      <c r="U473" s="28">
        <v>53.0</v>
      </c>
      <c r="V473" s="28">
        <v>37.0</v>
      </c>
      <c r="W473" s="28" t="s">
        <v>294</v>
      </c>
      <c r="X473" s="28" t="s">
        <v>272</v>
      </c>
      <c r="Y473" s="28" t="s">
        <v>8465</v>
      </c>
      <c r="Z473" s="28" t="s">
        <v>5259</v>
      </c>
      <c r="AA473" s="28" t="s">
        <v>704</v>
      </c>
      <c r="AB473" s="28">
        <v>2.0</v>
      </c>
      <c r="AC473" s="28" t="s">
        <v>24</v>
      </c>
      <c r="AD473" s="23"/>
      <c r="AE473" s="28" t="s">
        <v>10</v>
      </c>
      <c r="AF473" s="23"/>
      <c r="AG473" s="23"/>
      <c r="AH473" s="23" t="str">
        <f>IFERROR(__xludf.DUMMYFUNCTION("IF(
ISNUMBER(MATCH(
C473,
IMPORTRANGE(""https://docs.google.com/spreadsheets/d/1yTh1ELC33JHYOeEdgIiEclxPRyh0zOKtlawDltfUay8"",""'Interns'!A:A""),
0
)),
""Outreach Conducted"",
"""")"),"")</f>
        <v/>
      </c>
      <c r="AI473" s="23"/>
      <c r="AJ473" s="23"/>
      <c r="AK473" s="23" t="str">
        <f>IFERROR(__xludf.DUMMYFUNCTION("XLOOKUP(C473, 
   IMPORTRANGE(""1RdEdgHYrZ33LJ7RUHj_h-qkAFL92bcVjtIdVa-UlsCw"", ""Interns!D:D""), 
   IMPORTRANGE(""1RdEdgHYrZ33LJ7RUHj_h-qkAFL92bcVjtIdVa-UlsCw"", ""Interns!M:M""), 
   ""Not Found"")"),"")</f>
        <v/>
      </c>
      <c r="AL473" s="23" t="str">
        <f>IFERROR(__xludf.DUMMYFUNCTION("XLOOKUP(C473, 
   IMPORTRANGE(""1RdEdgHYrZ33LJ7RUHj_h-qkAFL92bcVjtIdVa-UlsCw"", ""Interns!D:D""), 
   IMPORTRANGE(""1RdEdgHYrZ33LJ7RUHj_h-qkAFL92bcVjtIdVa-UlsCw"", ""Interns!N:N""), 
   ""Not Found"")"),"")</f>
        <v/>
      </c>
      <c r="AM473" s="23" t="str">
        <f>IFERROR(__xludf.DUMMYFUNCTION("XLOOKUP(C473, 
   IMPORTRANGE(""1RdEdgHYrZ33LJ7RUHj_h-qkAFL92bcVjtIdVa-UlsCw"", ""Interns!D:D""), 
   IMPORTRANGE(""1RdEdgHYrZ33LJ7RUHj_h-qkAFL92bcVjtIdVa-UlsCw"", ""Interns!O:O""), 
   ""Not Found"")"),"")</f>
        <v/>
      </c>
      <c r="AN473" s="23"/>
      <c r="AO473" s="23" t="s">
        <v>8466</v>
      </c>
      <c r="AP473" s="28" t="s">
        <v>5182</v>
      </c>
      <c r="AQ473" s="28"/>
      <c r="AR473" s="23"/>
      <c r="AS473" s="23"/>
      <c r="AT473" s="23"/>
      <c r="AU473" s="23"/>
      <c r="AV473" s="23"/>
    </row>
    <row r="474">
      <c r="A474" s="28" t="s">
        <v>5161</v>
      </c>
      <c r="B474" s="28" t="s">
        <v>5162</v>
      </c>
      <c r="C474" s="23" t="str">
        <f t="shared" si="1"/>
        <v>Jhojanly Mendez</v>
      </c>
      <c r="D474" s="28" t="s">
        <v>8467</v>
      </c>
      <c r="E474" s="28" t="s">
        <v>969</v>
      </c>
      <c r="F474" s="23">
        <f t="array" ref="F474">IFERROR(
    INDEX('Hub Interns 226'!A:A, MATCH(C474, 'Hub Interns 226'!B:B, 0)),"")</f>
        <v>662</v>
      </c>
      <c r="G474" s="23">
        <f t="array" ref="G474">IFERROR(
    INDEX('Hub Users 226'!A:A, MATCH(C474, 'Hub Users 226'!B:B, 0)),"")</f>
        <v>1095</v>
      </c>
      <c r="H474" s="28">
        <v>439.0</v>
      </c>
      <c r="I474" s="28" t="s">
        <v>260</v>
      </c>
      <c r="J474" s="28" t="s">
        <v>5336</v>
      </c>
      <c r="K474" s="28" t="s">
        <v>5177</v>
      </c>
      <c r="L474" s="28" t="s">
        <v>5165</v>
      </c>
      <c r="M474" s="56" t="s">
        <v>8468</v>
      </c>
      <c r="N474" s="57">
        <v>44315.57152777778</v>
      </c>
      <c r="O474" s="58">
        <v>38581.0</v>
      </c>
      <c r="P474" s="28">
        <f t="shared" si="15"/>
        <v>20</v>
      </c>
      <c r="Q474" s="28" t="s">
        <v>240</v>
      </c>
      <c r="R474" s="28" t="s">
        <v>8469</v>
      </c>
      <c r="S474" s="28">
        <v>15.0</v>
      </c>
      <c r="T474" s="28">
        <v>32.0</v>
      </c>
      <c r="U474" s="28">
        <v>79.0</v>
      </c>
      <c r="V474" s="28">
        <v>15.0</v>
      </c>
      <c r="W474" s="28" t="s">
        <v>859</v>
      </c>
      <c r="X474" s="28" t="s">
        <v>272</v>
      </c>
      <c r="Y474" s="28" t="s">
        <v>8470</v>
      </c>
      <c r="Z474" s="28" t="s">
        <v>5310</v>
      </c>
      <c r="AA474" s="28" t="s">
        <v>362</v>
      </c>
      <c r="AB474" s="28">
        <v>16.0</v>
      </c>
      <c r="AC474" s="28" t="s">
        <v>25</v>
      </c>
      <c r="AD474" s="23"/>
      <c r="AE474" s="28" t="s">
        <v>10</v>
      </c>
      <c r="AF474" s="23" t="str">
        <f>IFERROR(__xludf.DUMMYFUNCTION("TEXTJOIN("", "", TRUE,
  FILTER(Champions!C:C,
    ISNUMBER(SEARCH(C474, Champions!W:W))
  )
)"),"Simon Winograd, Yan Guan")</f>
        <v>Simon Winograd, Yan Guan</v>
      </c>
      <c r="AG474" s="23"/>
      <c r="AH474" s="23" t="str">
        <f>IFERROR(__xludf.DUMMYFUNCTION("IF(
ISNUMBER(MATCH(
C474,
IMPORTRANGE(""https://docs.google.com/spreadsheets/d/1yTh1ELC33JHYOeEdgIiEclxPRyh0zOKtlawDltfUay8"",""'Interns'!A:A""),
0
)),
""Outreach Conducted"",
"""")"),"")</f>
        <v/>
      </c>
      <c r="AI474" s="23"/>
      <c r="AJ474" s="23"/>
      <c r="AK474" s="23" t="str">
        <f>IFERROR(__xludf.DUMMYFUNCTION("XLOOKUP(C474, 
   IMPORTRANGE(""1RdEdgHYrZ33LJ7RUHj_h-qkAFL92bcVjtIdVa-UlsCw"", ""Interns!D:D""), 
   IMPORTRANGE(""1RdEdgHYrZ33LJ7RUHj_h-qkAFL92bcVjtIdVa-UlsCw"", ""Interns!M:M""), 
   ""Not Found"")"),"")</f>
        <v/>
      </c>
      <c r="AL474" s="23" t="str">
        <f>IFERROR(__xludf.DUMMYFUNCTION("XLOOKUP(C474, 
   IMPORTRANGE(""1RdEdgHYrZ33LJ7RUHj_h-qkAFL92bcVjtIdVa-UlsCw"", ""Interns!D:D""), 
   IMPORTRANGE(""1RdEdgHYrZ33LJ7RUHj_h-qkAFL92bcVjtIdVa-UlsCw"", ""Interns!N:N""), 
   ""Not Found"")"),"#SpeakingMyName")</f>
        <v>#SpeakingMyName</v>
      </c>
      <c r="AM474" s="23" t="str">
        <f>IFERROR(__xludf.DUMMYFUNCTION("XLOOKUP(C474, 
   IMPORTRANGE(""1RdEdgHYrZ33LJ7RUHj_h-qkAFL92bcVjtIdVa-UlsCw"", ""Interns!D:D""), 
   IMPORTRANGE(""1RdEdgHYrZ33LJ7RUHj_h-qkAFL92bcVjtIdVa-UlsCw"", ""Interns!O:O""), 
   ""Not Found"")"),"Alicia reached out by email on 5/15 for #SpeakingMyName")</f>
        <v>Alicia reached out by email on 5/15 for #SpeakingMyName</v>
      </c>
      <c r="AN474" s="23"/>
      <c r="AO474" s="23" t="s">
        <v>8471</v>
      </c>
      <c r="AP474" s="28" t="s">
        <v>5182</v>
      </c>
      <c r="AQ474" s="28"/>
      <c r="AR474" s="23"/>
      <c r="AS474" s="23"/>
      <c r="AT474" s="23"/>
      <c r="AU474" s="23"/>
      <c r="AV474" s="23"/>
    </row>
    <row r="475">
      <c r="A475" s="28" t="s">
        <v>5161</v>
      </c>
      <c r="B475" s="28" t="s">
        <v>5162</v>
      </c>
      <c r="C475" s="23" t="str">
        <f t="shared" si="1"/>
        <v>Aura Caraballo</v>
      </c>
      <c r="D475" s="28" t="s">
        <v>8472</v>
      </c>
      <c r="E475" s="28" t="s">
        <v>7234</v>
      </c>
      <c r="F475" s="23">
        <f t="array" ref="F475">IFERROR(
    INDEX('Hub Interns 226'!A:A, MATCH(C475, 'Hub Interns 226'!B:B, 0)),"")</f>
        <v>35</v>
      </c>
      <c r="G475" s="23">
        <f t="array" ref="G475">IFERROR(
    INDEX('Hub Users 226'!A:A, MATCH(C475, 'Hub Users 226'!B:B, 0)),"")</f>
        <v>468</v>
      </c>
      <c r="H475" s="28">
        <v>805.0</v>
      </c>
      <c r="I475" s="28" t="s">
        <v>107</v>
      </c>
      <c r="J475" s="28" t="s">
        <v>5336</v>
      </c>
      <c r="K475" s="28" t="s">
        <v>5177</v>
      </c>
      <c r="L475" s="28" t="s">
        <v>5196</v>
      </c>
      <c r="M475" s="56" t="s">
        <v>8473</v>
      </c>
      <c r="N475" s="57">
        <v>44567.63125</v>
      </c>
      <c r="O475" s="58">
        <v>38594.0</v>
      </c>
      <c r="P475" s="28">
        <f t="shared" si="15"/>
        <v>20</v>
      </c>
      <c r="Q475" s="28" t="s">
        <v>240</v>
      </c>
      <c r="R475" s="28" t="s">
        <v>8474</v>
      </c>
      <c r="S475" s="28">
        <v>6.0</v>
      </c>
      <c r="T475" s="28">
        <v>13.0</v>
      </c>
      <c r="U475" s="28">
        <v>39.0</v>
      </c>
      <c r="V475" s="28">
        <v>25.0</v>
      </c>
      <c r="W475" s="28" t="s">
        <v>271</v>
      </c>
      <c r="X475" s="28" t="s">
        <v>272</v>
      </c>
      <c r="Y475" s="28" t="s">
        <v>8475</v>
      </c>
      <c r="Z475" s="28" t="s">
        <v>5259</v>
      </c>
      <c r="AA475" s="28" t="s">
        <v>704</v>
      </c>
      <c r="AB475" s="28">
        <v>2.0</v>
      </c>
      <c r="AC475" s="28" t="s">
        <v>25</v>
      </c>
      <c r="AD475" s="23"/>
      <c r="AE475" s="28" t="s">
        <v>10</v>
      </c>
      <c r="AF475" s="23" t="str">
        <f>IFERROR(__xludf.DUMMYFUNCTION("TEXTJOIN("", "", TRUE,
  FILTER(Champions!C:C,
    ISNUMBER(SEARCH(C475, Champions!W:W))
  )
)"),"Dima Al Ayderous, Frank Weber")</f>
        <v>Dima Al Ayderous, Frank Weber</v>
      </c>
      <c r="AG475" s="23"/>
      <c r="AH475" s="23" t="str">
        <f>IFERROR(__xludf.DUMMYFUNCTION("IF(
ISNUMBER(MATCH(
C475,
IMPORTRANGE(""https://docs.google.com/spreadsheets/d/1yTh1ELC33JHYOeEdgIiEclxPRyh0zOKtlawDltfUay8"",""'Interns'!A:A""),
0
)),
""Outreach Conducted"",
"""")"),"")</f>
        <v/>
      </c>
      <c r="AI475" s="23"/>
      <c r="AJ475" s="23"/>
      <c r="AK475" s="23" t="str">
        <f>IFERROR(__xludf.DUMMYFUNCTION("XLOOKUP(C475, 
   IMPORTRANGE(""1RdEdgHYrZ33LJ7RUHj_h-qkAFL92bcVjtIdVa-UlsCw"", ""Interns!D:D""), 
   IMPORTRANGE(""1RdEdgHYrZ33LJ7RUHj_h-qkAFL92bcVjtIdVa-UlsCw"", ""Interns!M:M""), 
   ""Not Found"")"),"Contacted")</f>
        <v>Contacted</v>
      </c>
      <c r="AL475" s="23" t="str">
        <f>IFERROR(__xludf.DUMMYFUNCTION("XLOOKUP(C475, 
   IMPORTRANGE(""1RdEdgHYrZ33LJ7RUHj_h-qkAFL92bcVjtIdVa-UlsCw"", ""Interns!D:D""), 
   IMPORTRANGE(""1RdEdgHYrZ33LJ7RUHj_h-qkAFL92bcVjtIdVa-UlsCw"", ""Interns!N:N""), 
   ""Not Found"")"),"#Cheers4Careers")</f>
        <v>#Cheers4Careers</v>
      </c>
      <c r="AM475" s="23" t="str">
        <f>IFERROR(__xludf.DUMMYFUNCTION("XLOOKUP(C475, 
   IMPORTRANGE(""1RdEdgHYrZ33LJ7RUHj_h-qkAFL92bcVjtIdVa-UlsCw"", ""Interns!D:D""), 
   IMPORTRANGE(""1RdEdgHYrZ33LJ7RUHj_h-qkAFL92bcVjtIdVa-UlsCw"", ""Interns!O:O""), 
   ""Not Found"")"),"Ousmane reached out by email 3/26 and reach out by text 3/28")</f>
        <v>Ousmane reached out by email 3/26 and reach out by text 3/28</v>
      </c>
      <c r="AN475" s="23"/>
      <c r="AO475" s="23" t="s">
        <v>8476</v>
      </c>
      <c r="AP475" s="28" t="s">
        <v>5191</v>
      </c>
      <c r="AQ475" s="28" t="s">
        <v>8477</v>
      </c>
      <c r="AR475" s="23" t="s">
        <v>8478</v>
      </c>
      <c r="AS475" s="23"/>
      <c r="AT475" s="23"/>
      <c r="AU475" s="23"/>
      <c r="AV475" s="23"/>
    </row>
    <row r="476">
      <c r="A476" s="28" t="s">
        <v>5202</v>
      </c>
      <c r="B476" s="28" t="s">
        <v>5162</v>
      </c>
      <c r="C476" s="23" t="str">
        <f t="shared" si="1"/>
        <v>Francis Calderon</v>
      </c>
      <c r="D476" s="28" t="s">
        <v>1384</v>
      </c>
      <c r="E476" s="28" t="s">
        <v>8479</v>
      </c>
      <c r="F476" s="23">
        <f t="array" ref="F476">IFERROR(
    INDEX('Hub Interns 226'!A:A, MATCH(C476, 'Hub Interns 226'!B:B, 0)),"")</f>
        <v>525</v>
      </c>
      <c r="G476" s="23">
        <f t="array" ref="G476">IFERROR(
    INDEX('Hub Users 226'!A:A, MATCH(C476, 'Hub Users 226'!B:B, 0)),"")</f>
        <v>958</v>
      </c>
      <c r="H476" s="28">
        <v>582.0</v>
      </c>
      <c r="I476" s="28" t="s">
        <v>239</v>
      </c>
      <c r="J476" s="28" t="s">
        <v>2388</v>
      </c>
      <c r="K476" s="28" t="s">
        <v>5463</v>
      </c>
      <c r="L476" s="28" t="s">
        <v>5196</v>
      </c>
      <c r="M476" s="56" t="s">
        <v>8480</v>
      </c>
      <c r="N476" s="59">
        <v>44481.59305555555</v>
      </c>
      <c r="O476" s="58">
        <v>38103.0</v>
      </c>
      <c r="P476" s="28">
        <f t="shared" si="15"/>
        <v>22</v>
      </c>
      <c r="Q476" s="28" t="s">
        <v>240</v>
      </c>
      <c r="R476" s="28" t="s">
        <v>8481</v>
      </c>
      <c r="S476" s="28">
        <v>14.0</v>
      </c>
      <c r="T476" s="28">
        <v>11.0</v>
      </c>
      <c r="U476" s="28">
        <v>27.0</v>
      </c>
      <c r="V476" s="28">
        <v>19.0</v>
      </c>
      <c r="W476" s="28" t="s">
        <v>1173</v>
      </c>
      <c r="X476" s="28" t="s">
        <v>272</v>
      </c>
      <c r="Y476" s="28" t="s">
        <v>8482</v>
      </c>
      <c r="Z476" s="28" t="s">
        <v>5189</v>
      </c>
      <c r="AA476" s="28" t="s">
        <v>619</v>
      </c>
      <c r="AB476" s="28">
        <v>20.0</v>
      </c>
      <c r="AC476" s="28" t="s">
        <v>25</v>
      </c>
      <c r="AD476" s="23"/>
      <c r="AE476" s="28" t="s">
        <v>10</v>
      </c>
      <c r="AF476" s="23" t="str">
        <f>IFERROR(__xludf.DUMMYFUNCTION("TEXTJOIN("", "", TRUE,
  FILTER(Champions!C:C,
    ISNUMBER(SEARCH(C476, Champions!W:W))
  )
)"),"John ?Nico? Johnson, Bindu Krishna, Bindu Krishna (D)")</f>
        <v>John ?Nico? Johnson, Bindu Krishna, Bindu Krishna (D)</v>
      </c>
      <c r="AG476" s="23"/>
      <c r="AH476" s="23" t="str">
        <f>IFERROR(__xludf.DUMMYFUNCTION("IF(
ISNUMBER(MATCH(
C476,
IMPORTRANGE(""https://docs.google.com/spreadsheets/d/1yTh1ELC33JHYOeEdgIiEclxPRyh0zOKtlawDltfUay8"",""'Interns'!A:A""),
0
)),
""Outreach Conducted"",
"""")"),"")</f>
        <v/>
      </c>
      <c r="AI476" s="23"/>
      <c r="AJ476" s="23"/>
      <c r="AK476" s="23" t="str">
        <f>IFERROR(__xludf.DUMMYFUNCTION("XLOOKUP(C476, 
   IMPORTRANGE(""1RdEdgHYrZ33LJ7RUHj_h-qkAFL92bcVjtIdVa-UlsCw"", ""Interns!D:D""), 
   IMPORTRANGE(""1RdEdgHYrZ33LJ7RUHj_h-qkAFL92bcVjtIdVa-UlsCw"", ""Interns!M:M""), 
   ""Not Found"")"),"")</f>
        <v/>
      </c>
      <c r="AL476" s="23" t="str">
        <f>IFERROR(__xludf.DUMMYFUNCTION("XLOOKUP(C476, 
   IMPORTRANGE(""1RdEdgHYrZ33LJ7RUHj_h-qkAFL92bcVjtIdVa-UlsCw"", ""Interns!D:D""), 
   IMPORTRANGE(""1RdEdgHYrZ33LJ7RUHj_h-qkAFL92bcVjtIdVa-UlsCw"", ""Interns!N:N""), 
   ""Not Found"")"),"")</f>
        <v/>
      </c>
      <c r="AM476" s="23" t="str">
        <f>IFERROR(__xludf.DUMMYFUNCTION("XLOOKUP(C476, 
   IMPORTRANGE(""1RdEdgHYrZ33LJ7RUHj_h-qkAFL92bcVjtIdVa-UlsCw"", ""Interns!D:D""), 
   IMPORTRANGE(""1RdEdgHYrZ33LJ7RUHj_h-qkAFL92bcVjtIdVa-UlsCw"", ""Interns!O:O""), 
   ""Not Found"")"),"")</f>
        <v/>
      </c>
      <c r="AN476" s="23"/>
      <c r="AO476" s="23" t="s">
        <v>8483</v>
      </c>
      <c r="AP476" s="28" t="s">
        <v>5191</v>
      </c>
      <c r="AQ476" s="28" t="s">
        <v>8484</v>
      </c>
      <c r="AR476" s="23" t="s">
        <v>8485</v>
      </c>
      <c r="AS476" s="23"/>
      <c r="AT476" s="23"/>
      <c r="AU476" s="23"/>
      <c r="AV476" s="23"/>
    </row>
    <row r="477">
      <c r="A477" s="28" t="s">
        <v>5161</v>
      </c>
      <c r="B477" s="28" t="s">
        <v>5162</v>
      </c>
      <c r="C477" s="23" t="str">
        <f t="shared" si="1"/>
        <v>Skirlie De La Cruz</v>
      </c>
      <c r="D477" s="28" t="s">
        <v>8486</v>
      </c>
      <c r="E477" s="28" t="s">
        <v>7397</v>
      </c>
      <c r="F477" s="23">
        <f t="array" ref="F477">IFERROR(
    INDEX('Hub Interns 226'!A:A, MATCH(C477, 'Hub Interns 226'!B:B, 0)),"")</f>
        <v>1109</v>
      </c>
      <c r="G477" s="23">
        <f t="array" ref="G477">IFERROR(
    INDEX('Hub Users 226'!A:A, MATCH(C477, 'Hub Users 226'!B:B, 0)),"")</f>
        <v>1542</v>
      </c>
      <c r="H477" s="28">
        <v>1136.0</v>
      </c>
      <c r="I477" s="28" t="s">
        <v>107</v>
      </c>
      <c r="J477" s="28" t="s">
        <v>5336</v>
      </c>
      <c r="K477" s="28" t="s">
        <v>5177</v>
      </c>
      <c r="L477" s="28" t="s">
        <v>5196</v>
      </c>
      <c r="M477" s="56" t="s">
        <v>8487</v>
      </c>
      <c r="N477" s="57">
        <v>44740.51597222222</v>
      </c>
      <c r="O477" s="58">
        <v>38688.0</v>
      </c>
      <c r="P477" s="28">
        <f t="shared" si="15"/>
        <v>20</v>
      </c>
      <c r="Q477" s="28" t="s">
        <v>8488</v>
      </c>
      <c r="R477" s="28" t="s">
        <v>8489</v>
      </c>
      <c r="S477" s="28"/>
      <c r="T477" s="28"/>
      <c r="U477" s="28"/>
      <c r="V477" s="28"/>
      <c r="W477" s="28"/>
      <c r="X477" s="28" t="s">
        <v>272</v>
      </c>
      <c r="Y477" s="28" t="s">
        <v>8490</v>
      </c>
      <c r="Z477" s="28" t="s">
        <v>5208</v>
      </c>
      <c r="AA477" s="28" t="s">
        <v>2141</v>
      </c>
      <c r="AB477" s="28">
        <v>8.0</v>
      </c>
      <c r="AC477" s="28" t="s">
        <v>25</v>
      </c>
      <c r="AD477" s="23"/>
      <c r="AE477" s="28" t="s">
        <v>15</v>
      </c>
      <c r="AF477" s="23" t="str">
        <f>IFERROR(__xludf.DUMMYFUNCTION("TEXTJOIN("", "", TRUE,
  FILTER(Champions!C:C,
    ISNUMBER(SEARCH(C477, Champions!W:W))
  )
)"),"Anne Tam, Anna Butuzova, Leif Castren")</f>
        <v>Anne Tam, Anna Butuzova, Leif Castren</v>
      </c>
      <c r="AG477" s="23"/>
      <c r="AH477" s="23" t="str">
        <f>IFERROR(__xludf.DUMMYFUNCTION("IF(
ISNUMBER(MATCH(
C477,
IMPORTRANGE(""https://docs.google.com/spreadsheets/d/1yTh1ELC33JHYOeEdgIiEclxPRyh0zOKtlawDltfUay8"",""'Interns'!A:A""),
0
)),
""Outreach Conducted"",
"""")"),"")</f>
        <v/>
      </c>
      <c r="AI477" s="23"/>
      <c r="AJ477" s="23"/>
      <c r="AK477" s="23" t="str">
        <f>IFERROR(__xludf.DUMMYFUNCTION("XLOOKUP(C477, 
   IMPORTRANGE(""1RdEdgHYrZ33LJ7RUHj_h-qkAFL92bcVjtIdVa-UlsCw"", ""Interns!D:D""), 
   IMPORTRANGE(""1RdEdgHYrZ33LJ7RUHj_h-qkAFL92bcVjtIdVa-UlsCw"", ""Interns!M:M""), 
   ""Not Found"")"),"Contacted")</f>
        <v>Contacted</v>
      </c>
      <c r="AL477" s="23" t="str">
        <f>IFERROR(__xludf.DUMMYFUNCTION("XLOOKUP(C477, 
   IMPORTRANGE(""1RdEdgHYrZ33LJ7RUHj_h-qkAFL92bcVjtIdVa-UlsCw"", ""Interns!D:D""), 
   IMPORTRANGE(""1RdEdgHYrZ33LJ7RUHj_h-qkAFL92bcVjtIdVa-UlsCw"", ""Interns!N:N""), 
   ""Not Found"")"),"#Cheers4Careers")</f>
        <v>#Cheers4Careers</v>
      </c>
      <c r="AM477" s="23" t="str">
        <f>IFERROR(__xludf.DUMMYFUNCTION("XLOOKUP(C477, 
   IMPORTRANGE(""1RdEdgHYrZ33LJ7RUHj_h-qkAFL92bcVjtIdVa-UlsCw"", ""Interns!D:D""), 
   IMPORTRANGE(""1RdEdgHYrZ33LJ7RUHj_h-qkAFL92bcVjtIdVa-UlsCw"", ""Interns!O:O""), 
   ""Not Found"")"),"Hetal reached out by email 3/27")</f>
        <v>Hetal reached out by email 3/27</v>
      </c>
      <c r="AN477" s="23"/>
      <c r="AO477" s="23" t="s">
        <v>8491</v>
      </c>
      <c r="AP477" s="28" t="s">
        <v>5191</v>
      </c>
      <c r="AQ477" s="28" t="s">
        <v>8492</v>
      </c>
      <c r="AR477" s="23" t="s">
        <v>8493</v>
      </c>
      <c r="AS477" s="23"/>
      <c r="AT477" s="23"/>
      <c r="AU477" s="23"/>
      <c r="AV477" s="23"/>
    </row>
    <row r="478">
      <c r="A478" s="28" t="s">
        <v>5161</v>
      </c>
      <c r="B478" s="28" t="s">
        <v>5162</v>
      </c>
      <c r="C478" s="23" t="str">
        <f t="shared" si="1"/>
        <v>Fernanda Marte Vasquez</v>
      </c>
      <c r="D478" s="28" t="s">
        <v>3827</v>
      </c>
      <c r="E478" s="28" t="s">
        <v>6116</v>
      </c>
      <c r="F478" s="23">
        <f t="array" ref="F478">IFERROR(
    INDEX('Hub Interns 226'!A:A, MATCH(C478, 'Hub Interns 226'!B:B, 0)),"")</f>
        <v>523</v>
      </c>
      <c r="G478" s="23">
        <f t="array" ref="G478">IFERROR(
    INDEX('Hub Users 226'!A:A, MATCH(C478, 'Hub Users 226'!B:B, 0)),"")</f>
        <v>956</v>
      </c>
      <c r="H478" s="28">
        <v>318.0</v>
      </c>
      <c r="I478" s="28" t="s">
        <v>290</v>
      </c>
      <c r="J478" s="28" t="s">
        <v>5336</v>
      </c>
      <c r="K478" s="28" t="s">
        <v>5177</v>
      </c>
      <c r="L478" s="28" t="s">
        <v>5196</v>
      </c>
      <c r="M478" s="56" t="s">
        <v>6117</v>
      </c>
      <c r="N478" s="57">
        <v>44236.486805555556</v>
      </c>
      <c r="O478" s="58">
        <v>37766.0</v>
      </c>
      <c r="P478" s="28">
        <f t="shared" si="15"/>
        <v>22</v>
      </c>
      <c r="Q478" s="28" t="s">
        <v>6118</v>
      </c>
      <c r="R478" s="28" t="s">
        <v>6119</v>
      </c>
      <c r="S478" s="28">
        <v>15.0</v>
      </c>
      <c r="T478" s="28">
        <v>32.0</v>
      </c>
      <c r="U478" s="28">
        <v>77.0</v>
      </c>
      <c r="V478" s="28">
        <v>16.0</v>
      </c>
      <c r="W478" s="28" t="s">
        <v>859</v>
      </c>
      <c r="X478" s="28" t="s">
        <v>272</v>
      </c>
      <c r="Y478" s="28" t="s">
        <v>6120</v>
      </c>
      <c r="Z478" s="28" t="s">
        <v>5310</v>
      </c>
      <c r="AA478" s="28" t="s">
        <v>362</v>
      </c>
      <c r="AB478" s="28">
        <v>16.0</v>
      </c>
      <c r="AC478" s="28" t="s">
        <v>25</v>
      </c>
      <c r="AD478" s="28" t="s">
        <v>101</v>
      </c>
      <c r="AE478" s="28" t="s">
        <v>8</v>
      </c>
      <c r="AF478" s="23" t="str">
        <f>IFERROR(__xludf.DUMMYFUNCTION("TEXTJOIN("", "", TRUE,
  FILTER(Champions!C:C,
    ISNUMBER(SEARCH(C478, Champions!W:W))
  )
)"),"Carolina Chamorro, Kenia Wellington")</f>
        <v>Carolina Chamorro, Kenia Wellington</v>
      </c>
      <c r="AG478" s="23"/>
      <c r="AH478" s="23" t="str">
        <f>IFERROR(__xludf.DUMMYFUNCTION("IF(
ISNUMBER(MATCH(
C478,
IMPORTRANGE(""https://docs.google.com/spreadsheets/d/1yTh1ELC33JHYOeEdgIiEclxPRyh0zOKtlawDltfUay8"",""'Interns'!A:A""),
0
)),
""Outreach Conducted"",
"""")"),"")</f>
        <v/>
      </c>
      <c r="AI478" s="23"/>
      <c r="AJ478" s="28" t="s">
        <v>8494</v>
      </c>
      <c r="AK478" s="23" t="str">
        <f>IFERROR(__xludf.DUMMYFUNCTION("XLOOKUP(C478, 
   IMPORTRANGE(""1RdEdgHYrZ33LJ7RUHj_h-qkAFL92bcVjtIdVa-UlsCw"", ""Interns!D:D""), 
   IMPORTRANGE(""1RdEdgHYrZ33LJ7RUHj_h-qkAFL92bcVjtIdVa-UlsCw"", ""Interns!M:M""), 
   ""Not Found"")"),"")</f>
        <v/>
      </c>
      <c r="AL478" s="23" t="str">
        <f>IFERROR(__xludf.DUMMYFUNCTION("XLOOKUP(C478, 
   IMPORTRANGE(""1RdEdgHYrZ33LJ7RUHj_h-qkAFL92bcVjtIdVa-UlsCw"", ""Interns!D:D""), 
   IMPORTRANGE(""1RdEdgHYrZ33LJ7RUHj_h-qkAFL92bcVjtIdVa-UlsCw"", ""Interns!N:N""), 
   ""Not Found"")"),"")</f>
        <v/>
      </c>
      <c r="AM478" s="23" t="str">
        <f>IFERROR(__xludf.DUMMYFUNCTION("XLOOKUP(C478, 
   IMPORTRANGE(""1RdEdgHYrZ33LJ7RUHj_h-qkAFL92bcVjtIdVa-UlsCw"", ""Interns!D:D""), 
   IMPORTRANGE(""1RdEdgHYrZ33LJ7RUHj_h-qkAFL92bcVjtIdVa-UlsCw"", ""Interns!O:O""), 
   ""Not Found"")"),"")</f>
        <v/>
      </c>
      <c r="AN478" s="23"/>
      <c r="AO478" s="23" t="s">
        <v>6122</v>
      </c>
      <c r="AP478" s="28" t="s">
        <v>5191</v>
      </c>
      <c r="AQ478" s="28" t="s">
        <v>6123</v>
      </c>
      <c r="AR478" s="23" t="s">
        <v>6124</v>
      </c>
      <c r="AS478" s="23"/>
      <c r="AT478" s="23"/>
      <c r="AU478" s="23"/>
      <c r="AV478" s="23"/>
    </row>
    <row r="479">
      <c r="A479" s="28" t="s">
        <v>5202</v>
      </c>
      <c r="B479" s="28" t="s">
        <v>5162</v>
      </c>
      <c r="C479" s="23" t="str">
        <f t="shared" si="1"/>
        <v>Juan Guaman</v>
      </c>
      <c r="D479" s="28" t="s">
        <v>5764</v>
      </c>
      <c r="E479" s="28" t="s">
        <v>8435</v>
      </c>
      <c r="F479" s="23">
        <f t="array" ref="F479">IFERROR(
    INDEX('Hub Interns 226'!A:A, MATCH(C479, 'Hub Interns 226'!B:B, 0)),"")</f>
        <v>699</v>
      </c>
      <c r="G479" s="23">
        <f t="array" ref="G479">IFERROR(
    INDEX('Hub Users 226'!A:A, MATCH(C479, 'Hub Users 226'!B:B, 0)),"")</f>
        <v>1132</v>
      </c>
      <c r="H479" s="28">
        <v>682.0</v>
      </c>
      <c r="I479" s="28" t="s">
        <v>260</v>
      </c>
      <c r="J479" s="28" t="s">
        <v>2388</v>
      </c>
      <c r="K479" s="28" t="s">
        <v>5463</v>
      </c>
      <c r="L479" s="28" t="s">
        <v>5165</v>
      </c>
      <c r="M479" s="56" t="s">
        <v>8495</v>
      </c>
      <c r="N479" s="59">
        <v>44546.489583333336</v>
      </c>
      <c r="O479" s="58">
        <v>38444.0</v>
      </c>
      <c r="P479" s="28">
        <f t="shared" si="15"/>
        <v>21</v>
      </c>
      <c r="Q479" s="28" t="s">
        <v>8496</v>
      </c>
      <c r="R479" s="28" t="s">
        <v>8497</v>
      </c>
      <c r="S479" s="28">
        <v>14.0</v>
      </c>
      <c r="T479" s="28">
        <v>11.0</v>
      </c>
      <c r="U479" s="28">
        <v>27.0</v>
      </c>
      <c r="V479" s="28">
        <v>19.0</v>
      </c>
      <c r="W479" s="28" t="s">
        <v>1173</v>
      </c>
      <c r="X479" s="28" t="s">
        <v>272</v>
      </c>
      <c r="Y479" s="28" t="s">
        <v>8498</v>
      </c>
      <c r="Z479" s="28" t="s">
        <v>5483</v>
      </c>
      <c r="AA479" s="28" t="s">
        <v>457</v>
      </c>
      <c r="AB479" s="28">
        <v>25.0</v>
      </c>
      <c r="AC479" s="28" t="s">
        <v>25</v>
      </c>
      <c r="AD479" s="23"/>
      <c r="AE479" s="28" t="s">
        <v>10</v>
      </c>
      <c r="AF479" s="23" t="str">
        <f>IFERROR(__xludf.DUMMYFUNCTION("TEXTJOIN("", "", TRUE,
  FILTER(Champions!C:C,
    ISNUMBER(SEARCH(C479, Champions!W:W))
  )
)"),"#N/A")</f>
        <v>#N/A</v>
      </c>
      <c r="AG479" s="23"/>
      <c r="AH479" s="23" t="str">
        <f>IFERROR(__xludf.DUMMYFUNCTION("IF(
ISNUMBER(MATCH(
C479,
IMPORTRANGE(""https://docs.google.com/spreadsheets/d/1yTh1ELC33JHYOeEdgIiEclxPRyh0zOKtlawDltfUay8"",""'Interns'!A:A""),
0
)),
""Outreach Conducted"",
"""")"),"")</f>
        <v/>
      </c>
      <c r="AI479" s="23"/>
      <c r="AJ479" s="23"/>
      <c r="AK479" s="23" t="str">
        <f>IFERROR(__xludf.DUMMYFUNCTION("XLOOKUP(C479, 
   IMPORTRANGE(""1RdEdgHYrZ33LJ7RUHj_h-qkAFL92bcVjtIdVa-UlsCw"", ""Interns!D:D""), 
   IMPORTRANGE(""1RdEdgHYrZ33LJ7RUHj_h-qkAFL92bcVjtIdVa-UlsCw"", ""Interns!M:M""), 
   ""Not Found"")"),"")</f>
        <v/>
      </c>
      <c r="AL479" s="23" t="str">
        <f>IFERROR(__xludf.DUMMYFUNCTION("XLOOKUP(C479, 
   IMPORTRANGE(""1RdEdgHYrZ33LJ7RUHj_h-qkAFL92bcVjtIdVa-UlsCw"", ""Interns!D:D""), 
   IMPORTRANGE(""1RdEdgHYrZ33LJ7RUHj_h-qkAFL92bcVjtIdVa-UlsCw"", ""Interns!N:N""), 
   ""Not Found"")"),"")</f>
        <v/>
      </c>
      <c r="AM479" s="23" t="str">
        <f>IFERROR(__xludf.DUMMYFUNCTION("XLOOKUP(C479, 
   IMPORTRANGE(""1RdEdgHYrZ33LJ7RUHj_h-qkAFL92bcVjtIdVa-UlsCw"", ""Interns!D:D""), 
   IMPORTRANGE(""1RdEdgHYrZ33LJ7RUHj_h-qkAFL92bcVjtIdVa-UlsCw"", ""Interns!O:O""), 
   ""Not Found"")"),"")</f>
        <v/>
      </c>
      <c r="AN479" s="23"/>
      <c r="AO479" s="23" t="s">
        <v>8499</v>
      </c>
      <c r="AP479" s="28" t="s">
        <v>5191</v>
      </c>
      <c r="AQ479" s="28" t="s">
        <v>8500</v>
      </c>
      <c r="AR479" s="23" t="s">
        <v>8501</v>
      </c>
      <c r="AS479" s="23"/>
      <c r="AT479" s="23"/>
      <c r="AU479" s="23"/>
      <c r="AV479" s="23"/>
    </row>
    <row r="480">
      <c r="A480" s="28" t="s">
        <v>5161</v>
      </c>
      <c r="B480" s="28" t="s">
        <v>5162</v>
      </c>
      <c r="C480" s="23" t="str">
        <f t="shared" si="1"/>
        <v>Darwin Jumelles Vicente</v>
      </c>
      <c r="D480" s="28" t="s">
        <v>8502</v>
      </c>
      <c r="E480" s="28" t="s">
        <v>8503</v>
      </c>
      <c r="F480" s="23">
        <f t="array" ref="F480">IFERROR(
    INDEX('Hub Interns 226'!A:A, MATCH(C480, 'Hub Interns 226'!B:B, 0)),"")</f>
        <v>416</v>
      </c>
      <c r="G480" s="23">
        <f t="array" ref="G480">IFERROR(
    INDEX('Hub Users 226'!A:A, MATCH(C480, 'Hub Users 226'!B:B, 0)),"")</f>
        <v>849</v>
      </c>
      <c r="H480" s="28">
        <v>1521.0</v>
      </c>
      <c r="I480" s="28" t="s">
        <v>407</v>
      </c>
      <c r="J480" s="28" t="s">
        <v>5336</v>
      </c>
      <c r="K480" s="28" t="s">
        <v>5177</v>
      </c>
      <c r="L480" s="28" t="s">
        <v>5165</v>
      </c>
      <c r="M480" s="56" t="s">
        <v>8504</v>
      </c>
      <c r="N480" s="57">
        <v>44953.37152777778</v>
      </c>
      <c r="O480" s="58">
        <v>40551.0</v>
      </c>
      <c r="P480" s="28">
        <f t="shared" si="15"/>
        <v>15</v>
      </c>
      <c r="Q480" s="28" t="s">
        <v>240</v>
      </c>
      <c r="R480" s="28" t="s">
        <v>8505</v>
      </c>
      <c r="S480" s="28">
        <v>6.0</v>
      </c>
      <c r="T480" s="28">
        <v>13.0</v>
      </c>
      <c r="U480" s="28">
        <v>35.0</v>
      </c>
      <c r="V480" s="28">
        <v>21.0</v>
      </c>
      <c r="W480" s="28" t="s">
        <v>1173</v>
      </c>
      <c r="X480" s="28" t="s">
        <v>272</v>
      </c>
      <c r="Y480" s="28" t="s">
        <v>8506</v>
      </c>
      <c r="Z480" s="28" t="s">
        <v>5403</v>
      </c>
      <c r="AA480" s="28" t="s">
        <v>5404</v>
      </c>
      <c r="AB480" s="28">
        <v>21.0</v>
      </c>
      <c r="AC480" s="28" t="s">
        <v>23</v>
      </c>
      <c r="AD480" s="23"/>
      <c r="AE480" s="28" t="s">
        <v>15</v>
      </c>
      <c r="AF480" s="23"/>
      <c r="AG480" s="23"/>
      <c r="AH480" s="23" t="str">
        <f>IFERROR(__xludf.DUMMYFUNCTION("IF(
ISNUMBER(MATCH(
C480,
IMPORTRANGE(""https://docs.google.com/spreadsheets/d/1yTh1ELC33JHYOeEdgIiEclxPRyh0zOKtlawDltfUay8"",""'Interns'!A:A""),
0
)),
""Outreach Conducted"",
"""")"),"")</f>
        <v/>
      </c>
      <c r="AI480" s="23"/>
      <c r="AJ480" s="28" t="s">
        <v>8507</v>
      </c>
      <c r="AK480" s="23" t="str">
        <f>IFERROR(__xludf.DUMMYFUNCTION("XLOOKUP(C480, 
   IMPORTRANGE(""1RdEdgHYrZ33LJ7RUHj_h-qkAFL92bcVjtIdVa-UlsCw"", ""Interns!D:D""), 
   IMPORTRANGE(""1RdEdgHYrZ33LJ7RUHj_h-qkAFL92bcVjtIdVa-UlsCw"", ""Interns!M:M""), 
   ""Not Found"")"),"Contacted")</f>
        <v>Contacted</v>
      </c>
      <c r="AL480" s="23" t="str">
        <f>IFERROR(__xludf.DUMMYFUNCTION("XLOOKUP(C480, 
   IMPORTRANGE(""1RdEdgHYrZ33LJ7RUHj_h-qkAFL92bcVjtIdVa-UlsCw"", ""Interns!D:D""), 
   IMPORTRANGE(""1RdEdgHYrZ33LJ7RUHj_h-qkAFL92bcVjtIdVa-UlsCw"", ""Interns!N:N""), 
   ""Not Found"")"),"#Cheers4Careers")</f>
        <v>#Cheers4Careers</v>
      </c>
      <c r="AM480" s="23" t="str">
        <f>IFERROR(__xludf.DUMMYFUNCTION("XLOOKUP(C480, 
   IMPORTRANGE(""1RdEdgHYrZ33LJ7RUHj_h-qkAFL92bcVjtIdVa-UlsCw"", ""Interns!D:D""), 
   IMPORTRANGE(""1RdEdgHYrZ33LJ7RUHj_h-qkAFL92bcVjtIdVa-UlsCw"", ""Interns!O:O""), 
   ""Not Found"")"),"Reached out by text 3/26-3/28 followed up by email 3/27 by Jackie")</f>
        <v>Reached out by text 3/26-3/28 followed up by email 3/27 by Jackie</v>
      </c>
      <c r="AN480" s="23"/>
      <c r="AO480" s="23" t="s">
        <v>8508</v>
      </c>
      <c r="AP480" s="28" t="s">
        <v>5191</v>
      </c>
      <c r="AQ480" s="28"/>
      <c r="AR480" s="23"/>
      <c r="AS480" s="23"/>
      <c r="AT480" s="23"/>
      <c r="AU480" s="23"/>
      <c r="AV480" s="23"/>
    </row>
    <row r="481">
      <c r="A481" s="28" t="s">
        <v>5202</v>
      </c>
      <c r="B481" s="28" t="s">
        <v>5162</v>
      </c>
      <c r="C481" s="23" t="str">
        <f t="shared" si="1"/>
        <v>Julio Illicachi</v>
      </c>
      <c r="D481" s="28" t="s">
        <v>8509</v>
      </c>
      <c r="E481" s="28" t="s">
        <v>8510</v>
      </c>
      <c r="F481" s="23">
        <f t="array" ref="F481">IFERROR(
    INDEX('Hub Interns 226'!A:A, MATCH(C481, 'Hub Interns 226'!B:B, 0)),"")</f>
        <v>531</v>
      </c>
      <c r="G481" s="23">
        <f t="array" ref="G481">IFERROR(
    INDEX('Hub Users 226'!A:A, MATCH(C481, 'Hub Users 226'!B:B, 0)),"")</f>
        <v>964</v>
      </c>
      <c r="H481" s="28">
        <v>897.0</v>
      </c>
      <c r="I481" s="28" t="s">
        <v>239</v>
      </c>
      <c r="J481" s="28" t="s">
        <v>2388</v>
      </c>
      <c r="K481" s="28" t="s">
        <v>5463</v>
      </c>
      <c r="L481" s="28" t="s">
        <v>5165</v>
      </c>
      <c r="M481" s="56" t="s">
        <v>8511</v>
      </c>
      <c r="N481" s="57">
        <v>44601.53402777778</v>
      </c>
      <c r="O481" s="58">
        <v>39040.0</v>
      </c>
      <c r="P481" s="28">
        <f t="shared" si="15"/>
        <v>19</v>
      </c>
      <c r="Q481" s="28" t="s">
        <v>240</v>
      </c>
      <c r="R481" s="28" t="s">
        <v>8512</v>
      </c>
      <c r="S481" s="28">
        <v>14.0</v>
      </c>
      <c r="T481" s="28">
        <v>13.0</v>
      </c>
      <c r="U481" s="28">
        <v>35.0</v>
      </c>
      <c r="V481" s="28">
        <v>21.0</v>
      </c>
      <c r="W481" s="28" t="s">
        <v>1173</v>
      </c>
      <c r="X481" s="28" t="s">
        <v>272</v>
      </c>
      <c r="Y481" s="28" t="s">
        <v>8513</v>
      </c>
      <c r="Z481" s="28" t="s">
        <v>5189</v>
      </c>
      <c r="AA481" s="28" t="s">
        <v>619</v>
      </c>
      <c r="AB481" s="28">
        <v>20.0</v>
      </c>
      <c r="AC481" s="28" t="s">
        <v>24</v>
      </c>
      <c r="AD481" s="23"/>
      <c r="AE481" s="28" t="s">
        <v>10</v>
      </c>
      <c r="AF481" s="23"/>
      <c r="AG481" s="23"/>
      <c r="AH481" s="23" t="str">
        <f>IFERROR(__xludf.DUMMYFUNCTION("IF(
ISNUMBER(MATCH(
C481,
IMPORTRANGE(""https://docs.google.com/spreadsheets/d/1yTh1ELC33JHYOeEdgIiEclxPRyh0zOKtlawDltfUay8"",""'Interns'!A:A""),
0
)),
""Outreach Conducted"",
"""")"),"")</f>
        <v/>
      </c>
      <c r="AI481" s="23"/>
      <c r="AJ481" s="23"/>
      <c r="AK481" s="23" t="str">
        <f>IFERROR(__xludf.DUMMYFUNCTION("XLOOKUP(C481, 
   IMPORTRANGE(""1RdEdgHYrZ33LJ7RUHj_h-qkAFL92bcVjtIdVa-UlsCw"", ""Interns!D:D""), 
   IMPORTRANGE(""1RdEdgHYrZ33LJ7RUHj_h-qkAFL92bcVjtIdVa-UlsCw"", ""Interns!M:M""), 
   ""Not Found"")"),"")</f>
        <v/>
      </c>
      <c r="AL481" s="23" t="str">
        <f>IFERROR(__xludf.DUMMYFUNCTION("XLOOKUP(C481, 
   IMPORTRANGE(""1RdEdgHYrZ33LJ7RUHj_h-qkAFL92bcVjtIdVa-UlsCw"", ""Interns!D:D""), 
   IMPORTRANGE(""1RdEdgHYrZ33LJ7RUHj_h-qkAFL92bcVjtIdVa-UlsCw"", ""Interns!N:N""), 
   ""Not Found"")"),"")</f>
        <v/>
      </c>
      <c r="AM481" s="23" t="str">
        <f>IFERROR(__xludf.DUMMYFUNCTION("XLOOKUP(C481, 
   IMPORTRANGE(""1RdEdgHYrZ33LJ7RUHj_h-qkAFL92bcVjtIdVa-UlsCw"", ""Interns!D:D""), 
   IMPORTRANGE(""1RdEdgHYrZ33LJ7RUHj_h-qkAFL92bcVjtIdVa-UlsCw"", ""Interns!O:O""), 
   ""Not Found"")"),"")</f>
        <v/>
      </c>
      <c r="AN481" s="23"/>
      <c r="AO481" s="23" t="s">
        <v>8514</v>
      </c>
      <c r="AP481" s="28" t="s">
        <v>5182</v>
      </c>
      <c r="AQ481" s="28"/>
      <c r="AR481" s="23"/>
      <c r="AS481" s="23"/>
      <c r="AT481" s="23"/>
      <c r="AU481" s="23"/>
      <c r="AV481" s="23"/>
    </row>
    <row r="482">
      <c r="A482" s="28" t="s">
        <v>5161</v>
      </c>
      <c r="B482" s="28" t="s">
        <v>5162</v>
      </c>
      <c r="C482" s="23" t="str">
        <f t="shared" si="1"/>
        <v>Jayrenk Ramos</v>
      </c>
      <c r="D482" s="28" t="s">
        <v>8515</v>
      </c>
      <c r="E482" s="28" t="s">
        <v>7937</v>
      </c>
      <c r="F482" s="23">
        <f t="array" ref="F482">IFERROR(
    INDEX('Hub Interns 226'!A:A, MATCH(C482, 'Hub Interns 226'!B:B, 0)),"")</f>
        <v>637</v>
      </c>
      <c r="G482" s="23">
        <f t="array" ref="G482">IFERROR(
    INDEX('Hub Users 226'!A:A, MATCH(C482, 'Hub Users 226'!B:B, 0)),"")</f>
        <v>1070</v>
      </c>
      <c r="H482" s="28">
        <v>1254.0</v>
      </c>
      <c r="I482" s="28"/>
      <c r="J482" s="28" t="s">
        <v>5336</v>
      </c>
      <c r="K482" s="28" t="s">
        <v>5177</v>
      </c>
      <c r="L482" s="28" t="s">
        <v>5165</v>
      </c>
      <c r="M482" s="56" t="s">
        <v>8516</v>
      </c>
      <c r="N482" s="57">
        <v>44841.447916666664</v>
      </c>
      <c r="O482" s="58">
        <v>39444.0</v>
      </c>
      <c r="P482" s="28">
        <f t="shared" si="15"/>
        <v>18</v>
      </c>
      <c r="Q482" s="28" t="s">
        <v>240</v>
      </c>
      <c r="R482" s="28" t="s">
        <v>8517</v>
      </c>
      <c r="S482" s="28">
        <v>15.0</v>
      </c>
      <c r="T482" s="28">
        <v>32.0</v>
      </c>
      <c r="U482" s="28">
        <v>87.0</v>
      </c>
      <c r="V482" s="28">
        <v>15.0</v>
      </c>
      <c r="W482" s="28" t="s">
        <v>859</v>
      </c>
      <c r="X482" s="28" t="s">
        <v>272</v>
      </c>
      <c r="Y482" s="28" t="s">
        <v>8518</v>
      </c>
      <c r="Z482" s="28" t="s">
        <v>5918</v>
      </c>
      <c r="AA482" s="28" t="s">
        <v>477</v>
      </c>
      <c r="AB482" s="28">
        <v>15.0</v>
      </c>
      <c r="AC482" s="28" t="s">
        <v>23</v>
      </c>
      <c r="AD482" s="23"/>
      <c r="AE482" s="28" t="s">
        <v>15</v>
      </c>
      <c r="AF482" s="23"/>
      <c r="AG482" s="23"/>
      <c r="AH482" s="23" t="str">
        <f>IFERROR(__xludf.DUMMYFUNCTION("IF(
ISNUMBER(MATCH(
C482,
IMPORTRANGE(""https://docs.google.com/spreadsheets/d/1yTh1ELC33JHYOeEdgIiEclxPRyh0zOKtlawDltfUay8"",""'Interns'!A:A""),
0
)),
""Outreach Conducted"",
"""")"),"")</f>
        <v/>
      </c>
      <c r="AI482" s="23"/>
      <c r="AJ482" s="23"/>
      <c r="AK482" s="23" t="str">
        <f>IFERROR(__xludf.DUMMYFUNCTION("XLOOKUP(C482, 
   IMPORTRANGE(""1RdEdgHYrZ33LJ7RUHj_h-qkAFL92bcVjtIdVa-UlsCw"", ""Interns!D:D""), 
   IMPORTRANGE(""1RdEdgHYrZ33LJ7RUHj_h-qkAFL92bcVjtIdVa-UlsCw"", ""Interns!M:M""), 
   ""Not Found"")"),"")</f>
        <v/>
      </c>
      <c r="AL482" s="23" t="str">
        <f>IFERROR(__xludf.DUMMYFUNCTION("XLOOKUP(C482, 
   IMPORTRANGE(""1RdEdgHYrZ33LJ7RUHj_h-qkAFL92bcVjtIdVa-UlsCw"", ""Interns!D:D""), 
   IMPORTRANGE(""1RdEdgHYrZ33LJ7RUHj_h-qkAFL92bcVjtIdVa-UlsCw"", ""Interns!N:N""), 
   ""Not Found"")"),"")</f>
        <v/>
      </c>
      <c r="AM482" s="23" t="str">
        <f>IFERROR(__xludf.DUMMYFUNCTION("XLOOKUP(C482, 
   IMPORTRANGE(""1RdEdgHYrZ33LJ7RUHj_h-qkAFL92bcVjtIdVa-UlsCw"", ""Interns!D:D""), 
   IMPORTRANGE(""1RdEdgHYrZ33LJ7RUHj_h-qkAFL92bcVjtIdVa-UlsCw"", ""Interns!O:O""), 
   ""Not Found"")"),"")</f>
        <v/>
      </c>
      <c r="AN482" s="23"/>
      <c r="AO482" s="23" t="s">
        <v>8519</v>
      </c>
      <c r="AP482" s="28" t="s">
        <v>5182</v>
      </c>
      <c r="AQ482" s="28"/>
      <c r="AR482" s="23"/>
      <c r="AS482" s="23"/>
      <c r="AT482" s="23"/>
      <c r="AU482" s="23"/>
      <c r="AV482" s="23"/>
    </row>
    <row r="483">
      <c r="A483" s="28" t="s">
        <v>5161</v>
      </c>
      <c r="B483" s="28" t="s">
        <v>5162</v>
      </c>
      <c r="C483" s="23" t="str">
        <f t="shared" si="1"/>
        <v>Dolly Grullon</v>
      </c>
      <c r="D483" s="28" t="s">
        <v>8520</v>
      </c>
      <c r="E483" s="28" t="s">
        <v>7373</v>
      </c>
      <c r="F483" s="23">
        <f t="array" ref="F483">IFERROR(
    INDEX('Hub Interns 226'!A:A, MATCH(C483, 'Hub Interns 226'!B:B, 0)),"")</f>
        <v>459</v>
      </c>
      <c r="G483" s="23">
        <f t="array" ref="G483">IFERROR(
    INDEX('Hub Users 226'!A:A, MATCH(C483, 'Hub Users 226'!B:B, 0)),"")</f>
        <v>892</v>
      </c>
      <c r="H483" s="28">
        <v>436.0</v>
      </c>
      <c r="I483" s="28"/>
      <c r="J483" s="28" t="s">
        <v>5336</v>
      </c>
      <c r="K483" s="28" t="s">
        <v>5177</v>
      </c>
      <c r="L483" s="28" t="s">
        <v>5196</v>
      </c>
      <c r="M483" s="56" t="s">
        <v>8521</v>
      </c>
      <c r="N483" s="57">
        <v>44315.55625</v>
      </c>
      <c r="O483" s="58">
        <v>37841.0</v>
      </c>
      <c r="P483" s="28">
        <f t="shared" si="15"/>
        <v>22</v>
      </c>
      <c r="Q483" s="28" t="s">
        <v>240</v>
      </c>
      <c r="R483" s="28" t="s">
        <v>859</v>
      </c>
      <c r="S483" s="28"/>
      <c r="T483" s="28"/>
      <c r="U483" s="28"/>
      <c r="V483" s="28"/>
      <c r="W483" s="28" t="s">
        <v>859</v>
      </c>
      <c r="X483" s="28" t="s">
        <v>272</v>
      </c>
      <c r="Y483" s="28" t="s">
        <v>8522</v>
      </c>
      <c r="Z483" s="28" t="s">
        <v>5310</v>
      </c>
      <c r="AA483" s="28" t="s">
        <v>362</v>
      </c>
      <c r="AB483" s="28">
        <v>16.0</v>
      </c>
      <c r="AC483" s="28" t="s">
        <v>24</v>
      </c>
      <c r="AD483" s="23"/>
      <c r="AE483" s="28" t="s">
        <v>8</v>
      </c>
      <c r="AF483" s="23"/>
      <c r="AG483" s="23"/>
      <c r="AH483" s="23" t="str">
        <f>IFERROR(__xludf.DUMMYFUNCTION("IF(
ISNUMBER(MATCH(
C483,
IMPORTRANGE(""https://docs.google.com/spreadsheets/d/1yTh1ELC33JHYOeEdgIiEclxPRyh0zOKtlawDltfUay8"",""'Interns'!A:A""),
0
)),
""Outreach Conducted"",
"""")"),"")</f>
        <v/>
      </c>
      <c r="AI483" s="23"/>
      <c r="AJ483" s="23"/>
      <c r="AK483" s="23" t="str">
        <f>IFERROR(__xludf.DUMMYFUNCTION("XLOOKUP(C483, 
   IMPORTRANGE(""1RdEdgHYrZ33LJ7RUHj_h-qkAFL92bcVjtIdVa-UlsCw"", ""Interns!D:D""), 
   IMPORTRANGE(""1RdEdgHYrZ33LJ7RUHj_h-qkAFL92bcVjtIdVa-UlsCw"", ""Interns!M:M""), 
   ""Not Found"")"),"")</f>
        <v/>
      </c>
      <c r="AL483" s="23" t="str">
        <f>IFERROR(__xludf.DUMMYFUNCTION("XLOOKUP(C483, 
   IMPORTRANGE(""1RdEdgHYrZ33LJ7RUHj_h-qkAFL92bcVjtIdVa-UlsCw"", ""Interns!D:D""), 
   IMPORTRANGE(""1RdEdgHYrZ33LJ7RUHj_h-qkAFL92bcVjtIdVa-UlsCw"", ""Interns!N:N""), 
   ""Not Found"")"),"")</f>
        <v/>
      </c>
      <c r="AM483" s="23" t="str">
        <f>IFERROR(__xludf.DUMMYFUNCTION("XLOOKUP(C483, 
   IMPORTRANGE(""1RdEdgHYrZ33LJ7RUHj_h-qkAFL92bcVjtIdVa-UlsCw"", ""Interns!D:D""), 
   IMPORTRANGE(""1RdEdgHYrZ33LJ7RUHj_h-qkAFL92bcVjtIdVa-UlsCw"", ""Interns!O:O""), 
   ""Not Found"")"),"")</f>
        <v/>
      </c>
      <c r="AN483" s="23"/>
      <c r="AO483" s="23" t="s">
        <v>8523</v>
      </c>
      <c r="AP483" s="28" t="s">
        <v>5173</v>
      </c>
      <c r="AQ483" s="28"/>
      <c r="AR483" s="23"/>
      <c r="AS483" s="23"/>
      <c r="AT483" s="23"/>
      <c r="AU483" s="23"/>
      <c r="AV483" s="23"/>
    </row>
    <row r="484">
      <c r="A484" s="28" t="s">
        <v>5161</v>
      </c>
      <c r="B484" s="28" t="s">
        <v>5162</v>
      </c>
      <c r="C484" s="23" t="str">
        <f t="shared" si="1"/>
        <v>Daniel Ramirez</v>
      </c>
      <c r="D484" s="28" t="s">
        <v>4968</v>
      </c>
      <c r="E484" s="28" t="s">
        <v>2127</v>
      </c>
      <c r="F484" s="23">
        <f t="array" ref="F484">IFERROR(
    INDEX('Hub Interns 226'!A:A, MATCH(C484, 'Hub Interns 226'!B:B, 0)),"")</f>
        <v>408</v>
      </c>
      <c r="G484" s="23">
        <f t="array" ref="G484">IFERROR(
    INDEX('Hub Users 226'!A:A, MATCH(C484, 'Hub Users 226'!B:B, 0)),"")</f>
        <v>841</v>
      </c>
      <c r="H484" s="28">
        <v>1426.0</v>
      </c>
      <c r="I484" s="28" t="s">
        <v>239</v>
      </c>
      <c r="J484" s="28" t="s">
        <v>5336</v>
      </c>
      <c r="K484" s="28" t="s">
        <v>5177</v>
      </c>
      <c r="L484" s="28" t="s">
        <v>5165</v>
      </c>
      <c r="M484" s="56" t="s">
        <v>8524</v>
      </c>
      <c r="N484" s="57">
        <v>44868.00208333333</v>
      </c>
      <c r="O484" s="58">
        <v>38990.0</v>
      </c>
      <c r="P484" s="28">
        <f t="shared" si="15"/>
        <v>19</v>
      </c>
      <c r="Q484" s="28" t="s">
        <v>8525</v>
      </c>
      <c r="R484" s="28" t="s">
        <v>859</v>
      </c>
      <c r="S484" s="28"/>
      <c r="T484" s="28"/>
      <c r="U484" s="28"/>
      <c r="V484" s="28"/>
      <c r="W484" s="28" t="s">
        <v>859</v>
      </c>
      <c r="X484" s="28" t="s">
        <v>272</v>
      </c>
      <c r="Y484" s="28">
        <v>1.3472172718E10</v>
      </c>
      <c r="Z484" s="28" t="s">
        <v>5341</v>
      </c>
      <c r="AA484" s="28" t="s">
        <v>1085</v>
      </c>
      <c r="AB484" s="28">
        <v>10.0</v>
      </c>
      <c r="AC484" s="28" t="s">
        <v>25</v>
      </c>
      <c r="AD484" s="23"/>
      <c r="AE484" s="28" t="s">
        <v>15</v>
      </c>
      <c r="AF484" s="23" t="str">
        <f>IFERROR(__xludf.DUMMYFUNCTION("TEXTJOIN("", "", TRUE,
  FILTER(Champions!C:C,
    ISNUMBER(SEARCH(C484, Champions!W:W))
  )
)"),"Sandra Denton, Jason Alafgani, Esteban Proaño")</f>
        <v>Sandra Denton, Jason Alafgani, Esteban Proaño</v>
      </c>
      <c r="AG484" s="26" t="s">
        <v>5342</v>
      </c>
      <c r="AH484" s="23" t="str">
        <f>IFERROR(__xludf.DUMMYFUNCTION("IF(
ISNUMBER(MATCH(
C484,
IMPORTRANGE(""https://docs.google.com/spreadsheets/d/1yTh1ELC33JHYOeEdgIiEclxPRyh0zOKtlawDltfUay8"",""'Interns'!A:A""),
0
)),
""Outreach Conducted"",
"""")"),"")</f>
        <v/>
      </c>
      <c r="AI484" s="23"/>
      <c r="AJ484" s="23"/>
      <c r="AK484" s="23" t="str">
        <f>IFERROR(__xludf.DUMMYFUNCTION("XLOOKUP(C484, 
   IMPORTRANGE(""1RdEdgHYrZ33LJ7RUHj_h-qkAFL92bcVjtIdVa-UlsCw"", ""Interns!D:D""), 
   IMPORTRANGE(""1RdEdgHYrZ33LJ7RUHj_h-qkAFL92bcVjtIdVa-UlsCw"", ""Interns!M:M""), 
   ""Not Found"")"),"Contacted")</f>
        <v>Contacted</v>
      </c>
      <c r="AL484" s="23" t="str">
        <f>IFERROR(__xludf.DUMMYFUNCTION("XLOOKUP(C484, 
   IMPORTRANGE(""1RdEdgHYrZ33LJ7RUHj_h-qkAFL92bcVjtIdVa-UlsCw"", ""Interns!D:D""), 
   IMPORTRANGE(""1RdEdgHYrZ33LJ7RUHj_h-qkAFL92bcVjtIdVa-UlsCw"", ""Interns!N:N""), 
   ""Not Found"")"),"#Cheers4Careers")</f>
        <v>#Cheers4Careers</v>
      </c>
      <c r="AM484" s="23" t="str">
        <f>IFERROR(__xludf.DUMMYFUNCTION("XLOOKUP(C484, 
   IMPORTRANGE(""1RdEdgHYrZ33LJ7RUHj_h-qkAFL92bcVjtIdVa-UlsCw"", ""Interns!D:D""), 
   IMPORTRANGE(""1RdEdgHYrZ33LJ7RUHj_h-qkAFL92bcVjtIdVa-UlsCw"", ""Interns!O:O""), 
   ""Not Found"")"),"Texted on April 14 for #Cheers4Careers event")</f>
        <v>Texted on April 14 for #Cheers4Careers event</v>
      </c>
      <c r="AN484" s="23"/>
      <c r="AO484" s="23" t="s">
        <v>8526</v>
      </c>
      <c r="AP484" s="28" t="s">
        <v>5182</v>
      </c>
      <c r="AQ484" s="28" t="s">
        <v>8527</v>
      </c>
      <c r="AR484" s="23" t="s">
        <v>8528</v>
      </c>
      <c r="AS484" s="23"/>
      <c r="AT484" s="23"/>
      <c r="AU484" s="23"/>
      <c r="AV484" s="23"/>
    </row>
    <row r="485">
      <c r="A485" s="28" t="s">
        <v>5161</v>
      </c>
      <c r="B485" s="28" t="s">
        <v>5162</v>
      </c>
      <c r="C485" s="23" t="str">
        <f t="shared" si="1"/>
        <v>karen grullon</v>
      </c>
      <c r="D485" s="28" t="s">
        <v>8529</v>
      </c>
      <c r="E485" s="28" t="s">
        <v>8530</v>
      </c>
      <c r="F485" s="23">
        <f t="array" ref="F485">IFERROR(
    INDEX('Hub Interns 226'!A:A, MATCH(C485, 'Hub Interns 226'!B:B, 0)),"")</f>
        <v>722</v>
      </c>
      <c r="G485" s="23">
        <f t="array" ref="G485">IFERROR(
    INDEX('Hub Users 226'!A:A, MATCH(C485, 'Hub Users 226'!B:B, 0)),"")</f>
        <v>1155</v>
      </c>
      <c r="H485" s="28">
        <v>1060.0</v>
      </c>
      <c r="I485" s="28" t="s">
        <v>1963</v>
      </c>
      <c r="J485" s="28" t="s">
        <v>5336</v>
      </c>
      <c r="K485" s="28" t="s">
        <v>5177</v>
      </c>
      <c r="L485" s="28" t="s">
        <v>5196</v>
      </c>
      <c r="M485" s="56" t="s">
        <v>8531</v>
      </c>
      <c r="N485" s="57">
        <v>44700.5625</v>
      </c>
      <c r="O485" s="58">
        <v>38422.0</v>
      </c>
      <c r="P485" s="28">
        <f t="shared" si="15"/>
        <v>21</v>
      </c>
      <c r="Q485" s="28" t="s">
        <v>240</v>
      </c>
      <c r="R485" s="28" t="s">
        <v>8532</v>
      </c>
      <c r="S485" s="28">
        <v>15.0</v>
      </c>
      <c r="T485" s="28">
        <v>32.0</v>
      </c>
      <c r="U485" s="28">
        <v>79.0</v>
      </c>
      <c r="V485" s="28">
        <v>16.0</v>
      </c>
      <c r="W485" s="28" t="s">
        <v>859</v>
      </c>
      <c r="X485" s="28" t="s">
        <v>272</v>
      </c>
      <c r="Y485" s="28" t="s">
        <v>8533</v>
      </c>
      <c r="Z485" s="28" t="s">
        <v>5208</v>
      </c>
      <c r="AA485" s="28" t="s">
        <v>2141</v>
      </c>
      <c r="AB485" s="28">
        <v>8.0</v>
      </c>
      <c r="AC485" s="28" t="s">
        <v>24</v>
      </c>
      <c r="AD485" s="23"/>
      <c r="AE485" s="28" t="s">
        <v>10</v>
      </c>
      <c r="AF485" s="23"/>
      <c r="AG485" s="23"/>
      <c r="AH485" s="23" t="str">
        <f>IFERROR(__xludf.DUMMYFUNCTION("IF(
ISNUMBER(MATCH(
C485,
IMPORTRANGE(""https://docs.google.com/spreadsheets/d/1yTh1ELC33JHYOeEdgIiEclxPRyh0zOKtlawDltfUay8"",""'Interns'!A:A""),
0
)),
""Outreach Conducted"",
"""")"),"")</f>
        <v/>
      </c>
      <c r="AI485" s="23"/>
      <c r="AJ485" s="23"/>
      <c r="AK485" s="23" t="str">
        <f>IFERROR(__xludf.DUMMYFUNCTION("XLOOKUP(C485, 
   IMPORTRANGE(""1RdEdgHYrZ33LJ7RUHj_h-qkAFL92bcVjtIdVa-UlsCw"", ""Interns!D:D""), 
   IMPORTRANGE(""1RdEdgHYrZ33LJ7RUHj_h-qkAFL92bcVjtIdVa-UlsCw"", ""Interns!M:M""), 
   ""Not Found"")"),"Contacted")</f>
        <v>Contacted</v>
      </c>
      <c r="AL485" s="23" t="str">
        <f>IFERROR(__xludf.DUMMYFUNCTION("XLOOKUP(C485, 
   IMPORTRANGE(""1RdEdgHYrZ33LJ7RUHj_h-qkAFL92bcVjtIdVa-UlsCw"", ""Interns!D:D""), 
   IMPORTRANGE(""1RdEdgHYrZ33LJ7RUHj_h-qkAFL92bcVjtIdVa-UlsCw"", ""Interns!N:N""), 
   ""Not Found"")"),"#Cheers4Careers")</f>
        <v>#Cheers4Careers</v>
      </c>
      <c r="AM485" s="23" t="str">
        <f>IFERROR(__xludf.DUMMYFUNCTION("XLOOKUP(C485,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485" s="23"/>
      <c r="AO485" s="23" t="s">
        <v>8534</v>
      </c>
      <c r="AP485" s="28" t="s">
        <v>5191</v>
      </c>
      <c r="AQ485" s="28"/>
      <c r="AR485" s="23"/>
      <c r="AS485" s="23"/>
      <c r="AT485" s="23"/>
      <c r="AU485" s="23"/>
      <c r="AV485" s="23"/>
    </row>
    <row r="486">
      <c r="A486" s="28" t="s">
        <v>5161</v>
      </c>
      <c r="B486" s="28" t="s">
        <v>5162</v>
      </c>
      <c r="C486" s="23" t="str">
        <f t="shared" si="1"/>
        <v>Carlos Vasquez</v>
      </c>
      <c r="D486" s="28" t="s">
        <v>846</v>
      </c>
      <c r="E486" s="28" t="s">
        <v>7764</v>
      </c>
      <c r="F486" s="23">
        <f t="array" ref="F486">IFERROR(
    INDEX('Hub Interns 226'!A:A, MATCH(C486, 'Hub Interns 226'!B:B, 0)),"")</f>
        <v>333</v>
      </c>
      <c r="G486" s="23">
        <f t="array" ref="G486">IFERROR(
    INDEX('Hub Users 226'!A:A, MATCH(C486, 'Hub Users 226'!B:B, 0)),"")</f>
        <v>766</v>
      </c>
      <c r="H486" s="28">
        <v>1234.0</v>
      </c>
      <c r="I486" s="28" t="s">
        <v>239</v>
      </c>
      <c r="J486" s="28" t="s">
        <v>5336</v>
      </c>
      <c r="K486" s="28" t="s">
        <v>5177</v>
      </c>
      <c r="L486" s="28" t="s">
        <v>5165</v>
      </c>
      <c r="M486" s="56" t="s">
        <v>8535</v>
      </c>
      <c r="N486" s="57">
        <v>44838.45208333333</v>
      </c>
      <c r="O486" s="58">
        <v>38967.0</v>
      </c>
      <c r="P486" s="28">
        <f t="shared" si="15"/>
        <v>19</v>
      </c>
      <c r="Q486" s="28" t="s">
        <v>240</v>
      </c>
      <c r="R486" s="28" t="s">
        <v>8536</v>
      </c>
      <c r="S486" s="28">
        <v>13.0</v>
      </c>
      <c r="T486" s="28">
        <v>31.0</v>
      </c>
      <c r="U486" s="28">
        <v>72.0</v>
      </c>
      <c r="V486" s="28">
        <v>10.0</v>
      </c>
      <c r="W486" s="28" t="s">
        <v>271</v>
      </c>
      <c r="X486" s="28" t="s">
        <v>272</v>
      </c>
      <c r="Y486" s="28" t="s">
        <v>8537</v>
      </c>
      <c r="Z486" s="28" t="s">
        <v>5341</v>
      </c>
      <c r="AA486" s="28" t="s">
        <v>1085</v>
      </c>
      <c r="AB486" s="28">
        <v>10.0</v>
      </c>
      <c r="AC486" s="28" t="s">
        <v>23</v>
      </c>
      <c r="AD486" s="23"/>
      <c r="AE486" s="28" t="s">
        <v>15</v>
      </c>
      <c r="AF486" s="23"/>
      <c r="AG486" s="23"/>
      <c r="AH486" s="23" t="str">
        <f>IFERROR(__xludf.DUMMYFUNCTION("IF(
ISNUMBER(MATCH(
C486,
IMPORTRANGE(""https://docs.google.com/spreadsheets/d/1yTh1ELC33JHYOeEdgIiEclxPRyh0zOKtlawDltfUay8"",""'Interns'!A:A""),
0
)),
""Outreach Conducted"",
"""")"),"")</f>
        <v/>
      </c>
      <c r="AI486" s="23"/>
      <c r="AJ486" s="23"/>
      <c r="AK486" s="23" t="str">
        <f>IFERROR(__xludf.DUMMYFUNCTION("XLOOKUP(C486, 
   IMPORTRANGE(""1RdEdgHYrZ33LJ7RUHj_h-qkAFL92bcVjtIdVa-UlsCw"", ""Interns!D:D""), 
   IMPORTRANGE(""1RdEdgHYrZ33LJ7RUHj_h-qkAFL92bcVjtIdVa-UlsCw"", ""Interns!M:M""), 
   ""Not Found"")"),"")</f>
        <v/>
      </c>
      <c r="AL486" s="23" t="str">
        <f>IFERROR(__xludf.DUMMYFUNCTION("XLOOKUP(C486, 
   IMPORTRANGE(""1RdEdgHYrZ33LJ7RUHj_h-qkAFL92bcVjtIdVa-UlsCw"", ""Interns!D:D""), 
   IMPORTRANGE(""1RdEdgHYrZ33LJ7RUHj_h-qkAFL92bcVjtIdVa-UlsCw"", ""Interns!N:N""), 
   ""Not Found"")"),"")</f>
        <v/>
      </c>
      <c r="AM486" s="23" t="str">
        <f>IFERROR(__xludf.DUMMYFUNCTION("XLOOKUP(C486, 
   IMPORTRANGE(""1RdEdgHYrZ33LJ7RUHj_h-qkAFL92bcVjtIdVa-UlsCw"", ""Interns!D:D""), 
   IMPORTRANGE(""1RdEdgHYrZ33LJ7RUHj_h-qkAFL92bcVjtIdVa-UlsCw"", ""Interns!O:O""), 
   ""Not Found"")"),"")</f>
        <v/>
      </c>
      <c r="AN486" s="23"/>
      <c r="AO486" s="23" t="s">
        <v>8538</v>
      </c>
      <c r="AP486" s="28" t="s">
        <v>5191</v>
      </c>
      <c r="AQ486" s="28"/>
      <c r="AR486" s="23"/>
      <c r="AS486" s="23"/>
      <c r="AT486" s="23"/>
      <c r="AU486" s="23"/>
      <c r="AV486" s="23"/>
    </row>
    <row r="487">
      <c r="A487" s="28" t="s">
        <v>5161</v>
      </c>
      <c r="B487" s="28" t="s">
        <v>5162</v>
      </c>
      <c r="C487" s="23" t="str">
        <f t="shared" si="1"/>
        <v>Wilman Reyes</v>
      </c>
      <c r="D487" s="28" t="s">
        <v>8539</v>
      </c>
      <c r="E487" s="28" t="s">
        <v>4325</v>
      </c>
      <c r="F487" s="23">
        <f t="array" ref="F487">IFERROR(
    INDEX('Hub Interns 226'!A:A, MATCH(C487, 'Hub Interns 226'!B:B, 0)),"")</f>
        <v>1193</v>
      </c>
      <c r="G487" s="23">
        <f t="array" ref="G487">IFERROR(
    INDEX('Hub Users 226'!A:A, MATCH(C487, 'Hub Users 226'!B:B, 0)),"")</f>
        <v>1626</v>
      </c>
      <c r="H487" s="28">
        <v>1497.0</v>
      </c>
      <c r="I487" s="28" t="s">
        <v>407</v>
      </c>
      <c r="J487" s="28" t="s">
        <v>5336</v>
      </c>
      <c r="K487" s="28" t="s">
        <v>5177</v>
      </c>
      <c r="L487" s="28" t="s">
        <v>5165</v>
      </c>
      <c r="M487" s="56" t="s">
        <v>8540</v>
      </c>
      <c r="N487" s="57">
        <v>44949.66180555556</v>
      </c>
      <c r="O487" s="58">
        <v>38496.0</v>
      </c>
      <c r="P487" s="28">
        <f t="shared" si="15"/>
        <v>20</v>
      </c>
      <c r="Q487" s="28" t="s">
        <v>8541</v>
      </c>
      <c r="R487" s="28" t="s">
        <v>8542</v>
      </c>
      <c r="S487" s="28">
        <v>13.0</v>
      </c>
      <c r="T487" s="28">
        <v>31.0</v>
      </c>
      <c r="U487" s="28">
        <v>71.0</v>
      </c>
      <c r="V487" s="28">
        <v>10.0</v>
      </c>
      <c r="W487" s="28" t="s">
        <v>271</v>
      </c>
      <c r="X487" s="28" t="s">
        <v>272</v>
      </c>
      <c r="Y487" s="28" t="s">
        <v>8543</v>
      </c>
      <c r="Z487" s="28" t="s">
        <v>5918</v>
      </c>
      <c r="AA487" s="28" t="s">
        <v>477</v>
      </c>
      <c r="AB487" s="28">
        <v>15.0</v>
      </c>
      <c r="AC487" s="28" t="s">
        <v>25</v>
      </c>
      <c r="AD487" s="23"/>
      <c r="AE487" s="28" t="s">
        <v>15</v>
      </c>
      <c r="AF487" s="23" t="str">
        <f>IFERROR(__xludf.DUMMYFUNCTION("TEXTJOIN("", "", TRUE,
  FILTER(Champions!C:C,
    ISNUMBER(SEARCH(C487, Champions!W:W))
  )
)"),"Chelsea Baker, Leif Castren")</f>
        <v>Chelsea Baker, Leif Castren</v>
      </c>
      <c r="AG487" s="23"/>
      <c r="AH487" s="23" t="str">
        <f>IFERROR(__xludf.DUMMYFUNCTION("IF(
ISNUMBER(MATCH(
C487,
IMPORTRANGE(""https://docs.google.com/spreadsheets/d/1yTh1ELC33JHYOeEdgIiEclxPRyh0zOKtlawDltfUay8"",""'Interns'!A:A""),
0
)),
""Outreach Conducted"",
"""")"),"")</f>
        <v/>
      </c>
      <c r="AI487" s="23"/>
      <c r="AJ487" s="23"/>
      <c r="AK487" s="23" t="str">
        <f>IFERROR(__xludf.DUMMYFUNCTION("XLOOKUP(C487, 
   IMPORTRANGE(""1RdEdgHYrZ33LJ7RUHj_h-qkAFL92bcVjtIdVa-UlsCw"", ""Interns!D:D""), 
   IMPORTRANGE(""1RdEdgHYrZ33LJ7RUHj_h-qkAFL92bcVjtIdVa-UlsCw"", ""Interns!M:M""), 
   ""Not Found"")"),"")</f>
        <v/>
      </c>
      <c r="AL487" s="23" t="str">
        <f>IFERROR(__xludf.DUMMYFUNCTION("XLOOKUP(C487, 
   IMPORTRANGE(""1RdEdgHYrZ33LJ7RUHj_h-qkAFL92bcVjtIdVa-UlsCw"", ""Interns!D:D""), 
   IMPORTRANGE(""1RdEdgHYrZ33LJ7RUHj_h-qkAFL92bcVjtIdVa-UlsCw"", ""Interns!N:N""), 
   ""Not Found"")"),"")</f>
        <v/>
      </c>
      <c r="AM487" s="23" t="str">
        <f>IFERROR(__xludf.DUMMYFUNCTION("XLOOKUP(C487, 
   IMPORTRANGE(""1RdEdgHYrZ33LJ7RUHj_h-qkAFL92bcVjtIdVa-UlsCw"", ""Interns!D:D""), 
   IMPORTRANGE(""1RdEdgHYrZ33LJ7RUHj_h-qkAFL92bcVjtIdVa-UlsCw"", ""Interns!O:O""), 
   ""Not Found"")"),"")</f>
        <v/>
      </c>
      <c r="AN487" s="23"/>
      <c r="AO487" s="23" t="s">
        <v>8544</v>
      </c>
      <c r="AP487" s="28" t="s">
        <v>5191</v>
      </c>
      <c r="AQ487" s="28" t="s">
        <v>8545</v>
      </c>
      <c r="AR487" s="23" t="s">
        <v>8546</v>
      </c>
      <c r="AS487" s="23"/>
      <c r="AT487" s="23"/>
      <c r="AU487" s="23"/>
      <c r="AV487" s="23"/>
    </row>
    <row r="488">
      <c r="A488" s="28" t="s">
        <v>5161</v>
      </c>
      <c r="B488" s="28" t="s">
        <v>5162</v>
      </c>
      <c r="C488" s="23" t="str">
        <f t="shared" si="1"/>
        <v>Bebehonem Robertina</v>
      </c>
      <c r="D488" s="28" t="s">
        <v>8547</v>
      </c>
      <c r="E488" s="28" t="s">
        <v>8548</v>
      </c>
      <c r="F488" s="23">
        <f t="array" ref="F488">IFERROR(
    INDEX('Hub Interns 226'!A:A, MATCH(C488, 'Hub Interns 226'!B:B, 0)),"")</f>
        <v>62</v>
      </c>
      <c r="G488" s="23">
        <f t="array" ref="G488">IFERROR(
    INDEX('Hub Users 226'!A:A, MATCH(C488, 'Hub Users 226'!B:B, 0)),"")</f>
        <v>495</v>
      </c>
      <c r="H488" s="28">
        <v>797.0</v>
      </c>
      <c r="I488" s="28" t="s">
        <v>107</v>
      </c>
      <c r="J488" s="28" t="s">
        <v>8549</v>
      </c>
      <c r="K488" s="28" t="s">
        <v>5186</v>
      </c>
      <c r="L488" s="28" t="s">
        <v>5196</v>
      </c>
      <c r="M488" s="56" t="s">
        <v>8550</v>
      </c>
      <c r="N488" s="57">
        <v>44565.63888888889</v>
      </c>
      <c r="O488" s="58">
        <v>37960.0</v>
      </c>
      <c r="P488" s="28">
        <f t="shared" si="15"/>
        <v>22</v>
      </c>
      <c r="Q488" s="28" t="s">
        <v>240</v>
      </c>
      <c r="R488" s="28" t="s">
        <v>8551</v>
      </c>
      <c r="S488" s="28"/>
      <c r="T488" s="28"/>
      <c r="U488" s="28"/>
      <c r="V488" s="28"/>
      <c r="W488" s="28" t="s">
        <v>271</v>
      </c>
      <c r="X488" s="28" t="s">
        <v>272</v>
      </c>
      <c r="Y488" s="28" t="s">
        <v>8552</v>
      </c>
      <c r="Z488" s="28" t="s">
        <v>5259</v>
      </c>
      <c r="AA488" s="28" t="s">
        <v>704</v>
      </c>
      <c r="AB488" s="28">
        <v>2.0</v>
      </c>
      <c r="AC488" s="28" t="s">
        <v>23</v>
      </c>
      <c r="AD488" s="23"/>
      <c r="AE488" s="28" t="s">
        <v>15</v>
      </c>
      <c r="AF488" s="23"/>
      <c r="AG488" s="23"/>
      <c r="AH488" s="23" t="str">
        <f>IFERROR(__xludf.DUMMYFUNCTION("IF(
ISNUMBER(MATCH(
C488,
IMPORTRANGE(""https://docs.google.com/spreadsheets/d/1yTh1ELC33JHYOeEdgIiEclxPRyh0zOKtlawDltfUay8"",""'Interns'!A:A""),
0
)),
""Outreach Conducted"",
"""")"),"")</f>
        <v/>
      </c>
      <c r="AI488" s="23"/>
      <c r="AJ488" s="23"/>
      <c r="AK488" s="23" t="str">
        <f>IFERROR(__xludf.DUMMYFUNCTION("XLOOKUP(C488, 
   IMPORTRANGE(""1RdEdgHYrZ33LJ7RUHj_h-qkAFL92bcVjtIdVa-UlsCw"", ""Interns!D:D""), 
   IMPORTRANGE(""1RdEdgHYrZ33LJ7RUHj_h-qkAFL92bcVjtIdVa-UlsCw"", ""Interns!M:M""), 
   ""Not Found"")"),"Contacted")</f>
        <v>Contacted</v>
      </c>
      <c r="AL488" s="23" t="str">
        <f>IFERROR(__xludf.DUMMYFUNCTION("XLOOKUP(C488, 
   IMPORTRANGE(""1RdEdgHYrZ33LJ7RUHj_h-qkAFL92bcVjtIdVa-UlsCw"", ""Interns!D:D""), 
   IMPORTRANGE(""1RdEdgHYrZ33LJ7RUHj_h-qkAFL92bcVjtIdVa-UlsCw"", ""Interns!N:N""), 
   ""Not Found"")"),"#Cheers4Careers")</f>
        <v>#Cheers4Careers</v>
      </c>
      <c r="AM488" s="23" t="str">
        <f>IFERROR(__xludf.DUMMYFUNCTION("XLOOKUP(C488, 
   IMPORTRANGE(""1RdEdgHYrZ33LJ7RUHj_h-qkAFL92bcVjtIdVa-UlsCw"", ""Interns!D:D""), 
   IMPORTRANGE(""1RdEdgHYrZ33LJ7RUHj_h-qkAFL92bcVjtIdVa-UlsCw"", ""Interns!O:O""), 
   ""Not Found"")"),"Hetal reached out by Whatsapp 3/28/26
Hetal reached out on 4/10 by whatsapp for April 18th #Cheers4Careers")</f>
        <v>Hetal reached out by Whatsapp 3/28/26
Hetal reached out on 4/10 by whatsapp for April 18th #Cheers4Careers</v>
      </c>
      <c r="AN488" s="23"/>
      <c r="AO488" s="23" t="s">
        <v>8553</v>
      </c>
      <c r="AP488" s="28" t="s">
        <v>5191</v>
      </c>
      <c r="AQ488" s="28"/>
      <c r="AR488" s="23"/>
      <c r="AS488" s="23"/>
      <c r="AT488" s="23"/>
      <c r="AU488" s="23"/>
      <c r="AV488" s="23"/>
    </row>
    <row r="489">
      <c r="A489" s="28" t="s">
        <v>5161</v>
      </c>
      <c r="B489" s="28" t="s">
        <v>5162</v>
      </c>
      <c r="C489" s="23" t="str">
        <f t="shared" si="1"/>
        <v>Wilson Infante</v>
      </c>
      <c r="D489" s="28" t="s">
        <v>2084</v>
      </c>
      <c r="E489" s="28" t="s">
        <v>8554</v>
      </c>
      <c r="F489" s="23">
        <f t="array" ref="F489">IFERROR(
    INDEX('Hub Interns 226'!A:A, MATCH(C489, 'Hub Interns 226'!B:B, 0)),"")</f>
        <v>1194</v>
      </c>
      <c r="G489" s="23">
        <f t="array" ref="G489">IFERROR(
    INDEX('Hub Users 226'!A:A, MATCH(C489, 'Hub Users 226'!B:B, 0)),"")</f>
        <v>1627</v>
      </c>
      <c r="H489" s="28">
        <v>1373.0</v>
      </c>
      <c r="I489" s="28" t="s">
        <v>1235</v>
      </c>
      <c r="J489" s="28" t="s">
        <v>5336</v>
      </c>
      <c r="K489" s="28" t="s">
        <v>5177</v>
      </c>
      <c r="L489" s="28" t="s">
        <v>5165</v>
      </c>
      <c r="M489" s="56" t="s">
        <v>8555</v>
      </c>
      <c r="N489" s="59">
        <v>44860.46041666667</v>
      </c>
      <c r="O489" s="58">
        <v>38818.0</v>
      </c>
      <c r="P489" s="28">
        <f t="shared" si="15"/>
        <v>20</v>
      </c>
      <c r="Q489" s="28" t="s">
        <v>8556</v>
      </c>
      <c r="R489" s="28" t="s">
        <v>3370</v>
      </c>
      <c r="S489" s="28"/>
      <c r="T489" s="28"/>
      <c r="U489" s="28"/>
      <c r="V489" s="28"/>
      <c r="W489" s="28" t="s">
        <v>271</v>
      </c>
      <c r="X489" s="28" t="s">
        <v>272</v>
      </c>
      <c r="Y489" s="28" t="s">
        <v>8557</v>
      </c>
      <c r="Z489" s="28" t="s">
        <v>5341</v>
      </c>
      <c r="AA489" s="28" t="s">
        <v>1085</v>
      </c>
      <c r="AB489" s="28">
        <v>10.0</v>
      </c>
      <c r="AC489" s="28" t="s">
        <v>25</v>
      </c>
      <c r="AD489" s="23"/>
      <c r="AE489" s="28" t="s">
        <v>15</v>
      </c>
      <c r="AF489" s="23" t="str">
        <f>IFERROR(__xludf.DUMMYFUNCTION("TEXTJOIN("", "", TRUE,
  FILTER(Champions!C:C,
    ISNUMBER(SEARCH(C489, Champions!W:W))
  )
)"),"Chiemela Okwandu, Vatsala Sarathy, Esteban Proaño")</f>
        <v>Chiemela Okwandu, Vatsala Sarathy, Esteban Proaño</v>
      </c>
      <c r="AG489" s="26" t="s">
        <v>5342</v>
      </c>
      <c r="AH489" s="23" t="str">
        <f>IFERROR(__xludf.DUMMYFUNCTION("IF(
ISNUMBER(MATCH(
C489,
IMPORTRANGE(""https://docs.google.com/spreadsheets/d/1yTh1ELC33JHYOeEdgIiEclxPRyh0zOKtlawDltfUay8"",""'Interns'!A:A""),
0
)),
""Outreach Conducted"",
"""")"),"")</f>
        <v/>
      </c>
      <c r="AI489" s="23"/>
      <c r="AJ489" s="23"/>
      <c r="AK489" s="23" t="str">
        <f>IFERROR(__xludf.DUMMYFUNCTION("XLOOKUP(C489, 
   IMPORTRANGE(""1RdEdgHYrZ33LJ7RUHj_h-qkAFL92bcVjtIdVa-UlsCw"", ""Interns!D:D""), 
   IMPORTRANGE(""1RdEdgHYrZ33LJ7RUHj_h-qkAFL92bcVjtIdVa-UlsCw"", ""Interns!M:M""), 
   ""Not Found"")"),"Contacted")</f>
        <v>Contacted</v>
      </c>
      <c r="AL489" s="23" t="str">
        <f>IFERROR(__xludf.DUMMYFUNCTION("XLOOKUP(C489, 
   IMPORTRANGE(""1RdEdgHYrZ33LJ7RUHj_h-qkAFL92bcVjtIdVa-UlsCw"", ""Interns!D:D""), 
   IMPORTRANGE(""1RdEdgHYrZ33LJ7RUHj_h-qkAFL92bcVjtIdVa-UlsCw"", ""Interns!N:N""), 
   ""Not Found"")"),"#Cheers4Careers")</f>
        <v>#Cheers4Careers</v>
      </c>
      <c r="AM489" s="23" t="str">
        <f>IFERROR(__xludf.DUMMYFUNCTION("XLOOKUP(C489, 
   IMPORTRANGE(""1RdEdgHYrZ33LJ7RUHj_h-qkAFL92bcVjtIdVa-UlsCw"", ""Interns!D:D""), 
   IMPORTRANGE(""1RdEdgHYrZ33LJ7RUHj_h-qkAFL92bcVjtIdVa-UlsCw"", ""Interns!O:O""), 
   ""Not Found"")"),"Texted on April 14 for #Cheers4Careers event")</f>
        <v>Texted on April 14 for #Cheers4Careers event</v>
      </c>
      <c r="AN489" s="23"/>
      <c r="AO489" s="23" t="s">
        <v>8558</v>
      </c>
      <c r="AP489" s="28" t="s">
        <v>5182</v>
      </c>
      <c r="AQ489" s="28" t="s">
        <v>8559</v>
      </c>
      <c r="AR489" s="23" t="s">
        <v>8560</v>
      </c>
      <c r="AS489" s="23"/>
      <c r="AT489" s="23"/>
      <c r="AU489" s="23"/>
      <c r="AV489" s="23"/>
    </row>
    <row r="490">
      <c r="A490" s="28" t="s">
        <v>5161</v>
      </c>
      <c r="B490" s="28" t="s">
        <v>5162</v>
      </c>
      <c r="C490" s="23" t="str">
        <f t="shared" si="1"/>
        <v>Dalissa Cabrera</v>
      </c>
      <c r="D490" s="28" t="s">
        <v>8561</v>
      </c>
      <c r="E490" s="28" t="s">
        <v>7390</v>
      </c>
      <c r="F490" s="23">
        <f t="array" ref="F490">IFERROR(
    INDEX('Hub Interns 226'!A:A, MATCH(C490, 'Hub Interns 226'!B:B, 0)),"")</f>
        <v>405</v>
      </c>
      <c r="G490" s="23">
        <f t="array" ref="G490">IFERROR(
    INDEX('Hub Users 226'!A:A, MATCH(C490, 'Hub Users 226'!B:B, 0)),"")</f>
        <v>838</v>
      </c>
      <c r="H490" s="28">
        <v>325.0</v>
      </c>
      <c r="I490" s="28" t="s">
        <v>608</v>
      </c>
      <c r="J490" s="28" t="s">
        <v>5336</v>
      </c>
      <c r="K490" s="28" t="s">
        <v>5177</v>
      </c>
      <c r="L490" s="28" t="s">
        <v>5196</v>
      </c>
      <c r="M490" s="56" t="s">
        <v>8562</v>
      </c>
      <c r="N490" s="57">
        <v>44236.97777777778</v>
      </c>
      <c r="O490" s="58">
        <v>37807.0</v>
      </c>
      <c r="P490" s="28">
        <f t="shared" si="15"/>
        <v>22</v>
      </c>
      <c r="Q490" s="28" t="s">
        <v>8563</v>
      </c>
      <c r="R490" s="28" t="s">
        <v>8564</v>
      </c>
      <c r="S490" s="28"/>
      <c r="T490" s="28"/>
      <c r="U490" s="28"/>
      <c r="V490" s="28">
        <v>14.0</v>
      </c>
      <c r="W490" s="28" t="s">
        <v>859</v>
      </c>
      <c r="X490" s="28" t="s">
        <v>272</v>
      </c>
      <c r="Y490" s="28">
        <v>9.294665142E9</v>
      </c>
      <c r="Z490" s="28" t="s">
        <v>5310</v>
      </c>
      <c r="AA490" s="28" t="s">
        <v>362</v>
      </c>
      <c r="AB490" s="28">
        <v>16.0</v>
      </c>
      <c r="AC490" s="28" t="s">
        <v>25</v>
      </c>
      <c r="AD490" s="23"/>
      <c r="AE490" s="28" t="s">
        <v>8</v>
      </c>
      <c r="AF490" s="23" t="str">
        <f>IFERROR(__xludf.DUMMYFUNCTION("TEXTJOIN("", "", TRUE,
  FILTER(Champions!C:C,
    ISNUMBER(SEARCH(C490, Champions!W:W))
  )
)"),"Joseph Temowo, Kiran Gill")</f>
        <v>Joseph Temowo, Kiran Gill</v>
      </c>
      <c r="AG490" s="23"/>
      <c r="AH490" s="23" t="str">
        <f>IFERROR(__xludf.DUMMYFUNCTION("IF(
ISNUMBER(MATCH(
C490,
IMPORTRANGE(""https://docs.google.com/spreadsheets/d/1yTh1ELC33JHYOeEdgIiEclxPRyh0zOKtlawDltfUay8"",""'Interns'!A:A""),
0
)),
""Outreach Conducted"",
"""")"),"")</f>
        <v/>
      </c>
      <c r="AI490" s="23"/>
      <c r="AJ490" s="23"/>
      <c r="AK490" s="23" t="str">
        <f>IFERROR(__xludf.DUMMYFUNCTION("XLOOKUP(C490, 
   IMPORTRANGE(""1RdEdgHYrZ33LJ7RUHj_h-qkAFL92bcVjtIdVa-UlsCw"", ""Interns!D:D""), 
   IMPORTRANGE(""1RdEdgHYrZ33LJ7RUHj_h-qkAFL92bcVjtIdVa-UlsCw"", ""Interns!M:M""), 
   ""Not Found"")"),"")</f>
        <v/>
      </c>
      <c r="AL490" s="23" t="str">
        <f>IFERROR(__xludf.DUMMYFUNCTION("XLOOKUP(C490, 
   IMPORTRANGE(""1RdEdgHYrZ33LJ7RUHj_h-qkAFL92bcVjtIdVa-UlsCw"", ""Interns!D:D""), 
   IMPORTRANGE(""1RdEdgHYrZ33LJ7RUHj_h-qkAFL92bcVjtIdVa-UlsCw"", ""Interns!N:N""), 
   ""Not Found"")"),"#SpeakingMyName")</f>
        <v>#SpeakingMyName</v>
      </c>
      <c r="AM490" s="23" t="str">
        <f>IFERROR(__xludf.DUMMYFUNCTION("XLOOKUP(C490, 
   IMPORTRANGE(""1RdEdgHYrZ33LJ7RUHj_h-qkAFL92bcVjtIdVa-UlsCw"", ""Interns!D:D""), 
   IMPORTRANGE(""1RdEdgHYrZ33LJ7RUHj_h-qkAFL92bcVjtIdVa-UlsCw"", ""Interns!O:O""), 
   ""Not Found"")"),"Alicia reached out by email on 5/15 for #SpeakingMyName")</f>
        <v>Alicia reached out by email on 5/15 for #SpeakingMyName</v>
      </c>
      <c r="AN490" s="23"/>
      <c r="AO490" s="23" t="s">
        <v>8565</v>
      </c>
      <c r="AP490" s="28" t="s">
        <v>5191</v>
      </c>
      <c r="AQ490" s="28" t="s">
        <v>8566</v>
      </c>
      <c r="AR490" s="23">
        <v>7.189010738E9</v>
      </c>
      <c r="AS490" s="23"/>
      <c r="AT490" s="23"/>
      <c r="AU490" s="23"/>
      <c r="AV490" s="23"/>
    </row>
    <row r="491">
      <c r="A491" s="28" t="s">
        <v>5161</v>
      </c>
      <c r="B491" s="28" t="s">
        <v>5162</v>
      </c>
      <c r="C491" s="23" t="str">
        <f t="shared" si="1"/>
        <v>Shiralyn Altagracia Torres</v>
      </c>
      <c r="D491" s="28" t="s">
        <v>8567</v>
      </c>
      <c r="E491" s="28" t="s">
        <v>6739</v>
      </c>
      <c r="F491" s="23">
        <f t="array" ref="F491">IFERROR(
    INDEX('Hub Interns 226'!A:A, MATCH(C491, 'Hub Interns 226'!B:B, 0)),"")</f>
        <v>1100</v>
      </c>
      <c r="G491" s="23">
        <f t="array" ref="G491">IFERROR(
    INDEX('Hub Users 226'!A:A, MATCH(C491, 'Hub Users 226'!B:B, 0)),"")</f>
        <v>1533</v>
      </c>
      <c r="H491" s="28">
        <v>440.0</v>
      </c>
      <c r="I491" s="28"/>
      <c r="J491" s="28" t="s">
        <v>5336</v>
      </c>
      <c r="K491" s="28" t="s">
        <v>5177</v>
      </c>
      <c r="L491" s="28" t="s">
        <v>5196</v>
      </c>
      <c r="M491" s="56" t="s">
        <v>8568</v>
      </c>
      <c r="N491" s="57">
        <v>44315.572222222225</v>
      </c>
      <c r="O491" s="58">
        <v>38373.0</v>
      </c>
      <c r="P491" s="28">
        <f t="shared" si="15"/>
        <v>21</v>
      </c>
      <c r="Q491" s="28" t="s">
        <v>8569</v>
      </c>
      <c r="R491" s="28" t="s">
        <v>8570</v>
      </c>
      <c r="S491" s="28">
        <v>15.0</v>
      </c>
      <c r="T491" s="28">
        <v>29.0</v>
      </c>
      <c r="U491" s="28">
        <v>84.0</v>
      </c>
      <c r="V491" s="28">
        <v>16.0</v>
      </c>
      <c r="W491" s="28" t="s">
        <v>859</v>
      </c>
      <c r="X491" s="28" t="s">
        <v>272</v>
      </c>
      <c r="Y491" s="28" t="s">
        <v>8571</v>
      </c>
      <c r="Z491" s="28" t="s">
        <v>5310</v>
      </c>
      <c r="AA491" s="28" t="s">
        <v>362</v>
      </c>
      <c r="AB491" s="28">
        <v>16.0</v>
      </c>
      <c r="AC491" s="28" t="s">
        <v>24</v>
      </c>
      <c r="AD491" s="23"/>
      <c r="AE491" s="28" t="s">
        <v>8</v>
      </c>
      <c r="AF491" s="23"/>
      <c r="AG491" s="23"/>
      <c r="AH491" s="23" t="str">
        <f>IFERROR(__xludf.DUMMYFUNCTION("IF(
ISNUMBER(MATCH(
C491,
IMPORTRANGE(""https://docs.google.com/spreadsheets/d/1yTh1ELC33JHYOeEdgIiEclxPRyh0zOKtlawDltfUay8"",""'Interns'!A:A""),
0
)),
""Outreach Conducted"",
"""")"),"")</f>
        <v/>
      </c>
      <c r="AI491" s="23"/>
      <c r="AJ491" s="23"/>
      <c r="AK491" s="23" t="str">
        <f>IFERROR(__xludf.DUMMYFUNCTION("XLOOKUP(C491, 
   IMPORTRANGE(""1RdEdgHYrZ33LJ7RUHj_h-qkAFL92bcVjtIdVa-UlsCw"", ""Interns!D:D""), 
   IMPORTRANGE(""1RdEdgHYrZ33LJ7RUHj_h-qkAFL92bcVjtIdVa-UlsCw"", ""Interns!M:M""), 
   ""Not Found"")"),"")</f>
        <v/>
      </c>
      <c r="AL491" s="23" t="str">
        <f>IFERROR(__xludf.DUMMYFUNCTION("XLOOKUP(C491, 
   IMPORTRANGE(""1RdEdgHYrZ33LJ7RUHj_h-qkAFL92bcVjtIdVa-UlsCw"", ""Interns!D:D""), 
   IMPORTRANGE(""1RdEdgHYrZ33LJ7RUHj_h-qkAFL92bcVjtIdVa-UlsCw"", ""Interns!N:N""), 
   ""Not Found"")"),"#SpeakingMyName")</f>
        <v>#SpeakingMyName</v>
      </c>
      <c r="AM491" s="23" t="str">
        <f>IFERROR(__xludf.DUMMYFUNCTION("XLOOKUP(C491, 
   IMPORTRANGE(""1RdEdgHYrZ33LJ7RUHj_h-qkAFL92bcVjtIdVa-UlsCw"", ""Interns!D:D""), 
   IMPORTRANGE(""1RdEdgHYrZ33LJ7RUHj_h-qkAFL92bcVjtIdVa-UlsCw"", ""Interns!O:O""), 
   ""Not Found"")"),"Alicia reached out by email on 5/15 for #SpeakingMyName")</f>
        <v>Alicia reached out by email on 5/15 for #SpeakingMyName</v>
      </c>
      <c r="AN491" s="23"/>
      <c r="AO491" s="23" t="s">
        <v>8572</v>
      </c>
      <c r="AP491" s="28" t="s">
        <v>5191</v>
      </c>
      <c r="AQ491" s="28"/>
      <c r="AR491" s="23"/>
      <c r="AS491" s="23"/>
      <c r="AT491" s="23"/>
      <c r="AU491" s="23"/>
      <c r="AV491" s="23"/>
    </row>
    <row r="492">
      <c r="A492" s="28" t="s">
        <v>5202</v>
      </c>
      <c r="B492" s="28" t="s">
        <v>5162</v>
      </c>
      <c r="C492" s="23" t="str">
        <f t="shared" si="1"/>
        <v>Andres Munoz</v>
      </c>
      <c r="D492" s="28" t="s">
        <v>265</v>
      </c>
      <c r="E492" s="28" t="s">
        <v>6520</v>
      </c>
      <c r="F492" s="23">
        <f t="array" ref="F492">IFERROR(
    INDEX('Hub Interns 226'!A:A, MATCH(C492, 'Hub Interns 226'!B:B, 0)),"")</f>
        <v>812</v>
      </c>
      <c r="G492" s="23">
        <f t="array" ref="G492">IFERROR(
    INDEX('Hub Users 226'!A:A, MATCH(C492, 'Hub Users 226'!B:B, 0)),"")</f>
        <v>1245</v>
      </c>
      <c r="H492" s="28">
        <v>601.0</v>
      </c>
      <c r="I492" s="28" t="s">
        <v>290</v>
      </c>
      <c r="J492" s="28" t="s">
        <v>2388</v>
      </c>
      <c r="K492" s="28" t="s">
        <v>5463</v>
      </c>
      <c r="L492" s="28" t="s">
        <v>5165</v>
      </c>
      <c r="M492" s="56" t="s">
        <v>8573</v>
      </c>
      <c r="N492" s="59">
        <v>44490.64236111111</v>
      </c>
      <c r="O492" s="58">
        <v>38424.0</v>
      </c>
      <c r="P492" s="28">
        <f t="shared" si="15"/>
        <v>21</v>
      </c>
      <c r="Q492" s="28" t="s">
        <v>240</v>
      </c>
      <c r="R492" s="28" t="s">
        <v>8574</v>
      </c>
      <c r="S492" s="28">
        <v>14.0</v>
      </c>
      <c r="T492" s="28">
        <v>59.0</v>
      </c>
      <c r="U492" s="28">
        <v>36.0</v>
      </c>
      <c r="V492" s="28">
        <v>22.0</v>
      </c>
      <c r="W492" s="28" t="s">
        <v>1173</v>
      </c>
      <c r="X492" s="28" t="s">
        <v>272</v>
      </c>
      <c r="Y492" s="28" t="s">
        <v>8575</v>
      </c>
      <c r="Z492" s="28" t="s">
        <v>5189</v>
      </c>
      <c r="AA492" s="28" t="s">
        <v>619</v>
      </c>
      <c r="AB492" s="28">
        <v>20.0</v>
      </c>
      <c r="AC492" s="28" t="s">
        <v>25</v>
      </c>
      <c r="AD492" s="23"/>
      <c r="AE492" s="28" t="s">
        <v>10</v>
      </c>
      <c r="AF492" s="23" t="str">
        <f>IFERROR(__xludf.DUMMYFUNCTION("TEXTJOIN("", "", TRUE,
  FILTER(Champions!C:C,
    ISNUMBER(SEARCH(C492, Champions!W:W))
  )
)"),"AUGUSTO SALCEDO, Frank Guia")</f>
        <v>AUGUSTO SALCEDO, Frank Guia</v>
      </c>
      <c r="AG492" s="23"/>
      <c r="AH492" s="23" t="str">
        <f>IFERROR(__xludf.DUMMYFUNCTION("IF(
ISNUMBER(MATCH(
C492,
IMPORTRANGE(""https://docs.google.com/spreadsheets/d/1yTh1ELC33JHYOeEdgIiEclxPRyh0zOKtlawDltfUay8"",""'Interns'!A:A""),
0
)),
""Outreach Conducted"",
"""")"),"")</f>
        <v/>
      </c>
      <c r="AI492" s="23"/>
      <c r="AJ492" s="23"/>
      <c r="AK492" s="23" t="str">
        <f>IFERROR(__xludf.DUMMYFUNCTION("XLOOKUP(C492, 
   IMPORTRANGE(""1RdEdgHYrZ33LJ7RUHj_h-qkAFL92bcVjtIdVa-UlsCw"", ""Interns!D:D""), 
   IMPORTRANGE(""1RdEdgHYrZ33LJ7RUHj_h-qkAFL92bcVjtIdVa-UlsCw"", ""Interns!M:M""), 
   ""Not Found"")"),"")</f>
        <v/>
      </c>
      <c r="AL492" s="23" t="str">
        <f>IFERROR(__xludf.DUMMYFUNCTION("XLOOKUP(C492, 
   IMPORTRANGE(""1RdEdgHYrZ33LJ7RUHj_h-qkAFL92bcVjtIdVa-UlsCw"", ""Interns!D:D""), 
   IMPORTRANGE(""1RdEdgHYrZ33LJ7RUHj_h-qkAFL92bcVjtIdVa-UlsCw"", ""Interns!N:N""), 
   ""Not Found"")"),"")</f>
        <v/>
      </c>
      <c r="AM492" s="23" t="str">
        <f>IFERROR(__xludf.DUMMYFUNCTION("XLOOKUP(C492, 
   IMPORTRANGE(""1RdEdgHYrZ33LJ7RUHj_h-qkAFL92bcVjtIdVa-UlsCw"", ""Interns!D:D""), 
   IMPORTRANGE(""1RdEdgHYrZ33LJ7RUHj_h-qkAFL92bcVjtIdVa-UlsCw"", ""Interns!O:O""), 
   ""Not Found"")"),"")</f>
        <v/>
      </c>
      <c r="AN492" s="23"/>
      <c r="AO492" s="23" t="s">
        <v>8576</v>
      </c>
      <c r="AP492" s="28" t="s">
        <v>5182</v>
      </c>
      <c r="AQ492" s="28" t="s">
        <v>8577</v>
      </c>
      <c r="AR492" s="23" t="s">
        <v>8575</v>
      </c>
      <c r="AS492" s="23"/>
      <c r="AT492" s="23"/>
      <c r="AU492" s="23"/>
      <c r="AV492" s="23"/>
    </row>
    <row r="493">
      <c r="A493" s="28" t="s">
        <v>5161</v>
      </c>
      <c r="B493" s="28" t="s">
        <v>5162</v>
      </c>
      <c r="C493" s="23" t="str">
        <f t="shared" si="1"/>
        <v>Stephanie Arteaga</v>
      </c>
      <c r="D493" s="28" t="s">
        <v>3108</v>
      </c>
      <c r="E493" s="28" t="s">
        <v>8578</v>
      </c>
      <c r="F493" s="23" t="str">
        <f t="array" ref="F493">IFERROR(
    INDEX('Hub Interns 226'!A:A, MATCH(C493, 'Hub Interns 226'!B:B, 0)),"")</f>
        <v/>
      </c>
      <c r="G493" s="23" t="str">
        <f t="array" ref="G493">IFERROR(
    INDEX('Hub Users 226'!A:A, MATCH(C493, 'Hub Users 226'!B:B, 0)),"")</f>
        <v/>
      </c>
      <c r="H493" s="28">
        <v>52.0</v>
      </c>
      <c r="I493" s="28" t="s">
        <v>260</v>
      </c>
      <c r="J493" s="28" t="s">
        <v>5336</v>
      </c>
      <c r="K493" s="28" t="s">
        <v>5177</v>
      </c>
      <c r="L493" s="28"/>
      <c r="M493" s="56" t="s">
        <v>8579</v>
      </c>
      <c r="N493" s="57">
        <v>43741.63125</v>
      </c>
      <c r="O493" s="28">
        <v>14.0</v>
      </c>
      <c r="P493" s="28">
        <f t="shared" ref="P493:P494" si="16">YEAR(TODAY())-2018+O493</f>
        <v>22</v>
      </c>
      <c r="Q493" s="28" t="s">
        <v>240</v>
      </c>
      <c r="R493" s="23"/>
      <c r="S493" s="28"/>
      <c r="T493" s="28"/>
      <c r="U493" s="28"/>
      <c r="V493" s="28"/>
      <c r="W493" s="28" t="s">
        <v>2633</v>
      </c>
      <c r="X493" s="28" t="s">
        <v>241</v>
      </c>
      <c r="Y493" s="28" t="s">
        <v>8580</v>
      </c>
      <c r="Z493" s="28" t="s">
        <v>5294</v>
      </c>
      <c r="AA493" s="28" t="s">
        <v>5294</v>
      </c>
      <c r="AB493" s="28" t="s">
        <v>5295</v>
      </c>
      <c r="AC493" s="28" t="s">
        <v>25</v>
      </c>
      <c r="AD493" s="23"/>
      <c r="AE493" s="28" t="s">
        <v>4</v>
      </c>
      <c r="AF493" s="23" t="str">
        <f>IFERROR(__xludf.DUMMYFUNCTION("TEXTJOIN("", "", TRUE,
  FILTER(Champions!C:C,
    ISNUMBER(SEARCH(C493, Champions!W:W))
  )
)"),"Flavia Mihaela Vaduva")</f>
        <v>Flavia Mihaela Vaduva</v>
      </c>
      <c r="AG493" s="23"/>
      <c r="AH493" s="23" t="str">
        <f>IFERROR(__xludf.DUMMYFUNCTION("IF(
ISNUMBER(MATCH(
C493,
IMPORTRANGE(""https://docs.google.com/spreadsheets/d/1yTh1ELC33JHYOeEdgIiEclxPRyh0zOKtlawDltfUay8"",""'Interns'!A:A""),
0
)),
""Outreach Conducted"",
"""")"),"")</f>
        <v/>
      </c>
      <c r="AI493" s="23"/>
      <c r="AJ493" s="23"/>
      <c r="AK493" s="23" t="str">
        <f>IFERROR(__xludf.DUMMYFUNCTION("XLOOKUP(C493, 
   IMPORTRANGE(""1RdEdgHYrZ33LJ7RUHj_h-qkAFL92bcVjtIdVa-UlsCw"", ""Interns!D:D""), 
   IMPORTRANGE(""1RdEdgHYrZ33LJ7RUHj_h-qkAFL92bcVjtIdVa-UlsCw"", ""Interns!M:M""), 
   ""Not Found"")"),"")</f>
        <v/>
      </c>
      <c r="AL493" s="23" t="str">
        <f>IFERROR(__xludf.DUMMYFUNCTION("XLOOKUP(C493, 
   IMPORTRANGE(""1RdEdgHYrZ33LJ7RUHj_h-qkAFL92bcVjtIdVa-UlsCw"", ""Interns!D:D""), 
   IMPORTRANGE(""1RdEdgHYrZ33LJ7RUHj_h-qkAFL92bcVjtIdVa-UlsCw"", ""Interns!N:N""), 
   ""Not Found"")"),"")</f>
        <v/>
      </c>
      <c r="AM493" s="23" t="str">
        <f>IFERROR(__xludf.DUMMYFUNCTION("XLOOKUP(C493, 
   IMPORTRANGE(""1RdEdgHYrZ33LJ7RUHj_h-qkAFL92bcVjtIdVa-UlsCw"", ""Interns!D:D""), 
   IMPORTRANGE(""1RdEdgHYrZ33LJ7RUHj_h-qkAFL92bcVjtIdVa-UlsCw"", ""Interns!O:O""), 
   ""Not Found"")"),"")</f>
        <v/>
      </c>
      <c r="AN493" s="23"/>
      <c r="AO493" s="23" t="s">
        <v>8581</v>
      </c>
      <c r="AP493" s="28" t="s">
        <v>5182</v>
      </c>
      <c r="AQ493" s="28" t="s">
        <v>8581</v>
      </c>
      <c r="AR493" s="23" t="s">
        <v>8582</v>
      </c>
      <c r="AS493" s="23"/>
      <c r="AT493" s="23"/>
      <c r="AU493" s="23"/>
      <c r="AV493" s="23"/>
    </row>
    <row r="494">
      <c r="A494" s="28" t="s">
        <v>5161</v>
      </c>
      <c r="B494" s="28" t="s">
        <v>5162</v>
      </c>
      <c r="C494" s="23" t="str">
        <f t="shared" si="1"/>
        <v>Jessica Castillo</v>
      </c>
      <c r="D494" s="28" t="s">
        <v>1602</v>
      </c>
      <c r="E494" s="28" t="s">
        <v>4484</v>
      </c>
      <c r="F494" s="23" t="str">
        <f t="array" ref="F494">IFERROR(
    INDEX('Hub Interns 226'!A:A, MATCH(C494, 'Hub Interns 226'!B:B, 0)),"")</f>
        <v/>
      </c>
      <c r="G494" s="23" t="str">
        <f t="array" ref="G494">IFERROR(
    INDEX('Hub Users 226'!A:A, MATCH(C494, 'Hub Users 226'!B:B, 0)),"")</f>
        <v/>
      </c>
      <c r="H494" s="28">
        <v>41.0</v>
      </c>
      <c r="I494" s="28" t="s">
        <v>260</v>
      </c>
      <c r="J494" s="28" t="s">
        <v>5336</v>
      </c>
      <c r="K494" s="28" t="s">
        <v>5177</v>
      </c>
      <c r="L494" s="28"/>
      <c r="M494" s="56" t="s">
        <v>8583</v>
      </c>
      <c r="N494" s="57">
        <v>43741.63055555556</v>
      </c>
      <c r="O494" s="28">
        <v>15.0</v>
      </c>
      <c r="P494" s="28">
        <f t="shared" si="16"/>
        <v>23</v>
      </c>
      <c r="Q494" s="28" t="s">
        <v>240</v>
      </c>
      <c r="R494" s="23"/>
      <c r="S494" s="28"/>
      <c r="T494" s="28"/>
      <c r="U494" s="28"/>
      <c r="V494" s="28"/>
      <c r="W494" s="28" t="s">
        <v>2633</v>
      </c>
      <c r="X494" s="28" t="s">
        <v>241</v>
      </c>
      <c r="Y494" s="28">
        <v>8.628880071E9</v>
      </c>
      <c r="Z494" s="28" t="s">
        <v>5294</v>
      </c>
      <c r="AA494" s="28" t="s">
        <v>5294</v>
      </c>
      <c r="AB494" s="28" t="s">
        <v>5295</v>
      </c>
      <c r="AC494" s="28" t="s">
        <v>25</v>
      </c>
      <c r="AD494" s="23"/>
      <c r="AE494" s="28" t="s">
        <v>4</v>
      </c>
      <c r="AF494" s="23" t="str">
        <f>IFERROR(__xludf.DUMMYFUNCTION("TEXTJOIN("", "", TRUE,
  FILTER(Champions!C:C,
    ISNUMBER(SEARCH(C494, Champions!W:W))
  )
)"),"Malene Ginete Carr, Seema Dixit")</f>
        <v>Malene Ginete Carr, Seema Dixit</v>
      </c>
      <c r="AG494" s="23"/>
      <c r="AH494" s="23" t="str">
        <f>IFERROR(__xludf.DUMMYFUNCTION("IF(
ISNUMBER(MATCH(
C494,
IMPORTRANGE(""https://docs.google.com/spreadsheets/d/1yTh1ELC33JHYOeEdgIiEclxPRyh0zOKtlawDltfUay8"",""'Interns'!A:A""),
0
)),
""Outreach Conducted"",
"""")"),"")</f>
        <v/>
      </c>
      <c r="AI494" s="23"/>
      <c r="AJ494" s="23"/>
      <c r="AK494" s="23" t="str">
        <f>IFERROR(__xludf.DUMMYFUNCTION("XLOOKUP(C494, 
   IMPORTRANGE(""1RdEdgHYrZ33LJ7RUHj_h-qkAFL92bcVjtIdVa-UlsCw"", ""Interns!D:D""), 
   IMPORTRANGE(""1RdEdgHYrZ33LJ7RUHj_h-qkAFL92bcVjtIdVa-UlsCw"", ""Interns!M:M""), 
   ""Not Found"")"),"")</f>
        <v/>
      </c>
      <c r="AL494" s="23" t="str">
        <f>IFERROR(__xludf.DUMMYFUNCTION("XLOOKUP(C494, 
   IMPORTRANGE(""1RdEdgHYrZ33LJ7RUHj_h-qkAFL92bcVjtIdVa-UlsCw"", ""Interns!D:D""), 
   IMPORTRANGE(""1RdEdgHYrZ33LJ7RUHj_h-qkAFL92bcVjtIdVa-UlsCw"", ""Interns!N:N""), 
   ""Not Found"")"),"")</f>
        <v/>
      </c>
      <c r="AM494" s="23" t="str">
        <f>IFERROR(__xludf.DUMMYFUNCTION("XLOOKUP(C494, 
   IMPORTRANGE(""1RdEdgHYrZ33LJ7RUHj_h-qkAFL92bcVjtIdVa-UlsCw"", ""Interns!D:D""), 
   IMPORTRANGE(""1RdEdgHYrZ33LJ7RUHj_h-qkAFL92bcVjtIdVa-UlsCw"", ""Interns!O:O""), 
   ""Not Found"")"),"")</f>
        <v/>
      </c>
      <c r="AN494" s="23"/>
      <c r="AO494" s="23" t="s">
        <v>8584</v>
      </c>
      <c r="AP494" s="28" t="s">
        <v>5191</v>
      </c>
      <c r="AQ494" s="28" t="s">
        <v>8584</v>
      </c>
      <c r="AR494" s="23" t="s">
        <v>8585</v>
      </c>
      <c r="AS494" s="23"/>
      <c r="AT494" s="23"/>
      <c r="AU494" s="23"/>
      <c r="AV494" s="23"/>
    </row>
    <row r="495">
      <c r="A495" s="28" t="s">
        <v>5161</v>
      </c>
      <c r="B495" s="28" t="s">
        <v>5162</v>
      </c>
      <c r="C495" s="23" t="str">
        <f t="shared" si="1"/>
        <v>Irene Almonte</v>
      </c>
      <c r="D495" s="28" t="s">
        <v>8586</v>
      </c>
      <c r="E495" s="28" t="s">
        <v>8241</v>
      </c>
      <c r="F495" s="23">
        <f t="array" ref="F495">IFERROR(
    INDEX('Hub Interns 226'!A:A, MATCH(C495, 'Hub Interns 226'!B:B, 0)),"")</f>
        <v>595</v>
      </c>
      <c r="G495" s="23">
        <f t="array" ref="G495">IFERROR(
    INDEX('Hub Users 226'!A:A, MATCH(C495, 'Hub Users 226'!B:B, 0)),"")</f>
        <v>1028</v>
      </c>
      <c r="H495" s="28">
        <v>141.0</v>
      </c>
      <c r="I495" s="28" t="s">
        <v>260</v>
      </c>
      <c r="J495" s="28" t="s">
        <v>5336</v>
      </c>
      <c r="K495" s="28" t="s">
        <v>5177</v>
      </c>
      <c r="L495" s="28" t="s">
        <v>5196</v>
      </c>
      <c r="M495" s="56" t="s">
        <v>8587</v>
      </c>
      <c r="N495" s="57">
        <v>43778.99930555555</v>
      </c>
      <c r="O495" s="58">
        <v>38039.0</v>
      </c>
      <c r="P495" s="28">
        <f t="shared" ref="P495:P516" si="17">DATEDIF(O495, TODAY(), "Y")</f>
        <v>22</v>
      </c>
      <c r="Q495" s="28" t="s">
        <v>240</v>
      </c>
      <c r="R495" s="23"/>
      <c r="S495" s="28"/>
      <c r="T495" s="28"/>
      <c r="U495" s="28"/>
      <c r="V495" s="28"/>
      <c r="W495" s="28" t="s">
        <v>1173</v>
      </c>
      <c r="X495" s="28" t="s">
        <v>272</v>
      </c>
      <c r="Y495" s="28">
        <v>5.164018969E9</v>
      </c>
      <c r="Z495" s="28" t="s">
        <v>5319</v>
      </c>
      <c r="AA495" s="28" t="s">
        <v>781</v>
      </c>
      <c r="AB495" s="28">
        <v>31.0</v>
      </c>
      <c r="AC495" s="28" t="s">
        <v>25</v>
      </c>
      <c r="AD495" s="28" t="s">
        <v>101</v>
      </c>
      <c r="AE495" s="28" t="s">
        <v>6</v>
      </c>
      <c r="AF495" s="23" t="str">
        <f>IFERROR(__xludf.DUMMYFUNCTION("TEXTJOIN("", "", TRUE,
  FILTER(Champions!C:C,
    ISNUMBER(SEARCH(C495, Champions!W:W))
  )
)"),"Jaskiran Ghuman, Melissa Mozelle Schad, Lizbeth Álvarez")</f>
        <v>Jaskiran Ghuman, Melissa Mozelle Schad, Lizbeth Álvarez</v>
      </c>
      <c r="AG495" s="23"/>
      <c r="AH495" s="23" t="str">
        <f>IFERROR(__xludf.DUMMYFUNCTION("IF(
ISNUMBER(MATCH(
C495,
IMPORTRANGE(""https://docs.google.com/spreadsheets/d/1yTh1ELC33JHYOeEdgIiEclxPRyh0zOKtlawDltfUay8"",""'Interns'!A:A""),
0
)),
""Outreach Conducted"",
"""")"),"")</f>
        <v/>
      </c>
      <c r="AI495" s="23"/>
      <c r="AJ495" s="23"/>
      <c r="AK495" s="23" t="str">
        <f>IFERROR(__xludf.DUMMYFUNCTION("XLOOKUP(C495, 
   IMPORTRANGE(""1RdEdgHYrZ33LJ7RUHj_h-qkAFL92bcVjtIdVa-UlsCw"", ""Interns!D:D""), 
   IMPORTRANGE(""1RdEdgHYrZ33LJ7RUHj_h-qkAFL92bcVjtIdVa-UlsCw"", ""Interns!M:M""), 
   ""Not Found"")"),"")</f>
        <v/>
      </c>
      <c r="AL495" s="23" t="str">
        <f>IFERROR(__xludf.DUMMYFUNCTION("XLOOKUP(C495, 
   IMPORTRANGE(""1RdEdgHYrZ33LJ7RUHj_h-qkAFL92bcVjtIdVa-UlsCw"", ""Interns!D:D""), 
   IMPORTRANGE(""1RdEdgHYrZ33LJ7RUHj_h-qkAFL92bcVjtIdVa-UlsCw"", ""Interns!N:N""), 
   ""Not Found"")"),"")</f>
        <v/>
      </c>
      <c r="AM495" s="23" t="str">
        <f>IFERROR(__xludf.DUMMYFUNCTION("XLOOKUP(C495, 
   IMPORTRANGE(""1RdEdgHYrZ33LJ7RUHj_h-qkAFL92bcVjtIdVa-UlsCw"", ""Interns!D:D""), 
   IMPORTRANGE(""1RdEdgHYrZ33LJ7RUHj_h-qkAFL92bcVjtIdVa-UlsCw"", ""Interns!O:O""), 
   ""Not Found"")"),"")</f>
        <v/>
      </c>
      <c r="AN495" s="23"/>
      <c r="AO495" s="23" t="s">
        <v>8588</v>
      </c>
      <c r="AP495" s="28" t="s">
        <v>5182</v>
      </c>
      <c r="AQ495" s="28" t="s">
        <v>8589</v>
      </c>
      <c r="AR495" s="23">
        <v>3.479525079E9</v>
      </c>
      <c r="AS495" s="23"/>
      <c r="AT495" s="23"/>
      <c r="AU495" s="23"/>
      <c r="AV495" s="23"/>
    </row>
    <row r="496">
      <c r="A496" s="28" t="s">
        <v>5161</v>
      </c>
      <c r="B496" s="28" t="s">
        <v>5162</v>
      </c>
      <c r="C496" s="23" t="str">
        <f t="shared" si="1"/>
        <v>Wladimir Veloz Balbuena</v>
      </c>
      <c r="D496" s="28" t="s">
        <v>8590</v>
      </c>
      <c r="E496" s="28" t="s">
        <v>7665</v>
      </c>
      <c r="F496" s="23">
        <f t="array" ref="F496">IFERROR(
    INDEX('Hub Interns 226'!A:A, MATCH(C496, 'Hub Interns 226'!B:B, 0)),"")</f>
        <v>1196</v>
      </c>
      <c r="G496" s="23">
        <f t="array" ref="G496">IFERROR(
    INDEX('Hub Users 226'!A:A, MATCH(C496, 'Hub Users 226'!B:B, 0)),"")</f>
        <v>1629</v>
      </c>
      <c r="H496" s="28">
        <v>1210.0</v>
      </c>
      <c r="I496" s="28" t="s">
        <v>608</v>
      </c>
      <c r="J496" s="28" t="s">
        <v>5336</v>
      </c>
      <c r="K496" s="28" t="s">
        <v>5177</v>
      </c>
      <c r="L496" s="28" t="s">
        <v>5165</v>
      </c>
      <c r="M496" s="56" t="s">
        <v>8591</v>
      </c>
      <c r="N496" s="57">
        <v>44835.79027777778</v>
      </c>
      <c r="O496" s="58">
        <v>37358.0</v>
      </c>
      <c r="P496" s="28">
        <f t="shared" si="17"/>
        <v>24</v>
      </c>
      <c r="Q496" s="28" t="s">
        <v>8592</v>
      </c>
      <c r="R496" s="28" t="s">
        <v>8593</v>
      </c>
      <c r="S496" s="28">
        <v>13.0</v>
      </c>
      <c r="T496" s="28">
        <v>31.0</v>
      </c>
      <c r="U496" s="28">
        <v>81.0</v>
      </c>
      <c r="V496" s="28">
        <v>11.0</v>
      </c>
      <c r="W496" s="28" t="s">
        <v>859</v>
      </c>
      <c r="X496" s="28" t="s">
        <v>272</v>
      </c>
      <c r="Y496" s="28">
        <v>3.475833827E9</v>
      </c>
      <c r="Z496" s="28" t="s">
        <v>7670</v>
      </c>
      <c r="AA496" s="28" t="s">
        <v>7671</v>
      </c>
      <c r="AB496" s="28">
        <v>10.0</v>
      </c>
      <c r="AC496" s="28" t="s">
        <v>25</v>
      </c>
      <c r="AD496" s="23"/>
      <c r="AE496" s="28" t="s">
        <v>15</v>
      </c>
      <c r="AF496" s="23" t="str">
        <f>IFERROR(__xludf.DUMMYFUNCTION("TEXTJOIN("", "", TRUE,
  FILTER(Champions!C:C,
    ISNUMBER(SEARCH(C496, Champions!W:W))
  )
)"),"Alina Ispas Montbriand, Carmen Maldonado-Bowling")</f>
        <v>Alina Ispas Montbriand, Carmen Maldonado-Bowling</v>
      </c>
      <c r="AG496" s="23"/>
      <c r="AH496" s="23" t="str">
        <f>IFERROR(__xludf.DUMMYFUNCTION("IF(
ISNUMBER(MATCH(
C496,
IMPORTRANGE(""https://docs.google.com/spreadsheets/d/1yTh1ELC33JHYOeEdgIiEclxPRyh0zOKtlawDltfUay8"",""'Interns'!A:A""),
0
)),
""Outreach Conducted"",
"""")"),"")</f>
        <v/>
      </c>
      <c r="AI496" s="23"/>
      <c r="AJ496" s="23"/>
      <c r="AK496" s="23" t="str">
        <f>IFERROR(__xludf.DUMMYFUNCTION("XLOOKUP(C496, 
   IMPORTRANGE(""1RdEdgHYrZ33LJ7RUHj_h-qkAFL92bcVjtIdVa-UlsCw"", ""Interns!D:D""), 
   IMPORTRANGE(""1RdEdgHYrZ33LJ7RUHj_h-qkAFL92bcVjtIdVa-UlsCw"", ""Interns!M:M""), 
   ""Not Found"")"),"Contacted")</f>
        <v>Contacted</v>
      </c>
      <c r="AL496" s="23" t="str">
        <f>IFERROR(__xludf.DUMMYFUNCTION("XLOOKUP(C496, 
   IMPORTRANGE(""1RdEdgHYrZ33LJ7RUHj_h-qkAFL92bcVjtIdVa-UlsCw"", ""Interns!D:D""), 
   IMPORTRANGE(""1RdEdgHYrZ33LJ7RUHj_h-qkAFL92bcVjtIdVa-UlsCw"", ""Interns!N:N""), 
   ""Not Found"")"),"#Cheers4Careers")</f>
        <v>#Cheers4Careers</v>
      </c>
      <c r="AM496" s="23" t="str">
        <f>IFERROR(__xludf.DUMMYFUNCTION("XLOOKUP(C496, 
   IMPORTRANGE(""1RdEdgHYrZ33LJ7RUHj_h-qkAFL92bcVjtIdVa-UlsCw"", ""Interns!D:D""), 
   IMPORTRANGE(""1RdEdgHYrZ33LJ7RUHj_h-qkAFL92bcVjtIdVa-UlsCw"", ""Interns!O:O""), 
   ""Not Found"")"),"Hetal reached out by email 3/27")</f>
        <v>Hetal reached out by email 3/27</v>
      </c>
      <c r="AN496" s="23"/>
      <c r="AO496" s="23" t="s">
        <v>8594</v>
      </c>
      <c r="AP496" s="28" t="s">
        <v>5191</v>
      </c>
      <c r="AQ496" s="28" t="s">
        <v>8595</v>
      </c>
      <c r="AR496" s="23">
        <v>9.783981796E9</v>
      </c>
      <c r="AS496" s="23"/>
      <c r="AT496" s="23"/>
      <c r="AU496" s="23"/>
      <c r="AV496" s="23"/>
    </row>
    <row r="497">
      <c r="A497" s="28" t="s">
        <v>5161</v>
      </c>
      <c r="B497" s="28" t="s">
        <v>5162</v>
      </c>
      <c r="C497" s="23" t="str">
        <f t="shared" si="1"/>
        <v>Ashmel Martinez</v>
      </c>
      <c r="D497" s="28" t="s">
        <v>8596</v>
      </c>
      <c r="E497" s="28" t="s">
        <v>2010</v>
      </c>
      <c r="F497" s="23">
        <f t="array" ref="F497">IFERROR(
    INDEX('Hub Interns 226'!A:A, MATCH(C497, 'Hub Interns 226'!B:B, 0)),"")</f>
        <v>849</v>
      </c>
      <c r="G497" s="23">
        <f t="array" ref="G497">IFERROR(
    INDEX('Hub Users 226'!A:A, MATCH(C497, 'Hub Users 226'!B:B, 0)),"")</f>
        <v>1282</v>
      </c>
      <c r="H497" s="28">
        <v>220.0</v>
      </c>
      <c r="I497" s="28" t="s">
        <v>260</v>
      </c>
      <c r="J497" s="28" t="s">
        <v>5336</v>
      </c>
      <c r="K497" s="28" t="s">
        <v>5177</v>
      </c>
      <c r="L497" s="28" t="s">
        <v>5196</v>
      </c>
      <c r="M497" s="56" t="s">
        <v>8597</v>
      </c>
      <c r="N497" s="57">
        <v>44103.55416666667</v>
      </c>
      <c r="O497" s="58">
        <v>37504.0</v>
      </c>
      <c r="P497" s="28">
        <f t="shared" si="17"/>
        <v>23</v>
      </c>
      <c r="Q497" s="28" t="s">
        <v>8598</v>
      </c>
      <c r="R497" s="28" t="s">
        <v>8599</v>
      </c>
      <c r="S497" s="28">
        <v>15.0</v>
      </c>
      <c r="T497" s="28">
        <v>33.0</v>
      </c>
      <c r="U497" s="28">
        <v>81.0</v>
      </c>
      <c r="V497" s="28">
        <v>11.0</v>
      </c>
      <c r="W497" s="28" t="s">
        <v>859</v>
      </c>
      <c r="X497" s="28" t="s">
        <v>272</v>
      </c>
      <c r="Y497" s="28" t="s">
        <v>8600</v>
      </c>
      <c r="Z497" s="28" t="s">
        <v>5435</v>
      </c>
      <c r="AA497" s="28" t="s">
        <v>5436</v>
      </c>
      <c r="AB497" s="28">
        <v>10.0</v>
      </c>
      <c r="AC497" s="28" t="s">
        <v>25</v>
      </c>
      <c r="AD497" s="23"/>
      <c r="AE497" s="28" t="s">
        <v>8</v>
      </c>
      <c r="AF497" s="23" t="str">
        <f>IFERROR(__xludf.DUMMYFUNCTION("TEXTJOIN("", "", TRUE,
  FILTER(Champions!C:C,
    ISNUMBER(SEARCH(C497, Champions!W:W))
  )
)"),"Seema Dixit, Susan Philipose, Lily Chu")</f>
        <v>Seema Dixit, Susan Philipose, Lily Chu</v>
      </c>
      <c r="AG497" s="23"/>
      <c r="AH497" s="23" t="str">
        <f>IFERROR(__xludf.DUMMYFUNCTION("IF(
ISNUMBER(MATCH(
C497,
IMPORTRANGE(""https://docs.google.com/spreadsheets/d/1yTh1ELC33JHYOeEdgIiEclxPRyh0zOKtlawDltfUay8"",""'Interns'!A:A""),
0
)),
""Outreach Conducted"",
"""")"),"")</f>
        <v/>
      </c>
      <c r="AI497" s="23"/>
      <c r="AJ497" s="28" t="s">
        <v>8601</v>
      </c>
      <c r="AK497" s="23" t="str">
        <f>IFERROR(__xludf.DUMMYFUNCTION("XLOOKUP(C497, 
   IMPORTRANGE(""1RdEdgHYrZ33LJ7RUHj_h-qkAFL92bcVjtIdVa-UlsCw"", ""Interns!D:D""), 
   IMPORTRANGE(""1RdEdgHYrZ33LJ7RUHj_h-qkAFL92bcVjtIdVa-UlsCw"", ""Interns!M:M""), 
   ""Not Found"")"),"Contacted")</f>
        <v>Contacted</v>
      </c>
      <c r="AL497" s="23" t="str">
        <f>IFERROR(__xludf.DUMMYFUNCTION("XLOOKUP(C497, 
   IMPORTRANGE(""1RdEdgHYrZ33LJ7RUHj_h-qkAFL92bcVjtIdVa-UlsCw"", ""Interns!D:D""), 
   IMPORTRANGE(""1RdEdgHYrZ33LJ7RUHj_h-qkAFL92bcVjtIdVa-UlsCw"", ""Interns!N:N""), 
   ""Not Found"")"),"#Cheers4Careers")</f>
        <v>#Cheers4Careers</v>
      </c>
      <c r="AM497" s="23" t="str">
        <f>IFERROR(__xludf.DUMMYFUNCTION("XLOOKUP(C497, 
   IMPORTRANGE(""1RdEdgHYrZ33LJ7RUHj_h-qkAFL92bcVjtIdVa-UlsCw"", ""Interns!D:D""), 
   IMPORTRANGE(""1RdEdgHYrZ33LJ7RUHj_h-qkAFL92bcVjtIdVa-UlsCw"", ""Interns!O:O""), 
   ""Not Found"")"),"Hetal reached out by email 3/27")</f>
        <v>Hetal reached out by email 3/27</v>
      </c>
      <c r="AN497" s="23"/>
      <c r="AO497" s="23" t="s">
        <v>8602</v>
      </c>
      <c r="AP497" s="28" t="s">
        <v>7353</v>
      </c>
      <c r="AQ497" s="28" t="s">
        <v>8603</v>
      </c>
      <c r="AR497" s="23" t="s">
        <v>8604</v>
      </c>
      <c r="AS497" s="23"/>
      <c r="AT497" s="23"/>
      <c r="AU497" s="23"/>
      <c r="AV497" s="23"/>
    </row>
    <row r="498">
      <c r="A498" s="28" t="s">
        <v>5161</v>
      </c>
      <c r="B498" s="28" t="s">
        <v>5162</v>
      </c>
      <c r="C498" s="23" t="str">
        <f t="shared" si="1"/>
        <v>Hayes Mendez</v>
      </c>
      <c r="D498" s="28" t="s">
        <v>8605</v>
      </c>
      <c r="E498" s="28" t="s">
        <v>969</v>
      </c>
      <c r="F498" s="23">
        <f t="array" ref="F498">IFERROR(
    INDEX('Hub Interns 226'!A:A, MATCH(C498, 'Hub Interns 226'!B:B, 0)),"")</f>
        <v>569</v>
      </c>
      <c r="G498" s="23">
        <f t="array" ref="G498">IFERROR(
    INDEX('Hub Users 226'!A:A, MATCH(C498, 'Hub Users 226'!B:B, 0)),"")</f>
        <v>1002</v>
      </c>
      <c r="H498" s="28">
        <v>1228.0</v>
      </c>
      <c r="I498" s="28" t="s">
        <v>407</v>
      </c>
      <c r="J498" s="28" t="s">
        <v>5336</v>
      </c>
      <c r="K498" s="28" t="s">
        <v>5177</v>
      </c>
      <c r="L498" s="28" t="s">
        <v>5165</v>
      </c>
      <c r="M498" s="56" t="s">
        <v>8606</v>
      </c>
      <c r="N498" s="57">
        <v>44838.441666666666</v>
      </c>
      <c r="O498" s="58">
        <v>39043.0</v>
      </c>
      <c r="P498" s="28">
        <f t="shared" si="17"/>
        <v>19</v>
      </c>
      <c r="Q498" s="28" t="s">
        <v>8607</v>
      </c>
      <c r="R498" s="28" t="s">
        <v>8608</v>
      </c>
      <c r="S498" s="28">
        <v>13.0</v>
      </c>
      <c r="T498" s="28">
        <v>31.0</v>
      </c>
      <c r="U498" s="28">
        <v>71.0</v>
      </c>
      <c r="V498" s="28">
        <v>10.0</v>
      </c>
      <c r="W498" s="28" t="s">
        <v>271</v>
      </c>
      <c r="X498" s="28" t="s">
        <v>272</v>
      </c>
      <c r="Y498" s="28" t="s">
        <v>8609</v>
      </c>
      <c r="Z498" s="28" t="s">
        <v>5341</v>
      </c>
      <c r="AA498" s="28" t="s">
        <v>1085</v>
      </c>
      <c r="AB498" s="28">
        <v>10.0</v>
      </c>
      <c r="AC498" s="28" t="s">
        <v>25</v>
      </c>
      <c r="AD498" s="23"/>
      <c r="AE498" s="28" t="s">
        <v>15</v>
      </c>
      <c r="AF498" s="23" t="str">
        <f>IFERROR(__xludf.DUMMYFUNCTION("TEXTJOIN("", "", TRUE,
  FILTER(Champions!C:C,
    ISNUMBER(SEARCH(C498, Champions!W:W))
  )
)"),"Christa Neu, Mario Badillo, Sunkyung Park")</f>
        <v>Christa Neu, Mario Badillo, Sunkyung Park</v>
      </c>
      <c r="AG498" s="23"/>
      <c r="AH498" s="23" t="str">
        <f>IFERROR(__xludf.DUMMYFUNCTION("IF(
ISNUMBER(MATCH(
C498,
IMPORTRANGE(""https://docs.google.com/spreadsheets/d/1yTh1ELC33JHYOeEdgIiEclxPRyh0zOKtlawDltfUay8"",""'Interns'!A:A""),
0
)),
""Outreach Conducted"",
"""")"),"")</f>
        <v/>
      </c>
      <c r="AI498" s="23"/>
      <c r="AJ498" s="23"/>
      <c r="AK498" s="23" t="str">
        <f>IFERROR(__xludf.DUMMYFUNCTION("XLOOKUP(C498, 
   IMPORTRANGE(""1RdEdgHYrZ33LJ7RUHj_h-qkAFL92bcVjtIdVa-UlsCw"", ""Interns!D:D""), 
   IMPORTRANGE(""1RdEdgHYrZ33LJ7RUHj_h-qkAFL92bcVjtIdVa-UlsCw"", ""Interns!M:M""), 
   ""Not Found"")"),"Contacted")</f>
        <v>Contacted</v>
      </c>
      <c r="AL498" s="23" t="str">
        <f>IFERROR(__xludf.DUMMYFUNCTION("XLOOKUP(C498, 
   IMPORTRANGE(""1RdEdgHYrZ33LJ7RUHj_h-qkAFL92bcVjtIdVa-UlsCw"", ""Interns!D:D""), 
   IMPORTRANGE(""1RdEdgHYrZ33LJ7RUHj_h-qkAFL92bcVjtIdVa-UlsCw"", ""Interns!N:N""), 
   ""Not Found"")"),"#Cheers4Careers")</f>
        <v>#Cheers4Careers</v>
      </c>
      <c r="AM498" s="23" t="str">
        <f>IFERROR(__xludf.DUMMYFUNCTION("XLOOKUP(C498, 
   IMPORTRANGE(""1RdEdgHYrZ33LJ7RUHj_h-qkAFL92bcVjtIdVa-UlsCw"", ""Interns!D:D""), 
   IMPORTRANGE(""1RdEdgHYrZ33LJ7RUHj_h-qkAFL92bcVjtIdVa-UlsCw"", ""Interns!O:O""), 
   ""Not Found"")"),"Texted on April 14 for #Cheers4Careers event")</f>
        <v>Texted on April 14 for #Cheers4Careers event</v>
      </c>
      <c r="AN498" s="23"/>
      <c r="AO498" s="23" t="s">
        <v>8610</v>
      </c>
      <c r="AP498" s="28" t="s">
        <v>5182</v>
      </c>
      <c r="AQ498" s="28" t="s">
        <v>8611</v>
      </c>
      <c r="AR498" s="23" t="s">
        <v>8612</v>
      </c>
      <c r="AS498" s="23"/>
      <c r="AT498" s="23"/>
      <c r="AU498" s="23"/>
      <c r="AV498" s="23"/>
    </row>
    <row r="499">
      <c r="A499" s="28" t="s">
        <v>5161</v>
      </c>
      <c r="B499" s="28" t="s">
        <v>5162</v>
      </c>
      <c r="C499" s="23" t="str">
        <f t="shared" si="1"/>
        <v>Rohan Basavaraj</v>
      </c>
      <c r="D499" s="28" t="s">
        <v>8613</v>
      </c>
      <c r="E499" s="28" t="s">
        <v>8614</v>
      </c>
      <c r="F499" s="23">
        <f t="array" ref="F499">IFERROR(
    INDEX('Hub Interns 226'!A:A, MATCH(C499, 'Hub Interns 226'!B:B, 0)),"")</f>
        <v>1034</v>
      </c>
      <c r="G499" s="23">
        <f t="array" ref="G499">IFERROR(
    INDEX('Hub Users 226'!A:A, MATCH(C499, 'Hub Users 226'!B:B, 0)),"")</f>
        <v>1467</v>
      </c>
      <c r="H499" s="28">
        <v>1352.0</v>
      </c>
      <c r="I499" s="28" t="s">
        <v>290</v>
      </c>
      <c r="J499" s="28" t="s">
        <v>5336</v>
      </c>
      <c r="K499" s="28" t="s">
        <v>5177</v>
      </c>
      <c r="L499" s="28" t="s">
        <v>5165</v>
      </c>
      <c r="M499" s="56" t="s">
        <v>8615</v>
      </c>
      <c r="N499" s="59">
        <v>44859.48263888889</v>
      </c>
      <c r="O499" s="58">
        <v>39040.0</v>
      </c>
      <c r="P499" s="28">
        <f t="shared" si="17"/>
        <v>19</v>
      </c>
      <c r="Q499" s="28" t="s">
        <v>8616</v>
      </c>
      <c r="R499" s="28" t="s">
        <v>8617</v>
      </c>
      <c r="S499" s="28">
        <v>13.0</v>
      </c>
      <c r="T499" s="28">
        <v>31.0</v>
      </c>
      <c r="U499" s="28">
        <v>72.0</v>
      </c>
      <c r="V499" s="28">
        <v>10.0</v>
      </c>
      <c r="W499" s="28" t="s">
        <v>271</v>
      </c>
      <c r="X499" s="28" t="s">
        <v>272</v>
      </c>
      <c r="Y499" s="28" t="s">
        <v>8618</v>
      </c>
      <c r="Z499" s="28" t="s">
        <v>5341</v>
      </c>
      <c r="AA499" s="28" t="s">
        <v>1085</v>
      </c>
      <c r="AB499" s="28">
        <v>10.0</v>
      </c>
      <c r="AC499" s="28" t="s">
        <v>25</v>
      </c>
      <c r="AD499" s="23"/>
      <c r="AE499" s="28" t="s">
        <v>15</v>
      </c>
      <c r="AF499" s="23" t="str">
        <f>IFERROR(__xludf.DUMMYFUNCTION("TEXTJOIN("", "", TRUE,
  FILTER(Champions!C:C,
    ISNUMBER(SEARCH(C499, Champions!W:W))
  )
)"),"Joan Marie Cadenhead, Oheneba Afriyie, Esteban Proaño")</f>
        <v>Joan Marie Cadenhead, Oheneba Afriyie, Esteban Proaño</v>
      </c>
      <c r="AG499" s="26" t="s">
        <v>5342</v>
      </c>
      <c r="AH499" s="23" t="str">
        <f>IFERROR(__xludf.DUMMYFUNCTION("IF(
ISNUMBER(MATCH(
C499,
IMPORTRANGE(""https://docs.google.com/spreadsheets/d/1yTh1ELC33JHYOeEdgIiEclxPRyh0zOKtlawDltfUay8"",""'Interns'!A:A""),
0
)),
""Outreach Conducted"",
"""")"),"")</f>
        <v/>
      </c>
      <c r="AI499" s="23"/>
      <c r="AJ499" s="23"/>
      <c r="AK499" s="23" t="str">
        <f>IFERROR(__xludf.DUMMYFUNCTION("XLOOKUP(C499, 
   IMPORTRANGE(""1RdEdgHYrZ33LJ7RUHj_h-qkAFL92bcVjtIdVa-UlsCw"", ""Interns!D:D""), 
   IMPORTRANGE(""1RdEdgHYrZ33LJ7RUHj_h-qkAFL92bcVjtIdVa-UlsCw"", ""Interns!M:M""), 
   ""Not Found"")"),"Contacted")</f>
        <v>Contacted</v>
      </c>
      <c r="AL499" s="23" t="str">
        <f>IFERROR(__xludf.DUMMYFUNCTION("XLOOKUP(C499, 
   IMPORTRANGE(""1RdEdgHYrZ33LJ7RUHj_h-qkAFL92bcVjtIdVa-UlsCw"", ""Interns!D:D""), 
   IMPORTRANGE(""1RdEdgHYrZ33LJ7RUHj_h-qkAFL92bcVjtIdVa-UlsCw"", ""Interns!N:N""), 
   ""Not Found"")"),"#Cheers4Careers")</f>
        <v>#Cheers4Careers</v>
      </c>
      <c r="AM499" s="23" t="str">
        <f>IFERROR(__xludf.DUMMYFUNCTION("XLOOKUP(C499, 
   IMPORTRANGE(""1RdEdgHYrZ33LJ7RUHj_h-qkAFL92bcVjtIdVa-UlsCw"", ""Interns!D:D""), 
   IMPORTRANGE(""1RdEdgHYrZ33LJ7RUHj_h-qkAFL92bcVjtIdVa-UlsCw"", ""Interns!O:O""), 
   ""Not Found"")"),"Texted on April 14 for #Cheers4Careers event")</f>
        <v>Texted on April 14 for #Cheers4Careers event</v>
      </c>
      <c r="AN499" s="23"/>
      <c r="AO499" s="23" t="s">
        <v>8619</v>
      </c>
      <c r="AP499" s="28" t="s">
        <v>5182</v>
      </c>
      <c r="AQ499" s="28" t="s">
        <v>8620</v>
      </c>
      <c r="AR499" s="23" t="s">
        <v>8621</v>
      </c>
      <c r="AS499" s="23"/>
      <c r="AT499" s="23"/>
      <c r="AU499" s="23"/>
      <c r="AV499" s="23"/>
    </row>
    <row r="500">
      <c r="A500" s="28" t="s">
        <v>5161</v>
      </c>
      <c r="B500" s="28" t="s">
        <v>5162</v>
      </c>
      <c r="C500" s="23" t="str">
        <f t="shared" si="1"/>
        <v>Matthew Vargas</v>
      </c>
      <c r="D500" s="28" t="s">
        <v>2368</v>
      </c>
      <c r="E500" s="28" t="s">
        <v>1111</v>
      </c>
      <c r="F500" s="23">
        <f t="array" ref="F500">IFERROR(
    INDEX('Hub Interns 226'!A:A, MATCH(C500, 'Hub Interns 226'!B:B, 0)),"")</f>
        <v>859</v>
      </c>
      <c r="G500" s="23">
        <f t="array" ref="G500">IFERROR(
    INDEX('Hub Users 226'!A:A, MATCH(C500, 'Hub Users 226'!B:B, 0)),"")</f>
        <v>1292</v>
      </c>
      <c r="H500" s="28">
        <v>812.0</v>
      </c>
      <c r="I500" s="28" t="s">
        <v>239</v>
      </c>
      <c r="J500" s="28" t="s">
        <v>5336</v>
      </c>
      <c r="K500" s="28" t="s">
        <v>5177</v>
      </c>
      <c r="L500" s="28" t="s">
        <v>5165</v>
      </c>
      <c r="M500" s="56" t="s">
        <v>8622</v>
      </c>
      <c r="N500" s="57">
        <v>44568.978472222225</v>
      </c>
      <c r="O500" s="58">
        <v>38399.0</v>
      </c>
      <c r="P500" s="28">
        <f t="shared" si="17"/>
        <v>21</v>
      </c>
      <c r="Q500" s="28" t="s">
        <v>240</v>
      </c>
      <c r="R500" s="28" t="s">
        <v>8623</v>
      </c>
      <c r="S500" s="28">
        <v>13.0</v>
      </c>
      <c r="T500" s="28">
        <v>33.0</v>
      </c>
      <c r="U500" s="28">
        <v>86.0</v>
      </c>
      <c r="V500" s="28">
        <v>14.0</v>
      </c>
      <c r="W500" s="28" t="s">
        <v>859</v>
      </c>
      <c r="X500" s="28" t="s">
        <v>272</v>
      </c>
      <c r="Y500" s="28" t="s">
        <v>8624</v>
      </c>
      <c r="Z500" s="28" t="s">
        <v>5341</v>
      </c>
      <c r="AA500" s="28" t="s">
        <v>1085</v>
      </c>
      <c r="AB500" s="28">
        <v>10.0</v>
      </c>
      <c r="AC500" s="28" t="s">
        <v>25</v>
      </c>
      <c r="AD500" s="23"/>
      <c r="AE500" s="28" t="s">
        <v>10</v>
      </c>
      <c r="AF500" s="23" t="str">
        <f>IFERROR(__xludf.DUMMYFUNCTION("TEXTJOIN("", "", TRUE,
  FILTER(Champions!C:C,
    ISNUMBER(SEARCH(C500, Champions!W:W))
  )
)"),"Bindu Krishna, Carmelo DeLeon, Bindu Krishna (D)")</f>
        <v>Bindu Krishna, Carmelo DeLeon, Bindu Krishna (D)</v>
      </c>
      <c r="AG500" s="23"/>
      <c r="AH500" s="23" t="str">
        <f>IFERROR(__xludf.DUMMYFUNCTION("IF(
ISNUMBER(MATCH(
C500,
IMPORTRANGE(""https://docs.google.com/spreadsheets/d/1yTh1ELC33JHYOeEdgIiEclxPRyh0zOKtlawDltfUay8"",""'Interns'!A:A""),
0
)),
""Outreach Conducted"",
"""")"),"")</f>
        <v/>
      </c>
      <c r="AI500" s="23"/>
      <c r="AJ500" s="23"/>
      <c r="AK500" s="23" t="str">
        <f>IFERROR(__xludf.DUMMYFUNCTION("XLOOKUP(C500, 
   IMPORTRANGE(""1RdEdgHYrZ33LJ7RUHj_h-qkAFL92bcVjtIdVa-UlsCw"", ""Interns!D:D""), 
   IMPORTRANGE(""1RdEdgHYrZ33LJ7RUHj_h-qkAFL92bcVjtIdVa-UlsCw"", ""Interns!M:M""), 
   ""Not Found"")"),"Contacted")</f>
        <v>Contacted</v>
      </c>
      <c r="AL500" s="23" t="str">
        <f>IFERROR(__xludf.DUMMYFUNCTION("XLOOKUP(C500, 
   IMPORTRANGE(""1RdEdgHYrZ33LJ7RUHj_h-qkAFL92bcVjtIdVa-UlsCw"", ""Interns!D:D""), 
   IMPORTRANGE(""1RdEdgHYrZ33LJ7RUHj_h-qkAFL92bcVjtIdVa-UlsCw"", ""Interns!N:N""), 
   ""Not Found"")"),"#Cheers4Careers")</f>
        <v>#Cheers4Careers</v>
      </c>
      <c r="AM500" s="23" t="str">
        <f>IFERROR(__xludf.DUMMYFUNCTION("XLOOKUP(C500, 
   IMPORTRANGE(""1RdEdgHYrZ33LJ7RUHj_h-qkAFL92bcVjtIdVa-UlsCw"", ""Interns!D:D""), 
   IMPORTRANGE(""1RdEdgHYrZ33LJ7RUHj_h-qkAFL92bcVjtIdVa-UlsCw"", ""Interns!O:O""), 
   ""Not Found"")"),"Texted on April 14 for #Cheers4Careers event")</f>
        <v>Texted on April 14 for #Cheers4Careers event</v>
      </c>
      <c r="AN500" s="23"/>
      <c r="AO500" s="23" t="s">
        <v>8625</v>
      </c>
      <c r="AP500" s="28" t="s">
        <v>5182</v>
      </c>
      <c r="AQ500" s="28" t="s">
        <v>8626</v>
      </c>
      <c r="AR500" s="23" t="s">
        <v>8627</v>
      </c>
      <c r="AS500" s="23"/>
      <c r="AT500" s="23"/>
      <c r="AU500" s="23"/>
      <c r="AV500" s="23"/>
    </row>
    <row r="501">
      <c r="A501" s="28" t="s">
        <v>5202</v>
      </c>
      <c r="B501" s="28" t="s">
        <v>5162</v>
      </c>
      <c r="C501" s="23" t="str">
        <f t="shared" si="1"/>
        <v>Ariel Guaman</v>
      </c>
      <c r="D501" s="28" t="s">
        <v>4208</v>
      </c>
      <c r="E501" s="28" t="s">
        <v>8435</v>
      </c>
      <c r="F501" s="23">
        <f t="array" ref="F501">IFERROR(
    INDEX('Hub Interns 226'!A:A, MATCH(C501, 'Hub Interns 226'!B:B, 0)),"")</f>
        <v>258</v>
      </c>
      <c r="G501" s="23">
        <f t="array" ref="G501">IFERROR(
    INDEX('Hub Users 226'!A:A, MATCH(C501, 'Hub Users 226'!B:B, 0)),"")</f>
        <v>691</v>
      </c>
      <c r="H501" s="28">
        <v>516.0</v>
      </c>
      <c r="I501" s="28" t="s">
        <v>302</v>
      </c>
      <c r="J501" s="28" t="s">
        <v>2388</v>
      </c>
      <c r="K501" s="28" t="s">
        <v>5463</v>
      </c>
      <c r="L501" s="28" t="s">
        <v>5165</v>
      </c>
      <c r="M501" s="56" t="s">
        <v>8628</v>
      </c>
      <c r="N501" s="57">
        <v>44476.65416666667</v>
      </c>
      <c r="O501" s="58">
        <v>38648.0</v>
      </c>
      <c r="P501" s="28">
        <f t="shared" si="17"/>
        <v>20</v>
      </c>
      <c r="Q501" s="28" t="s">
        <v>8629</v>
      </c>
      <c r="R501" s="28" t="s">
        <v>8630</v>
      </c>
      <c r="S501" s="28">
        <v>14.0</v>
      </c>
      <c r="T501" s="28">
        <v>13.0</v>
      </c>
      <c r="U501" s="28">
        <v>35.0</v>
      </c>
      <c r="V501" s="28">
        <v>21.0</v>
      </c>
      <c r="W501" s="28" t="s">
        <v>1173</v>
      </c>
      <c r="X501" s="28" t="s">
        <v>272</v>
      </c>
      <c r="Y501" s="28" t="s">
        <v>8631</v>
      </c>
      <c r="Z501" s="28" t="s">
        <v>5189</v>
      </c>
      <c r="AA501" s="28" t="s">
        <v>619</v>
      </c>
      <c r="AB501" s="28">
        <v>20.0</v>
      </c>
      <c r="AC501" s="28" t="s">
        <v>25</v>
      </c>
      <c r="AD501" s="23"/>
      <c r="AE501" s="28" t="s">
        <v>10</v>
      </c>
      <c r="AF501" s="23" t="str">
        <f>IFERROR(__xludf.DUMMYFUNCTION("TEXTJOIN("", "", TRUE,
  FILTER(Champions!C:C,
    ISNUMBER(SEARCH(C501, Champions!W:W))
  )
)"),"Harrison Thai, Tiffany Soojung Park, XIONG XIONG")</f>
        <v>Harrison Thai, Tiffany Soojung Park, XIONG XIONG</v>
      </c>
      <c r="AG501" s="23"/>
      <c r="AH501" s="23" t="str">
        <f>IFERROR(__xludf.DUMMYFUNCTION("IF(
ISNUMBER(MATCH(
C501,
IMPORTRANGE(""https://docs.google.com/spreadsheets/d/1yTh1ELC33JHYOeEdgIiEclxPRyh0zOKtlawDltfUay8"",""'Interns'!A:A""),
0
)),
""Outreach Conducted"",
"""")"),"")</f>
        <v/>
      </c>
      <c r="AI501" s="23"/>
      <c r="AJ501" s="23"/>
      <c r="AK501" s="23" t="str">
        <f>IFERROR(__xludf.DUMMYFUNCTION("XLOOKUP(C501, 
   IMPORTRANGE(""1RdEdgHYrZ33LJ7RUHj_h-qkAFL92bcVjtIdVa-UlsCw"", ""Interns!D:D""), 
   IMPORTRANGE(""1RdEdgHYrZ33LJ7RUHj_h-qkAFL92bcVjtIdVa-UlsCw"", ""Interns!M:M""), 
   ""Not Found"")"),"")</f>
        <v/>
      </c>
      <c r="AL501" s="23" t="str">
        <f>IFERROR(__xludf.DUMMYFUNCTION("XLOOKUP(C501, 
   IMPORTRANGE(""1RdEdgHYrZ33LJ7RUHj_h-qkAFL92bcVjtIdVa-UlsCw"", ""Interns!D:D""), 
   IMPORTRANGE(""1RdEdgHYrZ33LJ7RUHj_h-qkAFL92bcVjtIdVa-UlsCw"", ""Interns!N:N""), 
   ""Not Found"")"),"")</f>
        <v/>
      </c>
      <c r="AM501" s="23" t="str">
        <f>IFERROR(__xludf.DUMMYFUNCTION("XLOOKUP(C501, 
   IMPORTRANGE(""1RdEdgHYrZ33LJ7RUHj_h-qkAFL92bcVjtIdVa-UlsCw"", ""Interns!D:D""), 
   IMPORTRANGE(""1RdEdgHYrZ33LJ7RUHj_h-qkAFL92bcVjtIdVa-UlsCw"", ""Interns!O:O""), 
   ""Not Found"")"),"")</f>
        <v/>
      </c>
      <c r="AN501" s="23"/>
      <c r="AO501" s="23" t="s">
        <v>8632</v>
      </c>
      <c r="AP501" s="28" t="s">
        <v>5182</v>
      </c>
      <c r="AQ501" s="28" t="s">
        <v>8633</v>
      </c>
      <c r="AR501" s="23" t="s">
        <v>8634</v>
      </c>
      <c r="AS501" s="23"/>
      <c r="AT501" s="23"/>
      <c r="AU501" s="23"/>
      <c r="AV501" s="23"/>
    </row>
    <row r="502">
      <c r="A502" s="28" t="s">
        <v>5161</v>
      </c>
      <c r="B502" s="28" t="s">
        <v>5162</v>
      </c>
      <c r="C502" s="23" t="str">
        <f t="shared" si="1"/>
        <v>Naomi Nolasco</v>
      </c>
      <c r="D502" s="28" t="s">
        <v>8635</v>
      </c>
      <c r="E502" s="28" t="s">
        <v>7220</v>
      </c>
      <c r="F502" s="23">
        <f t="array" ref="F502">IFERROR(
    INDEX('Hub Interns 226'!A:A, MATCH(C502, 'Hub Interns 226'!B:B, 0)),"")</f>
        <v>3</v>
      </c>
      <c r="G502" s="23">
        <f t="array" ref="G502">IFERROR(
    INDEX('Hub Users 226'!A:A, MATCH(C502, 'Hub Users 226'!B:B, 0)),"")</f>
        <v>11</v>
      </c>
      <c r="H502" s="28">
        <v>1623.0</v>
      </c>
      <c r="I502" s="28" t="s">
        <v>260</v>
      </c>
      <c r="J502" s="28" t="s">
        <v>5336</v>
      </c>
      <c r="K502" s="28" t="s">
        <v>5177</v>
      </c>
      <c r="L502" s="28" t="s">
        <v>5196</v>
      </c>
      <c r="M502" s="56" t="s">
        <v>8636</v>
      </c>
      <c r="N502" s="57">
        <v>45099.927777777775</v>
      </c>
      <c r="O502" s="58">
        <v>45090.0</v>
      </c>
      <c r="P502" s="28">
        <f t="shared" si="17"/>
        <v>2</v>
      </c>
      <c r="Q502" s="28" t="s">
        <v>8637</v>
      </c>
      <c r="R502" s="28" t="s">
        <v>8638</v>
      </c>
      <c r="S502" s="28">
        <v>13.0</v>
      </c>
      <c r="T502" s="28">
        <v>33.0</v>
      </c>
      <c r="U502" s="28">
        <v>86.0</v>
      </c>
      <c r="V502" s="28">
        <v>14.0</v>
      </c>
      <c r="W502" s="28" t="s">
        <v>859</v>
      </c>
      <c r="X502" s="28" t="s">
        <v>272</v>
      </c>
      <c r="Y502" s="28">
        <v>4.255009014E9</v>
      </c>
      <c r="Z502" s="28" t="s">
        <v>5208</v>
      </c>
      <c r="AA502" s="28" t="s">
        <v>2141</v>
      </c>
      <c r="AB502" s="28">
        <v>8.0</v>
      </c>
      <c r="AC502" s="28" t="s">
        <v>25</v>
      </c>
      <c r="AD502" s="23"/>
      <c r="AE502" s="28" t="s">
        <v>18</v>
      </c>
      <c r="AF502" s="23" t="str">
        <f>IFERROR(__xludf.DUMMYFUNCTION("TEXTJOIN("", "", TRUE,
  FILTER(Champions!C:C,
    ISNUMBER(SEARCH(C502, Champions!W:W))
  )
)"),"Anna Butuzova, Diane French")</f>
        <v>Anna Butuzova, Diane French</v>
      </c>
      <c r="AG502" s="23"/>
      <c r="AH502" s="23" t="str">
        <f>IFERROR(__xludf.DUMMYFUNCTION("IF(
ISNUMBER(MATCH(
C502,
IMPORTRANGE(""https://docs.google.com/spreadsheets/d/1yTh1ELC33JHYOeEdgIiEclxPRyh0zOKtlawDltfUay8"",""'Interns'!A:A""),
0
)),
""Outreach Conducted"",
"""")"),"")</f>
        <v/>
      </c>
      <c r="AI502" s="23"/>
      <c r="AJ502" s="23"/>
      <c r="AK502" s="23" t="str">
        <f>IFERROR(__xludf.DUMMYFUNCTION("XLOOKUP(C502, 
   IMPORTRANGE(""1RdEdgHYrZ33LJ7RUHj_h-qkAFL92bcVjtIdVa-UlsCw"", ""Interns!D:D""), 
   IMPORTRANGE(""1RdEdgHYrZ33LJ7RUHj_h-qkAFL92bcVjtIdVa-UlsCw"", ""Interns!M:M""), 
   ""Not Found"")"),"Contacted")</f>
        <v>Contacted</v>
      </c>
      <c r="AL502" s="23" t="str">
        <f>IFERROR(__xludf.DUMMYFUNCTION("XLOOKUP(C502, 
   IMPORTRANGE(""1RdEdgHYrZ33LJ7RUHj_h-qkAFL92bcVjtIdVa-UlsCw"", ""Interns!D:D""), 
   IMPORTRANGE(""1RdEdgHYrZ33LJ7RUHj_h-qkAFL92bcVjtIdVa-UlsCw"", ""Interns!N:N""), 
   ""Not Found"")"),"#Cheers4Careers")</f>
        <v>#Cheers4Careers</v>
      </c>
      <c r="AM502" s="23" t="str">
        <f>IFERROR(__xludf.DUMMYFUNCTION("XLOOKUP(C502, 
   IMPORTRANGE(""1RdEdgHYrZ33LJ7RUHj_h-qkAFL92bcVjtIdVa-UlsCw"", ""Interns!D:D""), 
   IMPORTRANGE(""1RdEdgHYrZ33LJ7RUHj_h-qkAFL92bcVjtIdVa-UlsCw"", ""Interns!O:O""), 
   ""Not Found"")"),"Hetal reached out by email 3/27")</f>
        <v>Hetal reached out by email 3/27</v>
      </c>
      <c r="AN502" s="23"/>
      <c r="AO502" s="23" t="s">
        <v>8639</v>
      </c>
      <c r="AP502" s="28" t="s">
        <v>5182</v>
      </c>
      <c r="AQ502" s="28" t="s">
        <v>8640</v>
      </c>
      <c r="AR502" s="23">
        <v>3.477805177E9</v>
      </c>
      <c r="AS502" s="23"/>
      <c r="AT502" s="23"/>
      <c r="AU502" s="23"/>
      <c r="AV502" s="23"/>
    </row>
    <row r="503">
      <c r="A503" s="28" t="s">
        <v>5161</v>
      </c>
      <c r="B503" s="28" t="s">
        <v>5162</v>
      </c>
      <c r="C503" s="23" t="str">
        <f t="shared" si="1"/>
        <v>Kendri Lopez</v>
      </c>
      <c r="D503" s="22" t="s">
        <v>8641</v>
      </c>
      <c r="E503" s="22" t="s">
        <v>2778</v>
      </c>
      <c r="F503" s="23"/>
      <c r="G503" s="23"/>
      <c r="H503" s="22">
        <v>1950.0</v>
      </c>
      <c r="I503" s="28"/>
      <c r="J503" s="28" t="s">
        <v>5336</v>
      </c>
      <c r="K503" s="28" t="s">
        <v>5177</v>
      </c>
      <c r="L503" s="28" t="s">
        <v>5165</v>
      </c>
      <c r="M503" s="29" t="s">
        <v>8642</v>
      </c>
      <c r="N503" s="61">
        <v>45723.51666666667</v>
      </c>
      <c r="O503" s="25">
        <v>39269.0</v>
      </c>
      <c r="P503" s="28">
        <f t="shared" si="17"/>
        <v>18</v>
      </c>
      <c r="Q503" s="62" t="s">
        <v>240</v>
      </c>
      <c r="R503" s="22" t="s">
        <v>8643</v>
      </c>
      <c r="S503" s="28">
        <v>5.0</v>
      </c>
      <c r="T503" s="28">
        <v>14.0</v>
      </c>
      <c r="U503" s="28">
        <v>33.0</v>
      </c>
      <c r="V503" s="28">
        <v>27.0</v>
      </c>
      <c r="W503" s="23"/>
      <c r="X503" s="23"/>
      <c r="Y503" s="22" t="s">
        <v>8644</v>
      </c>
      <c r="Z503" s="22" t="s">
        <v>5365</v>
      </c>
      <c r="AA503" s="28" t="s">
        <v>5366</v>
      </c>
      <c r="AB503" s="28">
        <v>26.0</v>
      </c>
      <c r="AC503" s="28" t="s">
        <v>23</v>
      </c>
      <c r="AD503" s="23"/>
      <c r="AE503" s="28" t="s">
        <v>19</v>
      </c>
      <c r="AF503" s="23"/>
      <c r="AG503" s="23"/>
      <c r="AH503" s="23" t="str">
        <f>IFERROR(__xludf.DUMMYFUNCTION("IF(
ISNUMBER(MATCH(
C503,
IMPORTRANGE(""https://docs.google.com/spreadsheets/d/1yTh1ELC33JHYOeEdgIiEclxPRyh0zOKtlawDltfUay8"",""'Interns'!A:A""),
0
)),
""Outreach Conducted"",
"""")"),"")</f>
        <v/>
      </c>
      <c r="AI503" s="23"/>
      <c r="AJ503" s="23"/>
      <c r="AK503" s="23"/>
      <c r="AL503" s="23" t="str">
        <f>IFERROR(__xludf.DUMMYFUNCTION("XLOOKUP(C503, 
   IMPORTRANGE(""1RdEdgHYrZ33LJ7RUHj_h-qkAFL92bcVjtIdVa-UlsCw"", ""Interns!D:D""), 
   IMPORTRANGE(""1RdEdgHYrZ33LJ7RUHj_h-qkAFL92bcVjtIdVa-UlsCw"", ""Interns!N:N""), 
   ""Not Found"")"),"#Cheers4Careers")</f>
        <v>#Cheers4Careers</v>
      </c>
      <c r="AM503" s="23" t="str">
        <f>IFERROR(__xludf.DUMMYFUNCTION("XLOOKUP(C503, 
   IMPORTRANGE(""1RdEdgHYrZ33LJ7RUHj_h-qkAFL92bcVjtIdVa-UlsCw"", ""Interns!D:D""), 
   IMPORTRANGE(""1RdEdgHYrZ33LJ7RUHj_h-qkAFL92bcVjtIdVa-UlsCw"", ""Interns!O:O""), 
   ""Not Found"")"),"Hetal reached out March 27 for March #Cheers4 Careers ")</f>
        <v>Hetal reached out March 27 for March #Cheers4 Careers </v>
      </c>
      <c r="AN503" s="23"/>
      <c r="AO503" s="23" t="s">
        <v>7278</v>
      </c>
      <c r="AP503" s="28" t="s">
        <v>5182</v>
      </c>
      <c r="AQ503" s="28" t="s">
        <v>8645</v>
      </c>
      <c r="AR503" s="23" t="s">
        <v>8646</v>
      </c>
      <c r="AS503" s="23"/>
      <c r="AT503" s="23"/>
      <c r="AU503" s="23"/>
      <c r="AV503" s="23"/>
    </row>
    <row r="504">
      <c r="A504" s="28" t="s">
        <v>5161</v>
      </c>
      <c r="B504" s="28" t="s">
        <v>5162</v>
      </c>
      <c r="C504" s="23" t="str">
        <f t="shared" si="1"/>
        <v>Shiraylin Marine Torres</v>
      </c>
      <c r="D504" s="28" t="s">
        <v>8647</v>
      </c>
      <c r="E504" s="28" t="s">
        <v>8648</v>
      </c>
      <c r="F504" s="23">
        <f t="array" ref="F504">IFERROR(
    INDEX('Hub Interns 226'!A:A, MATCH("Shiralyn Altagracia Torres", 'Hub Interns 226'!B:B, 0)),"")</f>
        <v>1100</v>
      </c>
      <c r="G504" s="23">
        <f t="array" ref="G504">IFERROR(
    INDEX('Hub Users 226'!A:A, MATCH("Shiralyn Altagracia Torres", 'Hub Users 226'!B:B, 0)),"")</f>
        <v>1533</v>
      </c>
      <c r="H504" s="28">
        <v>879.0</v>
      </c>
      <c r="I504" s="28" t="s">
        <v>407</v>
      </c>
      <c r="J504" s="28" t="s">
        <v>5336</v>
      </c>
      <c r="K504" s="28" t="s">
        <v>5177</v>
      </c>
      <c r="L504" s="28" t="s">
        <v>5196</v>
      </c>
      <c r="M504" s="56" t="s">
        <v>8568</v>
      </c>
      <c r="N504" s="57">
        <v>44600.42986111111</v>
      </c>
      <c r="O504" s="58">
        <v>38373.0</v>
      </c>
      <c r="P504" s="28">
        <f t="shared" si="17"/>
        <v>21</v>
      </c>
      <c r="Q504" s="28" t="s">
        <v>240</v>
      </c>
      <c r="R504" s="28" t="s">
        <v>8649</v>
      </c>
      <c r="S504" s="28">
        <v>15.0</v>
      </c>
      <c r="T504" s="28">
        <v>32.0</v>
      </c>
      <c r="U504" s="28">
        <v>77.0</v>
      </c>
      <c r="V504" s="28">
        <v>16.0</v>
      </c>
      <c r="W504" s="28" t="s">
        <v>859</v>
      </c>
      <c r="X504" s="28" t="s">
        <v>272</v>
      </c>
      <c r="Y504" s="28" t="s">
        <v>8650</v>
      </c>
      <c r="Z504" s="28" t="s">
        <v>5310</v>
      </c>
      <c r="AA504" s="28" t="s">
        <v>362</v>
      </c>
      <c r="AB504" s="28">
        <v>16.0</v>
      </c>
      <c r="AC504" s="28" t="s">
        <v>25</v>
      </c>
      <c r="AD504" s="23"/>
      <c r="AE504" s="28" t="s">
        <v>10</v>
      </c>
      <c r="AF504" s="23" t="str">
        <f>IFERROR(__xludf.DUMMYFUNCTION("TEXTJOIN("", "", TRUE,
  FILTER(Champions!C:C,
    ISNUMBER(SEARCH(C504, Champions!W:W))
  )
)"),"Paola Lopez, Simon Winograd")</f>
        <v>Paola Lopez, Simon Winograd</v>
      </c>
      <c r="AG504" s="23"/>
      <c r="AH504" s="23" t="str">
        <f>IFERROR(__xludf.DUMMYFUNCTION("IF(
ISNUMBER(MATCH(
C504,
IMPORTRANGE(""https://docs.google.com/spreadsheets/d/1yTh1ELC33JHYOeEdgIiEclxPRyh0zOKtlawDltfUay8"",""'Interns'!A:A""),
0
)),
""Outreach Conducted"",
"""")"),"")</f>
        <v/>
      </c>
      <c r="AI504" s="23"/>
      <c r="AJ504" s="23"/>
      <c r="AK504" s="23" t="str">
        <f>IFERROR(__xludf.DUMMYFUNCTION("XLOOKUP(C504, 
   IMPORTRANGE(""1RdEdgHYrZ33LJ7RUHj_h-qkAFL92bcVjtIdVa-UlsCw"", ""Interns!D:D""), 
   IMPORTRANGE(""1RdEdgHYrZ33LJ7RUHj_h-qkAFL92bcVjtIdVa-UlsCw"", ""Interns!M:M""), 
   ""Not Found"")"),"")</f>
        <v/>
      </c>
      <c r="AL504" s="23" t="str">
        <f>IFERROR(__xludf.DUMMYFUNCTION("XLOOKUP(C504, 
   IMPORTRANGE(""1RdEdgHYrZ33LJ7RUHj_h-qkAFL92bcVjtIdVa-UlsCw"", ""Interns!D:D""), 
   IMPORTRANGE(""1RdEdgHYrZ33LJ7RUHj_h-qkAFL92bcVjtIdVa-UlsCw"", ""Interns!N:N""), 
   ""Not Found"")"),"#SpeakingMyName")</f>
        <v>#SpeakingMyName</v>
      </c>
      <c r="AM504" s="23" t="str">
        <f>IFERROR(__xludf.DUMMYFUNCTION("XLOOKUP(C504, 
   IMPORTRANGE(""1RdEdgHYrZ33LJ7RUHj_h-qkAFL92bcVjtIdVa-UlsCw"", ""Interns!D:D""), 
   IMPORTRANGE(""1RdEdgHYrZ33LJ7RUHj_h-qkAFL92bcVjtIdVa-UlsCw"", ""Interns!O:O""), 
   ""Not Found"")"),"Alicia reached out by email on 5/15 for #SpeakingMyName")</f>
        <v>Alicia reached out by email on 5/15 for #SpeakingMyName</v>
      </c>
      <c r="AN504" s="23"/>
      <c r="AO504" s="23" t="s">
        <v>8651</v>
      </c>
      <c r="AP504" s="28" t="s">
        <v>5191</v>
      </c>
      <c r="AQ504" s="28" t="s">
        <v>8568</v>
      </c>
      <c r="AR504" s="23" t="s">
        <v>8650</v>
      </c>
      <c r="AS504" s="23"/>
      <c r="AT504" s="23"/>
      <c r="AU504" s="23"/>
      <c r="AV504" s="23"/>
    </row>
    <row r="505">
      <c r="A505" s="28" t="s">
        <v>5161</v>
      </c>
      <c r="B505" s="28" t="s">
        <v>5162</v>
      </c>
      <c r="C505" s="23" t="str">
        <f t="shared" si="1"/>
        <v>Daylan Peralta</v>
      </c>
      <c r="D505" s="28" t="s">
        <v>8652</v>
      </c>
      <c r="E505" s="28" t="s">
        <v>8653</v>
      </c>
      <c r="F505" s="23">
        <f t="array" ref="F505">IFERROR(
    INDEX('Hub Interns 226'!A:A, MATCH(C505, 'Hub Interns 226'!B:B, 0)),"")</f>
        <v>424</v>
      </c>
      <c r="G505" s="23">
        <f t="array" ref="G505">IFERROR(
    INDEX('Hub Users 226'!A:A, MATCH(C505, 'Hub Users 226'!B:B, 0)),"")</f>
        <v>857</v>
      </c>
      <c r="H505" s="28">
        <v>1269.0</v>
      </c>
      <c r="I505" s="28" t="s">
        <v>260</v>
      </c>
      <c r="J505" s="28" t="s">
        <v>5336</v>
      </c>
      <c r="K505" s="28" t="s">
        <v>5177</v>
      </c>
      <c r="L505" s="28" t="s">
        <v>5165</v>
      </c>
      <c r="M505" s="56" t="s">
        <v>8654</v>
      </c>
      <c r="N505" s="59">
        <v>44845.45486111111</v>
      </c>
      <c r="O505" s="58">
        <v>39003.0</v>
      </c>
      <c r="P505" s="28">
        <f t="shared" si="17"/>
        <v>19</v>
      </c>
      <c r="Q505" s="28" t="s">
        <v>8655</v>
      </c>
      <c r="R505" s="28" t="s">
        <v>8656</v>
      </c>
      <c r="S505" s="28">
        <v>15.0</v>
      </c>
      <c r="T505" s="28">
        <v>29.0</v>
      </c>
      <c r="U505" s="28">
        <v>77.0</v>
      </c>
      <c r="V505" s="28">
        <v>16.0</v>
      </c>
      <c r="W505" s="28" t="s">
        <v>859</v>
      </c>
      <c r="X505" s="28" t="s">
        <v>272</v>
      </c>
      <c r="Y505" s="28" t="s">
        <v>8657</v>
      </c>
      <c r="Z505" s="28" t="s">
        <v>5341</v>
      </c>
      <c r="AA505" s="28" t="s">
        <v>1085</v>
      </c>
      <c r="AB505" s="28">
        <v>10.0</v>
      </c>
      <c r="AC505" s="28" t="s">
        <v>25</v>
      </c>
      <c r="AD505" s="23"/>
      <c r="AE505" s="28" t="s">
        <v>15</v>
      </c>
      <c r="AF505" s="23" t="str">
        <f>IFERROR(__xludf.DUMMYFUNCTION("TEXTJOIN("", "", TRUE,
  FILTER(Champions!C:C,
    ISNUMBER(SEARCH(C505, Champions!W:W))
  )
)"),"Abigail Mawhirter, CHRISTINA BROOMES, Jimena Montane Azpiri, Jimena Montane Azpiri (D)")</f>
        <v>Abigail Mawhirter, CHRISTINA BROOMES, Jimena Montane Azpiri, Jimena Montane Azpiri (D)</v>
      </c>
      <c r="AG505" s="26" t="s">
        <v>5342</v>
      </c>
      <c r="AH505" s="23" t="str">
        <f>IFERROR(__xludf.DUMMYFUNCTION("IF(
ISNUMBER(MATCH(
C505,
IMPORTRANGE(""https://docs.google.com/spreadsheets/d/1yTh1ELC33JHYOeEdgIiEclxPRyh0zOKtlawDltfUay8"",""'Interns'!A:A""),
0
)),
""Outreach Conducted"",
"""")"),"")</f>
        <v/>
      </c>
      <c r="AI505" s="23"/>
      <c r="AJ505" s="23"/>
      <c r="AK505" s="23" t="str">
        <f>IFERROR(__xludf.DUMMYFUNCTION("XLOOKUP(C505, 
   IMPORTRANGE(""1RdEdgHYrZ33LJ7RUHj_h-qkAFL92bcVjtIdVa-UlsCw"", ""Interns!D:D""), 
   IMPORTRANGE(""1RdEdgHYrZ33LJ7RUHj_h-qkAFL92bcVjtIdVa-UlsCw"", ""Interns!M:M""), 
   ""Not Found"")"),"Contacted")</f>
        <v>Contacted</v>
      </c>
      <c r="AL505" s="23" t="str">
        <f>IFERROR(__xludf.DUMMYFUNCTION("XLOOKUP(C505, 
   IMPORTRANGE(""1RdEdgHYrZ33LJ7RUHj_h-qkAFL92bcVjtIdVa-UlsCw"", ""Interns!D:D""), 
   IMPORTRANGE(""1RdEdgHYrZ33LJ7RUHj_h-qkAFL92bcVjtIdVa-UlsCw"", ""Interns!N:N""), 
   ""Not Found"")"),"#Cheers4Careers")</f>
        <v>#Cheers4Careers</v>
      </c>
      <c r="AM505" s="23" t="str">
        <f>IFERROR(__xludf.DUMMYFUNCTION("XLOOKUP(C505, 
   IMPORTRANGE(""1RdEdgHYrZ33LJ7RUHj_h-qkAFL92bcVjtIdVa-UlsCw"", ""Interns!D:D""), 
   IMPORTRANGE(""1RdEdgHYrZ33LJ7RUHj_h-qkAFL92bcVjtIdVa-UlsCw"", ""Interns!O:O""), 
   ""Not Found"")"),"Texted on April 14 for #Cheers4Careers event")</f>
        <v>Texted on April 14 for #Cheers4Careers event</v>
      </c>
      <c r="AN505" s="23"/>
      <c r="AO505" s="23" t="s">
        <v>8658</v>
      </c>
      <c r="AP505" s="28" t="s">
        <v>5182</v>
      </c>
      <c r="AQ505" s="28" t="s">
        <v>8654</v>
      </c>
      <c r="AR505" s="23" t="s">
        <v>8659</v>
      </c>
      <c r="AS505" s="23"/>
      <c r="AT505" s="23"/>
      <c r="AU505" s="23"/>
      <c r="AV505" s="23"/>
    </row>
    <row r="506">
      <c r="A506" s="28" t="s">
        <v>5161</v>
      </c>
      <c r="B506" s="28" t="s">
        <v>5162</v>
      </c>
      <c r="C506" s="23" t="str">
        <f t="shared" si="1"/>
        <v>Luis Acevedo</v>
      </c>
      <c r="D506" s="28" t="s">
        <v>6689</v>
      </c>
      <c r="E506" s="28" t="s">
        <v>6993</v>
      </c>
      <c r="F506" s="23">
        <f t="array" ref="F506">IFERROR(
    INDEX('Hub Interns 226'!A:A, MATCH(C506, 'Hub Interns 226'!B:B, 0)),"")</f>
        <v>799</v>
      </c>
      <c r="G506" s="23">
        <f t="array" ref="G506">IFERROR(
    INDEX('Hub Users 226'!A:A, MATCH(C506, 'Hub Users 226'!B:B, 0)),"")</f>
        <v>1232</v>
      </c>
      <c r="H506" s="28">
        <v>411.0</v>
      </c>
      <c r="I506" s="28" t="s">
        <v>239</v>
      </c>
      <c r="J506" s="28" t="s">
        <v>5336</v>
      </c>
      <c r="K506" s="28" t="s">
        <v>5177</v>
      </c>
      <c r="L506" s="28" t="s">
        <v>5165</v>
      </c>
      <c r="M506" s="56" t="s">
        <v>8660</v>
      </c>
      <c r="N506" s="57">
        <v>44302.58472222222</v>
      </c>
      <c r="O506" s="58">
        <v>38658.0</v>
      </c>
      <c r="P506" s="28">
        <f t="shared" si="17"/>
        <v>20</v>
      </c>
      <c r="Q506" s="28" t="s">
        <v>240</v>
      </c>
      <c r="R506" s="28" t="s">
        <v>8661</v>
      </c>
      <c r="S506" s="28">
        <v>13.0</v>
      </c>
      <c r="T506" s="28">
        <v>33.0</v>
      </c>
      <c r="U506" s="28">
        <v>78.0</v>
      </c>
      <c r="V506" s="28">
        <v>14.0</v>
      </c>
      <c r="W506" s="28" t="s">
        <v>859</v>
      </c>
      <c r="X506" s="28" t="s">
        <v>272</v>
      </c>
      <c r="Y506" s="28" t="s">
        <v>8662</v>
      </c>
      <c r="Z506" s="28" t="s">
        <v>5558</v>
      </c>
      <c r="AA506" s="28" t="s">
        <v>5559</v>
      </c>
      <c r="AB506" s="28">
        <v>10.0</v>
      </c>
      <c r="AC506" s="28" t="s">
        <v>24</v>
      </c>
      <c r="AD506" s="23"/>
      <c r="AE506" s="28" t="s">
        <v>8</v>
      </c>
      <c r="AF506" s="23"/>
      <c r="AG506" s="23"/>
      <c r="AH506" s="23" t="str">
        <f>IFERROR(__xludf.DUMMYFUNCTION("IF(
ISNUMBER(MATCH(
C506,
IMPORTRANGE(""https://docs.google.com/spreadsheets/d/1yTh1ELC33JHYOeEdgIiEclxPRyh0zOKtlawDltfUay8"",""'Interns'!A:A""),
0
)),
""Outreach Conducted"",
"""")"),"")</f>
        <v/>
      </c>
      <c r="AI506" s="23"/>
      <c r="AJ506" s="23"/>
      <c r="AK506" s="23" t="str">
        <f>IFERROR(__xludf.DUMMYFUNCTION("XLOOKUP(C506, 
   IMPORTRANGE(""1RdEdgHYrZ33LJ7RUHj_h-qkAFL92bcVjtIdVa-UlsCw"", ""Interns!D:D""), 
   IMPORTRANGE(""1RdEdgHYrZ33LJ7RUHj_h-qkAFL92bcVjtIdVa-UlsCw"", ""Interns!M:M""), 
   ""Not Found"")"),"Contacted")</f>
        <v>Contacted</v>
      </c>
      <c r="AL506" s="23" t="str">
        <f>IFERROR(__xludf.DUMMYFUNCTION("XLOOKUP(C506, 
   IMPORTRANGE(""1RdEdgHYrZ33LJ7RUHj_h-qkAFL92bcVjtIdVa-UlsCw"", ""Interns!D:D""), 
   IMPORTRANGE(""1RdEdgHYrZ33LJ7RUHj_h-qkAFL92bcVjtIdVa-UlsCw"", ""Interns!N:N""), 
   ""Not Found"")"),"#Cheers4Careers")</f>
        <v>#Cheers4Careers</v>
      </c>
      <c r="AM506" s="23" t="str">
        <f>IFERROR(__xludf.DUMMYFUNCTION("XLOOKUP(C506, 
   IMPORTRANGE(""1RdEdgHYrZ33LJ7RUHj_h-qkAFL92bcVjtIdVa-UlsCw"", ""Interns!D:D""), 
   IMPORTRANGE(""1RdEdgHYrZ33LJ7RUHj_h-qkAFL92bcVjtIdVa-UlsCw"", ""Interns!O:O""), 
   ""Not Found"")"),"Hetal reached out by email 3/27")</f>
        <v>Hetal reached out by email 3/27</v>
      </c>
      <c r="AN506" s="23"/>
      <c r="AO506" s="23" t="s">
        <v>8663</v>
      </c>
      <c r="AP506" s="28" t="s">
        <v>5182</v>
      </c>
      <c r="AQ506" s="28"/>
      <c r="AR506" s="23"/>
      <c r="AS506" s="23"/>
      <c r="AT506" s="23"/>
      <c r="AU506" s="23"/>
      <c r="AV506" s="23"/>
    </row>
    <row r="507">
      <c r="A507" s="28" t="s">
        <v>5161</v>
      </c>
      <c r="B507" s="28" t="s">
        <v>5162</v>
      </c>
      <c r="C507" s="23" t="str">
        <f t="shared" si="1"/>
        <v>Schayna Ceballos</v>
      </c>
      <c r="D507" s="28" t="s">
        <v>8664</v>
      </c>
      <c r="E507" s="28" t="s">
        <v>8665</v>
      </c>
      <c r="F507" s="23">
        <f t="array" ref="F507">IFERROR(
    INDEX('Hub Interns 226'!A:A, MATCH(C507, 'Hub Interns 226'!B:B, 0)),"")</f>
        <v>1080</v>
      </c>
      <c r="G507" s="23">
        <f t="array" ref="G507">IFERROR(
    INDEX('Hub Users 226'!A:A, MATCH(C507, 'Hub Users 226'!B:B, 0)),"")</f>
        <v>1513</v>
      </c>
      <c r="H507" s="28">
        <v>1305.0</v>
      </c>
      <c r="I507" s="28" t="s">
        <v>260</v>
      </c>
      <c r="J507" s="28" t="s">
        <v>5336</v>
      </c>
      <c r="K507" s="28" t="s">
        <v>5177</v>
      </c>
      <c r="L507" s="28" t="s">
        <v>5196</v>
      </c>
      <c r="M507" s="56" t="s">
        <v>8666</v>
      </c>
      <c r="N507" s="59">
        <v>44846.90625</v>
      </c>
      <c r="O507" s="58">
        <v>39016.0</v>
      </c>
      <c r="P507" s="28">
        <f t="shared" si="17"/>
        <v>19</v>
      </c>
      <c r="Q507" s="28" t="s">
        <v>8667</v>
      </c>
      <c r="R507" s="28" t="s">
        <v>8668</v>
      </c>
      <c r="S507" s="28">
        <v>13.0</v>
      </c>
      <c r="T507" s="28">
        <v>31.0</v>
      </c>
      <c r="U507" s="28">
        <v>72.0</v>
      </c>
      <c r="V507" s="28">
        <v>10.0</v>
      </c>
      <c r="W507" s="28" t="s">
        <v>271</v>
      </c>
      <c r="X507" s="28" t="s">
        <v>272</v>
      </c>
      <c r="Y507" s="28" t="s">
        <v>8669</v>
      </c>
      <c r="Z507" s="28" t="s">
        <v>5341</v>
      </c>
      <c r="AA507" s="28" t="s">
        <v>1085</v>
      </c>
      <c r="AB507" s="28">
        <v>10.0</v>
      </c>
      <c r="AC507" s="28" t="s">
        <v>25</v>
      </c>
      <c r="AD507" s="23"/>
      <c r="AE507" s="28" t="s">
        <v>15</v>
      </c>
      <c r="AF507" s="23" t="str">
        <f>IFERROR(__xludf.DUMMYFUNCTION("TEXTJOIN("", "", TRUE,
  FILTER(Champions!C:C,
    ISNUMBER(SEARCH(C507, Champions!W:W))
  )
)"),"Anne Tam, Abigail Mawhirter, Donald Johnson")</f>
        <v>Anne Tam, Abigail Mawhirter, Donald Johnson</v>
      </c>
      <c r="AG507" s="23"/>
      <c r="AH507" s="23" t="str">
        <f>IFERROR(__xludf.DUMMYFUNCTION("IF(
ISNUMBER(MATCH(
C507,
IMPORTRANGE(""https://docs.google.com/spreadsheets/d/1yTh1ELC33JHYOeEdgIiEclxPRyh0zOKtlawDltfUay8"",""'Interns'!A:A""),
0
)),
""Outreach Conducted"",
"""")"),"")</f>
        <v/>
      </c>
      <c r="AI507" s="23"/>
      <c r="AJ507" s="23"/>
      <c r="AK507" s="23" t="str">
        <f>IFERROR(__xludf.DUMMYFUNCTION("XLOOKUP(C507, 
   IMPORTRANGE(""1RdEdgHYrZ33LJ7RUHj_h-qkAFL92bcVjtIdVa-UlsCw"", ""Interns!D:D""), 
   IMPORTRANGE(""1RdEdgHYrZ33LJ7RUHj_h-qkAFL92bcVjtIdVa-UlsCw"", ""Interns!M:M""), 
   ""Not Found"")"),"Contacted")</f>
        <v>Contacted</v>
      </c>
      <c r="AL507" s="23" t="str">
        <f>IFERROR(__xludf.DUMMYFUNCTION("XLOOKUP(C507, 
   IMPORTRANGE(""1RdEdgHYrZ33LJ7RUHj_h-qkAFL92bcVjtIdVa-UlsCw"", ""Interns!D:D""), 
   IMPORTRANGE(""1RdEdgHYrZ33LJ7RUHj_h-qkAFL92bcVjtIdVa-UlsCw"", ""Interns!N:N""), 
   ""Not Found"")"),"#Cheers4Careers")</f>
        <v>#Cheers4Careers</v>
      </c>
      <c r="AM507" s="23" t="str">
        <f>IFERROR(__xludf.DUMMYFUNCTION("XLOOKUP(C507, 
   IMPORTRANGE(""1RdEdgHYrZ33LJ7RUHj_h-qkAFL92bcVjtIdVa-UlsCw"", ""Interns!D:D""), 
   IMPORTRANGE(""1RdEdgHYrZ33LJ7RUHj_h-qkAFL92bcVjtIdVa-UlsCw"", ""Interns!O:O""), 
   ""Not Found"")"),"Texted on April 12 for #Cheers4Careers event")</f>
        <v>Texted on April 12 for #Cheers4Careers event</v>
      </c>
      <c r="AN507" s="23"/>
      <c r="AO507" s="23" t="s">
        <v>8670</v>
      </c>
      <c r="AP507" s="28" t="s">
        <v>5182</v>
      </c>
      <c r="AQ507" s="28" t="s">
        <v>8671</v>
      </c>
      <c r="AR507" s="23" t="s">
        <v>8672</v>
      </c>
      <c r="AS507" s="23"/>
      <c r="AT507" s="23"/>
      <c r="AU507" s="23"/>
      <c r="AV507" s="23"/>
    </row>
    <row r="508">
      <c r="A508" s="28" t="s">
        <v>5161</v>
      </c>
      <c r="B508" s="28" t="s">
        <v>5162</v>
      </c>
      <c r="C508" s="23" t="str">
        <f t="shared" si="1"/>
        <v>Jeremy Rodriguez</v>
      </c>
      <c r="D508" s="28" t="s">
        <v>7227</v>
      </c>
      <c r="E508" s="28" t="s">
        <v>536</v>
      </c>
      <c r="F508" s="23">
        <f t="array" ref="F508">IFERROR(
    INDEX('Hub Interns 226'!A:A, MATCH(C508, 'Hub Interns 226'!B:B, 0)),"")</f>
        <v>650</v>
      </c>
      <c r="G508" s="23">
        <f t="array" ref="G508">IFERROR(
    INDEX('Hub Users 226'!A:A, MATCH(C508, 'Hub Users 226'!B:B, 0)),"")</f>
        <v>1083</v>
      </c>
      <c r="H508" s="28">
        <v>1241.0</v>
      </c>
      <c r="I508" s="28" t="s">
        <v>290</v>
      </c>
      <c r="J508" s="28" t="s">
        <v>5336</v>
      </c>
      <c r="K508" s="28" t="s">
        <v>5177</v>
      </c>
      <c r="L508" s="28" t="s">
        <v>5165</v>
      </c>
      <c r="M508" s="56" t="s">
        <v>8673</v>
      </c>
      <c r="N508" s="57">
        <v>44838.47083333333</v>
      </c>
      <c r="O508" s="58">
        <v>38808.0</v>
      </c>
      <c r="P508" s="28">
        <f t="shared" si="17"/>
        <v>20</v>
      </c>
      <c r="Q508" s="28" t="s">
        <v>8674</v>
      </c>
      <c r="R508" s="28" t="s">
        <v>8675</v>
      </c>
      <c r="S508" s="28">
        <v>13.0</v>
      </c>
      <c r="T508" s="28">
        <v>31.0</v>
      </c>
      <c r="U508" s="28">
        <v>72.0</v>
      </c>
      <c r="V508" s="28">
        <v>10.0</v>
      </c>
      <c r="W508" s="28" t="s">
        <v>271</v>
      </c>
      <c r="X508" s="28" t="s">
        <v>272</v>
      </c>
      <c r="Y508" s="28" t="s">
        <v>8676</v>
      </c>
      <c r="Z508" s="28" t="s">
        <v>5341</v>
      </c>
      <c r="AA508" s="28" t="s">
        <v>1085</v>
      </c>
      <c r="AB508" s="28">
        <v>10.0</v>
      </c>
      <c r="AC508" s="28" t="s">
        <v>25</v>
      </c>
      <c r="AD508" s="23"/>
      <c r="AE508" s="28" t="s">
        <v>15</v>
      </c>
      <c r="AF508" s="23" t="str">
        <f>IFERROR(__xludf.DUMMYFUNCTION("TEXTJOIN("", "", TRUE,
  FILTER(Champions!C:C,
    ISNUMBER(SEARCH(C508, Champions!W:W))
  )
)"),"Oheneba Afriyie, Ryane Montanez, Esteban Proaño")</f>
        <v>Oheneba Afriyie, Ryane Montanez, Esteban Proaño</v>
      </c>
      <c r="AG508" s="23"/>
      <c r="AH508" s="23" t="str">
        <f>IFERROR(__xludf.DUMMYFUNCTION("IF(
ISNUMBER(MATCH(
C508,
IMPORTRANGE(""https://docs.google.com/spreadsheets/d/1yTh1ELC33JHYOeEdgIiEclxPRyh0zOKtlawDltfUay8"",""'Interns'!A:A""),
0
)),
""Outreach Conducted"",
"""")"),"")</f>
        <v/>
      </c>
      <c r="AI508" s="23"/>
      <c r="AJ508" s="23"/>
      <c r="AK508" s="23" t="str">
        <f>IFERROR(__xludf.DUMMYFUNCTION("XLOOKUP(C508, 
   IMPORTRANGE(""1RdEdgHYrZ33LJ7RUHj_h-qkAFL92bcVjtIdVa-UlsCw"", ""Interns!D:D""), 
   IMPORTRANGE(""1RdEdgHYrZ33LJ7RUHj_h-qkAFL92bcVjtIdVa-UlsCw"", ""Interns!M:M""), 
   ""Not Found"")"),"Contacted")</f>
        <v>Contacted</v>
      </c>
      <c r="AL508" s="23" t="str">
        <f>IFERROR(__xludf.DUMMYFUNCTION("XLOOKUP(C508, 
   IMPORTRANGE(""1RdEdgHYrZ33LJ7RUHj_h-qkAFL92bcVjtIdVa-UlsCw"", ""Interns!D:D""), 
   IMPORTRANGE(""1RdEdgHYrZ33LJ7RUHj_h-qkAFL92bcVjtIdVa-UlsCw"", ""Interns!N:N""), 
   ""Not Found"")"),"#Cheers4Careers")</f>
        <v>#Cheers4Careers</v>
      </c>
      <c r="AM508" s="23" t="str">
        <f>IFERROR(__xludf.DUMMYFUNCTION("XLOOKUP(C508, 
   IMPORTRANGE(""1RdEdgHYrZ33LJ7RUHj_h-qkAFL92bcVjtIdVa-UlsCw"", ""Interns!D:D""), 
   IMPORTRANGE(""1RdEdgHYrZ33LJ7RUHj_h-qkAFL92bcVjtIdVa-UlsCw"", ""Interns!O:O""), 
   ""Not Found"")"),"Texted on April 14 for #Cheers4Careers event")</f>
        <v>Texted on April 14 for #Cheers4Careers event</v>
      </c>
      <c r="AN508" s="23"/>
      <c r="AO508" s="23" t="s">
        <v>8677</v>
      </c>
      <c r="AP508" s="28" t="s">
        <v>5182</v>
      </c>
      <c r="AQ508" s="28" t="s">
        <v>8678</v>
      </c>
      <c r="AR508" s="23" t="s">
        <v>8679</v>
      </c>
      <c r="AS508" s="23"/>
      <c r="AT508" s="23"/>
      <c r="AU508" s="23"/>
      <c r="AV508" s="23"/>
    </row>
    <row r="509">
      <c r="A509" s="28" t="s">
        <v>5202</v>
      </c>
      <c r="B509" s="28" t="s">
        <v>5162</v>
      </c>
      <c r="C509" s="23" t="str">
        <f t="shared" si="1"/>
        <v>Sofia Ortega</v>
      </c>
      <c r="D509" s="28" t="s">
        <v>8680</v>
      </c>
      <c r="E509" s="28" t="s">
        <v>8681</v>
      </c>
      <c r="F509" s="23">
        <f t="array" ref="F509">IFERROR(
    INDEX('Hub Interns 226'!A:A, MATCH(C509, 'Hub Interns 226'!B:B, 0)),"")</f>
        <v>1114</v>
      </c>
      <c r="G509" s="23">
        <f t="array" ref="G509">IFERROR(
    INDEX('Hub Users 226'!A:A, MATCH(C509, 'Hub Users 226'!B:B, 0)),"")</f>
        <v>1547</v>
      </c>
      <c r="H509" s="28">
        <v>1391.0</v>
      </c>
      <c r="I509" s="28" t="s">
        <v>407</v>
      </c>
      <c r="J509" s="28" t="s">
        <v>2388</v>
      </c>
      <c r="K509" s="28" t="s">
        <v>5463</v>
      </c>
      <c r="L509" s="28" t="s">
        <v>5196</v>
      </c>
      <c r="M509" s="56" t="s">
        <v>8682</v>
      </c>
      <c r="N509" s="59">
        <v>44862.52916666667</v>
      </c>
      <c r="O509" s="58">
        <v>40449.0</v>
      </c>
      <c r="P509" s="28">
        <f t="shared" si="17"/>
        <v>15</v>
      </c>
      <c r="Q509" s="28" t="s">
        <v>8683</v>
      </c>
      <c r="R509" s="28" t="s">
        <v>8684</v>
      </c>
      <c r="S509" s="28">
        <v>6.0</v>
      </c>
      <c r="T509" s="28">
        <v>12.0</v>
      </c>
      <c r="U509" s="28">
        <v>30.0</v>
      </c>
      <c r="V509" s="28">
        <v>26.0</v>
      </c>
      <c r="W509" s="28" t="s">
        <v>1173</v>
      </c>
      <c r="X509" s="28" t="s">
        <v>272</v>
      </c>
      <c r="Y509" s="28" t="s">
        <v>5351</v>
      </c>
      <c r="Z509" s="28" t="s">
        <v>5352</v>
      </c>
      <c r="AA509" s="28" t="s">
        <v>5287</v>
      </c>
      <c r="AB509" s="28">
        <v>26.0</v>
      </c>
      <c r="AC509" s="28" t="s">
        <v>23</v>
      </c>
      <c r="AD509" s="23"/>
      <c r="AE509" s="28" t="s">
        <v>15</v>
      </c>
      <c r="AF509" s="23"/>
      <c r="AG509" s="23"/>
      <c r="AH509" s="23" t="str">
        <f>IFERROR(__xludf.DUMMYFUNCTION("IF(
ISNUMBER(MATCH(
C509,
IMPORTRANGE(""https://docs.google.com/spreadsheets/d/1yTh1ELC33JHYOeEdgIiEclxPRyh0zOKtlawDltfUay8"",""'Interns'!A:A""),
0
)),
""Outreach Conducted"",
"""")"),"")</f>
        <v/>
      </c>
      <c r="AI509" s="23"/>
      <c r="AJ509" s="23"/>
      <c r="AK509" s="23" t="str">
        <f>IFERROR(__xludf.DUMMYFUNCTION("XLOOKUP(C509, 
   IMPORTRANGE(""1RdEdgHYrZ33LJ7RUHj_h-qkAFL92bcVjtIdVa-UlsCw"", ""Interns!D:D""), 
   IMPORTRANGE(""1RdEdgHYrZ33LJ7RUHj_h-qkAFL92bcVjtIdVa-UlsCw"", ""Interns!M:M""), 
   ""Not Found"")"),"")</f>
        <v/>
      </c>
      <c r="AL509" s="23" t="str">
        <f>IFERROR(__xludf.DUMMYFUNCTION("XLOOKUP(C509, 
   IMPORTRANGE(""1RdEdgHYrZ33LJ7RUHj_h-qkAFL92bcVjtIdVa-UlsCw"", ""Interns!D:D""), 
   IMPORTRANGE(""1RdEdgHYrZ33LJ7RUHj_h-qkAFL92bcVjtIdVa-UlsCw"", ""Interns!N:N""), 
   ""Not Found"")"),"")</f>
        <v/>
      </c>
      <c r="AM509" s="23" t="str">
        <f>IFERROR(__xludf.DUMMYFUNCTION("XLOOKUP(C509, 
   IMPORTRANGE(""1RdEdgHYrZ33LJ7RUHj_h-qkAFL92bcVjtIdVa-UlsCw"", ""Interns!D:D""), 
   IMPORTRANGE(""1RdEdgHYrZ33LJ7RUHj_h-qkAFL92bcVjtIdVa-UlsCw"", ""Interns!O:O""), 
   ""Not Found"")"),"")</f>
        <v/>
      </c>
      <c r="AN509" s="23"/>
      <c r="AO509" s="23" t="s">
        <v>8685</v>
      </c>
      <c r="AP509" s="28" t="s">
        <v>5182</v>
      </c>
      <c r="AQ509" s="28"/>
      <c r="AR509" s="23"/>
      <c r="AS509" s="23"/>
      <c r="AT509" s="23"/>
      <c r="AU509" s="23"/>
      <c r="AV509" s="23"/>
    </row>
    <row r="510">
      <c r="A510" s="28" t="s">
        <v>5202</v>
      </c>
      <c r="B510" s="28" t="s">
        <v>5162</v>
      </c>
      <c r="C510" s="23" t="str">
        <f t="shared" si="1"/>
        <v>Jhon Fila</v>
      </c>
      <c r="D510" s="28" t="s">
        <v>8686</v>
      </c>
      <c r="E510" s="28" t="s">
        <v>8687</v>
      </c>
      <c r="F510" s="23">
        <f t="array" ref="F510">IFERROR(
    INDEX('Hub Interns 226'!A:A, MATCH(C510, 'Hub Interns 226'!B:B, 0)),"")</f>
        <v>663</v>
      </c>
      <c r="G510" s="23">
        <f t="array" ref="G510">IFERROR(
    INDEX('Hub Users 226'!A:A, MATCH(C510, 'Hub Users 226'!B:B, 0)),"")</f>
        <v>1096</v>
      </c>
      <c r="H510" s="28">
        <v>739.0</v>
      </c>
      <c r="I510" s="28" t="s">
        <v>290</v>
      </c>
      <c r="J510" s="28" t="s">
        <v>2388</v>
      </c>
      <c r="K510" s="28" t="s">
        <v>5463</v>
      </c>
      <c r="L510" s="28" t="s">
        <v>5165</v>
      </c>
      <c r="M510" s="56" t="s">
        <v>8688</v>
      </c>
      <c r="N510" s="59">
        <v>44551.404861111114</v>
      </c>
      <c r="O510" s="58">
        <v>38696.0</v>
      </c>
      <c r="P510" s="28">
        <f t="shared" si="17"/>
        <v>20</v>
      </c>
      <c r="Q510" s="28" t="s">
        <v>8689</v>
      </c>
      <c r="R510" s="28" t="s">
        <v>8690</v>
      </c>
      <c r="S510" s="28">
        <v>14.0</v>
      </c>
      <c r="T510" s="28">
        <v>13.0</v>
      </c>
      <c r="U510" s="28">
        <v>34.0</v>
      </c>
      <c r="V510" s="28">
        <v>21.0</v>
      </c>
      <c r="W510" s="28" t="s">
        <v>1173</v>
      </c>
      <c r="X510" s="28" t="s">
        <v>272</v>
      </c>
      <c r="Y510" s="28" t="s">
        <v>8691</v>
      </c>
      <c r="Z510" s="28" t="s">
        <v>5483</v>
      </c>
      <c r="AA510" s="28" t="s">
        <v>457</v>
      </c>
      <c r="AB510" s="28">
        <v>25.0</v>
      </c>
      <c r="AC510" s="28" t="s">
        <v>25</v>
      </c>
      <c r="AD510" s="23"/>
      <c r="AE510" s="28" t="s">
        <v>10</v>
      </c>
      <c r="AF510" s="23" t="str">
        <f>IFERROR(__xludf.DUMMYFUNCTION("TEXTJOIN("", "", TRUE,
  FILTER(Champions!C:C,
    ISNUMBER(SEARCH(C510, Champions!W:W))
  )
)"),"Joshua Foster, Jennifer Rosen")</f>
        <v>Joshua Foster, Jennifer Rosen</v>
      </c>
      <c r="AG510" s="23"/>
      <c r="AH510" s="23" t="str">
        <f>IFERROR(__xludf.DUMMYFUNCTION("IF(
ISNUMBER(MATCH(
C510,
IMPORTRANGE(""https://docs.google.com/spreadsheets/d/1yTh1ELC33JHYOeEdgIiEclxPRyh0zOKtlawDltfUay8"",""'Interns'!A:A""),
0
)),
""Outreach Conducted"",
"""")"),"")</f>
        <v/>
      </c>
      <c r="AI510" s="23"/>
      <c r="AJ510" s="23"/>
      <c r="AK510" s="23" t="str">
        <f>IFERROR(__xludf.DUMMYFUNCTION("XLOOKUP(C510, 
   IMPORTRANGE(""1RdEdgHYrZ33LJ7RUHj_h-qkAFL92bcVjtIdVa-UlsCw"", ""Interns!D:D""), 
   IMPORTRANGE(""1RdEdgHYrZ33LJ7RUHj_h-qkAFL92bcVjtIdVa-UlsCw"", ""Interns!M:M""), 
   ""Not Found"")"),"")</f>
        <v/>
      </c>
      <c r="AL510" s="23" t="str">
        <f>IFERROR(__xludf.DUMMYFUNCTION("XLOOKUP(C510, 
   IMPORTRANGE(""1RdEdgHYrZ33LJ7RUHj_h-qkAFL92bcVjtIdVa-UlsCw"", ""Interns!D:D""), 
   IMPORTRANGE(""1RdEdgHYrZ33LJ7RUHj_h-qkAFL92bcVjtIdVa-UlsCw"", ""Interns!N:N""), 
   ""Not Found"")"),"")</f>
        <v/>
      </c>
      <c r="AM510" s="23" t="str">
        <f>IFERROR(__xludf.DUMMYFUNCTION("XLOOKUP(C510, 
   IMPORTRANGE(""1RdEdgHYrZ33LJ7RUHj_h-qkAFL92bcVjtIdVa-UlsCw"", ""Interns!D:D""), 
   IMPORTRANGE(""1RdEdgHYrZ33LJ7RUHj_h-qkAFL92bcVjtIdVa-UlsCw"", ""Interns!O:O""), 
   ""Not Found"")"),"")</f>
        <v/>
      </c>
      <c r="AN510" s="23"/>
      <c r="AO510" s="23" t="s">
        <v>8692</v>
      </c>
      <c r="AP510" s="28" t="s">
        <v>5240</v>
      </c>
      <c r="AQ510" s="28" t="s">
        <v>8693</v>
      </c>
      <c r="AR510" s="23" t="s">
        <v>8694</v>
      </c>
      <c r="AS510" s="23"/>
      <c r="AT510" s="23"/>
      <c r="AU510" s="23"/>
      <c r="AV510" s="23"/>
    </row>
    <row r="511">
      <c r="A511" s="28" t="s">
        <v>5161</v>
      </c>
      <c r="B511" s="28" t="s">
        <v>5162</v>
      </c>
      <c r="C511" s="23" t="str">
        <f t="shared" si="1"/>
        <v>Runelvis Espejo</v>
      </c>
      <c r="D511" s="28" t="s">
        <v>8695</v>
      </c>
      <c r="E511" s="28" t="s">
        <v>8696</v>
      </c>
      <c r="F511" s="23">
        <f t="array" ref="F511">IFERROR(
    INDEX('Hub Interns 226'!A:A, MATCH(C511, 'Hub Interns 226'!B:B, 0)),"")</f>
        <v>1045</v>
      </c>
      <c r="G511" s="23">
        <f t="array" ref="G511">IFERROR(
    INDEX('Hub Users 226'!A:A, MATCH(C511, 'Hub Users 226'!B:B, 0)),"")</f>
        <v>1478</v>
      </c>
      <c r="H511" s="28">
        <v>1310.0</v>
      </c>
      <c r="I511" s="28" t="s">
        <v>269</v>
      </c>
      <c r="J511" s="28" t="s">
        <v>5336</v>
      </c>
      <c r="K511" s="28" t="s">
        <v>5177</v>
      </c>
      <c r="L511" s="28" t="s">
        <v>5165</v>
      </c>
      <c r="M511" s="56" t="s">
        <v>8697</v>
      </c>
      <c r="N511" s="59">
        <v>44847.459027777775</v>
      </c>
      <c r="O511" s="58">
        <v>38579.0</v>
      </c>
      <c r="P511" s="28">
        <f t="shared" si="17"/>
        <v>20</v>
      </c>
      <c r="Q511" s="28" t="s">
        <v>240</v>
      </c>
      <c r="R511" s="28" t="s">
        <v>8698</v>
      </c>
      <c r="S511" s="28">
        <v>15.0</v>
      </c>
      <c r="T511" s="28">
        <v>33.0</v>
      </c>
      <c r="U511" s="28">
        <v>86.0</v>
      </c>
      <c r="V511" s="28">
        <v>15.0</v>
      </c>
      <c r="W511" s="28" t="s">
        <v>859</v>
      </c>
      <c r="X511" s="28" t="s">
        <v>272</v>
      </c>
      <c r="Y511" s="28" t="s">
        <v>8699</v>
      </c>
      <c r="Z511" s="28" t="s">
        <v>5341</v>
      </c>
      <c r="AA511" s="28" t="s">
        <v>1085</v>
      </c>
      <c r="AB511" s="28">
        <v>10.0</v>
      </c>
      <c r="AC511" s="28" t="s">
        <v>23</v>
      </c>
      <c r="AD511" s="23"/>
      <c r="AE511" s="28" t="s">
        <v>15</v>
      </c>
      <c r="AF511" s="23"/>
      <c r="AG511" s="23"/>
      <c r="AH511" s="23" t="str">
        <f>IFERROR(__xludf.DUMMYFUNCTION("IF(
ISNUMBER(MATCH(
C511,
IMPORTRANGE(""https://docs.google.com/spreadsheets/d/1yTh1ELC33JHYOeEdgIiEclxPRyh0zOKtlawDltfUay8"",""'Interns'!A:A""),
0
)),
""Outreach Conducted"",
"""")"),"")</f>
        <v/>
      </c>
      <c r="AI511" s="23"/>
      <c r="AJ511" s="23"/>
      <c r="AK511" s="23" t="str">
        <f>IFERROR(__xludf.DUMMYFUNCTION("XLOOKUP(C511, 
   IMPORTRANGE(""1RdEdgHYrZ33LJ7RUHj_h-qkAFL92bcVjtIdVa-UlsCw"", ""Interns!D:D""), 
   IMPORTRANGE(""1RdEdgHYrZ33LJ7RUHj_h-qkAFL92bcVjtIdVa-UlsCw"", ""Interns!M:M""), 
   ""Not Found"")"),"")</f>
        <v/>
      </c>
      <c r="AL511" s="23" t="str">
        <f>IFERROR(__xludf.DUMMYFUNCTION("XLOOKUP(C511, 
   IMPORTRANGE(""1RdEdgHYrZ33LJ7RUHj_h-qkAFL92bcVjtIdVa-UlsCw"", ""Interns!D:D""), 
   IMPORTRANGE(""1RdEdgHYrZ33LJ7RUHj_h-qkAFL92bcVjtIdVa-UlsCw"", ""Interns!N:N""), 
   ""Not Found"")"),"")</f>
        <v/>
      </c>
      <c r="AM511" s="23" t="str">
        <f>IFERROR(__xludf.DUMMYFUNCTION("XLOOKUP(C511, 
   IMPORTRANGE(""1RdEdgHYrZ33LJ7RUHj_h-qkAFL92bcVjtIdVa-UlsCw"", ""Interns!D:D""), 
   IMPORTRANGE(""1RdEdgHYrZ33LJ7RUHj_h-qkAFL92bcVjtIdVa-UlsCw"", ""Interns!O:O""), 
   ""Not Found"")"),"")</f>
        <v/>
      </c>
      <c r="AN511" s="23"/>
      <c r="AO511" s="23" t="s">
        <v>4816</v>
      </c>
      <c r="AP511" s="28" t="s">
        <v>5182</v>
      </c>
      <c r="AQ511" s="28"/>
      <c r="AR511" s="23"/>
      <c r="AS511" s="23"/>
      <c r="AT511" s="23"/>
      <c r="AU511" s="23"/>
      <c r="AV511" s="23"/>
    </row>
    <row r="512">
      <c r="A512" s="28" t="s">
        <v>5161</v>
      </c>
      <c r="B512" s="28" t="s">
        <v>5162</v>
      </c>
      <c r="C512" s="23" t="str">
        <f t="shared" si="1"/>
        <v>Gabriella Ortega</v>
      </c>
      <c r="D512" s="22" t="s">
        <v>6478</v>
      </c>
      <c r="E512" s="22" t="s">
        <v>8681</v>
      </c>
      <c r="F512" s="23"/>
      <c r="G512" s="23"/>
      <c r="H512" s="22">
        <v>2000.0</v>
      </c>
      <c r="I512" s="28"/>
      <c r="J512" s="28" t="s">
        <v>2388</v>
      </c>
      <c r="K512" s="28" t="s">
        <v>5463</v>
      </c>
      <c r="L512" s="28" t="s">
        <v>5196</v>
      </c>
      <c r="M512" s="29" t="s">
        <v>8700</v>
      </c>
      <c r="N512" s="63">
        <v>45615.510416666664</v>
      </c>
      <c r="O512" s="25">
        <v>41374.0</v>
      </c>
      <c r="P512" s="28">
        <f t="shared" si="17"/>
        <v>13</v>
      </c>
      <c r="Q512" s="62" t="s">
        <v>8701</v>
      </c>
      <c r="R512" s="22" t="s">
        <v>8702</v>
      </c>
      <c r="S512" s="28">
        <v>6.0</v>
      </c>
      <c r="T512" s="28">
        <v>12.0</v>
      </c>
      <c r="U512" s="28">
        <v>37.0</v>
      </c>
      <c r="V512" s="28">
        <v>26.0</v>
      </c>
      <c r="W512" s="28" t="s">
        <v>1173</v>
      </c>
      <c r="X512" s="28" t="s">
        <v>272</v>
      </c>
      <c r="Y512" s="22" t="s">
        <v>8703</v>
      </c>
      <c r="Z512" s="22" t="s">
        <v>5536</v>
      </c>
      <c r="AA512" s="28" t="s">
        <v>5287</v>
      </c>
      <c r="AB512" s="28">
        <v>26.0</v>
      </c>
      <c r="AC512" s="28" t="s">
        <v>27</v>
      </c>
      <c r="AD512" s="23"/>
      <c r="AE512" s="28" t="s">
        <v>19</v>
      </c>
      <c r="AF512" s="23"/>
      <c r="AG512" s="23"/>
      <c r="AH512" s="23" t="str">
        <f>IFERROR(__xludf.DUMMYFUNCTION("IF(
ISNUMBER(MATCH(
C512,
IMPORTRANGE(""https://docs.google.com/spreadsheets/d/1yTh1ELC33JHYOeEdgIiEclxPRyh0zOKtlawDltfUay8"",""'Interns'!A:A""),
0
)),
""Outreach Conducted"",
"""")"),"")</f>
        <v/>
      </c>
      <c r="AI512" s="23"/>
      <c r="AJ512" s="23"/>
      <c r="AK512" s="23" t="str">
        <f>IFERROR(__xludf.DUMMYFUNCTION("XLOOKUP(C512, 
   IMPORTRANGE(""1RdEdgHYrZ33LJ7RUHj_h-qkAFL92bcVjtIdVa-UlsCw"", ""Interns!D:D""), 
   IMPORTRANGE(""1RdEdgHYrZ33LJ7RUHj_h-qkAFL92bcVjtIdVa-UlsCw"", ""Interns!M:M""), 
   ""Not Found"")"),"Not Found")</f>
        <v>Not Found</v>
      </c>
      <c r="AL512" s="23" t="str">
        <f>IFERROR(__xludf.DUMMYFUNCTION("XLOOKUP(C512, 
   IMPORTRANGE(""1RdEdgHYrZ33LJ7RUHj_h-qkAFL92bcVjtIdVa-UlsCw"", ""Interns!D:D""), 
   IMPORTRANGE(""1RdEdgHYrZ33LJ7RUHj_h-qkAFL92bcVjtIdVa-UlsCw"", ""Interns!N:N""), 
   ""Not Found"")"),"Not Found")</f>
        <v>Not Found</v>
      </c>
      <c r="AM512" s="23" t="str">
        <f>IFERROR(__xludf.DUMMYFUNCTION("XLOOKUP(C512, 
   IMPORTRANGE(""1RdEdgHYrZ33LJ7RUHj_h-qkAFL92bcVjtIdVa-UlsCw"", ""Interns!D:D""), 
   IMPORTRANGE(""1RdEdgHYrZ33LJ7RUHj_h-qkAFL92bcVjtIdVa-UlsCw"", ""Interns!O:O""), 
   ""Not Found"")"),"Not Found")</f>
        <v>Not Found</v>
      </c>
      <c r="AN512" s="23"/>
      <c r="AO512" s="23" t="s">
        <v>6478</v>
      </c>
      <c r="AP512" s="28" t="s">
        <v>8704</v>
      </c>
      <c r="AQ512" s="28" t="s">
        <v>8705</v>
      </c>
      <c r="AR512" s="23" t="s">
        <v>8706</v>
      </c>
      <c r="AS512" s="23"/>
      <c r="AT512" s="23"/>
      <c r="AU512" s="23"/>
      <c r="AV512" s="23"/>
    </row>
    <row r="513">
      <c r="A513" s="28" t="s">
        <v>5202</v>
      </c>
      <c r="B513" s="28" t="s">
        <v>5162</v>
      </c>
      <c r="C513" s="23" t="str">
        <f t="shared" si="1"/>
        <v>Jordi Naula</v>
      </c>
      <c r="D513" s="28" t="s">
        <v>8707</v>
      </c>
      <c r="E513" s="28" t="s">
        <v>8708</v>
      </c>
      <c r="F513" s="23">
        <f t="array" ref="F513">IFERROR(
    INDEX('Hub Interns 226'!A:A, MATCH(C513, 'Hub Interns 226'!B:B, 0)),"")</f>
        <v>683</v>
      </c>
      <c r="G513" s="23">
        <f t="array" ref="G513">IFERROR(
    INDEX('Hub Users 226'!A:A, MATCH(C513, 'Hub Users 226'!B:B, 0)),"")</f>
        <v>1116</v>
      </c>
      <c r="H513" s="28">
        <v>1320.0</v>
      </c>
      <c r="I513" s="28" t="s">
        <v>1235</v>
      </c>
      <c r="J513" s="28" t="s">
        <v>2388</v>
      </c>
      <c r="K513" s="28" t="s">
        <v>5463</v>
      </c>
      <c r="L513" s="28" t="s">
        <v>5165</v>
      </c>
      <c r="M513" s="56" t="s">
        <v>8709</v>
      </c>
      <c r="N513" s="59">
        <v>44851.69583333333</v>
      </c>
      <c r="O513" s="58">
        <v>40289.0</v>
      </c>
      <c r="P513" s="28">
        <f t="shared" si="17"/>
        <v>16</v>
      </c>
      <c r="Q513" s="28" t="s">
        <v>240</v>
      </c>
      <c r="R513" s="28" t="s">
        <v>8710</v>
      </c>
      <c r="S513" s="28">
        <v>14.0</v>
      </c>
      <c r="T513" s="28">
        <v>13.0</v>
      </c>
      <c r="U513" s="28">
        <v>35.0</v>
      </c>
      <c r="V513" s="28">
        <v>21.0</v>
      </c>
      <c r="W513" s="28" t="s">
        <v>1173</v>
      </c>
      <c r="X513" s="28" t="s">
        <v>272</v>
      </c>
      <c r="Y513" s="28" t="s">
        <v>8711</v>
      </c>
      <c r="Z513" s="28" t="s">
        <v>5403</v>
      </c>
      <c r="AA513" s="28" t="s">
        <v>5404</v>
      </c>
      <c r="AB513" s="28">
        <v>21.0</v>
      </c>
      <c r="AC513" s="28" t="s">
        <v>23</v>
      </c>
      <c r="AD513" s="23"/>
      <c r="AE513" s="28" t="s">
        <v>15</v>
      </c>
      <c r="AF513" s="23"/>
      <c r="AG513" s="23"/>
      <c r="AH513" s="23" t="str">
        <f>IFERROR(__xludf.DUMMYFUNCTION("IF(
ISNUMBER(MATCH(
C513,
IMPORTRANGE(""https://docs.google.com/spreadsheets/d/1yTh1ELC33JHYOeEdgIiEclxPRyh0zOKtlawDltfUay8"",""'Interns'!A:A""),
0
)),
""Outreach Conducted"",
"""")"),"")</f>
        <v/>
      </c>
      <c r="AI513" s="23"/>
      <c r="AJ513" s="23"/>
      <c r="AK513" s="23" t="str">
        <f>IFERROR(__xludf.DUMMYFUNCTION("XLOOKUP(C513, 
   IMPORTRANGE(""1RdEdgHYrZ33LJ7RUHj_h-qkAFL92bcVjtIdVa-UlsCw"", ""Interns!D:D""), 
   IMPORTRANGE(""1RdEdgHYrZ33LJ7RUHj_h-qkAFL92bcVjtIdVa-UlsCw"", ""Interns!M:M""), 
   ""Not Found"")"),"")</f>
        <v/>
      </c>
      <c r="AL513" s="23" t="str">
        <f>IFERROR(__xludf.DUMMYFUNCTION("XLOOKUP(C513, 
   IMPORTRANGE(""1RdEdgHYrZ33LJ7RUHj_h-qkAFL92bcVjtIdVa-UlsCw"", ""Interns!D:D""), 
   IMPORTRANGE(""1RdEdgHYrZ33LJ7RUHj_h-qkAFL92bcVjtIdVa-UlsCw"", ""Interns!N:N""), 
   ""Not Found"")"),"")</f>
        <v/>
      </c>
      <c r="AM513" s="23" t="str">
        <f>IFERROR(__xludf.DUMMYFUNCTION("XLOOKUP(C513, 
   IMPORTRANGE(""1RdEdgHYrZ33LJ7RUHj_h-qkAFL92bcVjtIdVa-UlsCw"", ""Interns!D:D""), 
   IMPORTRANGE(""1RdEdgHYrZ33LJ7RUHj_h-qkAFL92bcVjtIdVa-UlsCw"", ""Interns!O:O""), 
   ""Not Found"")"),"")</f>
        <v/>
      </c>
      <c r="AN513" s="23"/>
      <c r="AO513" s="23" t="s">
        <v>8712</v>
      </c>
      <c r="AP513" s="28" t="s">
        <v>5173</v>
      </c>
      <c r="AQ513" s="28"/>
      <c r="AR513" s="23"/>
      <c r="AS513" s="23"/>
      <c r="AT513" s="23"/>
      <c r="AU513" s="23"/>
      <c r="AV513" s="23"/>
    </row>
    <row r="514">
      <c r="A514" s="28" t="s">
        <v>5161</v>
      </c>
      <c r="B514" s="28" t="s">
        <v>5162</v>
      </c>
      <c r="C514" s="23" t="str">
        <f t="shared" si="1"/>
        <v>Josselyn Choloquinga</v>
      </c>
      <c r="D514" s="28" t="s">
        <v>8713</v>
      </c>
      <c r="E514" s="28" t="s">
        <v>8714</v>
      </c>
      <c r="F514" s="23">
        <f t="array" ref="F514">IFERROR(
    INDEX('Hub Interns 226'!A:A, MATCH("Josselyn (Duplicate) choloquinga", 'Hub Interns 226'!B:B, 0)),"")</f>
        <v>695</v>
      </c>
      <c r="G514" s="23">
        <f t="array" ref="G514">IFERROR(
    INDEX('Hub Users 226'!A:A, MATCH("Josselyn (Duplicate) choloquinga", 'Hub Users 226'!B:B, 0)),"")</f>
        <v>1128</v>
      </c>
      <c r="H514" s="28">
        <v>1613.0</v>
      </c>
      <c r="I514" s="28" t="s">
        <v>260</v>
      </c>
      <c r="J514" s="28" t="s">
        <v>2388</v>
      </c>
      <c r="K514" s="28" t="s">
        <v>5463</v>
      </c>
      <c r="L514" s="28" t="s">
        <v>5196</v>
      </c>
      <c r="M514" s="56" t="s">
        <v>8715</v>
      </c>
      <c r="N514" s="57">
        <v>45072.527083333334</v>
      </c>
      <c r="O514" s="58">
        <v>40455.0</v>
      </c>
      <c r="P514" s="28">
        <f t="shared" si="17"/>
        <v>15</v>
      </c>
      <c r="Q514" s="28" t="s">
        <v>240</v>
      </c>
      <c r="R514" s="28" t="s">
        <v>8716</v>
      </c>
      <c r="S514" s="28">
        <v>7.0</v>
      </c>
      <c r="T514" s="28">
        <v>12.0</v>
      </c>
      <c r="U514" s="28">
        <v>37.0</v>
      </c>
      <c r="V514" s="28">
        <v>27.0</v>
      </c>
      <c r="W514" s="28" t="s">
        <v>1173</v>
      </c>
      <c r="X514" s="28" t="s">
        <v>272</v>
      </c>
      <c r="Y514" s="28" t="s">
        <v>8717</v>
      </c>
      <c r="Z514" s="28" t="s">
        <v>5352</v>
      </c>
      <c r="AA514" s="28" t="s">
        <v>5287</v>
      </c>
      <c r="AB514" s="28">
        <v>26.0</v>
      </c>
      <c r="AC514" s="28" t="s">
        <v>23</v>
      </c>
      <c r="AD514" s="23"/>
      <c r="AE514" s="28" t="s">
        <v>15</v>
      </c>
      <c r="AF514" s="23"/>
      <c r="AG514" s="23"/>
      <c r="AH514" s="23" t="str">
        <f>IFERROR(__xludf.DUMMYFUNCTION("IF(
ISNUMBER(MATCH(
C514,
IMPORTRANGE(""https://docs.google.com/spreadsheets/d/1yTh1ELC33JHYOeEdgIiEclxPRyh0zOKtlawDltfUay8"",""'Interns'!A:A""),
0
)),
""Outreach Conducted"",
"""")"),"")</f>
        <v/>
      </c>
      <c r="AI514" s="23"/>
      <c r="AJ514" s="23"/>
      <c r="AK514" s="23" t="str">
        <f>IFERROR(__xludf.DUMMYFUNCTION("XLOOKUP(C514, 
   IMPORTRANGE(""1RdEdgHYrZ33LJ7RUHj_h-qkAFL92bcVjtIdVa-UlsCw"", ""Interns!D:D""), 
   IMPORTRANGE(""1RdEdgHYrZ33LJ7RUHj_h-qkAFL92bcVjtIdVa-UlsCw"", ""Interns!M:M""), 
   ""Not Found"")"),"Contacted")</f>
        <v>Contacted</v>
      </c>
      <c r="AL514" s="23" t="str">
        <f>IFERROR(__xludf.DUMMYFUNCTION("XLOOKUP(C514, 
   IMPORTRANGE(""1RdEdgHYrZ33LJ7RUHj_h-qkAFL92bcVjtIdVa-UlsCw"", ""Interns!D:D""), 
   IMPORTRANGE(""1RdEdgHYrZ33LJ7RUHj_h-qkAFL92bcVjtIdVa-UlsCw"", ""Interns!N:N""), 
   ""Not Found"")"),"#Cheers4Careers")</f>
        <v>#Cheers4Careers</v>
      </c>
      <c r="AM514" s="23" t="str">
        <f>IFERROR(__xludf.DUMMYFUNCTION("XLOOKUP(C514, 
   IMPORTRANGE(""1RdEdgHYrZ33LJ7RUHj_h-qkAFL92bcVjtIdVa-UlsCw"", ""Interns!D:D""), 
   IMPORTRANGE(""1RdEdgHYrZ33LJ7RUHj_h-qkAFL92bcVjtIdVa-UlsCw"", ""Interns!O:O""), 
   ""Not Found"")"),"Hetal reached out by email 3/27")</f>
        <v>Hetal reached out by email 3/27</v>
      </c>
      <c r="AN514" s="23"/>
      <c r="AO514" s="23" t="s">
        <v>8718</v>
      </c>
      <c r="AP514" s="28" t="s">
        <v>5908</v>
      </c>
      <c r="AQ514" s="28"/>
      <c r="AR514" s="23"/>
      <c r="AS514" s="23"/>
      <c r="AT514" s="23"/>
      <c r="AU514" s="23"/>
      <c r="AV514" s="23"/>
    </row>
    <row r="515">
      <c r="A515" s="28" t="s">
        <v>5202</v>
      </c>
      <c r="B515" s="28" t="s">
        <v>5162</v>
      </c>
      <c r="C515" s="23" t="str">
        <f t="shared" si="1"/>
        <v>Juan Azogue</v>
      </c>
      <c r="D515" s="28" t="s">
        <v>5764</v>
      </c>
      <c r="E515" s="28" t="s">
        <v>8719</v>
      </c>
      <c r="F515" s="23">
        <f t="array" ref="F515">IFERROR(
    INDEX('Hub Interns 226'!A:A, MATCH(C515, 'Hub Interns 226'!B:B, 0)),"")</f>
        <v>121</v>
      </c>
      <c r="G515" s="23">
        <f t="array" ref="G515">IFERROR(
    INDEX('Hub Users 226'!A:A, MATCH(C515, 'Hub Users 226'!B:B, 0)),"")</f>
        <v>554</v>
      </c>
      <c r="H515" s="28">
        <v>895.0</v>
      </c>
      <c r="I515" s="28"/>
      <c r="J515" s="28" t="s">
        <v>2388</v>
      </c>
      <c r="K515" s="28" t="s">
        <v>5463</v>
      </c>
      <c r="L515" s="28" t="s">
        <v>5165</v>
      </c>
      <c r="M515" s="56" t="s">
        <v>8720</v>
      </c>
      <c r="N515" s="57">
        <v>44601.53402777778</v>
      </c>
      <c r="O515" s="58">
        <v>38529.0</v>
      </c>
      <c r="P515" s="28">
        <f t="shared" si="17"/>
        <v>20</v>
      </c>
      <c r="Q515" s="28" t="s">
        <v>240</v>
      </c>
      <c r="R515" s="28" t="s">
        <v>8721</v>
      </c>
      <c r="S515" s="28">
        <v>14.0</v>
      </c>
      <c r="T515" s="28">
        <v>13.0</v>
      </c>
      <c r="U515" s="28">
        <v>34.0</v>
      </c>
      <c r="V515" s="28">
        <v>21.0</v>
      </c>
      <c r="W515" s="28" t="s">
        <v>1173</v>
      </c>
      <c r="X515" s="28" t="s">
        <v>272</v>
      </c>
      <c r="Y515" s="28" t="s">
        <v>8722</v>
      </c>
      <c r="Z515" s="28" t="s">
        <v>5189</v>
      </c>
      <c r="AA515" s="28" t="s">
        <v>619</v>
      </c>
      <c r="AB515" s="28">
        <v>20.0</v>
      </c>
      <c r="AC515" s="28" t="s">
        <v>24</v>
      </c>
      <c r="AD515" s="23"/>
      <c r="AE515" s="28" t="s">
        <v>10</v>
      </c>
      <c r="AF515" s="23"/>
      <c r="AG515" s="23"/>
      <c r="AH515" s="23" t="str">
        <f>IFERROR(__xludf.DUMMYFUNCTION("IF(
ISNUMBER(MATCH(
C515,
IMPORTRANGE(""https://docs.google.com/spreadsheets/d/1yTh1ELC33JHYOeEdgIiEclxPRyh0zOKtlawDltfUay8"",""'Interns'!A:A""),
0
)),
""Outreach Conducted"",
"""")"),"")</f>
        <v/>
      </c>
      <c r="AI515" s="23"/>
      <c r="AJ515" s="23"/>
      <c r="AK515" s="23" t="str">
        <f>IFERROR(__xludf.DUMMYFUNCTION("XLOOKUP(C515, 
   IMPORTRANGE(""1RdEdgHYrZ33LJ7RUHj_h-qkAFL92bcVjtIdVa-UlsCw"", ""Interns!D:D""), 
   IMPORTRANGE(""1RdEdgHYrZ33LJ7RUHj_h-qkAFL92bcVjtIdVa-UlsCw"", ""Interns!M:M""), 
   ""Not Found"")"),"")</f>
        <v/>
      </c>
      <c r="AL515" s="23" t="str">
        <f>IFERROR(__xludf.DUMMYFUNCTION("XLOOKUP(C515, 
   IMPORTRANGE(""1RdEdgHYrZ33LJ7RUHj_h-qkAFL92bcVjtIdVa-UlsCw"", ""Interns!D:D""), 
   IMPORTRANGE(""1RdEdgHYrZ33LJ7RUHj_h-qkAFL92bcVjtIdVa-UlsCw"", ""Interns!N:N""), 
   ""Not Found"")"),"")</f>
        <v/>
      </c>
      <c r="AM515" s="23" t="str">
        <f>IFERROR(__xludf.DUMMYFUNCTION("XLOOKUP(C515, 
   IMPORTRANGE(""1RdEdgHYrZ33LJ7RUHj_h-qkAFL92bcVjtIdVa-UlsCw"", ""Interns!D:D""), 
   IMPORTRANGE(""1RdEdgHYrZ33LJ7RUHj_h-qkAFL92bcVjtIdVa-UlsCw"", ""Interns!O:O""), 
   ""Not Found"")"),"")</f>
        <v/>
      </c>
      <c r="AN515" s="23"/>
      <c r="AO515" s="23" t="s">
        <v>2308</v>
      </c>
      <c r="AP515" s="28" t="s">
        <v>5182</v>
      </c>
      <c r="AQ515" s="28"/>
      <c r="AR515" s="23"/>
      <c r="AS515" s="23"/>
      <c r="AT515" s="23"/>
      <c r="AU515" s="23"/>
      <c r="AV515" s="23"/>
    </row>
    <row r="516">
      <c r="A516" s="28" t="s">
        <v>5161</v>
      </c>
      <c r="B516" s="28" t="s">
        <v>5162</v>
      </c>
      <c r="C516" s="23" t="str">
        <f t="shared" si="1"/>
        <v>Brittany Guaman</v>
      </c>
      <c r="D516" s="28" t="s">
        <v>4893</v>
      </c>
      <c r="E516" s="28" t="s">
        <v>8435</v>
      </c>
      <c r="F516" s="23">
        <f t="array" ref="F516">IFERROR(
    INDEX('Hub Interns 226'!A:A, MATCH(C516, 'Hub Interns 226'!B:B, 0)),"")</f>
        <v>320</v>
      </c>
      <c r="G516" s="23">
        <f t="array" ref="G516">IFERROR(
    INDEX('Hub Users 226'!A:A, MATCH(C516, 'Hub Users 226'!B:B, 0)),"")</f>
        <v>753</v>
      </c>
      <c r="H516" s="28">
        <v>1129.0</v>
      </c>
      <c r="I516" s="28"/>
      <c r="J516" s="28" t="s">
        <v>2388</v>
      </c>
      <c r="K516" s="28" t="s">
        <v>5463</v>
      </c>
      <c r="L516" s="28" t="s">
        <v>5196</v>
      </c>
      <c r="M516" s="56" t="s">
        <v>8723</v>
      </c>
      <c r="N516" s="57">
        <v>44729.697222222225</v>
      </c>
      <c r="O516" s="58">
        <v>40157.0</v>
      </c>
      <c r="P516" s="28">
        <f t="shared" si="17"/>
        <v>16</v>
      </c>
      <c r="Q516" s="28" t="s">
        <v>240</v>
      </c>
      <c r="R516" s="28" t="s">
        <v>8724</v>
      </c>
      <c r="S516" s="28">
        <v>14.0</v>
      </c>
      <c r="T516" s="28">
        <v>13.0</v>
      </c>
      <c r="U516" s="28">
        <v>35.0</v>
      </c>
      <c r="V516" s="28">
        <v>21.0</v>
      </c>
      <c r="W516" s="28" t="s">
        <v>1173</v>
      </c>
      <c r="X516" s="28" t="s">
        <v>272</v>
      </c>
      <c r="Y516" s="28" t="s">
        <v>8725</v>
      </c>
      <c r="Z516" s="28" t="s">
        <v>5403</v>
      </c>
      <c r="AA516" s="28" t="s">
        <v>5404</v>
      </c>
      <c r="AB516" s="28">
        <v>21.0</v>
      </c>
      <c r="AC516" s="28" t="s">
        <v>24</v>
      </c>
      <c r="AD516" s="23"/>
      <c r="AE516" s="28" t="s">
        <v>10</v>
      </c>
      <c r="AF516" s="23"/>
      <c r="AG516" s="23"/>
      <c r="AH516" s="23" t="str">
        <f>IFERROR(__xludf.DUMMYFUNCTION("IF(
ISNUMBER(MATCH(
C516,
IMPORTRANGE(""https://docs.google.com/spreadsheets/d/1yTh1ELC33JHYOeEdgIiEclxPRyh0zOKtlawDltfUay8"",""'Interns'!A:A""),
0
)),
""Outreach Conducted"",
"""")"),"")</f>
        <v/>
      </c>
      <c r="AI516" s="23"/>
      <c r="AJ516" s="23"/>
      <c r="AK516" s="23" t="str">
        <f>IFERROR(__xludf.DUMMYFUNCTION("XLOOKUP(C516, 
   IMPORTRANGE(""1RdEdgHYrZ33LJ7RUHj_h-qkAFL92bcVjtIdVa-UlsCw"", ""Interns!D:D""), 
   IMPORTRANGE(""1RdEdgHYrZ33LJ7RUHj_h-qkAFL92bcVjtIdVa-UlsCw"", ""Interns!M:M""), 
   ""Not Found"")"),"Contacted")</f>
        <v>Contacted</v>
      </c>
      <c r="AL516" s="23" t="str">
        <f>IFERROR(__xludf.DUMMYFUNCTION("XLOOKUP(C516, 
   IMPORTRANGE(""1RdEdgHYrZ33LJ7RUHj_h-qkAFL92bcVjtIdVa-UlsCw"", ""Interns!D:D""), 
   IMPORTRANGE(""1RdEdgHYrZ33LJ7RUHj_h-qkAFL92bcVjtIdVa-UlsCw"", ""Interns!N:N""), 
   ""Not Found"")"),"#Cheers4Careers")</f>
        <v>#Cheers4Careers</v>
      </c>
      <c r="AM516" s="23" t="str">
        <f>IFERROR(__xludf.DUMMYFUNCTION("XLOOKUP(C516, 
   IMPORTRANGE(""1RdEdgHYrZ33LJ7RUHj_h-qkAFL92bcVjtIdVa-UlsCw"", ""Interns!D:D""), 
   IMPORTRANGE(""1RdEdgHYrZ33LJ7RUHj_h-qkAFL92bcVjtIdVa-UlsCw"", ""Interns!O:O""), 
   ""Not Found"")"),"Reached out by text 3/26-3/28 followed up by email 3/27 by Jackie")</f>
        <v>Reached out by text 3/26-3/28 followed up by email 3/27 by Jackie</v>
      </c>
      <c r="AN516" s="23"/>
      <c r="AO516" s="23" t="s">
        <v>8726</v>
      </c>
      <c r="AP516" s="28" t="s">
        <v>5182</v>
      </c>
      <c r="AQ516" s="28"/>
      <c r="AR516" s="23"/>
      <c r="AS516" s="23"/>
      <c r="AT516" s="23"/>
      <c r="AU516" s="23"/>
      <c r="AV516" s="23"/>
    </row>
    <row r="517">
      <c r="A517" s="28" t="s">
        <v>5161</v>
      </c>
      <c r="B517" s="28" t="s">
        <v>5162</v>
      </c>
      <c r="C517" s="23" t="str">
        <f t="shared" si="1"/>
        <v>Erick Cuzco Cualchi</v>
      </c>
      <c r="D517" s="28" t="s">
        <v>6622</v>
      </c>
      <c r="E517" s="28" t="s">
        <v>8727</v>
      </c>
      <c r="F517" s="23">
        <f t="array" ref="F517">IFERROR(
    INDEX('Hub Interns 226'!A:A, MATCH(C517, 'Hub Interns 226'!B:B, 0)),"")</f>
        <v>106</v>
      </c>
      <c r="G517" s="23">
        <f t="array" ref="G517">IFERROR(
    INDEX('Hub Users 226'!A:A, MATCH(C517, 'Hub Users 226'!B:B, 0)),"")</f>
        <v>539</v>
      </c>
      <c r="H517" s="28">
        <v>1789.0</v>
      </c>
      <c r="I517" s="28" t="s">
        <v>260</v>
      </c>
      <c r="J517" s="28" t="s">
        <v>2388</v>
      </c>
      <c r="K517" s="28" t="s">
        <v>5463</v>
      </c>
      <c r="L517" s="28" t="s">
        <v>5165</v>
      </c>
      <c r="M517" s="56" t="s">
        <v>8728</v>
      </c>
      <c r="N517" s="57">
        <v>45312.97708333333</v>
      </c>
      <c r="O517" s="58"/>
      <c r="P517" s="28"/>
      <c r="Q517" s="28" t="s">
        <v>8729</v>
      </c>
      <c r="R517" s="28" t="s">
        <v>8730</v>
      </c>
      <c r="S517" s="28">
        <v>5.0</v>
      </c>
      <c r="T517" s="28">
        <v>15.0</v>
      </c>
      <c r="U517" s="28">
        <v>38.0</v>
      </c>
      <c r="V517" s="28">
        <v>29.0</v>
      </c>
      <c r="W517" s="28" t="s">
        <v>1173</v>
      </c>
      <c r="X517" s="28" t="s">
        <v>272</v>
      </c>
      <c r="Y517" s="28" t="s">
        <v>8731</v>
      </c>
      <c r="Z517" s="28" t="s">
        <v>5259</v>
      </c>
      <c r="AA517" s="28" t="s">
        <v>704</v>
      </c>
      <c r="AB517" s="28">
        <v>2.0</v>
      </c>
      <c r="AC517" s="28" t="s">
        <v>25</v>
      </c>
      <c r="AD517" s="23"/>
      <c r="AE517" s="28" t="s">
        <v>18</v>
      </c>
      <c r="AF517" s="23" t="str">
        <f>IFERROR(__xludf.DUMMYFUNCTION("TEXTJOIN("", "", TRUE,
  FILTER(Champions!C:C,
    ISNUMBER(SEARCH(C517, Champions!W:W))
  )
)"),"Bindu Krishna, Priyanka Prasad, Bindu Krishna (D)")</f>
        <v>Bindu Krishna, Priyanka Prasad, Bindu Krishna (D)</v>
      </c>
      <c r="AG517" s="23"/>
      <c r="AH517" s="23" t="str">
        <f>IFERROR(__xludf.DUMMYFUNCTION("IF(
ISNUMBER(MATCH(
C517,
IMPORTRANGE(""https://docs.google.com/spreadsheets/d/1yTh1ELC33JHYOeEdgIiEclxPRyh0zOKtlawDltfUay8"",""'Interns'!A:A""),
0
)),
""Outreach Conducted"",
"""")"),"")</f>
        <v/>
      </c>
      <c r="AI517" s="23"/>
      <c r="AJ517" s="28" t="s">
        <v>8732</v>
      </c>
      <c r="AK517" s="23" t="str">
        <f>IFERROR(__xludf.DUMMYFUNCTION("XLOOKUP(C517, 
   IMPORTRANGE(""1RdEdgHYrZ33LJ7RUHj_h-qkAFL92bcVjtIdVa-UlsCw"", ""Interns!D:D""), 
   IMPORTRANGE(""1RdEdgHYrZ33LJ7RUHj_h-qkAFL92bcVjtIdVa-UlsCw"", ""Interns!M:M""), 
   ""Not Found"")"),"Contacted")</f>
        <v>Contacted</v>
      </c>
      <c r="AL517" s="23" t="str">
        <f>IFERROR(__xludf.DUMMYFUNCTION("XLOOKUP(C517, 
   IMPORTRANGE(""1RdEdgHYrZ33LJ7RUHj_h-qkAFL92bcVjtIdVa-UlsCw"", ""Interns!D:D""), 
   IMPORTRANGE(""1RdEdgHYrZ33LJ7RUHj_h-qkAFL92bcVjtIdVa-UlsCw"", ""Interns!N:N""), 
   ""Not Found"")"),"#Cheers4Careers")</f>
        <v>#Cheers4Careers</v>
      </c>
      <c r="AM517" s="23" t="str">
        <f>IFERROR(__xludf.DUMMYFUNCTION("XLOOKUP(C517, 
   IMPORTRANGE(""1RdEdgHYrZ33LJ7RUHj_h-qkAFL92bcVjtIdVa-UlsCw"", ""Interns!D:D""), 
   IMPORTRANGE(""1RdEdgHYrZ33LJ7RUHj_h-qkAFL92bcVjtIdVa-UlsCw"", ""Interns!O:O""), 
   ""Not Found"")"),"Hetal reached out by whatsapp on 3/28
Hetal reached out on 4/10 by whatsapp for April 18th #Cheers4Careers")</f>
        <v>Hetal reached out by whatsapp on 3/28
Hetal reached out on 4/10 by whatsapp for April 18th #Cheers4Careers</v>
      </c>
      <c r="AN517" s="23"/>
      <c r="AO517" s="23" t="s">
        <v>6743</v>
      </c>
      <c r="AP517" s="28" t="s">
        <v>5182</v>
      </c>
      <c r="AQ517" s="28" t="s">
        <v>8733</v>
      </c>
      <c r="AR517" s="23">
        <v>3.473134871E9</v>
      </c>
      <c r="AS517" s="23"/>
      <c r="AT517" s="23"/>
      <c r="AU517" s="23"/>
      <c r="AV517" s="23"/>
    </row>
    <row r="518">
      <c r="A518" s="28" t="s">
        <v>5161</v>
      </c>
      <c r="B518" s="28" t="s">
        <v>5162</v>
      </c>
      <c r="C518" s="23" t="str">
        <f t="shared" si="1"/>
        <v>Braulio Gutierrez</v>
      </c>
      <c r="D518" s="28" t="s">
        <v>8734</v>
      </c>
      <c r="E518" s="28" t="s">
        <v>6489</v>
      </c>
      <c r="F518" s="23">
        <f t="array" ref="F518">IFERROR(
    INDEX('Hub Interns 226'!A:A, MATCH(C518, 'Hub Interns 226'!B:B, 0)),"")</f>
        <v>78</v>
      </c>
      <c r="G518" s="23">
        <f t="array" ref="G518">IFERROR(
    INDEX('Hub Users 226'!A:A, MATCH(C518, 'Hub Users 226'!B:B, 0)),"")</f>
        <v>511</v>
      </c>
      <c r="H518" s="28">
        <v>1534.0</v>
      </c>
      <c r="I518" s="28" t="s">
        <v>1153</v>
      </c>
      <c r="J518" s="28" t="s">
        <v>5336</v>
      </c>
      <c r="K518" s="28" t="s">
        <v>5177</v>
      </c>
      <c r="L518" s="28" t="s">
        <v>5165</v>
      </c>
      <c r="M518" s="56" t="s">
        <v>8735</v>
      </c>
      <c r="N518" s="57">
        <v>44953.90416666667</v>
      </c>
      <c r="O518" s="58">
        <v>39052.0</v>
      </c>
      <c r="P518" s="28">
        <f t="shared" ref="P518:P551" si="18">DATEDIF(O518, TODAY(), "Y")</f>
        <v>19</v>
      </c>
      <c r="Q518" s="28" t="s">
        <v>240</v>
      </c>
      <c r="R518" s="28" t="s">
        <v>8736</v>
      </c>
      <c r="S518" s="28">
        <v>14.0</v>
      </c>
      <c r="T518" s="28">
        <v>29.0</v>
      </c>
      <c r="U518" s="28">
        <v>84.0</v>
      </c>
      <c r="V518" s="28">
        <v>8.0</v>
      </c>
      <c r="W518" s="28" t="s">
        <v>859</v>
      </c>
      <c r="X518" s="28" t="s">
        <v>272</v>
      </c>
      <c r="Y518" s="28" t="s">
        <v>8737</v>
      </c>
      <c r="Z518" s="28" t="s">
        <v>5259</v>
      </c>
      <c r="AA518" s="28" t="s">
        <v>704</v>
      </c>
      <c r="AB518" s="28">
        <v>2.0</v>
      </c>
      <c r="AC518" s="28" t="s">
        <v>23</v>
      </c>
      <c r="AD518" s="28" t="s">
        <v>101</v>
      </c>
      <c r="AE518" s="28" t="s">
        <v>15</v>
      </c>
      <c r="AF518" s="23"/>
      <c r="AG518" s="23"/>
      <c r="AH518" s="23" t="str">
        <f>IFERROR(__xludf.DUMMYFUNCTION("IF(
ISNUMBER(MATCH(
C518,
IMPORTRANGE(""https://docs.google.com/spreadsheets/d/1yTh1ELC33JHYOeEdgIiEclxPRyh0zOKtlawDltfUay8"",""'Interns'!A:A""),
0
)),
""Outreach Conducted"",
"""")"),"")</f>
        <v/>
      </c>
      <c r="AI518" s="23"/>
      <c r="AJ518" s="23"/>
      <c r="AK518" s="23" t="str">
        <f>IFERROR(__xludf.DUMMYFUNCTION("XLOOKUP(C518, 
   IMPORTRANGE(""1RdEdgHYrZ33LJ7RUHj_h-qkAFL92bcVjtIdVa-UlsCw"", ""Interns!D:D""), 
   IMPORTRANGE(""1RdEdgHYrZ33LJ7RUHj_h-qkAFL92bcVjtIdVa-UlsCw"", ""Interns!M:M""), 
   ""Not Found"")"),"Contacted")</f>
        <v>Contacted</v>
      </c>
      <c r="AL518" s="23" t="str">
        <f>IFERROR(__xludf.DUMMYFUNCTION("XLOOKUP(C518, 
   IMPORTRANGE(""1RdEdgHYrZ33LJ7RUHj_h-qkAFL92bcVjtIdVa-UlsCw"", ""Interns!D:D""), 
   IMPORTRANGE(""1RdEdgHYrZ33LJ7RUHj_h-qkAFL92bcVjtIdVa-UlsCw"", ""Interns!N:N""), 
   ""Not Found"")"),"#Cheers4Careers")</f>
        <v>#Cheers4Careers</v>
      </c>
      <c r="AM518" s="23" t="str">
        <f>IFERROR(__xludf.DUMMYFUNCTION("XLOOKUP(C518, 
   IMPORTRANGE(""1RdEdgHYrZ33LJ7RUHj_h-qkAFL92bcVjtIdVa-UlsCw"", ""Interns!D:D""), 
   IMPORTRANGE(""1RdEdgHYrZ33LJ7RUHj_h-qkAFL92bcVjtIdVa-UlsCw"", ""Interns!O:O""), 
   ""Not Found"")"),"Ousmane reached out by email 3/26 and reach out by text 3/28")</f>
        <v>Ousmane reached out by email 3/26 and reach out by text 3/28</v>
      </c>
      <c r="AN518" s="23"/>
      <c r="AO518" s="23" t="s">
        <v>8738</v>
      </c>
      <c r="AP518" s="28" t="s">
        <v>5191</v>
      </c>
      <c r="AQ518" s="28"/>
      <c r="AR518" s="23"/>
      <c r="AS518" s="23"/>
      <c r="AT518" s="23"/>
      <c r="AU518" s="23"/>
      <c r="AV518" s="23"/>
    </row>
    <row r="519">
      <c r="A519" s="28" t="s">
        <v>5161</v>
      </c>
      <c r="B519" s="28" t="s">
        <v>5162</v>
      </c>
      <c r="C519" s="23" t="str">
        <f t="shared" si="1"/>
        <v>Alessandro Guzman</v>
      </c>
      <c r="D519" s="28" t="s">
        <v>8739</v>
      </c>
      <c r="E519" s="28" t="s">
        <v>847</v>
      </c>
      <c r="F519" s="23">
        <f t="array" ref="F519">IFERROR(
    INDEX('Hub Interns 226'!A:A, MATCH(C519, 'Hub Interns 226'!B:B, 0)),"")</f>
        <v>182</v>
      </c>
      <c r="G519" s="23">
        <f t="array" ref="G519">IFERROR(
    INDEX('Hub Users 226'!A:A, MATCH(C519, 'Hub Users 226'!B:B, 0)),"")</f>
        <v>615</v>
      </c>
      <c r="H519" s="28">
        <v>764.0</v>
      </c>
      <c r="I519" s="28" t="s">
        <v>239</v>
      </c>
      <c r="J519" s="28" t="s">
        <v>2388</v>
      </c>
      <c r="K519" s="28" t="s">
        <v>5463</v>
      </c>
      <c r="L519" s="28" t="s">
        <v>5165</v>
      </c>
      <c r="M519" s="56" t="s">
        <v>8740</v>
      </c>
      <c r="N519" s="59">
        <v>44551.913194444445</v>
      </c>
      <c r="O519" s="58">
        <v>38478.0</v>
      </c>
      <c r="P519" s="28">
        <f t="shared" si="18"/>
        <v>21</v>
      </c>
      <c r="Q519" s="28" t="s">
        <v>240</v>
      </c>
      <c r="R519" s="28" t="s">
        <v>8741</v>
      </c>
      <c r="S519" s="28">
        <v>6.0</v>
      </c>
      <c r="T519" s="28">
        <v>13.0</v>
      </c>
      <c r="U519" s="28">
        <v>35.0</v>
      </c>
      <c r="V519" s="28">
        <v>21.0</v>
      </c>
      <c r="W519" s="28" t="s">
        <v>1173</v>
      </c>
      <c r="X519" s="28" t="s">
        <v>272</v>
      </c>
      <c r="Y519" s="28" t="s">
        <v>8742</v>
      </c>
      <c r="Z519" s="28" t="s">
        <v>5483</v>
      </c>
      <c r="AA519" s="28" t="s">
        <v>457</v>
      </c>
      <c r="AB519" s="28">
        <v>25.0</v>
      </c>
      <c r="AC519" s="28" t="s">
        <v>25</v>
      </c>
      <c r="AD519" s="23"/>
      <c r="AE519" s="28" t="s">
        <v>10</v>
      </c>
      <c r="AF519" s="23" t="str">
        <f>IFERROR(__xludf.DUMMYFUNCTION("TEXTJOIN("", "", TRUE,
  FILTER(Champions!C:C,
    ISNUMBER(SEARCH(C519, Champions!W:W))
  )
)"),"Chetana Manjunath Kaushik, Prasanna Vijayanathan")</f>
        <v>Chetana Manjunath Kaushik, Prasanna Vijayanathan</v>
      </c>
      <c r="AG519" s="23"/>
      <c r="AH519" s="23" t="str">
        <f>IFERROR(__xludf.DUMMYFUNCTION("IF(
ISNUMBER(MATCH(
C519,
IMPORTRANGE(""https://docs.google.com/spreadsheets/d/1yTh1ELC33JHYOeEdgIiEclxPRyh0zOKtlawDltfUay8"",""'Interns'!A:A""),
0
)),
""Outreach Conducted"",
"""")"),"")</f>
        <v/>
      </c>
      <c r="AI519" s="23"/>
      <c r="AJ519" s="23"/>
      <c r="AK519" s="23" t="str">
        <f>IFERROR(__xludf.DUMMYFUNCTION("XLOOKUP(C519, 
   IMPORTRANGE(""1RdEdgHYrZ33LJ7RUHj_h-qkAFL92bcVjtIdVa-UlsCw"", ""Interns!D:D""), 
   IMPORTRANGE(""1RdEdgHYrZ33LJ7RUHj_h-qkAFL92bcVjtIdVa-UlsCw"", ""Interns!M:M""), 
   ""Not Found"")"),"Contacted")</f>
        <v>Contacted</v>
      </c>
      <c r="AL519" s="23" t="str">
        <f>IFERROR(__xludf.DUMMYFUNCTION("XLOOKUP(C519, 
   IMPORTRANGE(""1RdEdgHYrZ33LJ7RUHj_h-qkAFL92bcVjtIdVa-UlsCw"", ""Interns!D:D""), 
   IMPORTRANGE(""1RdEdgHYrZ33LJ7RUHj_h-qkAFL92bcVjtIdVa-UlsCw"", ""Interns!N:N""), 
   ""Not Found"")"),"#Cheers4Careers")</f>
        <v>#Cheers4Careers</v>
      </c>
      <c r="AM519" s="23" t="str">
        <f>IFERROR(__xludf.DUMMYFUNCTION("XLOOKUP(C519, 
   IMPORTRANGE(""1RdEdgHYrZ33LJ7RUHj_h-qkAFL92bcVjtIdVa-UlsCw"", ""Interns!D:D""), 
   IMPORTRANGE(""1RdEdgHYrZ33LJ7RUHj_h-qkAFL92bcVjtIdVa-UlsCw"", ""Interns!O:O""), 
   ""Not Found"")"),"Hetal reached out by email 3/27")</f>
        <v>Hetal reached out by email 3/27</v>
      </c>
      <c r="AN519" s="23"/>
      <c r="AO519" s="23" t="s">
        <v>8743</v>
      </c>
      <c r="AP519" s="28" t="s">
        <v>5182</v>
      </c>
      <c r="AQ519" s="28" t="s">
        <v>8744</v>
      </c>
      <c r="AR519" s="23" t="s">
        <v>8745</v>
      </c>
      <c r="AS519" s="23"/>
      <c r="AT519" s="23"/>
      <c r="AU519" s="23"/>
      <c r="AV519" s="23"/>
    </row>
    <row r="520">
      <c r="A520" s="28" t="s">
        <v>5161</v>
      </c>
      <c r="B520" s="28" t="s">
        <v>5162</v>
      </c>
      <c r="C520" s="23" t="str">
        <f t="shared" si="1"/>
        <v>Michael Dutan</v>
      </c>
      <c r="D520" s="28" t="s">
        <v>2424</v>
      </c>
      <c r="E520" s="28" t="s">
        <v>8746</v>
      </c>
      <c r="F520" s="23">
        <f t="array" ref="F520">IFERROR(
    INDEX('Hub Interns 226'!A:A, MATCH(C520, 'Hub Interns 226'!B:B, 0)),"")</f>
        <v>882</v>
      </c>
      <c r="G520" s="23">
        <f t="array" ref="G520">IFERROR(
    INDEX('Hub Users 226'!A:A, MATCH(C520, 'Hub Users 226'!B:B, 0)),"")</f>
        <v>1315</v>
      </c>
      <c r="H520" s="28">
        <v>985.0</v>
      </c>
      <c r="I520" s="28" t="s">
        <v>239</v>
      </c>
      <c r="J520" s="28" t="s">
        <v>2388</v>
      </c>
      <c r="K520" s="28" t="s">
        <v>5463</v>
      </c>
      <c r="L520" s="28" t="s">
        <v>5165</v>
      </c>
      <c r="M520" s="56" t="s">
        <v>8747</v>
      </c>
      <c r="N520" s="57">
        <v>44643.55486111111</v>
      </c>
      <c r="O520" s="58">
        <v>40087.0</v>
      </c>
      <c r="P520" s="28">
        <f t="shared" si="18"/>
        <v>16</v>
      </c>
      <c r="Q520" s="28" t="s">
        <v>240</v>
      </c>
      <c r="R520" s="28" t="s">
        <v>8748</v>
      </c>
      <c r="S520" s="28">
        <v>6.0</v>
      </c>
      <c r="T520" s="28">
        <v>13.0</v>
      </c>
      <c r="U520" s="28">
        <v>39.0</v>
      </c>
      <c r="V520" s="28">
        <v>21.0</v>
      </c>
      <c r="W520" s="28" t="s">
        <v>1173</v>
      </c>
      <c r="X520" s="28" t="s">
        <v>272</v>
      </c>
      <c r="Y520" s="28" t="s">
        <v>8749</v>
      </c>
      <c r="Z520" s="28" t="s">
        <v>7427</v>
      </c>
      <c r="AA520" s="28" t="s">
        <v>7428</v>
      </c>
      <c r="AB520" s="28">
        <v>34.0</v>
      </c>
      <c r="AC520" s="28" t="s">
        <v>24</v>
      </c>
      <c r="AD520" s="23"/>
      <c r="AE520" s="28" t="s">
        <v>10</v>
      </c>
      <c r="AF520" s="23"/>
      <c r="AG520" s="23"/>
      <c r="AH520" s="23" t="str">
        <f>IFERROR(__xludf.DUMMYFUNCTION("IF(
ISNUMBER(MATCH(
C520,
IMPORTRANGE(""https://docs.google.com/spreadsheets/d/1yTh1ELC33JHYOeEdgIiEclxPRyh0zOKtlawDltfUay8"",""'Interns'!A:A""),
0
)),
""Outreach Conducted"",
"""")"),"")</f>
        <v/>
      </c>
      <c r="AI520" s="23"/>
      <c r="AJ520" s="23"/>
      <c r="AK520" s="23" t="str">
        <f>IFERROR(__xludf.DUMMYFUNCTION("XLOOKUP(C520, 
   IMPORTRANGE(""1RdEdgHYrZ33LJ7RUHj_h-qkAFL92bcVjtIdVa-UlsCw"", ""Interns!D:D""), 
   IMPORTRANGE(""1RdEdgHYrZ33LJ7RUHj_h-qkAFL92bcVjtIdVa-UlsCw"", ""Interns!M:M""), 
   ""Not Found"")"),"Contacted")</f>
        <v>Contacted</v>
      </c>
      <c r="AL520" s="23" t="str">
        <f>IFERROR(__xludf.DUMMYFUNCTION("XLOOKUP(C520, 
   IMPORTRANGE(""1RdEdgHYrZ33LJ7RUHj_h-qkAFL92bcVjtIdVa-UlsCw"", ""Interns!D:D""), 
   IMPORTRANGE(""1RdEdgHYrZ33LJ7RUHj_h-qkAFL92bcVjtIdVa-UlsCw"", ""Interns!N:N""), 
   ""Not Found"")"),"#Cheers4Careers")</f>
        <v>#Cheers4Careers</v>
      </c>
      <c r="AM520" s="23" t="str">
        <f>IFERROR(__xludf.DUMMYFUNCTION("XLOOKUP(C520, 
   IMPORTRANGE(""1RdEdgHYrZ33LJ7RUHj_h-qkAFL92bcVjtIdVa-UlsCw"", ""Interns!D:D""), 
   IMPORTRANGE(""1RdEdgHYrZ33LJ7RUHj_h-qkAFL92bcVjtIdVa-UlsCw"", ""Interns!O:O""), 
   ""Not Found"")"),"Hetal reached out by email 3/27")</f>
        <v>Hetal reached out by email 3/27</v>
      </c>
      <c r="AN520" s="23"/>
      <c r="AO520" s="23" t="s">
        <v>8750</v>
      </c>
      <c r="AP520" s="28" t="s">
        <v>5191</v>
      </c>
      <c r="AQ520" s="28"/>
      <c r="AR520" s="23"/>
      <c r="AS520" s="23"/>
      <c r="AT520" s="23"/>
      <c r="AU520" s="23"/>
      <c r="AV520" s="23"/>
    </row>
    <row r="521">
      <c r="A521" s="28" t="s">
        <v>5161</v>
      </c>
      <c r="B521" s="28" t="s">
        <v>5162</v>
      </c>
      <c r="C521" s="23" t="str">
        <f t="shared" si="1"/>
        <v>Freddy Cajilema</v>
      </c>
      <c r="D521" s="28" t="s">
        <v>8751</v>
      </c>
      <c r="E521" s="28" t="s">
        <v>8752</v>
      </c>
      <c r="F521" s="23">
        <f t="array" ref="F521">IFERROR(
    INDEX('Hub Interns 226'!A:A, MATCH(C521, 'Hub Interns 226'!B:B, 0)),"")</f>
        <v>527</v>
      </c>
      <c r="G521" s="23">
        <f t="array" ref="G521">IFERROR(
    INDEX('Hub Users 226'!A:A, MATCH(C521, 'Hub Users 226'!B:B, 0)),"")</f>
        <v>960</v>
      </c>
      <c r="H521" s="28">
        <v>1392.0</v>
      </c>
      <c r="I521" s="28" t="s">
        <v>239</v>
      </c>
      <c r="J521" s="28" t="s">
        <v>2388</v>
      </c>
      <c r="K521" s="28" t="s">
        <v>5463</v>
      </c>
      <c r="L521" s="28" t="s">
        <v>5165</v>
      </c>
      <c r="M521" s="56" t="s">
        <v>8753</v>
      </c>
      <c r="N521" s="59">
        <v>44862.52916666667</v>
      </c>
      <c r="O521" s="58">
        <v>40404.0</v>
      </c>
      <c r="P521" s="28">
        <f t="shared" si="18"/>
        <v>15</v>
      </c>
      <c r="Q521" s="28" t="s">
        <v>8754</v>
      </c>
      <c r="R521" s="28" t="s">
        <v>8755</v>
      </c>
      <c r="S521" s="28">
        <v>14.0</v>
      </c>
      <c r="T521" s="28">
        <v>13.0</v>
      </c>
      <c r="U521" s="28">
        <v>39.0</v>
      </c>
      <c r="V521" s="28">
        <v>21.0</v>
      </c>
      <c r="W521" s="28" t="s">
        <v>1173</v>
      </c>
      <c r="X521" s="28" t="s">
        <v>272</v>
      </c>
      <c r="Y521" s="28" t="s">
        <v>5351</v>
      </c>
      <c r="Z521" s="28" t="s">
        <v>5352</v>
      </c>
      <c r="AA521" s="28" t="s">
        <v>5287</v>
      </c>
      <c r="AB521" s="28">
        <v>26.0</v>
      </c>
      <c r="AC521" s="28" t="s">
        <v>23</v>
      </c>
      <c r="AD521" s="23"/>
      <c r="AE521" s="28" t="s">
        <v>15</v>
      </c>
      <c r="AF521" s="23"/>
      <c r="AG521" s="23"/>
      <c r="AH521" s="23" t="str">
        <f>IFERROR(__xludf.DUMMYFUNCTION("IF(
ISNUMBER(MATCH(
C521,
IMPORTRANGE(""https://docs.google.com/spreadsheets/d/1yTh1ELC33JHYOeEdgIiEclxPRyh0zOKtlawDltfUay8"",""'Interns'!A:A""),
0
)),
""Outreach Conducted"",
"""")"),"")</f>
        <v/>
      </c>
      <c r="AI521" s="23"/>
      <c r="AJ521" s="23"/>
      <c r="AK521" s="23" t="str">
        <f>IFERROR(__xludf.DUMMYFUNCTION("XLOOKUP(C521, 
   IMPORTRANGE(""1RdEdgHYrZ33LJ7RUHj_h-qkAFL92bcVjtIdVa-UlsCw"", ""Interns!D:D""), 
   IMPORTRANGE(""1RdEdgHYrZ33LJ7RUHj_h-qkAFL92bcVjtIdVa-UlsCw"", ""Interns!M:M""), 
   ""Not Found"")"),"Contacted")</f>
        <v>Contacted</v>
      </c>
      <c r="AL521" s="23" t="str">
        <f>IFERROR(__xludf.DUMMYFUNCTION("XLOOKUP(C521, 
   IMPORTRANGE(""1RdEdgHYrZ33LJ7RUHj_h-qkAFL92bcVjtIdVa-UlsCw"", ""Interns!D:D""), 
   IMPORTRANGE(""1RdEdgHYrZ33LJ7RUHj_h-qkAFL92bcVjtIdVa-UlsCw"", ""Interns!N:N""), 
   ""Not Found"")"),"#Cheers4Careers")</f>
        <v>#Cheers4Careers</v>
      </c>
      <c r="AM521" s="23" t="str">
        <f>IFERROR(__xludf.DUMMYFUNCTION("XLOOKUP(C521, 
   IMPORTRANGE(""1RdEdgHYrZ33LJ7RUHj_h-qkAFL92bcVjtIdVa-UlsCw"", ""Interns!D:D""), 
   IMPORTRANGE(""1RdEdgHYrZ33LJ7RUHj_h-qkAFL92bcVjtIdVa-UlsCw"", ""Interns!O:O""), 
   ""Not Found"")"),"Hetal reached out by email 3/27")</f>
        <v>Hetal reached out by email 3/27</v>
      </c>
      <c r="AN521" s="23"/>
      <c r="AO521" s="23" t="s">
        <v>8756</v>
      </c>
      <c r="AP521" s="28" t="s">
        <v>5191</v>
      </c>
      <c r="AQ521" s="28"/>
      <c r="AR521" s="23"/>
      <c r="AS521" s="23"/>
      <c r="AT521" s="23"/>
      <c r="AU521" s="23"/>
      <c r="AV521" s="23"/>
    </row>
    <row r="522">
      <c r="A522" s="28" t="s">
        <v>5202</v>
      </c>
      <c r="B522" s="28" t="s">
        <v>5162</v>
      </c>
      <c r="C522" s="23" t="str">
        <f t="shared" si="1"/>
        <v>Danna Alava</v>
      </c>
      <c r="D522" s="28" t="s">
        <v>6774</v>
      </c>
      <c r="E522" s="28" t="s">
        <v>8757</v>
      </c>
      <c r="F522" s="23">
        <f t="array" ref="F522">IFERROR(
    INDEX('Hub Interns 226'!A:A, MATCH(C522, 'Hub Interns 226'!B:B, 0)),"")</f>
        <v>119</v>
      </c>
      <c r="G522" s="23">
        <f t="array" ref="G522">IFERROR(
    INDEX('Hub Users 226'!A:A, MATCH(C522, 'Hub Users 226'!B:B, 0)),"")</f>
        <v>552</v>
      </c>
      <c r="H522" s="28">
        <v>903.0</v>
      </c>
      <c r="I522" s="28" t="s">
        <v>260</v>
      </c>
      <c r="J522" s="28" t="s">
        <v>2388</v>
      </c>
      <c r="K522" s="28" t="s">
        <v>5463</v>
      </c>
      <c r="L522" s="28" t="s">
        <v>5196</v>
      </c>
      <c r="M522" s="56" t="s">
        <v>8758</v>
      </c>
      <c r="N522" s="57">
        <v>44601.535416666666</v>
      </c>
      <c r="O522" s="58">
        <v>38463.0</v>
      </c>
      <c r="P522" s="28">
        <f t="shared" si="18"/>
        <v>21</v>
      </c>
      <c r="Q522" s="28" t="s">
        <v>240</v>
      </c>
      <c r="R522" s="28" t="s">
        <v>8759</v>
      </c>
      <c r="S522" s="28">
        <v>6.0</v>
      </c>
      <c r="T522" s="28">
        <v>12.0</v>
      </c>
      <c r="U522" s="28">
        <v>30.0</v>
      </c>
      <c r="V522" s="28">
        <v>26.0</v>
      </c>
      <c r="W522" s="28" t="s">
        <v>1173</v>
      </c>
      <c r="X522" s="28" t="s">
        <v>272</v>
      </c>
      <c r="Y522" s="28" t="s">
        <v>8760</v>
      </c>
      <c r="Z522" s="28" t="s">
        <v>5189</v>
      </c>
      <c r="AA522" s="28" t="s">
        <v>619</v>
      </c>
      <c r="AB522" s="28">
        <v>20.0</v>
      </c>
      <c r="AC522" s="28" t="s">
        <v>24</v>
      </c>
      <c r="AD522" s="23"/>
      <c r="AE522" s="28" t="s">
        <v>10</v>
      </c>
      <c r="AF522" s="23"/>
      <c r="AG522" s="23"/>
      <c r="AH522" s="23" t="str">
        <f>IFERROR(__xludf.DUMMYFUNCTION("IF(
ISNUMBER(MATCH(
C522,
IMPORTRANGE(""https://docs.google.com/spreadsheets/d/1yTh1ELC33JHYOeEdgIiEclxPRyh0zOKtlawDltfUay8"",""'Interns'!A:A""),
0
)),
""Outreach Conducted"",
"""")"),"")</f>
        <v/>
      </c>
      <c r="AI522" s="23"/>
      <c r="AJ522" s="23"/>
      <c r="AK522" s="23" t="str">
        <f>IFERROR(__xludf.DUMMYFUNCTION("XLOOKUP(C522, 
   IMPORTRANGE(""1RdEdgHYrZ33LJ7RUHj_h-qkAFL92bcVjtIdVa-UlsCw"", ""Interns!D:D""), 
   IMPORTRANGE(""1RdEdgHYrZ33LJ7RUHj_h-qkAFL92bcVjtIdVa-UlsCw"", ""Interns!M:M""), 
   ""Not Found"")"),"")</f>
        <v/>
      </c>
      <c r="AL522" s="23" t="str">
        <f>IFERROR(__xludf.DUMMYFUNCTION("XLOOKUP(C522, 
   IMPORTRANGE(""1RdEdgHYrZ33LJ7RUHj_h-qkAFL92bcVjtIdVa-UlsCw"", ""Interns!D:D""), 
   IMPORTRANGE(""1RdEdgHYrZ33LJ7RUHj_h-qkAFL92bcVjtIdVa-UlsCw"", ""Interns!N:N""), 
   ""Not Found"")"),"")</f>
        <v/>
      </c>
      <c r="AM522" s="23" t="str">
        <f>IFERROR(__xludf.DUMMYFUNCTION("XLOOKUP(C522, 
   IMPORTRANGE(""1RdEdgHYrZ33LJ7RUHj_h-qkAFL92bcVjtIdVa-UlsCw"", ""Interns!D:D""), 
   IMPORTRANGE(""1RdEdgHYrZ33LJ7RUHj_h-qkAFL92bcVjtIdVa-UlsCw"", ""Interns!O:O""), 
   ""Not Found"")"),"")</f>
        <v/>
      </c>
      <c r="AN522" s="23"/>
      <c r="AO522" s="23" t="s">
        <v>8761</v>
      </c>
      <c r="AP522" s="28" t="s">
        <v>5182</v>
      </c>
      <c r="AQ522" s="28"/>
      <c r="AR522" s="23"/>
      <c r="AS522" s="23"/>
      <c r="AT522" s="23"/>
      <c r="AU522" s="23"/>
      <c r="AV522" s="23"/>
    </row>
    <row r="523">
      <c r="A523" s="28" t="s">
        <v>5161</v>
      </c>
      <c r="B523" s="28" t="s">
        <v>5162</v>
      </c>
      <c r="C523" s="23" t="str">
        <f t="shared" si="1"/>
        <v>Johana Tuapanta</v>
      </c>
      <c r="D523" s="28" t="s">
        <v>8762</v>
      </c>
      <c r="E523" s="28" t="s">
        <v>8763</v>
      </c>
      <c r="F523" s="23">
        <f t="array" ref="F523">IFERROR(
    INDEX('Hub Interns 226'!A:A, MATCH(C523, 'Hub Interns 226'!B:B, 0)),"")</f>
        <v>676</v>
      </c>
      <c r="G523" s="23">
        <f t="array" ref="G523">IFERROR(
    INDEX('Hub Users 226'!A:A, MATCH(C523, 'Hub Users 226'!B:B, 0)),"")</f>
        <v>1109</v>
      </c>
      <c r="H523" s="28">
        <v>1397.0</v>
      </c>
      <c r="I523" s="28"/>
      <c r="J523" s="28" t="s">
        <v>2388</v>
      </c>
      <c r="K523" s="28" t="s">
        <v>5463</v>
      </c>
      <c r="L523" s="28" t="s">
        <v>5196</v>
      </c>
      <c r="M523" s="56" t="s">
        <v>8764</v>
      </c>
      <c r="N523" s="59">
        <v>44862.53125</v>
      </c>
      <c r="O523" s="58">
        <v>40197.0</v>
      </c>
      <c r="P523" s="28">
        <f t="shared" si="18"/>
        <v>16</v>
      </c>
      <c r="Q523" s="28" t="s">
        <v>8765</v>
      </c>
      <c r="R523" s="28" t="s">
        <v>8766</v>
      </c>
      <c r="S523" s="28">
        <v>14.0</v>
      </c>
      <c r="T523" s="28">
        <v>13.0</v>
      </c>
      <c r="U523" s="28">
        <v>39.0</v>
      </c>
      <c r="V523" s="28">
        <v>21.0</v>
      </c>
      <c r="W523" s="28" t="s">
        <v>1173</v>
      </c>
      <c r="X523" s="28" t="s">
        <v>272</v>
      </c>
      <c r="Y523" s="28" t="s">
        <v>5351</v>
      </c>
      <c r="Z523" s="28" t="s">
        <v>5352</v>
      </c>
      <c r="AA523" s="28" t="s">
        <v>5287</v>
      </c>
      <c r="AB523" s="28">
        <v>26.0</v>
      </c>
      <c r="AC523" s="28" t="s">
        <v>23</v>
      </c>
      <c r="AD523" s="23"/>
      <c r="AE523" s="28" t="s">
        <v>15</v>
      </c>
      <c r="AF523" s="23"/>
      <c r="AG523" s="23"/>
      <c r="AH523" s="23" t="str">
        <f>IFERROR(__xludf.DUMMYFUNCTION("IF(
ISNUMBER(MATCH(
C523,
IMPORTRANGE(""https://docs.google.com/spreadsheets/d/1yTh1ELC33JHYOeEdgIiEclxPRyh0zOKtlawDltfUay8"",""'Interns'!A:A""),
0
)),
""Outreach Conducted"",
"""")"),"")</f>
        <v/>
      </c>
      <c r="AI523" s="23"/>
      <c r="AJ523" s="23"/>
      <c r="AK523" s="23" t="str">
        <f>IFERROR(__xludf.DUMMYFUNCTION("XLOOKUP(C523, 
   IMPORTRANGE(""1RdEdgHYrZ33LJ7RUHj_h-qkAFL92bcVjtIdVa-UlsCw"", ""Interns!D:D""), 
   IMPORTRANGE(""1RdEdgHYrZ33LJ7RUHj_h-qkAFL92bcVjtIdVa-UlsCw"", ""Interns!M:M""), 
   ""Not Found"")"),"Contacted")</f>
        <v>Contacted</v>
      </c>
      <c r="AL523" s="23" t="str">
        <f>IFERROR(__xludf.DUMMYFUNCTION("XLOOKUP(C523, 
   IMPORTRANGE(""1RdEdgHYrZ33LJ7RUHj_h-qkAFL92bcVjtIdVa-UlsCw"", ""Interns!D:D""), 
   IMPORTRANGE(""1RdEdgHYrZ33LJ7RUHj_h-qkAFL92bcVjtIdVa-UlsCw"", ""Interns!N:N""), 
   ""Not Found"")"),"#Cheers4Careers")</f>
        <v>#Cheers4Careers</v>
      </c>
      <c r="AM523" s="23" t="str">
        <f>IFERROR(__xludf.DUMMYFUNCTION("XLOOKUP(C523, 
   IMPORTRANGE(""1RdEdgHYrZ33LJ7RUHj_h-qkAFL92bcVjtIdVa-UlsCw"", ""Interns!D:D""), 
   IMPORTRANGE(""1RdEdgHYrZ33LJ7RUHj_h-qkAFL92bcVjtIdVa-UlsCw"", ""Interns!O:O""), 
   ""Not Found"")"),"Hetal reached out by email 3/27")</f>
        <v>Hetal reached out by email 3/27</v>
      </c>
      <c r="AN523" s="23"/>
      <c r="AO523" s="23" t="s">
        <v>8767</v>
      </c>
      <c r="AP523" s="28" t="s">
        <v>5182</v>
      </c>
      <c r="AQ523" s="28"/>
      <c r="AR523" s="23"/>
      <c r="AS523" s="23"/>
      <c r="AT523" s="23"/>
      <c r="AU523" s="23"/>
      <c r="AV523" s="23"/>
    </row>
    <row r="524">
      <c r="A524" s="28" t="s">
        <v>5161</v>
      </c>
      <c r="B524" s="28" t="s">
        <v>5162</v>
      </c>
      <c r="C524" s="23" t="str">
        <f t="shared" si="1"/>
        <v>Xiomara Larco</v>
      </c>
      <c r="D524" s="28" t="s">
        <v>8768</v>
      </c>
      <c r="E524" s="28" t="s">
        <v>8769</v>
      </c>
      <c r="F524" s="23" t="str">
        <f t="array" ref="F524">IFERROR(
    INDEX('Hub Interns 226'!A:A, MATCH(C524, 'Hub Interns 226'!B:B, 0)),"")</f>
        <v/>
      </c>
      <c r="G524" s="23">
        <f t="array" ref="G524">IFERROR(
    INDEX('Hub Users 226'!A:A, MATCH(C524, 'Hub Users 226'!B:B, 0)),"")</f>
        <v>2256</v>
      </c>
      <c r="H524" s="28">
        <v>1865.0</v>
      </c>
      <c r="I524" s="28"/>
      <c r="J524" s="28" t="s">
        <v>2388</v>
      </c>
      <c r="K524" s="28" t="s">
        <v>5463</v>
      </c>
      <c r="L524" s="28" t="s">
        <v>5196</v>
      </c>
      <c r="M524" s="56" t="s">
        <v>8770</v>
      </c>
      <c r="N524" s="57">
        <v>45723.535416666666</v>
      </c>
      <c r="O524" s="58">
        <v>39731.0</v>
      </c>
      <c r="P524" s="28">
        <f t="shared" si="18"/>
        <v>17</v>
      </c>
      <c r="Q524" s="28" t="s">
        <v>240</v>
      </c>
      <c r="R524" s="28" t="s">
        <v>8771</v>
      </c>
      <c r="S524" s="28">
        <v>6.0</v>
      </c>
      <c r="T524" s="28">
        <v>13.0</v>
      </c>
      <c r="U524" s="28">
        <v>39.0</v>
      </c>
      <c r="V524" s="28">
        <v>21.0</v>
      </c>
      <c r="W524" s="28" t="s">
        <v>1173</v>
      </c>
      <c r="X524" s="28" t="s">
        <v>272</v>
      </c>
      <c r="Y524" s="28" t="s">
        <v>8772</v>
      </c>
      <c r="Z524" s="23"/>
      <c r="AA524" s="28" t="s">
        <v>5366</v>
      </c>
      <c r="AB524" s="28">
        <v>26.0</v>
      </c>
      <c r="AC524" s="28" t="s">
        <v>23</v>
      </c>
      <c r="AD524" s="23"/>
      <c r="AE524" s="28" t="s">
        <v>19</v>
      </c>
      <c r="AF524" s="23"/>
      <c r="AG524" s="23"/>
      <c r="AH524" s="23" t="str">
        <f>IFERROR(__xludf.DUMMYFUNCTION("IF(
ISNUMBER(MATCH(
C524,
IMPORTRANGE(""https://docs.google.com/spreadsheets/d/1yTh1ELC33JHYOeEdgIiEclxPRyh0zOKtlawDltfUay8"",""'Interns'!A:A""),
0
)),
""Outreach Conducted"",
"""")"),"")</f>
        <v/>
      </c>
      <c r="AI524" s="23"/>
      <c r="AJ524" s="23"/>
      <c r="AK524" s="23" t="str">
        <f>IFERROR(__xludf.DUMMYFUNCTION("XLOOKUP(C524, 
   IMPORTRANGE(""1RdEdgHYrZ33LJ7RUHj_h-qkAFL92bcVjtIdVa-UlsCw"", ""Interns!D:D""), 
   IMPORTRANGE(""1RdEdgHYrZ33LJ7RUHj_h-qkAFL92bcVjtIdVa-UlsCw"", ""Interns!M:M""), 
   ""Not Found"")"),"Contacted")</f>
        <v>Contacted</v>
      </c>
      <c r="AL524" s="23" t="str">
        <f>IFERROR(__xludf.DUMMYFUNCTION("XLOOKUP(C524, 
   IMPORTRANGE(""1RdEdgHYrZ33LJ7RUHj_h-qkAFL92bcVjtIdVa-UlsCw"", ""Interns!D:D""), 
   IMPORTRANGE(""1RdEdgHYrZ33LJ7RUHj_h-qkAFL92bcVjtIdVa-UlsCw"", ""Interns!N:N""), 
   ""Not Found"")"),"#Cheers4Careers")</f>
        <v>#Cheers4Careers</v>
      </c>
      <c r="AM524" s="23" t="str">
        <f>IFERROR(__xludf.DUMMYFUNCTION("XLOOKUP(C524, 
   IMPORTRANGE(""1RdEdgHYrZ33LJ7RUHj_h-qkAFL92bcVjtIdVa-UlsCw"", ""Interns!D:D""), 
   IMPORTRANGE(""1RdEdgHYrZ33LJ7RUHj_h-qkAFL92bcVjtIdVa-UlsCw"", ""Interns!O:O""), 
   ""Not Found"")"),"Hetal reached out by email 3/27")</f>
        <v>Hetal reached out by email 3/27</v>
      </c>
      <c r="AN524" s="23"/>
      <c r="AO524" s="23" t="s">
        <v>3878</v>
      </c>
      <c r="AP524" s="28" t="s">
        <v>5191</v>
      </c>
      <c r="AQ524" s="28" t="s">
        <v>8773</v>
      </c>
      <c r="AR524" s="23" t="s">
        <v>8774</v>
      </c>
      <c r="AS524" s="23"/>
      <c r="AT524" s="23"/>
      <c r="AU524" s="23"/>
      <c r="AV524" s="23"/>
    </row>
    <row r="525">
      <c r="A525" s="28" t="s">
        <v>5161</v>
      </c>
      <c r="B525" s="28" t="s">
        <v>5162</v>
      </c>
      <c r="C525" s="23" t="str">
        <f t="shared" si="1"/>
        <v>Daniela yungan</v>
      </c>
      <c r="D525" s="28" t="s">
        <v>1003</v>
      </c>
      <c r="E525" s="28" t="s">
        <v>8775</v>
      </c>
      <c r="F525" s="23">
        <f t="array" ref="F525">IFERROR(
    INDEX('Hub Interns 226'!A:A, MATCH(C525, 'Hub Interns 226'!B:B, 0)),"")</f>
        <v>409</v>
      </c>
      <c r="G525" s="23">
        <f t="array" ref="G525">IFERROR(
    INDEX('Hub Users 226'!A:A, MATCH(C525, 'Hub Users 226'!B:B, 0)),"")</f>
        <v>842</v>
      </c>
      <c r="H525" s="28">
        <v>1418.0</v>
      </c>
      <c r="I525" s="28" t="s">
        <v>785</v>
      </c>
      <c r="J525" s="28" t="s">
        <v>2388</v>
      </c>
      <c r="K525" s="28" t="s">
        <v>5463</v>
      </c>
      <c r="L525" s="28" t="s">
        <v>5196</v>
      </c>
      <c r="M525" s="56" t="s">
        <v>8776</v>
      </c>
      <c r="N525" s="57">
        <v>44866.381944444445</v>
      </c>
      <c r="O525" s="58">
        <v>40290.0</v>
      </c>
      <c r="P525" s="28">
        <f t="shared" si="18"/>
        <v>16</v>
      </c>
      <c r="Q525" s="28" t="s">
        <v>8777</v>
      </c>
      <c r="R525" s="28" t="s">
        <v>8778</v>
      </c>
      <c r="S525" s="28">
        <v>14.0</v>
      </c>
      <c r="T525" s="28">
        <v>13.0</v>
      </c>
      <c r="U525" s="28">
        <v>39.0</v>
      </c>
      <c r="V525" s="28">
        <v>21.0</v>
      </c>
      <c r="W525" s="28" t="s">
        <v>1173</v>
      </c>
      <c r="X525" s="28" t="s">
        <v>272</v>
      </c>
      <c r="Y525" s="28" t="s">
        <v>5351</v>
      </c>
      <c r="Z525" s="28" t="s">
        <v>5352</v>
      </c>
      <c r="AA525" s="28" t="s">
        <v>5287</v>
      </c>
      <c r="AB525" s="28">
        <v>26.0</v>
      </c>
      <c r="AC525" s="28" t="s">
        <v>23</v>
      </c>
      <c r="AD525" s="23"/>
      <c r="AE525" s="28" t="s">
        <v>15</v>
      </c>
      <c r="AF525" s="23"/>
      <c r="AG525" s="23"/>
      <c r="AH525" s="23" t="str">
        <f>IFERROR(__xludf.DUMMYFUNCTION("IF(
ISNUMBER(MATCH(
C525,
IMPORTRANGE(""https://docs.google.com/spreadsheets/d/1yTh1ELC33JHYOeEdgIiEclxPRyh0zOKtlawDltfUay8"",""'Interns'!A:A""),
0
)),
""Outreach Conducted"",
"""")"),"")</f>
        <v/>
      </c>
      <c r="AI525" s="23"/>
      <c r="AJ525" s="23"/>
      <c r="AK525" s="23" t="str">
        <f>IFERROR(__xludf.DUMMYFUNCTION("XLOOKUP(C525, 
   IMPORTRANGE(""1RdEdgHYrZ33LJ7RUHj_h-qkAFL92bcVjtIdVa-UlsCw"", ""Interns!D:D""), 
   IMPORTRANGE(""1RdEdgHYrZ33LJ7RUHj_h-qkAFL92bcVjtIdVa-UlsCw"", ""Interns!M:M""), 
   ""Not Found"")"),"Contacted")</f>
        <v>Contacted</v>
      </c>
      <c r="AL525" s="23" t="str">
        <f>IFERROR(__xludf.DUMMYFUNCTION("XLOOKUP(C525, 
   IMPORTRANGE(""1RdEdgHYrZ33LJ7RUHj_h-qkAFL92bcVjtIdVa-UlsCw"", ""Interns!D:D""), 
   IMPORTRANGE(""1RdEdgHYrZ33LJ7RUHj_h-qkAFL92bcVjtIdVa-UlsCw"", ""Interns!N:N""), 
   ""Not Found"")"),"#Cheers4Careers")</f>
        <v>#Cheers4Careers</v>
      </c>
      <c r="AM525" s="23" t="str">
        <f>IFERROR(__xludf.DUMMYFUNCTION("XLOOKUP(C525, 
   IMPORTRANGE(""1RdEdgHYrZ33LJ7RUHj_h-qkAFL92bcVjtIdVa-UlsCw"", ""Interns!D:D""), 
   IMPORTRANGE(""1RdEdgHYrZ33LJ7RUHj_h-qkAFL92bcVjtIdVa-UlsCw"", ""Interns!O:O""), 
   ""Not Found"")"),"Hetal reached out by email 3/27")</f>
        <v>Hetal reached out by email 3/27</v>
      </c>
      <c r="AN525" s="23"/>
      <c r="AO525" s="23" t="s">
        <v>8779</v>
      </c>
      <c r="AP525" s="28" t="s">
        <v>5182</v>
      </c>
      <c r="AQ525" s="28"/>
      <c r="AR525" s="23"/>
      <c r="AS525" s="23"/>
      <c r="AT525" s="23"/>
      <c r="AU525" s="23"/>
      <c r="AV525" s="23"/>
    </row>
    <row r="526">
      <c r="A526" s="28" t="s">
        <v>5161</v>
      </c>
      <c r="B526" s="28" t="s">
        <v>5162</v>
      </c>
      <c r="C526" s="23" t="str">
        <f t="shared" si="1"/>
        <v>Cesar Misael Orellana Riera</v>
      </c>
      <c r="D526" s="28" t="s">
        <v>8780</v>
      </c>
      <c r="E526" s="28" t="s">
        <v>8781</v>
      </c>
      <c r="F526" s="23">
        <f t="array" ref="F526">IFERROR(
    INDEX('Hub Interns 226'!A:A, MATCH(C526, 'Hub Interns 226'!B:B, 0)),"")</f>
        <v>349</v>
      </c>
      <c r="G526" s="23">
        <f t="array" ref="G526">IFERROR(
    INDEX('Hub Users 226'!A:A, MATCH(C526, 'Hub Users 226'!B:B, 0)),"")</f>
        <v>782</v>
      </c>
      <c r="H526" s="28">
        <v>527.0</v>
      </c>
      <c r="I526" s="28" t="s">
        <v>302</v>
      </c>
      <c r="J526" s="28" t="s">
        <v>2388</v>
      </c>
      <c r="K526" s="28" t="s">
        <v>5463</v>
      </c>
      <c r="L526" s="28" t="s">
        <v>5165</v>
      </c>
      <c r="M526" s="56" t="s">
        <v>8782</v>
      </c>
      <c r="N526" s="57">
        <v>44476.68125</v>
      </c>
      <c r="O526" s="58">
        <v>38670.0</v>
      </c>
      <c r="P526" s="28">
        <f t="shared" si="18"/>
        <v>20</v>
      </c>
      <c r="Q526" s="28" t="s">
        <v>240</v>
      </c>
      <c r="R526" s="28" t="s">
        <v>8783</v>
      </c>
      <c r="S526" s="28">
        <v>14.0</v>
      </c>
      <c r="T526" s="28">
        <v>13.0</v>
      </c>
      <c r="U526" s="28">
        <v>35.0</v>
      </c>
      <c r="V526" s="28">
        <v>21.0</v>
      </c>
      <c r="W526" s="28" t="s">
        <v>1173</v>
      </c>
      <c r="X526" s="28" t="s">
        <v>272</v>
      </c>
      <c r="Y526" s="28" t="s">
        <v>8784</v>
      </c>
      <c r="Z526" s="28" t="s">
        <v>5189</v>
      </c>
      <c r="AA526" s="28" t="s">
        <v>619</v>
      </c>
      <c r="AB526" s="28">
        <v>20.0</v>
      </c>
      <c r="AC526" s="28" t="s">
        <v>25</v>
      </c>
      <c r="AD526" s="23"/>
      <c r="AE526" s="28" t="s">
        <v>10</v>
      </c>
      <c r="AF526" s="23" t="str">
        <f>IFERROR(__xludf.DUMMYFUNCTION("TEXTJOIN("", "", TRUE,
  FILTER(Champions!C:C,
    ISNUMBER(SEARCH(C526, Champions!W:W))
  )
)"),"Joseph Temowo, Tiffany Soojung Park, DAVID LOAIZA")</f>
        <v>Joseph Temowo, Tiffany Soojung Park, DAVID LOAIZA</v>
      </c>
      <c r="AG526" s="23"/>
      <c r="AH526" s="23" t="str">
        <f>IFERROR(__xludf.DUMMYFUNCTION("IF(
ISNUMBER(MATCH(
C526,
IMPORTRANGE(""https://docs.google.com/spreadsheets/d/1yTh1ELC33JHYOeEdgIiEclxPRyh0zOKtlawDltfUay8"",""'Interns'!A:A""),
0
)),
""Outreach Conducted"",
"""")"),"")</f>
        <v/>
      </c>
      <c r="AI526" s="23"/>
      <c r="AJ526" s="23"/>
      <c r="AK526" s="23" t="str">
        <f>IFERROR(__xludf.DUMMYFUNCTION("XLOOKUP(C526, 
   IMPORTRANGE(""1RdEdgHYrZ33LJ7RUHj_h-qkAFL92bcVjtIdVa-UlsCw"", ""Interns!D:D""), 
   IMPORTRANGE(""1RdEdgHYrZ33LJ7RUHj_h-qkAFL92bcVjtIdVa-UlsCw"", ""Interns!M:M""), 
   ""Not Found"")"),"Contacted")</f>
        <v>Contacted</v>
      </c>
      <c r="AL526" s="23" t="str">
        <f>IFERROR(__xludf.DUMMYFUNCTION("XLOOKUP(C526, 
   IMPORTRANGE(""1RdEdgHYrZ33LJ7RUHj_h-qkAFL92bcVjtIdVa-UlsCw"", ""Interns!D:D""), 
   IMPORTRANGE(""1RdEdgHYrZ33LJ7RUHj_h-qkAFL92bcVjtIdVa-UlsCw"", ""Interns!N:N""), 
   ""Not Found"")"),"#Cheers4Careers")</f>
        <v>#Cheers4Careers</v>
      </c>
      <c r="AM526" s="23" t="str">
        <f>IFERROR(__xludf.DUMMYFUNCTION("XLOOKUP(C526, 
   IMPORTRANGE(""1RdEdgHYrZ33LJ7RUHj_h-qkAFL92bcVjtIdVa-UlsCw"", ""Interns!D:D""), 
   IMPORTRANGE(""1RdEdgHYrZ33LJ7RUHj_h-qkAFL92bcVjtIdVa-UlsCw"", ""Interns!O:O""), 
   ""Not Found"")"),"Hetal reached out by email 3/27 followed by text")</f>
        <v>Hetal reached out by email 3/27 followed by text</v>
      </c>
      <c r="AN526" s="23"/>
      <c r="AO526" s="23" t="s">
        <v>8785</v>
      </c>
      <c r="AP526" s="28" t="s">
        <v>5182</v>
      </c>
      <c r="AQ526" s="28" t="s">
        <v>8786</v>
      </c>
      <c r="AR526" s="23" t="s">
        <v>8787</v>
      </c>
      <c r="AS526" s="23"/>
      <c r="AT526" s="23"/>
      <c r="AU526" s="23"/>
      <c r="AV526" s="23"/>
    </row>
    <row r="527">
      <c r="A527" s="28" t="s">
        <v>5161</v>
      </c>
      <c r="B527" s="28" t="s">
        <v>5162</v>
      </c>
      <c r="C527" s="23" t="str">
        <f t="shared" si="1"/>
        <v>Mathews Huacon</v>
      </c>
      <c r="D527" s="28" t="s">
        <v>8788</v>
      </c>
      <c r="E527" s="28" t="s">
        <v>8789</v>
      </c>
      <c r="F527" s="23">
        <f t="array" ref="F527">IFERROR(
    INDEX('Hub Interns 226'!A:A, MATCH(C527, 'Hub Interns 226'!B:B, 0)),"")</f>
        <v>856</v>
      </c>
      <c r="G527" s="23">
        <f t="array" ref="G527">IFERROR(
    INDEX('Hub Users 226'!A:A, MATCH(C527, 'Hub Users 226'!B:B, 0)),"")</f>
        <v>1289</v>
      </c>
      <c r="H527" s="28">
        <v>525.0</v>
      </c>
      <c r="I527" s="28" t="s">
        <v>239</v>
      </c>
      <c r="J527" s="28" t="s">
        <v>2388</v>
      </c>
      <c r="K527" s="28" t="s">
        <v>5463</v>
      </c>
      <c r="L527" s="28" t="s">
        <v>5165</v>
      </c>
      <c r="M527" s="56" t="s">
        <v>8790</v>
      </c>
      <c r="N527" s="57">
        <v>44476.67291666667</v>
      </c>
      <c r="O527" s="58">
        <v>38367.0</v>
      </c>
      <c r="P527" s="28">
        <f t="shared" si="18"/>
        <v>21</v>
      </c>
      <c r="Q527" s="28" t="s">
        <v>240</v>
      </c>
      <c r="R527" s="28" t="s">
        <v>8791</v>
      </c>
      <c r="S527" s="28">
        <v>14.0</v>
      </c>
      <c r="T527" s="28">
        <v>11.0</v>
      </c>
      <c r="U527" s="28">
        <v>27.0</v>
      </c>
      <c r="V527" s="28">
        <v>19.0</v>
      </c>
      <c r="W527" s="28" t="s">
        <v>1173</v>
      </c>
      <c r="X527" s="28" t="s">
        <v>272</v>
      </c>
      <c r="Y527" s="28" t="s">
        <v>8792</v>
      </c>
      <c r="Z527" s="28" t="s">
        <v>5189</v>
      </c>
      <c r="AA527" s="28" t="s">
        <v>619</v>
      </c>
      <c r="AB527" s="28">
        <v>20.0</v>
      </c>
      <c r="AC527" s="28" t="s">
        <v>25</v>
      </c>
      <c r="AD527" s="23"/>
      <c r="AE527" s="28" t="s">
        <v>10</v>
      </c>
      <c r="AF527" s="23" t="str">
        <f>IFERROR(__xludf.DUMMYFUNCTION("TEXTJOIN("", "", TRUE,
  FILTER(Champions!C:C,
    ISNUMBER(SEARCH(C527, Champions!W:W))
  )
)"),"AUGUSTO SALCEDO, Frank Guia")</f>
        <v>AUGUSTO SALCEDO, Frank Guia</v>
      </c>
      <c r="AG527" s="23"/>
      <c r="AH527" s="23" t="str">
        <f>IFERROR(__xludf.DUMMYFUNCTION("IF(
ISNUMBER(MATCH(
C527,
IMPORTRANGE(""https://docs.google.com/spreadsheets/d/1yTh1ELC33JHYOeEdgIiEclxPRyh0zOKtlawDltfUay8"",""'Interns'!A:A""),
0
)),
""Outreach Conducted"",
"""")"),"")</f>
        <v/>
      </c>
      <c r="AI527" s="23"/>
      <c r="AJ527" s="23"/>
      <c r="AK527" s="23" t="str">
        <f>IFERROR(__xludf.DUMMYFUNCTION("XLOOKUP(C527, 
   IMPORTRANGE(""1RdEdgHYrZ33LJ7RUHj_h-qkAFL92bcVjtIdVa-UlsCw"", ""Interns!D:D""), 
   IMPORTRANGE(""1RdEdgHYrZ33LJ7RUHj_h-qkAFL92bcVjtIdVa-UlsCw"", ""Interns!M:M""), 
   ""Not Found"")"),"Contacted")</f>
        <v>Contacted</v>
      </c>
      <c r="AL527" s="23" t="str">
        <f>IFERROR(__xludf.DUMMYFUNCTION("XLOOKUP(C527, 
   IMPORTRANGE(""1RdEdgHYrZ33LJ7RUHj_h-qkAFL92bcVjtIdVa-UlsCw"", ""Interns!D:D""), 
   IMPORTRANGE(""1RdEdgHYrZ33LJ7RUHj_h-qkAFL92bcVjtIdVa-UlsCw"", ""Interns!N:N""), 
   ""Not Found"")"),"#Cheers4Careers")</f>
        <v>#Cheers4Careers</v>
      </c>
      <c r="AM527" s="23" t="str">
        <f>IFERROR(__xludf.DUMMYFUNCTION("XLOOKUP(C527, 
   IMPORTRANGE(""1RdEdgHYrZ33LJ7RUHj_h-qkAFL92bcVjtIdVa-UlsCw"", ""Interns!D:D""), 
   IMPORTRANGE(""1RdEdgHYrZ33LJ7RUHj_h-qkAFL92bcVjtIdVa-UlsCw"", ""Interns!O:O""), 
   ""Not Found"")"),"Hetal reached out by email 3/27 followed by text")</f>
        <v>Hetal reached out by email 3/27 followed by text</v>
      </c>
      <c r="AN527" s="23"/>
      <c r="AO527" s="23" t="s">
        <v>8793</v>
      </c>
      <c r="AP527" s="28" t="s">
        <v>5182</v>
      </c>
      <c r="AQ527" s="28" t="s">
        <v>8794</v>
      </c>
      <c r="AR527" s="23" t="s">
        <v>8795</v>
      </c>
      <c r="AS527" s="23"/>
      <c r="AT527" s="23"/>
      <c r="AU527" s="23"/>
      <c r="AV527" s="23"/>
    </row>
    <row r="528">
      <c r="A528" s="28" t="s">
        <v>5161</v>
      </c>
      <c r="B528" s="28" t="s">
        <v>5162</v>
      </c>
      <c r="C528" s="23" t="str">
        <f t="shared" si="1"/>
        <v>Luis Chimbo</v>
      </c>
      <c r="D528" s="28" t="s">
        <v>6689</v>
      </c>
      <c r="E528" s="28" t="s">
        <v>8796</v>
      </c>
      <c r="F528" s="23">
        <f t="array" ref="F528">IFERROR(
    INDEX('Hub Interns 226'!A:A, MATCH(C528, 'Hub Interns 226'!B:B, 0)),"")</f>
        <v>53</v>
      </c>
      <c r="G528" s="23">
        <f t="array" ref="G528">IFERROR(
    INDEX('Hub Users 226'!A:A, MATCH(C528, 'Hub Users 226'!B:B, 0)),"")</f>
        <v>486</v>
      </c>
      <c r="H528" s="28">
        <v>743.0</v>
      </c>
      <c r="I528" s="28" t="s">
        <v>239</v>
      </c>
      <c r="J528" s="28" t="s">
        <v>2388</v>
      </c>
      <c r="K528" s="28" t="s">
        <v>5463</v>
      </c>
      <c r="L528" s="28" t="s">
        <v>5165</v>
      </c>
      <c r="M528" s="56" t="s">
        <v>8797</v>
      </c>
      <c r="N528" s="59">
        <v>44551.441666666666</v>
      </c>
      <c r="O528" s="58">
        <v>38830.0</v>
      </c>
      <c r="P528" s="28">
        <f t="shared" si="18"/>
        <v>20</v>
      </c>
      <c r="Q528" s="28" t="s">
        <v>240</v>
      </c>
      <c r="R528" s="28" t="s">
        <v>8798</v>
      </c>
      <c r="S528" s="28">
        <v>14.0</v>
      </c>
      <c r="T528" s="28">
        <v>32.0</v>
      </c>
      <c r="U528" s="28">
        <v>85.0</v>
      </c>
      <c r="V528" s="28">
        <v>17.0</v>
      </c>
      <c r="W528" s="28" t="s">
        <v>859</v>
      </c>
      <c r="X528" s="28" t="s">
        <v>272</v>
      </c>
      <c r="Y528" s="28" t="s">
        <v>8799</v>
      </c>
      <c r="Z528" s="28" t="s">
        <v>5259</v>
      </c>
      <c r="AA528" s="28" t="s">
        <v>704</v>
      </c>
      <c r="AB528" s="28">
        <v>2.0</v>
      </c>
      <c r="AC528" s="28" t="s">
        <v>25</v>
      </c>
      <c r="AD528" s="23"/>
      <c r="AE528" s="28" t="s">
        <v>10</v>
      </c>
      <c r="AF528" s="23" t="str">
        <f>IFERROR(__xludf.DUMMYFUNCTION("TEXTJOIN("", "", TRUE,
  FILTER(Champions!C:C,
    ISNUMBER(SEARCH(C528, Champions!W:W))
  )
)"),"Daniela Fernandez Espinosa, Melissa Mozelle Schad")</f>
        <v>Daniela Fernandez Espinosa, Melissa Mozelle Schad</v>
      </c>
      <c r="AG528" s="23"/>
      <c r="AH528" s="23" t="str">
        <f>IFERROR(__xludf.DUMMYFUNCTION("IF(
ISNUMBER(MATCH(
C528,
IMPORTRANGE(""https://docs.google.com/spreadsheets/d/1yTh1ELC33JHYOeEdgIiEclxPRyh0zOKtlawDltfUay8"",""'Interns'!A:A""),
0
)),
""Outreach Conducted"",
"""")"),"")</f>
        <v/>
      </c>
      <c r="AI528" s="23"/>
      <c r="AJ528" s="23"/>
      <c r="AK528" s="23" t="str">
        <f>IFERROR(__xludf.DUMMYFUNCTION("XLOOKUP(C528, 
   IMPORTRANGE(""1RdEdgHYrZ33LJ7RUHj_h-qkAFL92bcVjtIdVa-UlsCw"", ""Interns!D:D""), 
   IMPORTRANGE(""1RdEdgHYrZ33LJ7RUHj_h-qkAFL92bcVjtIdVa-UlsCw"", ""Interns!M:M""), 
   ""Not Found"")"),"")</f>
        <v/>
      </c>
      <c r="AL528" s="23" t="str">
        <f>IFERROR(__xludf.DUMMYFUNCTION("XLOOKUP(C528, 
   IMPORTRANGE(""1RdEdgHYrZ33LJ7RUHj_h-qkAFL92bcVjtIdVa-UlsCw"", ""Interns!D:D""), 
   IMPORTRANGE(""1RdEdgHYrZ33LJ7RUHj_h-qkAFL92bcVjtIdVa-UlsCw"", ""Interns!N:N""), 
   ""Not Found"")"),"")</f>
        <v/>
      </c>
      <c r="AM528" s="23" t="str">
        <f>IFERROR(__xludf.DUMMYFUNCTION("XLOOKUP(C528, 
   IMPORTRANGE(""1RdEdgHYrZ33LJ7RUHj_h-qkAFL92bcVjtIdVa-UlsCw"", ""Interns!D:D""), 
   IMPORTRANGE(""1RdEdgHYrZ33LJ7RUHj_h-qkAFL92bcVjtIdVa-UlsCw"", ""Interns!O:O""), 
   ""Not Found"")"),"")</f>
        <v/>
      </c>
      <c r="AN528" s="23"/>
      <c r="AO528" s="23" t="s">
        <v>8800</v>
      </c>
      <c r="AP528" s="28" t="s">
        <v>5182</v>
      </c>
      <c r="AQ528" s="28" t="s">
        <v>8801</v>
      </c>
      <c r="AR528" s="23" t="s">
        <v>8802</v>
      </c>
      <c r="AS528" s="28" t="s">
        <v>8803</v>
      </c>
      <c r="AT528" s="23"/>
      <c r="AU528" s="23"/>
      <c r="AV528" s="23"/>
    </row>
    <row r="529">
      <c r="A529" s="28" t="s">
        <v>5161</v>
      </c>
      <c r="B529" s="28" t="s">
        <v>5162</v>
      </c>
      <c r="C529" s="23" t="str">
        <f t="shared" si="1"/>
        <v>Briana Almeida</v>
      </c>
      <c r="D529" s="28" t="s">
        <v>8804</v>
      </c>
      <c r="E529" s="28" t="s">
        <v>8805</v>
      </c>
      <c r="F529" s="23">
        <f t="array" ref="F529">IFERROR(
    INDEX('Hub Interns 226'!A:A, MATCH(C529, 'Hub Interns 226'!B:B, 0)),"")</f>
        <v>340</v>
      </c>
      <c r="G529" s="23">
        <f t="array" ref="G529">IFERROR(
    INDEX('Hub Users 226'!A:A, MATCH(C529, 'Hub Users 226'!B:B, 0)),"")</f>
        <v>773</v>
      </c>
      <c r="H529" s="28">
        <v>1147.0</v>
      </c>
      <c r="I529" s="28"/>
      <c r="J529" s="28" t="s">
        <v>2388</v>
      </c>
      <c r="K529" s="28" t="s">
        <v>5463</v>
      </c>
      <c r="L529" s="28" t="s">
        <v>5196</v>
      </c>
      <c r="M529" s="56" t="s">
        <v>8806</v>
      </c>
      <c r="N529" s="57">
        <v>44749.54652777778</v>
      </c>
      <c r="O529" s="58">
        <v>39682.0</v>
      </c>
      <c r="P529" s="28">
        <f t="shared" si="18"/>
        <v>17</v>
      </c>
      <c r="Q529" s="28" t="s">
        <v>240</v>
      </c>
      <c r="R529" s="28" t="s">
        <v>8807</v>
      </c>
      <c r="S529" s="28">
        <v>7.0</v>
      </c>
      <c r="T529" s="28">
        <v>12.0</v>
      </c>
      <c r="U529" s="28">
        <v>38.0</v>
      </c>
      <c r="V529" s="28">
        <v>30.0</v>
      </c>
      <c r="W529" s="28" t="s">
        <v>271</v>
      </c>
      <c r="X529" s="28" t="s">
        <v>272</v>
      </c>
      <c r="Y529" s="28" t="s">
        <v>8808</v>
      </c>
      <c r="Z529" s="28" t="s">
        <v>5259</v>
      </c>
      <c r="AA529" s="28" t="s">
        <v>704</v>
      </c>
      <c r="AB529" s="28">
        <v>2.0</v>
      </c>
      <c r="AC529" s="28" t="s">
        <v>23</v>
      </c>
      <c r="AD529" s="23"/>
      <c r="AE529" s="28" t="s">
        <v>15</v>
      </c>
      <c r="AF529" s="23"/>
      <c r="AG529" s="23"/>
      <c r="AH529" s="23" t="str">
        <f>IFERROR(__xludf.DUMMYFUNCTION("IF(
ISNUMBER(MATCH(
C529,
IMPORTRANGE(""https://docs.google.com/spreadsheets/d/1yTh1ELC33JHYOeEdgIiEclxPRyh0zOKtlawDltfUay8"",""'Interns'!A:A""),
0
)),
""Outreach Conducted"",
"""")"),"")</f>
        <v/>
      </c>
      <c r="AI529" s="23"/>
      <c r="AJ529" s="23"/>
      <c r="AK529" s="23" t="str">
        <f>IFERROR(__xludf.DUMMYFUNCTION("XLOOKUP(C529, 
   IMPORTRANGE(""1RdEdgHYrZ33LJ7RUHj_h-qkAFL92bcVjtIdVa-UlsCw"", ""Interns!D:D""), 
   IMPORTRANGE(""1RdEdgHYrZ33LJ7RUHj_h-qkAFL92bcVjtIdVa-UlsCw"", ""Interns!M:M""), 
   ""Not Found"")"),"Contacted")</f>
        <v>Contacted</v>
      </c>
      <c r="AL529" s="23" t="str">
        <f>IFERROR(__xludf.DUMMYFUNCTION("XLOOKUP(C529, 
   IMPORTRANGE(""1RdEdgHYrZ33LJ7RUHj_h-qkAFL92bcVjtIdVa-UlsCw"", ""Interns!D:D""), 
   IMPORTRANGE(""1RdEdgHYrZ33LJ7RUHj_h-qkAFL92bcVjtIdVa-UlsCw"", ""Interns!N:N""), 
   ""Not Found"")"),"#Cheers4Careers")</f>
        <v>#Cheers4Careers</v>
      </c>
      <c r="AM529" s="23" t="str">
        <f>IFERROR(__xludf.DUMMYFUNCTION("XLOOKUP(C529, 
   IMPORTRANGE(""1RdEdgHYrZ33LJ7RUHj_h-qkAFL92bcVjtIdVa-UlsCw"", ""Interns!D:D""), 
   IMPORTRANGE(""1RdEdgHYrZ33LJ7RUHj_h-qkAFL92bcVjtIdVa-UlsCw"", ""Interns!O:O""), 
   ""Not Found"")"),"Ousmane reached out by email 3/26 and reach out by text 3/28")</f>
        <v>Ousmane reached out by email 3/26 and reach out by text 3/28</v>
      </c>
      <c r="AN529" s="23"/>
      <c r="AO529" s="23" t="s">
        <v>8809</v>
      </c>
      <c r="AP529" s="28" t="s">
        <v>5182</v>
      </c>
      <c r="AQ529" s="28"/>
      <c r="AR529" s="23"/>
      <c r="AS529" s="23"/>
      <c r="AT529" s="23"/>
      <c r="AU529" s="23"/>
      <c r="AV529" s="23"/>
    </row>
    <row r="530">
      <c r="A530" s="28" t="s">
        <v>5161</v>
      </c>
      <c r="B530" s="28" t="s">
        <v>5162</v>
      </c>
      <c r="C530" s="23" t="str">
        <f t="shared" si="1"/>
        <v>Joselyn Guaraca</v>
      </c>
      <c r="D530" s="28" t="s">
        <v>8810</v>
      </c>
      <c r="E530" s="28" t="s">
        <v>8811</v>
      </c>
      <c r="F530" s="23">
        <f t="array" ref="F530">IFERROR(
    INDEX('Hub Interns 226'!A:A, MATCH(C530, 'Hub Interns 226'!B:B, 0)),"")</f>
        <v>688</v>
      </c>
      <c r="G530" s="23">
        <f t="array" ref="G530">IFERROR(
    INDEX('Hub Users 226'!A:A, MATCH(C530, 'Hub Users 226'!B:B, 0)),"")</f>
        <v>1121</v>
      </c>
      <c r="H530" s="28">
        <v>480.0</v>
      </c>
      <c r="I530" s="28" t="s">
        <v>260</v>
      </c>
      <c r="J530" s="28" t="s">
        <v>2388</v>
      </c>
      <c r="K530" s="28" t="s">
        <v>5463</v>
      </c>
      <c r="L530" s="28" t="s">
        <v>5196</v>
      </c>
      <c r="M530" s="56" t="s">
        <v>8812</v>
      </c>
      <c r="N530" s="57">
        <v>44366.54236111111</v>
      </c>
      <c r="O530" s="58">
        <v>37711.0</v>
      </c>
      <c r="P530" s="28">
        <f t="shared" si="18"/>
        <v>23</v>
      </c>
      <c r="Q530" s="28" t="s">
        <v>5247</v>
      </c>
      <c r="R530" s="28" t="s">
        <v>8813</v>
      </c>
      <c r="S530" s="28">
        <v>14.0</v>
      </c>
      <c r="T530" s="28">
        <v>34.0</v>
      </c>
      <c r="U530" s="28">
        <v>85.0</v>
      </c>
      <c r="V530" s="28">
        <v>18.0</v>
      </c>
      <c r="W530" s="28" t="s">
        <v>859</v>
      </c>
      <c r="X530" s="28" t="s">
        <v>272</v>
      </c>
      <c r="Y530" s="28" t="s">
        <v>8814</v>
      </c>
      <c r="Z530" s="28" t="s">
        <v>5208</v>
      </c>
      <c r="AA530" s="28" t="s">
        <v>2141</v>
      </c>
      <c r="AB530" s="28">
        <v>8.0</v>
      </c>
      <c r="AC530" s="28" t="s">
        <v>25</v>
      </c>
      <c r="AD530" s="23"/>
      <c r="AE530" s="28" t="s">
        <v>10</v>
      </c>
      <c r="AF530" s="23" t="str">
        <f>IFERROR(__xludf.DUMMYFUNCTION("TEXTJOIN("", "", TRUE,
  FILTER(Champions!C:C,
    ISNUMBER(SEARCH(C530, Champions!W:W))
  )
)"),"Griselda Guadalupe Cuevas Zambrano, Scotney Young, Tracy Pullman")</f>
        <v>Griselda Guadalupe Cuevas Zambrano, Scotney Young, Tracy Pullman</v>
      </c>
      <c r="AG530" s="23"/>
      <c r="AH530" s="23" t="str">
        <f>IFERROR(__xludf.DUMMYFUNCTION("IF(
ISNUMBER(MATCH(
C530,
IMPORTRANGE(""https://docs.google.com/spreadsheets/d/1yTh1ELC33JHYOeEdgIiEclxPRyh0zOKtlawDltfUay8"",""'Interns'!A:A""),
0
)),
""Outreach Conducted"",
"""")"),"")</f>
        <v/>
      </c>
      <c r="AI530" s="23"/>
      <c r="AJ530" s="23"/>
      <c r="AK530" s="23" t="str">
        <f>IFERROR(__xludf.DUMMYFUNCTION("XLOOKUP(C530, 
   IMPORTRANGE(""1RdEdgHYrZ33LJ7RUHj_h-qkAFL92bcVjtIdVa-UlsCw"", ""Interns!D:D""), 
   IMPORTRANGE(""1RdEdgHYrZ33LJ7RUHj_h-qkAFL92bcVjtIdVa-UlsCw"", ""Interns!M:M""), 
   ""Not Found"")"),"Contacted")</f>
        <v>Contacted</v>
      </c>
      <c r="AL530" s="23" t="str">
        <f>IFERROR(__xludf.DUMMYFUNCTION("XLOOKUP(C530, 
   IMPORTRANGE(""1RdEdgHYrZ33LJ7RUHj_h-qkAFL92bcVjtIdVa-UlsCw"", ""Interns!D:D""), 
   IMPORTRANGE(""1RdEdgHYrZ33LJ7RUHj_h-qkAFL92bcVjtIdVa-UlsCw"", ""Interns!N:N""), 
   ""Not Found"")"),"#Cheers4Careers")</f>
        <v>#Cheers4Careers</v>
      </c>
      <c r="AM530" s="23" t="str">
        <f>IFERROR(__xludf.DUMMYFUNCTION("XLOOKUP(C530, 
   IMPORTRANGE(""1RdEdgHYrZ33LJ7RUHj_h-qkAFL92bcVjtIdVa-UlsCw"", ""Interns!D:D""), 
   IMPORTRANGE(""1RdEdgHYrZ33LJ7RUHj_h-qkAFL92bcVjtIdVa-UlsCw"", ""Interns!O:O""), 
   ""Not Found"")"),"Hetal reached out by email 3/27")</f>
        <v>Hetal reached out by email 3/27</v>
      </c>
      <c r="AN530" s="23"/>
      <c r="AO530" s="23" t="s">
        <v>8815</v>
      </c>
      <c r="AP530" s="28" t="s">
        <v>5182</v>
      </c>
      <c r="AQ530" s="28" t="s">
        <v>8816</v>
      </c>
      <c r="AR530" s="23" t="s">
        <v>8817</v>
      </c>
      <c r="AS530" s="28" t="s">
        <v>8818</v>
      </c>
      <c r="AT530" s="23"/>
      <c r="AU530" s="23"/>
      <c r="AV530" s="23"/>
    </row>
    <row r="531">
      <c r="A531" s="28" t="s">
        <v>5161</v>
      </c>
      <c r="B531" s="28" t="s">
        <v>5162</v>
      </c>
      <c r="C531" s="23" t="str">
        <f t="shared" si="1"/>
        <v>Jorge Lopez</v>
      </c>
      <c r="D531" s="28" t="s">
        <v>8819</v>
      </c>
      <c r="E531" s="28" t="s">
        <v>2778</v>
      </c>
      <c r="F531" s="23">
        <f t="array" ref="F531">IFERROR(
    INDEX('Hub Interns 226'!A:A, MATCH("Jorge. Lopez", 'Hub Interns 226'!B:B, 0)),"")</f>
        <v>92</v>
      </c>
      <c r="G531" s="23">
        <f t="array" ref="G531">IFERROR(
    INDEX('Hub Users 226'!A:A, MATCH("Jorge. Lopez", 'Hub Users 226'!B:B, 0)),"")</f>
        <v>525</v>
      </c>
      <c r="H531" s="28">
        <v>1468.0</v>
      </c>
      <c r="I531" s="28" t="s">
        <v>1235</v>
      </c>
      <c r="J531" s="28" t="s">
        <v>2388</v>
      </c>
      <c r="K531" s="28" t="s">
        <v>5463</v>
      </c>
      <c r="L531" s="28" t="s">
        <v>5165</v>
      </c>
      <c r="M531" s="56" t="s">
        <v>8820</v>
      </c>
      <c r="N531" s="57">
        <v>44938.65069444444</v>
      </c>
      <c r="O531" s="58">
        <v>38661.0</v>
      </c>
      <c r="P531" s="28">
        <f t="shared" si="18"/>
        <v>20</v>
      </c>
      <c r="Q531" s="28" t="s">
        <v>8821</v>
      </c>
      <c r="R531" s="28" t="s">
        <v>8822</v>
      </c>
      <c r="S531" s="28">
        <v>14.0</v>
      </c>
      <c r="T531" s="28">
        <v>34.0</v>
      </c>
      <c r="U531" s="28">
        <v>87.0</v>
      </c>
      <c r="V531" s="28">
        <v>18.0</v>
      </c>
      <c r="W531" s="28" t="s">
        <v>859</v>
      </c>
      <c r="X531" s="28" t="s">
        <v>272</v>
      </c>
      <c r="Y531" s="28" t="s">
        <v>8823</v>
      </c>
      <c r="Z531" s="28" t="s">
        <v>5259</v>
      </c>
      <c r="AA531" s="28" t="s">
        <v>704</v>
      </c>
      <c r="AB531" s="28">
        <v>2.0</v>
      </c>
      <c r="AC531" s="28" t="s">
        <v>25</v>
      </c>
      <c r="AD531" s="23"/>
      <c r="AE531" s="28" t="s">
        <v>15</v>
      </c>
      <c r="AF531" s="23" t="str">
        <f>IFERROR(__xludf.DUMMYFUNCTION("TEXTJOIN("", "", TRUE,
  FILTER(Champions!C:C,
    ISNUMBER(SEARCH(C531, Champions!W:W))
  )
)"),"Lata Murti, Pritika Kumar")</f>
        <v>Lata Murti, Pritika Kumar</v>
      </c>
      <c r="AG531" s="23"/>
      <c r="AH531" s="23" t="str">
        <f>IFERROR(__xludf.DUMMYFUNCTION("IF(
ISNUMBER(MATCH(
C531,
IMPORTRANGE(""https://docs.google.com/spreadsheets/d/1yTh1ELC33JHYOeEdgIiEclxPRyh0zOKtlawDltfUay8"",""'Interns'!A:A""),
0
)),
""Outreach Conducted"",
"""")"),"")</f>
        <v/>
      </c>
      <c r="AI531" s="23"/>
      <c r="AJ531" s="23"/>
      <c r="AK531" s="23" t="str">
        <f>IFERROR(__xludf.DUMMYFUNCTION("XLOOKUP(C531, 
   IMPORTRANGE(""1RdEdgHYrZ33LJ7RUHj_h-qkAFL92bcVjtIdVa-UlsCw"", ""Interns!D:D""), 
   IMPORTRANGE(""1RdEdgHYrZ33LJ7RUHj_h-qkAFL92bcVjtIdVa-UlsCw"", ""Interns!M:M""), 
   ""Not Found"")"),"")</f>
        <v/>
      </c>
      <c r="AL531" s="23" t="str">
        <f>IFERROR(__xludf.DUMMYFUNCTION("XLOOKUP(C531, 
   IMPORTRANGE(""1RdEdgHYrZ33LJ7RUHj_h-qkAFL92bcVjtIdVa-UlsCw"", ""Interns!D:D""), 
   IMPORTRANGE(""1RdEdgHYrZ33LJ7RUHj_h-qkAFL92bcVjtIdVa-UlsCw"", ""Interns!N:N""), 
   ""Not Found"")"),"")</f>
        <v/>
      </c>
      <c r="AM531" s="23" t="str">
        <f>IFERROR(__xludf.DUMMYFUNCTION("XLOOKUP(C531, 
   IMPORTRANGE(""1RdEdgHYrZ33LJ7RUHj_h-qkAFL92bcVjtIdVa-UlsCw"", ""Interns!D:D""), 
   IMPORTRANGE(""1RdEdgHYrZ33LJ7RUHj_h-qkAFL92bcVjtIdVa-UlsCw"", ""Interns!O:O""), 
   ""Not Found"")"),"")</f>
        <v/>
      </c>
      <c r="AN531" s="23"/>
      <c r="AO531" s="23" t="s">
        <v>8824</v>
      </c>
      <c r="AP531" s="28" t="s">
        <v>5182</v>
      </c>
      <c r="AQ531" s="28" t="s">
        <v>8825</v>
      </c>
      <c r="AR531" s="23" t="s">
        <v>8826</v>
      </c>
      <c r="AS531" s="23"/>
      <c r="AT531" s="23"/>
      <c r="AU531" s="23"/>
      <c r="AV531" s="23"/>
    </row>
    <row r="532">
      <c r="A532" s="28" t="s">
        <v>5161</v>
      </c>
      <c r="B532" s="28" t="s">
        <v>5162</v>
      </c>
      <c r="C532" s="23" t="str">
        <f t="shared" si="1"/>
        <v>Carlos Yucailla</v>
      </c>
      <c r="D532" s="28" t="s">
        <v>846</v>
      </c>
      <c r="E532" s="28" t="s">
        <v>8827</v>
      </c>
      <c r="F532" s="23">
        <f t="array" ref="F532">IFERROR(
    INDEX('Hub Interns 226'!A:A, MATCH(C532, 'Hub Interns 226'!B:B, 0)),"")</f>
        <v>335</v>
      </c>
      <c r="G532" s="23">
        <f t="array" ref="G532">IFERROR(
    INDEX('Hub Users 226'!A:A, MATCH(C532, 'Hub Users 226'!B:B, 0)),"")</f>
        <v>768</v>
      </c>
      <c r="H532" s="28">
        <v>1546.0</v>
      </c>
      <c r="I532" s="28" t="s">
        <v>107</v>
      </c>
      <c r="J532" s="28" t="s">
        <v>2388</v>
      </c>
      <c r="K532" s="28" t="s">
        <v>5463</v>
      </c>
      <c r="L532" s="28" t="s">
        <v>5165</v>
      </c>
      <c r="M532" s="56" t="s">
        <v>8828</v>
      </c>
      <c r="N532" s="57">
        <v>44958.60138888889</v>
      </c>
      <c r="O532" s="58">
        <v>38397.0</v>
      </c>
      <c r="P532" s="28">
        <f t="shared" si="18"/>
        <v>21</v>
      </c>
      <c r="Q532" s="28" t="s">
        <v>240</v>
      </c>
      <c r="R532" s="28" t="s">
        <v>8829</v>
      </c>
      <c r="S532" s="28">
        <v>10.0</v>
      </c>
      <c r="T532" s="28">
        <v>27.0</v>
      </c>
      <c r="U532" s="28">
        <v>66.0</v>
      </c>
      <c r="V532" s="28">
        <v>3.0</v>
      </c>
      <c r="W532" s="28" t="s">
        <v>271</v>
      </c>
      <c r="X532" s="28" t="s">
        <v>272</v>
      </c>
      <c r="Y532" s="28" t="s">
        <v>8830</v>
      </c>
      <c r="Z532" s="28" t="s">
        <v>5259</v>
      </c>
      <c r="AA532" s="28" t="s">
        <v>704</v>
      </c>
      <c r="AB532" s="28">
        <v>2.0</v>
      </c>
      <c r="AC532" s="28" t="s">
        <v>23</v>
      </c>
      <c r="AD532" s="28" t="s">
        <v>101</v>
      </c>
      <c r="AE532" s="28" t="s">
        <v>15</v>
      </c>
      <c r="AF532" s="23"/>
      <c r="AG532" s="23"/>
      <c r="AH532" s="23" t="str">
        <f>IFERROR(__xludf.DUMMYFUNCTION("IF(
ISNUMBER(MATCH(
C532,
IMPORTRANGE(""https://docs.google.com/spreadsheets/d/1yTh1ELC33JHYOeEdgIiEclxPRyh0zOKtlawDltfUay8"",""'Interns'!A:A""),
0
)),
""Outreach Conducted"",
"""")"),"")</f>
        <v/>
      </c>
      <c r="AI532" s="23"/>
      <c r="AJ532" s="23"/>
      <c r="AK532" s="23" t="str">
        <f>IFERROR(__xludf.DUMMYFUNCTION("XLOOKUP(C532, 
   IMPORTRANGE(""1RdEdgHYrZ33LJ7RUHj_h-qkAFL92bcVjtIdVa-UlsCw"", ""Interns!D:D""), 
   IMPORTRANGE(""1RdEdgHYrZ33LJ7RUHj_h-qkAFL92bcVjtIdVa-UlsCw"", ""Interns!M:M""), 
   ""Not Found"")"),"Contacted")</f>
        <v>Contacted</v>
      </c>
      <c r="AL532" s="23" t="str">
        <f>IFERROR(__xludf.DUMMYFUNCTION("XLOOKUP(C532, 
   IMPORTRANGE(""1RdEdgHYrZ33LJ7RUHj_h-qkAFL92bcVjtIdVa-UlsCw"", ""Interns!D:D""), 
   IMPORTRANGE(""1RdEdgHYrZ33LJ7RUHj_h-qkAFL92bcVjtIdVa-UlsCw"", ""Interns!N:N""), 
   ""Not Found"")"),"#Cheers4Careers")</f>
        <v>#Cheers4Careers</v>
      </c>
      <c r="AM532" s="23" t="str">
        <f>IFERROR(__xludf.DUMMYFUNCTION("XLOOKUP(C532, 
   IMPORTRANGE(""1RdEdgHYrZ33LJ7RUHj_h-qkAFL92bcVjtIdVa-UlsCw"", ""Interns!D:D""), 
   IMPORTRANGE(""1RdEdgHYrZ33LJ7RUHj_h-qkAFL92bcVjtIdVa-UlsCw"", ""Interns!O:O""), 
   ""Not Found"")"),"Ousmane reached out by email 3/26 and reach out by text 3/28")</f>
        <v>Ousmane reached out by email 3/26 and reach out by text 3/28</v>
      </c>
      <c r="AN532" s="23"/>
      <c r="AO532" s="23" t="s">
        <v>8831</v>
      </c>
      <c r="AP532" s="28" t="s">
        <v>5182</v>
      </c>
      <c r="AQ532" s="28"/>
      <c r="AR532" s="23"/>
      <c r="AS532" s="23"/>
      <c r="AT532" s="23"/>
      <c r="AU532" s="23"/>
      <c r="AV532" s="23"/>
    </row>
    <row r="533">
      <c r="A533" s="28" t="s">
        <v>5161</v>
      </c>
      <c r="B533" s="28" t="s">
        <v>5162</v>
      </c>
      <c r="C533" s="23" t="str">
        <f t="shared" si="1"/>
        <v>Ana Almeida</v>
      </c>
      <c r="D533" s="28" t="s">
        <v>4816</v>
      </c>
      <c r="E533" s="28" t="s">
        <v>8805</v>
      </c>
      <c r="F533" s="23">
        <f t="array" ref="F533">IFERROR(
    INDEX('Hub Interns 226'!A:A, MATCH(C533, 'Hub Interns 226'!B:B, 0)),"")</f>
        <v>76</v>
      </c>
      <c r="G533" s="23">
        <f t="array" ref="G533">IFERROR(
    INDEX('Hub Users 226'!A:A, MATCH(C533, 'Hub Users 226'!B:B, 0)),"")</f>
        <v>509</v>
      </c>
      <c r="H533" s="28">
        <v>1461.0</v>
      </c>
      <c r="I533" s="28" t="s">
        <v>107</v>
      </c>
      <c r="J533" s="28" t="s">
        <v>2388</v>
      </c>
      <c r="K533" s="28" t="s">
        <v>5463</v>
      </c>
      <c r="L533" s="28" t="s">
        <v>5196</v>
      </c>
      <c r="M533" s="56" t="s">
        <v>8832</v>
      </c>
      <c r="N533" s="57">
        <v>44935.65069444444</v>
      </c>
      <c r="O533" s="58">
        <v>37830.0</v>
      </c>
      <c r="P533" s="28">
        <f t="shared" si="18"/>
        <v>22</v>
      </c>
      <c r="Q533" s="28" t="s">
        <v>8833</v>
      </c>
      <c r="R533" s="28" t="s">
        <v>8834</v>
      </c>
      <c r="S533" s="28">
        <v>7.0</v>
      </c>
      <c r="T533" s="28">
        <v>18.0</v>
      </c>
      <c r="U533" s="28">
        <v>53.0</v>
      </c>
      <c r="V533" s="28">
        <v>37.0</v>
      </c>
      <c r="W533" s="28" t="s">
        <v>294</v>
      </c>
      <c r="X533" s="28" t="s">
        <v>272</v>
      </c>
      <c r="Y533" s="28" t="s">
        <v>8835</v>
      </c>
      <c r="Z533" s="28" t="s">
        <v>5259</v>
      </c>
      <c r="AA533" s="28" t="s">
        <v>704</v>
      </c>
      <c r="AB533" s="28">
        <v>2.0</v>
      </c>
      <c r="AC533" s="28" t="s">
        <v>25</v>
      </c>
      <c r="AD533" s="23"/>
      <c r="AE533" s="28" t="s">
        <v>15</v>
      </c>
      <c r="AF533" s="23" t="str">
        <f>IFERROR(__xludf.DUMMYFUNCTION("TEXTJOIN("", "", TRUE,
  FILTER(Champions!C:C,
    ISNUMBER(SEARCH(C533, Champions!W:W))
  )
)"),"Bhakti Pitre, Ritika Naik")</f>
        <v>Bhakti Pitre, Ritika Naik</v>
      </c>
      <c r="AG533" s="23"/>
      <c r="AH533" s="23" t="str">
        <f>IFERROR(__xludf.DUMMYFUNCTION("IF(
ISNUMBER(MATCH(
C533,
IMPORTRANGE(""https://docs.google.com/spreadsheets/d/1yTh1ELC33JHYOeEdgIiEclxPRyh0zOKtlawDltfUay8"",""'Interns'!A:A""),
0
)),
""Outreach Conducted"",
"""")"),"")</f>
        <v/>
      </c>
      <c r="AI533" s="23"/>
      <c r="AJ533" s="23"/>
      <c r="AK533" s="23" t="str">
        <f>IFERROR(__xludf.DUMMYFUNCTION("XLOOKUP(C533, 
   IMPORTRANGE(""1RdEdgHYrZ33LJ7RUHj_h-qkAFL92bcVjtIdVa-UlsCw"", ""Interns!D:D""), 
   IMPORTRANGE(""1RdEdgHYrZ33LJ7RUHj_h-qkAFL92bcVjtIdVa-UlsCw"", ""Interns!M:M""), 
   ""Not Found"")"),"")</f>
        <v/>
      </c>
      <c r="AL533" s="23" t="str">
        <f>IFERROR(__xludf.DUMMYFUNCTION("XLOOKUP(C533, 
   IMPORTRANGE(""1RdEdgHYrZ33LJ7RUHj_h-qkAFL92bcVjtIdVa-UlsCw"", ""Interns!D:D""), 
   IMPORTRANGE(""1RdEdgHYrZ33LJ7RUHj_h-qkAFL92bcVjtIdVa-UlsCw"", ""Interns!N:N""), 
   ""Not Found"")"),"")</f>
        <v/>
      </c>
      <c r="AM533" s="23" t="str">
        <f>IFERROR(__xludf.DUMMYFUNCTION("XLOOKUP(C533, 
   IMPORTRANGE(""1RdEdgHYrZ33LJ7RUHj_h-qkAFL92bcVjtIdVa-UlsCw"", ""Interns!D:D""), 
   IMPORTRANGE(""1RdEdgHYrZ33LJ7RUHj_h-qkAFL92bcVjtIdVa-UlsCw"", ""Interns!O:O""), 
   ""Not Found"")"),"")</f>
        <v/>
      </c>
      <c r="AN533" s="23"/>
      <c r="AO533" s="23" t="s">
        <v>8836</v>
      </c>
      <c r="AP533" s="28" t="s">
        <v>5182</v>
      </c>
      <c r="AQ533" s="28" t="s">
        <v>8832</v>
      </c>
      <c r="AR533" s="23" t="s">
        <v>8837</v>
      </c>
      <c r="AS533" s="23"/>
      <c r="AT533" s="23"/>
      <c r="AU533" s="23"/>
      <c r="AV533" s="23"/>
    </row>
    <row r="534">
      <c r="A534" s="28" t="s">
        <v>5161</v>
      </c>
      <c r="B534" s="28" t="s">
        <v>5162</v>
      </c>
      <c r="C534" s="23" t="str">
        <f t="shared" si="1"/>
        <v>Segundo (Fabian) Poalacin</v>
      </c>
      <c r="D534" s="28" t="s">
        <v>8838</v>
      </c>
      <c r="E534" s="28" t="s">
        <v>8839</v>
      </c>
      <c r="F534" s="23">
        <f t="array" ref="F534">IFERROR(
    INDEX('Hub Interns 226'!A:A, MATCH("Fabian", 'Hub Interns 226'!B:B, 0)),"")</f>
        <v>1381</v>
      </c>
      <c r="G534" s="23">
        <f t="array" ref="G534">IFERROR(
    INDEX('Hub Users 226'!A:A, MATCH("Segundo Poalacin", 'Hub Users 226'!B:B, 0)),"")</f>
        <v>1925</v>
      </c>
      <c r="H534" s="28">
        <v>1798.0</v>
      </c>
      <c r="I534" s="28" t="s">
        <v>785</v>
      </c>
      <c r="J534" s="28" t="s">
        <v>2388</v>
      </c>
      <c r="K534" s="28" t="s">
        <v>5463</v>
      </c>
      <c r="L534" s="28" t="s">
        <v>5165</v>
      </c>
      <c r="M534" s="56" t="s">
        <v>8840</v>
      </c>
      <c r="N534" s="57">
        <v>45314.97361111111</v>
      </c>
      <c r="O534" s="58">
        <v>45313.0</v>
      </c>
      <c r="P534" s="28">
        <f t="shared" si="18"/>
        <v>2</v>
      </c>
      <c r="Q534" s="28" t="s">
        <v>8841</v>
      </c>
      <c r="R534" s="28" t="s">
        <v>8842</v>
      </c>
      <c r="S534" s="28">
        <v>7.0</v>
      </c>
      <c r="T534" s="28">
        <v>18.0</v>
      </c>
      <c r="U534" s="28">
        <v>53.0</v>
      </c>
      <c r="V534" s="28">
        <v>37.0</v>
      </c>
      <c r="W534" s="28" t="s">
        <v>294</v>
      </c>
      <c r="X534" s="28" t="s">
        <v>272</v>
      </c>
      <c r="Y534" s="28">
        <v>6.46714923E9</v>
      </c>
      <c r="Z534" s="28" t="s">
        <v>5259</v>
      </c>
      <c r="AA534" s="28" t="s">
        <v>704</v>
      </c>
      <c r="AB534" s="28">
        <v>2.0</v>
      </c>
      <c r="AC534" s="28" t="s">
        <v>27</v>
      </c>
      <c r="AD534" s="23"/>
      <c r="AE534" s="28" t="s">
        <v>18</v>
      </c>
      <c r="AF534" s="23"/>
      <c r="AG534" s="23"/>
      <c r="AH534" s="23" t="str">
        <f>IFERROR(__xludf.DUMMYFUNCTION("IF(
ISNUMBER(MATCH(
C534,
IMPORTRANGE(""https://docs.google.com/spreadsheets/d/1yTh1ELC33JHYOeEdgIiEclxPRyh0zOKtlawDltfUay8"",""'Interns'!A:A""),
0
)),
""Outreach Conducted"",
"""")"),"")</f>
        <v/>
      </c>
      <c r="AI534" s="23"/>
      <c r="AJ534" s="23"/>
      <c r="AK534" s="23" t="str">
        <f>IFERROR(__xludf.DUMMYFUNCTION("XLOOKUP(C534, 
   IMPORTRANGE(""1RdEdgHYrZ33LJ7RUHj_h-qkAFL92bcVjtIdVa-UlsCw"", ""Interns!D:D""), 
   IMPORTRANGE(""1RdEdgHYrZ33LJ7RUHj_h-qkAFL92bcVjtIdVa-UlsCw"", ""Interns!M:M""), 
   ""Not Found"")"),"Contacted")</f>
        <v>Contacted</v>
      </c>
      <c r="AL534" s="23" t="str">
        <f>IFERROR(__xludf.DUMMYFUNCTION("XLOOKUP(C534, 
   IMPORTRANGE(""1RdEdgHYrZ33LJ7RUHj_h-qkAFL92bcVjtIdVa-UlsCw"", ""Interns!D:D""), 
   IMPORTRANGE(""1RdEdgHYrZ33LJ7RUHj_h-qkAFL92bcVjtIdVa-UlsCw"", ""Interns!N:N""), 
   ""Not Found"")"),"#Cheers4Careers")</f>
        <v>#Cheers4Careers</v>
      </c>
      <c r="AM534" s="23" t="str">
        <f>IFERROR(__xludf.DUMMYFUNCTION("XLOOKUP(C534, 
   IMPORTRANGE(""1RdEdgHYrZ33LJ7RUHj_h-qkAFL92bcVjtIdVa-UlsCw"", ""Interns!D:D""), 
   IMPORTRANGE(""1RdEdgHYrZ33LJ7RUHj_h-qkAFL92bcVjtIdVa-UlsCw"", ""Interns!O:O""), 
   ""Not Found"")"),"Ousmane reached out by email 3/26 and reach out by text 3/28")</f>
        <v>Ousmane reached out by email 3/26 and reach out by text 3/28</v>
      </c>
      <c r="AN534" s="23"/>
      <c r="AO534" s="23" t="s">
        <v>8843</v>
      </c>
      <c r="AP534" s="28" t="s">
        <v>5908</v>
      </c>
      <c r="AQ534" s="28" t="s">
        <v>8844</v>
      </c>
      <c r="AR534" s="23">
        <v>3.47323372E9</v>
      </c>
      <c r="AS534" s="23"/>
      <c r="AT534" s="23"/>
      <c r="AU534" s="23"/>
      <c r="AV534" s="23"/>
    </row>
    <row r="535">
      <c r="A535" s="28" t="s">
        <v>5202</v>
      </c>
      <c r="B535" s="28" t="s">
        <v>5162</v>
      </c>
      <c r="C535" s="23" t="str">
        <f t="shared" si="1"/>
        <v>Nathaly Loja</v>
      </c>
      <c r="D535" s="28" t="s">
        <v>8845</v>
      </c>
      <c r="E535" s="28" t="s">
        <v>8846</v>
      </c>
      <c r="F535" s="23">
        <f t="array" ref="F535">IFERROR(
    INDEX('Hub Interns 226'!A:A, MATCH(C535, 'Hub Interns 226'!B:B, 0)),"")</f>
        <v>927</v>
      </c>
      <c r="G535" s="23">
        <f t="array" ref="G535">IFERROR(
    INDEX('Hub Users 226'!A:A, MATCH(C535, 'Hub Users 226'!B:B, 0)),"")</f>
        <v>1360</v>
      </c>
      <c r="H535" s="28">
        <v>1340.0</v>
      </c>
      <c r="I535" s="28"/>
      <c r="J535" s="28" t="s">
        <v>2388</v>
      </c>
      <c r="K535" s="28" t="s">
        <v>5463</v>
      </c>
      <c r="L535" s="28" t="s">
        <v>5196</v>
      </c>
      <c r="M535" s="56" t="s">
        <v>8847</v>
      </c>
      <c r="N535" s="59">
        <v>44858.48263888889</v>
      </c>
      <c r="O535" s="58">
        <v>38026.0</v>
      </c>
      <c r="P535" s="28">
        <f t="shared" si="18"/>
        <v>22</v>
      </c>
      <c r="Q535" s="28" t="s">
        <v>240</v>
      </c>
      <c r="R535" s="28" t="s">
        <v>8848</v>
      </c>
      <c r="S535" s="28">
        <v>6.0</v>
      </c>
      <c r="T535" s="28">
        <v>16.0</v>
      </c>
      <c r="U535" s="28">
        <v>25.0</v>
      </c>
      <c r="V535" s="28">
        <v>20.0</v>
      </c>
      <c r="W535" s="28" t="s">
        <v>1173</v>
      </c>
      <c r="X535" s="28" t="s">
        <v>272</v>
      </c>
      <c r="Y535" s="28" t="s">
        <v>8849</v>
      </c>
      <c r="Z535" s="28" t="s">
        <v>5332</v>
      </c>
      <c r="AA535" s="28" t="s">
        <v>421</v>
      </c>
      <c r="AB535" s="28">
        <v>31.0</v>
      </c>
      <c r="AC535" s="28" t="s">
        <v>23</v>
      </c>
      <c r="AD535" s="23"/>
      <c r="AE535" s="28" t="s">
        <v>15</v>
      </c>
      <c r="AF535" s="23"/>
      <c r="AG535" s="23"/>
      <c r="AH535" s="23" t="str">
        <f>IFERROR(__xludf.DUMMYFUNCTION("IF(
ISNUMBER(MATCH(
C535,
IMPORTRANGE(""https://docs.google.com/spreadsheets/d/1yTh1ELC33JHYOeEdgIiEclxPRyh0zOKtlawDltfUay8"",""'Interns'!A:A""),
0
)),
""Outreach Conducted"",
"""")"),"")</f>
        <v/>
      </c>
      <c r="AI535" s="23"/>
      <c r="AJ535" s="23"/>
      <c r="AK535" s="23" t="str">
        <f>IFERROR(__xludf.DUMMYFUNCTION("XLOOKUP(C535, 
   IMPORTRANGE(""1RdEdgHYrZ33LJ7RUHj_h-qkAFL92bcVjtIdVa-UlsCw"", ""Interns!D:D""), 
   IMPORTRANGE(""1RdEdgHYrZ33LJ7RUHj_h-qkAFL92bcVjtIdVa-UlsCw"", ""Interns!M:M""), 
   ""Not Found"")"),"")</f>
        <v/>
      </c>
      <c r="AL535" s="23" t="str">
        <f>IFERROR(__xludf.DUMMYFUNCTION("XLOOKUP(C535, 
   IMPORTRANGE(""1RdEdgHYrZ33LJ7RUHj_h-qkAFL92bcVjtIdVa-UlsCw"", ""Interns!D:D""), 
   IMPORTRANGE(""1RdEdgHYrZ33LJ7RUHj_h-qkAFL92bcVjtIdVa-UlsCw"", ""Interns!N:N""), 
   ""Not Found"")"),"")</f>
        <v/>
      </c>
      <c r="AM535" s="23" t="str">
        <f>IFERROR(__xludf.DUMMYFUNCTION("XLOOKUP(C535, 
   IMPORTRANGE(""1RdEdgHYrZ33LJ7RUHj_h-qkAFL92bcVjtIdVa-UlsCw"", ""Interns!D:D""), 
   IMPORTRANGE(""1RdEdgHYrZ33LJ7RUHj_h-qkAFL92bcVjtIdVa-UlsCw"", ""Interns!O:O""), 
   ""Not Found"")"),"")</f>
        <v/>
      </c>
      <c r="AN535" s="23"/>
      <c r="AO535" s="23" t="s">
        <v>8850</v>
      </c>
      <c r="AP535" s="28" t="s">
        <v>5182</v>
      </c>
      <c r="AQ535" s="28"/>
      <c r="AR535" s="23"/>
      <c r="AS535" s="23"/>
      <c r="AT535" s="23"/>
      <c r="AU535" s="23"/>
      <c r="AV535" s="23"/>
    </row>
    <row r="536">
      <c r="A536" s="28" t="s">
        <v>5161</v>
      </c>
      <c r="B536" s="28" t="s">
        <v>5162</v>
      </c>
      <c r="C536" s="23" t="str">
        <f t="shared" si="1"/>
        <v>Allan Chiquito</v>
      </c>
      <c r="D536" s="28" t="s">
        <v>8851</v>
      </c>
      <c r="E536" s="28" t="s">
        <v>8852</v>
      </c>
      <c r="F536" s="23">
        <f t="array" ref="F536">IFERROR(
    INDEX('Hub Interns 226'!A:A, MATCH(C536, 'Hub Interns 226'!B:B, 0)),"")</f>
        <v>196</v>
      </c>
      <c r="G536" s="23">
        <f t="array" ref="G536">IFERROR(
    INDEX('Hub Users 226'!A:A, MATCH(C536, 'Hub Users 226'!B:B, 0)),"")</f>
        <v>629</v>
      </c>
      <c r="H536" s="28">
        <v>599.0</v>
      </c>
      <c r="I536" s="28" t="s">
        <v>785</v>
      </c>
      <c r="J536" s="28" t="s">
        <v>2388</v>
      </c>
      <c r="K536" s="28" t="s">
        <v>5463</v>
      </c>
      <c r="L536" s="28" t="s">
        <v>5165</v>
      </c>
      <c r="M536" s="56" t="s">
        <v>8853</v>
      </c>
      <c r="N536" s="59">
        <v>44490.62847222222</v>
      </c>
      <c r="O536" s="58">
        <v>38706.0</v>
      </c>
      <c r="P536" s="28">
        <f t="shared" si="18"/>
        <v>20</v>
      </c>
      <c r="Q536" s="28" t="s">
        <v>240</v>
      </c>
      <c r="R536" s="28" t="s">
        <v>8854</v>
      </c>
      <c r="S536" s="28">
        <v>6.0</v>
      </c>
      <c r="T536" s="28">
        <v>16.0</v>
      </c>
      <c r="U536" s="28">
        <v>25.0</v>
      </c>
      <c r="V536" s="28">
        <v>20.0</v>
      </c>
      <c r="W536" s="28" t="s">
        <v>1173</v>
      </c>
      <c r="X536" s="28" t="s">
        <v>272</v>
      </c>
      <c r="Y536" s="28" t="s">
        <v>8855</v>
      </c>
      <c r="Z536" s="28" t="s">
        <v>5189</v>
      </c>
      <c r="AA536" s="28" t="s">
        <v>619</v>
      </c>
      <c r="AB536" s="28">
        <v>20.0</v>
      </c>
      <c r="AC536" s="28" t="s">
        <v>25</v>
      </c>
      <c r="AD536" s="23"/>
      <c r="AE536" s="28" t="s">
        <v>10</v>
      </c>
      <c r="AF536" s="23" t="str">
        <f>IFERROR(__xludf.DUMMYFUNCTION("TEXTJOIN("", "", TRUE,
  FILTER(Champions!C:C,
    ISNUMBER(SEARCH(C536, Champions!W:W))
  )
)"),"Luisa Castro, Tracy Pullman")</f>
        <v>Luisa Castro, Tracy Pullman</v>
      </c>
      <c r="AG536" s="23"/>
      <c r="AH536" s="23" t="str">
        <f>IFERROR(__xludf.DUMMYFUNCTION("IF(
ISNUMBER(MATCH(
C536,
IMPORTRANGE(""https://docs.google.com/spreadsheets/d/1yTh1ELC33JHYOeEdgIiEclxPRyh0zOKtlawDltfUay8"",""'Interns'!A:A""),
0
)),
""Outreach Conducted"",
"""")"),"")</f>
        <v/>
      </c>
      <c r="AI536" s="23"/>
      <c r="AJ536" s="23"/>
      <c r="AK536" s="23" t="str">
        <f>IFERROR(__xludf.DUMMYFUNCTION("XLOOKUP(C536, 
   IMPORTRANGE(""1RdEdgHYrZ33LJ7RUHj_h-qkAFL92bcVjtIdVa-UlsCw"", ""Interns!D:D""), 
   IMPORTRANGE(""1RdEdgHYrZ33LJ7RUHj_h-qkAFL92bcVjtIdVa-UlsCw"", ""Interns!M:M""), 
   ""Not Found"")"),"Contacted")</f>
        <v>Contacted</v>
      </c>
      <c r="AL536" s="23" t="str">
        <f>IFERROR(__xludf.DUMMYFUNCTION("XLOOKUP(C536, 
   IMPORTRANGE(""1RdEdgHYrZ33LJ7RUHj_h-qkAFL92bcVjtIdVa-UlsCw"", ""Interns!D:D""), 
   IMPORTRANGE(""1RdEdgHYrZ33LJ7RUHj_h-qkAFL92bcVjtIdVa-UlsCw"", ""Interns!N:N""), 
   ""Not Found"")"),"#Cheers4Careers")</f>
        <v>#Cheers4Careers</v>
      </c>
      <c r="AM536" s="23" t="str">
        <f>IFERROR(__xludf.DUMMYFUNCTION("XLOOKUP(C536, 
   IMPORTRANGE(""1RdEdgHYrZ33LJ7RUHj_h-qkAFL92bcVjtIdVa-UlsCw"", ""Interns!D:D""), 
   IMPORTRANGE(""1RdEdgHYrZ33LJ7RUHj_h-qkAFL92bcVjtIdVa-UlsCw"", ""Interns!O:O""), 
   ""Not Found"")"),"Hetal reached out by email 3/27 followed by text")</f>
        <v>Hetal reached out by email 3/27 followed by text</v>
      </c>
      <c r="AN536" s="23"/>
      <c r="AO536" s="23" t="s">
        <v>8856</v>
      </c>
      <c r="AP536" s="28" t="s">
        <v>5191</v>
      </c>
      <c r="AQ536" s="28" t="s">
        <v>8857</v>
      </c>
      <c r="AR536" s="23" t="s">
        <v>8858</v>
      </c>
      <c r="AS536" s="23"/>
      <c r="AT536" s="23"/>
      <c r="AU536" s="23"/>
      <c r="AV536" s="23"/>
    </row>
    <row r="537">
      <c r="A537" s="28" t="s">
        <v>5161</v>
      </c>
      <c r="B537" s="28" t="s">
        <v>5162</v>
      </c>
      <c r="C537" s="23" t="str">
        <f t="shared" si="1"/>
        <v>Mathias Morocho</v>
      </c>
      <c r="D537" s="28" t="s">
        <v>8859</v>
      </c>
      <c r="E537" s="28" t="s">
        <v>8860</v>
      </c>
      <c r="F537" s="23">
        <f t="array" ref="F537">IFERROR(
    INDEX('Hub Interns 226'!A:A, MATCH(C537, 'Hub Interns 226'!B:B, 0)),"")</f>
        <v>857</v>
      </c>
      <c r="G537" s="23">
        <f t="array" ref="G537">IFERROR(
    INDEX('Hub Users 226'!A:A, MATCH(C537, 'Hub Users 226'!B:B, 0)),"")</f>
        <v>1290</v>
      </c>
      <c r="H537" s="28">
        <v>1319.0</v>
      </c>
      <c r="I537" s="28" t="s">
        <v>239</v>
      </c>
      <c r="J537" s="28" t="s">
        <v>2388</v>
      </c>
      <c r="K537" s="28" t="s">
        <v>5463</v>
      </c>
      <c r="L537" s="28" t="s">
        <v>5165</v>
      </c>
      <c r="M537" s="56" t="s">
        <v>8861</v>
      </c>
      <c r="N537" s="59">
        <v>44851.61388888889</v>
      </c>
      <c r="O537" s="58">
        <v>39797.0</v>
      </c>
      <c r="P537" s="28">
        <f t="shared" si="18"/>
        <v>17</v>
      </c>
      <c r="Q537" s="28" t="s">
        <v>240</v>
      </c>
      <c r="R537" s="28" t="s">
        <v>8862</v>
      </c>
      <c r="S537" s="28">
        <v>5.0</v>
      </c>
      <c r="T537" s="28">
        <v>10.0</v>
      </c>
      <c r="U537" s="28">
        <v>31.0</v>
      </c>
      <c r="V537" s="28">
        <v>31.0</v>
      </c>
      <c r="W537" s="28" t="s">
        <v>1173</v>
      </c>
      <c r="X537" s="28" t="s">
        <v>272</v>
      </c>
      <c r="Y537" s="28" t="s">
        <v>8863</v>
      </c>
      <c r="Z537" s="28" t="s">
        <v>5332</v>
      </c>
      <c r="AA537" s="28" t="s">
        <v>421</v>
      </c>
      <c r="AB537" s="28">
        <v>31.0</v>
      </c>
      <c r="AC537" s="28" t="s">
        <v>23</v>
      </c>
      <c r="AD537" s="28" t="s">
        <v>101</v>
      </c>
      <c r="AE537" s="28" t="s">
        <v>15</v>
      </c>
      <c r="AF537" s="23"/>
      <c r="AG537" s="23"/>
      <c r="AH537" s="23" t="str">
        <f>IFERROR(__xludf.DUMMYFUNCTION("IF(
ISNUMBER(MATCH(
C537,
IMPORTRANGE(""https://docs.google.com/spreadsheets/d/1yTh1ELC33JHYOeEdgIiEclxPRyh0zOKtlawDltfUay8"",""'Interns'!A:A""),
0
)),
""Outreach Conducted"",
"""")"),"")</f>
        <v/>
      </c>
      <c r="AI537" s="23"/>
      <c r="AJ537" s="23"/>
      <c r="AK537" s="23" t="str">
        <f>IFERROR(__xludf.DUMMYFUNCTION("XLOOKUP(C537, 
   IMPORTRANGE(""1RdEdgHYrZ33LJ7RUHj_h-qkAFL92bcVjtIdVa-UlsCw"", ""Interns!D:D""), 
   IMPORTRANGE(""1RdEdgHYrZ33LJ7RUHj_h-qkAFL92bcVjtIdVa-UlsCw"", ""Interns!M:M""), 
   ""Not Found"")"),"Contacted")</f>
        <v>Contacted</v>
      </c>
      <c r="AL537" s="23" t="str">
        <f>IFERROR(__xludf.DUMMYFUNCTION("XLOOKUP(C537, 
   IMPORTRANGE(""1RdEdgHYrZ33LJ7RUHj_h-qkAFL92bcVjtIdVa-UlsCw"", ""Interns!D:D""), 
   IMPORTRANGE(""1RdEdgHYrZ33LJ7RUHj_h-qkAFL92bcVjtIdVa-UlsCw"", ""Interns!N:N""), 
   ""Not Found"")"),"#Cheers4Careers")</f>
        <v>#Cheers4Careers</v>
      </c>
      <c r="AM537" s="23" t="str">
        <f>IFERROR(__xludf.DUMMYFUNCTION("XLOOKUP(C537, 
   IMPORTRANGE(""1RdEdgHYrZ33LJ7RUHj_h-qkAFL92bcVjtIdVa-UlsCw"", ""Interns!D:D""), 
   IMPORTRANGE(""1RdEdgHYrZ33LJ7RUHj_h-qkAFL92bcVjtIdVa-UlsCw"", ""Interns!O:O""), 
   ""Not Found"")"),"Hetal reached out March 27 for March #Cheers4 Careers ")</f>
        <v>Hetal reached out March 27 for March #Cheers4 Careers </v>
      </c>
      <c r="AN537" s="23"/>
      <c r="AO537" s="23" t="s">
        <v>8864</v>
      </c>
      <c r="AP537" s="28" t="s">
        <v>5182</v>
      </c>
      <c r="AQ537" s="28"/>
      <c r="AR537" s="23"/>
      <c r="AS537" s="23"/>
      <c r="AT537" s="23"/>
      <c r="AU537" s="23"/>
      <c r="AV537" s="23"/>
    </row>
    <row r="538">
      <c r="A538" s="28" t="s">
        <v>5161</v>
      </c>
      <c r="B538" s="28" t="s">
        <v>5162</v>
      </c>
      <c r="C538" s="23" t="str">
        <f t="shared" si="1"/>
        <v>Carlos Cela</v>
      </c>
      <c r="D538" s="28" t="s">
        <v>846</v>
      </c>
      <c r="E538" s="28" t="s">
        <v>8865</v>
      </c>
      <c r="F538" s="23">
        <f t="array" ref="F538">IFERROR(
    INDEX('Hub Interns 226'!A:A, MATCH(C538, 'Hub Interns 226'!B:B, 0)),"")</f>
        <v>344</v>
      </c>
      <c r="G538" s="23">
        <f t="array" ref="G538">IFERROR(
    INDEX('Hub Users 226'!A:A, MATCH(C538, 'Hub Users 226'!B:B, 0)),"")</f>
        <v>777</v>
      </c>
      <c r="H538" s="28">
        <v>575.0</v>
      </c>
      <c r="I538" s="28" t="s">
        <v>302</v>
      </c>
      <c r="J538" s="28" t="s">
        <v>2388</v>
      </c>
      <c r="K538" s="28" t="s">
        <v>5463</v>
      </c>
      <c r="L538" s="28" t="s">
        <v>5165</v>
      </c>
      <c r="M538" s="56" t="s">
        <v>8866</v>
      </c>
      <c r="N538" s="59">
        <v>44481.54375</v>
      </c>
      <c r="O538" s="58">
        <v>37400.0</v>
      </c>
      <c r="P538" s="28">
        <f t="shared" si="18"/>
        <v>23</v>
      </c>
      <c r="Q538" s="28" t="s">
        <v>240</v>
      </c>
      <c r="R538" s="28" t="s">
        <v>8867</v>
      </c>
      <c r="S538" s="28">
        <v>6.0</v>
      </c>
      <c r="T538" s="28">
        <v>16.0</v>
      </c>
      <c r="U538" s="28">
        <v>40.0</v>
      </c>
      <c r="V538" s="28">
        <v>20.0</v>
      </c>
      <c r="W538" s="28" t="s">
        <v>1173</v>
      </c>
      <c r="X538" s="28" t="s">
        <v>272</v>
      </c>
      <c r="Y538" s="28" t="s">
        <v>8868</v>
      </c>
      <c r="Z538" s="28" t="s">
        <v>5189</v>
      </c>
      <c r="AA538" s="28" t="s">
        <v>619</v>
      </c>
      <c r="AB538" s="28">
        <v>20.0</v>
      </c>
      <c r="AC538" s="28" t="s">
        <v>25</v>
      </c>
      <c r="AD538" s="23"/>
      <c r="AE538" s="28" t="s">
        <v>10</v>
      </c>
      <c r="AF538" s="23" t="str">
        <f>IFERROR(__xludf.DUMMYFUNCTION("TEXTJOIN("", "", TRUE,
  FILTER(Champions!C:C,
    ISNUMBER(SEARCH(C538, Champions!W:W))
  )
)"),"Jayne Gonzalez, Tatiana Nechaeva")</f>
        <v>Jayne Gonzalez, Tatiana Nechaeva</v>
      </c>
      <c r="AG538" s="23"/>
      <c r="AH538" s="23" t="str">
        <f>IFERROR(__xludf.DUMMYFUNCTION("IF(
ISNUMBER(MATCH(
C538,
IMPORTRANGE(""https://docs.google.com/spreadsheets/d/1yTh1ELC33JHYOeEdgIiEclxPRyh0zOKtlawDltfUay8"",""'Interns'!A:A""),
0
)),
""Outreach Conducted"",
"""")"),"")</f>
        <v/>
      </c>
      <c r="AI538" s="23"/>
      <c r="AJ538" s="23"/>
      <c r="AK538" s="23" t="str">
        <f>IFERROR(__xludf.DUMMYFUNCTION("XLOOKUP(C538, 
   IMPORTRANGE(""1RdEdgHYrZ33LJ7RUHj_h-qkAFL92bcVjtIdVa-UlsCw"", ""Interns!D:D""), 
   IMPORTRANGE(""1RdEdgHYrZ33LJ7RUHj_h-qkAFL92bcVjtIdVa-UlsCw"", ""Interns!M:M""), 
   ""Not Found"")"),"Contacted")</f>
        <v>Contacted</v>
      </c>
      <c r="AL538" s="23" t="str">
        <f>IFERROR(__xludf.DUMMYFUNCTION("XLOOKUP(C538, 
   IMPORTRANGE(""1RdEdgHYrZ33LJ7RUHj_h-qkAFL92bcVjtIdVa-UlsCw"", ""Interns!D:D""), 
   IMPORTRANGE(""1RdEdgHYrZ33LJ7RUHj_h-qkAFL92bcVjtIdVa-UlsCw"", ""Interns!N:N""), 
   ""Not Found"")"),"#Cheers4Careers")</f>
        <v>#Cheers4Careers</v>
      </c>
      <c r="AM538" s="23" t="str">
        <f>IFERROR(__xludf.DUMMYFUNCTION("XLOOKUP(C538, 
   IMPORTRANGE(""1RdEdgHYrZ33LJ7RUHj_h-qkAFL92bcVjtIdVa-UlsCw"", ""Interns!D:D""), 
   IMPORTRANGE(""1RdEdgHYrZ33LJ7RUHj_h-qkAFL92bcVjtIdVa-UlsCw"", ""Interns!O:O""), 
   ""Not Found"")"),"Hetal reached out by email 3/27 followed by text")</f>
        <v>Hetal reached out by email 3/27 followed by text</v>
      </c>
      <c r="AN538" s="23"/>
      <c r="AO538" s="23" t="s">
        <v>8869</v>
      </c>
      <c r="AP538" s="28" t="s">
        <v>5191</v>
      </c>
      <c r="AQ538" s="28" t="s">
        <v>8866</v>
      </c>
      <c r="AR538" s="23" t="s">
        <v>8870</v>
      </c>
      <c r="AS538" s="23"/>
      <c r="AT538" s="23"/>
      <c r="AU538" s="23"/>
      <c r="AV538" s="23"/>
    </row>
    <row r="539">
      <c r="A539" s="28" t="s">
        <v>5161</v>
      </c>
      <c r="B539" s="28" t="s">
        <v>31</v>
      </c>
      <c r="C539" s="23" t="str">
        <f t="shared" si="1"/>
        <v>Audrey Made</v>
      </c>
      <c r="D539" s="28" t="s">
        <v>6986</v>
      </c>
      <c r="E539" s="28" t="s">
        <v>8871</v>
      </c>
      <c r="F539" s="23">
        <f t="array" ref="F539">IFERROR(
    INDEX('Hub Interns 226'!A:A, MATCH("Audrey Made Mewoli", 'Hub Interns 226'!B:B, 0)),"")</f>
        <v>275</v>
      </c>
      <c r="G539" s="23">
        <f t="array" ref="G539">IFERROR(
    INDEX('Hub Users 226'!A:A, MATCH("Audrey Made Mewoli", 'Hub Users 226'!B:B, 0)),"")</f>
        <v>708</v>
      </c>
      <c r="H539" s="28">
        <v>1452.0</v>
      </c>
      <c r="I539" s="28" t="s">
        <v>1153</v>
      </c>
      <c r="J539" s="28"/>
      <c r="K539" s="28"/>
      <c r="L539" s="28" t="s">
        <v>5196</v>
      </c>
      <c r="M539" s="56" t="s">
        <v>8872</v>
      </c>
      <c r="N539" s="57">
        <v>44931.756944444445</v>
      </c>
      <c r="O539" s="58">
        <v>38247.0</v>
      </c>
      <c r="P539" s="28">
        <f t="shared" si="18"/>
        <v>21</v>
      </c>
      <c r="Q539" s="28" t="s">
        <v>240</v>
      </c>
      <c r="R539" s="28" t="s">
        <v>8873</v>
      </c>
      <c r="S539" s="28"/>
      <c r="T539" s="28"/>
      <c r="U539" s="28"/>
      <c r="V539" s="28"/>
      <c r="W539" s="28" t="s">
        <v>859</v>
      </c>
      <c r="X539" s="28" t="s">
        <v>272</v>
      </c>
      <c r="Y539" s="28" t="s">
        <v>8874</v>
      </c>
      <c r="Z539" s="28" t="s">
        <v>5435</v>
      </c>
      <c r="AA539" s="28" t="s">
        <v>5871</v>
      </c>
      <c r="AB539" s="28">
        <v>31.0</v>
      </c>
      <c r="AC539" s="28" t="s">
        <v>23</v>
      </c>
      <c r="AD539" s="23"/>
      <c r="AE539" s="28" t="s">
        <v>15</v>
      </c>
      <c r="AF539" s="23"/>
      <c r="AG539" s="23"/>
      <c r="AH539" s="23" t="str">
        <f>IFERROR(__xludf.DUMMYFUNCTION("IF(
ISNUMBER(MATCH(
C539,
IMPORTRANGE(""https://docs.google.com/spreadsheets/d/1yTh1ELC33JHYOeEdgIiEclxPRyh0zOKtlawDltfUay8"",""'Interns'!A:A""),
0
)),
""Outreach Conducted"",
"""")"),"")</f>
        <v/>
      </c>
      <c r="AI539" s="23"/>
      <c r="AJ539" s="23"/>
      <c r="AK539" s="23" t="str">
        <f>IFERROR(__xludf.DUMMYFUNCTION("XLOOKUP(C539, 
   IMPORTRANGE(""1RdEdgHYrZ33LJ7RUHj_h-qkAFL92bcVjtIdVa-UlsCw"", ""Interns!D:D""), 
   IMPORTRANGE(""1RdEdgHYrZ33LJ7RUHj_h-qkAFL92bcVjtIdVa-UlsCw"", ""Interns!M:M""), 
   ""Not Found"")"),"")</f>
        <v/>
      </c>
      <c r="AL539" s="23" t="str">
        <f>IFERROR(__xludf.DUMMYFUNCTION("XLOOKUP(C539, 
   IMPORTRANGE(""1RdEdgHYrZ33LJ7RUHj_h-qkAFL92bcVjtIdVa-UlsCw"", ""Interns!D:D""), 
   IMPORTRANGE(""1RdEdgHYrZ33LJ7RUHj_h-qkAFL92bcVjtIdVa-UlsCw"", ""Interns!N:N""), 
   ""Not Found"")"),"")</f>
        <v/>
      </c>
      <c r="AM539" s="23" t="str">
        <f>IFERROR(__xludf.DUMMYFUNCTION("XLOOKUP(C539, 
   IMPORTRANGE(""1RdEdgHYrZ33LJ7RUHj_h-qkAFL92bcVjtIdVa-UlsCw"", ""Interns!D:D""), 
   IMPORTRANGE(""1RdEdgHYrZ33LJ7RUHj_h-qkAFL92bcVjtIdVa-UlsCw"", ""Interns!O:O""), 
   ""Not Found"")"),"")</f>
        <v/>
      </c>
      <c r="AN539" s="23"/>
      <c r="AO539" s="23" t="s">
        <v>8875</v>
      </c>
      <c r="AP539" s="28" t="s">
        <v>5182</v>
      </c>
      <c r="AQ539" s="28"/>
      <c r="AR539" s="23"/>
      <c r="AS539" s="23"/>
      <c r="AT539" s="23"/>
      <c r="AU539" s="23"/>
      <c r="AV539" s="23"/>
    </row>
    <row r="540">
      <c r="A540" s="28" t="s">
        <v>5161</v>
      </c>
      <c r="B540" s="28" t="s">
        <v>5162</v>
      </c>
      <c r="C540" s="23" t="str">
        <f t="shared" si="1"/>
        <v>Christopher Bernal</v>
      </c>
      <c r="D540" s="28" t="s">
        <v>976</v>
      </c>
      <c r="E540" s="28" t="s">
        <v>4099</v>
      </c>
      <c r="F540" s="23">
        <f t="array" ref="F540">IFERROR(
    INDEX('Hub Interns 226'!A:A, MATCH(C540, 'Hub Interns 226'!B:B, 0)),"")</f>
        <v>79</v>
      </c>
      <c r="G540" s="23">
        <f t="array" ref="G540">IFERROR(
    INDEX('Hub Users 226'!A:A, MATCH(C540, 'Hub Users 226'!B:B, 0)),"")</f>
        <v>512</v>
      </c>
      <c r="H540" s="28">
        <v>1545.0</v>
      </c>
      <c r="I540" s="28" t="s">
        <v>1963</v>
      </c>
      <c r="J540" s="28" t="s">
        <v>5766</v>
      </c>
      <c r="K540" s="28" t="s">
        <v>5463</v>
      </c>
      <c r="L540" s="28" t="s">
        <v>5165</v>
      </c>
      <c r="M540" s="56" t="s">
        <v>8876</v>
      </c>
      <c r="N540" s="57">
        <v>44958.600694444445</v>
      </c>
      <c r="O540" s="58">
        <v>38684.0</v>
      </c>
      <c r="P540" s="28">
        <f t="shared" si="18"/>
        <v>20</v>
      </c>
      <c r="Q540" s="28" t="s">
        <v>240</v>
      </c>
      <c r="R540" s="28" t="s">
        <v>8877</v>
      </c>
      <c r="S540" s="28">
        <v>14.0</v>
      </c>
      <c r="T540" s="28">
        <v>12.0</v>
      </c>
      <c r="U540" s="28">
        <v>30.0</v>
      </c>
      <c r="V540" s="28">
        <v>25.0</v>
      </c>
      <c r="W540" s="28" t="s">
        <v>271</v>
      </c>
      <c r="X540" s="28" t="s">
        <v>272</v>
      </c>
      <c r="Y540" s="28" t="s">
        <v>8878</v>
      </c>
      <c r="Z540" s="28" t="s">
        <v>5259</v>
      </c>
      <c r="AA540" s="28" t="s">
        <v>704</v>
      </c>
      <c r="AB540" s="28">
        <v>2.0</v>
      </c>
      <c r="AC540" s="28" t="s">
        <v>23</v>
      </c>
      <c r="AD540" s="28" t="s">
        <v>101</v>
      </c>
      <c r="AE540" s="28" t="s">
        <v>15</v>
      </c>
      <c r="AF540" s="23"/>
      <c r="AG540" s="23"/>
      <c r="AH540" s="23" t="str">
        <f>IFERROR(__xludf.DUMMYFUNCTION("IF(
ISNUMBER(MATCH(
C540,
IMPORTRANGE(""https://docs.google.com/spreadsheets/d/1yTh1ELC33JHYOeEdgIiEclxPRyh0zOKtlawDltfUay8"",""'Interns'!A:A""),
0
)),
""Outreach Conducted"",
"""")"),"")</f>
        <v/>
      </c>
      <c r="AI540" s="23"/>
      <c r="AJ540" s="28" t="s">
        <v>8879</v>
      </c>
      <c r="AK540" s="23" t="str">
        <f>IFERROR(__xludf.DUMMYFUNCTION("XLOOKUP(C540, 
   IMPORTRANGE(""1RdEdgHYrZ33LJ7RUHj_h-qkAFL92bcVjtIdVa-UlsCw"", ""Interns!D:D""), 
   IMPORTRANGE(""1RdEdgHYrZ33LJ7RUHj_h-qkAFL92bcVjtIdVa-UlsCw"", ""Interns!M:M""), 
   ""Not Found"")"),"Contacted")</f>
        <v>Contacted</v>
      </c>
      <c r="AL540" s="23" t="str">
        <f>IFERROR(__xludf.DUMMYFUNCTION("XLOOKUP(C540, 
   IMPORTRANGE(""1RdEdgHYrZ33LJ7RUHj_h-qkAFL92bcVjtIdVa-UlsCw"", ""Interns!D:D""), 
   IMPORTRANGE(""1RdEdgHYrZ33LJ7RUHj_h-qkAFL92bcVjtIdVa-UlsCw"", ""Interns!N:N""), 
   ""Not Found"")"),"#Cheers4Careers")</f>
        <v>#Cheers4Careers</v>
      </c>
      <c r="AM540" s="23" t="str">
        <f>IFERROR(__xludf.DUMMYFUNCTION("XLOOKUP(C540, 
   IMPORTRANGE(""1RdEdgHYrZ33LJ7RUHj_h-qkAFL92bcVjtIdVa-UlsCw"", ""Interns!D:D""), 
   IMPORTRANGE(""1RdEdgHYrZ33LJ7RUHj_h-qkAFL92bcVjtIdVa-UlsCw"", ""Interns!O:O""), 
   ""Not Found"")"),"Ousmane reached out by email 3/26 and reach out by text 3/28")</f>
        <v>Ousmane reached out by email 3/26 and reach out by text 3/28</v>
      </c>
      <c r="AN540" s="23"/>
      <c r="AO540" s="23" t="s">
        <v>8880</v>
      </c>
      <c r="AP540" s="28" t="s">
        <v>5182</v>
      </c>
      <c r="AQ540" s="28"/>
      <c r="AR540" s="23"/>
      <c r="AS540" s="23"/>
      <c r="AT540" s="23"/>
      <c r="AU540" s="23"/>
      <c r="AV540" s="23"/>
    </row>
    <row r="541">
      <c r="A541" s="28" t="s">
        <v>5161</v>
      </c>
      <c r="B541" s="28" t="s">
        <v>5162</v>
      </c>
      <c r="C541" s="23" t="str">
        <f t="shared" si="1"/>
        <v>Eliseo Palacios</v>
      </c>
      <c r="D541" s="28" t="s">
        <v>8881</v>
      </c>
      <c r="E541" s="28" t="s">
        <v>8882</v>
      </c>
      <c r="F541" s="23">
        <f t="array" ref="F541">IFERROR(
    INDEX('Hub Interns 226'!A:A, MATCH(C541, 'Hub Interns 226'!B:B, 0)),"")</f>
        <v>39</v>
      </c>
      <c r="G541" s="23">
        <f t="array" ref="G541">IFERROR(
    INDEX('Hub Users 226'!A:A, MATCH(C541, 'Hub Users 226'!B:B, 0)),"")</f>
        <v>472</v>
      </c>
      <c r="H541" s="28">
        <v>920.0</v>
      </c>
      <c r="I541" s="28"/>
      <c r="J541" s="28" t="s">
        <v>2388</v>
      </c>
      <c r="K541" s="28" t="s">
        <v>5463</v>
      </c>
      <c r="L541" s="28" t="s">
        <v>5165</v>
      </c>
      <c r="M541" s="56" t="s">
        <v>8883</v>
      </c>
      <c r="N541" s="57">
        <v>44603.413194444445</v>
      </c>
      <c r="O541" s="58">
        <v>38635.0</v>
      </c>
      <c r="P541" s="28">
        <f t="shared" si="18"/>
        <v>20</v>
      </c>
      <c r="Q541" s="28" t="s">
        <v>240</v>
      </c>
      <c r="R541" s="28" t="s">
        <v>8884</v>
      </c>
      <c r="S541" s="28">
        <v>7.0</v>
      </c>
      <c r="T541" s="28">
        <v>18.0</v>
      </c>
      <c r="U541" s="28">
        <v>53.0</v>
      </c>
      <c r="V541" s="28">
        <v>37.0</v>
      </c>
      <c r="W541" s="28" t="s">
        <v>294</v>
      </c>
      <c r="X541" s="28" t="s">
        <v>272</v>
      </c>
      <c r="Y541" s="28" t="s">
        <v>8885</v>
      </c>
      <c r="Z541" s="28" t="s">
        <v>5259</v>
      </c>
      <c r="AA541" s="28" t="s">
        <v>704</v>
      </c>
      <c r="AB541" s="28">
        <v>2.0</v>
      </c>
      <c r="AC541" s="28" t="s">
        <v>24</v>
      </c>
      <c r="AD541" s="23"/>
      <c r="AE541" s="28" t="s">
        <v>10</v>
      </c>
      <c r="AF541" s="23"/>
      <c r="AG541" s="23"/>
      <c r="AH541" s="23" t="str">
        <f>IFERROR(__xludf.DUMMYFUNCTION("IF(
ISNUMBER(MATCH(
C541,
IMPORTRANGE(""https://docs.google.com/spreadsheets/d/1yTh1ELC33JHYOeEdgIiEclxPRyh0zOKtlawDltfUay8"",""'Interns'!A:A""),
0
)),
""Outreach Conducted"",
"""")"),"")</f>
        <v/>
      </c>
      <c r="AI541" s="23"/>
      <c r="AJ541" s="23"/>
      <c r="AK541" s="23" t="str">
        <f>IFERROR(__xludf.DUMMYFUNCTION("XLOOKUP(C541, 
   IMPORTRANGE(""1RdEdgHYrZ33LJ7RUHj_h-qkAFL92bcVjtIdVa-UlsCw"", ""Interns!D:D""), 
   IMPORTRANGE(""1RdEdgHYrZ33LJ7RUHj_h-qkAFL92bcVjtIdVa-UlsCw"", ""Interns!M:M""), 
   ""Not Found"")"),"Contacted")</f>
        <v>Contacted</v>
      </c>
      <c r="AL541" s="23" t="str">
        <f>IFERROR(__xludf.DUMMYFUNCTION("XLOOKUP(C541, 
   IMPORTRANGE(""1RdEdgHYrZ33LJ7RUHj_h-qkAFL92bcVjtIdVa-UlsCw"", ""Interns!D:D""), 
   IMPORTRANGE(""1RdEdgHYrZ33LJ7RUHj_h-qkAFL92bcVjtIdVa-UlsCw"", ""Interns!N:N""), 
   ""Not Found"")"),"#Cheers4Careers")</f>
        <v>#Cheers4Careers</v>
      </c>
      <c r="AM541" s="23" t="str">
        <f>IFERROR(__xludf.DUMMYFUNCTION("XLOOKUP(C541, 
   IMPORTRANGE(""1RdEdgHYrZ33LJ7RUHj_h-qkAFL92bcVjtIdVa-UlsCw"", ""Interns!D:D""), 
   IMPORTRANGE(""1RdEdgHYrZ33LJ7RUHj_h-qkAFL92bcVjtIdVa-UlsCw"", ""Interns!O:O""), 
   ""Not Found"")"),"Ousmane reached out by email 3/26 and reach out by text 3/28")</f>
        <v>Ousmane reached out by email 3/26 and reach out by text 3/28</v>
      </c>
      <c r="AN541" s="23"/>
      <c r="AO541" s="23" t="s">
        <v>8886</v>
      </c>
      <c r="AP541" s="28" t="s">
        <v>5182</v>
      </c>
      <c r="AQ541" s="28"/>
      <c r="AR541" s="23"/>
      <c r="AS541" s="23"/>
      <c r="AT541" s="23"/>
      <c r="AU541" s="23"/>
      <c r="AV541" s="23"/>
    </row>
    <row r="542">
      <c r="A542" s="28" t="s">
        <v>5161</v>
      </c>
      <c r="B542" s="28" t="s">
        <v>5162</v>
      </c>
      <c r="C542" s="23" t="str">
        <f t="shared" si="1"/>
        <v>Connie Tai</v>
      </c>
      <c r="D542" s="28" t="s">
        <v>837</v>
      </c>
      <c r="E542" s="28" t="s">
        <v>8887</v>
      </c>
      <c r="F542" s="23">
        <f t="array" ref="F542">IFERROR(
    INDEX('Hub Interns 226'!A:A, MATCH(C542, 'Hub Interns 226'!B:B, 0)),"")</f>
        <v>28</v>
      </c>
      <c r="G542" s="23">
        <f t="array" ref="G542">IFERROR(
    INDEX('Hub Users 226'!A:A, MATCH(C542, 'Hub Users 226'!B:B, 0)),"")</f>
        <v>461</v>
      </c>
      <c r="H542" s="28">
        <v>1154.0</v>
      </c>
      <c r="I542" s="28" t="s">
        <v>290</v>
      </c>
      <c r="J542" s="28"/>
      <c r="K542" s="28"/>
      <c r="L542" s="28" t="s">
        <v>5196</v>
      </c>
      <c r="M542" s="56" t="s">
        <v>8888</v>
      </c>
      <c r="N542" s="57">
        <v>44749.89236111111</v>
      </c>
      <c r="O542" s="58">
        <v>37160.0</v>
      </c>
      <c r="P542" s="28">
        <f t="shared" si="18"/>
        <v>24</v>
      </c>
      <c r="Q542" s="28" t="s">
        <v>240</v>
      </c>
      <c r="R542" s="28" t="s">
        <v>8889</v>
      </c>
      <c r="S542" s="28">
        <v>10.0</v>
      </c>
      <c r="T542" s="28">
        <v>17.0</v>
      </c>
      <c r="U542" s="28">
        <v>49.0</v>
      </c>
      <c r="V542" s="28">
        <v>43.0</v>
      </c>
      <c r="W542" s="28" t="s">
        <v>294</v>
      </c>
      <c r="X542" s="28" t="s">
        <v>272</v>
      </c>
      <c r="Y542" s="28" t="s">
        <v>8890</v>
      </c>
      <c r="Z542" s="28" t="s">
        <v>5259</v>
      </c>
      <c r="AA542" s="28" t="s">
        <v>704</v>
      </c>
      <c r="AB542" s="28">
        <v>2.0</v>
      </c>
      <c r="AC542" s="28" t="s">
        <v>23</v>
      </c>
      <c r="AD542" s="23"/>
      <c r="AE542" s="28" t="s">
        <v>15</v>
      </c>
      <c r="AF542" s="23"/>
      <c r="AG542" s="23"/>
      <c r="AH542" s="23" t="str">
        <f>IFERROR(__xludf.DUMMYFUNCTION("IF(
ISNUMBER(MATCH(
C542,
IMPORTRANGE(""https://docs.google.com/spreadsheets/d/1yTh1ELC33JHYOeEdgIiEclxPRyh0zOKtlawDltfUay8"",""'Interns'!A:A""),
0
)),
""Outreach Conducted"",
"""")"),"")</f>
        <v/>
      </c>
      <c r="AI542" s="23"/>
      <c r="AJ542" s="28" t="s">
        <v>8891</v>
      </c>
      <c r="AK542" s="23" t="str">
        <f>IFERROR(__xludf.DUMMYFUNCTION("XLOOKUP(C542, 
   IMPORTRANGE(""1RdEdgHYrZ33LJ7RUHj_h-qkAFL92bcVjtIdVa-UlsCw"", ""Interns!D:D""), 
   IMPORTRANGE(""1RdEdgHYrZ33LJ7RUHj_h-qkAFL92bcVjtIdVa-UlsCw"", ""Interns!M:M""), 
   ""Not Found"")"),"Contacted")</f>
        <v>Contacted</v>
      </c>
      <c r="AL542" s="23" t="str">
        <f>IFERROR(__xludf.DUMMYFUNCTION("XLOOKUP(C542, 
   IMPORTRANGE(""1RdEdgHYrZ33LJ7RUHj_h-qkAFL92bcVjtIdVa-UlsCw"", ""Interns!D:D""), 
   IMPORTRANGE(""1RdEdgHYrZ33LJ7RUHj_h-qkAFL92bcVjtIdVa-UlsCw"", ""Interns!N:N""), 
   ""Not Found"")"),"#Cheers4Careers")</f>
        <v>#Cheers4Careers</v>
      </c>
      <c r="AM542" s="23" t="str">
        <f>IFERROR(__xludf.DUMMYFUNCTION("XLOOKUP(C542, 
   IMPORTRANGE(""1RdEdgHYrZ33LJ7RUHj_h-qkAFL92bcVjtIdVa-UlsCw"", ""Interns!D:D""), 
   IMPORTRANGE(""1RdEdgHYrZ33LJ7RUHj_h-qkAFL92bcVjtIdVa-UlsCw"", ""Interns!O:O""), 
   ""Not Found"")"),"Ousmane reached out by email 3/26 and reach out by text 3/28")</f>
        <v>Ousmane reached out by email 3/26 and reach out by text 3/28</v>
      </c>
      <c r="AN542" s="23"/>
      <c r="AO542" s="23" t="s">
        <v>8892</v>
      </c>
      <c r="AP542" s="28" t="s">
        <v>5182</v>
      </c>
      <c r="AQ542" s="28"/>
      <c r="AR542" s="23"/>
      <c r="AS542" s="23"/>
      <c r="AT542" s="23"/>
      <c r="AU542" s="23"/>
      <c r="AV542" s="23"/>
    </row>
    <row r="543">
      <c r="A543" s="28" t="s">
        <v>5161</v>
      </c>
      <c r="B543" s="28" t="s">
        <v>31</v>
      </c>
      <c r="C543" s="23" t="str">
        <f t="shared" si="1"/>
        <v>Cynthia Pilatasig</v>
      </c>
      <c r="D543" s="28" t="s">
        <v>8893</v>
      </c>
      <c r="E543" s="28" t="s">
        <v>8894</v>
      </c>
      <c r="F543" s="23">
        <f t="array" ref="F543">IFERROR(
    INDEX('Hub Interns 226'!A:A, MATCH("Cynthia. Pilatasig", 'Hub Interns 226'!B:B, 0)),"")</f>
        <v>81</v>
      </c>
      <c r="G543" s="23">
        <f t="array" ref="G543">IFERROR(
    INDEX('Hub Users 226'!A:A, MATCH("Cynthia. Pilatasig", 'Hub Users 226'!B:B, 0)),"")</f>
        <v>514</v>
      </c>
      <c r="H543" s="28">
        <v>1149.0</v>
      </c>
      <c r="I543" s="28" t="s">
        <v>107</v>
      </c>
      <c r="J543" s="28"/>
      <c r="K543" s="28"/>
      <c r="L543" s="28" t="s">
        <v>5196</v>
      </c>
      <c r="M543" s="56" t="s">
        <v>8895</v>
      </c>
      <c r="N543" s="57">
        <v>44749.55</v>
      </c>
      <c r="O543" s="58">
        <v>38341.0</v>
      </c>
      <c r="P543" s="28">
        <f t="shared" si="18"/>
        <v>21</v>
      </c>
      <c r="Q543" s="28" t="s">
        <v>240</v>
      </c>
      <c r="R543" s="28" t="s">
        <v>8896</v>
      </c>
      <c r="S543" s="28"/>
      <c r="T543" s="28"/>
      <c r="U543" s="28"/>
      <c r="V543" s="28"/>
      <c r="W543" s="28" t="s">
        <v>294</v>
      </c>
      <c r="X543" s="28" t="s">
        <v>272</v>
      </c>
      <c r="Y543" s="28" t="s">
        <v>8897</v>
      </c>
      <c r="Z543" s="28" t="s">
        <v>5259</v>
      </c>
      <c r="AA543" s="28" t="s">
        <v>704</v>
      </c>
      <c r="AB543" s="28">
        <v>2.0</v>
      </c>
      <c r="AC543" s="28" t="s">
        <v>23</v>
      </c>
      <c r="AD543" s="28"/>
      <c r="AE543" s="28" t="s">
        <v>15</v>
      </c>
      <c r="AF543" s="23"/>
      <c r="AG543" s="23"/>
      <c r="AH543" s="23" t="str">
        <f>IFERROR(__xludf.DUMMYFUNCTION("IF(
ISNUMBER(MATCH(
C543,
IMPORTRANGE(""https://docs.google.com/spreadsheets/d/1yTh1ELC33JHYOeEdgIiEclxPRyh0zOKtlawDltfUay8"",""'Interns'!A:A""),
0
)),
""Outreach Conducted"",
"""")"),"")</f>
        <v/>
      </c>
      <c r="AI543" s="23"/>
      <c r="AJ543" s="23"/>
      <c r="AK543" s="23" t="str">
        <f>IFERROR(__xludf.DUMMYFUNCTION("XLOOKUP(C543, 
   IMPORTRANGE(""1RdEdgHYrZ33LJ7RUHj_h-qkAFL92bcVjtIdVa-UlsCw"", ""Interns!D:D""), 
   IMPORTRANGE(""1RdEdgHYrZ33LJ7RUHj_h-qkAFL92bcVjtIdVa-UlsCw"", ""Interns!M:M""), 
   ""Not Found"")"),"Contacted")</f>
        <v>Contacted</v>
      </c>
      <c r="AL543" s="23" t="str">
        <f>IFERROR(__xludf.DUMMYFUNCTION("XLOOKUP(C543, 
   IMPORTRANGE(""1RdEdgHYrZ33LJ7RUHj_h-qkAFL92bcVjtIdVa-UlsCw"", ""Interns!D:D""), 
   IMPORTRANGE(""1RdEdgHYrZ33LJ7RUHj_h-qkAFL92bcVjtIdVa-UlsCw"", ""Interns!N:N""), 
   ""Not Found"")"),"#Cheers4Careers")</f>
        <v>#Cheers4Careers</v>
      </c>
      <c r="AM543" s="23" t="str">
        <f>IFERROR(__xludf.DUMMYFUNCTION("XLOOKUP(C543, 
   IMPORTRANGE(""1RdEdgHYrZ33LJ7RUHj_h-qkAFL92bcVjtIdVa-UlsCw"", ""Interns!D:D""), 
   IMPORTRANGE(""1RdEdgHYrZ33LJ7RUHj_h-qkAFL92bcVjtIdVa-UlsCw"", ""Interns!O:O""), 
   ""Not Found"")"),"Ousmane reached out by email 3/26 and reach out by text 3/28")</f>
        <v>Ousmane reached out by email 3/26 and reach out by text 3/28</v>
      </c>
      <c r="AN543" s="23"/>
      <c r="AO543" s="23" t="s">
        <v>8898</v>
      </c>
      <c r="AP543" s="28" t="s">
        <v>5182</v>
      </c>
      <c r="AQ543" s="28"/>
      <c r="AR543" s="23"/>
      <c r="AS543" s="23"/>
      <c r="AT543" s="23"/>
      <c r="AU543" s="23"/>
      <c r="AV543" s="23"/>
    </row>
    <row r="544">
      <c r="A544" s="28" t="s">
        <v>5161</v>
      </c>
      <c r="B544" s="28" t="s">
        <v>5162</v>
      </c>
      <c r="C544" s="23" t="str">
        <f t="shared" si="1"/>
        <v>Cynthia. Pilatasig</v>
      </c>
      <c r="D544" s="28" t="s">
        <v>8899</v>
      </c>
      <c r="E544" s="28" t="s">
        <v>8894</v>
      </c>
      <c r="F544" s="23">
        <f t="array" ref="F544">IFERROR(
    INDEX('Hub Interns 226'!A:A, MATCH("Cynthia. Pilatasig", 'Hub Interns 226'!B:B, 0)),"")</f>
        <v>81</v>
      </c>
      <c r="G544" s="23">
        <f t="array" ref="G544">IFERROR(
    INDEX('Hub Users 226'!A:A, MATCH("Cynthia. Pilatasig", 'Hub Users 226'!B:B, 0)),"")</f>
        <v>514</v>
      </c>
      <c r="H544" s="28">
        <v>1541.0</v>
      </c>
      <c r="I544" s="28" t="s">
        <v>260</v>
      </c>
      <c r="J544" s="28" t="s">
        <v>2388</v>
      </c>
      <c r="K544" s="28" t="s">
        <v>5463</v>
      </c>
      <c r="L544" s="28" t="s">
        <v>5196</v>
      </c>
      <c r="M544" s="56" t="s">
        <v>8895</v>
      </c>
      <c r="N544" s="57">
        <v>44958.597916666666</v>
      </c>
      <c r="O544" s="58">
        <v>38341.0</v>
      </c>
      <c r="P544" s="28">
        <f t="shared" si="18"/>
        <v>21</v>
      </c>
      <c r="Q544" s="28" t="s">
        <v>8900</v>
      </c>
      <c r="R544" s="28" t="s">
        <v>8896</v>
      </c>
      <c r="S544" s="28">
        <v>7.0</v>
      </c>
      <c r="T544" s="28">
        <v>18.0</v>
      </c>
      <c r="U544" s="28">
        <v>53.0</v>
      </c>
      <c r="V544" s="28">
        <v>34.0</v>
      </c>
      <c r="W544" s="28" t="s">
        <v>294</v>
      </c>
      <c r="X544" s="28" t="s">
        <v>272</v>
      </c>
      <c r="Y544" s="28" t="s">
        <v>8897</v>
      </c>
      <c r="Z544" s="28" t="s">
        <v>5259</v>
      </c>
      <c r="AA544" s="28" t="s">
        <v>704</v>
      </c>
      <c r="AB544" s="28">
        <v>2.0</v>
      </c>
      <c r="AC544" s="28" t="s">
        <v>23</v>
      </c>
      <c r="AD544" s="23"/>
      <c r="AE544" s="28" t="s">
        <v>15</v>
      </c>
      <c r="AF544" s="23"/>
      <c r="AG544" s="23"/>
      <c r="AH544" s="23" t="str">
        <f>IFERROR(__xludf.DUMMYFUNCTION("IF(
ISNUMBER(MATCH(
C544,
IMPORTRANGE(""https://docs.google.com/spreadsheets/d/1yTh1ELC33JHYOeEdgIiEclxPRyh0zOKtlawDltfUay8"",""'Interns'!A:A""),
0
)),
""Outreach Conducted"",
"""")"),"")</f>
        <v/>
      </c>
      <c r="AI544" s="23"/>
      <c r="AJ544" s="23"/>
      <c r="AK544" s="23" t="str">
        <f>IFERROR(__xludf.DUMMYFUNCTION("XLOOKUP(C544, 
   IMPORTRANGE(""1RdEdgHYrZ33LJ7RUHj_h-qkAFL92bcVjtIdVa-UlsCw"", ""Interns!D:D""), 
   IMPORTRANGE(""1RdEdgHYrZ33LJ7RUHj_h-qkAFL92bcVjtIdVa-UlsCw"", ""Interns!M:M""), 
   ""Not Found"")"),"")</f>
        <v/>
      </c>
      <c r="AL544" s="23" t="str">
        <f>IFERROR(__xludf.DUMMYFUNCTION("XLOOKUP(C544, 
   IMPORTRANGE(""1RdEdgHYrZ33LJ7RUHj_h-qkAFL92bcVjtIdVa-UlsCw"", ""Interns!D:D""), 
   IMPORTRANGE(""1RdEdgHYrZ33LJ7RUHj_h-qkAFL92bcVjtIdVa-UlsCw"", ""Interns!N:N""), 
   ""Not Found"")"),"")</f>
        <v/>
      </c>
      <c r="AM544" s="23" t="str">
        <f>IFERROR(__xludf.DUMMYFUNCTION("XLOOKUP(C544, 
   IMPORTRANGE(""1RdEdgHYrZ33LJ7RUHj_h-qkAFL92bcVjtIdVa-UlsCw"", ""Interns!D:D""), 
   IMPORTRANGE(""1RdEdgHYrZ33LJ7RUHj_h-qkAFL92bcVjtIdVa-UlsCw"", ""Interns!O:O""), 
   ""Not Found"")"),"")</f>
        <v/>
      </c>
      <c r="AN544" s="23"/>
      <c r="AO544" s="23" t="s">
        <v>8898</v>
      </c>
      <c r="AP544" s="28" t="s">
        <v>5182</v>
      </c>
      <c r="AQ544" s="28"/>
      <c r="AR544" s="23"/>
      <c r="AS544" s="23"/>
      <c r="AT544" s="23"/>
      <c r="AU544" s="23"/>
      <c r="AV544" s="23"/>
    </row>
    <row r="545">
      <c r="A545" s="28" t="s">
        <v>5202</v>
      </c>
      <c r="B545" s="28" t="s">
        <v>5162</v>
      </c>
      <c r="C545" s="23" t="str">
        <f t="shared" si="1"/>
        <v>Romina Torres</v>
      </c>
      <c r="D545" s="28" t="s">
        <v>2943</v>
      </c>
      <c r="E545" s="28" t="s">
        <v>6739</v>
      </c>
      <c r="F545" s="23">
        <f t="array" ref="F545">IFERROR(
    INDEX('Hub Interns 226'!A:A, MATCH(C545, 'Hub Interns 226'!B:B, 0)),"")</f>
        <v>1137</v>
      </c>
      <c r="G545" s="23">
        <f t="array" ref="G545">IFERROR(
    INDEX('Hub Users 226'!A:A, MATCH(C545, 'Hub Users 226'!B:B, 0)),"")</f>
        <v>1570</v>
      </c>
      <c r="H545" s="28">
        <v>898.0</v>
      </c>
      <c r="I545" s="28" t="s">
        <v>260</v>
      </c>
      <c r="J545" s="28" t="s">
        <v>2388</v>
      </c>
      <c r="K545" s="28" t="s">
        <v>5463</v>
      </c>
      <c r="L545" s="28" t="s">
        <v>5196</v>
      </c>
      <c r="M545" s="56" t="s">
        <v>8901</v>
      </c>
      <c r="N545" s="57">
        <v>44601.53402777778</v>
      </c>
      <c r="O545" s="58">
        <v>38801.0</v>
      </c>
      <c r="P545" s="28">
        <f t="shared" si="18"/>
        <v>20</v>
      </c>
      <c r="Q545" s="28" t="s">
        <v>240</v>
      </c>
      <c r="R545" s="28" t="s">
        <v>8902</v>
      </c>
      <c r="S545" s="28">
        <v>6.0</v>
      </c>
      <c r="T545" s="28">
        <v>12.0</v>
      </c>
      <c r="U545" s="28">
        <v>37.0</v>
      </c>
      <c r="V545" s="28">
        <v>30.0</v>
      </c>
      <c r="W545" s="28" t="s">
        <v>1173</v>
      </c>
      <c r="X545" s="28" t="s">
        <v>272</v>
      </c>
      <c r="Y545" s="28" t="s">
        <v>8903</v>
      </c>
      <c r="Z545" s="28" t="s">
        <v>5189</v>
      </c>
      <c r="AA545" s="28" t="s">
        <v>619</v>
      </c>
      <c r="AB545" s="28">
        <v>20.0</v>
      </c>
      <c r="AC545" s="28" t="s">
        <v>24</v>
      </c>
      <c r="AD545" s="23"/>
      <c r="AE545" s="28" t="s">
        <v>10</v>
      </c>
      <c r="AF545" s="23"/>
      <c r="AG545" s="23"/>
      <c r="AH545" s="23" t="str">
        <f>IFERROR(__xludf.DUMMYFUNCTION("IF(
ISNUMBER(MATCH(
C545,
IMPORTRANGE(""https://docs.google.com/spreadsheets/d/1yTh1ELC33JHYOeEdgIiEclxPRyh0zOKtlawDltfUay8"",""'Interns'!A:A""),
0
)),
""Outreach Conducted"",
"""")"),"")</f>
        <v/>
      </c>
      <c r="AI545" s="23"/>
      <c r="AJ545" s="23"/>
      <c r="AK545" s="23" t="str">
        <f>IFERROR(__xludf.DUMMYFUNCTION("XLOOKUP(C545, 
   IMPORTRANGE(""1RdEdgHYrZ33LJ7RUHj_h-qkAFL92bcVjtIdVa-UlsCw"", ""Interns!D:D""), 
   IMPORTRANGE(""1RdEdgHYrZ33LJ7RUHj_h-qkAFL92bcVjtIdVa-UlsCw"", ""Interns!M:M""), 
   ""Not Found"")"),"")</f>
        <v/>
      </c>
      <c r="AL545" s="23" t="str">
        <f>IFERROR(__xludf.DUMMYFUNCTION("XLOOKUP(C545, 
   IMPORTRANGE(""1RdEdgHYrZ33LJ7RUHj_h-qkAFL92bcVjtIdVa-UlsCw"", ""Interns!D:D""), 
   IMPORTRANGE(""1RdEdgHYrZ33LJ7RUHj_h-qkAFL92bcVjtIdVa-UlsCw"", ""Interns!N:N""), 
   ""Not Found"")"),"")</f>
        <v/>
      </c>
      <c r="AM545" s="23" t="str">
        <f>IFERROR(__xludf.DUMMYFUNCTION("XLOOKUP(C545, 
   IMPORTRANGE(""1RdEdgHYrZ33LJ7RUHj_h-qkAFL92bcVjtIdVa-UlsCw"", ""Interns!D:D""), 
   IMPORTRANGE(""1RdEdgHYrZ33LJ7RUHj_h-qkAFL92bcVjtIdVa-UlsCw"", ""Interns!O:O""), 
   ""Not Found"")"),"")</f>
        <v/>
      </c>
      <c r="AN545" s="23"/>
      <c r="AO545" s="23" t="s">
        <v>8904</v>
      </c>
      <c r="AP545" s="28" t="s">
        <v>5182</v>
      </c>
      <c r="AQ545" s="28"/>
      <c r="AR545" s="23"/>
      <c r="AS545" s="23"/>
      <c r="AT545" s="23"/>
      <c r="AU545" s="23"/>
      <c r="AV545" s="23"/>
    </row>
    <row r="546">
      <c r="A546" s="28" t="s">
        <v>5161</v>
      </c>
      <c r="B546" s="28" t="s">
        <v>5162</v>
      </c>
      <c r="C546" s="23" t="str">
        <f t="shared" si="1"/>
        <v>Diarra Fall</v>
      </c>
      <c r="D546" s="28" t="s">
        <v>8905</v>
      </c>
      <c r="E546" s="28" t="s">
        <v>8906</v>
      </c>
      <c r="F546" s="23">
        <f t="array" ref="F546">IFERROR(
    INDEX('Hub Interns 226'!A:A, MATCH(C546, 'Hub Interns 226'!B:B, 0)),"")</f>
        <v>82</v>
      </c>
      <c r="G546" s="23">
        <f t="array" ref="G546">IFERROR(
    INDEX('Hub Users 226'!A:A, MATCH(C546, 'Hub Users 226'!B:B, 0)),"")</f>
        <v>515</v>
      </c>
      <c r="H546" s="28">
        <v>1163.0</v>
      </c>
      <c r="I546" s="28" t="s">
        <v>239</v>
      </c>
      <c r="J546" s="28" t="s">
        <v>8907</v>
      </c>
      <c r="K546" s="28" t="s">
        <v>5245</v>
      </c>
      <c r="L546" s="28" t="s">
        <v>5196</v>
      </c>
      <c r="M546" s="56" t="s">
        <v>8908</v>
      </c>
      <c r="N546" s="57">
        <v>44753.69930555556</v>
      </c>
      <c r="O546" s="58">
        <v>38802.0</v>
      </c>
      <c r="P546" s="28">
        <f t="shared" si="18"/>
        <v>20</v>
      </c>
      <c r="Q546" s="28" t="s">
        <v>240</v>
      </c>
      <c r="R546" s="28" t="s">
        <v>8909</v>
      </c>
      <c r="S546" s="28">
        <v>12.0</v>
      </c>
      <c r="T546" s="28">
        <v>28.0</v>
      </c>
      <c r="U546" s="28">
        <v>75.0</v>
      </c>
      <c r="V546" s="28">
        <v>3.0</v>
      </c>
      <c r="W546" s="28" t="s">
        <v>271</v>
      </c>
      <c r="X546" s="28" t="s">
        <v>272</v>
      </c>
      <c r="Y546" s="28" t="s">
        <v>8910</v>
      </c>
      <c r="Z546" s="28" t="s">
        <v>5259</v>
      </c>
      <c r="AA546" s="28" t="s">
        <v>704</v>
      </c>
      <c r="AB546" s="28">
        <v>2.0</v>
      </c>
      <c r="AC546" s="28" t="s">
        <v>23</v>
      </c>
      <c r="AD546" s="28" t="s">
        <v>101</v>
      </c>
      <c r="AE546" s="28" t="s">
        <v>15</v>
      </c>
      <c r="AF546" s="23"/>
      <c r="AG546" s="23"/>
      <c r="AH546" s="23" t="str">
        <f>IFERROR(__xludf.DUMMYFUNCTION("IF(
ISNUMBER(MATCH(
C546,
IMPORTRANGE(""https://docs.google.com/spreadsheets/d/1yTh1ELC33JHYOeEdgIiEclxPRyh0zOKtlawDltfUay8"",""'Interns'!A:A""),
0
)),
""Outreach Conducted"",
"""")"),"")</f>
        <v/>
      </c>
      <c r="AI546" s="23"/>
      <c r="AJ546" s="23"/>
      <c r="AK546" s="23" t="str">
        <f>IFERROR(__xludf.DUMMYFUNCTION("XLOOKUP(C546, 
   IMPORTRANGE(""1RdEdgHYrZ33LJ7RUHj_h-qkAFL92bcVjtIdVa-UlsCw"", ""Interns!D:D""), 
   IMPORTRANGE(""1RdEdgHYrZ33LJ7RUHj_h-qkAFL92bcVjtIdVa-UlsCw"", ""Interns!M:M""), 
   ""Not Found"")"),"")</f>
        <v/>
      </c>
      <c r="AL546" s="23" t="str">
        <f>IFERROR(__xludf.DUMMYFUNCTION("XLOOKUP(C546, 
   IMPORTRANGE(""1RdEdgHYrZ33LJ7RUHj_h-qkAFL92bcVjtIdVa-UlsCw"", ""Interns!D:D""), 
   IMPORTRANGE(""1RdEdgHYrZ33LJ7RUHj_h-qkAFL92bcVjtIdVa-UlsCw"", ""Interns!N:N""), 
   ""Not Found"")"),"")</f>
        <v/>
      </c>
      <c r="AM546" s="23" t="str">
        <f>IFERROR(__xludf.DUMMYFUNCTION("XLOOKUP(C546, 
   IMPORTRANGE(""1RdEdgHYrZ33LJ7RUHj_h-qkAFL92bcVjtIdVa-UlsCw"", ""Interns!D:D""), 
   IMPORTRANGE(""1RdEdgHYrZ33LJ7RUHj_h-qkAFL92bcVjtIdVa-UlsCw"", ""Interns!O:O""), 
   ""Not Found"")"),"")</f>
        <v/>
      </c>
      <c r="AN546" s="23"/>
      <c r="AO546" s="23" t="s">
        <v>8911</v>
      </c>
      <c r="AP546" s="28" t="s">
        <v>5182</v>
      </c>
      <c r="AQ546" s="28"/>
      <c r="AR546" s="23"/>
      <c r="AS546" s="23"/>
      <c r="AT546" s="23"/>
      <c r="AU546" s="23"/>
      <c r="AV546" s="23"/>
    </row>
    <row r="547">
      <c r="A547" s="28" t="s">
        <v>5202</v>
      </c>
      <c r="B547" s="28" t="s">
        <v>31</v>
      </c>
      <c r="C547" s="23" t="str">
        <f t="shared" si="1"/>
        <v>Elian Duarte</v>
      </c>
      <c r="D547" s="28" t="s">
        <v>8912</v>
      </c>
      <c r="E547" s="28" t="s">
        <v>1698</v>
      </c>
      <c r="F547" s="23">
        <f t="array" ref="F547">IFERROR(
    INDEX('Hub Interns 226'!A:A, MATCH(C547, 'Hub Interns 226'!B:B, 0)),"")</f>
        <v>477</v>
      </c>
      <c r="G547" s="23">
        <f t="array" ref="G547">IFERROR(
    INDEX('Hub Users 226'!A:A, MATCH(C547, 'Hub Users 226'!B:B, 0)),"")</f>
        <v>910</v>
      </c>
      <c r="H547" s="28">
        <v>926.0</v>
      </c>
      <c r="I547" s="28" t="s">
        <v>239</v>
      </c>
      <c r="J547" s="28"/>
      <c r="K547" s="28"/>
      <c r="L547" s="28" t="s">
        <v>5165</v>
      </c>
      <c r="M547" s="56" t="s">
        <v>8913</v>
      </c>
      <c r="N547" s="57">
        <v>44603.47430555556</v>
      </c>
      <c r="O547" s="58">
        <v>38448.0</v>
      </c>
      <c r="P547" s="28">
        <f t="shared" si="18"/>
        <v>21</v>
      </c>
      <c r="Q547" s="28" t="s">
        <v>240</v>
      </c>
      <c r="R547" s="28" t="s">
        <v>8914</v>
      </c>
      <c r="S547" s="28"/>
      <c r="T547" s="28"/>
      <c r="U547" s="28"/>
      <c r="V547" s="28"/>
      <c r="W547" s="23"/>
      <c r="X547" s="23"/>
      <c r="Y547" s="28" t="s">
        <v>8915</v>
      </c>
      <c r="Z547" s="28" t="s">
        <v>5208</v>
      </c>
      <c r="AA547" s="28" t="s">
        <v>2141</v>
      </c>
      <c r="AB547" s="28">
        <v>8.0</v>
      </c>
      <c r="AC547" s="28" t="s">
        <v>28</v>
      </c>
      <c r="AD547" s="23"/>
      <c r="AE547" s="28" t="s">
        <v>10</v>
      </c>
      <c r="AF547" s="23"/>
      <c r="AG547" s="23"/>
      <c r="AH547" s="23" t="str">
        <f>IFERROR(__xludf.DUMMYFUNCTION("IF(
ISNUMBER(MATCH(
C547,
IMPORTRANGE(""https://docs.google.com/spreadsheets/d/1yTh1ELC33JHYOeEdgIiEclxPRyh0zOKtlawDltfUay8"",""'Interns'!A:A""),
0
)),
""Outreach Conducted"",
"""")"),"")</f>
        <v/>
      </c>
      <c r="AI547" s="23"/>
      <c r="AJ547" s="23"/>
      <c r="AK547" s="23" t="str">
        <f>IFERROR(__xludf.DUMMYFUNCTION("XLOOKUP(C547, 
   IMPORTRANGE(""1RdEdgHYrZ33LJ7RUHj_h-qkAFL92bcVjtIdVa-UlsCw"", ""Interns!D:D""), 
   IMPORTRANGE(""1RdEdgHYrZ33LJ7RUHj_h-qkAFL92bcVjtIdVa-UlsCw"", ""Interns!M:M""), 
   ""Not Found"")"),"")</f>
        <v/>
      </c>
      <c r="AL547" s="23" t="str">
        <f>IFERROR(__xludf.DUMMYFUNCTION("XLOOKUP(C547, 
   IMPORTRANGE(""1RdEdgHYrZ33LJ7RUHj_h-qkAFL92bcVjtIdVa-UlsCw"", ""Interns!D:D""), 
   IMPORTRANGE(""1RdEdgHYrZ33LJ7RUHj_h-qkAFL92bcVjtIdVa-UlsCw"", ""Interns!N:N""), 
   ""Not Found"")"),"")</f>
        <v/>
      </c>
      <c r="AM547" s="23" t="str">
        <f>IFERROR(__xludf.DUMMYFUNCTION("XLOOKUP(C547, 
   IMPORTRANGE(""1RdEdgHYrZ33LJ7RUHj_h-qkAFL92bcVjtIdVa-UlsCw"", ""Interns!D:D""), 
   IMPORTRANGE(""1RdEdgHYrZ33LJ7RUHj_h-qkAFL92bcVjtIdVa-UlsCw"", ""Interns!O:O""), 
   ""Not Found"")"),"")</f>
        <v/>
      </c>
      <c r="AN547" s="23"/>
      <c r="AO547" s="23" t="s">
        <v>8916</v>
      </c>
      <c r="AP547" s="28" t="s">
        <v>5173</v>
      </c>
      <c r="AQ547" s="28"/>
      <c r="AR547" s="23"/>
      <c r="AS547" s="23"/>
      <c r="AT547" s="23"/>
      <c r="AU547" s="23"/>
      <c r="AV547" s="23"/>
    </row>
    <row r="548">
      <c r="A548" s="28" t="s">
        <v>5202</v>
      </c>
      <c r="B548" s="28" t="s">
        <v>5162</v>
      </c>
      <c r="C548" s="23" t="str">
        <f t="shared" si="1"/>
        <v>Scarlet Mieles</v>
      </c>
      <c r="D548" s="28" t="s">
        <v>8917</v>
      </c>
      <c r="E548" s="28" t="s">
        <v>8918</v>
      </c>
      <c r="F548" s="23">
        <f t="array" ref="F548">IFERROR(
    INDEX('Hub Interns 226'!A:A, MATCH(C548, 'Hub Interns 226'!B:B, 0)),"")</f>
        <v>813</v>
      </c>
      <c r="G548" s="23">
        <f t="array" ref="G548">IFERROR(
    INDEX('Hub Users 226'!A:A, MATCH(C548, 'Hub Users 226'!B:B, 0)),"")</f>
        <v>1246</v>
      </c>
      <c r="H548" s="28">
        <v>900.0</v>
      </c>
      <c r="I548" s="28" t="s">
        <v>260</v>
      </c>
      <c r="J548" s="28" t="s">
        <v>2388</v>
      </c>
      <c r="K548" s="28" t="s">
        <v>5463</v>
      </c>
      <c r="L548" s="28" t="s">
        <v>5196</v>
      </c>
      <c r="M548" s="56" t="s">
        <v>8919</v>
      </c>
      <c r="N548" s="57">
        <v>44601.53472222222</v>
      </c>
      <c r="O548" s="58">
        <v>39018.0</v>
      </c>
      <c r="P548" s="28">
        <f t="shared" si="18"/>
        <v>19</v>
      </c>
      <c r="Q548" s="28" t="s">
        <v>8920</v>
      </c>
      <c r="R548" s="28" t="s">
        <v>8921</v>
      </c>
      <c r="S548" s="28">
        <v>6.0</v>
      </c>
      <c r="T548" s="28">
        <v>13.0</v>
      </c>
      <c r="U548" s="28">
        <v>39.0</v>
      </c>
      <c r="V548" s="28">
        <v>25.0</v>
      </c>
      <c r="W548" s="28" t="s">
        <v>1173</v>
      </c>
      <c r="X548" s="28" t="s">
        <v>272</v>
      </c>
      <c r="Y548" s="28" t="s">
        <v>8922</v>
      </c>
      <c r="Z548" s="28" t="s">
        <v>5189</v>
      </c>
      <c r="AA548" s="28" t="s">
        <v>619</v>
      </c>
      <c r="AB548" s="28">
        <v>20.0</v>
      </c>
      <c r="AC548" s="28" t="s">
        <v>24</v>
      </c>
      <c r="AD548" s="23"/>
      <c r="AE548" s="28" t="s">
        <v>10</v>
      </c>
      <c r="AF548" s="23"/>
      <c r="AG548" s="23"/>
      <c r="AH548" s="23" t="str">
        <f>IFERROR(__xludf.DUMMYFUNCTION("IF(
ISNUMBER(MATCH(
C548,
IMPORTRANGE(""https://docs.google.com/spreadsheets/d/1yTh1ELC33JHYOeEdgIiEclxPRyh0zOKtlawDltfUay8"",""'Interns'!A:A""),
0
)),
""Outreach Conducted"",
"""")"),"")</f>
        <v/>
      </c>
      <c r="AI548" s="23"/>
      <c r="AJ548" s="23"/>
      <c r="AK548" s="23" t="str">
        <f>IFERROR(__xludf.DUMMYFUNCTION("XLOOKUP(C548, 
   IMPORTRANGE(""1RdEdgHYrZ33LJ7RUHj_h-qkAFL92bcVjtIdVa-UlsCw"", ""Interns!D:D""), 
   IMPORTRANGE(""1RdEdgHYrZ33LJ7RUHj_h-qkAFL92bcVjtIdVa-UlsCw"", ""Interns!M:M""), 
   ""Not Found"")"),"")</f>
        <v/>
      </c>
      <c r="AL548" s="23" t="str">
        <f>IFERROR(__xludf.DUMMYFUNCTION("XLOOKUP(C548, 
   IMPORTRANGE(""1RdEdgHYrZ33LJ7RUHj_h-qkAFL92bcVjtIdVa-UlsCw"", ""Interns!D:D""), 
   IMPORTRANGE(""1RdEdgHYrZ33LJ7RUHj_h-qkAFL92bcVjtIdVa-UlsCw"", ""Interns!N:N""), 
   ""Not Found"")"),"")</f>
        <v/>
      </c>
      <c r="AM548" s="23" t="str">
        <f>IFERROR(__xludf.DUMMYFUNCTION("XLOOKUP(C548, 
   IMPORTRANGE(""1RdEdgHYrZ33LJ7RUHj_h-qkAFL92bcVjtIdVa-UlsCw"", ""Interns!D:D""), 
   IMPORTRANGE(""1RdEdgHYrZ33LJ7RUHj_h-qkAFL92bcVjtIdVa-UlsCw"", ""Interns!O:O""), 
   ""Not Found"")"),"")</f>
        <v/>
      </c>
      <c r="AN548" s="23"/>
      <c r="AO548" s="23" t="s">
        <v>8923</v>
      </c>
      <c r="AP548" s="28" t="s">
        <v>5182</v>
      </c>
      <c r="AQ548" s="28"/>
      <c r="AR548" s="23"/>
      <c r="AS548" s="23"/>
      <c r="AT548" s="23"/>
      <c r="AU548" s="23"/>
      <c r="AV548" s="23"/>
    </row>
    <row r="549">
      <c r="A549" s="28" t="s">
        <v>5161</v>
      </c>
      <c r="B549" s="28" t="s">
        <v>5162</v>
      </c>
      <c r="C549" s="23" t="str">
        <f t="shared" si="1"/>
        <v>Franklin Maisa</v>
      </c>
      <c r="D549" s="28" t="s">
        <v>8924</v>
      </c>
      <c r="E549" s="28" t="s">
        <v>8925</v>
      </c>
      <c r="F549" s="23" t="str">
        <f t="array" ref="F549">IFERROR(
    INDEX('Hub Interns 226'!A:A, MATCH(C549, 'Hub Interns 226'!B:B, 0)),"")</f>
        <v/>
      </c>
      <c r="G549" s="23">
        <f t="array" ref="G549">IFERROR(
    INDEX('Hub Users 226'!A:A, MATCH(C549, 'Hub Users 226'!B:B, 0)),"")</f>
        <v>1935</v>
      </c>
      <c r="H549" s="28">
        <v>1801.0</v>
      </c>
      <c r="I549" s="28" t="s">
        <v>538</v>
      </c>
      <c r="J549" s="28" t="s">
        <v>2388</v>
      </c>
      <c r="K549" s="28" t="s">
        <v>5463</v>
      </c>
      <c r="L549" s="28" t="s">
        <v>5165</v>
      </c>
      <c r="M549" s="56" t="s">
        <v>8926</v>
      </c>
      <c r="N549" s="57">
        <v>45336.79652777778</v>
      </c>
      <c r="O549" s="58">
        <v>45321.0</v>
      </c>
      <c r="P549" s="28">
        <f t="shared" si="18"/>
        <v>2</v>
      </c>
      <c r="Q549" s="28" t="s">
        <v>240</v>
      </c>
      <c r="R549" s="28" t="s">
        <v>8927</v>
      </c>
      <c r="S549" s="28">
        <v>7.0</v>
      </c>
      <c r="T549" s="28">
        <v>18.0</v>
      </c>
      <c r="U549" s="28">
        <v>53.0</v>
      </c>
      <c r="V549" s="28">
        <v>37.0</v>
      </c>
      <c r="W549" s="28" t="s">
        <v>294</v>
      </c>
      <c r="X549" s="28" t="s">
        <v>272</v>
      </c>
      <c r="Y549" s="28">
        <v>6.123883751E9</v>
      </c>
      <c r="Z549" s="28" t="s">
        <v>5259</v>
      </c>
      <c r="AA549" s="28" t="s">
        <v>704</v>
      </c>
      <c r="AB549" s="28">
        <v>2.0</v>
      </c>
      <c r="AC549" s="28" t="s">
        <v>27</v>
      </c>
      <c r="AD549" s="23"/>
      <c r="AE549" s="28" t="s">
        <v>18</v>
      </c>
      <c r="AF549" s="23"/>
      <c r="AG549" s="23"/>
      <c r="AH549" s="23" t="str">
        <f>IFERROR(__xludf.DUMMYFUNCTION("IF(
ISNUMBER(MATCH(
C549,
IMPORTRANGE(""https://docs.google.com/spreadsheets/d/1yTh1ELC33JHYOeEdgIiEclxPRyh0zOKtlawDltfUay8"",""'Interns'!A:A""),
0
)),
""Outreach Conducted"",
"""")"),"")</f>
        <v/>
      </c>
      <c r="AI549" s="23"/>
      <c r="AJ549" s="23"/>
      <c r="AK549" s="23" t="str">
        <f>IFERROR(__xludf.DUMMYFUNCTION("XLOOKUP(C549, 
   IMPORTRANGE(""1RdEdgHYrZ33LJ7RUHj_h-qkAFL92bcVjtIdVa-UlsCw"", ""Interns!D:D""), 
   IMPORTRANGE(""1RdEdgHYrZ33LJ7RUHj_h-qkAFL92bcVjtIdVa-UlsCw"", ""Interns!M:M""), 
   ""Not Found"")"),"Contacted")</f>
        <v>Contacted</v>
      </c>
      <c r="AL549" s="23" t="str">
        <f>IFERROR(__xludf.DUMMYFUNCTION("XLOOKUP(C549, 
   IMPORTRANGE(""1RdEdgHYrZ33LJ7RUHj_h-qkAFL92bcVjtIdVa-UlsCw"", ""Interns!D:D""), 
   IMPORTRANGE(""1RdEdgHYrZ33LJ7RUHj_h-qkAFL92bcVjtIdVa-UlsCw"", ""Interns!N:N""), 
   ""Not Found"")"),"#Cheers4Careers")</f>
        <v>#Cheers4Careers</v>
      </c>
      <c r="AM549" s="23" t="str">
        <f>IFERROR(__xludf.DUMMYFUNCTION("XLOOKUP(C549, 
   IMPORTRANGE(""1RdEdgHYrZ33LJ7RUHj_h-qkAFL92bcVjtIdVa-UlsCw"", ""Interns!D:D""), 
   IMPORTRANGE(""1RdEdgHYrZ33LJ7RUHj_h-qkAFL92bcVjtIdVa-UlsCw"", ""Interns!O:O""), 
   ""Not Found"")"),"Ousmane reached out by email 3/26 and reach out by text 3/28")</f>
        <v>Ousmane reached out by email 3/26 and reach out by text 3/28</v>
      </c>
      <c r="AN549" s="23"/>
      <c r="AO549" s="23" t="s">
        <v>6000</v>
      </c>
      <c r="AP549" s="28" t="s">
        <v>5880</v>
      </c>
      <c r="AQ549" s="28" t="s">
        <v>8928</v>
      </c>
      <c r="AR549" s="23">
        <v>9.29256848E9</v>
      </c>
      <c r="AS549" s="23"/>
      <c r="AT549" s="23"/>
      <c r="AU549" s="23"/>
      <c r="AV549" s="23"/>
    </row>
    <row r="550">
      <c r="A550" s="28" t="s">
        <v>5161</v>
      </c>
      <c r="B550" s="28" t="s">
        <v>5162</v>
      </c>
      <c r="C550" s="23" t="str">
        <f t="shared" si="1"/>
        <v>Stalyn Chucino</v>
      </c>
      <c r="D550" s="28" t="s">
        <v>8929</v>
      </c>
      <c r="E550" s="28" t="s">
        <v>8930</v>
      </c>
      <c r="F550" s="23">
        <f t="array" ref="F550">IFERROR(
    INDEX('Hub Interns 226'!A:A, MATCH(C550, 'Hub Interns 226'!B:B, 0)),"")</f>
        <v>1081</v>
      </c>
      <c r="G550" s="23">
        <f t="array" ref="G550">IFERROR(
    INDEX('Hub Users 226'!A:A, MATCH(C550, 'Hub Users 226'!B:B, 0)),"")</f>
        <v>1514</v>
      </c>
      <c r="H550" s="28">
        <v>1298.0</v>
      </c>
      <c r="I550" s="28"/>
      <c r="J550" s="28" t="s">
        <v>2388</v>
      </c>
      <c r="K550" s="28" t="s">
        <v>5463</v>
      </c>
      <c r="L550" s="28" t="s">
        <v>5165</v>
      </c>
      <c r="M550" s="56" t="s">
        <v>8931</v>
      </c>
      <c r="N550" s="59">
        <v>44846.54652777778</v>
      </c>
      <c r="O550" s="58">
        <v>39287.0</v>
      </c>
      <c r="P550" s="28">
        <f t="shared" si="18"/>
        <v>18</v>
      </c>
      <c r="Q550" s="28" t="s">
        <v>240</v>
      </c>
      <c r="R550" s="28" t="s">
        <v>8932</v>
      </c>
      <c r="S550" s="28">
        <v>13.0</v>
      </c>
      <c r="T550" s="28">
        <v>33.0</v>
      </c>
      <c r="U550" s="28">
        <v>86.0</v>
      </c>
      <c r="V550" s="28">
        <v>14.0</v>
      </c>
      <c r="W550" s="28" t="s">
        <v>859</v>
      </c>
      <c r="X550" s="28" t="s">
        <v>272</v>
      </c>
      <c r="Y550" s="28" t="s">
        <v>8933</v>
      </c>
      <c r="Z550" s="28" t="s">
        <v>5918</v>
      </c>
      <c r="AA550" s="28" t="s">
        <v>477</v>
      </c>
      <c r="AB550" s="28">
        <v>15.0</v>
      </c>
      <c r="AC550" s="28" t="s">
        <v>23</v>
      </c>
      <c r="AD550" s="23"/>
      <c r="AE550" s="28" t="s">
        <v>15</v>
      </c>
      <c r="AF550" s="23"/>
      <c r="AG550" s="23"/>
      <c r="AH550" s="23" t="str">
        <f>IFERROR(__xludf.DUMMYFUNCTION("IF(
ISNUMBER(MATCH(
C550,
IMPORTRANGE(""https://docs.google.com/spreadsheets/d/1yTh1ELC33JHYOeEdgIiEclxPRyh0zOKtlawDltfUay8"",""'Interns'!A:A""),
0
)),
""Outreach Conducted"",
"""")"),"")</f>
        <v/>
      </c>
      <c r="AI550" s="23"/>
      <c r="AJ550" s="23"/>
      <c r="AK550" s="23" t="str">
        <f>IFERROR(__xludf.DUMMYFUNCTION("XLOOKUP(C550, 
   IMPORTRANGE(""1RdEdgHYrZ33LJ7RUHj_h-qkAFL92bcVjtIdVa-UlsCw"", ""Interns!D:D""), 
   IMPORTRANGE(""1RdEdgHYrZ33LJ7RUHj_h-qkAFL92bcVjtIdVa-UlsCw"", ""Interns!M:M""), 
   ""Not Found"")"),"")</f>
        <v/>
      </c>
      <c r="AL550" s="23" t="str">
        <f>IFERROR(__xludf.DUMMYFUNCTION("XLOOKUP(C550, 
   IMPORTRANGE(""1RdEdgHYrZ33LJ7RUHj_h-qkAFL92bcVjtIdVa-UlsCw"", ""Interns!D:D""), 
   IMPORTRANGE(""1RdEdgHYrZ33LJ7RUHj_h-qkAFL92bcVjtIdVa-UlsCw"", ""Interns!N:N""), 
   ""Not Found"")"),"")</f>
        <v/>
      </c>
      <c r="AM550" s="23" t="str">
        <f>IFERROR(__xludf.DUMMYFUNCTION("XLOOKUP(C550, 
   IMPORTRANGE(""1RdEdgHYrZ33LJ7RUHj_h-qkAFL92bcVjtIdVa-UlsCw"", ""Interns!D:D""), 
   IMPORTRANGE(""1RdEdgHYrZ33LJ7RUHj_h-qkAFL92bcVjtIdVa-UlsCw"", ""Interns!O:O""), 
   ""Not Found"")"),"")</f>
        <v/>
      </c>
      <c r="AN550" s="23"/>
      <c r="AO550" s="23" t="s">
        <v>8934</v>
      </c>
      <c r="AP550" s="28" t="s">
        <v>5182</v>
      </c>
      <c r="AQ550" s="28"/>
      <c r="AR550" s="23"/>
      <c r="AS550" s="23"/>
      <c r="AT550" s="23"/>
      <c r="AU550" s="23"/>
      <c r="AV550" s="23"/>
    </row>
    <row r="551">
      <c r="A551" s="28" t="s">
        <v>5202</v>
      </c>
      <c r="B551" s="28" t="s">
        <v>5162</v>
      </c>
      <c r="C551" s="23" t="str">
        <f t="shared" si="1"/>
        <v>Homero Mendoza</v>
      </c>
      <c r="D551" s="28" t="s">
        <v>8935</v>
      </c>
      <c r="E551" s="28" t="s">
        <v>4503</v>
      </c>
      <c r="F551" s="23">
        <f t="array" ref="F551">IFERROR(
    INDEX('Hub Interns 226'!A:A, MATCH(C551, 'Hub Interns 226'!B:B, 0)),"")</f>
        <v>581</v>
      </c>
      <c r="G551" s="23">
        <f t="array" ref="G551">IFERROR(
    INDEX('Hub Users 226'!A:A, MATCH(C551, 'Hub Users 226'!B:B, 0)),"")</f>
        <v>1014</v>
      </c>
      <c r="H551" s="28">
        <v>649.0</v>
      </c>
      <c r="I551" s="28" t="s">
        <v>1235</v>
      </c>
      <c r="J551" s="28" t="s">
        <v>2388</v>
      </c>
      <c r="K551" s="28" t="s">
        <v>5463</v>
      </c>
      <c r="L551" s="28" t="s">
        <v>5165</v>
      </c>
      <c r="M551" s="56" t="s">
        <v>8936</v>
      </c>
      <c r="N551" s="57">
        <v>44508.447916666664</v>
      </c>
      <c r="O551" s="58">
        <v>38677.0</v>
      </c>
      <c r="P551" s="28">
        <f t="shared" si="18"/>
        <v>20</v>
      </c>
      <c r="Q551" s="28" t="s">
        <v>8937</v>
      </c>
      <c r="R551" s="28" t="s">
        <v>8938</v>
      </c>
      <c r="S551" s="28">
        <v>14.0</v>
      </c>
      <c r="T551" s="28">
        <v>13.0</v>
      </c>
      <c r="U551" s="28">
        <v>39.0</v>
      </c>
      <c r="V551" s="28">
        <v>21.0</v>
      </c>
      <c r="W551" s="28" t="s">
        <v>1173</v>
      </c>
      <c r="X551" s="28" t="s">
        <v>272</v>
      </c>
      <c r="Y551" s="28" t="s">
        <v>8939</v>
      </c>
      <c r="Z551" s="28" t="s">
        <v>5189</v>
      </c>
      <c r="AA551" s="28" t="s">
        <v>619</v>
      </c>
      <c r="AB551" s="28">
        <v>20.0</v>
      </c>
      <c r="AC551" s="28" t="s">
        <v>25</v>
      </c>
      <c r="AD551" s="23"/>
      <c r="AE551" s="28" t="s">
        <v>10</v>
      </c>
      <c r="AF551" s="23" t="str">
        <f>IFERROR(__xludf.DUMMYFUNCTION("TEXTJOIN("", "", TRUE,
  FILTER(Champions!C:C,
    ISNUMBER(SEARCH(C551, Champions!W:W))
  )
)"),"Sunaina Mehta, Carolina Parra")</f>
        <v>Sunaina Mehta, Carolina Parra</v>
      </c>
      <c r="AG551" s="23"/>
      <c r="AH551" s="23" t="str">
        <f>IFERROR(__xludf.DUMMYFUNCTION("IF(
ISNUMBER(MATCH(
C551,
IMPORTRANGE(""https://docs.google.com/spreadsheets/d/1yTh1ELC33JHYOeEdgIiEclxPRyh0zOKtlawDltfUay8"",""'Interns'!A:A""),
0
)),
""Outreach Conducted"",
"""")"),"")</f>
        <v/>
      </c>
      <c r="AI551" s="23"/>
      <c r="AJ551" s="23"/>
      <c r="AK551" s="23" t="str">
        <f>IFERROR(__xludf.DUMMYFUNCTION("XLOOKUP(C551, 
   IMPORTRANGE(""1RdEdgHYrZ33LJ7RUHj_h-qkAFL92bcVjtIdVa-UlsCw"", ""Interns!D:D""), 
   IMPORTRANGE(""1RdEdgHYrZ33LJ7RUHj_h-qkAFL92bcVjtIdVa-UlsCw"", ""Interns!M:M""), 
   ""Not Found"")"),"")</f>
        <v/>
      </c>
      <c r="AL551" s="23" t="str">
        <f>IFERROR(__xludf.DUMMYFUNCTION("XLOOKUP(C551, 
   IMPORTRANGE(""1RdEdgHYrZ33LJ7RUHj_h-qkAFL92bcVjtIdVa-UlsCw"", ""Interns!D:D""), 
   IMPORTRANGE(""1RdEdgHYrZ33LJ7RUHj_h-qkAFL92bcVjtIdVa-UlsCw"", ""Interns!N:N""), 
   ""Not Found"")"),"")</f>
        <v/>
      </c>
      <c r="AM551" s="23" t="str">
        <f>IFERROR(__xludf.DUMMYFUNCTION("XLOOKUP(C551, 
   IMPORTRANGE(""1RdEdgHYrZ33LJ7RUHj_h-qkAFL92bcVjtIdVa-UlsCw"", ""Interns!D:D""), 
   IMPORTRANGE(""1RdEdgHYrZ33LJ7RUHj_h-qkAFL92bcVjtIdVa-UlsCw"", ""Interns!O:O""), 
   ""Not Found"")"),"")</f>
        <v/>
      </c>
      <c r="AN551" s="23"/>
      <c r="AO551" s="23" t="s">
        <v>8940</v>
      </c>
      <c r="AP551" s="28" t="s">
        <v>5182</v>
      </c>
      <c r="AQ551" s="28" t="s">
        <v>8941</v>
      </c>
      <c r="AR551" s="23" t="s">
        <v>8942</v>
      </c>
      <c r="AS551" s="23"/>
      <c r="AT551" s="23"/>
      <c r="AU551" s="23"/>
      <c r="AV551" s="23"/>
    </row>
    <row r="552">
      <c r="A552" s="28" t="s">
        <v>5202</v>
      </c>
      <c r="B552" s="28" t="s">
        <v>5162</v>
      </c>
      <c r="C552" s="23" t="str">
        <f t="shared" si="1"/>
        <v>Viviane Santos</v>
      </c>
      <c r="D552" s="28" t="s">
        <v>8943</v>
      </c>
      <c r="E552" s="28" t="s">
        <v>6865</v>
      </c>
      <c r="F552" s="23" t="str">
        <f t="array" ref="F552">IFERROR(
    INDEX('Hub Interns 226'!A:A, MATCH(C552, 'Hub Interns 226'!B:B, 0)),"")</f>
        <v/>
      </c>
      <c r="G552" s="23" t="str">
        <f t="array" ref="G552">IFERROR(
    INDEX('Hub Users 226'!A:A, MATCH(C552, 'Hub Users 226'!B:B, 0)),"")</f>
        <v/>
      </c>
      <c r="H552" s="28">
        <v>21.0</v>
      </c>
      <c r="I552" s="28" t="s">
        <v>260</v>
      </c>
      <c r="J552" s="28" t="s">
        <v>2388</v>
      </c>
      <c r="K552" s="28" t="s">
        <v>5463</v>
      </c>
      <c r="L552" s="28" t="s">
        <v>5196</v>
      </c>
      <c r="M552" s="23"/>
      <c r="N552" s="57">
        <v>43741.63055555556</v>
      </c>
      <c r="O552" s="58"/>
      <c r="P552" s="28"/>
      <c r="Q552" s="28" t="s">
        <v>240</v>
      </c>
      <c r="R552" s="23"/>
      <c r="S552" s="28"/>
      <c r="T552" s="28"/>
      <c r="U552" s="28"/>
      <c r="V552" s="28"/>
      <c r="W552" s="28" t="s">
        <v>380</v>
      </c>
      <c r="X552" s="28" t="s">
        <v>381</v>
      </c>
      <c r="Y552" s="28" t="s">
        <v>50</v>
      </c>
      <c r="Z552" s="28" t="s">
        <v>5491</v>
      </c>
      <c r="AA552" s="28" t="s">
        <v>5492</v>
      </c>
      <c r="AB552" s="28">
        <v>47.0</v>
      </c>
      <c r="AC552" s="28" t="s">
        <v>25</v>
      </c>
      <c r="AD552" s="23"/>
      <c r="AE552" s="28" t="s">
        <v>4</v>
      </c>
      <c r="AF552" s="23" t="str">
        <f>IFERROR(__xludf.DUMMYFUNCTION("TEXTJOIN("", "", TRUE,
  FILTER(Champions!C:C,
    ISNUMBER(SEARCH(C552, Champions!W:W))
  )
)"),"#N/A")</f>
        <v>#N/A</v>
      </c>
      <c r="AG552" s="23"/>
      <c r="AH552" s="23" t="str">
        <f>IFERROR(__xludf.DUMMYFUNCTION("IF(
ISNUMBER(MATCH(
C552,
IMPORTRANGE(""https://docs.google.com/spreadsheets/d/1yTh1ELC33JHYOeEdgIiEclxPRyh0zOKtlawDltfUay8"",""'Interns'!A:A""),
0
)),
""Outreach Conducted"",
"""")"),"")</f>
        <v/>
      </c>
      <c r="AI552" s="23"/>
      <c r="AJ552" s="23"/>
      <c r="AK552" s="23" t="str">
        <f>IFERROR(__xludf.DUMMYFUNCTION("XLOOKUP(C552, 
   IMPORTRANGE(""1RdEdgHYrZ33LJ7RUHj_h-qkAFL92bcVjtIdVa-UlsCw"", ""Interns!D:D""), 
   IMPORTRANGE(""1RdEdgHYrZ33LJ7RUHj_h-qkAFL92bcVjtIdVa-UlsCw"", ""Interns!M:M""), 
   ""Not Found"")"),"")</f>
        <v/>
      </c>
      <c r="AL552" s="23" t="str">
        <f>IFERROR(__xludf.DUMMYFUNCTION("XLOOKUP(C552, 
   IMPORTRANGE(""1RdEdgHYrZ33LJ7RUHj_h-qkAFL92bcVjtIdVa-UlsCw"", ""Interns!D:D""), 
   IMPORTRANGE(""1RdEdgHYrZ33LJ7RUHj_h-qkAFL92bcVjtIdVa-UlsCw"", ""Interns!N:N""), 
   ""Not Found"")"),"")</f>
        <v/>
      </c>
      <c r="AM552" s="23" t="str">
        <f>IFERROR(__xludf.DUMMYFUNCTION("XLOOKUP(C552, 
   IMPORTRANGE(""1RdEdgHYrZ33LJ7RUHj_h-qkAFL92bcVjtIdVa-UlsCw"", ""Interns!D:D""), 
   IMPORTRANGE(""1RdEdgHYrZ33LJ7RUHj_h-qkAFL92bcVjtIdVa-UlsCw"", ""Interns!O:O""), 
   ""Not Found"")"),"")</f>
        <v/>
      </c>
      <c r="AN552" s="23"/>
      <c r="AO552" s="23" t="s">
        <v>8944</v>
      </c>
      <c r="AP552" s="28" t="s">
        <v>5182</v>
      </c>
      <c r="AQ552" s="28" t="s">
        <v>8944</v>
      </c>
      <c r="AR552" s="23">
        <v>8.565778608E9</v>
      </c>
      <c r="AS552" s="23"/>
      <c r="AT552" s="23"/>
      <c r="AU552" s="23"/>
      <c r="AV552" s="23"/>
    </row>
    <row r="553">
      <c r="A553" s="28" t="s">
        <v>5161</v>
      </c>
      <c r="B553" s="28" t="s">
        <v>5162</v>
      </c>
      <c r="C553" s="23" t="str">
        <f t="shared" si="1"/>
        <v>Michael Zhicay</v>
      </c>
      <c r="D553" s="28" t="s">
        <v>2424</v>
      </c>
      <c r="E553" s="28" t="s">
        <v>8146</v>
      </c>
      <c r="F553" s="23">
        <f t="array" ref="F553">IFERROR(
    INDEX('Hub Interns 226'!A:A, MATCH(C553, 'Hub Interns 226'!B:B, 0)),"")</f>
        <v>885</v>
      </c>
      <c r="G553" s="23">
        <f t="array" ref="G553">IFERROR(
    INDEX('Hub Users 226'!A:A, MATCH(C553, 'Hub Users 226'!B:B, 0)),"")</f>
        <v>1318</v>
      </c>
      <c r="H553" s="28">
        <v>1309.0</v>
      </c>
      <c r="I553" s="28"/>
      <c r="J553" s="28" t="s">
        <v>2388</v>
      </c>
      <c r="K553" s="28" t="s">
        <v>5463</v>
      </c>
      <c r="L553" s="28" t="s">
        <v>5165</v>
      </c>
      <c r="M553" s="56" t="s">
        <v>8945</v>
      </c>
      <c r="N553" s="59">
        <v>44847.45625</v>
      </c>
      <c r="O553" s="58">
        <v>39018.0</v>
      </c>
      <c r="P553" s="28">
        <f t="shared" ref="P553:P554" si="19">DATEDIF(O553, TODAY(), "Y")</f>
        <v>19</v>
      </c>
      <c r="Q553" s="28" t="s">
        <v>240</v>
      </c>
      <c r="R553" s="28" t="s">
        <v>8946</v>
      </c>
      <c r="S553" s="28">
        <v>15.0</v>
      </c>
      <c r="T553" s="28">
        <v>32.0</v>
      </c>
      <c r="U553" s="28">
        <v>86.0</v>
      </c>
      <c r="V553" s="28">
        <v>15.0</v>
      </c>
      <c r="W553" s="28" t="s">
        <v>859</v>
      </c>
      <c r="X553" s="28" t="s">
        <v>272</v>
      </c>
      <c r="Y553" s="28" t="s">
        <v>8947</v>
      </c>
      <c r="Z553" s="28" t="s">
        <v>5341</v>
      </c>
      <c r="AA553" s="28" t="s">
        <v>1085</v>
      </c>
      <c r="AB553" s="28">
        <v>10.0</v>
      </c>
      <c r="AC553" s="28" t="s">
        <v>23</v>
      </c>
      <c r="AD553" s="23"/>
      <c r="AE553" s="28" t="s">
        <v>15</v>
      </c>
      <c r="AF553" s="23"/>
      <c r="AG553" s="23"/>
      <c r="AH553" s="23" t="str">
        <f>IFERROR(__xludf.DUMMYFUNCTION("IF(
ISNUMBER(MATCH(
C553,
IMPORTRANGE(""https://docs.google.com/spreadsheets/d/1yTh1ELC33JHYOeEdgIiEclxPRyh0zOKtlawDltfUay8"",""'Interns'!A:A""),
0
)),
""Outreach Conducted"",
"""")"),"")</f>
        <v/>
      </c>
      <c r="AI553" s="23"/>
      <c r="AJ553" s="23"/>
      <c r="AK553" s="23" t="str">
        <f>IFERROR(__xludf.DUMMYFUNCTION("XLOOKUP(C553, 
   IMPORTRANGE(""1RdEdgHYrZ33LJ7RUHj_h-qkAFL92bcVjtIdVa-UlsCw"", ""Interns!D:D""), 
   IMPORTRANGE(""1RdEdgHYrZ33LJ7RUHj_h-qkAFL92bcVjtIdVa-UlsCw"", ""Interns!M:M""), 
   ""Not Found"")"),"Contacted")</f>
        <v>Contacted</v>
      </c>
      <c r="AL553" s="23" t="str">
        <f>IFERROR(__xludf.DUMMYFUNCTION("XLOOKUP(C553, 
   IMPORTRANGE(""1RdEdgHYrZ33LJ7RUHj_h-qkAFL92bcVjtIdVa-UlsCw"", ""Interns!D:D""), 
   IMPORTRANGE(""1RdEdgHYrZ33LJ7RUHj_h-qkAFL92bcVjtIdVa-UlsCw"", ""Interns!N:N""), 
   ""Not Found"")"),"#Cheers4Careers")</f>
        <v>#Cheers4Careers</v>
      </c>
      <c r="AM553" s="23" t="str">
        <f>IFERROR(__xludf.DUMMYFUNCTION("XLOOKUP(C553, 
   IMPORTRANGE(""1RdEdgHYrZ33LJ7RUHj_h-qkAFL92bcVjtIdVa-UlsCw"", ""Interns!D:D""), 
   IMPORTRANGE(""1RdEdgHYrZ33LJ7RUHj_h-qkAFL92bcVjtIdVa-UlsCw"", ""Interns!O:O""), 
   ""Not Found"")"),"Texted on April 14 for #Cheers4Careers event")</f>
        <v>Texted on April 14 for #Cheers4Careers event</v>
      </c>
      <c r="AN553" s="23"/>
      <c r="AO553" s="23" t="s">
        <v>8948</v>
      </c>
      <c r="AP553" s="28" t="s">
        <v>5182</v>
      </c>
      <c r="AQ553" s="28"/>
      <c r="AR553" s="23"/>
      <c r="AS553" s="23"/>
      <c r="AT553" s="23"/>
      <c r="AU553" s="23"/>
      <c r="AV553" s="23"/>
    </row>
    <row r="554">
      <c r="A554" s="28" t="s">
        <v>5161</v>
      </c>
      <c r="B554" s="28" t="s">
        <v>31</v>
      </c>
      <c r="C554" s="23" t="str">
        <f t="shared" si="1"/>
        <v>Kahori Toribio Vargas</v>
      </c>
      <c r="D554" s="28" t="s">
        <v>7355</v>
      </c>
      <c r="E554" s="28" t="s">
        <v>7356</v>
      </c>
      <c r="F554" s="23">
        <f t="array" ref="F554">IFERROR(
    INDEX('Hub Interns 226'!A:A, MATCH(C554, 'Hub Interns 226'!B:B, 0)),"")</f>
        <v>716</v>
      </c>
      <c r="G554" s="23">
        <f t="array" ref="G554">IFERROR(
    INDEX('Hub Users 226'!A:A, MATCH(C554, 'Hub Users 226'!B:B, 0)),"")</f>
        <v>1149</v>
      </c>
      <c r="H554" s="28">
        <v>913.0</v>
      </c>
      <c r="I554" s="28" t="s">
        <v>107</v>
      </c>
      <c r="J554" s="28"/>
      <c r="K554" s="28"/>
      <c r="L554" s="28" t="s">
        <v>5196</v>
      </c>
      <c r="M554" s="56" t="s">
        <v>7357</v>
      </c>
      <c r="N554" s="57">
        <v>44602.57361111111</v>
      </c>
      <c r="O554" s="58">
        <v>38501.0</v>
      </c>
      <c r="P554" s="28">
        <f t="shared" si="19"/>
        <v>20</v>
      </c>
      <c r="Q554" s="28" t="s">
        <v>240</v>
      </c>
      <c r="R554" s="28" t="s">
        <v>7358</v>
      </c>
      <c r="S554" s="28"/>
      <c r="T554" s="28"/>
      <c r="U554" s="28"/>
      <c r="V554" s="28"/>
      <c r="W554" s="28" t="s">
        <v>859</v>
      </c>
      <c r="X554" s="28" t="s">
        <v>272</v>
      </c>
      <c r="Y554" s="28" t="s">
        <v>7359</v>
      </c>
      <c r="Z554" s="28" t="s">
        <v>5208</v>
      </c>
      <c r="AA554" s="28" t="s">
        <v>2141</v>
      </c>
      <c r="AB554" s="28">
        <v>8.0</v>
      </c>
      <c r="AC554" s="28" t="s">
        <v>28</v>
      </c>
      <c r="AD554" s="23"/>
      <c r="AE554" s="28" t="s">
        <v>10</v>
      </c>
      <c r="AF554" s="23"/>
      <c r="AG554" s="23"/>
      <c r="AH554" s="23" t="str">
        <f>IFERROR(__xludf.DUMMYFUNCTION("IF(
ISNUMBER(MATCH(
C554,
IMPORTRANGE(""https://docs.google.com/spreadsheets/d/1yTh1ELC33JHYOeEdgIiEclxPRyh0zOKtlawDltfUay8"",""'Interns'!A:A""),
0
)),
""Outreach Conducted"",
"""")"),"")</f>
        <v/>
      </c>
      <c r="AI554" s="23"/>
      <c r="AJ554" s="23"/>
      <c r="AK554" s="23" t="str">
        <f>IFERROR(__xludf.DUMMYFUNCTION("XLOOKUP(C554, 
   IMPORTRANGE(""1RdEdgHYrZ33LJ7RUHj_h-qkAFL92bcVjtIdVa-UlsCw"", ""Interns!D:D""), 
   IMPORTRANGE(""1RdEdgHYrZ33LJ7RUHj_h-qkAFL92bcVjtIdVa-UlsCw"", ""Interns!M:M""), 
   ""Not Found"")"),"Contacted")</f>
        <v>Contacted</v>
      </c>
      <c r="AL554" s="23" t="str">
        <f>IFERROR(__xludf.DUMMYFUNCTION("XLOOKUP(C554, 
   IMPORTRANGE(""1RdEdgHYrZ33LJ7RUHj_h-qkAFL92bcVjtIdVa-UlsCw"", ""Interns!D:D""), 
   IMPORTRANGE(""1RdEdgHYrZ33LJ7RUHj_h-qkAFL92bcVjtIdVa-UlsCw"", ""Interns!N:N""), 
   ""Not Found"")"),"#Cheers4Careers")</f>
        <v>#Cheers4Careers</v>
      </c>
      <c r="AM554" s="23" t="str">
        <f>IFERROR(__xludf.DUMMYFUNCTION("XLOOKUP(C554, 
   IMPORTRANGE(""1RdEdgHYrZ33LJ7RUHj_h-qkAFL92bcVjtIdVa-UlsCw"", ""Interns!D:D""), 
   IMPORTRANGE(""1RdEdgHYrZ33LJ7RUHj_h-qkAFL92bcVjtIdVa-UlsCw"", ""Interns!O:O""), 
   ""Not Found"")"),"Hetal reached out by email 3/27")</f>
        <v>Hetal reached out by email 3/27</v>
      </c>
      <c r="AN554" s="23"/>
      <c r="AO554" s="23" t="s">
        <v>7360</v>
      </c>
      <c r="AP554" s="28" t="s">
        <v>5191</v>
      </c>
      <c r="AQ554" s="28"/>
      <c r="AR554" s="23"/>
      <c r="AS554" s="23"/>
      <c r="AT554" s="23"/>
      <c r="AU554" s="23"/>
      <c r="AV554" s="23"/>
    </row>
    <row r="555">
      <c r="A555" s="28" t="s">
        <v>5202</v>
      </c>
      <c r="B555" s="28" t="s">
        <v>5162</v>
      </c>
      <c r="C555" s="23" t="str">
        <f t="shared" si="1"/>
        <v>Wendy Urias</v>
      </c>
      <c r="D555" s="28" t="s">
        <v>3577</v>
      </c>
      <c r="E555" s="28" t="s">
        <v>8949</v>
      </c>
      <c r="F555" s="23">
        <f t="array" ref="F555">IFERROR(
    INDEX('Hub Interns 226'!A:A, MATCH(C555, 'Hub Interns 226'!B:B, 0)),"")</f>
        <v>1188</v>
      </c>
      <c r="G555" s="23">
        <f t="array" ref="G555">IFERROR(
    INDEX('Hub Users 226'!A:A, MATCH(C555, 'Hub Users 226'!B:B, 0)),"")</f>
        <v>1621</v>
      </c>
      <c r="H555" s="28">
        <v>128.0</v>
      </c>
      <c r="I555" s="28" t="s">
        <v>290</v>
      </c>
      <c r="J555" s="28" t="s">
        <v>2388</v>
      </c>
      <c r="K555" s="28" t="s">
        <v>5463</v>
      </c>
      <c r="L555" s="28" t="s">
        <v>5196</v>
      </c>
      <c r="M555" s="56" t="s">
        <v>8950</v>
      </c>
      <c r="N555" s="57">
        <v>43773.660416666666</v>
      </c>
      <c r="O555" s="58"/>
      <c r="P555" s="28"/>
      <c r="Q555" s="28" t="s">
        <v>240</v>
      </c>
      <c r="R555" s="23"/>
      <c r="S555" s="28"/>
      <c r="T555" s="28"/>
      <c r="U555" s="28"/>
      <c r="V555" s="28"/>
      <c r="W555" s="28" t="s">
        <v>1173</v>
      </c>
      <c r="X555" s="28" t="s">
        <v>272</v>
      </c>
      <c r="Y555" s="28">
        <v>9.293867058E9</v>
      </c>
      <c r="Z555" s="28" t="s">
        <v>5303</v>
      </c>
      <c r="AA555" s="28" t="s">
        <v>395</v>
      </c>
      <c r="AB555" s="28">
        <v>20.0</v>
      </c>
      <c r="AC555" s="28" t="s">
        <v>25</v>
      </c>
      <c r="AD555" s="23"/>
      <c r="AE555" s="28" t="s">
        <v>6</v>
      </c>
      <c r="AF555" s="23" t="str">
        <f>IFERROR(__xludf.DUMMYFUNCTION("TEXTJOIN("", "", TRUE,
  FILTER(Champions!C:C,
    ISNUMBER(SEARCH(C555, Champions!W:W))
  )
)"),"Tanusree Munshi")</f>
        <v>Tanusree Munshi</v>
      </c>
      <c r="AG555" s="23"/>
      <c r="AH555" s="23" t="str">
        <f>IFERROR(__xludf.DUMMYFUNCTION("IF(
ISNUMBER(MATCH(
C555,
IMPORTRANGE(""https://docs.google.com/spreadsheets/d/1yTh1ELC33JHYOeEdgIiEclxPRyh0zOKtlawDltfUay8"",""'Interns'!A:A""),
0
)),
""Outreach Conducted"",
"""")"),"")</f>
        <v/>
      </c>
      <c r="AI555" s="23"/>
      <c r="AJ555" s="23"/>
      <c r="AK555" s="23" t="str">
        <f>IFERROR(__xludf.DUMMYFUNCTION("XLOOKUP(C555, 
   IMPORTRANGE(""1RdEdgHYrZ33LJ7RUHj_h-qkAFL92bcVjtIdVa-UlsCw"", ""Interns!D:D""), 
   IMPORTRANGE(""1RdEdgHYrZ33LJ7RUHj_h-qkAFL92bcVjtIdVa-UlsCw"", ""Interns!M:M""), 
   ""Not Found"")"),"")</f>
        <v/>
      </c>
      <c r="AL555" s="23" t="str">
        <f>IFERROR(__xludf.DUMMYFUNCTION("XLOOKUP(C555, 
   IMPORTRANGE(""1RdEdgHYrZ33LJ7RUHj_h-qkAFL92bcVjtIdVa-UlsCw"", ""Interns!D:D""), 
   IMPORTRANGE(""1RdEdgHYrZ33LJ7RUHj_h-qkAFL92bcVjtIdVa-UlsCw"", ""Interns!N:N""), 
   ""Not Found"")"),"")</f>
        <v/>
      </c>
      <c r="AM555" s="23" t="str">
        <f>IFERROR(__xludf.DUMMYFUNCTION("XLOOKUP(C555, 
   IMPORTRANGE(""1RdEdgHYrZ33LJ7RUHj_h-qkAFL92bcVjtIdVa-UlsCw"", ""Interns!D:D""), 
   IMPORTRANGE(""1RdEdgHYrZ33LJ7RUHj_h-qkAFL92bcVjtIdVa-UlsCw"", ""Interns!O:O""), 
   ""Not Found"")"),"")</f>
        <v/>
      </c>
      <c r="AN555" s="23"/>
      <c r="AO555" s="23" t="s">
        <v>8951</v>
      </c>
      <c r="AP555" s="28" t="s">
        <v>5182</v>
      </c>
      <c r="AQ555" s="28" t="s">
        <v>8952</v>
      </c>
      <c r="AR555" s="23">
        <v>9.293405713E9</v>
      </c>
      <c r="AS555" s="23"/>
      <c r="AT555" s="23"/>
      <c r="AU555" s="23"/>
      <c r="AV555" s="23"/>
    </row>
    <row r="556">
      <c r="A556" s="28" t="s">
        <v>5161</v>
      </c>
      <c r="B556" s="28" t="s">
        <v>31</v>
      </c>
      <c r="C556" s="23" t="str">
        <f t="shared" si="1"/>
        <v>karen grullon</v>
      </c>
      <c r="D556" s="28" t="s">
        <v>8529</v>
      </c>
      <c r="E556" s="28" t="s">
        <v>8530</v>
      </c>
      <c r="F556" s="23">
        <f t="array" ref="F556">IFERROR(
    INDEX('Hub Interns 226'!A:A, MATCH(C556, 'Hub Interns 226'!B:B, 0)),"")</f>
        <v>722</v>
      </c>
      <c r="G556" s="23">
        <f t="array" ref="G556">IFERROR(
    INDEX('Hub Users 226'!A:A, MATCH(C556, 'Hub Users 226'!B:B, 0)),"")</f>
        <v>1155</v>
      </c>
      <c r="H556" s="28">
        <v>1060.0</v>
      </c>
      <c r="I556" s="28" t="s">
        <v>1963</v>
      </c>
      <c r="J556" s="28"/>
      <c r="K556" s="28"/>
      <c r="L556" s="28" t="s">
        <v>5196</v>
      </c>
      <c r="M556" s="56" t="s">
        <v>8531</v>
      </c>
      <c r="N556" s="57">
        <v>44700.5625</v>
      </c>
      <c r="O556" s="58">
        <v>38422.0</v>
      </c>
      <c r="P556" s="28">
        <f t="shared" ref="P556:P840" si="20">DATEDIF(O556, TODAY(), "Y")</f>
        <v>21</v>
      </c>
      <c r="Q556" s="28" t="s">
        <v>240</v>
      </c>
      <c r="R556" s="28" t="s">
        <v>8532</v>
      </c>
      <c r="S556" s="28"/>
      <c r="T556" s="28"/>
      <c r="U556" s="28"/>
      <c r="V556" s="28"/>
      <c r="W556" s="28" t="s">
        <v>859</v>
      </c>
      <c r="X556" s="28" t="s">
        <v>272</v>
      </c>
      <c r="Y556" s="28" t="s">
        <v>8533</v>
      </c>
      <c r="Z556" s="28" t="s">
        <v>5208</v>
      </c>
      <c r="AA556" s="28" t="s">
        <v>2141</v>
      </c>
      <c r="AB556" s="28">
        <v>8.0</v>
      </c>
      <c r="AC556" s="28" t="s">
        <v>28</v>
      </c>
      <c r="AD556" s="23"/>
      <c r="AE556" s="28" t="s">
        <v>10</v>
      </c>
      <c r="AF556" s="23"/>
      <c r="AG556" s="23"/>
      <c r="AH556" s="23" t="str">
        <f>IFERROR(__xludf.DUMMYFUNCTION("IF(
ISNUMBER(MATCH(
C556,
IMPORTRANGE(""https://docs.google.com/spreadsheets/d/1yTh1ELC33JHYOeEdgIiEclxPRyh0zOKtlawDltfUay8"",""'Interns'!A:A""),
0
)),
""Outreach Conducted"",
"""")"),"")</f>
        <v/>
      </c>
      <c r="AI556" s="23"/>
      <c r="AJ556" s="23"/>
      <c r="AK556" s="23" t="str">
        <f>IFERROR(__xludf.DUMMYFUNCTION("XLOOKUP(C556, 
   IMPORTRANGE(""1RdEdgHYrZ33LJ7RUHj_h-qkAFL92bcVjtIdVa-UlsCw"", ""Interns!D:D""), 
   IMPORTRANGE(""1RdEdgHYrZ33LJ7RUHj_h-qkAFL92bcVjtIdVa-UlsCw"", ""Interns!M:M""), 
   ""Not Found"")"),"Contacted")</f>
        <v>Contacted</v>
      </c>
      <c r="AL556" s="23" t="str">
        <f>IFERROR(__xludf.DUMMYFUNCTION("XLOOKUP(C556, 
   IMPORTRANGE(""1RdEdgHYrZ33LJ7RUHj_h-qkAFL92bcVjtIdVa-UlsCw"", ""Interns!D:D""), 
   IMPORTRANGE(""1RdEdgHYrZ33LJ7RUHj_h-qkAFL92bcVjtIdVa-UlsCw"", ""Interns!N:N""), 
   ""Not Found"")"),"#Cheers4Careers")</f>
        <v>#Cheers4Careers</v>
      </c>
      <c r="AM556" s="23" t="str">
        <f>IFERROR(__xludf.DUMMYFUNCTION("XLOOKUP(C556,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556" s="23"/>
      <c r="AO556" s="23" t="s">
        <v>8534</v>
      </c>
      <c r="AP556" s="28" t="s">
        <v>5191</v>
      </c>
      <c r="AQ556" s="28"/>
      <c r="AR556" s="23"/>
      <c r="AS556" s="23"/>
      <c r="AT556" s="23"/>
      <c r="AU556" s="23"/>
      <c r="AV556" s="23"/>
    </row>
    <row r="557">
      <c r="A557" s="28" t="s">
        <v>5161</v>
      </c>
      <c r="B557" s="28" t="s">
        <v>5162</v>
      </c>
      <c r="C557" s="23" t="str">
        <f t="shared" si="1"/>
        <v>Edison Vacacela</v>
      </c>
      <c r="D557" s="28" t="s">
        <v>6057</v>
      </c>
      <c r="E557" s="28" t="s">
        <v>8953</v>
      </c>
      <c r="F557" s="23">
        <f t="array" ref="F557">IFERROR(
    INDEX('Hub Interns 226'!A:A, MATCH(C557, 'Hub Interns 226'!B:B, 0)),"")</f>
        <v>1163</v>
      </c>
      <c r="G557" s="23">
        <f t="array" ref="G557">IFERROR(
    INDEX('Hub Users 226'!A:A, MATCH(C557, 'Hub Users 226'!B:B, 0)),"")</f>
        <v>1596</v>
      </c>
      <c r="H557" s="28">
        <v>725.0</v>
      </c>
      <c r="I557" s="28" t="s">
        <v>290</v>
      </c>
      <c r="J557" s="28" t="s">
        <v>2388</v>
      </c>
      <c r="K557" s="28" t="s">
        <v>5463</v>
      </c>
      <c r="L557" s="28" t="s">
        <v>5165</v>
      </c>
      <c r="M557" s="56" t="s">
        <v>8954</v>
      </c>
      <c r="N557" s="59">
        <v>44550.450694444444</v>
      </c>
      <c r="O557" s="58">
        <v>37681.0</v>
      </c>
      <c r="P557" s="28">
        <f t="shared" si="20"/>
        <v>23</v>
      </c>
      <c r="Q557" s="28" t="s">
        <v>8955</v>
      </c>
      <c r="R557" s="28" t="s">
        <v>8956</v>
      </c>
      <c r="S557" s="28">
        <v>13.0</v>
      </c>
      <c r="T557" s="28">
        <v>30.0</v>
      </c>
      <c r="U557" s="28">
        <v>71.0</v>
      </c>
      <c r="V557" s="28">
        <v>9.0</v>
      </c>
      <c r="W557" s="28" t="s">
        <v>271</v>
      </c>
      <c r="X557" s="28" t="s">
        <v>272</v>
      </c>
      <c r="Y557" s="28" t="s">
        <v>8957</v>
      </c>
      <c r="Z557" s="28" t="s">
        <v>5259</v>
      </c>
      <c r="AA557" s="28" t="s">
        <v>704</v>
      </c>
      <c r="AB557" s="28">
        <v>2.0</v>
      </c>
      <c r="AC557" s="28" t="s">
        <v>25</v>
      </c>
      <c r="AD557" s="23"/>
      <c r="AE557" s="28" t="s">
        <v>10</v>
      </c>
      <c r="AF557" s="23" t="str">
        <f>IFERROR(__xludf.DUMMYFUNCTION("TEXTJOIN("", "", TRUE,
  FILTER(Champions!C:C,
    ISNUMBER(SEARCH(C557, Champions!W:W))
  )
)"),"Mariana Tejeida-Olvera, Paola Lopez")</f>
        <v>Mariana Tejeida-Olvera, Paola Lopez</v>
      </c>
      <c r="AG557" s="23"/>
      <c r="AH557" s="23" t="str">
        <f>IFERROR(__xludf.DUMMYFUNCTION("IF(
ISNUMBER(MATCH(
C557,
IMPORTRANGE(""https://docs.google.com/spreadsheets/d/1yTh1ELC33JHYOeEdgIiEclxPRyh0zOKtlawDltfUay8"",""'Interns'!A:A""),
0
)),
""Outreach Conducted"",
"""")"),"")</f>
        <v/>
      </c>
      <c r="AI557" s="23"/>
      <c r="AJ557" s="23"/>
      <c r="AK557" s="23" t="str">
        <f>IFERROR(__xludf.DUMMYFUNCTION("XLOOKUP(C557, 
   IMPORTRANGE(""1RdEdgHYrZ33LJ7RUHj_h-qkAFL92bcVjtIdVa-UlsCw"", ""Interns!D:D""), 
   IMPORTRANGE(""1RdEdgHYrZ33LJ7RUHj_h-qkAFL92bcVjtIdVa-UlsCw"", ""Interns!M:M""), 
   ""Not Found"")"),"Contacted")</f>
        <v>Contacted</v>
      </c>
      <c r="AL557" s="23" t="str">
        <f>IFERROR(__xludf.DUMMYFUNCTION("XLOOKUP(C557, 
   IMPORTRANGE(""1RdEdgHYrZ33LJ7RUHj_h-qkAFL92bcVjtIdVa-UlsCw"", ""Interns!D:D""), 
   IMPORTRANGE(""1RdEdgHYrZ33LJ7RUHj_h-qkAFL92bcVjtIdVa-UlsCw"", ""Interns!N:N""), 
   ""Not Found"")"),"#Cheers4Careers")</f>
        <v>#Cheers4Careers</v>
      </c>
      <c r="AM557" s="23" t="str">
        <f>IFERROR(__xludf.DUMMYFUNCTION("XLOOKUP(C557, 
   IMPORTRANGE(""1RdEdgHYrZ33LJ7RUHj_h-qkAFL92bcVjtIdVa-UlsCw"", ""Interns!D:D""), 
   IMPORTRANGE(""1RdEdgHYrZ33LJ7RUHj_h-qkAFL92bcVjtIdVa-UlsCw"", ""Interns!O:O""), 
   ""Not Found"")"),"Ousmane reached out by email 3/26 ")</f>
        <v>Ousmane reached out by email 3/26 </v>
      </c>
      <c r="AN557" s="23"/>
      <c r="AO557" s="23" t="s">
        <v>8958</v>
      </c>
      <c r="AP557" s="28" t="s">
        <v>5182</v>
      </c>
      <c r="AQ557" s="28" t="s">
        <v>8959</v>
      </c>
      <c r="AR557" s="23" t="s">
        <v>8960</v>
      </c>
      <c r="AS557" s="23"/>
      <c r="AT557" s="23"/>
      <c r="AU557" s="23"/>
      <c r="AV557" s="23"/>
    </row>
    <row r="558">
      <c r="A558" s="28" t="s">
        <v>5161</v>
      </c>
      <c r="B558" s="28" t="s">
        <v>5162</v>
      </c>
      <c r="C558" s="23" t="str">
        <f t="shared" si="1"/>
        <v>Joselyn Chisag</v>
      </c>
      <c r="D558" s="28" t="s">
        <v>8810</v>
      </c>
      <c r="E558" s="28" t="s">
        <v>8961</v>
      </c>
      <c r="F558" s="23" t="str">
        <f t="array" ref="F558">IFERROR(
    INDEX('Hub Interns 226'!A:A, MATCH(C558, 'Hub Interns 226'!B:B, 0)),"")</f>
        <v/>
      </c>
      <c r="G558" s="23">
        <f t="array" ref="G558">IFERROR(
    INDEX('Hub Users 226'!A:A, MATCH(C558, 'Hub Users 226'!B:B, 0)),"")</f>
        <v>1937</v>
      </c>
      <c r="H558" s="28">
        <v>1803.0</v>
      </c>
      <c r="I558" s="28" t="s">
        <v>290</v>
      </c>
      <c r="J558" s="28" t="s">
        <v>2388</v>
      </c>
      <c r="K558" s="28" t="s">
        <v>5463</v>
      </c>
      <c r="L558" s="28" t="s">
        <v>5196</v>
      </c>
      <c r="M558" s="56" t="s">
        <v>8962</v>
      </c>
      <c r="N558" s="57">
        <v>45336.80972222222</v>
      </c>
      <c r="O558" s="58">
        <v>39264.0</v>
      </c>
      <c r="P558" s="28">
        <f t="shared" si="20"/>
        <v>18</v>
      </c>
      <c r="Q558" s="28" t="s">
        <v>8963</v>
      </c>
      <c r="R558" s="28" t="s">
        <v>8964</v>
      </c>
      <c r="S558" s="28">
        <v>8.0</v>
      </c>
      <c r="T558" s="28">
        <v>25.0</v>
      </c>
      <c r="U558" s="28">
        <v>55.0</v>
      </c>
      <c r="V558" s="28">
        <v>37.0</v>
      </c>
      <c r="W558" s="28" t="s">
        <v>294</v>
      </c>
      <c r="X558" s="28" t="s">
        <v>272</v>
      </c>
      <c r="Y558" s="28">
        <v>2.01628187E9</v>
      </c>
      <c r="Z558" s="28" t="s">
        <v>5259</v>
      </c>
      <c r="AA558" s="28" t="s">
        <v>704</v>
      </c>
      <c r="AB558" s="28">
        <v>2.0</v>
      </c>
      <c r="AC558" s="28" t="s">
        <v>27</v>
      </c>
      <c r="AD558" s="23"/>
      <c r="AE558" s="28" t="s">
        <v>18</v>
      </c>
      <c r="AF558" s="23"/>
      <c r="AG558" s="26" t="s">
        <v>5316</v>
      </c>
      <c r="AH558" s="23" t="str">
        <f>IFERROR(__xludf.DUMMYFUNCTION("IF(
ISNUMBER(MATCH(
C558,
IMPORTRANGE(""https://docs.google.com/spreadsheets/d/1yTh1ELC33JHYOeEdgIiEclxPRyh0zOKtlawDltfUay8"",""'Interns'!A:A""),
0
)),
""Outreach Conducted"",
"""")"),"")</f>
        <v/>
      </c>
      <c r="AI558" s="23"/>
      <c r="AJ558" s="23"/>
      <c r="AK558" s="23" t="str">
        <f>IFERROR(__xludf.DUMMYFUNCTION("XLOOKUP(C558, 
   IMPORTRANGE(""1RdEdgHYrZ33LJ7RUHj_h-qkAFL92bcVjtIdVa-UlsCw"", ""Interns!D:D""), 
   IMPORTRANGE(""1RdEdgHYrZ33LJ7RUHj_h-qkAFL92bcVjtIdVa-UlsCw"", ""Interns!M:M""), 
   ""Not Found"")"),"Contacted")</f>
        <v>Contacted</v>
      </c>
      <c r="AL558" s="23" t="str">
        <f>IFERROR(__xludf.DUMMYFUNCTION("XLOOKUP(C558, 
   IMPORTRANGE(""1RdEdgHYrZ33LJ7RUHj_h-qkAFL92bcVjtIdVa-UlsCw"", ""Interns!D:D""), 
   IMPORTRANGE(""1RdEdgHYrZ33LJ7RUHj_h-qkAFL92bcVjtIdVa-UlsCw"", ""Interns!N:N""), 
   ""Not Found"")"),"#Cheers4Careers")</f>
        <v>#Cheers4Careers</v>
      </c>
      <c r="AM558" s="23" t="str">
        <f>IFERROR(__xludf.DUMMYFUNCTION("XLOOKUP(C558, 
   IMPORTRANGE(""1RdEdgHYrZ33LJ7RUHj_h-qkAFL92bcVjtIdVa-UlsCw"", ""Interns!D:D""), 
   IMPORTRANGE(""1RdEdgHYrZ33LJ7RUHj_h-qkAFL92bcVjtIdVa-UlsCw"", ""Interns!O:O""), 
   ""Not Found"")"),"Ousmane reached out by email 3/26 and reach out by text 3/28")</f>
        <v>Ousmane reached out by email 3/26 and reach out by text 3/28</v>
      </c>
      <c r="AN558" s="23"/>
      <c r="AO558" s="23" t="s">
        <v>8965</v>
      </c>
      <c r="AP558" s="28" t="s">
        <v>5182</v>
      </c>
      <c r="AQ558" s="28" t="s">
        <v>8966</v>
      </c>
      <c r="AR558" s="23">
        <v>8.623382575E9</v>
      </c>
      <c r="AS558" s="23"/>
      <c r="AT558" s="23"/>
      <c r="AU558" s="23"/>
      <c r="AV558" s="23"/>
    </row>
    <row r="559">
      <c r="A559" s="28" t="s">
        <v>5161</v>
      </c>
      <c r="B559" s="28" t="s">
        <v>5162</v>
      </c>
      <c r="C559" s="23" t="str">
        <f t="shared" si="1"/>
        <v>Anthony Angelo Chaluisa</v>
      </c>
      <c r="D559" s="28" t="s">
        <v>8967</v>
      </c>
      <c r="E559" s="28" t="s">
        <v>8968</v>
      </c>
      <c r="F559" s="23">
        <f t="array" ref="F559">IFERROR(
    INDEX('Hub Interns 226'!A:A, MATCH(C559, 'Hub Interns 226'!B:B, 0)),"")</f>
        <v>142</v>
      </c>
      <c r="G559" s="23">
        <f t="array" ref="G559">IFERROR(
    INDEX('Hub Users 226'!A:A, MATCH(C559, 'Hub Users 226'!B:B, 0)),"")</f>
        <v>575</v>
      </c>
      <c r="H559" s="28">
        <v>1303.0</v>
      </c>
      <c r="I559" s="28" t="s">
        <v>239</v>
      </c>
      <c r="J559" s="28" t="s">
        <v>2388</v>
      </c>
      <c r="K559" s="28" t="s">
        <v>5463</v>
      </c>
      <c r="L559" s="28" t="s">
        <v>5165</v>
      </c>
      <c r="M559" s="56" t="s">
        <v>8969</v>
      </c>
      <c r="N559" s="59">
        <v>44846.63333333333</v>
      </c>
      <c r="O559" s="58">
        <v>39089.0</v>
      </c>
      <c r="P559" s="28">
        <f t="shared" si="20"/>
        <v>19</v>
      </c>
      <c r="Q559" s="28" t="s">
        <v>240</v>
      </c>
      <c r="R559" s="28" t="s">
        <v>8970</v>
      </c>
      <c r="S559" s="28">
        <v>15.0</v>
      </c>
      <c r="T559" s="28">
        <v>33.0</v>
      </c>
      <c r="U559" s="28">
        <v>80.0</v>
      </c>
      <c r="V559" s="28">
        <v>13.0</v>
      </c>
      <c r="W559" s="28" t="s">
        <v>859</v>
      </c>
      <c r="X559" s="28" t="s">
        <v>272</v>
      </c>
      <c r="Y559" s="28" t="s">
        <v>8971</v>
      </c>
      <c r="Z559" s="28" t="s">
        <v>5918</v>
      </c>
      <c r="AA559" s="28" t="s">
        <v>477</v>
      </c>
      <c r="AB559" s="28">
        <v>15.0</v>
      </c>
      <c r="AC559" s="28" t="s">
        <v>23</v>
      </c>
      <c r="AD559" s="28" t="s">
        <v>101</v>
      </c>
      <c r="AE559" s="28" t="s">
        <v>15</v>
      </c>
      <c r="AF559" s="23"/>
      <c r="AG559" s="23"/>
      <c r="AH559" s="23" t="str">
        <f>IFERROR(__xludf.DUMMYFUNCTION("IF(
ISNUMBER(MATCH(
C559,
IMPORTRANGE(""https://docs.google.com/spreadsheets/d/1yTh1ELC33JHYOeEdgIiEclxPRyh0zOKtlawDltfUay8"",""'Interns'!A:A""),
0
)),
""Outreach Conducted"",
"""")"),"")</f>
        <v/>
      </c>
      <c r="AI559" s="23"/>
      <c r="AJ559" s="23"/>
      <c r="AK559" s="23" t="str">
        <f>IFERROR(__xludf.DUMMYFUNCTION("XLOOKUP(C559, 
   IMPORTRANGE(""1RdEdgHYrZ33LJ7RUHj_h-qkAFL92bcVjtIdVa-UlsCw"", ""Interns!D:D""), 
   IMPORTRANGE(""1RdEdgHYrZ33LJ7RUHj_h-qkAFL92bcVjtIdVa-UlsCw"", ""Interns!M:M""), 
   ""Not Found"")"),"")</f>
        <v/>
      </c>
      <c r="AL559" s="23" t="str">
        <f>IFERROR(__xludf.DUMMYFUNCTION("XLOOKUP(C559, 
   IMPORTRANGE(""1RdEdgHYrZ33LJ7RUHj_h-qkAFL92bcVjtIdVa-UlsCw"", ""Interns!D:D""), 
   IMPORTRANGE(""1RdEdgHYrZ33LJ7RUHj_h-qkAFL92bcVjtIdVa-UlsCw"", ""Interns!N:N""), 
   ""Not Found"")"),"")</f>
        <v/>
      </c>
      <c r="AM559" s="23" t="str">
        <f>IFERROR(__xludf.DUMMYFUNCTION("XLOOKUP(C559, 
   IMPORTRANGE(""1RdEdgHYrZ33LJ7RUHj_h-qkAFL92bcVjtIdVa-UlsCw"", ""Interns!D:D""), 
   IMPORTRANGE(""1RdEdgHYrZ33LJ7RUHj_h-qkAFL92bcVjtIdVa-UlsCw"", ""Interns!O:O""), 
   ""Not Found"")"),"")</f>
        <v/>
      </c>
      <c r="AN559" s="23"/>
      <c r="AO559" s="23" t="s">
        <v>8972</v>
      </c>
      <c r="AP559" s="28" t="s">
        <v>5182</v>
      </c>
      <c r="AQ559" s="28"/>
      <c r="AR559" s="23"/>
      <c r="AS559" s="23"/>
      <c r="AT559" s="23"/>
      <c r="AU559" s="23"/>
      <c r="AV559" s="23"/>
    </row>
    <row r="560">
      <c r="A560" s="28" t="s">
        <v>5202</v>
      </c>
      <c r="B560" s="28" t="s">
        <v>5162</v>
      </c>
      <c r="C560" s="23" t="str">
        <f t="shared" si="1"/>
        <v>Youssef Marzouk</v>
      </c>
      <c r="D560" s="28" t="s">
        <v>8973</v>
      </c>
      <c r="E560" s="28" t="s">
        <v>8974</v>
      </c>
      <c r="F560" s="23">
        <f t="array" ref="F560">IFERROR(
    INDEX('Hub Interns 226'!A:A, MATCH(C560, 'Hub Interns 226'!B:B, 0)),"")</f>
        <v>1232</v>
      </c>
      <c r="G560" s="23">
        <f t="array" ref="G560">IFERROR(
    INDEX('Hub Users 226'!A:A, MATCH(C560, 'Hub Users 226'!B:B, 0)),"")</f>
        <v>1665</v>
      </c>
      <c r="H560" s="28">
        <v>550.0</v>
      </c>
      <c r="I560" s="28" t="s">
        <v>1235</v>
      </c>
      <c r="J560" s="28" t="s">
        <v>8975</v>
      </c>
      <c r="K560" s="28" t="s">
        <v>5245</v>
      </c>
      <c r="L560" s="28" t="s">
        <v>5165</v>
      </c>
      <c r="M560" s="56" t="s">
        <v>8976</v>
      </c>
      <c r="N560" s="57">
        <v>44477.55486111111</v>
      </c>
      <c r="O560" s="58">
        <v>38205.0</v>
      </c>
      <c r="P560" s="28">
        <f t="shared" si="20"/>
        <v>21</v>
      </c>
      <c r="Q560" s="28" t="s">
        <v>240</v>
      </c>
      <c r="R560" s="28" t="s">
        <v>8977</v>
      </c>
      <c r="S560" s="28">
        <v>6.0</v>
      </c>
      <c r="T560" s="28">
        <v>16.0</v>
      </c>
      <c r="U560" s="28">
        <v>40.0</v>
      </c>
      <c r="V560" s="28">
        <v>20.0</v>
      </c>
      <c r="W560" s="28" t="s">
        <v>1173</v>
      </c>
      <c r="X560" s="28" t="s">
        <v>272</v>
      </c>
      <c r="Y560" s="28" t="s">
        <v>8978</v>
      </c>
      <c r="Z560" s="28" t="s">
        <v>5189</v>
      </c>
      <c r="AA560" s="28" t="s">
        <v>619</v>
      </c>
      <c r="AB560" s="28">
        <v>20.0</v>
      </c>
      <c r="AC560" s="28" t="s">
        <v>25</v>
      </c>
      <c r="AD560" s="23"/>
      <c r="AE560" s="28" t="s">
        <v>10</v>
      </c>
      <c r="AF560" s="23" t="str">
        <f>IFERROR(__xludf.DUMMYFUNCTION("TEXTJOIN("", "", TRUE,
  FILTER(Champions!C:C,
    ISNUMBER(SEARCH(C560, Champions!W:W))
  )
)"),"Emily Davis, Madhumitha Sowndararajan")</f>
        <v>Emily Davis, Madhumitha Sowndararajan</v>
      </c>
      <c r="AG560" s="23"/>
      <c r="AH560" s="23" t="str">
        <f>IFERROR(__xludf.DUMMYFUNCTION("IF(
ISNUMBER(MATCH(
C560,
IMPORTRANGE(""https://docs.google.com/spreadsheets/d/1yTh1ELC33JHYOeEdgIiEclxPRyh0zOKtlawDltfUay8"",""'Interns'!A:A""),
0
)),
""Outreach Conducted"",
"""")"),"")</f>
        <v/>
      </c>
      <c r="AI560" s="23"/>
      <c r="AJ560" s="23"/>
      <c r="AK560" s="23" t="str">
        <f>IFERROR(__xludf.DUMMYFUNCTION("XLOOKUP(C560, 
   IMPORTRANGE(""1RdEdgHYrZ33LJ7RUHj_h-qkAFL92bcVjtIdVa-UlsCw"", ""Interns!D:D""), 
   IMPORTRANGE(""1RdEdgHYrZ33LJ7RUHj_h-qkAFL92bcVjtIdVa-UlsCw"", ""Interns!M:M""), 
   ""Not Found"")"),"")</f>
        <v/>
      </c>
      <c r="AL560" s="23" t="str">
        <f>IFERROR(__xludf.DUMMYFUNCTION("XLOOKUP(C560, 
   IMPORTRANGE(""1RdEdgHYrZ33LJ7RUHj_h-qkAFL92bcVjtIdVa-UlsCw"", ""Interns!D:D""), 
   IMPORTRANGE(""1RdEdgHYrZ33LJ7RUHj_h-qkAFL92bcVjtIdVa-UlsCw"", ""Interns!N:N""), 
   ""Not Found"")"),"")</f>
        <v/>
      </c>
      <c r="AM560" s="23" t="str">
        <f>IFERROR(__xludf.DUMMYFUNCTION("XLOOKUP(C560, 
   IMPORTRANGE(""1RdEdgHYrZ33LJ7RUHj_h-qkAFL92bcVjtIdVa-UlsCw"", ""Interns!D:D""), 
   IMPORTRANGE(""1RdEdgHYrZ33LJ7RUHj_h-qkAFL92bcVjtIdVa-UlsCw"", ""Interns!O:O""), 
   ""Not Found"")"),"")</f>
        <v/>
      </c>
      <c r="AN560" s="23"/>
      <c r="AO560" s="23" t="s">
        <v>8979</v>
      </c>
      <c r="AP560" s="28" t="s">
        <v>5989</v>
      </c>
      <c r="AQ560" s="28" t="s">
        <v>8976</v>
      </c>
      <c r="AR560" s="23" t="s">
        <v>8978</v>
      </c>
      <c r="AS560" s="23"/>
      <c r="AT560" s="23"/>
      <c r="AU560" s="23"/>
      <c r="AV560" s="23"/>
    </row>
    <row r="561">
      <c r="A561" s="28" t="s">
        <v>5202</v>
      </c>
      <c r="B561" s="28" t="s">
        <v>31</v>
      </c>
      <c r="C561" s="23" t="str">
        <f t="shared" si="1"/>
        <v>Emily Cosquillo</v>
      </c>
      <c r="D561" s="28" t="s">
        <v>1285</v>
      </c>
      <c r="E561" s="28" t="s">
        <v>8462</v>
      </c>
      <c r="F561" s="23">
        <f t="array" ref="F561">IFERROR(
    INDEX('Hub Interns 226'!A:A, MATCH(C561, 'Hub Interns 226'!B:B, 0)),"")</f>
        <v>40</v>
      </c>
      <c r="G561" s="23">
        <f t="array" ref="G561">IFERROR(
    INDEX('Hub Users 226'!A:A, MATCH(C561, 'Hub Users 226'!B:B, 0)),"")</f>
        <v>473</v>
      </c>
      <c r="H561" s="28">
        <v>825.0</v>
      </c>
      <c r="I561" s="28" t="s">
        <v>260</v>
      </c>
      <c r="J561" s="28"/>
      <c r="K561" s="28"/>
      <c r="L561" s="28" t="s">
        <v>5196</v>
      </c>
      <c r="M561" s="56" t="s">
        <v>8980</v>
      </c>
      <c r="N561" s="57">
        <v>44572.65277777778</v>
      </c>
      <c r="O561" s="58">
        <v>38546.0</v>
      </c>
      <c r="P561" s="28">
        <f t="shared" si="20"/>
        <v>20</v>
      </c>
      <c r="Q561" s="28" t="s">
        <v>240</v>
      </c>
      <c r="R561" s="28" t="s">
        <v>8981</v>
      </c>
      <c r="S561" s="28"/>
      <c r="T561" s="28"/>
      <c r="U561" s="28"/>
      <c r="V561" s="28">
        <v>37.0</v>
      </c>
      <c r="W561" s="28" t="s">
        <v>294</v>
      </c>
      <c r="X561" s="28" t="s">
        <v>272</v>
      </c>
      <c r="Y561" s="28" t="s">
        <v>8465</v>
      </c>
      <c r="Z561" s="28" t="s">
        <v>5259</v>
      </c>
      <c r="AA561" s="28" t="s">
        <v>704</v>
      </c>
      <c r="AB561" s="28">
        <v>2.0</v>
      </c>
      <c r="AC561" s="28" t="s">
        <v>8982</v>
      </c>
      <c r="AD561" s="23"/>
      <c r="AE561" s="28" t="s">
        <v>10</v>
      </c>
      <c r="AF561" s="23"/>
      <c r="AG561" s="23"/>
      <c r="AH561" s="23" t="str">
        <f>IFERROR(__xludf.DUMMYFUNCTION("IF(
ISNUMBER(MATCH(
C561,
IMPORTRANGE(""https://docs.google.com/spreadsheets/d/1yTh1ELC33JHYOeEdgIiEclxPRyh0zOKtlawDltfUay8"",""'Interns'!A:A""),
0
)),
""Outreach Conducted"",
"""")"),"")</f>
        <v/>
      </c>
      <c r="AI561" s="23"/>
      <c r="AJ561" s="23"/>
      <c r="AK561" s="23" t="str">
        <f>IFERROR(__xludf.DUMMYFUNCTION("XLOOKUP(C561, 
   IMPORTRANGE(""1RdEdgHYrZ33LJ7RUHj_h-qkAFL92bcVjtIdVa-UlsCw"", ""Interns!C:C""), 
   IMPORTRANGE(""1RdEdgHYrZ33LJ7RUHj_h-qkAFL92bcVjtIdVa-UlsCw"", ""Interns!N:N""), 
   ""Not Found"")"),"Not Found")</f>
        <v>Not Found</v>
      </c>
      <c r="AL561" s="23" t="str">
        <f>IFERROR(__xludf.DUMMYFUNCTION("XLOOKUP(C561, 
   IMPORTRANGE(""1RdEdgHYrZ33LJ7RUHj_h-qkAFL92bcVjtIdVa-UlsCw"", ""Interns!D:D""), 
   IMPORTRANGE(""1RdEdgHYrZ33LJ7RUHj_h-qkAFL92bcVjtIdVa-UlsCw"", ""Interns!N:N""), 
   ""Not Found"")"),"")</f>
        <v/>
      </c>
      <c r="AM561" s="23" t="str">
        <f>IFERROR(__xludf.DUMMYFUNCTION("XLOOKUP(C561, 
   IMPORTRANGE(""1RdEdgHYrZ33LJ7RUHj_h-qkAFL92bcVjtIdVa-UlsCw"", ""Interns!D:D""), 
   IMPORTRANGE(""1RdEdgHYrZ33LJ7RUHj_h-qkAFL92bcVjtIdVa-UlsCw"", ""Interns!O:O""), 
   ""Not Found"")"),"")</f>
        <v/>
      </c>
      <c r="AN561" s="23"/>
      <c r="AO561" s="23" t="s">
        <v>8983</v>
      </c>
      <c r="AP561" s="28" t="s">
        <v>5182</v>
      </c>
      <c r="AQ561" s="28"/>
      <c r="AR561" s="23"/>
      <c r="AS561" s="23"/>
      <c r="AT561" s="23"/>
      <c r="AU561" s="23"/>
      <c r="AV561" s="23"/>
    </row>
    <row r="562">
      <c r="A562" s="28" t="s">
        <v>5161</v>
      </c>
      <c r="B562" s="28" t="s">
        <v>5162</v>
      </c>
      <c r="C562" s="23" t="str">
        <f t="shared" si="1"/>
        <v>Melany Cumbal</v>
      </c>
      <c r="D562" s="28" t="s">
        <v>8984</v>
      </c>
      <c r="E562" s="28" t="s">
        <v>8985</v>
      </c>
      <c r="F562" s="23">
        <f t="array" ref="F562">IFERROR(
    INDEX('Hub Interns 226'!A:A, MATCH(C562, 'Hub Interns 226'!B:B, 0)),"")</f>
        <v>868</v>
      </c>
      <c r="G562" s="23">
        <f t="array" ref="G562">IFERROR(
    INDEX('Hub Users 226'!A:A, MATCH(C562, 'Hub Users 226'!B:B, 0)),"")</f>
        <v>1301</v>
      </c>
      <c r="H562" s="28">
        <v>1260.0</v>
      </c>
      <c r="I562" s="28" t="s">
        <v>260</v>
      </c>
      <c r="J562" s="28" t="s">
        <v>2388</v>
      </c>
      <c r="K562" s="28" t="s">
        <v>5463</v>
      </c>
      <c r="L562" s="28" t="s">
        <v>5196</v>
      </c>
      <c r="M562" s="56" t="s">
        <v>8986</v>
      </c>
      <c r="N562" s="59">
        <v>44845.39166666667</v>
      </c>
      <c r="O562" s="58">
        <v>39119.0</v>
      </c>
      <c r="P562" s="28">
        <f t="shared" si="20"/>
        <v>19</v>
      </c>
      <c r="Q562" s="28" t="s">
        <v>240</v>
      </c>
      <c r="R562" s="28" t="s">
        <v>8987</v>
      </c>
      <c r="S562" s="28">
        <v>13.0</v>
      </c>
      <c r="T562" s="28">
        <v>33.0</v>
      </c>
      <c r="U562" s="28">
        <v>86.0</v>
      </c>
      <c r="V562" s="28">
        <v>14.0</v>
      </c>
      <c r="W562" s="28" t="s">
        <v>859</v>
      </c>
      <c r="X562" s="28" t="s">
        <v>272</v>
      </c>
      <c r="Y562" s="28" t="s">
        <v>8988</v>
      </c>
      <c r="Z562" s="28" t="s">
        <v>5918</v>
      </c>
      <c r="AA562" s="28" t="s">
        <v>477</v>
      </c>
      <c r="AB562" s="28">
        <v>15.0</v>
      </c>
      <c r="AC562" s="28" t="s">
        <v>23</v>
      </c>
      <c r="AD562" s="23"/>
      <c r="AE562" s="28" t="s">
        <v>15</v>
      </c>
      <c r="AF562" s="23"/>
      <c r="AG562" s="23"/>
      <c r="AH562" s="23" t="str">
        <f>IFERROR(__xludf.DUMMYFUNCTION("IF(
ISNUMBER(MATCH(
C562,
IMPORTRANGE(""https://docs.google.com/spreadsheets/d/1yTh1ELC33JHYOeEdgIiEclxPRyh0zOKtlawDltfUay8"",""'Interns'!A:A""),
0
)),
""Outreach Conducted"",
"""")"),"")</f>
        <v/>
      </c>
      <c r="AI562" s="23"/>
      <c r="AJ562" s="23"/>
      <c r="AK562" s="23" t="str">
        <f>IFERROR(__xludf.DUMMYFUNCTION("XLOOKUP(C562, 
   IMPORTRANGE(""1RdEdgHYrZ33LJ7RUHj_h-qkAFL92bcVjtIdVa-UlsCw"", ""Interns!D:D""), 
   IMPORTRANGE(""1RdEdgHYrZ33LJ7RUHj_h-qkAFL92bcVjtIdVa-UlsCw"", ""Interns!M:M""), 
   ""Not Found"")"),"")</f>
        <v/>
      </c>
      <c r="AL562" s="23" t="str">
        <f>IFERROR(__xludf.DUMMYFUNCTION("XLOOKUP(C562, 
   IMPORTRANGE(""1RdEdgHYrZ33LJ7RUHj_h-qkAFL92bcVjtIdVa-UlsCw"", ""Interns!D:D""), 
   IMPORTRANGE(""1RdEdgHYrZ33LJ7RUHj_h-qkAFL92bcVjtIdVa-UlsCw"", ""Interns!N:N""), 
   ""Not Found"")"),"")</f>
        <v/>
      </c>
      <c r="AM562" s="23" t="str">
        <f>IFERROR(__xludf.DUMMYFUNCTION("XLOOKUP(C562, 
   IMPORTRANGE(""1RdEdgHYrZ33LJ7RUHj_h-qkAFL92bcVjtIdVa-UlsCw"", ""Interns!D:D""), 
   IMPORTRANGE(""1RdEdgHYrZ33LJ7RUHj_h-qkAFL92bcVjtIdVa-UlsCw"", ""Interns!O:O""), 
   ""Not Found"")"),"")</f>
        <v/>
      </c>
      <c r="AN562" s="23"/>
      <c r="AO562" s="23" t="s">
        <v>8989</v>
      </c>
      <c r="AP562" s="28" t="s">
        <v>5191</v>
      </c>
      <c r="AQ562" s="28" t="s">
        <v>8990</v>
      </c>
      <c r="AR562" s="23">
        <v>9.176244639E9</v>
      </c>
      <c r="AS562" s="23"/>
      <c r="AT562" s="23"/>
      <c r="AU562" s="23"/>
      <c r="AV562" s="23"/>
    </row>
    <row r="563">
      <c r="A563" s="28" t="s">
        <v>5161</v>
      </c>
      <c r="B563" s="28" t="s">
        <v>5162</v>
      </c>
      <c r="C563" s="23" t="str">
        <f t="shared" si="1"/>
        <v>Nathaly Cosquillo</v>
      </c>
      <c r="D563" s="28" t="s">
        <v>8845</v>
      </c>
      <c r="E563" s="28" t="s">
        <v>8462</v>
      </c>
      <c r="F563" s="23" t="str">
        <f t="array" ref="F563">IFERROR(
    INDEX('Hub Interns 226'!A:A, MATCH(C563, 'Hub Interns 226'!B:B, 0)),"")</f>
        <v/>
      </c>
      <c r="G563" s="23">
        <f t="array" ref="G563">IFERROR(
    INDEX('Hub Users 226'!A:A, MATCH(C563, 'Hub Users 226'!B:B, 0)),"")</f>
        <v>1898</v>
      </c>
      <c r="H563" s="28">
        <v>1795.0</v>
      </c>
      <c r="I563" s="28" t="s">
        <v>785</v>
      </c>
      <c r="J563" s="28" t="s">
        <v>2388</v>
      </c>
      <c r="K563" s="28" t="s">
        <v>5463</v>
      </c>
      <c r="L563" s="28" t="s">
        <v>5196</v>
      </c>
      <c r="M563" s="56" t="s">
        <v>8991</v>
      </c>
      <c r="N563" s="57">
        <v>45314.95486111111</v>
      </c>
      <c r="O563" s="58"/>
      <c r="P563" s="28">
        <f t="shared" si="20"/>
        <v>126</v>
      </c>
      <c r="Q563" s="28" t="s">
        <v>8992</v>
      </c>
      <c r="R563" s="28" t="s">
        <v>8993</v>
      </c>
      <c r="S563" s="28">
        <v>7.0</v>
      </c>
      <c r="T563" s="28">
        <v>18.0</v>
      </c>
      <c r="U563" s="28">
        <v>53.0</v>
      </c>
      <c r="V563" s="28">
        <v>37.0</v>
      </c>
      <c r="W563" s="28" t="s">
        <v>294</v>
      </c>
      <c r="X563" s="28" t="s">
        <v>272</v>
      </c>
      <c r="Y563" s="23"/>
      <c r="Z563" s="28" t="s">
        <v>5259</v>
      </c>
      <c r="AA563" s="28" t="s">
        <v>704</v>
      </c>
      <c r="AB563" s="28">
        <v>2.0</v>
      </c>
      <c r="AC563" s="28" t="s">
        <v>27</v>
      </c>
      <c r="AD563" s="28" t="s">
        <v>101</v>
      </c>
      <c r="AE563" s="28" t="s">
        <v>18</v>
      </c>
      <c r="AF563" s="23"/>
      <c r="AG563" s="23"/>
      <c r="AH563" s="23" t="str">
        <f>IFERROR(__xludf.DUMMYFUNCTION("IF(
ISNUMBER(MATCH(
C563,
IMPORTRANGE(""https://docs.google.com/spreadsheets/d/1yTh1ELC33JHYOeEdgIiEclxPRyh0zOKtlawDltfUay8"",""'Interns'!A:A""),
0
)),
""Outreach Conducted"",
"""")"),"")</f>
        <v/>
      </c>
      <c r="AI563" s="23"/>
      <c r="AJ563" s="23"/>
      <c r="AK563" s="23" t="str">
        <f>IFERROR(__xludf.DUMMYFUNCTION("XLOOKUP(C563, 
   IMPORTRANGE(""1RdEdgHYrZ33LJ7RUHj_h-qkAFL92bcVjtIdVa-UlsCw"", ""Interns!D:D""), 
   IMPORTRANGE(""1RdEdgHYrZ33LJ7RUHj_h-qkAFL92bcVjtIdVa-UlsCw"", ""Interns!M:M""), 
   ""Not Found"")"),"Contacted")</f>
        <v>Contacted</v>
      </c>
      <c r="AL563" s="23" t="str">
        <f>IFERROR(__xludf.DUMMYFUNCTION("XLOOKUP(C563, 
   IMPORTRANGE(""1RdEdgHYrZ33LJ7RUHj_h-qkAFL92bcVjtIdVa-UlsCw"", ""Interns!D:D""), 
   IMPORTRANGE(""1RdEdgHYrZ33LJ7RUHj_h-qkAFL92bcVjtIdVa-UlsCw"", ""Interns!N:N""), 
   ""Not Found"")"),"#Cheers4Careers")</f>
        <v>#Cheers4Careers</v>
      </c>
      <c r="AM563" s="23" t="str">
        <f>IFERROR(__xludf.DUMMYFUNCTION("XLOOKUP(C563, 
   IMPORTRANGE(""1RdEdgHYrZ33LJ7RUHj_h-qkAFL92bcVjtIdVa-UlsCw"", ""Interns!D:D""), 
   IMPORTRANGE(""1RdEdgHYrZ33LJ7RUHj_h-qkAFL92bcVjtIdVa-UlsCw"", ""Interns!O:O""), 
   ""Not Found"")"),"Ousmane reached out by email 3/26 and reach out by text 3/28")</f>
        <v>Ousmane reached out by email 3/26 and reach out by text 3/28</v>
      </c>
      <c r="AN563" s="23"/>
      <c r="AO563" s="23" t="s">
        <v>8983</v>
      </c>
      <c r="AP563" s="28" t="s">
        <v>5182</v>
      </c>
      <c r="AQ563" s="28" t="s">
        <v>8994</v>
      </c>
      <c r="AR563" s="23">
        <v>6.318053406E9</v>
      </c>
      <c r="AS563" s="23"/>
      <c r="AT563" s="23"/>
      <c r="AU563" s="23"/>
      <c r="AV563" s="23"/>
    </row>
    <row r="564">
      <c r="A564" s="28" t="s">
        <v>5161</v>
      </c>
      <c r="B564" s="28" t="s">
        <v>31</v>
      </c>
      <c r="C564" s="23" t="str">
        <f t="shared" si="1"/>
        <v>Moussa Doukoure</v>
      </c>
      <c r="D564" s="28" t="s">
        <v>8995</v>
      </c>
      <c r="E564" s="28" t="s">
        <v>8996</v>
      </c>
      <c r="F564" s="23">
        <f t="array" ref="F564">IFERROR(
    INDEX('Hub Interns 226'!A:A, MATCH(C564, 'Hub Interns 226'!B:B, 0)),"")</f>
        <v>902</v>
      </c>
      <c r="G564" s="23">
        <f t="array" ref="G564">IFERROR(
    INDEX('Hub Users 226'!A:A, MATCH(C564, 'Hub Users 226'!B:B, 0)),"")</f>
        <v>1335</v>
      </c>
      <c r="H564" s="28">
        <v>863.0</v>
      </c>
      <c r="I564" s="28" t="s">
        <v>260</v>
      </c>
      <c r="J564" s="28"/>
      <c r="K564" s="28"/>
      <c r="L564" s="28" t="s">
        <v>5165</v>
      </c>
      <c r="M564" s="56" t="s">
        <v>8997</v>
      </c>
      <c r="N564" s="57">
        <v>44595.563888888886</v>
      </c>
      <c r="O564" s="58">
        <v>37694.0</v>
      </c>
      <c r="P564" s="28">
        <f t="shared" si="20"/>
        <v>23</v>
      </c>
      <c r="Q564" s="28" t="s">
        <v>240</v>
      </c>
      <c r="R564" s="28" t="s">
        <v>8998</v>
      </c>
      <c r="S564" s="28"/>
      <c r="T564" s="28"/>
      <c r="U564" s="28"/>
      <c r="V564" s="28"/>
      <c r="W564" s="28" t="s">
        <v>859</v>
      </c>
      <c r="X564" s="28" t="s">
        <v>272</v>
      </c>
      <c r="Y564" s="28" t="s">
        <v>8999</v>
      </c>
      <c r="Z564" s="28" t="s">
        <v>5208</v>
      </c>
      <c r="AA564" s="28" t="s">
        <v>2141</v>
      </c>
      <c r="AB564" s="28">
        <v>8.0</v>
      </c>
      <c r="AC564" s="28" t="s">
        <v>28</v>
      </c>
      <c r="AD564" s="23"/>
      <c r="AE564" s="28" t="s">
        <v>10</v>
      </c>
      <c r="AF564" s="23"/>
      <c r="AG564" s="23"/>
      <c r="AH564" s="23" t="str">
        <f>IFERROR(__xludf.DUMMYFUNCTION("IF(
ISNUMBER(MATCH(
C564,
IMPORTRANGE(""https://docs.google.com/spreadsheets/d/1yTh1ELC33JHYOeEdgIiEclxPRyh0zOKtlawDltfUay8"",""'Interns'!A:A""),
0
)),
""Outreach Conducted"",
"""")"),"")</f>
        <v/>
      </c>
      <c r="AI564" s="23"/>
      <c r="AJ564" s="23"/>
      <c r="AK564" s="23" t="str">
        <f>IFERROR(__xludf.DUMMYFUNCTION("XLOOKUP(C564, 
   IMPORTRANGE(""1RdEdgHYrZ33LJ7RUHj_h-qkAFL92bcVjtIdVa-UlsCw"", ""Interns!D:D""), 
   IMPORTRANGE(""1RdEdgHYrZ33LJ7RUHj_h-qkAFL92bcVjtIdVa-UlsCw"", ""Interns!M:M""), 
   ""Not Found"")"),"Contacted")</f>
        <v>Contacted</v>
      </c>
      <c r="AL564" s="23" t="str">
        <f>IFERROR(__xludf.DUMMYFUNCTION("XLOOKUP(C564, 
   IMPORTRANGE(""1RdEdgHYrZ33LJ7RUHj_h-qkAFL92bcVjtIdVa-UlsCw"", ""Interns!D:D""), 
   IMPORTRANGE(""1RdEdgHYrZ33LJ7RUHj_h-qkAFL92bcVjtIdVa-UlsCw"", ""Interns!N:N""), 
   ""Not Found"")"),"#Cheers4Careers")</f>
        <v>#Cheers4Careers</v>
      </c>
      <c r="AM564" s="23" t="str">
        <f>IFERROR(__xludf.DUMMYFUNCTION("XLOOKUP(C564, 
   IMPORTRANGE(""1RdEdgHYrZ33LJ7RUHj_h-qkAFL92bcVjtIdVa-UlsCw"", ""Interns!D:D""), 
   IMPORTRANGE(""1RdEdgHYrZ33LJ7RUHj_h-qkAFL92bcVjtIdVa-UlsCw"", ""Interns!O:O""), 
   ""Not Found"")"),"Hetal reached out by email 3/27")</f>
        <v>Hetal reached out by email 3/27</v>
      </c>
      <c r="AN564" s="23"/>
      <c r="AO564" s="23" t="s">
        <v>9000</v>
      </c>
      <c r="AP564" s="28" t="s">
        <v>5908</v>
      </c>
      <c r="AQ564" s="28"/>
      <c r="AR564" s="23"/>
      <c r="AS564" s="23"/>
      <c r="AT564" s="23"/>
      <c r="AU564" s="23"/>
      <c r="AV564" s="23"/>
    </row>
    <row r="565">
      <c r="A565" s="28" t="s">
        <v>5161</v>
      </c>
      <c r="B565" s="28" t="s">
        <v>5162</v>
      </c>
      <c r="C565" s="23" t="str">
        <f t="shared" si="1"/>
        <v>Anthony Chauca</v>
      </c>
      <c r="D565" s="28" t="s">
        <v>9001</v>
      </c>
      <c r="E565" s="28" t="s">
        <v>9002</v>
      </c>
      <c r="F565" s="23">
        <f t="array" ref="F565">IFERROR(
    INDEX('Hub Interns 226'!A:A, MATCH(C565, 'Hub Interns 226'!B:B, 0)),"")</f>
        <v>248</v>
      </c>
      <c r="G565" s="23">
        <f t="array" ref="G565">IFERROR(
    INDEX('Hub Users 226'!A:A, MATCH(C565, 'Hub Users 226'!B:B, 0)),"")</f>
        <v>681</v>
      </c>
      <c r="H565" s="28">
        <v>1082.0</v>
      </c>
      <c r="I565" s="28"/>
      <c r="J565" s="28" t="s">
        <v>2388</v>
      </c>
      <c r="K565" s="28" t="s">
        <v>5463</v>
      </c>
      <c r="L565" s="28" t="s">
        <v>5165</v>
      </c>
      <c r="M565" s="56" t="s">
        <v>9003</v>
      </c>
      <c r="N565" s="57">
        <v>44704.5125</v>
      </c>
      <c r="O565" s="58">
        <v>39406.0</v>
      </c>
      <c r="P565" s="28">
        <f t="shared" si="20"/>
        <v>18</v>
      </c>
      <c r="Q565" s="28" t="s">
        <v>240</v>
      </c>
      <c r="R565" s="28" t="s">
        <v>9004</v>
      </c>
      <c r="S565" s="28"/>
      <c r="T565" s="28"/>
      <c r="U565" s="28"/>
      <c r="V565" s="28"/>
      <c r="W565" s="28" t="s">
        <v>1173</v>
      </c>
      <c r="X565" s="28" t="s">
        <v>272</v>
      </c>
      <c r="Y565" s="28" t="s">
        <v>9005</v>
      </c>
      <c r="Z565" s="28" t="s">
        <v>5352</v>
      </c>
      <c r="AA565" s="28" t="s">
        <v>5287</v>
      </c>
      <c r="AB565" s="28">
        <v>26.0</v>
      </c>
      <c r="AC565" s="28" t="s">
        <v>24</v>
      </c>
      <c r="AD565" s="23"/>
      <c r="AE565" s="28" t="s">
        <v>10</v>
      </c>
      <c r="AF565" s="23"/>
      <c r="AG565" s="23"/>
      <c r="AH565" s="23" t="str">
        <f>IFERROR(__xludf.DUMMYFUNCTION("IF(
ISNUMBER(MATCH(
C565,
IMPORTRANGE(""https://docs.google.com/spreadsheets/d/1yTh1ELC33JHYOeEdgIiEclxPRyh0zOKtlawDltfUay8"",""'Interns'!A:A""),
0
)),
""Outreach Conducted"",
"""")"),"")</f>
        <v/>
      </c>
      <c r="AI565" s="23"/>
      <c r="AJ565" s="23"/>
      <c r="AK565" s="23" t="str">
        <f>IFERROR(__xludf.DUMMYFUNCTION("XLOOKUP(C565, 
   IMPORTRANGE(""1RdEdgHYrZ33LJ7RUHj_h-qkAFL92bcVjtIdVa-UlsCw"", ""Interns!D:D""), 
   IMPORTRANGE(""1RdEdgHYrZ33LJ7RUHj_h-qkAFL92bcVjtIdVa-UlsCw"", ""Interns!M:M""), 
   ""Not Found"")"),"Contacted")</f>
        <v>Contacted</v>
      </c>
      <c r="AL565" s="23" t="str">
        <f>IFERROR(__xludf.DUMMYFUNCTION("XLOOKUP(C565, 
   IMPORTRANGE(""1RdEdgHYrZ33LJ7RUHj_h-qkAFL92bcVjtIdVa-UlsCw"", ""Interns!D:D""), 
   IMPORTRANGE(""1RdEdgHYrZ33LJ7RUHj_h-qkAFL92bcVjtIdVa-UlsCw"", ""Interns!N:N""), 
   ""Not Found"")"),"#Cheers4Careers")</f>
        <v>#Cheers4Careers</v>
      </c>
      <c r="AM565" s="23" t="str">
        <f>IFERROR(__xludf.DUMMYFUNCTION("XLOOKUP(C565, 
   IMPORTRANGE(""1RdEdgHYrZ33LJ7RUHj_h-qkAFL92bcVjtIdVa-UlsCw"", ""Interns!D:D""), 
   IMPORTRANGE(""1RdEdgHYrZ33LJ7RUHj_h-qkAFL92bcVjtIdVa-UlsCw"", ""Interns!O:O""), 
   ""Not Found"")"),"Hetal reached out by email 3/27")</f>
        <v>Hetal reached out by email 3/27</v>
      </c>
      <c r="AN565" s="23"/>
      <c r="AO565" s="23" t="s">
        <v>9006</v>
      </c>
      <c r="AP565" s="28" t="s">
        <v>5182</v>
      </c>
      <c r="AQ565" s="28"/>
      <c r="AR565" s="23"/>
      <c r="AS565" s="23"/>
      <c r="AT565" s="23"/>
      <c r="AU565" s="23"/>
      <c r="AV565" s="23"/>
    </row>
    <row r="566">
      <c r="A566" s="28" t="s">
        <v>5202</v>
      </c>
      <c r="B566" s="28" t="s">
        <v>5162</v>
      </c>
      <c r="C566" s="23" t="str">
        <f t="shared" si="1"/>
        <v>Diego Lojano</v>
      </c>
      <c r="D566" s="28" t="s">
        <v>8097</v>
      </c>
      <c r="E566" s="28" t="s">
        <v>9007</v>
      </c>
      <c r="F566" s="23">
        <f t="array" ref="F566">IFERROR(
    INDEX('Hub Interns 226'!A:A, MATCH(C566, 'Hub Interns 226'!B:B, 0)),"")</f>
        <v>104</v>
      </c>
      <c r="G566" s="23">
        <f t="array" ref="G566">IFERROR(
    INDEX('Hub Users 226'!A:A, MATCH(C566, 'Hub Users 226'!B:B, 0)),"")</f>
        <v>537</v>
      </c>
      <c r="H566" s="28">
        <v>1164.0</v>
      </c>
      <c r="I566" s="28"/>
      <c r="J566" s="28" t="s">
        <v>2388</v>
      </c>
      <c r="K566" s="28" t="s">
        <v>5463</v>
      </c>
      <c r="L566" s="28" t="s">
        <v>5165</v>
      </c>
      <c r="M566" s="56" t="s">
        <v>9008</v>
      </c>
      <c r="N566" s="57">
        <v>44753.725694444445</v>
      </c>
      <c r="O566" s="58">
        <v>38706.0</v>
      </c>
      <c r="P566" s="28">
        <f t="shared" si="20"/>
        <v>20</v>
      </c>
      <c r="Q566" s="28" t="s">
        <v>240</v>
      </c>
      <c r="R566" s="28" t="s">
        <v>9009</v>
      </c>
      <c r="S566" s="28">
        <v>7.0</v>
      </c>
      <c r="T566" s="28">
        <v>18.0</v>
      </c>
      <c r="U566" s="28">
        <v>53.0</v>
      </c>
      <c r="V566" s="28">
        <v>37.0</v>
      </c>
      <c r="W566" s="28" t="s">
        <v>294</v>
      </c>
      <c r="X566" s="28" t="s">
        <v>272</v>
      </c>
      <c r="Y566" s="28" t="s">
        <v>9010</v>
      </c>
      <c r="Z566" s="28" t="s">
        <v>5259</v>
      </c>
      <c r="AA566" s="28" t="s">
        <v>704</v>
      </c>
      <c r="AB566" s="28">
        <v>2.0</v>
      </c>
      <c r="AC566" s="28" t="s">
        <v>23</v>
      </c>
      <c r="AD566" s="23"/>
      <c r="AE566" s="28" t="s">
        <v>15</v>
      </c>
      <c r="AF566" s="23"/>
      <c r="AG566" s="23"/>
      <c r="AH566" s="23" t="str">
        <f>IFERROR(__xludf.DUMMYFUNCTION("IF(
ISNUMBER(MATCH(
C566,
IMPORTRANGE(""https://docs.google.com/spreadsheets/d/1yTh1ELC33JHYOeEdgIiEclxPRyh0zOKtlawDltfUay8"",""'Interns'!A:A""),
0
)),
""Outreach Conducted"",
"""")"),"")</f>
        <v/>
      </c>
      <c r="AI566" s="23"/>
      <c r="AJ566" s="23"/>
      <c r="AK566" s="23" t="str">
        <f>IFERROR(__xludf.DUMMYFUNCTION("XLOOKUP(C566, 
   IMPORTRANGE(""1RdEdgHYrZ33LJ7RUHj_h-qkAFL92bcVjtIdVa-UlsCw"", ""Interns!D:D""), 
   IMPORTRANGE(""1RdEdgHYrZ33LJ7RUHj_h-qkAFL92bcVjtIdVa-UlsCw"", ""Interns!M:M""), 
   ""Not Found"")"),"")</f>
        <v/>
      </c>
      <c r="AL566" s="23" t="str">
        <f>IFERROR(__xludf.DUMMYFUNCTION("XLOOKUP(C566, 
   IMPORTRANGE(""1RdEdgHYrZ33LJ7RUHj_h-qkAFL92bcVjtIdVa-UlsCw"", ""Interns!D:D""), 
   IMPORTRANGE(""1RdEdgHYrZ33LJ7RUHj_h-qkAFL92bcVjtIdVa-UlsCw"", ""Interns!N:N""), 
   ""Not Found"")"),"")</f>
        <v/>
      </c>
      <c r="AM566" s="23" t="str">
        <f>IFERROR(__xludf.DUMMYFUNCTION("XLOOKUP(C566, 
   IMPORTRANGE(""1RdEdgHYrZ33LJ7RUHj_h-qkAFL92bcVjtIdVa-UlsCw"", ""Interns!D:D""), 
   IMPORTRANGE(""1RdEdgHYrZ33LJ7RUHj_h-qkAFL92bcVjtIdVa-UlsCw"", ""Interns!O:O""), 
   ""Not Found"")"),"")</f>
        <v/>
      </c>
      <c r="AN566" s="23"/>
      <c r="AO566" s="23" t="s">
        <v>9011</v>
      </c>
      <c r="AP566" s="28" t="s">
        <v>5182</v>
      </c>
      <c r="AQ566" s="28" t="s">
        <v>9012</v>
      </c>
      <c r="AR566" s="23" t="s">
        <v>9013</v>
      </c>
      <c r="AS566" s="23"/>
      <c r="AT566" s="23"/>
      <c r="AU566" s="23"/>
      <c r="AV566" s="23"/>
    </row>
    <row r="567">
      <c r="A567" s="28" t="s">
        <v>5161</v>
      </c>
      <c r="B567" s="28" t="s">
        <v>5162</v>
      </c>
      <c r="C567" s="23" t="str">
        <f t="shared" si="1"/>
        <v>Karen Pulla</v>
      </c>
      <c r="D567" s="28" t="s">
        <v>1818</v>
      </c>
      <c r="E567" s="28" t="s">
        <v>9014</v>
      </c>
      <c r="F567" s="23">
        <f t="array" ref="F567">IFERROR(
    INDEX('Hub Interns 226'!A:A, MATCH(C567, 'Hub Interns 226'!B:B, 0)),"")</f>
        <v>724</v>
      </c>
      <c r="G567" s="23">
        <f t="array" ref="G567">IFERROR(
    INDEX('Hub Users 226'!A:A, MATCH(C567, 'Hub Users 226'!B:B, 0)),"")</f>
        <v>1157</v>
      </c>
      <c r="H567" s="28">
        <v>426.0</v>
      </c>
      <c r="I567" s="28" t="s">
        <v>260</v>
      </c>
      <c r="J567" s="28" t="s">
        <v>2388</v>
      </c>
      <c r="K567" s="28" t="s">
        <v>5463</v>
      </c>
      <c r="L567" s="28" t="s">
        <v>5196</v>
      </c>
      <c r="M567" s="56" t="s">
        <v>9015</v>
      </c>
      <c r="N567" s="57">
        <v>44314.54652777778</v>
      </c>
      <c r="O567" s="58">
        <v>38631.0</v>
      </c>
      <c r="P567" s="28">
        <f t="shared" si="20"/>
        <v>20</v>
      </c>
      <c r="Q567" s="28" t="s">
        <v>240</v>
      </c>
      <c r="R567" s="28" t="s">
        <v>9016</v>
      </c>
      <c r="S567" s="28">
        <v>13.0</v>
      </c>
      <c r="T567" s="28">
        <v>33.0</v>
      </c>
      <c r="U567" s="28">
        <v>78.0</v>
      </c>
      <c r="V567" s="28">
        <v>15.0</v>
      </c>
      <c r="W567" s="28" t="s">
        <v>859</v>
      </c>
      <c r="X567" s="28" t="s">
        <v>272</v>
      </c>
      <c r="Y567" s="28" t="s">
        <v>9017</v>
      </c>
      <c r="Z567" s="28" t="s">
        <v>5310</v>
      </c>
      <c r="AA567" s="28" t="s">
        <v>362</v>
      </c>
      <c r="AB567" s="28">
        <v>16.0</v>
      </c>
      <c r="AC567" s="28" t="s">
        <v>24</v>
      </c>
      <c r="AD567" s="23"/>
      <c r="AE567" s="28" t="s">
        <v>8</v>
      </c>
      <c r="AF567" s="23"/>
      <c r="AG567" s="23"/>
      <c r="AH567" s="23" t="str">
        <f>IFERROR(__xludf.DUMMYFUNCTION("IF(
ISNUMBER(MATCH(
C567,
IMPORTRANGE(""https://docs.google.com/spreadsheets/d/1yTh1ELC33JHYOeEdgIiEclxPRyh0zOKtlawDltfUay8"",""'Interns'!A:A""),
0
)),
""Outreach Conducted"",
"""")"),"")</f>
        <v/>
      </c>
      <c r="AI567" s="23"/>
      <c r="AJ567" s="23"/>
      <c r="AK567" s="23" t="str">
        <f>IFERROR(__xludf.DUMMYFUNCTION("XLOOKUP(C567, 
   IMPORTRANGE(""1RdEdgHYrZ33LJ7RUHj_h-qkAFL92bcVjtIdVa-UlsCw"", ""Interns!D:D""), 
   IMPORTRANGE(""1RdEdgHYrZ33LJ7RUHj_h-qkAFL92bcVjtIdVa-UlsCw"", ""Interns!M:M""), 
   ""Not Found"")"),"")</f>
        <v/>
      </c>
      <c r="AL567" s="23" t="str">
        <f>IFERROR(__xludf.DUMMYFUNCTION("XLOOKUP(C567, 
   IMPORTRANGE(""1RdEdgHYrZ33LJ7RUHj_h-qkAFL92bcVjtIdVa-UlsCw"", ""Interns!D:D""), 
   IMPORTRANGE(""1RdEdgHYrZ33LJ7RUHj_h-qkAFL92bcVjtIdVa-UlsCw"", ""Interns!N:N""), 
   ""Not Found"")"),"")</f>
        <v/>
      </c>
      <c r="AM567" s="23" t="str">
        <f>IFERROR(__xludf.DUMMYFUNCTION("XLOOKUP(C567, 
   IMPORTRANGE(""1RdEdgHYrZ33LJ7RUHj_h-qkAFL92bcVjtIdVa-UlsCw"", ""Interns!D:D""), 
   IMPORTRANGE(""1RdEdgHYrZ33LJ7RUHj_h-qkAFL92bcVjtIdVa-UlsCw"", ""Interns!O:O""), 
   ""Not Found"")"),"")</f>
        <v/>
      </c>
      <c r="AN567" s="23"/>
      <c r="AO567" s="23" t="s">
        <v>9018</v>
      </c>
      <c r="AP567" s="28" t="s">
        <v>5182</v>
      </c>
      <c r="AQ567" s="28"/>
      <c r="AR567" s="23"/>
      <c r="AS567" s="23"/>
      <c r="AT567" s="23"/>
      <c r="AU567" s="23"/>
      <c r="AV567" s="23"/>
    </row>
    <row r="568">
      <c r="A568" s="67" t="s">
        <v>5202</v>
      </c>
      <c r="B568" s="28" t="s">
        <v>31</v>
      </c>
      <c r="C568" s="23" t="str">
        <f t="shared" si="1"/>
        <v>Raul Alonzo</v>
      </c>
      <c r="D568" s="67" t="s">
        <v>6924</v>
      </c>
      <c r="E568" s="67" t="s">
        <v>6925</v>
      </c>
      <c r="F568" s="23">
        <f t="array" ref="F568">IFERROR(
    INDEX('Hub Interns 226'!A:A, MATCH(C568, 'Hub Interns 226'!B:B, 0)),"")</f>
        <v>1020</v>
      </c>
      <c r="G568" s="23">
        <f t="array" ref="G568">IFERROR(
    INDEX('Hub Users 226'!A:A, MATCH(C568, 'Hub Users 226'!B:B, 0)),"")</f>
        <v>1453</v>
      </c>
      <c r="H568" s="67">
        <v>938.0</v>
      </c>
      <c r="I568" s="28" t="s">
        <v>239</v>
      </c>
      <c r="J568" s="28"/>
      <c r="K568" s="28"/>
      <c r="L568" s="28" t="s">
        <v>5165</v>
      </c>
      <c r="M568" s="56" t="s">
        <v>6926</v>
      </c>
      <c r="N568" s="68">
        <v>44603.48611111111</v>
      </c>
      <c r="O568" s="58">
        <v>38504.0</v>
      </c>
      <c r="P568" s="28">
        <f t="shared" si="20"/>
        <v>20</v>
      </c>
      <c r="Q568" s="28" t="s">
        <v>240</v>
      </c>
      <c r="R568" s="67" t="s">
        <v>6927</v>
      </c>
      <c r="S568" s="67"/>
      <c r="T568" s="67"/>
      <c r="U568" s="67"/>
      <c r="V568" s="67"/>
      <c r="W568" s="67" t="s">
        <v>859</v>
      </c>
      <c r="X568" s="67" t="s">
        <v>272</v>
      </c>
      <c r="Y568" s="67" t="s">
        <v>6928</v>
      </c>
      <c r="Z568" s="67" t="s">
        <v>5208</v>
      </c>
      <c r="AA568" s="67" t="s">
        <v>2141</v>
      </c>
      <c r="AB568" s="28">
        <v>8.0</v>
      </c>
      <c r="AC568" s="28" t="s">
        <v>28</v>
      </c>
      <c r="AD568" s="23"/>
      <c r="AE568" s="67" t="s">
        <v>10</v>
      </c>
      <c r="AF568" s="23"/>
      <c r="AG568" s="23"/>
      <c r="AH568" s="23" t="str">
        <f>IFERROR(__xludf.DUMMYFUNCTION("IF(
ISNUMBER(MATCH(
C568,
IMPORTRANGE(""https://docs.google.com/spreadsheets/d/1yTh1ELC33JHYOeEdgIiEclxPRyh0zOKtlawDltfUay8"",""'Interns'!A:A""),
0
)),
""Outreach Conducted"",
"""")"),"")</f>
        <v/>
      </c>
      <c r="AI568" s="23"/>
      <c r="AJ568" s="23"/>
      <c r="AK568" s="23" t="str">
        <f>IFERROR(__xludf.DUMMYFUNCTION("XLOOKUP(C568, 
   IMPORTRANGE(""1RdEdgHYrZ33LJ7RUHj_h-qkAFL92bcVjtIdVa-UlsCw"", ""Interns!D:D""), 
   IMPORTRANGE(""1RdEdgHYrZ33LJ7RUHj_h-qkAFL92bcVjtIdVa-UlsCw"", ""Interns!M:M""), 
   ""Not Found"")"),"")</f>
        <v/>
      </c>
      <c r="AL568" s="23" t="str">
        <f>IFERROR(__xludf.DUMMYFUNCTION("XLOOKUP(C568, 
   IMPORTRANGE(""1RdEdgHYrZ33LJ7RUHj_h-qkAFL92bcVjtIdVa-UlsCw"", ""Interns!D:D""), 
   IMPORTRANGE(""1RdEdgHYrZ33LJ7RUHj_h-qkAFL92bcVjtIdVa-UlsCw"", ""Interns!N:N""), 
   ""Not Found"")"),"")</f>
        <v/>
      </c>
      <c r="AM568" s="23" t="str">
        <f>IFERROR(__xludf.DUMMYFUNCTION("XLOOKUP(C568, 
   IMPORTRANGE(""1RdEdgHYrZ33LJ7RUHj_h-qkAFL92bcVjtIdVa-UlsCw"", ""Interns!D:D""), 
   IMPORTRANGE(""1RdEdgHYrZ33LJ7RUHj_h-qkAFL92bcVjtIdVa-UlsCw"", ""Interns!O:O""), 
   ""Not Found"")"),"")</f>
        <v/>
      </c>
      <c r="AN568" s="23"/>
      <c r="AO568" s="23" t="s">
        <v>6929</v>
      </c>
      <c r="AP568" s="28" t="s">
        <v>5182</v>
      </c>
      <c r="AQ568" s="28"/>
      <c r="AR568" s="23"/>
      <c r="AS568" s="23"/>
      <c r="AT568" s="23"/>
      <c r="AU568" s="23"/>
      <c r="AV568" s="23"/>
    </row>
    <row r="569">
      <c r="A569" s="28" t="s">
        <v>5161</v>
      </c>
      <c r="B569" s="28" t="s">
        <v>5162</v>
      </c>
      <c r="C569" s="23" t="str">
        <f t="shared" si="1"/>
        <v>Ruth Rodriguez</v>
      </c>
      <c r="D569" s="28" t="s">
        <v>9019</v>
      </c>
      <c r="E569" s="28" t="s">
        <v>536</v>
      </c>
      <c r="F569" s="23">
        <f t="array" ref="F569">IFERROR(
    INDEX('Hub Interns 226'!A:A, MATCH(C569, 'Hub Interns 226'!B:B, 0)),"")</f>
        <v>1438</v>
      </c>
      <c r="G569" s="23">
        <f t="array" ref="G569">IFERROR(
    INDEX('Hub Users 226'!A:A, MATCH(C569, 'Hub Users 226'!B:B, 0)),"")</f>
        <v>1999</v>
      </c>
      <c r="H569" s="28">
        <v>1824.0</v>
      </c>
      <c r="I569" s="28" t="s">
        <v>260</v>
      </c>
      <c r="J569" s="28" t="s">
        <v>2388</v>
      </c>
      <c r="K569" s="28" t="s">
        <v>5463</v>
      </c>
      <c r="L569" s="28" t="s">
        <v>5196</v>
      </c>
      <c r="M569" s="56" t="s">
        <v>9020</v>
      </c>
      <c r="N569" s="57">
        <v>45419.59166666667</v>
      </c>
      <c r="O569" s="58">
        <v>28635.0</v>
      </c>
      <c r="P569" s="28">
        <f t="shared" si="20"/>
        <v>47</v>
      </c>
      <c r="Q569" s="28" t="s">
        <v>9021</v>
      </c>
      <c r="R569" s="28" t="s">
        <v>9022</v>
      </c>
      <c r="S569" s="28">
        <v>8.0</v>
      </c>
      <c r="T569" s="28">
        <v>23.0</v>
      </c>
      <c r="U569" s="28">
        <v>46.0</v>
      </c>
      <c r="V569" s="28">
        <v>47.0</v>
      </c>
      <c r="W569" s="28" t="s">
        <v>294</v>
      </c>
      <c r="X569" s="28" t="s">
        <v>272</v>
      </c>
      <c r="Y569" s="28">
        <v>9.293747908E9</v>
      </c>
      <c r="Z569" s="23"/>
      <c r="AA569" s="23"/>
      <c r="AB569" s="23"/>
      <c r="AC569" s="28" t="s">
        <v>25</v>
      </c>
      <c r="AD569" s="23"/>
      <c r="AE569" s="28" t="s">
        <v>18</v>
      </c>
      <c r="AF569" s="23" t="str">
        <f>IFERROR(__xludf.DUMMYFUNCTION("TEXTJOIN("", "", TRUE,
  FILTER(Champions!C:C,
    ISNUMBER(SEARCH(C569, Champions!W:W))
  )
)"),"Esteban Proaño")</f>
        <v>Esteban Proaño</v>
      </c>
      <c r="AG569" s="23"/>
      <c r="AH569" s="23" t="str">
        <f>IFERROR(__xludf.DUMMYFUNCTION("IF(
ISNUMBER(MATCH(
C569,
IMPORTRANGE(""https://docs.google.com/spreadsheets/d/1yTh1ELC33JHYOeEdgIiEclxPRyh0zOKtlawDltfUay8"",""'Interns'!A:A""),
0
)),
""Outreach Conducted"",
"""")"),"")</f>
        <v/>
      </c>
      <c r="AI569" s="23"/>
      <c r="AJ569" s="23"/>
      <c r="AK569" s="23" t="str">
        <f>IFERROR(__xludf.DUMMYFUNCTION("XLOOKUP(C569, 
   IMPORTRANGE(""1RdEdgHYrZ33LJ7RUHj_h-qkAFL92bcVjtIdVa-UlsCw"", ""Interns!D:D""), 
   IMPORTRANGE(""1RdEdgHYrZ33LJ7RUHj_h-qkAFL92bcVjtIdVa-UlsCw"", ""Interns!M:M""), 
   ""Not Found"")"),"")</f>
        <v/>
      </c>
      <c r="AL569" s="23" t="str">
        <f>IFERROR(__xludf.DUMMYFUNCTION("XLOOKUP(C569, 
   IMPORTRANGE(""1RdEdgHYrZ33LJ7RUHj_h-qkAFL92bcVjtIdVa-UlsCw"", ""Interns!D:D""), 
   IMPORTRANGE(""1RdEdgHYrZ33LJ7RUHj_h-qkAFL92bcVjtIdVa-UlsCw"", ""Interns!N:N""), 
   ""Not Found"")"),"")</f>
        <v/>
      </c>
      <c r="AM569" s="23" t="str">
        <f>IFERROR(__xludf.DUMMYFUNCTION("XLOOKUP(C569, 
   IMPORTRANGE(""1RdEdgHYrZ33LJ7RUHj_h-qkAFL92bcVjtIdVa-UlsCw"", ""Interns!D:D""), 
   IMPORTRANGE(""1RdEdgHYrZ33LJ7RUHj_h-qkAFL92bcVjtIdVa-UlsCw"", ""Interns!O:O""), 
   ""Not Found"")"),"")</f>
        <v/>
      </c>
      <c r="AN569" s="23"/>
      <c r="AO569" s="23"/>
      <c r="AP569" s="28"/>
      <c r="AQ569" s="28"/>
      <c r="AR569" s="23"/>
      <c r="AS569" s="23"/>
      <c r="AT569" s="23"/>
      <c r="AU569" s="23"/>
      <c r="AV569" s="23"/>
    </row>
    <row r="570">
      <c r="A570" s="28" t="s">
        <v>5161</v>
      </c>
      <c r="B570" s="28" t="s">
        <v>5162</v>
      </c>
      <c r="C570" s="23" t="str">
        <f t="shared" si="1"/>
        <v>Genesis Araujo</v>
      </c>
      <c r="D570" s="28" t="s">
        <v>6519</v>
      </c>
      <c r="E570" s="28" t="s">
        <v>9023</v>
      </c>
      <c r="F570" s="23">
        <f t="array" ref="F570">IFERROR(
    INDEX('Hub Interns 226'!A:A, MATCH(C570, 'Hub Interns 226'!B:B, 0)),"")</f>
        <v>542</v>
      </c>
      <c r="G570" s="23">
        <f t="array" ref="G570">IFERROR(
    INDEX('Hub Users 226'!A:A, MATCH(C570, 'Hub Users 226'!B:B, 0)),"")</f>
        <v>975</v>
      </c>
      <c r="H570" s="28">
        <v>703.0</v>
      </c>
      <c r="I570" s="28" t="s">
        <v>260</v>
      </c>
      <c r="J570" s="28" t="s">
        <v>2388</v>
      </c>
      <c r="K570" s="28" t="s">
        <v>5463</v>
      </c>
      <c r="L570" s="28" t="s">
        <v>5196</v>
      </c>
      <c r="M570" s="56" t="s">
        <v>9024</v>
      </c>
      <c r="N570" s="59">
        <v>44546.78125</v>
      </c>
      <c r="O570" s="58">
        <v>38511.0</v>
      </c>
      <c r="P570" s="28">
        <f t="shared" si="20"/>
        <v>20</v>
      </c>
      <c r="Q570" s="28" t="s">
        <v>240</v>
      </c>
      <c r="R570" s="28" t="s">
        <v>9025</v>
      </c>
      <c r="S570" s="28">
        <v>14.0</v>
      </c>
      <c r="T570" s="28">
        <v>13.0</v>
      </c>
      <c r="U570" s="28">
        <v>35.0</v>
      </c>
      <c r="V570" s="28">
        <v>21.0</v>
      </c>
      <c r="W570" s="28" t="s">
        <v>1173</v>
      </c>
      <c r="X570" s="28" t="s">
        <v>272</v>
      </c>
      <c r="Y570" s="28" t="s">
        <v>9026</v>
      </c>
      <c r="Z570" s="28" t="s">
        <v>5483</v>
      </c>
      <c r="AA570" s="28" t="s">
        <v>457</v>
      </c>
      <c r="AB570" s="28">
        <v>25.0</v>
      </c>
      <c r="AC570" s="28" t="s">
        <v>25</v>
      </c>
      <c r="AD570" s="23"/>
      <c r="AE570" s="28" t="s">
        <v>10</v>
      </c>
      <c r="AF570" s="23" t="str">
        <f>IFERROR(__xludf.DUMMYFUNCTION("TEXTJOIN("", "", TRUE,
  FILTER(Champions!C:C,
    ISNUMBER(SEARCH(C570, Champions!W:W))
  )
)"),"Mary Anne Maples, Pritika Kumar, Kemi Shoyinka")</f>
        <v>Mary Anne Maples, Pritika Kumar, Kemi Shoyinka</v>
      </c>
      <c r="AG570" s="23"/>
      <c r="AH570" s="23" t="str">
        <f>IFERROR(__xludf.DUMMYFUNCTION("IF(
ISNUMBER(MATCH(
C570,
IMPORTRANGE(""https://docs.google.com/spreadsheets/d/1yTh1ELC33JHYOeEdgIiEclxPRyh0zOKtlawDltfUay8"",""'Interns'!A:A""),
0
)),
""Outreach Conducted"",
"""")"),"")</f>
        <v/>
      </c>
      <c r="AI570" s="23"/>
      <c r="AJ570" s="23"/>
      <c r="AK570" s="23" t="str">
        <f>IFERROR(__xludf.DUMMYFUNCTION("XLOOKUP(C570, 
   IMPORTRANGE(""1RdEdgHYrZ33LJ7RUHj_h-qkAFL92bcVjtIdVa-UlsCw"", ""Interns!D:D""), 
   IMPORTRANGE(""1RdEdgHYrZ33LJ7RUHj_h-qkAFL92bcVjtIdVa-UlsCw"", ""Interns!M:M""), 
   ""Not Found"")"),"Contacted")</f>
        <v>Contacted</v>
      </c>
      <c r="AL570" s="23" t="str">
        <f>IFERROR(__xludf.DUMMYFUNCTION("XLOOKUP(C570, 
   IMPORTRANGE(""1RdEdgHYrZ33LJ7RUHj_h-qkAFL92bcVjtIdVa-UlsCw"", ""Interns!D:D""), 
   IMPORTRANGE(""1RdEdgHYrZ33LJ7RUHj_h-qkAFL92bcVjtIdVa-UlsCw"", ""Interns!N:N""), 
   ""Not Found"")"),"#Cheers4Careers")</f>
        <v>#Cheers4Careers</v>
      </c>
      <c r="AM570" s="23" t="str">
        <f>IFERROR(__xludf.DUMMYFUNCTION("XLOOKUP(C570, 
   IMPORTRANGE(""1RdEdgHYrZ33LJ7RUHj_h-qkAFL92bcVjtIdVa-UlsCw"", ""Interns!D:D""), 
   IMPORTRANGE(""1RdEdgHYrZ33LJ7RUHj_h-qkAFL92bcVjtIdVa-UlsCw"", ""Interns!O:O""), 
   ""Not Found"")"),"Hetal reached out by email 3/27")</f>
        <v>Hetal reached out by email 3/27</v>
      </c>
      <c r="AN570" s="23"/>
      <c r="AO570" s="23" t="s">
        <v>9027</v>
      </c>
      <c r="AP570" s="28" t="s">
        <v>5191</v>
      </c>
      <c r="AQ570" s="28" t="s">
        <v>9028</v>
      </c>
      <c r="AR570" s="23" t="s">
        <v>9029</v>
      </c>
      <c r="AS570" s="23"/>
      <c r="AT570" s="23"/>
      <c r="AU570" s="23"/>
      <c r="AV570" s="23"/>
    </row>
    <row r="571">
      <c r="A571" s="28" t="s">
        <v>5161</v>
      </c>
      <c r="B571" s="28" t="s">
        <v>5162</v>
      </c>
      <c r="C571" s="23" t="str">
        <f t="shared" si="1"/>
        <v>Ruth (Camila) Sailema</v>
      </c>
      <c r="D571" s="28" t="s">
        <v>9030</v>
      </c>
      <c r="E571" s="28" t="s">
        <v>9031</v>
      </c>
      <c r="F571" s="23" t="str">
        <f t="array" ref="F571">IFERROR(
    INDEX('Hub Interns 226'!A:A, MATCH(C571, 'Hub Interns 226'!B:B, 0)),"")</f>
        <v/>
      </c>
      <c r="G571" s="28">
        <v>2224.0</v>
      </c>
      <c r="H571" s="28">
        <v>1877.0</v>
      </c>
      <c r="I571" s="28"/>
      <c r="J571" s="28" t="s">
        <v>2388</v>
      </c>
      <c r="K571" s="28" t="s">
        <v>5463</v>
      </c>
      <c r="L571" s="28" t="s">
        <v>5196</v>
      </c>
      <c r="M571" s="56" t="s">
        <v>9032</v>
      </c>
      <c r="N571" s="62">
        <v>45693.645833333336</v>
      </c>
      <c r="O571" s="58">
        <v>45693.0</v>
      </c>
      <c r="P571" s="28">
        <f t="shared" si="20"/>
        <v>1</v>
      </c>
      <c r="Q571" s="28" t="s">
        <v>9033</v>
      </c>
      <c r="R571" s="28" t="s">
        <v>9034</v>
      </c>
      <c r="S571" s="28">
        <v>8.0</v>
      </c>
      <c r="T571" s="28">
        <v>19.0</v>
      </c>
      <c r="U571" s="28">
        <v>55.0</v>
      </c>
      <c r="V571" s="28">
        <v>37.0</v>
      </c>
      <c r="W571" s="28" t="s">
        <v>294</v>
      </c>
      <c r="X571" s="28" t="s">
        <v>272</v>
      </c>
      <c r="Y571" s="28" t="s">
        <v>9035</v>
      </c>
      <c r="Z571" s="28" t="s">
        <v>5853</v>
      </c>
      <c r="AA571" s="28" t="s">
        <v>704</v>
      </c>
      <c r="AB571" s="28">
        <v>2.0</v>
      </c>
      <c r="AC571" s="28" t="s">
        <v>25</v>
      </c>
      <c r="AD571" s="23"/>
      <c r="AE571" s="28" t="s">
        <v>19</v>
      </c>
      <c r="AF571" s="23" t="str">
        <f>IFERROR(__xludf.DUMMYFUNCTION("TEXTJOIN("", "", TRUE,
  FILTER(Champions!C:C,
    ISNUMBER(SEARCH(C571, Champions!W:W))
  )
)"),"Michael Dougherty")</f>
        <v>Michael Dougherty</v>
      </c>
      <c r="AG571" s="23"/>
      <c r="AH571" s="23" t="str">
        <f>IFERROR(__xludf.DUMMYFUNCTION("IF(
ISNUMBER(MATCH(
C571,
IMPORTRANGE(""https://docs.google.com/spreadsheets/d/1yTh1ELC33JHYOeEdgIiEclxPRyh0zOKtlawDltfUay8"",""'Interns'!A:A""),
0
)),
""Outreach Conducted"",
"""")"),"")</f>
        <v/>
      </c>
      <c r="AI571" s="23"/>
      <c r="AJ571" s="23"/>
      <c r="AK571" s="23" t="str">
        <f>IFERROR(__xludf.DUMMYFUNCTION("XLOOKUP(C571, 
   IMPORTRANGE(""1RdEdgHYrZ33LJ7RUHj_h-qkAFL92bcVjtIdVa-UlsCw"", ""Interns!D:D""), 
   IMPORTRANGE(""1RdEdgHYrZ33LJ7RUHj_h-qkAFL92bcVjtIdVa-UlsCw"", ""Interns!M:M""), 
   ""Not Found"")"),"Contacted")</f>
        <v>Contacted</v>
      </c>
      <c r="AL571" s="23" t="str">
        <f>IFERROR(__xludf.DUMMYFUNCTION("XLOOKUP(C571, 
   IMPORTRANGE(""1RdEdgHYrZ33LJ7RUHj_h-qkAFL92bcVjtIdVa-UlsCw"", ""Interns!D:D""), 
   IMPORTRANGE(""1RdEdgHYrZ33LJ7RUHj_h-qkAFL92bcVjtIdVa-UlsCw"", ""Interns!N:N""), 
   ""Not Found"")"),"#Cheers4Careers")</f>
        <v>#Cheers4Careers</v>
      </c>
      <c r="AM571" s="23" t="str">
        <f>IFERROR(__xludf.DUMMYFUNCTION("XLOOKUP(C571, 
   IMPORTRANGE(""1RdEdgHYrZ33LJ7RUHj_h-qkAFL92bcVjtIdVa-UlsCw"", ""Interns!D:D""), 
   IMPORTRANGE(""1RdEdgHYrZ33LJ7RUHj_h-qkAFL92bcVjtIdVa-UlsCw"", ""Interns!O:O""), 
   ""Not Found"")"),"Ousmane reached out by email 3/26 ")</f>
        <v>Ousmane reached out by email 3/26 </v>
      </c>
      <c r="AN571" s="23"/>
      <c r="AO571" s="23" t="s">
        <v>9036</v>
      </c>
      <c r="AP571" s="28" t="s">
        <v>5182</v>
      </c>
      <c r="AQ571" s="28" t="s">
        <v>9037</v>
      </c>
      <c r="AR571" s="23" t="s">
        <v>9038</v>
      </c>
      <c r="AS571" s="23"/>
      <c r="AT571" s="23"/>
      <c r="AU571" s="23"/>
      <c r="AV571" s="23"/>
    </row>
    <row r="572">
      <c r="A572" s="28" t="s">
        <v>5161</v>
      </c>
      <c r="B572" s="28" t="s">
        <v>31</v>
      </c>
      <c r="C572" s="23" t="str">
        <f t="shared" si="1"/>
        <v>Suigly Gomez</v>
      </c>
      <c r="D572" s="28" t="s">
        <v>9039</v>
      </c>
      <c r="E572" s="28" t="s">
        <v>6277</v>
      </c>
      <c r="F572" s="23">
        <f t="array" ref="F572">IFERROR(
    INDEX('Hub Interns 226'!A:A, MATCH(C572, 'Hub Interns 226'!B:B, 0)),"")</f>
        <v>1131</v>
      </c>
      <c r="G572" s="23">
        <f t="array" ref="G572">IFERROR(
    INDEX('Hub Users 226'!A:A, MATCH(C572, 'Hub Users 226'!B:B, 0)),"")</f>
        <v>1564</v>
      </c>
      <c r="H572" s="28">
        <v>930.0</v>
      </c>
      <c r="I572" s="28" t="s">
        <v>407</v>
      </c>
      <c r="J572" s="28"/>
      <c r="K572" s="28"/>
      <c r="L572" s="28" t="s">
        <v>5196</v>
      </c>
      <c r="M572" s="56" t="s">
        <v>9040</v>
      </c>
      <c r="N572" s="57">
        <v>44603.47986111111</v>
      </c>
      <c r="O572" s="58">
        <v>38580.0</v>
      </c>
      <c r="P572" s="28">
        <f t="shared" si="20"/>
        <v>20</v>
      </c>
      <c r="Q572" s="28" t="s">
        <v>9041</v>
      </c>
      <c r="R572" s="28" t="s">
        <v>9042</v>
      </c>
      <c r="S572" s="28"/>
      <c r="T572" s="28"/>
      <c r="U572" s="28"/>
      <c r="V572" s="28"/>
      <c r="W572" s="28" t="s">
        <v>859</v>
      </c>
      <c r="X572" s="28" t="s">
        <v>272</v>
      </c>
      <c r="Y572" s="28" t="s">
        <v>9043</v>
      </c>
      <c r="Z572" s="28" t="s">
        <v>5208</v>
      </c>
      <c r="AA572" s="28" t="s">
        <v>2141</v>
      </c>
      <c r="AB572" s="28">
        <v>8.0</v>
      </c>
      <c r="AC572" s="28" t="s">
        <v>28</v>
      </c>
      <c r="AD572" s="23"/>
      <c r="AE572" s="28" t="s">
        <v>10</v>
      </c>
      <c r="AF572" s="23"/>
      <c r="AG572" s="23"/>
      <c r="AH572" s="23" t="str">
        <f>IFERROR(__xludf.DUMMYFUNCTION("IF(
ISNUMBER(MATCH(
C572,
IMPORTRANGE(""https://docs.google.com/spreadsheets/d/1yTh1ELC33JHYOeEdgIiEclxPRyh0zOKtlawDltfUay8"",""'Interns'!A:A""),
0
)),
""Outreach Conducted"",
"""")"),"")</f>
        <v/>
      </c>
      <c r="AI572" s="23"/>
      <c r="AJ572" s="23"/>
      <c r="AK572" s="23" t="str">
        <f>IFERROR(__xludf.DUMMYFUNCTION("XLOOKUP(C572, 
   IMPORTRANGE(""1RdEdgHYrZ33LJ7RUHj_h-qkAFL92bcVjtIdVa-UlsCw"", ""Interns!D:D""), 
   IMPORTRANGE(""1RdEdgHYrZ33LJ7RUHj_h-qkAFL92bcVjtIdVa-UlsCw"", ""Interns!M:M""), 
   ""Not Found"")"),"Contacted")</f>
        <v>Contacted</v>
      </c>
      <c r="AL572" s="23" t="str">
        <f>IFERROR(__xludf.DUMMYFUNCTION("XLOOKUP(C572, 
   IMPORTRANGE(""1RdEdgHYrZ33LJ7RUHj_h-qkAFL92bcVjtIdVa-UlsCw"", ""Interns!D:D""), 
   IMPORTRANGE(""1RdEdgHYrZ33LJ7RUHj_h-qkAFL92bcVjtIdVa-UlsCw"", ""Interns!N:N""), 
   ""Not Found"")"),"#Cheers4Careers")</f>
        <v>#Cheers4Careers</v>
      </c>
      <c r="AM572" s="23" t="str">
        <f>IFERROR(__xludf.DUMMYFUNCTION("XLOOKUP(C572, 
   IMPORTRANGE(""1RdEdgHYrZ33LJ7RUHj_h-qkAFL92bcVjtIdVa-UlsCw"", ""Interns!D:D""), 
   IMPORTRANGE(""1RdEdgHYrZ33LJ7RUHj_h-qkAFL92bcVjtIdVa-UlsCw"", ""Interns!O:O""), 
   ""Not Found"")"),"Hetal reached out by email 3/27")</f>
        <v>Hetal reached out by email 3/27</v>
      </c>
      <c r="AN572" s="23"/>
      <c r="AO572" s="23" t="s">
        <v>9044</v>
      </c>
      <c r="AP572" s="28" t="s">
        <v>5240</v>
      </c>
      <c r="AQ572" s="28"/>
      <c r="AR572" s="23"/>
      <c r="AS572" s="23"/>
      <c r="AT572" s="23"/>
      <c r="AU572" s="23"/>
      <c r="AV572" s="23"/>
    </row>
    <row r="573">
      <c r="A573" s="28" t="s">
        <v>5161</v>
      </c>
      <c r="B573" s="28" t="s">
        <v>5162</v>
      </c>
      <c r="C573" s="23" t="str">
        <f t="shared" si="1"/>
        <v>Edison Machasilla</v>
      </c>
      <c r="D573" s="28" t="s">
        <v>6057</v>
      </c>
      <c r="E573" s="28" t="s">
        <v>9045</v>
      </c>
      <c r="F573" s="23">
        <f t="array" ref="F573">IFERROR(
    INDEX('Hub Interns 226'!A:A, MATCH(C573, 'Hub Interns 226'!B:B, 0)),"")</f>
        <v>816</v>
      </c>
      <c r="G573" s="23">
        <f t="array" ref="G573">IFERROR(
    INDEX('Hub Users 226'!A:A, MATCH(C573, 'Hub Users 226'!B:B, 0)),"")</f>
        <v>1249</v>
      </c>
      <c r="H573" s="28">
        <v>1549.0</v>
      </c>
      <c r="I573" s="28" t="s">
        <v>260</v>
      </c>
      <c r="J573" s="28" t="s">
        <v>2388</v>
      </c>
      <c r="K573" s="28" t="s">
        <v>5463</v>
      </c>
      <c r="L573" s="28" t="s">
        <v>5165</v>
      </c>
      <c r="M573" s="56" t="s">
        <v>9046</v>
      </c>
      <c r="N573" s="57">
        <v>44958.618055555555</v>
      </c>
      <c r="O573" s="58">
        <v>45231.0</v>
      </c>
      <c r="P573" s="28">
        <f t="shared" si="20"/>
        <v>2</v>
      </c>
      <c r="Q573" s="28" t="s">
        <v>240</v>
      </c>
      <c r="R573" s="28" t="s">
        <v>9047</v>
      </c>
      <c r="S573" s="28">
        <v>7.0</v>
      </c>
      <c r="T573" s="28">
        <v>18.0</v>
      </c>
      <c r="U573" s="28">
        <v>53.0</v>
      </c>
      <c r="V573" s="28">
        <v>37.0</v>
      </c>
      <c r="W573" s="28" t="s">
        <v>294</v>
      </c>
      <c r="X573" s="28" t="s">
        <v>272</v>
      </c>
      <c r="Y573" s="28" t="s">
        <v>9048</v>
      </c>
      <c r="Z573" s="28" t="s">
        <v>5259</v>
      </c>
      <c r="AA573" s="28" t="s">
        <v>704</v>
      </c>
      <c r="AB573" s="28">
        <v>2.0</v>
      </c>
      <c r="AC573" s="28" t="s">
        <v>23</v>
      </c>
      <c r="AD573" s="23"/>
      <c r="AE573" s="28" t="s">
        <v>15</v>
      </c>
      <c r="AF573" s="23"/>
      <c r="AG573" s="23"/>
      <c r="AH573" s="23" t="str">
        <f>IFERROR(__xludf.DUMMYFUNCTION("IF(
ISNUMBER(MATCH(
C573,
IMPORTRANGE(""https://docs.google.com/spreadsheets/d/1yTh1ELC33JHYOeEdgIiEclxPRyh0zOKtlawDltfUay8"",""'Interns'!A:A""),
0
)),
""Outreach Conducted"",
"""")"),"")</f>
        <v/>
      </c>
      <c r="AI573" s="23"/>
      <c r="AJ573" s="23"/>
      <c r="AK573" s="23" t="str">
        <f>IFERROR(__xludf.DUMMYFUNCTION("XLOOKUP(C573, 
   IMPORTRANGE(""1RdEdgHYrZ33LJ7RUHj_h-qkAFL92bcVjtIdVa-UlsCw"", ""Interns!D:D""), 
   IMPORTRANGE(""1RdEdgHYrZ33LJ7RUHj_h-qkAFL92bcVjtIdVa-UlsCw"", ""Interns!M:M""), 
   ""Not Found"")"),"Contacted")</f>
        <v>Contacted</v>
      </c>
      <c r="AL573" s="23" t="str">
        <f>IFERROR(__xludf.DUMMYFUNCTION("XLOOKUP(C573, 
   IMPORTRANGE(""1RdEdgHYrZ33LJ7RUHj_h-qkAFL92bcVjtIdVa-UlsCw"", ""Interns!D:D""), 
   IMPORTRANGE(""1RdEdgHYrZ33LJ7RUHj_h-qkAFL92bcVjtIdVa-UlsCw"", ""Interns!N:N""), 
   ""Not Found"")"),"#Cheers4Careers")</f>
        <v>#Cheers4Careers</v>
      </c>
      <c r="AM573" s="23" t="str">
        <f>IFERROR(__xludf.DUMMYFUNCTION("XLOOKUP(C573, 
   IMPORTRANGE(""1RdEdgHYrZ33LJ7RUHj_h-qkAFL92bcVjtIdVa-UlsCw"", ""Interns!D:D""), 
   IMPORTRANGE(""1RdEdgHYrZ33LJ7RUHj_h-qkAFL92bcVjtIdVa-UlsCw"", ""Interns!O:O""), 
   ""Not Found"")"),"Ousmane reached out by email 3/26 ")</f>
        <v>Ousmane reached out by email 3/26 </v>
      </c>
      <c r="AN573" s="23"/>
      <c r="AO573" s="23" t="s">
        <v>9049</v>
      </c>
      <c r="AP573" s="28" t="s">
        <v>5240</v>
      </c>
      <c r="AQ573" s="28"/>
      <c r="AR573" s="23"/>
      <c r="AS573" s="23"/>
      <c r="AT573" s="23"/>
      <c r="AU573" s="23"/>
      <c r="AV573" s="23"/>
    </row>
    <row r="574">
      <c r="A574" s="28" t="s">
        <v>5161</v>
      </c>
      <c r="B574" s="28" t="s">
        <v>5162</v>
      </c>
      <c r="C574" s="23" t="str">
        <f t="shared" si="1"/>
        <v>Erika Pasochoa</v>
      </c>
      <c r="D574" s="28" t="s">
        <v>9050</v>
      </c>
      <c r="E574" s="28" t="s">
        <v>9051</v>
      </c>
      <c r="F574" s="23" t="str">
        <f t="array" ref="F574">IFERROR(
    INDEX('Hub Interns 226'!A:A, MATCH(C574, 'Hub Interns 226'!B:B, 0)),"")</f>
        <v/>
      </c>
      <c r="G574" s="23">
        <f t="array" ref="G574">IFERROR(
    INDEX('Hub Users 226'!A:A, MATCH(C574, 'Hub Users 226'!B:B, 0)),"")</f>
        <v>1915</v>
      </c>
      <c r="H574" s="28">
        <v>1776.0</v>
      </c>
      <c r="I574" s="28" t="s">
        <v>425</v>
      </c>
      <c r="J574" s="28" t="s">
        <v>2388</v>
      </c>
      <c r="K574" s="28" t="s">
        <v>5463</v>
      </c>
      <c r="L574" s="28" t="s">
        <v>5196</v>
      </c>
      <c r="M574" s="56" t="s">
        <v>9052</v>
      </c>
      <c r="N574" s="57">
        <v>45312.85625</v>
      </c>
      <c r="O574" s="58">
        <v>38765.0</v>
      </c>
      <c r="P574" s="28">
        <f t="shared" si="20"/>
        <v>20</v>
      </c>
      <c r="Q574" s="28" t="s">
        <v>9053</v>
      </c>
      <c r="R574" s="28" t="s">
        <v>9054</v>
      </c>
      <c r="S574" s="28">
        <v>7.0</v>
      </c>
      <c r="T574" s="28">
        <v>18.0</v>
      </c>
      <c r="U574" s="28">
        <v>53.0</v>
      </c>
      <c r="V574" s="28">
        <v>37.0</v>
      </c>
      <c r="W574" s="28" t="s">
        <v>294</v>
      </c>
      <c r="X574" s="28" t="s">
        <v>272</v>
      </c>
      <c r="Y574" s="28">
        <v>3.473457263E9</v>
      </c>
      <c r="Z574" s="28" t="s">
        <v>5259</v>
      </c>
      <c r="AA574" s="28" t="s">
        <v>704</v>
      </c>
      <c r="AB574" s="28">
        <v>2.0</v>
      </c>
      <c r="AC574" s="28" t="s">
        <v>27</v>
      </c>
      <c r="AD574" s="23"/>
      <c r="AE574" s="28" t="s">
        <v>18</v>
      </c>
      <c r="AF574" s="23"/>
      <c r="AG574" s="23"/>
      <c r="AH574" s="23" t="str">
        <f>IFERROR(__xludf.DUMMYFUNCTION("IF(
ISNUMBER(MATCH(
C574,
IMPORTRANGE(""https://docs.google.com/spreadsheets/d/1yTh1ELC33JHYOeEdgIiEclxPRyh0zOKtlawDltfUay8"",""'Interns'!A:A""),
0
)),
""Outreach Conducted"",
"""")"),"")</f>
        <v/>
      </c>
      <c r="AI574" s="23"/>
      <c r="AJ574" s="23"/>
      <c r="AK574" s="23" t="str">
        <f>IFERROR(__xludf.DUMMYFUNCTION("XLOOKUP(C574, 
   IMPORTRANGE(""1RdEdgHYrZ33LJ7RUHj_h-qkAFL92bcVjtIdVa-UlsCw"", ""Interns!D:D""), 
   IMPORTRANGE(""1RdEdgHYrZ33LJ7RUHj_h-qkAFL92bcVjtIdVa-UlsCw"", ""Interns!M:M""), 
   ""Not Found"")"),"Contacted")</f>
        <v>Contacted</v>
      </c>
      <c r="AL574" s="23" t="str">
        <f>IFERROR(__xludf.DUMMYFUNCTION("XLOOKUP(C574, 
   IMPORTRANGE(""1RdEdgHYrZ33LJ7RUHj_h-qkAFL92bcVjtIdVa-UlsCw"", ""Interns!D:D""), 
   IMPORTRANGE(""1RdEdgHYrZ33LJ7RUHj_h-qkAFL92bcVjtIdVa-UlsCw"", ""Interns!N:N""), 
   ""Not Found"")"),"#Cheers4Careers")</f>
        <v>#Cheers4Careers</v>
      </c>
      <c r="AM574" s="23" t="str">
        <f>IFERROR(__xludf.DUMMYFUNCTION("XLOOKUP(C574, 
   IMPORTRANGE(""1RdEdgHYrZ33LJ7RUHj_h-qkAFL92bcVjtIdVa-UlsCw"", ""Interns!D:D""), 
   IMPORTRANGE(""1RdEdgHYrZ33LJ7RUHj_h-qkAFL92bcVjtIdVa-UlsCw"", ""Interns!O:O""), 
   ""Not Found"")"),"Ousmane reached out by email 3/26 and reach out by text 3/28")</f>
        <v>Ousmane reached out by email 3/26 and reach out by text 3/28</v>
      </c>
      <c r="AN574" s="23"/>
      <c r="AO574" s="23" t="s">
        <v>2308</v>
      </c>
      <c r="AP574" s="28" t="s">
        <v>5182</v>
      </c>
      <c r="AQ574" s="28" t="s">
        <v>9055</v>
      </c>
      <c r="AR574" s="23">
        <v>3.473933022E9</v>
      </c>
      <c r="AS574" s="23"/>
      <c r="AT574" s="23"/>
      <c r="AU574" s="23"/>
      <c r="AV574" s="23"/>
    </row>
    <row r="575">
      <c r="A575" s="28" t="s">
        <v>5161</v>
      </c>
      <c r="B575" s="28" t="s">
        <v>5162</v>
      </c>
      <c r="C575" s="23" t="str">
        <f t="shared" si="1"/>
        <v>Paula Astudillo</v>
      </c>
      <c r="D575" s="28" t="s">
        <v>6469</v>
      </c>
      <c r="E575" s="28" t="s">
        <v>9056</v>
      </c>
      <c r="F575" s="23">
        <f t="array" ref="F575">IFERROR(
    INDEX('Hub Interns 226'!A:A, MATCH(C575, 'Hub Interns 226'!B:B, 0)),"")</f>
        <v>61</v>
      </c>
      <c r="G575" s="23">
        <f t="array" ref="G575">IFERROR(
    INDEX('Hub Users 226'!A:A, MATCH(C575, 'Hub Users 226'!B:B, 0)),"")</f>
        <v>494</v>
      </c>
      <c r="H575" s="28">
        <v>800.0</v>
      </c>
      <c r="I575" s="28" t="s">
        <v>260</v>
      </c>
      <c r="J575" s="28" t="s">
        <v>2388</v>
      </c>
      <c r="K575" s="28" t="s">
        <v>5463</v>
      </c>
      <c r="L575" s="28" t="s">
        <v>5196</v>
      </c>
      <c r="M575" s="56" t="s">
        <v>9057</v>
      </c>
      <c r="N575" s="57">
        <v>44565.64722222222</v>
      </c>
      <c r="O575" s="58">
        <v>38581.0</v>
      </c>
      <c r="P575" s="28">
        <f t="shared" si="20"/>
        <v>20</v>
      </c>
      <c r="Q575" s="28" t="s">
        <v>9058</v>
      </c>
      <c r="R575" s="28" t="s">
        <v>9059</v>
      </c>
      <c r="S575" s="28">
        <v>7.0</v>
      </c>
      <c r="T575" s="28">
        <v>18.0</v>
      </c>
      <c r="U575" s="28">
        <v>38.0</v>
      </c>
      <c r="V575" s="28">
        <v>34.0</v>
      </c>
      <c r="W575" s="28" t="s">
        <v>1173</v>
      </c>
      <c r="X575" s="28" t="s">
        <v>272</v>
      </c>
      <c r="Y575" s="28" t="s">
        <v>9060</v>
      </c>
      <c r="Z575" s="28" t="s">
        <v>5259</v>
      </c>
      <c r="AA575" s="28" t="s">
        <v>704</v>
      </c>
      <c r="AB575" s="28">
        <v>2.0</v>
      </c>
      <c r="AC575" s="28" t="s">
        <v>25</v>
      </c>
      <c r="AD575" s="23"/>
      <c r="AE575" s="28" t="s">
        <v>10</v>
      </c>
      <c r="AF575" s="23" t="str">
        <f>IFERROR(__xludf.DUMMYFUNCTION("TEXTJOIN("", "", TRUE,
  FILTER(Champions!C:C,
    ISNUMBER(SEARCH(C575, Champions!W:W))
  )
)"),"Dima Al Ayderous, Josh Harris")</f>
        <v>Dima Al Ayderous, Josh Harris</v>
      </c>
      <c r="AG575" s="23"/>
      <c r="AH575" s="23" t="str">
        <f>IFERROR(__xludf.DUMMYFUNCTION("IF(
ISNUMBER(MATCH(
C575,
IMPORTRANGE(""https://docs.google.com/spreadsheets/d/1yTh1ELC33JHYOeEdgIiEclxPRyh0zOKtlawDltfUay8"",""'Interns'!A:A""),
0
)),
""Outreach Conducted"",
"""")"),"")</f>
        <v/>
      </c>
      <c r="AI575" s="23"/>
      <c r="AJ575" s="23"/>
      <c r="AK575" s="23" t="str">
        <f>IFERROR(__xludf.DUMMYFUNCTION("XLOOKUP(C575, 
   IMPORTRANGE(""1RdEdgHYrZ33LJ7RUHj_h-qkAFL92bcVjtIdVa-UlsCw"", ""Interns!D:D""), 
   IMPORTRANGE(""1RdEdgHYrZ33LJ7RUHj_h-qkAFL92bcVjtIdVa-UlsCw"", ""Interns!M:M""), 
   ""Not Found"")"),"")</f>
        <v/>
      </c>
      <c r="AL575" s="23" t="str">
        <f>IFERROR(__xludf.DUMMYFUNCTION("XLOOKUP(C575, 
   IMPORTRANGE(""1RdEdgHYrZ33LJ7RUHj_h-qkAFL92bcVjtIdVa-UlsCw"", ""Interns!D:D""), 
   IMPORTRANGE(""1RdEdgHYrZ33LJ7RUHj_h-qkAFL92bcVjtIdVa-UlsCw"", ""Interns!N:N""), 
   ""Not Found"")"),"")</f>
        <v/>
      </c>
      <c r="AM575" s="23" t="str">
        <f>IFERROR(__xludf.DUMMYFUNCTION("XLOOKUP(C575, 
   IMPORTRANGE(""1RdEdgHYrZ33LJ7RUHj_h-qkAFL92bcVjtIdVa-UlsCw"", ""Interns!D:D""), 
   IMPORTRANGE(""1RdEdgHYrZ33LJ7RUHj_h-qkAFL92bcVjtIdVa-UlsCw"", ""Interns!O:O""), 
   ""Not Found"")"),"")</f>
        <v/>
      </c>
      <c r="AN575" s="23"/>
      <c r="AO575" s="23" t="s">
        <v>9061</v>
      </c>
      <c r="AP575" s="28" t="s">
        <v>5182</v>
      </c>
      <c r="AQ575" s="28" t="s">
        <v>9062</v>
      </c>
      <c r="AR575" s="23" t="s">
        <v>9063</v>
      </c>
      <c r="AS575" s="23"/>
      <c r="AT575" s="23"/>
      <c r="AU575" s="23"/>
      <c r="AV575" s="23"/>
    </row>
    <row r="576">
      <c r="A576" s="28" t="s">
        <v>5202</v>
      </c>
      <c r="B576" s="28" t="s">
        <v>5162</v>
      </c>
      <c r="C576" s="23" t="str">
        <f t="shared" si="1"/>
        <v>Ivania Posada</v>
      </c>
      <c r="D576" s="28" t="s">
        <v>9064</v>
      </c>
      <c r="E576" s="28" t="s">
        <v>9065</v>
      </c>
      <c r="F576" s="23">
        <f t="array" ref="F576">IFERROR(
    INDEX('Hub Interns 226'!A:A, MATCH(C576, 'Hub Interns 226'!B:B, 0)),"")</f>
        <v>594</v>
      </c>
      <c r="G576" s="23">
        <f t="array" ref="G576">IFERROR(
    INDEX('Hub Users 226'!A:A, MATCH(C576, 'Hub Users 226'!B:B, 0)),"")</f>
        <v>1027</v>
      </c>
      <c r="H576" s="28">
        <v>270.0</v>
      </c>
      <c r="I576" s="28" t="s">
        <v>425</v>
      </c>
      <c r="J576" s="28" t="s">
        <v>9066</v>
      </c>
      <c r="K576" s="28" t="s">
        <v>5177</v>
      </c>
      <c r="L576" s="28" t="s">
        <v>5196</v>
      </c>
      <c r="M576" s="56" t="s">
        <v>9067</v>
      </c>
      <c r="N576" s="57">
        <v>44208.47152777778</v>
      </c>
      <c r="O576" s="58">
        <v>38162.0</v>
      </c>
      <c r="P576" s="28">
        <f t="shared" si="20"/>
        <v>21</v>
      </c>
      <c r="Q576" s="28" t="s">
        <v>9068</v>
      </c>
      <c r="R576" s="28" t="s">
        <v>9069</v>
      </c>
      <c r="S576" s="28">
        <v>15.0</v>
      </c>
      <c r="T576" s="28">
        <v>32.0</v>
      </c>
      <c r="U576" s="28">
        <v>84.0</v>
      </c>
      <c r="V576" s="28">
        <v>16.0</v>
      </c>
      <c r="W576" s="28" t="s">
        <v>859</v>
      </c>
      <c r="X576" s="28" t="s">
        <v>272</v>
      </c>
      <c r="Y576" s="28">
        <v>3.476926808E9</v>
      </c>
      <c r="Z576" s="28" t="s">
        <v>5918</v>
      </c>
      <c r="AA576" s="28" t="s">
        <v>477</v>
      </c>
      <c r="AB576" s="28">
        <v>15.0</v>
      </c>
      <c r="AC576" s="28" t="s">
        <v>25</v>
      </c>
      <c r="AD576" s="28" t="s">
        <v>101</v>
      </c>
      <c r="AE576" s="28" t="s">
        <v>11</v>
      </c>
      <c r="AF576" s="23" t="str">
        <f>IFERROR(__xludf.DUMMYFUNCTION("TEXTJOIN("", "", TRUE,
  FILTER(Champions!C:C,
    ISNUMBER(SEARCH(C576, Champions!W:W))
  )
)"),"Amelia Geary, Jigar Patel, Susan Boxman")</f>
        <v>Amelia Geary, Jigar Patel, Susan Boxman</v>
      </c>
      <c r="AG576" s="23"/>
      <c r="AH576" s="23" t="str">
        <f>IFERROR(__xludf.DUMMYFUNCTION("IF(
ISNUMBER(MATCH(
C576,
IMPORTRANGE(""https://docs.google.com/spreadsheets/d/1yTh1ELC33JHYOeEdgIiEclxPRyh0zOKtlawDltfUay8"",""'Interns'!A:A""),
0
)),
""Outreach Conducted"",
"""")"),"")</f>
        <v/>
      </c>
      <c r="AI576" s="23"/>
      <c r="AJ576" s="23"/>
      <c r="AK576" s="23" t="str">
        <f>IFERROR(__xludf.DUMMYFUNCTION("XLOOKUP(C576, 
   IMPORTRANGE(""1RdEdgHYrZ33LJ7RUHj_h-qkAFL92bcVjtIdVa-UlsCw"", ""Interns!D:D""), 
   IMPORTRANGE(""1RdEdgHYrZ33LJ7RUHj_h-qkAFL92bcVjtIdVa-UlsCw"", ""Interns!M:M""), 
   ""Not Found"")"),"")</f>
        <v/>
      </c>
      <c r="AL576" s="23" t="str">
        <f>IFERROR(__xludf.DUMMYFUNCTION("XLOOKUP(C576, 
   IMPORTRANGE(""1RdEdgHYrZ33LJ7RUHj_h-qkAFL92bcVjtIdVa-UlsCw"", ""Interns!D:D""), 
   IMPORTRANGE(""1RdEdgHYrZ33LJ7RUHj_h-qkAFL92bcVjtIdVa-UlsCw"", ""Interns!N:N""), 
   ""Not Found"")"),"")</f>
        <v/>
      </c>
      <c r="AM576" s="23" t="str">
        <f>IFERROR(__xludf.DUMMYFUNCTION("XLOOKUP(C576, 
   IMPORTRANGE(""1RdEdgHYrZ33LJ7RUHj_h-qkAFL92bcVjtIdVa-UlsCw"", ""Interns!D:D""), 
   IMPORTRANGE(""1RdEdgHYrZ33LJ7RUHj_h-qkAFL92bcVjtIdVa-UlsCw"", ""Interns!O:O""), 
   ""Not Found"")"),"")</f>
        <v/>
      </c>
      <c r="AN576" s="23"/>
      <c r="AO576" s="23" t="s">
        <v>9070</v>
      </c>
      <c r="AP576" s="28" t="s">
        <v>5182</v>
      </c>
      <c r="AQ576" s="28" t="s">
        <v>9071</v>
      </c>
      <c r="AR576" s="23">
        <v>6.463777424E9</v>
      </c>
      <c r="AS576" s="23"/>
      <c r="AT576" s="23"/>
      <c r="AU576" s="23"/>
      <c r="AV576" s="23"/>
    </row>
    <row r="577">
      <c r="A577" s="28" t="s">
        <v>5161</v>
      </c>
      <c r="B577" s="28" t="s">
        <v>5162</v>
      </c>
      <c r="C577" s="23" t="str">
        <f t="shared" si="1"/>
        <v>Jordan Barriga</v>
      </c>
      <c r="D577" s="28" t="s">
        <v>9072</v>
      </c>
      <c r="E577" s="28" t="s">
        <v>9073</v>
      </c>
      <c r="F577" s="23" t="str">
        <f t="array" ref="F577">IFERROR(
    INDEX('Hub Interns 226'!A:A, MATCH(C577, 'Hub Interns 226'!B:B, 0)),"")</f>
        <v/>
      </c>
      <c r="G577" s="23">
        <f t="array" ref="G577">IFERROR(
    INDEX('Hub Users 226'!A:A, MATCH(C577, 'Hub Users 226'!B:B, 0)),"")</f>
        <v>2261</v>
      </c>
      <c r="H577" s="28">
        <v>1867.0</v>
      </c>
      <c r="I577" s="28"/>
      <c r="J577" s="28" t="s">
        <v>2388</v>
      </c>
      <c r="K577" s="28" t="s">
        <v>5463</v>
      </c>
      <c r="L577" s="28" t="s">
        <v>5165</v>
      </c>
      <c r="M577" s="56" t="s">
        <v>9074</v>
      </c>
      <c r="N577" s="57">
        <v>45727.55902777778</v>
      </c>
      <c r="O577" s="58">
        <v>39447.0</v>
      </c>
      <c r="P577" s="28">
        <f t="shared" si="20"/>
        <v>18</v>
      </c>
      <c r="Q577" s="28" t="s">
        <v>240</v>
      </c>
      <c r="R577" s="28" t="s">
        <v>9075</v>
      </c>
      <c r="S577" s="28">
        <v>12.0</v>
      </c>
      <c r="T577" s="28">
        <v>28.0</v>
      </c>
      <c r="U577" s="28">
        <v>76.0</v>
      </c>
      <c r="V577" s="28">
        <v>26.0</v>
      </c>
      <c r="W577" s="28" t="s">
        <v>1173</v>
      </c>
      <c r="X577" s="28" t="s">
        <v>272</v>
      </c>
      <c r="Y577" s="28" t="s">
        <v>9076</v>
      </c>
      <c r="Z577" s="23"/>
      <c r="AA577" s="28" t="s">
        <v>5366</v>
      </c>
      <c r="AB577" s="28">
        <v>26.0</v>
      </c>
      <c r="AC577" s="28" t="s">
        <v>23</v>
      </c>
      <c r="AD577" s="23"/>
      <c r="AE577" s="28" t="s">
        <v>19</v>
      </c>
      <c r="AF577" s="23"/>
      <c r="AG577" s="23"/>
      <c r="AH577" s="23" t="str">
        <f>IFERROR(__xludf.DUMMYFUNCTION("IF(
ISNUMBER(MATCH(
C577,
IMPORTRANGE(""https://docs.google.com/spreadsheets/d/1yTh1ELC33JHYOeEdgIiEclxPRyh0zOKtlawDltfUay8"",""'Interns'!A:A""),
0
)),
""Outreach Conducted"",
"""")"),"")</f>
        <v/>
      </c>
      <c r="AI577" s="23"/>
      <c r="AJ577" s="23"/>
      <c r="AK577" s="23" t="str">
        <f>IFERROR(__xludf.DUMMYFUNCTION("XLOOKUP(C577, 
   IMPORTRANGE(""1RdEdgHYrZ33LJ7RUHj_h-qkAFL92bcVjtIdVa-UlsCw"", ""Interns!D:D""), 
   IMPORTRANGE(""1RdEdgHYrZ33LJ7RUHj_h-qkAFL92bcVjtIdVa-UlsCw"", ""Interns!M:M""), 
   ""Not Found"")"),"Contacted")</f>
        <v>Contacted</v>
      </c>
      <c r="AL577" s="23" t="str">
        <f>IFERROR(__xludf.DUMMYFUNCTION("XLOOKUP(C577, 
   IMPORTRANGE(""1RdEdgHYrZ33LJ7RUHj_h-qkAFL92bcVjtIdVa-UlsCw"", ""Interns!D:D""), 
   IMPORTRANGE(""1RdEdgHYrZ33LJ7RUHj_h-qkAFL92bcVjtIdVa-UlsCw"", ""Interns!N:N""), 
   ""Not Found"")"),"#Cheers4Careers")</f>
        <v>#Cheers4Careers</v>
      </c>
      <c r="AM577" s="23" t="str">
        <f>IFERROR(__xludf.DUMMYFUNCTION("XLOOKUP(C577, 
   IMPORTRANGE(""1RdEdgHYrZ33LJ7RUHj_h-qkAFL92bcVjtIdVa-UlsCw"", ""Interns!D:D""), 
   IMPORTRANGE(""1RdEdgHYrZ33LJ7RUHj_h-qkAFL92bcVjtIdVa-UlsCw"", ""Interns!O:O""), 
   ""Not Found"")"),"Hetal reached out by email 3/27")</f>
        <v>Hetal reached out by email 3/27</v>
      </c>
      <c r="AN577" s="23"/>
      <c r="AO577" s="23" t="s">
        <v>7278</v>
      </c>
      <c r="AP577" s="28" t="s">
        <v>5182</v>
      </c>
      <c r="AQ577" s="28" t="s">
        <v>9074</v>
      </c>
      <c r="AR577" s="23" t="s">
        <v>9077</v>
      </c>
      <c r="AS577" s="23"/>
      <c r="AT577" s="23"/>
      <c r="AU577" s="23"/>
      <c r="AV577" s="23"/>
    </row>
    <row r="578">
      <c r="A578" s="28" t="s">
        <v>5202</v>
      </c>
      <c r="B578" s="28" t="s">
        <v>31</v>
      </c>
      <c r="C578" s="23" t="str">
        <f t="shared" si="1"/>
        <v>Blair. Vales</v>
      </c>
      <c r="D578" s="28" t="s">
        <v>9078</v>
      </c>
      <c r="E578" s="28" t="s">
        <v>9079</v>
      </c>
      <c r="F578" s="23">
        <f t="array" ref="F578">IFERROR(
    INDEX('Hub Interns 226'!A:A, MATCH("Blair Vales", 'Hub Interns 226'!B:B, 0)),"")</f>
        <v>1170</v>
      </c>
      <c r="G578" s="23">
        <f t="array" ref="G578">IFERROR(
    INDEX('Hub Users 226'!A:A, MATCH("Blair Vales", 'Hub Users 226'!B:B, 0)),"")</f>
        <v>2059</v>
      </c>
      <c r="H578" s="28">
        <v>441.0</v>
      </c>
      <c r="I578" s="28" t="s">
        <v>260</v>
      </c>
      <c r="J578" s="28"/>
      <c r="K578" s="28"/>
      <c r="L578" s="28" t="s">
        <v>5165</v>
      </c>
      <c r="M578" s="56" t="s">
        <v>9080</v>
      </c>
      <c r="N578" s="57">
        <v>44326.40416666667</v>
      </c>
      <c r="O578" s="58">
        <v>38387.0</v>
      </c>
      <c r="P578" s="28">
        <f t="shared" si="20"/>
        <v>21</v>
      </c>
      <c r="Q578" s="28" t="s">
        <v>9081</v>
      </c>
      <c r="R578" s="28" t="s">
        <v>9082</v>
      </c>
      <c r="S578" s="28"/>
      <c r="T578" s="28"/>
      <c r="U578" s="28"/>
      <c r="V578" s="28"/>
      <c r="W578" s="28" t="s">
        <v>1173</v>
      </c>
      <c r="X578" s="28" t="s">
        <v>272</v>
      </c>
      <c r="Y578" s="28" t="s">
        <v>9083</v>
      </c>
      <c r="Z578" s="28" t="s">
        <v>5332</v>
      </c>
      <c r="AA578" s="28" t="s">
        <v>421</v>
      </c>
      <c r="AB578" s="28">
        <v>31.0</v>
      </c>
      <c r="AC578" s="28" t="s">
        <v>24</v>
      </c>
      <c r="AD578" s="23"/>
      <c r="AE578" s="28" t="s">
        <v>11</v>
      </c>
      <c r="AF578" s="23"/>
      <c r="AG578" s="23"/>
      <c r="AH578" s="23" t="str">
        <f>IFERROR(__xludf.DUMMYFUNCTION("IF(
ISNUMBER(MATCH(
C578,
IMPORTRANGE(""https://docs.google.com/spreadsheets/d/1yTh1ELC33JHYOeEdgIiEclxPRyh0zOKtlawDltfUay8"",""'Interns'!A:A""),
0
)),
""Outreach Conducted"",
"""")"),"")</f>
        <v/>
      </c>
      <c r="AI578" s="23"/>
      <c r="AJ578" s="23"/>
      <c r="AK578" s="23" t="str">
        <f>IFERROR(__xludf.DUMMYFUNCTION("XLOOKUP(C578, 
   IMPORTRANGE(""1RdEdgHYrZ33LJ7RUHj_h-qkAFL92bcVjtIdVa-UlsCw"", ""Interns!D:D""), 
   IMPORTRANGE(""1RdEdgHYrZ33LJ7RUHj_h-qkAFL92bcVjtIdVa-UlsCw"", ""Interns!M:M""), 
   ""Not Found"")"),"")</f>
        <v/>
      </c>
      <c r="AL578" s="23" t="str">
        <f>IFERROR(__xludf.DUMMYFUNCTION("XLOOKUP(C578, 
   IMPORTRANGE(""1RdEdgHYrZ33LJ7RUHj_h-qkAFL92bcVjtIdVa-UlsCw"", ""Interns!D:D""), 
   IMPORTRANGE(""1RdEdgHYrZ33LJ7RUHj_h-qkAFL92bcVjtIdVa-UlsCw"", ""Interns!N:N""), 
   ""Not Found"")"),"")</f>
        <v/>
      </c>
      <c r="AM578" s="23" t="str">
        <f>IFERROR(__xludf.DUMMYFUNCTION("XLOOKUP(C578, 
   IMPORTRANGE(""1RdEdgHYrZ33LJ7RUHj_h-qkAFL92bcVjtIdVa-UlsCw"", ""Interns!D:D""), 
   IMPORTRANGE(""1RdEdgHYrZ33LJ7RUHj_h-qkAFL92bcVjtIdVa-UlsCw"", ""Interns!O:O""), 
   ""Not Found"")"),"")</f>
        <v/>
      </c>
      <c r="AN578" s="23"/>
      <c r="AO578" s="23" t="s">
        <v>9084</v>
      </c>
      <c r="AP578" s="28" t="s">
        <v>5182</v>
      </c>
      <c r="AQ578" s="28"/>
      <c r="AR578" s="23"/>
      <c r="AS578" s="23"/>
      <c r="AT578" s="23"/>
      <c r="AU578" s="23"/>
      <c r="AV578" s="23"/>
    </row>
    <row r="579">
      <c r="A579" s="28" t="s">
        <v>5202</v>
      </c>
      <c r="B579" s="28" t="s">
        <v>5162</v>
      </c>
      <c r="C579" s="23" t="str">
        <f t="shared" si="1"/>
        <v>Belen Membreno</v>
      </c>
      <c r="D579" s="28" t="s">
        <v>9085</v>
      </c>
      <c r="E579" s="28" t="s">
        <v>9086</v>
      </c>
      <c r="F579" s="23">
        <f t="array" ref="F579">IFERROR(
    INDEX('Hub Interns 226'!A:A, MATCH(C579, 'Hub Interns 226'!B:B, 0)),"")</f>
        <v>839</v>
      </c>
      <c r="G579" s="23">
        <f t="array" ref="G579">IFERROR(
    INDEX('Hub Users 226'!A:A, MATCH(C579, 'Hub Users 226'!B:B, 0)),"")</f>
        <v>1272</v>
      </c>
      <c r="H579" s="28">
        <v>621.0</v>
      </c>
      <c r="I579" s="28" t="s">
        <v>107</v>
      </c>
      <c r="J579" s="28" t="s">
        <v>9066</v>
      </c>
      <c r="K579" s="28" t="s">
        <v>5177</v>
      </c>
      <c r="L579" s="28" t="s">
        <v>5196</v>
      </c>
      <c r="M579" s="56" t="s">
        <v>9087</v>
      </c>
      <c r="N579" s="59">
        <v>44495.566666666666</v>
      </c>
      <c r="O579" s="58">
        <v>37650.0</v>
      </c>
      <c r="P579" s="28">
        <f t="shared" si="20"/>
        <v>23</v>
      </c>
      <c r="Q579" s="28" t="s">
        <v>9088</v>
      </c>
      <c r="R579" s="28" t="s">
        <v>9089</v>
      </c>
      <c r="S579" s="28">
        <v>6.0</v>
      </c>
      <c r="T579" s="28">
        <v>16.0</v>
      </c>
      <c r="U579" s="28">
        <v>40.0</v>
      </c>
      <c r="V579" s="28">
        <v>20.0</v>
      </c>
      <c r="W579" s="28" t="s">
        <v>1173</v>
      </c>
      <c r="X579" s="28" t="s">
        <v>272</v>
      </c>
      <c r="Y579" s="28" t="s">
        <v>9090</v>
      </c>
      <c r="Z579" s="28" t="s">
        <v>5189</v>
      </c>
      <c r="AA579" s="28" t="s">
        <v>619</v>
      </c>
      <c r="AB579" s="28">
        <v>20.0</v>
      </c>
      <c r="AC579" s="28" t="s">
        <v>25</v>
      </c>
      <c r="AD579" s="23"/>
      <c r="AE579" s="28" t="s">
        <v>10</v>
      </c>
      <c r="AF579" s="23" t="str">
        <f>IFERROR(__xludf.DUMMYFUNCTION("TEXTJOIN("", "", TRUE,
  FILTER(Champions!C:C,
    ISNUMBER(SEARCH(C579, Champions!W:W))
  )
)"),"Emily Davis")</f>
        <v>Emily Davis</v>
      </c>
      <c r="AG579" s="23"/>
      <c r="AH579" s="23" t="str">
        <f>IFERROR(__xludf.DUMMYFUNCTION("IF(
ISNUMBER(MATCH(
C579,
IMPORTRANGE(""https://docs.google.com/spreadsheets/d/1yTh1ELC33JHYOeEdgIiEclxPRyh0zOKtlawDltfUay8"",""'Interns'!A:A""),
0
)),
""Outreach Conducted"",
"""")"),"")</f>
        <v/>
      </c>
      <c r="AI579" s="23"/>
      <c r="AJ579" s="23"/>
      <c r="AK579" s="23" t="str">
        <f>IFERROR(__xludf.DUMMYFUNCTION("XLOOKUP(C579, 
   IMPORTRANGE(""1RdEdgHYrZ33LJ7RUHj_h-qkAFL92bcVjtIdVa-UlsCw"", ""Interns!D:D""), 
   IMPORTRANGE(""1RdEdgHYrZ33LJ7RUHj_h-qkAFL92bcVjtIdVa-UlsCw"", ""Interns!M:M""), 
   ""Not Found"")"),"")</f>
        <v/>
      </c>
      <c r="AL579" s="23" t="str">
        <f>IFERROR(__xludf.DUMMYFUNCTION("XLOOKUP(C579, 
   IMPORTRANGE(""1RdEdgHYrZ33LJ7RUHj_h-qkAFL92bcVjtIdVa-UlsCw"", ""Interns!D:D""), 
   IMPORTRANGE(""1RdEdgHYrZ33LJ7RUHj_h-qkAFL92bcVjtIdVa-UlsCw"", ""Interns!N:N""), 
   ""Not Found"")"),"")</f>
        <v/>
      </c>
      <c r="AM579" s="23" t="str">
        <f>IFERROR(__xludf.DUMMYFUNCTION("XLOOKUP(C579, 
   IMPORTRANGE(""1RdEdgHYrZ33LJ7RUHj_h-qkAFL92bcVjtIdVa-UlsCw"", ""Interns!D:D""), 
   IMPORTRANGE(""1RdEdgHYrZ33LJ7RUHj_h-qkAFL92bcVjtIdVa-UlsCw"", ""Interns!O:O""), 
   ""Not Found"")"),"")</f>
        <v/>
      </c>
      <c r="AN579" s="23"/>
      <c r="AO579" s="23" t="s">
        <v>9091</v>
      </c>
      <c r="AP579" s="28" t="s">
        <v>5182</v>
      </c>
      <c r="AQ579" s="28" t="s">
        <v>9092</v>
      </c>
      <c r="AR579" s="23" t="s">
        <v>9093</v>
      </c>
      <c r="AS579" s="23"/>
      <c r="AT579" s="23"/>
      <c r="AU579" s="23"/>
      <c r="AV579" s="23"/>
    </row>
    <row r="580">
      <c r="A580" s="28" t="s">
        <v>5161</v>
      </c>
      <c r="B580" s="28" t="s">
        <v>5162</v>
      </c>
      <c r="C580" s="23" t="str">
        <f t="shared" si="1"/>
        <v>Edwin Gutierrez</v>
      </c>
      <c r="D580" s="28" t="s">
        <v>9094</v>
      </c>
      <c r="E580" s="28" t="s">
        <v>6489</v>
      </c>
      <c r="F580" s="23">
        <f t="array" ref="F580">IFERROR(
    INDEX('Hub Interns 226'!A:A, MATCH(C580, 'Hub Interns 226'!B:B, 0)),"")</f>
        <v>83</v>
      </c>
      <c r="G580" s="23">
        <f t="array" ref="G580">IFERROR(
    INDEX('Hub Users 226'!A:A, MATCH(C580, 'Hub Users 226'!B:B, 0)),"")</f>
        <v>516</v>
      </c>
      <c r="H580" s="28">
        <v>1542.0</v>
      </c>
      <c r="I580" s="28"/>
      <c r="J580" s="28" t="s">
        <v>2388</v>
      </c>
      <c r="K580" s="28" t="s">
        <v>5463</v>
      </c>
      <c r="L580" s="28" t="s">
        <v>5165</v>
      </c>
      <c r="M580" s="56" t="s">
        <v>9095</v>
      </c>
      <c r="N580" s="57">
        <v>44958.59861111111</v>
      </c>
      <c r="O580" s="58">
        <v>37997.0</v>
      </c>
      <c r="P580" s="28">
        <f t="shared" si="20"/>
        <v>22</v>
      </c>
      <c r="Q580" s="28" t="s">
        <v>240</v>
      </c>
      <c r="R580" s="28" t="s">
        <v>9096</v>
      </c>
      <c r="S580" s="28">
        <v>7.0</v>
      </c>
      <c r="T580" s="28">
        <v>12.0</v>
      </c>
      <c r="U580" s="28">
        <v>37.0</v>
      </c>
      <c r="V580" s="28">
        <v>30.0</v>
      </c>
      <c r="W580" s="28" t="s">
        <v>271</v>
      </c>
      <c r="X580" s="28" t="s">
        <v>272</v>
      </c>
      <c r="Y580" s="28" t="s">
        <v>9097</v>
      </c>
      <c r="Z580" s="28" t="s">
        <v>5259</v>
      </c>
      <c r="AA580" s="28" t="s">
        <v>704</v>
      </c>
      <c r="AB580" s="28">
        <v>2.0</v>
      </c>
      <c r="AC580" s="28" t="s">
        <v>23</v>
      </c>
      <c r="AD580" s="23"/>
      <c r="AE580" s="28" t="s">
        <v>15</v>
      </c>
      <c r="AF580" s="23"/>
      <c r="AG580" s="23"/>
      <c r="AH580" s="23" t="str">
        <f>IFERROR(__xludf.DUMMYFUNCTION("IF(
ISNUMBER(MATCH(
C580,
IMPORTRANGE(""https://docs.google.com/spreadsheets/d/1yTh1ELC33JHYOeEdgIiEclxPRyh0zOKtlawDltfUay8"",""'Interns'!A:A""),
0
)),
""Outreach Conducted"",
"""")"),"")</f>
        <v/>
      </c>
      <c r="AI580" s="23"/>
      <c r="AJ580" s="23"/>
      <c r="AK580" s="23" t="str">
        <f>IFERROR(__xludf.DUMMYFUNCTION("XLOOKUP(C580, 
   IMPORTRANGE(""1RdEdgHYrZ33LJ7RUHj_h-qkAFL92bcVjtIdVa-UlsCw"", ""Interns!D:D""), 
   IMPORTRANGE(""1RdEdgHYrZ33LJ7RUHj_h-qkAFL92bcVjtIdVa-UlsCw"", ""Interns!M:M""), 
   ""Not Found"")"),"Contacted")</f>
        <v>Contacted</v>
      </c>
      <c r="AL580" s="23" t="str">
        <f>IFERROR(__xludf.DUMMYFUNCTION("XLOOKUP(C580, 
   IMPORTRANGE(""1RdEdgHYrZ33LJ7RUHj_h-qkAFL92bcVjtIdVa-UlsCw"", ""Interns!D:D""), 
   IMPORTRANGE(""1RdEdgHYrZ33LJ7RUHj_h-qkAFL92bcVjtIdVa-UlsCw"", ""Interns!N:N""), 
   ""Not Found"")"),"#Cheers4Careers")</f>
        <v>#Cheers4Careers</v>
      </c>
      <c r="AM580" s="23" t="str">
        <f>IFERROR(__xludf.DUMMYFUNCTION("XLOOKUP(C580, 
   IMPORTRANGE(""1RdEdgHYrZ33LJ7RUHj_h-qkAFL92bcVjtIdVa-UlsCw"", ""Interns!D:D""), 
   IMPORTRANGE(""1RdEdgHYrZ33LJ7RUHj_h-qkAFL92bcVjtIdVa-UlsCw"", ""Interns!O:O""), 
   ""Not Found"")"),"Ousmane reached out by email 3/26 and reach out by text 3/28")</f>
        <v>Ousmane reached out by email 3/26 and reach out by text 3/28</v>
      </c>
      <c r="AN580" s="23"/>
      <c r="AO580" s="23" t="s">
        <v>9098</v>
      </c>
      <c r="AP580" s="28" t="s">
        <v>5173</v>
      </c>
      <c r="AQ580" s="28"/>
      <c r="AR580" s="23"/>
      <c r="AS580" s="23"/>
      <c r="AT580" s="23"/>
      <c r="AU580" s="23"/>
      <c r="AV580" s="23"/>
    </row>
    <row r="581">
      <c r="A581" s="28" t="s">
        <v>5161</v>
      </c>
      <c r="B581" s="28" t="s">
        <v>5162</v>
      </c>
      <c r="C581" s="23" t="str">
        <f t="shared" si="1"/>
        <v>Jose Montalvan</v>
      </c>
      <c r="D581" s="28" t="s">
        <v>6697</v>
      </c>
      <c r="E581" s="28" t="s">
        <v>9099</v>
      </c>
      <c r="F581" s="23">
        <f t="array" ref="F581">IFERROR(
    INDEX('Hub Interns 226'!A:A, MATCH(C581, 'Hub Interns 226'!B:B, 0)),"")</f>
        <v>588</v>
      </c>
      <c r="G581" s="23">
        <f t="array" ref="G581">IFERROR(
    INDEX('Hub Users 226'!A:A, MATCH(C581, 'Hub Users 226'!B:B, 0)),"")</f>
        <v>1021</v>
      </c>
      <c r="H581" s="28">
        <v>350.0</v>
      </c>
      <c r="I581" s="28" t="s">
        <v>260</v>
      </c>
      <c r="J581" s="28" t="s">
        <v>2388</v>
      </c>
      <c r="K581" s="28" t="s">
        <v>5463</v>
      </c>
      <c r="L581" s="28" t="s">
        <v>5165</v>
      </c>
      <c r="M581" s="56" t="s">
        <v>9100</v>
      </c>
      <c r="N581" s="57">
        <v>44246.49513888889</v>
      </c>
      <c r="O581" s="58">
        <v>38079.0</v>
      </c>
      <c r="P581" s="28">
        <f t="shared" si="20"/>
        <v>22</v>
      </c>
      <c r="Q581" s="28" t="s">
        <v>9101</v>
      </c>
      <c r="R581" s="28" t="s">
        <v>9102</v>
      </c>
      <c r="S581" s="28">
        <v>14.0</v>
      </c>
      <c r="T581" s="28">
        <v>13.0</v>
      </c>
      <c r="U581" s="28">
        <v>34.0</v>
      </c>
      <c r="V581" s="28">
        <v>25.0</v>
      </c>
      <c r="W581" s="28" t="s">
        <v>1173</v>
      </c>
      <c r="X581" s="28" t="s">
        <v>272</v>
      </c>
      <c r="Y581" s="28" t="s">
        <v>9103</v>
      </c>
      <c r="Z581" s="28" t="s">
        <v>5189</v>
      </c>
      <c r="AA581" s="28" t="s">
        <v>619</v>
      </c>
      <c r="AB581" s="28">
        <v>20.0</v>
      </c>
      <c r="AC581" s="28" t="s">
        <v>25</v>
      </c>
      <c r="AD581" s="23"/>
      <c r="AE581" s="28" t="s">
        <v>8</v>
      </c>
      <c r="AF581" s="23" t="str">
        <f>IFERROR(__xludf.DUMMYFUNCTION("TEXTJOIN("", "", TRUE,
  FILTER(Champions!C:C,
    ISNUMBER(SEARCH(C581, Champions!W:W))
  )
)"),"Carolina Chamorro, Mariana Silva Aranha")</f>
        <v>Carolina Chamorro, Mariana Silva Aranha</v>
      </c>
      <c r="AG581" s="23"/>
      <c r="AH581" s="23" t="str">
        <f>IFERROR(__xludf.DUMMYFUNCTION("IF(
ISNUMBER(MATCH(
C581,
IMPORTRANGE(""https://docs.google.com/spreadsheets/d/1yTh1ELC33JHYOeEdgIiEclxPRyh0zOKtlawDltfUay8"",""'Interns'!A:A""),
0
)),
""Outreach Conducted"",
"""")"),"")</f>
        <v/>
      </c>
      <c r="AI581" s="23"/>
      <c r="AJ581" s="23"/>
      <c r="AK581" s="23" t="str">
        <f>IFERROR(__xludf.DUMMYFUNCTION("XLOOKUP(C581, 
   IMPORTRANGE(""1RdEdgHYrZ33LJ7RUHj_h-qkAFL92bcVjtIdVa-UlsCw"", ""Interns!D:D""), 
   IMPORTRANGE(""1RdEdgHYrZ33LJ7RUHj_h-qkAFL92bcVjtIdVa-UlsCw"", ""Interns!M:M""), 
   ""Not Found"")"),"Contacted")</f>
        <v>Contacted</v>
      </c>
      <c r="AL581" s="23" t="str">
        <f>IFERROR(__xludf.DUMMYFUNCTION("XLOOKUP(C581, 
   IMPORTRANGE(""1RdEdgHYrZ33LJ7RUHj_h-qkAFL92bcVjtIdVa-UlsCw"", ""Interns!D:D""), 
   IMPORTRANGE(""1RdEdgHYrZ33LJ7RUHj_h-qkAFL92bcVjtIdVa-UlsCw"", ""Interns!N:N""), 
   ""Not Found"")"),"#Cheers4Careers")</f>
        <v>#Cheers4Careers</v>
      </c>
      <c r="AM581" s="23" t="str">
        <f>IFERROR(__xludf.DUMMYFUNCTION("XLOOKUP(C581, 
   IMPORTRANGE(""1RdEdgHYrZ33LJ7RUHj_h-qkAFL92bcVjtIdVa-UlsCw"", ""Interns!D:D""), 
   IMPORTRANGE(""1RdEdgHYrZ33LJ7RUHj_h-qkAFL92bcVjtIdVa-UlsCw"", ""Interns!O:O""), 
   ""Not Found"")"),"Hetal reached out by email 3/27")</f>
        <v>Hetal reached out by email 3/27</v>
      </c>
      <c r="AN581" s="23"/>
      <c r="AO581" s="23" t="s">
        <v>9104</v>
      </c>
      <c r="AP581" s="28" t="s">
        <v>5182</v>
      </c>
      <c r="AQ581" s="28" t="s">
        <v>9105</v>
      </c>
      <c r="AR581" s="23" t="s">
        <v>9106</v>
      </c>
      <c r="AS581" s="23"/>
      <c r="AT581" s="23"/>
      <c r="AU581" s="23"/>
      <c r="AV581" s="23"/>
    </row>
    <row r="582">
      <c r="A582" s="28" t="s">
        <v>5161</v>
      </c>
      <c r="B582" s="28" t="s">
        <v>31</v>
      </c>
      <c r="C582" s="23" t="str">
        <f t="shared" si="1"/>
        <v>Emiliano Hernandez Cordero</v>
      </c>
      <c r="D582" s="28" t="s">
        <v>9107</v>
      </c>
      <c r="E582" s="28" t="s">
        <v>9108</v>
      </c>
      <c r="F582" s="23">
        <f t="array" ref="F582">IFERROR(
    INDEX('Hub Interns 226'!A:A, MATCH(C582, 'Hub Interns 226'!B:B, 0)),"")</f>
        <v>488</v>
      </c>
      <c r="G582" s="23">
        <f t="array" ref="G582">IFERROR(
    INDEX('Hub Users 226'!A:A, MATCH(C582, 'Hub Users 226'!B:B, 0)),"")</f>
        <v>921</v>
      </c>
      <c r="H582" s="28">
        <v>1172.0</v>
      </c>
      <c r="I582" s="28" t="s">
        <v>107</v>
      </c>
      <c r="J582" s="28"/>
      <c r="K582" s="28"/>
      <c r="L582" s="28" t="s">
        <v>5165</v>
      </c>
      <c r="M582" s="56" t="s">
        <v>9109</v>
      </c>
      <c r="N582" s="57">
        <v>44755.47638888889</v>
      </c>
      <c r="O582" s="58">
        <v>39125.0</v>
      </c>
      <c r="P582" s="28">
        <f t="shared" si="20"/>
        <v>19</v>
      </c>
      <c r="Q582" s="28" t="s">
        <v>9110</v>
      </c>
      <c r="R582" s="28" t="s">
        <v>9111</v>
      </c>
      <c r="S582" s="28"/>
      <c r="T582" s="28"/>
      <c r="U582" s="28"/>
      <c r="V582" s="28">
        <v>49.0</v>
      </c>
      <c r="W582" s="28" t="s">
        <v>9112</v>
      </c>
      <c r="X582" s="28" t="s">
        <v>272</v>
      </c>
      <c r="Y582" s="28" t="s">
        <v>9113</v>
      </c>
      <c r="Z582" s="28" t="s">
        <v>5259</v>
      </c>
      <c r="AA582" s="28" t="s">
        <v>704</v>
      </c>
      <c r="AB582" s="28">
        <v>2.0</v>
      </c>
      <c r="AC582" s="28" t="s">
        <v>23</v>
      </c>
      <c r="AD582" s="23"/>
      <c r="AE582" s="28" t="s">
        <v>15</v>
      </c>
      <c r="AF582" s="23"/>
      <c r="AG582" s="23"/>
      <c r="AH582" s="23" t="str">
        <f>IFERROR(__xludf.DUMMYFUNCTION("IF(
ISNUMBER(MATCH(
C582,
IMPORTRANGE(""https://docs.google.com/spreadsheets/d/1yTh1ELC33JHYOeEdgIiEclxPRyh0zOKtlawDltfUay8"",""'Interns'!A:A""),
0
)),
""Outreach Conducted"",
"""")"),"")</f>
        <v/>
      </c>
      <c r="AI582" s="23"/>
      <c r="AJ582" s="23"/>
      <c r="AK582" s="23" t="str">
        <f>IFERROR(__xludf.DUMMYFUNCTION("XLOOKUP(C582, 
   IMPORTRANGE(""1RdEdgHYrZ33LJ7RUHj_h-qkAFL92bcVjtIdVa-UlsCw"", ""Interns!D:D""), 
   IMPORTRANGE(""1RdEdgHYrZ33LJ7RUHj_h-qkAFL92bcVjtIdVa-UlsCw"", ""Interns!M:M""), 
   ""Not Found"")"),"Contacted")</f>
        <v>Contacted</v>
      </c>
      <c r="AL582" s="23" t="str">
        <f>IFERROR(__xludf.DUMMYFUNCTION("XLOOKUP(C582, 
   IMPORTRANGE(""1RdEdgHYrZ33LJ7RUHj_h-qkAFL92bcVjtIdVa-UlsCw"", ""Interns!D:D""), 
   IMPORTRANGE(""1RdEdgHYrZ33LJ7RUHj_h-qkAFL92bcVjtIdVa-UlsCw"", ""Interns!N:N""), 
   ""Not Found"")"),"#Cheers4Careers")</f>
        <v>#Cheers4Careers</v>
      </c>
      <c r="AM582" s="23" t="str">
        <f>IFERROR(__xludf.DUMMYFUNCTION("XLOOKUP(C582, 
   IMPORTRANGE(""1RdEdgHYrZ33LJ7RUHj_h-qkAFL92bcVjtIdVa-UlsCw"", ""Interns!D:D""), 
   IMPORTRANGE(""1RdEdgHYrZ33LJ7RUHj_h-qkAFL92bcVjtIdVa-UlsCw"", ""Interns!O:O""), 
   ""Not Found"")"),"Hetal reached out by whatsapp on 3/28")</f>
        <v>Hetal reached out by whatsapp on 3/28</v>
      </c>
      <c r="AN582" s="23"/>
      <c r="AO582" s="23" t="s">
        <v>9114</v>
      </c>
      <c r="AP582" s="28" t="s">
        <v>5182</v>
      </c>
      <c r="AQ582" s="28"/>
      <c r="AR582" s="23"/>
      <c r="AS582" s="23"/>
      <c r="AT582" s="23"/>
      <c r="AU582" s="23"/>
      <c r="AV582" s="23"/>
    </row>
    <row r="583">
      <c r="A583" s="28" t="s">
        <v>5161</v>
      </c>
      <c r="B583" s="28" t="s">
        <v>5162</v>
      </c>
      <c r="C583" s="23" t="str">
        <f t="shared" si="1"/>
        <v>Steven Condo</v>
      </c>
      <c r="D583" s="28" t="s">
        <v>3100</v>
      </c>
      <c r="E583" s="28" t="s">
        <v>9115</v>
      </c>
      <c r="F583" s="23">
        <f t="array" ref="F583">IFERROR(
    INDEX('Hub Interns 226'!A:A, MATCH(C583, 'Hub Interns 226'!B:B, 0)),"")</f>
        <v>1124</v>
      </c>
      <c r="G583" s="23">
        <f t="array" ref="G583">IFERROR(
    INDEX('Hub Users 226'!A:A, MATCH(C583, 'Hub Users 226'!B:B, 0)),"")</f>
        <v>1557</v>
      </c>
      <c r="H583" s="28">
        <v>1734.0</v>
      </c>
      <c r="I583" s="28"/>
      <c r="J583" s="28" t="s">
        <v>2388</v>
      </c>
      <c r="K583" s="28" t="s">
        <v>5463</v>
      </c>
      <c r="L583" s="28" t="s">
        <v>5165</v>
      </c>
      <c r="M583" s="56" t="s">
        <v>9116</v>
      </c>
      <c r="N583" s="57">
        <v>45266.58888888889</v>
      </c>
      <c r="O583" s="58">
        <v>40427.0</v>
      </c>
      <c r="P583" s="28">
        <f t="shared" si="20"/>
        <v>15</v>
      </c>
      <c r="Q583" s="28" t="s">
        <v>240</v>
      </c>
      <c r="R583" s="28" t="s">
        <v>9117</v>
      </c>
      <c r="S583" s="28">
        <v>14.0</v>
      </c>
      <c r="T583" s="28">
        <v>13.0</v>
      </c>
      <c r="U583" s="28">
        <v>35.0</v>
      </c>
      <c r="V583" s="28">
        <v>21.0</v>
      </c>
      <c r="W583" s="28" t="s">
        <v>1173</v>
      </c>
      <c r="X583" s="28" t="s">
        <v>272</v>
      </c>
      <c r="Y583" s="28" t="s">
        <v>9118</v>
      </c>
      <c r="Z583" s="28" t="s">
        <v>5352</v>
      </c>
      <c r="AA583" s="28" t="s">
        <v>5287</v>
      </c>
      <c r="AB583" s="28">
        <v>26.0</v>
      </c>
      <c r="AC583" s="28" t="s">
        <v>27</v>
      </c>
      <c r="AD583" s="23"/>
      <c r="AE583" s="28" t="s">
        <v>18</v>
      </c>
      <c r="AF583" s="23"/>
      <c r="AG583" s="23"/>
      <c r="AH583" s="23" t="str">
        <f>IFERROR(__xludf.DUMMYFUNCTION("IF(
ISNUMBER(MATCH(
C583,
IMPORTRANGE(""https://docs.google.com/spreadsheets/d/1yTh1ELC33JHYOeEdgIiEclxPRyh0zOKtlawDltfUay8"",""'Interns'!A:A""),
0
)),
""Outreach Conducted"",
"""")"),"")</f>
        <v/>
      </c>
      <c r="AI583" s="23"/>
      <c r="AJ583" s="23"/>
      <c r="AK583" s="23" t="str">
        <f>IFERROR(__xludf.DUMMYFUNCTION("XLOOKUP(C583, 
   IMPORTRANGE(""1RdEdgHYrZ33LJ7RUHj_h-qkAFL92bcVjtIdVa-UlsCw"", ""Interns!D:D""), 
   IMPORTRANGE(""1RdEdgHYrZ33LJ7RUHj_h-qkAFL92bcVjtIdVa-UlsCw"", ""Interns!M:M""), 
   ""Not Found"")"),"Contacted")</f>
        <v>Contacted</v>
      </c>
      <c r="AL583" s="23" t="str">
        <f>IFERROR(__xludf.DUMMYFUNCTION("XLOOKUP(C583, 
   IMPORTRANGE(""1RdEdgHYrZ33LJ7RUHj_h-qkAFL92bcVjtIdVa-UlsCw"", ""Interns!D:D""), 
   IMPORTRANGE(""1RdEdgHYrZ33LJ7RUHj_h-qkAFL92bcVjtIdVa-UlsCw"", ""Interns!N:N""), 
   ""Not Found"")"),"#Cheers4Careers")</f>
        <v>#Cheers4Careers</v>
      </c>
      <c r="AM583" s="23" t="str">
        <f>IFERROR(__xludf.DUMMYFUNCTION("XLOOKUP(C583, 
   IMPORTRANGE(""1RdEdgHYrZ33LJ7RUHj_h-qkAFL92bcVjtIdVa-UlsCw"", ""Interns!D:D""), 
   IMPORTRANGE(""1RdEdgHYrZ33LJ7RUHj_h-qkAFL92bcVjtIdVa-UlsCw"", ""Interns!O:O""), 
   ""Not Found"")"),"Hetal reached out by email 3/27")</f>
        <v>Hetal reached out by email 3/27</v>
      </c>
      <c r="AN583" s="23"/>
      <c r="AO583" s="23" t="s">
        <v>2293</v>
      </c>
      <c r="AP583" s="28" t="s">
        <v>5182</v>
      </c>
      <c r="AQ583" s="28"/>
      <c r="AR583" s="23"/>
      <c r="AS583" s="23"/>
      <c r="AT583" s="23"/>
      <c r="AU583" s="23"/>
      <c r="AV583" s="23"/>
    </row>
    <row r="584">
      <c r="A584" s="28" t="s">
        <v>5202</v>
      </c>
      <c r="B584" s="28" t="s">
        <v>5162</v>
      </c>
      <c r="C584" s="23" t="str">
        <f t="shared" si="1"/>
        <v>Josselyn Rivera</v>
      </c>
      <c r="D584" s="28" t="s">
        <v>8713</v>
      </c>
      <c r="E584" s="28" t="s">
        <v>1976</v>
      </c>
      <c r="F584" s="23">
        <f t="array" ref="F584">IFERROR(
    INDEX('Hub Interns 226'!A:A, MATCH(C584, 'Hub Interns 226'!B:B, 0)),"")</f>
        <v>696</v>
      </c>
      <c r="G584" s="23">
        <f t="array" ref="G584">IFERROR(
    INDEX('Hub Users 226'!A:A, MATCH(C584, 'Hub Users 226'!B:B, 0)),"")</f>
        <v>1129</v>
      </c>
      <c r="H584" s="28">
        <v>781.0</v>
      </c>
      <c r="I584" s="28" t="s">
        <v>260</v>
      </c>
      <c r="J584" s="28" t="s">
        <v>9066</v>
      </c>
      <c r="K584" s="28" t="s">
        <v>5177</v>
      </c>
      <c r="L584" s="28" t="s">
        <v>5196</v>
      </c>
      <c r="M584" s="56" t="s">
        <v>9119</v>
      </c>
      <c r="N584" s="59">
        <v>44553.52361111111</v>
      </c>
      <c r="O584" s="58">
        <v>37807.0</v>
      </c>
      <c r="P584" s="28">
        <f t="shared" si="20"/>
        <v>22</v>
      </c>
      <c r="Q584" s="28" t="s">
        <v>240</v>
      </c>
      <c r="R584" s="28" t="s">
        <v>9120</v>
      </c>
      <c r="S584" s="28">
        <v>6.0</v>
      </c>
      <c r="T584" s="28">
        <v>11.0</v>
      </c>
      <c r="U584" s="28">
        <v>24.0</v>
      </c>
      <c r="V584" s="28">
        <v>24.0</v>
      </c>
      <c r="W584" s="28" t="s">
        <v>1173</v>
      </c>
      <c r="X584" s="28" t="s">
        <v>272</v>
      </c>
      <c r="Y584" s="28" t="s">
        <v>9121</v>
      </c>
      <c r="Z584" s="28" t="s">
        <v>5483</v>
      </c>
      <c r="AA584" s="28" t="s">
        <v>457</v>
      </c>
      <c r="AB584" s="28">
        <v>25.0</v>
      </c>
      <c r="AC584" s="28" t="s">
        <v>25</v>
      </c>
      <c r="AD584" s="23"/>
      <c r="AE584" s="28" t="s">
        <v>10</v>
      </c>
      <c r="AF584" s="23" t="str">
        <f>IFERROR(__xludf.DUMMYFUNCTION("TEXTJOIN("", "", TRUE,
  FILTER(Champions!C:C,
    ISNUMBER(SEARCH(C584, Champions!W:W))
  )
)"),"Ibtesam Khan, Josh Harris")</f>
        <v>Ibtesam Khan, Josh Harris</v>
      </c>
      <c r="AG584" s="23"/>
      <c r="AH584" s="23" t="str">
        <f>IFERROR(__xludf.DUMMYFUNCTION("IF(
ISNUMBER(MATCH(
C584,
IMPORTRANGE(""https://docs.google.com/spreadsheets/d/1yTh1ELC33JHYOeEdgIiEclxPRyh0zOKtlawDltfUay8"",""'Interns'!A:A""),
0
)),
""Outreach Conducted"",
"""")"),"")</f>
        <v/>
      </c>
      <c r="AI584" s="23"/>
      <c r="AJ584" s="23"/>
      <c r="AK584" s="23" t="str">
        <f>IFERROR(__xludf.DUMMYFUNCTION("XLOOKUP(C584, 
   IMPORTRANGE(""1RdEdgHYrZ33LJ7RUHj_h-qkAFL92bcVjtIdVa-UlsCw"", ""Interns!D:D""), 
   IMPORTRANGE(""1RdEdgHYrZ33LJ7RUHj_h-qkAFL92bcVjtIdVa-UlsCw"", ""Interns!M:M""), 
   ""Not Found"")"),"")</f>
        <v/>
      </c>
      <c r="AL584" s="23" t="str">
        <f>IFERROR(__xludf.DUMMYFUNCTION("XLOOKUP(C584, 
   IMPORTRANGE(""1RdEdgHYrZ33LJ7RUHj_h-qkAFL92bcVjtIdVa-UlsCw"", ""Interns!D:D""), 
   IMPORTRANGE(""1RdEdgHYrZ33LJ7RUHj_h-qkAFL92bcVjtIdVa-UlsCw"", ""Interns!N:N""), 
   ""Not Found"")"),"")</f>
        <v/>
      </c>
      <c r="AM584" s="23" t="str">
        <f>IFERROR(__xludf.DUMMYFUNCTION("XLOOKUP(C584, 
   IMPORTRANGE(""1RdEdgHYrZ33LJ7RUHj_h-qkAFL92bcVjtIdVa-UlsCw"", ""Interns!D:D""), 
   IMPORTRANGE(""1RdEdgHYrZ33LJ7RUHj_h-qkAFL92bcVjtIdVa-UlsCw"", ""Interns!O:O""), 
   ""Not Found"")"),"")</f>
        <v/>
      </c>
      <c r="AN584" s="23"/>
      <c r="AO584" s="23" t="s">
        <v>9122</v>
      </c>
      <c r="AP584" s="28" t="s">
        <v>5182</v>
      </c>
      <c r="AQ584" s="28" t="s">
        <v>9123</v>
      </c>
      <c r="AR584" s="23" t="s">
        <v>9124</v>
      </c>
      <c r="AS584" s="23"/>
      <c r="AT584" s="23"/>
      <c r="AU584" s="23"/>
      <c r="AV584" s="23"/>
    </row>
    <row r="585">
      <c r="A585" s="28" t="s">
        <v>5161</v>
      </c>
      <c r="B585" s="28" t="s">
        <v>5162</v>
      </c>
      <c r="C585" s="23" t="str">
        <f t="shared" si="1"/>
        <v>Jonathan Chachipanta</v>
      </c>
      <c r="D585" s="28" t="s">
        <v>3728</v>
      </c>
      <c r="E585" s="28" t="s">
        <v>9125</v>
      </c>
      <c r="F585" s="23">
        <f t="array" ref="F585">IFERROR(
    INDEX('Hub Interns 226'!A:A, MATCH(C585, 'Hub Interns 226'!B:B, 0)),"")</f>
        <v>1384</v>
      </c>
      <c r="G585" s="23">
        <f t="array" ref="G585">IFERROR(
    INDEX('Hub Users 226'!A:A, MATCH(C585, 'Hub Users 226'!B:B, 0)),"")</f>
        <v>1926</v>
      </c>
      <c r="H585" s="28">
        <v>1793.0</v>
      </c>
      <c r="I585" s="28" t="s">
        <v>785</v>
      </c>
      <c r="J585" s="28" t="s">
        <v>2388</v>
      </c>
      <c r="K585" s="28" t="s">
        <v>5463</v>
      </c>
      <c r="L585" s="28" t="s">
        <v>5165</v>
      </c>
      <c r="M585" s="56" t="s">
        <v>9126</v>
      </c>
      <c r="N585" s="57">
        <v>45314.944444444445</v>
      </c>
      <c r="O585" s="58">
        <v>39177.0</v>
      </c>
      <c r="P585" s="28">
        <f t="shared" si="20"/>
        <v>19</v>
      </c>
      <c r="Q585" s="28" t="s">
        <v>9127</v>
      </c>
      <c r="R585" s="28" t="s">
        <v>9128</v>
      </c>
      <c r="S585" s="28">
        <v>7.0</v>
      </c>
      <c r="T585" s="28">
        <v>18.0</v>
      </c>
      <c r="U585" s="28">
        <v>53.0</v>
      </c>
      <c r="V585" s="28">
        <v>37.0</v>
      </c>
      <c r="W585" s="28" t="s">
        <v>294</v>
      </c>
      <c r="X585" s="28" t="s">
        <v>272</v>
      </c>
      <c r="Y585" s="28">
        <v>5.168591667E9</v>
      </c>
      <c r="Z585" s="28" t="s">
        <v>5259</v>
      </c>
      <c r="AA585" s="28" t="s">
        <v>704</v>
      </c>
      <c r="AB585" s="28">
        <v>2.0</v>
      </c>
      <c r="AC585" s="28" t="s">
        <v>27</v>
      </c>
      <c r="AD585" s="23"/>
      <c r="AE585" s="28" t="s">
        <v>18</v>
      </c>
      <c r="AF585" s="23"/>
      <c r="AG585" s="23"/>
      <c r="AH585" s="23" t="str">
        <f>IFERROR(__xludf.DUMMYFUNCTION("IF(
ISNUMBER(MATCH(
C585,
IMPORTRANGE(""https://docs.google.com/spreadsheets/d/1yTh1ELC33JHYOeEdgIiEclxPRyh0zOKtlawDltfUay8"",""'Interns'!A:A""),
0
)),
""Outreach Conducted"",
"""")"),"")</f>
        <v/>
      </c>
      <c r="AI585" s="23"/>
      <c r="AJ585" s="23"/>
      <c r="AK585" s="23" t="str">
        <f>IFERROR(__xludf.DUMMYFUNCTION("XLOOKUP(C585, 
   IMPORTRANGE(""1RdEdgHYrZ33LJ7RUHj_h-qkAFL92bcVjtIdVa-UlsCw"", ""Interns!D:D""), 
   IMPORTRANGE(""1RdEdgHYrZ33LJ7RUHj_h-qkAFL92bcVjtIdVa-UlsCw"", ""Interns!M:M""), 
   ""Not Found"")"),"Contacted")</f>
        <v>Contacted</v>
      </c>
      <c r="AL585" s="23" t="str">
        <f>IFERROR(__xludf.DUMMYFUNCTION("XLOOKUP(C585, 
   IMPORTRANGE(""1RdEdgHYrZ33LJ7RUHj_h-qkAFL92bcVjtIdVa-UlsCw"", ""Interns!D:D""), 
   IMPORTRANGE(""1RdEdgHYrZ33LJ7RUHj_h-qkAFL92bcVjtIdVa-UlsCw"", ""Interns!N:N""), 
   ""Not Found"")"),"#Cheers4Careers")</f>
        <v>#Cheers4Careers</v>
      </c>
      <c r="AM585" s="23" t="str">
        <f>IFERROR(__xludf.DUMMYFUNCTION("XLOOKUP(C585, 
   IMPORTRANGE(""1RdEdgHYrZ33LJ7RUHj_h-qkAFL92bcVjtIdVa-UlsCw"", ""Interns!D:D""), 
   IMPORTRANGE(""1RdEdgHYrZ33LJ7RUHj_h-qkAFL92bcVjtIdVa-UlsCw"", ""Interns!O:O""), 
   ""Not Found"")"),"Ousmane reached out by email 3/26 and reach out by text 3/28")</f>
        <v>Ousmane reached out by email 3/26 and reach out by text 3/28</v>
      </c>
      <c r="AN585" s="23"/>
      <c r="AO585" s="23" t="s">
        <v>9129</v>
      </c>
      <c r="AP585" s="28" t="s">
        <v>5191</v>
      </c>
      <c r="AQ585" s="28" t="s">
        <v>9126</v>
      </c>
      <c r="AR585" s="23">
        <v>7.18496138E9</v>
      </c>
      <c r="AS585" s="23"/>
      <c r="AT585" s="23"/>
      <c r="AU585" s="23"/>
      <c r="AV585" s="23"/>
    </row>
    <row r="586">
      <c r="A586" s="28" t="s">
        <v>5161</v>
      </c>
      <c r="B586" s="28" t="s">
        <v>5162</v>
      </c>
      <c r="C586" s="23" t="str">
        <f t="shared" si="1"/>
        <v>Willan Sanchez</v>
      </c>
      <c r="D586" s="22" t="s">
        <v>9130</v>
      </c>
      <c r="E586" s="22" t="s">
        <v>6853</v>
      </c>
      <c r="F586" s="23"/>
      <c r="G586" s="23"/>
      <c r="H586" s="22">
        <v>1946.0</v>
      </c>
      <c r="I586" s="28"/>
      <c r="J586" s="28" t="s">
        <v>2388</v>
      </c>
      <c r="K586" s="28" t="s">
        <v>5463</v>
      </c>
      <c r="L586" s="28" t="s">
        <v>5165</v>
      </c>
      <c r="M586" s="29" t="s">
        <v>9131</v>
      </c>
      <c r="N586" s="61">
        <v>45727.532638888886</v>
      </c>
      <c r="O586" s="25">
        <v>40007.0</v>
      </c>
      <c r="P586" s="28">
        <f t="shared" si="20"/>
        <v>16</v>
      </c>
      <c r="Q586" s="62" t="s">
        <v>9132</v>
      </c>
      <c r="R586" s="22" t="s">
        <v>9133</v>
      </c>
      <c r="S586" s="28">
        <v>14.0</v>
      </c>
      <c r="T586" s="28">
        <v>13.0</v>
      </c>
      <c r="U586" s="28">
        <v>35.0</v>
      </c>
      <c r="V586" s="28">
        <v>21.0</v>
      </c>
      <c r="W586" s="28" t="s">
        <v>1173</v>
      </c>
      <c r="X586" s="28" t="s">
        <v>272</v>
      </c>
      <c r="Y586" s="24"/>
      <c r="Z586" s="22" t="s">
        <v>5365</v>
      </c>
      <c r="AA586" s="28" t="s">
        <v>5366</v>
      </c>
      <c r="AB586" s="28">
        <v>26.0</v>
      </c>
      <c r="AC586" s="28" t="s">
        <v>23</v>
      </c>
      <c r="AD586" s="23"/>
      <c r="AE586" s="28" t="s">
        <v>19</v>
      </c>
      <c r="AF586" s="23"/>
      <c r="AG586" s="23"/>
      <c r="AH586" s="23" t="str">
        <f>IFERROR(__xludf.DUMMYFUNCTION("IF(
ISNUMBER(MATCH(
C586,
IMPORTRANGE(""https://docs.google.com/spreadsheets/d/1yTh1ELC33JHYOeEdgIiEclxPRyh0zOKtlawDltfUay8"",""'Interns'!A:A""),
0
)),
""Outreach Conducted"",
"""")"),"")</f>
        <v/>
      </c>
      <c r="AI586" s="23"/>
      <c r="AJ586" s="23"/>
      <c r="AK586" s="23"/>
      <c r="AL586" s="23" t="str">
        <f>IFERROR(__xludf.DUMMYFUNCTION("XLOOKUP(C586, 
   IMPORTRANGE(""1RdEdgHYrZ33LJ7RUHj_h-qkAFL92bcVjtIdVa-UlsCw"", ""Interns!D:D""), 
   IMPORTRANGE(""1RdEdgHYrZ33LJ7RUHj_h-qkAFL92bcVjtIdVa-UlsCw"", ""Interns!N:N""), 
   ""Not Found"")"),"Not Found")</f>
        <v>Not Found</v>
      </c>
      <c r="AM586" s="23" t="str">
        <f>IFERROR(__xludf.DUMMYFUNCTION("XLOOKUP(C586, 
   IMPORTRANGE(""1RdEdgHYrZ33LJ7RUHj_h-qkAFL92bcVjtIdVa-UlsCw"", ""Interns!D:D""), 
   IMPORTRANGE(""1RdEdgHYrZ33LJ7RUHj_h-qkAFL92bcVjtIdVa-UlsCw"", ""Interns!O:O""), 
   ""Not Found"")"),"Not Found")</f>
        <v>Not Found</v>
      </c>
      <c r="AN586" s="23"/>
      <c r="AO586" s="23" t="s">
        <v>9134</v>
      </c>
      <c r="AP586" s="28" t="s">
        <v>5182</v>
      </c>
      <c r="AQ586" s="28" t="s">
        <v>9135</v>
      </c>
      <c r="AR586" s="23" t="s">
        <v>9136</v>
      </c>
      <c r="AS586" s="23"/>
      <c r="AT586" s="23"/>
      <c r="AU586" s="23"/>
      <c r="AV586" s="23"/>
    </row>
    <row r="587">
      <c r="A587" s="28" t="s">
        <v>5161</v>
      </c>
      <c r="B587" s="28" t="s">
        <v>5162</v>
      </c>
      <c r="C587" s="23" t="str">
        <f t="shared" si="1"/>
        <v>Valeria Varags</v>
      </c>
      <c r="D587" s="22" t="s">
        <v>9137</v>
      </c>
      <c r="E587" s="22" t="s">
        <v>9138</v>
      </c>
      <c r="F587" s="23"/>
      <c r="G587" s="23"/>
      <c r="H587" s="22">
        <v>1943.0</v>
      </c>
      <c r="I587" s="28"/>
      <c r="J587" s="28" t="s">
        <v>2388</v>
      </c>
      <c r="K587" s="28" t="s">
        <v>5463</v>
      </c>
      <c r="L587" s="28" t="s">
        <v>5196</v>
      </c>
      <c r="M587" s="29" t="s">
        <v>9139</v>
      </c>
      <c r="N587" s="61">
        <v>45729.50069444445</v>
      </c>
      <c r="O587" s="25">
        <v>39425.0</v>
      </c>
      <c r="P587" s="28">
        <f t="shared" si="20"/>
        <v>18</v>
      </c>
      <c r="Q587" s="62" t="s">
        <v>9140</v>
      </c>
      <c r="R587" s="22" t="s">
        <v>9141</v>
      </c>
      <c r="S587" s="28">
        <v>14.0</v>
      </c>
      <c r="T587" s="28">
        <v>13.0</v>
      </c>
      <c r="U587" s="28">
        <v>35.0</v>
      </c>
      <c r="V587" s="28">
        <v>21.0</v>
      </c>
      <c r="W587" s="28" t="s">
        <v>1173</v>
      </c>
      <c r="X587" s="28" t="s">
        <v>272</v>
      </c>
      <c r="Y587" s="24"/>
      <c r="Z587" s="22" t="s">
        <v>5365</v>
      </c>
      <c r="AA587" s="28" t="s">
        <v>5366</v>
      </c>
      <c r="AB587" s="28">
        <v>26.0</v>
      </c>
      <c r="AC587" s="28" t="s">
        <v>23</v>
      </c>
      <c r="AD587" s="23"/>
      <c r="AE587" s="28" t="s">
        <v>19</v>
      </c>
      <c r="AF587" s="23"/>
      <c r="AG587" s="23"/>
      <c r="AH587" s="23" t="str">
        <f>IFERROR(__xludf.DUMMYFUNCTION("IF(
ISNUMBER(MATCH(
C587,
IMPORTRANGE(""https://docs.google.com/spreadsheets/d/1yTh1ELC33JHYOeEdgIiEclxPRyh0zOKtlawDltfUay8"",""'Interns'!A:A""),
0
)),
""Outreach Conducted"",
"""")"),"")</f>
        <v/>
      </c>
      <c r="AI587" s="23"/>
      <c r="AJ587" s="23"/>
      <c r="AK587" s="23"/>
      <c r="AL587" s="23" t="str">
        <f>IFERROR(__xludf.DUMMYFUNCTION("XLOOKUP(C587, 
   IMPORTRANGE(""1RdEdgHYrZ33LJ7RUHj_h-qkAFL92bcVjtIdVa-UlsCw"", ""Interns!D:D""), 
   IMPORTRANGE(""1RdEdgHYrZ33LJ7RUHj_h-qkAFL92bcVjtIdVa-UlsCw"", ""Interns!N:N""), 
   ""Not Found"")"),"#Cheers4Careers")</f>
        <v>#Cheers4Careers</v>
      </c>
      <c r="AM587" s="23" t="str">
        <f>IFERROR(__xludf.DUMMYFUNCTION("XLOOKUP(C587, 
   IMPORTRANGE(""1RdEdgHYrZ33LJ7RUHj_h-qkAFL92bcVjtIdVa-UlsCw"", ""Interns!D:D""), 
   IMPORTRANGE(""1RdEdgHYrZ33LJ7RUHj_h-qkAFL92bcVjtIdVa-UlsCw"", ""Interns!O:O""), 
   ""Not Found"")"),"Hetal reached out March 27 for March #Cheers4 Careers ")</f>
        <v>Hetal reached out March 27 for March #Cheers4 Careers </v>
      </c>
      <c r="AN587" s="23"/>
      <c r="AO587" s="23" t="s">
        <v>9142</v>
      </c>
      <c r="AP587" s="28"/>
      <c r="AQ587" s="28" t="s">
        <v>9139</v>
      </c>
      <c r="AR587" s="23" t="s">
        <v>9143</v>
      </c>
      <c r="AS587" s="23"/>
      <c r="AT587" s="23"/>
      <c r="AU587" s="23"/>
      <c r="AV587" s="23"/>
    </row>
    <row r="588">
      <c r="A588" s="28" t="s">
        <v>5161</v>
      </c>
      <c r="B588" s="28" t="s">
        <v>5162</v>
      </c>
      <c r="C588" s="23" t="str">
        <f t="shared" si="1"/>
        <v>Lady Calle</v>
      </c>
      <c r="D588" s="28" t="s">
        <v>3776</v>
      </c>
      <c r="E588" s="28" t="s">
        <v>9144</v>
      </c>
      <c r="F588" s="23">
        <f t="array" ref="F588">IFERROR(
    INDEX('Hub Interns 226'!A:A, MATCH(C588, 'Hub Interns 226'!B:B, 0)),"")</f>
        <v>761</v>
      </c>
      <c r="G588" s="23">
        <f t="array" ref="G588">IFERROR(
    INDEX('Hub Users 226'!A:A, MATCH(C588, 'Hub Users 226'!B:B, 0)),"")</f>
        <v>1194</v>
      </c>
      <c r="H588" s="28">
        <v>784.0</v>
      </c>
      <c r="I588" s="28" t="s">
        <v>290</v>
      </c>
      <c r="J588" s="28" t="s">
        <v>2388</v>
      </c>
      <c r="K588" s="28" t="s">
        <v>5463</v>
      </c>
      <c r="L588" s="28" t="s">
        <v>5196</v>
      </c>
      <c r="M588" s="56" t="s">
        <v>9145</v>
      </c>
      <c r="N588" s="59">
        <v>44553.58125</v>
      </c>
      <c r="O588" s="58">
        <v>38270.0</v>
      </c>
      <c r="P588" s="28">
        <f t="shared" si="20"/>
        <v>21</v>
      </c>
      <c r="Q588" s="28" t="s">
        <v>240</v>
      </c>
      <c r="R588" s="28" t="s">
        <v>9146</v>
      </c>
      <c r="S588" s="28">
        <v>14.0</v>
      </c>
      <c r="T588" s="28">
        <v>13.0</v>
      </c>
      <c r="U588" s="28">
        <v>35.0</v>
      </c>
      <c r="V588" s="28">
        <v>21.0</v>
      </c>
      <c r="W588" s="28" t="s">
        <v>1173</v>
      </c>
      <c r="X588" s="28" t="s">
        <v>272</v>
      </c>
      <c r="Y588" s="28" t="s">
        <v>9147</v>
      </c>
      <c r="Z588" s="28" t="s">
        <v>5483</v>
      </c>
      <c r="AA588" s="28" t="s">
        <v>457</v>
      </c>
      <c r="AB588" s="28">
        <v>25.0</v>
      </c>
      <c r="AC588" s="28" t="s">
        <v>25</v>
      </c>
      <c r="AD588" s="23"/>
      <c r="AE588" s="28" t="s">
        <v>10</v>
      </c>
      <c r="AF588" s="23" t="str">
        <f>IFERROR(__xludf.DUMMYFUNCTION("TEXTJOIN("", "", TRUE,
  FILTER(Champions!C:C,
    ISNUMBER(SEARCH(C588, Champions!W:W))
  )
)"),"Olga Patel, Saima Malik, Saima Malik (D)")</f>
        <v>Olga Patel, Saima Malik, Saima Malik (D)</v>
      </c>
      <c r="AG588" s="23"/>
      <c r="AH588" s="23" t="str">
        <f>IFERROR(__xludf.DUMMYFUNCTION("IF(
ISNUMBER(MATCH(
C588,
IMPORTRANGE(""https://docs.google.com/spreadsheets/d/1yTh1ELC33JHYOeEdgIiEclxPRyh0zOKtlawDltfUay8"",""'Interns'!A:A""),
0
)),
""Outreach Conducted"",
"""")"),"")</f>
        <v/>
      </c>
      <c r="AI588" s="23"/>
      <c r="AJ588" s="23"/>
      <c r="AK588" s="23" t="str">
        <f>IFERROR(__xludf.DUMMYFUNCTION("XLOOKUP(C588, 
   IMPORTRANGE(""1RdEdgHYrZ33LJ7RUHj_h-qkAFL92bcVjtIdVa-UlsCw"", ""Interns!D:D""), 
   IMPORTRANGE(""1RdEdgHYrZ33LJ7RUHj_h-qkAFL92bcVjtIdVa-UlsCw"", ""Interns!M:M""), 
   ""Not Found"")"),"Contacted")</f>
        <v>Contacted</v>
      </c>
      <c r="AL588" s="23" t="str">
        <f>IFERROR(__xludf.DUMMYFUNCTION("XLOOKUP(C588, 
   IMPORTRANGE(""1RdEdgHYrZ33LJ7RUHj_h-qkAFL92bcVjtIdVa-UlsCw"", ""Interns!D:D""), 
   IMPORTRANGE(""1RdEdgHYrZ33LJ7RUHj_h-qkAFL92bcVjtIdVa-UlsCw"", ""Interns!N:N""), 
   ""Not Found"")"),"#Cheers4Careers")</f>
        <v>#Cheers4Careers</v>
      </c>
      <c r="AM588" s="23" t="str">
        <f>IFERROR(__xludf.DUMMYFUNCTION("XLOOKUP(C588, 
   IMPORTRANGE(""1RdEdgHYrZ33LJ7RUHj_h-qkAFL92bcVjtIdVa-UlsCw"", ""Interns!D:D""), 
   IMPORTRANGE(""1RdEdgHYrZ33LJ7RUHj_h-qkAFL92bcVjtIdVa-UlsCw"", ""Interns!O:O""), 
   ""Not Found"")"),"Hetal reached out by email 3/27")</f>
        <v>Hetal reached out by email 3/27</v>
      </c>
      <c r="AN588" s="23"/>
      <c r="AO588" s="23" t="s">
        <v>9148</v>
      </c>
      <c r="AP588" s="28" t="s">
        <v>5989</v>
      </c>
      <c r="AQ588" s="28" t="s">
        <v>7524</v>
      </c>
      <c r="AR588" s="23" t="s">
        <v>9149</v>
      </c>
      <c r="AS588" s="23"/>
      <c r="AT588" s="23"/>
      <c r="AU588" s="23"/>
      <c r="AV588" s="23"/>
    </row>
    <row r="589">
      <c r="A589" s="28" t="s">
        <v>5161</v>
      </c>
      <c r="B589" s="28" t="s">
        <v>5162</v>
      </c>
      <c r="C589" s="23" t="str">
        <f t="shared" si="1"/>
        <v>Michael David Paredes</v>
      </c>
      <c r="D589" s="28" t="s">
        <v>9150</v>
      </c>
      <c r="E589" s="28" t="s">
        <v>9151</v>
      </c>
      <c r="F589" s="23">
        <f t="array" ref="F589">IFERROR(
    INDEX('Hub Interns 226'!A:A, MATCH(C589, 'Hub Interns 226'!B:B, 0)),"")</f>
        <v>418</v>
      </c>
      <c r="G589" s="23">
        <f t="array" ref="G589">IFERROR(
    INDEX('Hub Users 226'!A:A, MATCH(C589, 'Hub Users 226'!B:B, 0)),"")</f>
        <v>851</v>
      </c>
      <c r="H589" s="28">
        <v>486.0</v>
      </c>
      <c r="I589" s="28" t="s">
        <v>239</v>
      </c>
      <c r="J589" s="28" t="s">
        <v>2388</v>
      </c>
      <c r="K589" s="28" t="s">
        <v>5463</v>
      </c>
      <c r="L589" s="28" t="s">
        <v>5165</v>
      </c>
      <c r="M589" s="56" t="s">
        <v>9152</v>
      </c>
      <c r="N589" s="57">
        <v>44398.87152777778</v>
      </c>
      <c r="O589" s="58">
        <v>37715.0</v>
      </c>
      <c r="P589" s="28">
        <f t="shared" si="20"/>
        <v>23</v>
      </c>
      <c r="Q589" s="28" t="s">
        <v>9153</v>
      </c>
      <c r="R589" s="28" t="s">
        <v>9154</v>
      </c>
      <c r="S589" s="28">
        <v>15.0</v>
      </c>
      <c r="T589" s="28">
        <v>29.0</v>
      </c>
      <c r="U589" s="28">
        <v>79.0</v>
      </c>
      <c r="V589" s="28">
        <v>17.0</v>
      </c>
      <c r="W589" s="28" t="s">
        <v>859</v>
      </c>
      <c r="X589" s="28" t="s">
        <v>272</v>
      </c>
      <c r="Y589" s="28">
        <v>1.3472642888E10</v>
      </c>
      <c r="Z589" s="28" t="s">
        <v>5208</v>
      </c>
      <c r="AA589" s="28" t="s">
        <v>2141</v>
      </c>
      <c r="AB589" s="28">
        <v>8.0</v>
      </c>
      <c r="AC589" s="28" t="s">
        <v>25</v>
      </c>
      <c r="AD589" s="23"/>
      <c r="AE589" s="28" t="s">
        <v>10</v>
      </c>
      <c r="AF589" s="23" t="str">
        <f>IFERROR(__xludf.DUMMYFUNCTION("TEXTJOIN("", "", TRUE,
  FILTER(Champions!C:C,
    ISNUMBER(SEARCH(C589, Champions!W:W))
  )
)"),"Carolina Chamorro, Loren Hernandez, Vicki Teman")</f>
        <v>Carolina Chamorro, Loren Hernandez, Vicki Teman</v>
      </c>
      <c r="AG589" s="23"/>
      <c r="AH589" s="23" t="str">
        <f>IFERROR(__xludf.DUMMYFUNCTION("IF(
ISNUMBER(MATCH(
C589,
IMPORTRANGE(""https://docs.google.com/spreadsheets/d/1yTh1ELC33JHYOeEdgIiEclxPRyh0zOKtlawDltfUay8"",""'Interns'!A:A""),
0
)),
""Outreach Conducted"",
"""")"),"")</f>
        <v/>
      </c>
      <c r="AI589" s="23"/>
      <c r="AJ589" s="23"/>
      <c r="AK589" s="23" t="str">
        <f>IFERROR(__xludf.DUMMYFUNCTION("XLOOKUP(C589, 
   IMPORTRANGE(""1RdEdgHYrZ33LJ7RUHj_h-qkAFL92bcVjtIdVa-UlsCw"", ""Interns!D:D""), 
   IMPORTRANGE(""1RdEdgHYrZ33LJ7RUHj_h-qkAFL92bcVjtIdVa-UlsCw"", ""Interns!M:M""), 
   ""Not Found"")"),"Contacted")</f>
        <v>Contacted</v>
      </c>
      <c r="AL589" s="23" t="str">
        <f>IFERROR(__xludf.DUMMYFUNCTION("XLOOKUP(C589, 
   IMPORTRANGE(""1RdEdgHYrZ33LJ7RUHj_h-qkAFL92bcVjtIdVa-UlsCw"", ""Interns!D:D""), 
   IMPORTRANGE(""1RdEdgHYrZ33LJ7RUHj_h-qkAFL92bcVjtIdVa-UlsCw"", ""Interns!N:N""), 
   ""Not Found"")"),"#Cheers4Careers")</f>
        <v>#Cheers4Careers</v>
      </c>
      <c r="AM589" s="23" t="str">
        <f>IFERROR(__xludf.DUMMYFUNCTION("XLOOKUP(C589, 
   IMPORTRANGE(""1RdEdgHYrZ33LJ7RUHj_h-qkAFL92bcVjtIdVa-UlsCw"", ""Interns!D:D""), 
   IMPORTRANGE(""1RdEdgHYrZ33LJ7RUHj_h-qkAFL92bcVjtIdVa-UlsCw"", ""Interns!O:O""), 
   ""Not Found"")"),"Hetal reached out by email 3/27")</f>
        <v>Hetal reached out by email 3/27</v>
      </c>
      <c r="AN589" s="23"/>
      <c r="AO589" s="23" t="s">
        <v>9155</v>
      </c>
      <c r="AP589" s="28" t="s">
        <v>5182</v>
      </c>
      <c r="AQ589" s="28" t="s">
        <v>9156</v>
      </c>
      <c r="AR589" s="23" t="s">
        <v>9157</v>
      </c>
      <c r="AS589" s="23"/>
      <c r="AT589" s="23"/>
      <c r="AU589" s="23"/>
      <c r="AV589" s="23"/>
    </row>
    <row r="590">
      <c r="A590" s="28" t="s">
        <v>5161</v>
      </c>
      <c r="B590" s="28" t="s">
        <v>5162</v>
      </c>
      <c r="C590" s="23" t="str">
        <f t="shared" si="1"/>
        <v>Michael Steven Paredes Franco</v>
      </c>
      <c r="D590" s="28" t="s">
        <v>9158</v>
      </c>
      <c r="E590" s="28" t="s">
        <v>9159</v>
      </c>
      <c r="F590" s="23">
        <f t="array" ref="F590">IFERROR(
    INDEX('Hub Interns 226'!A:A, MATCH(C590, 'Hub Interns 226'!B:B, 0)),"")</f>
        <v>1123</v>
      </c>
      <c r="G590" s="23">
        <f t="array" ref="G590">IFERROR(
    INDEX('Hub Users 226'!A:A, MATCH(C590, 'Hub Users 226'!B:B, 0)),"")</f>
        <v>1556</v>
      </c>
      <c r="H590" s="28">
        <v>471.0</v>
      </c>
      <c r="I590" s="28" t="s">
        <v>290</v>
      </c>
      <c r="J590" s="28" t="s">
        <v>2388</v>
      </c>
      <c r="K590" s="28" t="s">
        <v>5463</v>
      </c>
      <c r="L590" s="28" t="s">
        <v>5165</v>
      </c>
      <c r="M590" s="56" t="s">
        <v>9160</v>
      </c>
      <c r="N590" s="57">
        <v>44362.50208333333</v>
      </c>
      <c r="O590" s="58">
        <v>37715.0</v>
      </c>
      <c r="P590" s="28">
        <f t="shared" si="20"/>
        <v>23</v>
      </c>
      <c r="Q590" s="28" t="s">
        <v>5247</v>
      </c>
      <c r="R590" s="28" t="s">
        <v>9161</v>
      </c>
      <c r="S590" s="28">
        <v>15.0</v>
      </c>
      <c r="T590" s="28">
        <v>29.0</v>
      </c>
      <c r="U590" s="28">
        <v>79.0</v>
      </c>
      <c r="V590" s="28">
        <v>17.0</v>
      </c>
      <c r="W590" s="28" t="s">
        <v>859</v>
      </c>
      <c r="X590" s="28" t="s">
        <v>272</v>
      </c>
      <c r="Y590" s="28" t="s">
        <v>9162</v>
      </c>
      <c r="Z590" s="28" t="s">
        <v>5208</v>
      </c>
      <c r="AA590" s="28" t="s">
        <v>2141</v>
      </c>
      <c r="AB590" s="28">
        <v>8.0</v>
      </c>
      <c r="AC590" s="28" t="s">
        <v>25</v>
      </c>
      <c r="AD590" s="23"/>
      <c r="AE590" s="28" t="s">
        <v>10</v>
      </c>
      <c r="AF590" s="23" t="str">
        <f>IFERROR(__xludf.DUMMYFUNCTION("TEXTJOIN("", "", TRUE,
  FILTER(Champions!C:C,
    ISNUMBER(SEARCH(C590, Champions!W:W))
  )
)"),"Denise Vargas, Scotney Young, Tracy Pullman")</f>
        <v>Denise Vargas, Scotney Young, Tracy Pullman</v>
      </c>
      <c r="AG590" s="23"/>
      <c r="AH590" s="23" t="str">
        <f>IFERROR(__xludf.DUMMYFUNCTION("IF(
ISNUMBER(MATCH(
C590,
IMPORTRANGE(""https://docs.google.com/spreadsheets/d/1yTh1ELC33JHYOeEdgIiEclxPRyh0zOKtlawDltfUay8"",""'Interns'!A:A""),
0
)),
""Outreach Conducted"",
"""")"),"")</f>
        <v/>
      </c>
      <c r="AI590" s="23"/>
      <c r="AJ590" s="23"/>
      <c r="AK590" s="23" t="str">
        <f>IFERROR(__xludf.DUMMYFUNCTION("XLOOKUP(C590, 
   IMPORTRANGE(""1RdEdgHYrZ33LJ7RUHj_h-qkAFL92bcVjtIdVa-UlsCw"", ""Interns!D:D""), 
   IMPORTRANGE(""1RdEdgHYrZ33LJ7RUHj_h-qkAFL92bcVjtIdVa-UlsCw"", ""Interns!M:M""), 
   ""Not Found"")"),"Contacted")</f>
        <v>Contacted</v>
      </c>
      <c r="AL590" s="23" t="str">
        <f>IFERROR(__xludf.DUMMYFUNCTION("XLOOKUP(C590, 
   IMPORTRANGE(""1RdEdgHYrZ33LJ7RUHj_h-qkAFL92bcVjtIdVa-UlsCw"", ""Interns!D:D""), 
   IMPORTRANGE(""1RdEdgHYrZ33LJ7RUHj_h-qkAFL92bcVjtIdVa-UlsCw"", ""Interns!N:N""), 
   ""Not Found"")"),"#Cheers4Careers")</f>
        <v>#Cheers4Careers</v>
      </c>
      <c r="AM590" s="23" t="str">
        <f>IFERROR(__xludf.DUMMYFUNCTION("XLOOKUP(C590, 
   IMPORTRANGE(""1RdEdgHYrZ33LJ7RUHj_h-qkAFL92bcVjtIdVa-UlsCw"", ""Interns!D:D""), 
   IMPORTRANGE(""1RdEdgHYrZ33LJ7RUHj_h-qkAFL92bcVjtIdVa-UlsCw"", ""Interns!O:O""), 
   ""Not Found"")"),"Hetal reached out by email 3/27")</f>
        <v>Hetal reached out by email 3/27</v>
      </c>
      <c r="AN590" s="23"/>
      <c r="AO590" s="23" t="s">
        <v>9163</v>
      </c>
      <c r="AP590" s="28" t="s">
        <v>5182</v>
      </c>
      <c r="AQ590" s="28" t="s">
        <v>9160</v>
      </c>
      <c r="AR590" s="23" t="s">
        <v>9157</v>
      </c>
      <c r="AS590" s="28" t="s">
        <v>9164</v>
      </c>
      <c r="AT590" s="23"/>
      <c r="AU590" s="23"/>
      <c r="AV590" s="23"/>
    </row>
    <row r="591">
      <c r="A591" s="28" t="s">
        <v>5161</v>
      </c>
      <c r="B591" s="28" t="s">
        <v>5162</v>
      </c>
      <c r="C591" s="23" t="str">
        <f t="shared" si="1"/>
        <v>Shirley Cullqui</v>
      </c>
      <c r="D591" s="28" t="s">
        <v>9165</v>
      </c>
      <c r="E591" s="28" t="s">
        <v>9166</v>
      </c>
      <c r="F591" s="23">
        <f t="array" ref="F591">IFERROR(
    INDEX('Hub Interns 226'!A:A, MATCH(C591, 'Hub Interns 226'!B:B, 0)),"")</f>
        <v>396</v>
      </c>
      <c r="G591" s="23">
        <f t="array" ref="G591">IFERROR(
    INDEX('Hub Users 226'!A:A, MATCH(C591, 'Hub Users 226'!B:B, 0)),"")</f>
        <v>829</v>
      </c>
      <c r="H591" s="28">
        <v>741.0</v>
      </c>
      <c r="I591" s="28" t="s">
        <v>608</v>
      </c>
      <c r="J591" s="28" t="s">
        <v>2388</v>
      </c>
      <c r="K591" s="28" t="s">
        <v>5463</v>
      </c>
      <c r="L591" s="28" t="s">
        <v>5196</v>
      </c>
      <c r="M591" s="56" t="s">
        <v>9167</v>
      </c>
      <c r="N591" s="59">
        <v>44551.40625</v>
      </c>
      <c r="O591" s="58">
        <v>38445.0</v>
      </c>
      <c r="P591" s="28">
        <f t="shared" si="20"/>
        <v>21</v>
      </c>
      <c r="Q591" s="28" t="s">
        <v>240</v>
      </c>
      <c r="R591" s="28" t="s">
        <v>9168</v>
      </c>
      <c r="S591" s="28">
        <v>14.0</v>
      </c>
      <c r="T591" s="28">
        <v>13.0</v>
      </c>
      <c r="U591" s="28">
        <v>34.0</v>
      </c>
      <c r="V591" s="28">
        <v>25.0</v>
      </c>
      <c r="W591" s="28" t="s">
        <v>1173</v>
      </c>
      <c r="X591" s="28" t="s">
        <v>272</v>
      </c>
      <c r="Y591" s="28" t="s">
        <v>9169</v>
      </c>
      <c r="Z591" s="28" t="s">
        <v>5483</v>
      </c>
      <c r="AA591" s="28" t="s">
        <v>457</v>
      </c>
      <c r="AB591" s="28">
        <v>25.0</v>
      </c>
      <c r="AC591" s="28" t="s">
        <v>25</v>
      </c>
      <c r="AD591" s="23"/>
      <c r="AE591" s="28" t="s">
        <v>10</v>
      </c>
      <c r="AF591" s="23" t="str">
        <f>IFERROR(__xludf.DUMMYFUNCTION("TEXTJOIN("", "", TRUE,
  FILTER(Champions!C:C,
    ISNUMBER(SEARCH(C591, Champions!W:W))
  )
)"),"Romina Tome, Sarah Anne Mead Lupberger")</f>
        <v>Romina Tome, Sarah Anne Mead Lupberger</v>
      </c>
      <c r="AG591" s="23"/>
      <c r="AH591" s="23" t="str">
        <f>IFERROR(__xludf.DUMMYFUNCTION("IF(
ISNUMBER(MATCH(
C591,
IMPORTRANGE(""https://docs.google.com/spreadsheets/d/1yTh1ELC33JHYOeEdgIiEclxPRyh0zOKtlawDltfUay8"",""'Interns'!A:A""),
0
)),
""Outreach Conducted"",
"""")"),"")</f>
        <v/>
      </c>
      <c r="AI591" s="23"/>
      <c r="AJ591" s="23"/>
      <c r="AK591" s="23" t="str">
        <f>IFERROR(__xludf.DUMMYFUNCTION("XLOOKUP(C591, 
   IMPORTRANGE(""1RdEdgHYrZ33LJ7RUHj_h-qkAFL92bcVjtIdVa-UlsCw"", ""Interns!D:D""), 
   IMPORTRANGE(""1RdEdgHYrZ33LJ7RUHj_h-qkAFL92bcVjtIdVa-UlsCw"", ""Interns!M:M""), 
   ""Not Found"")"),"Contacted")</f>
        <v>Contacted</v>
      </c>
      <c r="AL591" s="23" t="str">
        <f>IFERROR(__xludf.DUMMYFUNCTION("XLOOKUP(C591, 
   IMPORTRANGE(""1RdEdgHYrZ33LJ7RUHj_h-qkAFL92bcVjtIdVa-UlsCw"", ""Interns!D:D""), 
   IMPORTRANGE(""1RdEdgHYrZ33LJ7RUHj_h-qkAFL92bcVjtIdVa-UlsCw"", ""Interns!N:N""), 
   ""Not Found"")"),"#Cheers4Careers")</f>
        <v>#Cheers4Careers</v>
      </c>
      <c r="AM591" s="23" t="str">
        <f>IFERROR(__xludf.DUMMYFUNCTION("XLOOKUP(C591, 
   IMPORTRANGE(""1RdEdgHYrZ33LJ7RUHj_h-qkAFL92bcVjtIdVa-UlsCw"", ""Interns!D:D""), 
   IMPORTRANGE(""1RdEdgHYrZ33LJ7RUHj_h-qkAFL92bcVjtIdVa-UlsCw"", ""Interns!O:O""), 
   ""Not Found"")"),"Hetal reached out by email 3/27")</f>
        <v>Hetal reached out by email 3/27</v>
      </c>
      <c r="AN591" s="23"/>
      <c r="AO591" s="23" t="s">
        <v>9170</v>
      </c>
      <c r="AP591" s="28" t="s">
        <v>5182</v>
      </c>
      <c r="AQ591" s="28" t="s">
        <v>9171</v>
      </c>
      <c r="AR591" s="23" t="s">
        <v>9172</v>
      </c>
      <c r="AS591" s="23"/>
      <c r="AT591" s="23"/>
      <c r="AU591" s="23"/>
      <c r="AV591" s="23"/>
    </row>
    <row r="592">
      <c r="A592" s="28" t="s">
        <v>5161</v>
      </c>
      <c r="B592" s="28" t="s">
        <v>5162</v>
      </c>
      <c r="C592" s="23" t="str">
        <f t="shared" si="1"/>
        <v>Evelyn Guaman</v>
      </c>
      <c r="D592" s="28" t="s">
        <v>6206</v>
      </c>
      <c r="E592" s="28" t="s">
        <v>8435</v>
      </c>
      <c r="F592" s="23">
        <f t="array" ref="F592">IFERROR(
    INDEX('Hub Interns 226'!A:A, MATCH(C592, 'Hub Interns 226'!B:B, 0)),"")</f>
        <v>503</v>
      </c>
      <c r="G592" s="23">
        <f t="array" ref="G592">IFERROR(
    INDEX('Hub Users 226'!A:A, MATCH(C592, 'Hub Users 226'!B:B, 0)),"")</f>
        <v>936</v>
      </c>
      <c r="H592" s="28">
        <v>630.0</v>
      </c>
      <c r="I592" s="28" t="s">
        <v>260</v>
      </c>
      <c r="J592" s="28" t="s">
        <v>2388</v>
      </c>
      <c r="K592" s="28" t="s">
        <v>5463</v>
      </c>
      <c r="L592" s="28" t="s">
        <v>5196</v>
      </c>
      <c r="M592" s="56" t="s">
        <v>9173</v>
      </c>
      <c r="N592" s="59">
        <v>44498.46875</v>
      </c>
      <c r="O592" s="58">
        <v>38177.0</v>
      </c>
      <c r="P592" s="28">
        <f t="shared" si="20"/>
        <v>21</v>
      </c>
      <c r="Q592" s="28" t="s">
        <v>240</v>
      </c>
      <c r="R592" s="28" t="s">
        <v>9174</v>
      </c>
      <c r="S592" s="28">
        <v>14.0</v>
      </c>
      <c r="T592" s="28">
        <v>13.0</v>
      </c>
      <c r="U592" s="28">
        <v>35.0</v>
      </c>
      <c r="V592" s="28">
        <v>21.0</v>
      </c>
      <c r="W592" s="28" t="s">
        <v>1173</v>
      </c>
      <c r="X592" s="28" t="s">
        <v>272</v>
      </c>
      <c r="Y592" s="28" t="s">
        <v>9175</v>
      </c>
      <c r="Z592" s="28" t="s">
        <v>5189</v>
      </c>
      <c r="AA592" s="28" t="s">
        <v>619</v>
      </c>
      <c r="AB592" s="28">
        <v>20.0</v>
      </c>
      <c r="AC592" s="28" t="s">
        <v>25</v>
      </c>
      <c r="AD592" s="23"/>
      <c r="AE592" s="28" t="s">
        <v>10</v>
      </c>
      <c r="AF592" s="23" t="str">
        <f>IFERROR(__xludf.DUMMYFUNCTION("TEXTJOIN("", "", TRUE,
  FILTER(Champions!C:C,
    ISNUMBER(SEARCH(C592, Champions!W:W))
  )
)"),"Pritika Kumar, Jan Panchalingam")</f>
        <v>Pritika Kumar, Jan Panchalingam</v>
      </c>
      <c r="AG592" s="23"/>
      <c r="AH592" s="23" t="str">
        <f>IFERROR(__xludf.DUMMYFUNCTION("IF(
ISNUMBER(MATCH(
C592,
IMPORTRANGE(""https://docs.google.com/spreadsheets/d/1yTh1ELC33JHYOeEdgIiEclxPRyh0zOKtlawDltfUay8"",""'Interns'!A:A""),
0
)),
""Outreach Conducted"",
"""")"),"")</f>
        <v/>
      </c>
      <c r="AI592" s="23"/>
      <c r="AJ592" s="23"/>
      <c r="AK592" s="23" t="str">
        <f>IFERROR(__xludf.DUMMYFUNCTION("XLOOKUP(C592, 
   IMPORTRANGE(""1RdEdgHYrZ33LJ7RUHj_h-qkAFL92bcVjtIdVa-UlsCw"", ""Interns!D:D""), 
   IMPORTRANGE(""1RdEdgHYrZ33LJ7RUHj_h-qkAFL92bcVjtIdVa-UlsCw"", ""Interns!M:M""), 
   ""Not Found"")"),"Contacted")</f>
        <v>Contacted</v>
      </c>
      <c r="AL592" s="23" t="str">
        <f>IFERROR(__xludf.DUMMYFUNCTION("XLOOKUP(C592, 
   IMPORTRANGE(""1RdEdgHYrZ33LJ7RUHj_h-qkAFL92bcVjtIdVa-UlsCw"", ""Interns!D:D""), 
   IMPORTRANGE(""1RdEdgHYrZ33LJ7RUHj_h-qkAFL92bcVjtIdVa-UlsCw"", ""Interns!N:N""), 
   ""Not Found"")"),"#Cheers4Careers")</f>
        <v>#Cheers4Careers</v>
      </c>
      <c r="AM592" s="23" t="str">
        <f>IFERROR(__xludf.DUMMYFUNCTION("XLOOKUP(C592, 
   IMPORTRANGE(""1RdEdgHYrZ33LJ7RUHj_h-qkAFL92bcVjtIdVa-UlsCw"", ""Interns!D:D""), 
   IMPORTRANGE(""1RdEdgHYrZ33LJ7RUHj_h-qkAFL92bcVjtIdVa-UlsCw"", ""Interns!O:O""), 
   ""Not Found"")"),"Hetal reached out by email 3/27 followed by text")</f>
        <v>Hetal reached out by email 3/27 followed by text</v>
      </c>
      <c r="AN592" s="23"/>
      <c r="AO592" s="23" t="s">
        <v>9176</v>
      </c>
      <c r="AP592" s="28" t="s">
        <v>5182</v>
      </c>
      <c r="AQ592" s="28" t="s">
        <v>9177</v>
      </c>
      <c r="AR592" s="23" t="s">
        <v>8634</v>
      </c>
      <c r="AS592" s="23"/>
      <c r="AT592" s="23"/>
      <c r="AU592" s="23"/>
      <c r="AV592" s="23"/>
    </row>
    <row r="593">
      <c r="A593" s="28" t="s">
        <v>5161</v>
      </c>
      <c r="B593" s="28" t="s">
        <v>5162</v>
      </c>
      <c r="C593" s="23" t="str">
        <f t="shared" si="1"/>
        <v>Elian Acosta</v>
      </c>
      <c r="D593" s="28" t="s">
        <v>8912</v>
      </c>
      <c r="E593" s="28" t="s">
        <v>9178</v>
      </c>
      <c r="F593" s="23">
        <f t="array" ref="F593">IFERROR(
    INDEX('Hub Interns 226'!A:A, MATCH(C593, 'Hub Interns 226'!B:B, 0)),"")</f>
        <v>125</v>
      </c>
      <c r="G593" s="23">
        <f t="array" ref="G593">IFERROR(
    INDEX('Hub Users 226'!A:A, MATCH(C593, 'Hub Users 226'!B:B, 0)),"")</f>
        <v>558</v>
      </c>
      <c r="H593" s="28">
        <v>647.0</v>
      </c>
      <c r="I593" s="28" t="s">
        <v>269</v>
      </c>
      <c r="J593" s="28" t="s">
        <v>2388</v>
      </c>
      <c r="K593" s="28" t="s">
        <v>5463</v>
      </c>
      <c r="L593" s="28" t="s">
        <v>5165</v>
      </c>
      <c r="M593" s="56" t="s">
        <v>9179</v>
      </c>
      <c r="N593" s="57">
        <v>44508.427083333336</v>
      </c>
      <c r="O593" s="58">
        <v>37859.0</v>
      </c>
      <c r="P593" s="28">
        <f t="shared" si="20"/>
        <v>22</v>
      </c>
      <c r="Q593" s="28" t="s">
        <v>240</v>
      </c>
      <c r="R593" s="28" t="s">
        <v>9180</v>
      </c>
      <c r="S593" s="28">
        <v>14.0</v>
      </c>
      <c r="T593" s="28">
        <v>13.0</v>
      </c>
      <c r="U593" s="28">
        <v>34.0</v>
      </c>
      <c r="V593" s="28">
        <v>21.0</v>
      </c>
      <c r="W593" s="28" t="s">
        <v>1173</v>
      </c>
      <c r="X593" s="28" t="s">
        <v>272</v>
      </c>
      <c r="Y593" s="28" t="s">
        <v>9181</v>
      </c>
      <c r="Z593" s="28" t="s">
        <v>5189</v>
      </c>
      <c r="AA593" s="28" t="s">
        <v>619</v>
      </c>
      <c r="AB593" s="28">
        <v>20.0</v>
      </c>
      <c r="AC593" s="28" t="s">
        <v>25</v>
      </c>
      <c r="AD593" s="23"/>
      <c r="AE593" s="28" t="s">
        <v>10</v>
      </c>
      <c r="AF593" s="23" t="str">
        <f>IFERROR(__xludf.DUMMYFUNCTION("TEXTJOIN("", "", TRUE,
  FILTER(Champions!C:C,
    ISNUMBER(SEARCH(C593, Champions!W:W))
  )
)"),"AUGUSTO SALCEDO, Sunkyung Park")</f>
        <v>AUGUSTO SALCEDO, Sunkyung Park</v>
      </c>
      <c r="AG593" s="23"/>
      <c r="AH593" s="23" t="str">
        <f>IFERROR(__xludf.DUMMYFUNCTION("IF(
ISNUMBER(MATCH(
C593,
IMPORTRANGE(""https://docs.google.com/spreadsheets/d/1yTh1ELC33JHYOeEdgIiEclxPRyh0zOKtlawDltfUay8"",""'Interns'!A:A""),
0
)),
""Outreach Conducted"",
"""")"),"")</f>
        <v/>
      </c>
      <c r="AI593" s="23"/>
      <c r="AJ593" s="23"/>
      <c r="AK593" s="23" t="str">
        <f>IFERROR(__xludf.DUMMYFUNCTION("XLOOKUP(C593, 
   IMPORTRANGE(""1RdEdgHYrZ33LJ7RUHj_h-qkAFL92bcVjtIdVa-UlsCw"", ""Interns!D:D""), 
   IMPORTRANGE(""1RdEdgHYrZ33LJ7RUHj_h-qkAFL92bcVjtIdVa-UlsCw"", ""Interns!M:M""), 
   ""Not Found"")"),"Contacted")</f>
        <v>Contacted</v>
      </c>
      <c r="AL593" s="23" t="str">
        <f>IFERROR(__xludf.DUMMYFUNCTION("XLOOKUP(C593, 
   IMPORTRANGE(""1RdEdgHYrZ33LJ7RUHj_h-qkAFL92bcVjtIdVa-UlsCw"", ""Interns!D:D""), 
   IMPORTRANGE(""1RdEdgHYrZ33LJ7RUHj_h-qkAFL92bcVjtIdVa-UlsCw"", ""Interns!N:N""), 
   ""Not Found"")"),"#Cheers4Careers")</f>
        <v>#Cheers4Careers</v>
      </c>
      <c r="AM593" s="23" t="str">
        <f>IFERROR(__xludf.DUMMYFUNCTION("XLOOKUP(C593, 
   IMPORTRANGE(""1RdEdgHYrZ33LJ7RUHj_h-qkAFL92bcVjtIdVa-UlsCw"", ""Interns!D:D""), 
   IMPORTRANGE(""1RdEdgHYrZ33LJ7RUHj_h-qkAFL92bcVjtIdVa-UlsCw"", ""Interns!O:O""), 
   ""Not Found"")"),"Hetal reached out by email 3/27 followed by text")</f>
        <v>Hetal reached out by email 3/27 followed by text</v>
      </c>
      <c r="AN593" s="23"/>
      <c r="AO593" s="23" t="s">
        <v>846</v>
      </c>
      <c r="AP593" s="28" t="s">
        <v>5191</v>
      </c>
      <c r="AQ593" s="28" t="s">
        <v>9182</v>
      </c>
      <c r="AR593" s="23" t="s">
        <v>9183</v>
      </c>
      <c r="AS593" s="23"/>
      <c r="AT593" s="23"/>
      <c r="AU593" s="23"/>
      <c r="AV593" s="23"/>
    </row>
    <row r="594">
      <c r="A594" s="28" t="s">
        <v>5161</v>
      </c>
      <c r="B594" s="28" t="s">
        <v>5162</v>
      </c>
      <c r="C594" s="23" t="str">
        <f t="shared" si="1"/>
        <v>Keyla Lliguin</v>
      </c>
      <c r="D594" s="28" t="s">
        <v>9184</v>
      </c>
      <c r="E594" s="28" t="s">
        <v>9185</v>
      </c>
      <c r="F594" s="23">
        <f t="array" ref="F594">IFERROR(
    INDEX('Hub Interns 226'!A:A, MATCH(C594, 'Hub Interns 226'!B:B, 0)),"")</f>
        <v>909</v>
      </c>
      <c r="G594" s="23">
        <f t="array" ref="G594">IFERROR(
    INDEX('Hub Users 226'!A:A, MATCH(C594, 'Hub Users 226'!B:B, 0)),"")</f>
        <v>1342</v>
      </c>
      <c r="H594" s="28">
        <v>762.0</v>
      </c>
      <c r="I594" s="28" t="s">
        <v>260</v>
      </c>
      <c r="J594" s="28" t="s">
        <v>2388</v>
      </c>
      <c r="K594" s="28" t="s">
        <v>5463</v>
      </c>
      <c r="L594" s="28" t="s">
        <v>5196</v>
      </c>
      <c r="M594" s="56" t="s">
        <v>9186</v>
      </c>
      <c r="N594" s="59">
        <v>44551.82986111111</v>
      </c>
      <c r="O594" s="58">
        <v>38398.0</v>
      </c>
      <c r="P594" s="28">
        <f t="shared" si="20"/>
        <v>21</v>
      </c>
      <c r="Q594" s="28" t="s">
        <v>240</v>
      </c>
      <c r="R594" s="28" t="s">
        <v>9187</v>
      </c>
      <c r="S594" s="28">
        <v>14.0</v>
      </c>
      <c r="T594" s="28">
        <v>13.0</v>
      </c>
      <c r="U594" s="28">
        <v>35.0</v>
      </c>
      <c r="V594" s="28">
        <v>21.0</v>
      </c>
      <c r="W594" s="28" t="s">
        <v>1173</v>
      </c>
      <c r="X594" s="28" t="s">
        <v>272</v>
      </c>
      <c r="Y594" s="28" t="s">
        <v>9188</v>
      </c>
      <c r="Z594" s="28" t="s">
        <v>5483</v>
      </c>
      <c r="AA594" s="28" t="s">
        <v>457</v>
      </c>
      <c r="AB594" s="28">
        <v>25.0</v>
      </c>
      <c r="AC594" s="28" t="s">
        <v>25</v>
      </c>
      <c r="AD594" s="23"/>
      <c r="AE594" s="28" t="s">
        <v>10</v>
      </c>
      <c r="AF594" s="23" t="str">
        <f>IFERROR(__xludf.DUMMYFUNCTION("TEXTJOIN("", "", TRUE,
  FILTER(Champions!C:C,
    ISNUMBER(SEARCH(C594, Champions!W:W))
  )
)"),"Divya Padgaonkar, Ibtesam Khan")</f>
        <v>Divya Padgaonkar, Ibtesam Khan</v>
      </c>
      <c r="AG594" s="23"/>
      <c r="AH594" s="23" t="str">
        <f>IFERROR(__xludf.DUMMYFUNCTION("IF(
ISNUMBER(MATCH(
C594,
IMPORTRANGE(""https://docs.google.com/spreadsheets/d/1yTh1ELC33JHYOeEdgIiEclxPRyh0zOKtlawDltfUay8"",""'Interns'!A:A""),
0
)),
""Outreach Conducted"",
"""")"),"")</f>
        <v/>
      </c>
      <c r="AI594" s="23"/>
      <c r="AJ594" s="23"/>
      <c r="AK594" s="23" t="str">
        <f>IFERROR(__xludf.DUMMYFUNCTION("XLOOKUP(C594, 
   IMPORTRANGE(""1RdEdgHYrZ33LJ7RUHj_h-qkAFL92bcVjtIdVa-UlsCw"", ""Interns!D:D""), 
   IMPORTRANGE(""1RdEdgHYrZ33LJ7RUHj_h-qkAFL92bcVjtIdVa-UlsCw"", ""Interns!M:M""), 
   ""Not Found"")"),"Contacted")</f>
        <v>Contacted</v>
      </c>
      <c r="AL594" s="23" t="str">
        <f>IFERROR(__xludf.DUMMYFUNCTION("XLOOKUP(C594, 
   IMPORTRANGE(""1RdEdgHYrZ33LJ7RUHj_h-qkAFL92bcVjtIdVa-UlsCw"", ""Interns!D:D""), 
   IMPORTRANGE(""1RdEdgHYrZ33LJ7RUHj_h-qkAFL92bcVjtIdVa-UlsCw"", ""Interns!N:N""), 
   ""Not Found"")"),"#Cheers4Careers")</f>
        <v>#Cheers4Careers</v>
      </c>
      <c r="AM594" s="23" t="str">
        <f>IFERROR(__xludf.DUMMYFUNCTION("XLOOKUP(C594, 
   IMPORTRANGE(""1RdEdgHYrZ33LJ7RUHj_h-qkAFL92bcVjtIdVa-UlsCw"", ""Interns!D:D""), 
   IMPORTRANGE(""1RdEdgHYrZ33LJ7RUHj_h-qkAFL92bcVjtIdVa-UlsCw"", ""Interns!O:O""), 
   ""Not Found"")"),"Hetal reached out by email 3/27")</f>
        <v>Hetal reached out by email 3/27</v>
      </c>
      <c r="AN594" s="23"/>
      <c r="AO594" s="23" t="s">
        <v>9189</v>
      </c>
      <c r="AP594" s="28" t="s">
        <v>5182</v>
      </c>
      <c r="AQ594" s="28" t="s">
        <v>9190</v>
      </c>
      <c r="AR594" s="23" t="s">
        <v>9191</v>
      </c>
      <c r="AS594" s="23"/>
      <c r="AT594" s="23"/>
      <c r="AU594" s="23"/>
      <c r="AV594" s="23"/>
    </row>
    <row r="595">
      <c r="A595" s="28" t="s">
        <v>5202</v>
      </c>
      <c r="B595" s="28" t="s">
        <v>5162</v>
      </c>
      <c r="C595" s="23" t="str">
        <f t="shared" si="1"/>
        <v>Nataly Bolanos</v>
      </c>
      <c r="D595" s="28" t="s">
        <v>9192</v>
      </c>
      <c r="E595" s="28" t="s">
        <v>3933</v>
      </c>
      <c r="F595" s="23">
        <f t="array" ref="F595">IFERROR(
    INDEX('Hub Interns 226'!A:A, MATCH(C595, 'Hub Interns 226'!B:B, 0)),"")</f>
        <v>925</v>
      </c>
      <c r="G595" s="23">
        <f t="array" ref="G595">IFERROR(
    INDEX('Hub Users 226'!A:A, MATCH(C595, 'Hub Users 226'!B:B, 0)),"")</f>
        <v>1358</v>
      </c>
      <c r="H595" s="28">
        <v>645.0</v>
      </c>
      <c r="I595" s="28" t="s">
        <v>417</v>
      </c>
      <c r="J595" s="28" t="s">
        <v>9066</v>
      </c>
      <c r="K595" s="28" t="s">
        <v>5177</v>
      </c>
      <c r="L595" s="28" t="s">
        <v>5196</v>
      </c>
      <c r="M595" s="56" t="s">
        <v>9193</v>
      </c>
      <c r="N595" s="57">
        <v>44505.54583333333</v>
      </c>
      <c r="O595" s="58">
        <v>38338.0</v>
      </c>
      <c r="P595" s="28">
        <f t="shared" si="20"/>
        <v>21</v>
      </c>
      <c r="Q595" s="28" t="s">
        <v>9194</v>
      </c>
      <c r="R595" s="28" t="s">
        <v>9195</v>
      </c>
      <c r="S595" s="28">
        <v>5.0</v>
      </c>
      <c r="T595" s="28">
        <v>10.0</v>
      </c>
      <c r="U595" s="28">
        <v>31.0</v>
      </c>
      <c r="V595" s="28">
        <v>31.0</v>
      </c>
      <c r="W595" s="28" t="s">
        <v>1173</v>
      </c>
      <c r="X595" s="28" t="s">
        <v>272</v>
      </c>
      <c r="Y595" s="28" t="s">
        <v>9196</v>
      </c>
      <c r="Z595" s="28" t="s">
        <v>5189</v>
      </c>
      <c r="AA595" s="28" t="s">
        <v>619</v>
      </c>
      <c r="AB595" s="28">
        <v>20.0</v>
      </c>
      <c r="AC595" s="28" t="s">
        <v>25</v>
      </c>
      <c r="AD595" s="23"/>
      <c r="AE595" s="28" t="s">
        <v>10</v>
      </c>
      <c r="AF595" s="23" t="str">
        <f>IFERROR(__xludf.DUMMYFUNCTION("TEXTJOIN("", "", TRUE,
  FILTER(Champions!C:C,
    ISNUMBER(SEARCH(C595, Champions!W:W))
  )
)"),"Erycka Montoya, Estrella Mestres")</f>
        <v>Erycka Montoya, Estrella Mestres</v>
      </c>
      <c r="AG595" s="23"/>
      <c r="AH595" s="23" t="str">
        <f>IFERROR(__xludf.DUMMYFUNCTION("IF(
ISNUMBER(MATCH(
C595,
IMPORTRANGE(""https://docs.google.com/spreadsheets/d/1yTh1ELC33JHYOeEdgIiEclxPRyh0zOKtlawDltfUay8"",""'Interns'!A:A""),
0
)),
""Outreach Conducted"",
"""")"),"")</f>
        <v/>
      </c>
      <c r="AI595" s="23"/>
      <c r="AJ595" s="23"/>
      <c r="AK595" s="23" t="str">
        <f>IFERROR(__xludf.DUMMYFUNCTION("XLOOKUP(C595, 
   IMPORTRANGE(""1RdEdgHYrZ33LJ7RUHj_h-qkAFL92bcVjtIdVa-UlsCw"", ""Interns!D:D""), 
   IMPORTRANGE(""1RdEdgHYrZ33LJ7RUHj_h-qkAFL92bcVjtIdVa-UlsCw"", ""Interns!M:M""), 
   ""Not Found"")"),"")</f>
        <v/>
      </c>
      <c r="AL595" s="23" t="str">
        <f>IFERROR(__xludf.DUMMYFUNCTION("XLOOKUP(C595, 
   IMPORTRANGE(""1RdEdgHYrZ33LJ7RUHj_h-qkAFL92bcVjtIdVa-UlsCw"", ""Interns!D:D""), 
   IMPORTRANGE(""1RdEdgHYrZ33LJ7RUHj_h-qkAFL92bcVjtIdVa-UlsCw"", ""Interns!N:N""), 
   ""Not Found"")"),"")</f>
        <v/>
      </c>
      <c r="AM595" s="23" t="str">
        <f>IFERROR(__xludf.DUMMYFUNCTION("XLOOKUP(C595, 
   IMPORTRANGE(""1RdEdgHYrZ33LJ7RUHj_h-qkAFL92bcVjtIdVa-UlsCw"", ""Interns!D:D""), 
   IMPORTRANGE(""1RdEdgHYrZ33LJ7RUHj_h-qkAFL92bcVjtIdVa-UlsCw"", ""Interns!O:O""), 
   ""Not Found"")"),"")</f>
        <v/>
      </c>
      <c r="AN595" s="23"/>
      <c r="AO595" s="23" t="s">
        <v>9197</v>
      </c>
      <c r="AP595" s="28" t="s">
        <v>5182</v>
      </c>
      <c r="AQ595" s="28" t="s">
        <v>9193</v>
      </c>
      <c r="AR595" s="23" t="s">
        <v>9198</v>
      </c>
      <c r="AS595" s="23"/>
      <c r="AT595" s="23"/>
      <c r="AU595" s="23"/>
      <c r="AV595" s="23"/>
    </row>
    <row r="596">
      <c r="A596" s="28" t="s">
        <v>5161</v>
      </c>
      <c r="B596" s="28" t="s">
        <v>5162</v>
      </c>
      <c r="C596" s="23" t="str">
        <f t="shared" si="1"/>
        <v>Emily Aguayza</v>
      </c>
      <c r="D596" s="28" t="s">
        <v>1285</v>
      </c>
      <c r="E596" s="28" t="s">
        <v>9199</v>
      </c>
      <c r="F596" s="23" t="str">
        <f t="array" ref="F596">IFERROR(
    INDEX('Hub Interns 226'!A:A, MATCH(C596, 'Hub Interns 226'!B:B, 0)),"")</f>
        <v/>
      </c>
      <c r="G596" s="23">
        <f t="array" ref="G596">IFERROR(
    INDEX('Hub Users 226'!A:A, MATCH(C596, 'Hub Users 226'!B:B, 0)),"")</f>
        <v>2257</v>
      </c>
      <c r="H596" s="28">
        <v>1866.0</v>
      </c>
      <c r="I596" s="28"/>
      <c r="J596" s="28" t="s">
        <v>2388</v>
      </c>
      <c r="K596" s="28" t="s">
        <v>5463</v>
      </c>
      <c r="L596" s="28" t="s">
        <v>5196</v>
      </c>
      <c r="M596" s="56" t="s">
        <v>9200</v>
      </c>
      <c r="N596" s="57">
        <v>45727.527083333334</v>
      </c>
      <c r="O596" s="58">
        <v>39288.0</v>
      </c>
      <c r="P596" s="28">
        <f t="shared" si="20"/>
        <v>18</v>
      </c>
      <c r="Q596" s="28" t="s">
        <v>240</v>
      </c>
      <c r="R596" s="28" t="s">
        <v>9201</v>
      </c>
      <c r="S596" s="28">
        <v>14.0</v>
      </c>
      <c r="T596" s="28">
        <v>13.0</v>
      </c>
      <c r="U596" s="28">
        <v>35.0</v>
      </c>
      <c r="V596" s="28">
        <v>21.0</v>
      </c>
      <c r="W596" s="28" t="s">
        <v>1173</v>
      </c>
      <c r="X596" s="28" t="s">
        <v>272</v>
      </c>
      <c r="Y596" s="28" t="s">
        <v>9202</v>
      </c>
      <c r="Z596" s="23"/>
      <c r="AA596" s="28" t="s">
        <v>5366</v>
      </c>
      <c r="AB596" s="28">
        <v>26.0</v>
      </c>
      <c r="AC596" s="28" t="s">
        <v>23</v>
      </c>
      <c r="AD596" s="23"/>
      <c r="AE596" s="28" t="s">
        <v>19</v>
      </c>
      <c r="AF596" s="23"/>
      <c r="AG596" s="23"/>
      <c r="AH596" s="23" t="str">
        <f>IFERROR(__xludf.DUMMYFUNCTION("IF(
ISNUMBER(MATCH(
C596,
IMPORTRANGE(""https://docs.google.com/spreadsheets/d/1yTh1ELC33JHYOeEdgIiEclxPRyh0zOKtlawDltfUay8"",""'Interns'!A:A""),
0
)),
""Outreach Conducted"",
"""")"),"")</f>
        <v/>
      </c>
      <c r="AI596" s="23"/>
      <c r="AJ596" s="23"/>
      <c r="AK596" s="23" t="str">
        <f>IFERROR(__xludf.DUMMYFUNCTION("XLOOKUP(C596, 
   IMPORTRANGE(""1RdEdgHYrZ33LJ7RUHj_h-qkAFL92bcVjtIdVa-UlsCw"", ""Interns!D:D""), 
   IMPORTRANGE(""1RdEdgHYrZ33LJ7RUHj_h-qkAFL92bcVjtIdVa-UlsCw"", ""Interns!M:M""), 
   ""Not Found"")"),"Contacted")</f>
        <v>Contacted</v>
      </c>
      <c r="AL596" s="23" t="str">
        <f>IFERROR(__xludf.DUMMYFUNCTION("XLOOKUP(C596, 
   IMPORTRANGE(""1RdEdgHYrZ33LJ7RUHj_h-qkAFL92bcVjtIdVa-UlsCw"", ""Interns!D:D""), 
   IMPORTRANGE(""1RdEdgHYrZ33LJ7RUHj_h-qkAFL92bcVjtIdVa-UlsCw"", ""Interns!N:N""), 
   ""Not Found"")"),"#Cheers4Careers")</f>
        <v>#Cheers4Careers</v>
      </c>
      <c r="AM596" s="23" t="str">
        <f>IFERROR(__xludf.DUMMYFUNCTION("XLOOKUP(C596, 
   IMPORTRANGE(""1RdEdgHYrZ33LJ7RUHj_h-qkAFL92bcVjtIdVa-UlsCw"", ""Interns!D:D""), 
   IMPORTRANGE(""1RdEdgHYrZ33LJ7RUHj_h-qkAFL92bcVjtIdVa-UlsCw"", ""Interns!O:O""), 
   ""Not Found"")"),"Hetal reached out by email 3/27")</f>
        <v>Hetal reached out by email 3/27</v>
      </c>
      <c r="AN596" s="23"/>
      <c r="AO596" s="23" t="s">
        <v>9203</v>
      </c>
      <c r="AP596" s="28" t="s">
        <v>5182</v>
      </c>
      <c r="AQ596" s="28" t="s">
        <v>9204</v>
      </c>
      <c r="AR596" s="23" t="s">
        <v>9205</v>
      </c>
      <c r="AS596" s="23"/>
      <c r="AT596" s="23"/>
      <c r="AU596" s="23"/>
      <c r="AV596" s="23"/>
    </row>
    <row r="597">
      <c r="A597" s="28" t="s">
        <v>5161</v>
      </c>
      <c r="B597" s="28" t="s">
        <v>5162</v>
      </c>
      <c r="C597" s="23" t="str">
        <f t="shared" si="1"/>
        <v>Erick Ocana</v>
      </c>
      <c r="D597" s="28" t="s">
        <v>6622</v>
      </c>
      <c r="E597" s="28" t="s">
        <v>9206</v>
      </c>
      <c r="F597" s="23">
        <f t="array" ref="F597">IFERROR(
    INDEX('Hub Interns 226'!A:A, MATCH(C597, 'Hub Interns 226'!B:B, 0)),"")</f>
        <v>85</v>
      </c>
      <c r="G597" s="23">
        <f t="array" ref="G597">IFERROR(
    INDEX('Hub Users 226'!A:A, MATCH(C597, 'Hub Users 226'!B:B, 0)),"")</f>
        <v>518</v>
      </c>
      <c r="H597" s="28">
        <v>1171.0</v>
      </c>
      <c r="I597" s="28" t="s">
        <v>239</v>
      </c>
      <c r="J597" s="28" t="s">
        <v>2388</v>
      </c>
      <c r="K597" s="28" t="s">
        <v>5463</v>
      </c>
      <c r="L597" s="28" t="s">
        <v>5165</v>
      </c>
      <c r="M597" s="56" t="s">
        <v>9207</v>
      </c>
      <c r="N597" s="57">
        <v>44755.399305555555</v>
      </c>
      <c r="O597" s="58">
        <v>38302.0</v>
      </c>
      <c r="P597" s="28">
        <f t="shared" si="20"/>
        <v>21</v>
      </c>
      <c r="Q597" s="28" t="s">
        <v>240</v>
      </c>
      <c r="R597" s="28" t="s">
        <v>9208</v>
      </c>
      <c r="S597" s="28">
        <v>7.0</v>
      </c>
      <c r="T597" s="28">
        <v>12.0</v>
      </c>
      <c r="U597" s="28">
        <v>36.0</v>
      </c>
      <c r="V597" s="28">
        <v>26.0</v>
      </c>
      <c r="W597" s="28" t="s">
        <v>1173</v>
      </c>
      <c r="X597" s="28" t="s">
        <v>272</v>
      </c>
      <c r="Y597" s="28" t="s">
        <v>9209</v>
      </c>
      <c r="Z597" s="28" t="s">
        <v>5259</v>
      </c>
      <c r="AA597" s="28" t="s">
        <v>704</v>
      </c>
      <c r="AB597" s="28">
        <v>2.0</v>
      </c>
      <c r="AC597" s="28" t="s">
        <v>23</v>
      </c>
      <c r="AD597" s="23"/>
      <c r="AE597" s="28" t="s">
        <v>15</v>
      </c>
      <c r="AF597" s="23"/>
      <c r="AG597" s="23"/>
      <c r="AH597" s="23" t="str">
        <f>IFERROR(__xludf.DUMMYFUNCTION("IF(
ISNUMBER(MATCH(
C597,
IMPORTRANGE(""https://docs.google.com/spreadsheets/d/1yTh1ELC33JHYOeEdgIiEclxPRyh0zOKtlawDltfUay8"",""'Interns'!A:A""),
0
)),
""Outreach Conducted"",
"""")"),"")</f>
        <v/>
      </c>
      <c r="AI597" s="23"/>
      <c r="AJ597" s="23"/>
      <c r="AK597" s="23" t="str">
        <f>IFERROR(__xludf.DUMMYFUNCTION("XLOOKUP(C597, 
   IMPORTRANGE(""1RdEdgHYrZ33LJ7RUHj_h-qkAFL92bcVjtIdVa-UlsCw"", ""Interns!D:D""), 
   IMPORTRANGE(""1RdEdgHYrZ33LJ7RUHj_h-qkAFL92bcVjtIdVa-UlsCw"", ""Interns!M:M""), 
   ""Not Found"")"),"Contacted")</f>
        <v>Contacted</v>
      </c>
      <c r="AL597" s="23" t="str">
        <f>IFERROR(__xludf.DUMMYFUNCTION("XLOOKUP(C597, 
   IMPORTRANGE(""1RdEdgHYrZ33LJ7RUHj_h-qkAFL92bcVjtIdVa-UlsCw"", ""Interns!D:D""), 
   IMPORTRANGE(""1RdEdgHYrZ33LJ7RUHj_h-qkAFL92bcVjtIdVa-UlsCw"", ""Interns!N:N""), 
   ""Not Found"")"),"#Cheers4Careers")</f>
        <v>#Cheers4Careers</v>
      </c>
      <c r="AM597" s="23" t="str">
        <f>IFERROR(__xludf.DUMMYFUNCTION("XLOOKUP(C597, 
   IMPORTRANGE(""1RdEdgHYrZ33LJ7RUHj_h-qkAFL92bcVjtIdVa-UlsCw"", ""Interns!D:D""), 
   IMPORTRANGE(""1RdEdgHYrZ33LJ7RUHj_h-qkAFL92bcVjtIdVa-UlsCw"", ""Interns!O:O""), 
   ""Not Found"")"),"Ousmane reached out by email 3/26 and reach out by text 3/28")</f>
        <v>Ousmane reached out by email 3/26 and reach out by text 3/28</v>
      </c>
      <c r="AN597" s="23"/>
      <c r="AO597" s="23" t="s">
        <v>9210</v>
      </c>
      <c r="AP597" s="28" t="s">
        <v>5908</v>
      </c>
      <c r="AQ597" s="28"/>
      <c r="AR597" s="23"/>
      <c r="AS597" s="23"/>
      <c r="AT597" s="23"/>
      <c r="AU597" s="23"/>
      <c r="AV597" s="23"/>
    </row>
    <row r="598">
      <c r="A598" s="28" t="s">
        <v>5202</v>
      </c>
      <c r="B598" s="28" t="s">
        <v>5162</v>
      </c>
      <c r="C598" s="23" t="str">
        <f t="shared" si="1"/>
        <v>Sofia Vasquez</v>
      </c>
      <c r="D598" s="28" t="s">
        <v>8680</v>
      </c>
      <c r="E598" s="28" t="s">
        <v>7764</v>
      </c>
      <c r="F598" s="23">
        <f t="array" ref="F598">IFERROR(
    INDEX('Hub Interns 226'!A:A, MATCH(C598, 'Hub Interns 226'!B:B, 0)),"")</f>
        <v>1113</v>
      </c>
      <c r="G598" s="23">
        <f t="array" ref="G598">IFERROR(
    INDEX('Hub Users 226'!A:A, MATCH(C598, 'Hub Users 226'!B:B, 0)),"")</f>
        <v>1546</v>
      </c>
      <c r="H598" s="28">
        <v>646.0</v>
      </c>
      <c r="I598" s="28" t="s">
        <v>407</v>
      </c>
      <c r="J598" s="28" t="s">
        <v>9066</v>
      </c>
      <c r="K598" s="28" t="s">
        <v>5177</v>
      </c>
      <c r="L598" s="28" t="s">
        <v>5196</v>
      </c>
      <c r="M598" s="56" t="s">
        <v>9211</v>
      </c>
      <c r="N598" s="57">
        <v>44505.60972222222</v>
      </c>
      <c r="O598" s="58">
        <v>38405.0</v>
      </c>
      <c r="P598" s="28">
        <f t="shared" si="20"/>
        <v>21</v>
      </c>
      <c r="Q598" s="28" t="s">
        <v>9212</v>
      </c>
      <c r="R598" s="28" t="s">
        <v>9213</v>
      </c>
      <c r="S598" s="28">
        <v>14.0</v>
      </c>
      <c r="T598" s="28">
        <v>13.0</v>
      </c>
      <c r="U598" s="28">
        <v>35.0</v>
      </c>
      <c r="V598" s="28">
        <v>21.0</v>
      </c>
      <c r="W598" s="28" t="s">
        <v>1173</v>
      </c>
      <c r="X598" s="28" t="s">
        <v>272</v>
      </c>
      <c r="Y598" s="28" t="s">
        <v>9214</v>
      </c>
      <c r="Z598" s="28" t="s">
        <v>5189</v>
      </c>
      <c r="AA598" s="28" t="s">
        <v>619</v>
      </c>
      <c r="AB598" s="28">
        <v>20.0</v>
      </c>
      <c r="AC598" s="28" t="s">
        <v>25</v>
      </c>
      <c r="AD598" s="23"/>
      <c r="AE598" s="28" t="s">
        <v>10</v>
      </c>
      <c r="AF598" s="23" t="str">
        <f>IFERROR(__xludf.DUMMYFUNCTION("TEXTJOIN("", "", TRUE,
  FILTER(Champions!C:C,
    ISNUMBER(SEARCH(C598, Champions!W:W))
  )
)"),"Estrella Mestres")</f>
        <v>Estrella Mestres</v>
      </c>
      <c r="AG598" s="23"/>
      <c r="AH598" s="23" t="str">
        <f>IFERROR(__xludf.DUMMYFUNCTION("IF(
ISNUMBER(MATCH(
C598,
IMPORTRANGE(""https://docs.google.com/spreadsheets/d/1yTh1ELC33JHYOeEdgIiEclxPRyh0zOKtlawDltfUay8"",""'Interns'!A:A""),
0
)),
""Outreach Conducted"",
"""")"),"")</f>
        <v/>
      </c>
      <c r="AI598" s="23"/>
      <c r="AJ598" s="23"/>
      <c r="AK598" s="23" t="str">
        <f>IFERROR(__xludf.DUMMYFUNCTION("XLOOKUP(C598, 
   IMPORTRANGE(""1RdEdgHYrZ33LJ7RUHj_h-qkAFL92bcVjtIdVa-UlsCw"", ""Interns!D:D""), 
   IMPORTRANGE(""1RdEdgHYrZ33LJ7RUHj_h-qkAFL92bcVjtIdVa-UlsCw"", ""Interns!M:M""), 
   ""Not Found"")"),"")</f>
        <v/>
      </c>
      <c r="AL598" s="23" t="str">
        <f>IFERROR(__xludf.DUMMYFUNCTION("XLOOKUP(C598, 
   IMPORTRANGE(""1RdEdgHYrZ33LJ7RUHj_h-qkAFL92bcVjtIdVa-UlsCw"", ""Interns!D:D""), 
   IMPORTRANGE(""1RdEdgHYrZ33LJ7RUHj_h-qkAFL92bcVjtIdVa-UlsCw"", ""Interns!N:N""), 
   ""Not Found"")"),"")</f>
        <v/>
      </c>
      <c r="AM598" s="23" t="str">
        <f>IFERROR(__xludf.DUMMYFUNCTION("XLOOKUP(C598, 
   IMPORTRANGE(""1RdEdgHYrZ33LJ7RUHj_h-qkAFL92bcVjtIdVa-UlsCw"", ""Interns!D:D""), 
   IMPORTRANGE(""1RdEdgHYrZ33LJ7RUHj_h-qkAFL92bcVjtIdVa-UlsCw"", ""Interns!O:O""), 
   ""Not Found"")"),"")</f>
        <v/>
      </c>
      <c r="AN598" s="23"/>
      <c r="AO598" s="23" t="s">
        <v>9215</v>
      </c>
      <c r="AP598" s="28" t="s">
        <v>5182</v>
      </c>
      <c r="AQ598" s="28" t="s">
        <v>9211</v>
      </c>
      <c r="AR598" s="23" t="s">
        <v>9216</v>
      </c>
      <c r="AS598" s="23"/>
      <c r="AT598" s="23"/>
      <c r="AU598" s="23"/>
      <c r="AV598" s="23"/>
    </row>
    <row r="599">
      <c r="A599" s="28" t="s">
        <v>5161</v>
      </c>
      <c r="B599" s="28" t="s">
        <v>5162</v>
      </c>
      <c r="C599" s="23" t="str">
        <f t="shared" si="1"/>
        <v>Bryan Payana</v>
      </c>
      <c r="D599" s="28" t="s">
        <v>742</v>
      </c>
      <c r="E599" s="28" t="s">
        <v>9217</v>
      </c>
      <c r="F599" s="23">
        <f t="array" ref="F599">IFERROR(
    INDEX('Hub Interns 226'!A:A, MATCH(C599, 'Hub Interns 226'!B:B, 0)),"")</f>
        <v>284</v>
      </c>
      <c r="G599" s="23">
        <f t="array" ref="G599">IFERROR(
    INDEX('Hub Users 226'!A:A, MATCH(C599, 'Hub Users 226'!B:B, 0)),"")</f>
        <v>717</v>
      </c>
      <c r="H599" s="28">
        <v>370.0</v>
      </c>
      <c r="I599" s="28" t="s">
        <v>260</v>
      </c>
      <c r="J599" s="28" t="s">
        <v>2388</v>
      </c>
      <c r="K599" s="28" t="s">
        <v>5463</v>
      </c>
      <c r="L599" s="28" t="s">
        <v>5165</v>
      </c>
      <c r="M599" s="56" t="s">
        <v>9218</v>
      </c>
      <c r="N599" s="57">
        <v>44252.66388888889</v>
      </c>
      <c r="O599" s="58">
        <v>37943.0</v>
      </c>
      <c r="P599" s="28">
        <f t="shared" si="20"/>
        <v>22</v>
      </c>
      <c r="Q599" s="28" t="s">
        <v>240</v>
      </c>
      <c r="R599" s="28" t="s">
        <v>9219</v>
      </c>
      <c r="S599" s="28">
        <v>14.0</v>
      </c>
      <c r="T599" s="28">
        <v>13.0</v>
      </c>
      <c r="U599" s="28">
        <v>34.0</v>
      </c>
      <c r="V599" s="28">
        <v>21.0</v>
      </c>
      <c r="W599" s="28" t="s">
        <v>1173</v>
      </c>
      <c r="X599" s="28" t="s">
        <v>272</v>
      </c>
      <c r="Y599" s="28" t="s">
        <v>9220</v>
      </c>
      <c r="Z599" s="28" t="s">
        <v>5189</v>
      </c>
      <c r="AA599" s="28" t="s">
        <v>619</v>
      </c>
      <c r="AB599" s="28">
        <v>20.0</v>
      </c>
      <c r="AC599" s="28" t="s">
        <v>25</v>
      </c>
      <c r="AD599" s="23"/>
      <c r="AE599" s="28" t="s">
        <v>8</v>
      </c>
      <c r="AF599" s="23" t="str">
        <f>IFERROR(__xludf.DUMMYFUNCTION("TEXTJOIN("", "", TRUE,
  FILTER(Champions!C:C,
    ISNUMBER(SEARCH(C599, Champions!W:W))
  )
)"),"Mariana Silva Aranha, Yada Treesukosol")</f>
        <v>Mariana Silva Aranha, Yada Treesukosol</v>
      </c>
      <c r="AG599" s="23"/>
      <c r="AH599" s="23" t="str">
        <f>IFERROR(__xludf.DUMMYFUNCTION("IF(
ISNUMBER(MATCH(
C599,
IMPORTRANGE(""https://docs.google.com/spreadsheets/d/1yTh1ELC33JHYOeEdgIiEclxPRyh0zOKtlawDltfUay8"",""'Interns'!A:A""),
0
)),
""Outreach Conducted"",
"""")"),"")</f>
        <v/>
      </c>
      <c r="AI599" s="23"/>
      <c r="AJ599" s="23"/>
      <c r="AK599" s="23" t="str">
        <f>IFERROR(__xludf.DUMMYFUNCTION("XLOOKUP(C599, 
   IMPORTRANGE(""1RdEdgHYrZ33LJ7RUHj_h-qkAFL92bcVjtIdVa-UlsCw"", ""Interns!D:D""), 
   IMPORTRANGE(""1RdEdgHYrZ33LJ7RUHj_h-qkAFL92bcVjtIdVa-UlsCw"", ""Interns!M:M""), 
   ""Not Found"")"),"Contacted")</f>
        <v>Contacted</v>
      </c>
      <c r="AL599" s="23" t="str">
        <f>IFERROR(__xludf.DUMMYFUNCTION("XLOOKUP(C599, 
   IMPORTRANGE(""1RdEdgHYrZ33LJ7RUHj_h-qkAFL92bcVjtIdVa-UlsCw"", ""Interns!D:D""), 
   IMPORTRANGE(""1RdEdgHYrZ33LJ7RUHj_h-qkAFL92bcVjtIdVa-UlsCw"", ""Interns!N:N""), 
   ""Not Found"")"),"#Cheers4Careers")</f>
        <v>#Cheers4Careers</v>
      </c>
      <c r="AM599" s="23" t="str">
        <f>IFERROR(__xludf.DUMMYFUNCTION("XLOOKUP(C599, 
   IMPORTRANGE(""1RdEdgHYrZ33LJ7RUHj_h-qkAFL92bcVjtIdVa-UlsCw"", ""Interns!D:D""), 
   IMPORTRANGE(""1RdEdgHYrZ33LJ7RUHj_h-qkAFL92bcVjtIdVa-UlsCw"", ""Interns!O:O""), 
   ""Not Found"")"),"Hetal reached out by email 3/27 followed by text")</f>
        <v>Hetal reached out by email 3/27 followed by text</v>
      </c>
      <c r="AN599" s="23"/>
      <c r="AO599" s="23" t="s">
        <v>9221</v>
      </c>
      <c r="AP599" s="28" t="s">
        <v>5182</v>
      </c>
      <c r="AQ599" s="28" t="s">
        <v>9222</v>
      </c>
      <c r="AR599" s="23" t="s">
        <v>9223</v>
      </c>
      <c r="AS599" s="23"/>
      <c r="AT599" s="23"/>
      <c r="AU599" s="23"/>
      <c r="AV599" s="23"/>
    </row>
    <row r="600">
      <c r="A600" s="28" t="s">
        <v>5202</v>
      </c>
      <c r="B600" s="28" t="s">
        <v>5162</v>
      </c>
      <c r="C600" s="23" t="str">
        <f t="shared" si="1"/>
        <v>Karen Alvarez</v>
      </c>
      <c r="D600" s="28" t="s">
        <v>1818</v>
      </c>
      <c r="E600" s="28" t="s">
        <v>9224</v>
      </c>
      <c r="F600" s="23">
        <f t="array" ref="F600">IFERROR(
    INDEX('Hub Interns 226'!A:A, MATCH(C600, 'Hub Interns 226'!B:B, 0)),"")</f>
        <v>122</v>
      </c>
      <c r="G600" s="23">
        <f t="array" ref="G600">IFERROR(
    INDEX('Hub Users 226'!A:A, MATCH(C600, 'Hub Users 226'!B:B, 0)),"")</f>
        <v>555</v>
      </c>
      <c r="H600" s="28">
        <v>896.0</v>
      </c>
      <c r="I600" s="28" t="s">
        <v>107</v>
      </c>
      <c r="J600" s="28" t="s">
        <v>9066</v>
      </c>
      <c r="K600" s="28" t="s">
        <v>5177</v>
      </c>
      <c r="L600" s="28" t="s">
        <v>5196</v>
      </c>
      <c r="M600" s="56" t="s">
        <v>9225</v>
      </c>
      <c r="N600" s="57">
        <v>44601.53402777778</v>
      </c>
      <c r="O600" s="58">
        <v>38647.0</v>
      </c>
      <c r="P600" s="28">
        <f t="shared" si="20"/>
        <v>20</v>
      </c>
      <c r="Q600" s="28" t="s">
        <v>240</v>
      </c>
      <c r="R600" s="28" t="s">
        <v>9226</v>
      </c>
      <c r="S600" s="28">
        <v>6.0</v>
      </c>
      <c r="T600" s="28">
        <v>16.0</v>
      </c>
      <c r="U600" s="28">
        <v>40.0</v>
      </c>
      <c r="V600" s="28">
        <v>20.0</v>
      </c>
      <c r="W600" s="28" t="s">
        <v>1173</v>
      </c>
      <c r="X600" s="28" t="s">
        <v>272</v>
      </c>
      <c r="Y600" s="28" t="s">
        <v>9227</v>
      </c>
      <c r="Z600" s="28" t="s">
        <v>5189</v>
      </c>
      <c r="AA600" s="28" t="s">
        <v>619</v>
      </c>
      <c r="AB600" s="28">
        <v>20.0</v>
      </c>
      <c r="AC600" s="28" t="s">
        <v>24</v>
      </c>
      <c r="AD600" s="23"/>
      <c r="AE600" s="28" t="s">
        <v>10</v>
      </c>
      <c r="AF600" s="23"/>
      <c r="AG600" s="23"/>
      <c r="AH600" s="23" t="str">
        <f>IFERROR(__xludf.DUMMYFUNCTION("IF(
ISNUMBER(MATCH(
C600,
IMPORTRANGE(""https://docs.google.com/spreadsheets/d/1yTh1ELC33JHYOeEdgIiEclxPRyh0zOKtlawDltfUay8"",""'Interns'!A:A""),
0
)),
""Outreach Conducted"",
"""")"),"")</f>
        <v/>
      </c>
      <c r="AI600" s="23"/>
      <c r="AJ600" s="23"/>
      <c r="AK600" s="23" t="str">
        <f>IFERROR(__xludf.DUMMYFUNCTION("XLOOKUP(C600, 
   IMPORTRANGE(""1RdEdgHYrZ33LJ7RUHj_h-qkAFL92bcVjtIdVa-UlsCw"", ""Interns!D:D""), 
   IMPORTRANGE(""1RdEdgHYrZ33LJ7RUHj_h-qkAFL92bcVjtIdVa-UlsCw"", ""Interns!M:M""), 
   ""Not Found"")"),"")</f>
        <v/>
      </c>
      <c r="AL600" s="23" t="str">
        <f>IFERROR(__xludf.DUMMYFUNCTION("XLOOKUP(C600, 
   IMPORTRANGE(""1RdEdgHYrZ33LJ7RUHj_h-qkAFL92bcVjtIdVa-UlsCw"", ""Interns!D:D""), 
   IMPORTRANGE(""1RdEdgHYrZ33LJ7RUHj_h-qkAFL92bcVjtIdVa-UlsCw"", ""Interns!N:N""), 
   ""Not Found"")"),"")</f>
        <v/>
      </c>
      <c r="AM600" s="23" t="str">
        <f>IFERROR(__xludf.DUMMYFUNCTION("XLOOKUP(C600, 
   IMPORTRANGE(""1RdEdgHYrZ33LJ7RUHj_h-qkAFL92bcVjtIdVa-UlsCw"", ""Interns!D:D""), 
   IMPORTRANGE(""1RdEdgHYrZ33LJ7RUHj_h-qkAFL92bcVjtIdVa-UlsCw"", ""Interns!O:O""), 
   ""Not Found"")"),"")</f>
        <v/>
      </c>
      <c r="AN600" s="23"/>
      <c r="AO600" s="23" t="s">
        <v>9228</v>
      </c>
      <c r="AP600" s="28" t="s">
        <v>5182</v>
      </c>
      <c r="AQ600" s="28"/>
      <c r="AR600" s="23"/>
      <c r="AS600" s="23"/>
      <c r="AT600" s="23"/>
      <c r="AU600" s="23"/>
      <c r="AV600" s="23"/>
    </row>
    <row r="601">
      <c r="A601" s="28" t="s">
        <v>5161</v>
      </c>
      <c r="B601" s="28" t="s">
        <v>31</v>
      </c>
      <c r="C601" s="23" t="str">
        <f t="shared" si="1"/>
        <v>Erick. Cuzco Cualchi</v>
      </c>
      <c r="D601" s="28" t="s">
        <v>9229</v>
      </c>
      <c r="E601" s="28" t="s">
        <v>8727</v>
      </c>
      <c r="F601" s="23">
        <f t="array" ref="F601">IFERROR(
    INDEX('Hub Interns 226'!A:A, MATCH(C601, 'Hub Interns 226'!B:B, 0)),"")</f>
        <v>1787</v>
      </c>
      <c r="G601" s="23">
        <f t="array" ref="G601">IFERROR(
    INDEX('Hub Users 226'!A:A, MATCH(C601, 'Hub Users 226'!B:B, 0)),"")</f>
        <v>2617</v>
      </c>
      <c r="H601" s="28">
        <v>1152.0</v>
      </c>
      <c r="I601" s="28" t="s">
        <v>260</v>
      </c>
      <c r="J601" s="28"/>
      <c r="K601" s="28"/>
      <c r="L601" s="28" t="s">
        <v>5165</v>
      </c>
      <c r="M601" s="56" t="s">
        <v>8728</v>
      </c>
      <c r="N601" s="57">
        <v>44749.68819444445</v>
      </c>
      <c r="O601" s="58">
        <v>38898.0</v>
      </c>
      <c r="P601" s="28">
        <f t="shared" si="20"/>
        <v>19</v>
      </c>
      <c r="Q601" s="28" t="s">
        <v>240</v>
      </c>
      <c r="R601" s="28" t="s">
        <v>9230</v>
      </c>
      <c r="S601" s="28"/>
      <c r="T601" s="28"/>
      <c r="U601" s="28"/>
      <c r="V601" s="28"/>
      <c r="W601" s="28" t="s">
        <v>271</v>
      </c>
      <c r="X601" s="28" t="s">
        <v>272</v>
      </c>
      <c r="Y601" s="28" t="s">
        <v>8731</v>
      </c>
      <c r="Z601" s="28" t="s">
        <v>5259</v>
      </c>
      <c r="AA601" s="28" t="s">
        <v>704</v>
      </c>
      <c r="AB601" s="28">
        <v>2.0</v>
      </c>
      <c r="AC601" s="28" t="s">
        <v>23</v>
      </c>
      <c r="AD601" s="23"/>
      <c r="AE601" s="28" t="s">
        <v>15</v>
      </c>
      <c r="AF601" s="23"/>
      <c r="AG601" s="23"/>
      <c r="AH601" s="23" t="str">
        <f>IFERROR(__xludf.DUMMYFUNCTION("IF(
ISNUMBER(MATCH(
C601,
IMPORTRANGE(""https://docs.google.com/spreadsheets/d/1yTh1ELC33JHYOeEdgIiEclxPRyh0zOKtlawDltfUay8"",""'Interns'!A:A""),
0
)),
""Outreach Conducted"",
"""")"),"")</f>
        <v/>
      </c>
      <c r="AI601" s="23"/>
      <c r="AJ601" s="28" t="s">
        <v>9231</v>
      </c>
      <c r="AK601" s="23" t="str">
        <f>IFERROR(__xludf.DUMMYFUNCTION("XLOOKUP(C601, 
   IMPORTRANGE(""1RdEdgHYrZ33LJ7RUHj_h-qkAFL92bcVjtIdVa-UlsCw"", ""Interns!D:D""), 
   IMPORTRANGE(""1RdEdgHYrZ33LJ7RUHj_h-qkAFL92bcVjtIdVa-UlsCw"", ""Interns!M:M""), 
   ""Not Found"")"),"")</f>
        <v/>
      </c>
      <c r="AL601" s="23" t="str">
        <f>IFERROR(__xludf.DUMMYFUNCTION("XLOOKUP(C601, 
   IMPORTRANGE(""1RdEdgHYrZ33LJ7RUHj_h-qkAFL92bcVjtIdVa-UlsCw"", ""Interns!D:D""), 
   IMPORTRANGE(""1RdEdgHYrZ33LJ7RUHj_h-qkAFL92bcVjtIdVa-UlsCw"", ""Interns!N:N""), 
   ""Not Found"")"),"")</f>
        <v/>
      </c>
      <c r="AM601" s="23" t="str">
        <f>IFERROR(__xludf.DUMMYFUNCTION("XLOOKUP(C601, 
   IMPORTRANGE(""1RdEdgHYrZ33LJ7RUHj_h-qkAFL92bcVjtIdVa-UlsCw"", ""Interns!D:D""), 
   IMPORTRANGE(""1RdEdgHYrZ33LJ7RUHj_h-qkAFL92bcVjtIdVa-UlsCw"", ""Interns!O:O""), 
   ""Not Found"")"),"")</f>
        <v/>
      </c>
      <c r="AN601" s="23"/>
      <c r="AO601" s="23" t="s">
        <v>6743</v>
      </c>
      <c r="AP601" s="28" t="s">
        <v>5182</v>
      </c>
      <c r="AQ601" s="28"/>
      <c r="AR601" s="23"/>
      <c r="AS601" s="23"/>
      <c r="AT601" s="23"/>
      <c r="AU601" s="23"/>
      <c r="AV601" s="23"/>
    </row>
    <row r="602">
      <c r="A602" s="28" t="s">
        <v>5161</v>
      </c>
      <c r="B602" s="28" t="s">
        <v>5162</v>
      </c>
      <c r="C602" s="23" t="str">
        <f t="shared" si="1"/>
        <v>Yesica Fila</v>
      </c>
      <c r="D602" s="28" t="s">
        <v>9232</v>
      </c>
      <c r="E602" s="28" t="s">
        <v>8687</v>
      </c>
      <c r="F602" s="23">
        <f t="array" ref="F602">IFERROR(
    INDEX('Hub Interns 226'!A:A, MATCH(C602, 'Hub Interns 226'!B:B, 0)),"")</f>
        <v>1209</v>
      </c>
      <c r="G602" s="23">
        <f t="array" ref="G602">IFERROR(
    INDEX('Hub Users 226'!A:A, MATCH(C602, 'Hub Users 226'!B:B, 0)),"")</f>
        <v>1642</v>
      </c>
      <c r="H602" s="28">
        <v>520.0</v>
      </c>
      <c r="I602" s="28" t="s">
        <v>260</v>
      </c>
      <c r="J602" s="28" t="s">
        <v>2388</v>
      </c>
      <c r="K602" s="28" t="s">
        <v>5463</v>
      </c>
      <c r="L602" s="28" t="s">
        <v>5196</v>
      </c>
      <c r="M602" s="56" t="s">
        <v>9233</v>
      </c>
      <c r="N602" s="57">
        <v>44476.6625</v>
      </c>
      <c r="O602" s="58">
        <v>38134.0</v>
      </c>
      <c r="P602" s="28">
        <f t="shared" si="20"/>
        <v>21</v>
      </c>
      <c r="Q602" s="28" t="s">
        <v>240</v>
      </c>
      <c r="R602" s="28" t="s">
        <v>9234</v>
      </c>
      <c r="S602" s="28">
        <v>14.0</v>
      </c>
      <c r="T602" s="28">
        <v>13.0</v>
      </c>
      <c r="U602" s="28">
        <v>34.0</v>
      </c>
      <c r="V602" s="28">
        <v>21.0</v>
      </c>
      <c r="W602" s="28" t="s">
        <v>1173</v>
      </c>
      <c r="X602" s="28" t="s">
        <v>272</v>
      </c>
      <c r="Y602" s="28" t="s">
        <v>9235</v>
      </c>
      <c r="Z602" s="28" t="s">
        <v>5189</v>
      </c>
      <c r="AA602" s="28" t="s">
        <v>619</v>
      </c>
      <c r="AB602" s="28">
        <v>20.0</v>
      </c>
      <c r="AC602" s="28" t="s">
        <v>25</v>
      </c>
      <c r="AD602" s="23"/>
      <c r="AE602" s="28" t="s">
        <v>10</v>
      </c>
      <c r="AF602" s="23" t="str">
        <f>IFERROR(__xludf.DUMMYFUNCTION("TEXTJOIN("", "", TRUE,
  FILTER(Champions!C:C,
    ISNUMBER(SEARCH(C602, Champions!W:W))
  )
)"),"Tracy Pullman, Jan Panchalingam")</f>
        <v>Tracy Pullman, Jan Panchalingam</v>
      </c>
      <c r="AG602" s="23"/>
      <c r="AH602" s="23" t="str">
        <f>IFERROR(__xludf.DUMMYFUNCTION("IF(
ISNUMBER(MATCH(
C602,
IMPORTRANGE(""https://docs.google.com/spreadsheets/d/1yTh1ELC33JHYOeEdgIiEclxPRyh0zOKtlawDltfUay8"",""'Interns'!A:A""),
0
)),
""Outreach Conducted"",
"""")"),"")</f>
        <v/>
      </c>
      <c r="AI602" s="23"/>
      <c r="AJ602" s="23"/>
      <c r="AK602" s="23" t="str">
        <f>IFERROR(__xludf.DUMMYFUNCTION("XLOOKUP(C602, 
   IMPORTRANGE(""1RdEdgHYrZ33LJ7RUHj_h-qkAFL92bcVjtIdVa-UlsCw"", ""Interns!D:D""), 
   IMPORTRANGE(""1RdEdgHYrZ33LJ7RUHj_h-qkAFL92bcVjtIdVa-UlsCw"", ""Interns!M:M""), 
   ""Not Found"")"),"Contacted")</f>
        <v>Contacted</v>
      </c>
      <c r="AL602" s="23" t="str">
        <f>IFERROR(__xludf.DUMMYFUNCTION("XLOOKUP(C602, 
   IMPORTRANGE(""1RdEdgHYrZ33LJ7RUHj_h-qkAFL92bcVjtIdVa-UlsCw"", ""Interns!D:D""), 
   IMPORTRANGE(""1RdEdgHYrZ33LJ7RUHj_h-qkAFL92bcVjtIdVa-UlsCw"", ""Interns!N:N""), 
   ""Not Found"")"),"#Cheers4Careers")</f>
        <v>#Cheers4Careers</v>
      </c>
      <c r="AM602" s="23" t="str">
        <f>IFERROR(__xludf.DUMMYFUNCTION("XLOOKUP(C602, 
   IMPORTRANGE(""1RdEdgHYrZ33LJ7RUHj_h-qkAFL92bcVjtIdVa-UlsCw"", ""Interns!D:D""), 
   IMPORTRANGE(""1RdEdgHYrZ33LJ7RUHj_h-qkAFL92bcVjtIdVa-UlsCw"", ""Interns!O:O""), 
   ""Not Found"")"),"Hetal reached out by email 3/27 followed by text")</f>
        <v>Hetal reached out by email 3/27 followed by text</v>
      </c>
      <c r="AN602" s="23"/>
      <c r="AO602" s="23" t="s">
        <v>8692</v>
      </c>
      <c r="AP602" s="28" t="s">
        <v>5240</v>
      </c>
      <c r="AQ602" s="28" t="s">
        <v>8693</v>
      </c>
      <c r="AR602" s="23" t="s">
        <v>9236</v>
      </c>
      <c r="AS602" s="23"/>
      <c r="AT602" s="23"/>
      <c r="AU602" s="23"/>
      <c r="AV602" s="23"/>
    </row>
    <row r="603">
      <c r="A603" s="28" t="s">
        <v>5202</v>
      </c>
      <c r="B603" s="28" t="s">
        <v>5162</v>
      </c>
      <c r="C603" s="23" t="str">
        <f t="shared" si="1"/>
        <v>Johana Gonzalez</v>
      </c>
      <c r="D603" s="28" t="s">
        <v>8762</v>
      </c>
      <c r="E603" s="28" t="s">
        <v>1377</v>
      </c>
      <c r="F603" s="23">
        <f t="array" ref="F603">IFERROR(
    INDEX('Hub Interns 226'!A:A, MATCH(C603, 'Hub Interns 226'!B:B, 0)),"")</f>
        <v>643</v>
      </c>
      <c r="G603" s="23">
        <f t="array" ref="G603">IFERROR(
    INDEX('Hub Users 226'!A:A, MATCH(C603, 'Hub Users 226'!B:B, 0)),"")</f>
        <v>1076</v>
      </c>
      <c r="H603" s="28">
        <v>631.0</v>
      </c>
      <c r="I603" s="28" t="s">
        <v>107</v>
      </c>
      <c r="J603" s="28" t="s">
        <v>9066</v>
      </c>
      <c r="K603" s="28" t="s">
        <v>5177</v>
      </c>
      <c r="L603" s="28" t="s">
        <v>5196</v>
      </c>
      <c r="M603" s="56" t="s">
        <v>9237</v>
      </c>
      <c r="N603" s="59">
        <v>44498.47986111111</v>
      </c>
      <c r="O603" s="58">
        <v>38441.0</v>
      </c>
      <c r="P603" s="28">
        <f t="shared" si="20"/>
        <v>21</v>
      </c>
      <c r="Q603" s="28" t="s">
        <v>240</v>
      </c>
      <c r="R603" s="28" t="s">
        <v>9238</v>
      </c>
      <c r="S603" s="28">
        <v>6.0</v>
      </c>
      <c r="T603" s="28">
        <v>16.0</v>
      </c>
      <c r="U603" s="28">
        <v>40.0</v>
      </c>
      <c r="V603" s="28">
        <v>20.0</v>
      </c>
      <c r="W603" s="28" t="s">
        <v>1173</v>
      </c>
      <c r="X603" s="28" t="s">
        <v>272</v>
      </c>
      <c r="Y603" s="28" t="s">
        <v>9239</v>
      </c>
      <c r="Z603" s="28" t="s">
        <v>5189</v>
      </c>
      <c r="AA603" s="28" t="s">
        <v>619</v>
      </c>
      <c r="AB603" s="28">
        <v>20.0</v>
      </c>
      <c r="AC603" s="28" t="s">
        <v>25</v>
      </c>
      <c r="AD603" s="23"/>
      <c r="AE603" s="28" t="s">
        <v>10</v>
      </c>
      <c r="AF603" s="23" t="str">
        <f>IFERROR(__xludf.DUMMYFUNCTION("TEXTJOIN("", "", TRUE,
  FILTER(Champions!C:C,
    ISNUMBER(SEARCH(C603, Champions!W:W))
  )
)"),"Chiemela Okwandu, Bela Madrigal")</f>
        <v>Chiemela Okwandu, Bela Madrigal</v>
      </c>
      <c r="AG603" s="23"/>
      <c r="AH603" s="23" t="str">
        <f>IFERROR(__xludf.DUMMYFUNCTION("IF(
ISNUMBER(MATCH(
C603,
IMPORTRANGE(""https://docs.google.com/spreadsheets/d/1yTh1ELC33JHYOeEdgIiEclxPRyh0zOKtlawDltfUay8"",""'Interns'!A:A""),
0
)),
""Outreach Conducted"",
"""")"),"")</f>
        <v/>
      </c>
      <c r="AI603" s="23"/>
      <c r="AJ603" s="23"/>
      <c r="AK603" s="23" t="str">
        <f>IFERROR(__xludf.DUMMYFUNCTION("XLOOKUP(C603, 
   IMPORTRANGE(""1RdEdgHYrZ33LJ7RUHj_h-qkAFL92bcVjtIdVa-UlsCw"", ""Interns!D:D""), 
   IMPORTRANGE(""1RdEdgHYrZ33LJ7RUHj_h-qkAFL92bcVjtIdVa-UlsCw"", ""Interns!M:M""), 
   ""Not Found"")"),"")</f>
        <v/>
      </c>
      <c r="AL603" s="23" t="str">
        <f>IFERROR(__xludf.DUMMYFUNCTION("XLOOKUP(C603, 
   IMPORTRANGE(""1RdEdgHYrZ33LJ7RUHj_h-qkAFL92bcVjtIdVa-UlsCw"", ""Interns!D:D""), 
   IMPORTRANGE(""1RdEdgHYrZ33LJ7RUHj_h-qkAFL92bcVjtIdVa-UlsCw"", ""Interns!N:N""), 
   ""Not Found"")"),"")</f>
        <v/>
      </c>
      <c r="AM603" s="23" t="str">
        <f>IFERROR(__xludf.DUMMYFUNCTION("XLOOKUP(C603, 
   IMPORTRANGE(""1RdEdgHYrZ33LJ7RUHj_h-qkAFL92bcVjtIdVa-UlsCw"", ""Interns!D:D""), 
   IMPORTRANGE(""1RdEdgHYrZ33LJ7RUHj_h-qkAFL92bcVjtIdVa-UlsCw"", ""Interns!O:O""), 
   ""Not Found"")"),"")</f>
        <v/>
      </c>
      <c r="AN603" s="23"/>
      <c r="AO603" s="23" t="s">
        <v>9240</v>
      </c>
      <c r="AP603" s="28" t="s">
        <v>5182</v>
      </c>
      <c r="AQ603" s="28" t="s">
        <v>9237</v>
      </c>
      <c r="AR603" s="23" t="s">
        <v>9241</v>
      </c>
      <c r="AS603" s="23"/>
      <c r="AT603" s="23"/>
      <c r="AU603" s="23"/>
      <c r="AV603" s="23"/>
    </row>
    <row r="604">
      <c r="A604" s="28" t="s">
        <v>5202</v>
      </c>
      <c r="B604" s="28" t="s">
        <v>5162</v>
      </c>
      <c r="C604" s="23" t="str">
        <f t="shared" si="1"/>
        <v>Genesis Moreno</v>
      </c>
      <c r="D604" s="28" t="s">
        <v>6519</v>
      </c>
      <c r="E604" s="28" t="s">
        <v>6759</v>
      </c>
      <c r="F604" s="23">
        <f t="array" ref="F604">IFERROR(
    INDEX('Hub Interns 226'!A:A, MATCH(C604, 'Hub Interns 226'!B:B, 0)),"")</f>
        <v>551</v>
      </c>
      <c r="G604" s="23">
        <f t="array" ref="G604">IFERROR(
    INDEX('Hub Users 226'!A:A, MATCH(C604, 'Hub Users 226'!B:B, 0)),"")</f>
        <v>984</v>
      </c>
      <c r="H604" s="28">
        <v>692.0</v>
      </c>
      <c r="I604" s="28" t="s">
        <v>260</v>
      </c>
      <c r="J604" s="28" t="s">
        <v>9066</v>
      </c>
      <c r="K604" s="28" t="s">
        <v>5177</v>
      </c>
      <c r="L604" s="28" t="s">
        <v>5196</v>
      </c>
      <c r="M604" s="56" t="s">
        <v>9242</v>
      </c>
      <c r="N604" s="59">
        <v>44546.55763888889</v>
      </c>
      <c r="O604" s="58">
        <v>39012.0</v>
      </c>
      <c r="P604" s="28">
        <f t="shared" si="20"/>
        <v>19</v>
      </c>
      <c r="Q604" s="28" t="s">
        <v>240</v>
      </c>
      <c r="R604" s="28" t="s">
        <v>9243</v>
      </c>
      <c r="S604" s="28">
        <v>10.0</v>
      </c>
      <c r="T604" s="28">
        <v>26.0</v>
      </c>
      <c r="U604" s="28">
        <v>51.0</v>
      </c>
      <c r="V604" s="28">
        <v>38.0</v>
      </c>
      <c r="W604" s="28" t="s">
        <v>294</v>
      </c>
      <c r="X604" s="28" t="s">
        <v>272</v>
      </c>
      <c r="Y604" s="28" t="s">
        <v>9244</v>
      </c>
      <c r="Z604" s="28" t="s">
        <v>5386</v>
      </c>
      <c r="AA604" s="28" t="s">
        <v>1887</v>
      </c>
      <c r="AB604" s="28">
        <v>47.0</v>
      </c>
      <c r="AC604" s="28" t="s">
        <v>25</v>
      </c>
      <c r="AD604" s="23"/>
      <c r="AE604" s="28" t="s">
        <v>10</v>
      </c>
      <c r="AF604" s="23" t="str">
        <f>IFERROR(__xludf.DUMMYFUNCTION("TEXTJOIN("", "", TRUE,
  FILTER(Champions!C:C,
    ISNUMBER(SEARCH(C604, Champions!W:W))
  )
)"),"Chiemela Okwandu, Wendy Velasquez Ebanks")</f>
        <v>Chiemela Okwandu, Wendy Velasquez Ebanks</v>
      </c>
      <c r="AG604" s="23"/>
      <c r="AH604" s="23" t="str">
        <f>IFERROR(__xludf.DUMMYFUNCTION("IF(
ISNUMBER(MATCH(
C604,
IMPORTRANGE(""https://docs.google.com/spreadsheets/d/1yTh1ELC33JHYOeEdgIiEclxPRyh0zOKtlawDltfUay8"",""'Interns'!A:A""),
0
)),
""Outreach Conducted"",
"""")"),"")</f>
        <v/>
      </c>
      <c r="AI604" s="23"/>
      <c r="AJ604" s="23"/>
      <c r="AK604" s="23" t="str">
        <f>IFERROR(__xludf.DUMMYFUNCTION("XLOOKUP(C604, 
   IMPORTRANGE(""1RdEdgHYrZ33LJ7RUHj_h-qkAFL92bcVjtIdVa-UlsCw"", ""Interns!D:D""), 
   IMPORTRANGE(""1RdEdgHYrZ33LJ7RUHj_h-qkAFL92bcVjtIdVa-UlsCw"", ""Interns!M:M""), 
   ""Not Found"")"),"")</f>
        <v/>
      </c>
      <c r="AL604" s="23" t="str">
        <f>IFERROR(__xludf.DUMMYFUNCTION("XLOOKUP(C604, 
   IMPORTRANGE(""1RdEdgHYrZ33LJ7RUHj_h-qkAFL92bcVjtIdVa-UlsCw"", ""Interns!D:D""), 
   IMPORTRANGE(""1RdEdgHYrZ33LJ7RUHj_h-qkAFL92bcVjtIdVa-UlsCw"", ""Interns!N:N""), 
   ""Not Found"")"),"")</f>
        <v/>
      </c>
      <c r="AM604" s="23" t="str">
        <f>IFERROR(__xludf.DUMMYFUNCTION("XLOOKUP(C604, 
   IMPORTRANGE(""1RdEdgHYrZ33LJ7RUHj_h-qkAFL92bcVjtIdVa-UlsCw"", ""Interns!D:D""), 
   IMPORTRANGE(""1RdEdgHYrZ33LJ7RUHj_h-qkAFL92bcVjtIdVa-UlsCw"", ""Interns!O:O""), 
   ""Not Found"")"),"")</f>
        <v/>
      </c>
      <c r="AN604" s="23"/>
      <c r="AO604" s="23" t="s">
        <v>9245</v>
      </c>
      <c r="AP604" s="28" t="s">
        <v>5182</v>
      </c>
      <c r="AQ604" s="28" t="s">
        <v>9246</v>
      </c>
      <c r="AR604" s="23" t="s">
        <v>9247</v>
      </c>
      <c r="AS604" s="23"/>
      <c r="AT604" s="23"/>
      <c r="AU604" s="23"/>
      <c r="AV604" s="23"/>
    </row>
    <row r="605">
      <c r="A605" s="28" t="s">
        <v>5161</v>
      </c>
      <c r="B605" s="28" t="s">
        <v>5162</v>
      </c>
      <c r="C605" s="23" t="str">
        <f t="shared" si="1"/>
        <v>Kerly Yanchapanta</v>
      </c>
      <c r="D605" s="22" t="s">
        <v>8124</v>
      </c>
      <c r="E605" s="22" t="s">
        <v>9248</v>
      </c>
      <c r="F605" s="23"/>
      <c r="G605" s="23"/>
      <c r="H605" s="22">
        <v>2008.0</v>
      </c>
      <c r="I605" s="28"/>
      <c r="J605" s="28" t="s">
        <v>2388</v>
      </c>
      <c r="K605" s="28" t="s">
        <v>5463</v>
      </c>
      <c r="L605" s="28" t="s">
        <v>5196</v>
      </c>
      <c r="M605" s="29" t="s">
        <v>9249</v>
      </c>
      <c r="N605" s="22" t="s">
        <v>9250</v>
      </c>
      <c r="O605" s="25">
        <v>45615.0</v>
      </c>
      <c r="P605" s="28">
        <f t="shared" si="20"/>
        <v>1</v>
      </c>
      <c r="Q605" s="62" t="s">
        <v>9251</v>
      </c>
      <c r="R605" s="22" t="s">
        <v>9252</v>
      </c>
      <c r="S605" s="28">
        <v>6.0</v>
      </c>
      <c r="T605" s="28">
        <v>12.0</v>
      </c>
      <c r="U605" s="28">
        <v>30.0</v>
      </c>
      <c r="V605" s="28">
        <v>26.0</v>
      </c>
      <c r="W605" s="28" t="s">
        <v>1173</v>
      </c>
      <c r="X605" s="28" t="s">
        <v>272</v>
      </c>
      <c r="Y605" s="64"/>
      <c r="Z605" s="22" t="s">
        <v>5536</v>
      </c>
      <c r="AA605" s="28" t="s">
        <v>5287</v>
      </c>
      <c r="AB605" s="28">
        <v>26.0</v>
      </c>
      <c r="AC605" s="28" t="s">
        <v>27</v>
      </c>
      <c r="AD605" s="23"/>
      <c r="AE605" s="28" t="s">
        <v>19</v>
      </c>
      <c r="AF605" s="23"/>
      <c r="AG605" s="23"/>
      <c r="AH605" s="23" t="str">
        <f>IFERROR(__xludf.DUMMYFUNCTION("IF(
ISNUMBER(MATCH(
C605,
IMPORTRANGE(""https://docs.google.com/spreadsheets/d/1yTh1ELC33JHYOeEdgIiEclxPRyh0zOKtlawDltfUay8"",""'Interns'!A:A""),
0
)),
""Outreach Conducted"",
"""")"),"")</f>
        <v/>
      </c>
      <c r="AI605" s="23"/>
      <c r="AJ605" s="23"/>
      <c r="AK605" s="23" t="str">
        <f>IFERROR(__xludf.DUMMYFUNCTION("XLOOKUP(C605, 
   IMPORTRANGE(""1RdEdgHYrZ33LJ7RUHj_h-qkAFL92bcVjtIdVa-UlsCw"", ""Interns!D:D""), 
   IMPORTRANGE(""1RdEdgHYrZ33LJ7RUHj_h-qkAFL92bcVjtIdVa-UlsCw"", ""Interns!M:M""), 
   ""Not Found"")"),"Not Found")</f>
        <v>Not Found</v>
      </c>
      <c r="AL605" s="23" t="str">
        <f>IFERROR(__xludf.DUMMYFUNCTION("XLOOKUP(C605, 
   IMPORTRANGE(""1RdEdgHYrZ33LJ7RUHj_h-qkAFL92bcVjtIdVa-UlsCw"", ""Interns!D:D""), 
   IMPORTRANGE(""1RdEdgHYrZ33LJ7RUHj_h-qkAFL92bcVjtIdVa-UlsCw"", ""Interns!N:N""), 
   ""Not Found"")"),"Not Found")</f>
        <v>Not Found</v>
      </c>
      <c r="AM605" s="23" t="str">
        <f>IFERROR(__xludf.DUMMYFUNCTION("XLOOKUP(C605, 
   IMPORTRANGE(""1RdEdgHYrZ33LJ7RUHj_h-qkAFL92bcVjtIdVa-UlsCw"", ""Interns!D:D""), 
   IMPORTRANGE(""1RdEdgHYrZ33LJ7RUHj_h-qkAFL92bcVjtIdVa-UlsCw"", ""Interns!O:O""), 
   ""Not Found"")"),"Not Found")</f>
        <v>Not Found</v>
      </c>
      <c r="AN605" s="23"/>
      <c r="AO605" s="23" t="s">
        <v>9253</v>
      </c>
      <c r="AP605" s="28" t="s">
        <v>5182</v>
      </c>
      <c r="AQ605" s="28" t="s">
        <v>9254</v>
      </c>
      <c r="AR605" s="23">
        <v>9.296160378E9</v>
      </c>
      <c r="AS605" s="23"/>
      <c r="AT605" s="23"/>
      <c r="AU605" s="23"/>
      <c r="AV605" s="23"/>
    </row>
    <row r="606">
      <c r="A606" s="28" t="s">
        <v>5202</v>
      </c>
      <c r="B606" s="28" t="s">
        <v>5162</v>
      </c>
      <c r="C606" s="23" t="str">
        <f t="shared" si="1"/>
        <v>Nelson Guzman</v>
      </c>
      <c r="D606" s="28" t="s">
        <v>9255</v>
      </c>
      <c r="E606" s="28" t="s">
        <v>847</v>
      </c>
      <c r="F606" s="23">
        <f t="array" ref="F606">IFERROR(
    INDEX('Hub Interns 226'!A:A, MATCH(C606, 'Hub Interns 226'!B:B, 0)),"")</f>
        <v>532</v>
      </c>
      <c r="G606" s="23">
        <f t="array" ref="G606">IFERROR(
    INDEX('Hub Users 226'!A:A, MATCH(C606, 'Hub Users 226'!B:B, 0)),"")</f>
        <v>965</v>
      </c>
      <c r="H606" s="28">
        <v>904.0</v>
      </c>
      <c r="I606" s="28" t="s">
        <v>239</v>
      </c>
      <c r="J606" s="28" t="s">
        <v>9066</v>
      </c>
      <c r="K606" s="28" t="s">
        <v>5177</v>
      </c>
      <c r="L606" s="28" t="s">
        <v>5165</v>
      </c>
      <c r="M606" s="56" t="s">
        <v>9256</v>
      </c>
      <c r="N606" s="57">
        <v>44601.535416666666</v>
      </c>
      <c r="O606" s="58">
        <v>38249.0</v>
      </c>
      <c r="P606" s="28">
        <f t="shared" si="20"/>
        <v>21</v>
      </c>
      <c r="Q606" s="28" t="s">
        <v>9257</v>
      </c>
      <c r="R606" s="28" t="s">
        <v>9258</v>
      </c>
      <c r="S606" s="28">
        <v>3.0</v>
      </c>
      <c r="T606" s="28">
        <v>11.0</v>
      </c>
      <c r="U606" s="28">
        <v>26.0</v>
      </c>
      <c r="V606" s="28">
        <v>23.0</v>
      </c>
      <c r="W606" s="28" t="s">
        <v>1173</v>
      </c>
      <c r="X606" s="28" t="s">
        <v>272</v>
      </c>
      <c r="Y606" s="28" t="s">
        <v>9259</v>
      </c>
      <c r="Z606" s="28" t="s">
        <v>5189</v>
      </c>
      <c r="AA606" s="28" t="s">
        <v>619</v>
      </c>
      <c r="AB606" s="28">
        <v>20.0</v>
      </c>
      <c r="AC606" s="28" t="s">
        <v>24</v>
      </c>
      <c r="AD606" s="23"/>
      <c r="AE606" s="28" t="s">
        <v>10</v>
      </c>
      <c r="AF606" s="23"/>
      <c r="AG606" s="23"/>
      <c r="AH606" s="23" t="str">
        <f>IFERROR(__xludf.DUMMYFUNCTION("IF(
ISNUMBER(MATCH(
C606,
IMPORTRANGE(""https://docs.google.com/spreadsheets/d/1yTh1ELC33JHYOeEdgIiEclxPRyh0zOKtlawDltfUay8"",""'Interns'!A:A""),
0
)),
""Outreach Conducted"",
"""")"),"")</f>
        <v/>
      </c>
      <c r="AI606" s="23"/>
      <c r="AJ606" s="23"/>
      <c r="AK606" s="23" t="str">
        <f>IFERROR(__xludf.DUMMYFUNCTION("XLOOKUP(C606, 
   IMPORTRANGE(""1RdEdgHYrZ33LJ7RUHj_h-qkAFL92bcVjtIdVa-UlsCw"", ""Interns!D:D""), 
   IMPORTRANGE(""1RdEdgHYrZ33LJ7RUHj_h-qkAFL92bcVjtIdVa-UlsCw"", ""Interns!M:M""), 
   ""Not Found"")"),"")</f>
        <v/>
      </c>
      <c r="AL606" s="23" t="str">
        <f>IFERROR(__xludf.DUMMYFUNCTION("XLOOKUP(C606, 
   IMPORTRANGE(""1RdEdgHYrZ33LJ7RUHj_h-qkAFL92bcVjtIdVa-UlsCw"", ""Interns!D:D""), 
   IMPORTRANGE(""1RdEdgHYrZ33LJ7RUHj_h-qkAFL92bcVjtIdVa-UlsCw"", ""Interns!N:N""), 
   ""Not Found"")"),"")</f>
        <v/>
      </c>
      <c r="AM606" s="23" t="str">
        <f>IFERROR(__xludf.DUMMYFUNCTION("XLOOKUP(C606, 
   IMPORTRANGE(""1RdEdgHYrZ33LJ7RUHj_h-qkAFL92bcVjtIdVa-UlsCw"", ""Interns!D:D""), 
   IMPORTRANGE(""1RdEdgHYrZ33LJ7RUHj_h-qkAFL92bcVjtIdVa-UlsCw"", ""Interns!O:O""), 
   ""Not Found"")"),"")</f>
        <v/>
      </c>
      <c r="AN606" s="23"/>
      <c r="AO606" s="23" t="s">
        <v>9260</v>
      </c>
      <c r="AP606" s="28" t="s">
        <v>5191</v>
      </c>
      <c r="AQ606" s="28"/>
      <c r="AR606" s="23"/>
      <c r="AS606" s="23"/>
      <c r="AT606" s="23"/>
      <c r="AU606" s="23"/>
      <c r="AV606" s="23"/>
    </row>
    <row r="607">
      <c r="A607" s="28" t="s">
        <v>5161</v>
      </c>
      <c r="B607" s="28" t="s">
        <v>5162</v>
      </c>
      <c r="C607" s="23" t="str">
        <f t="shared" si="1"/>
        <v>Kelly Carchi</v>
      </c>
      <c r="D607" s="22" t="s">
        <v>2545</v>
      </c>
      <c r="E607" s="22" t="s">
        <v>9261</v>
      </c>
      <c r="F607" s="23"/>
      <c r="G607" s="23"/>
      <c r="H607" s="22">
        <v>2004.0</v>
      </c>
      <c r="I607" s="28"/>
      <c r="J607" s="28" t="s">
        <v>2388</v>
      </c>
      <c r="K607" s="28" t="s">
        <v>5463</v>
      </c>
      <c r="L607" s="28" t="s">
        <v>5196</v>
      </c>
      <c r="M607" s="29" t="s">
        <v>9262</v>
      </c>
      <c r="N607" s="63">
        <v>45615.509722222225</v>
      </c>
      <c r="O607" s="25">
        <v>41345.0</v>
      </c>
      <c r="P607" s="28">
        <f t="shared" si="20"/>
        <v>13</v>
      </c>
      <c r="Q607" s="62" t="s">
        <v>9263</v>
      </c>
      <c r="R607" s="22" t="s">
        <v>9264</v>
      </c>
      <c r="S607" s="28">
        <v>6.0</v>
      </c>
      <c r="T607" s="28">
        <v>12.0</v>
      </c>
      <c r="U607" s="28">
        <v>30.0</v>
      </c>
      <c r="V607" s="28">
        <v>26.0</v>
      </c>
      <c r="W607" s="28" t="s">
        <v>1173</v>
      </c>
      <c r="X607" s="28" t="s">
        <v>272</v>
      </c>
      <c r="Y607" s="22">
        <v>7.185937434E9</v>
      </c>
      <c r="Z607" s="22" t="s">
        <v>5536</v>
      </c>
      <c r="AA607" s="28" t="s">
        <v>5287</v>
      </c>
      <c r="AB607" s="28">
        <v>26.0</v>
      </c>
      <c r="AC607" s="28" t="s">
        <v>27</v>
      </c>
      <c r="AD607" s="23"/>
      <c r="AE607" s="28" t="s">
        <v>19</v>
      </c>
      <c r="AF607" s="23"/>
      <c r="AG607" s="23"/>
      <c r="AH607" s="23" t="str">
        <f>IFERROR(__xludf.DUMMYFUNCTION("IF(
ISNUMBER(MATCH(
C607,
IMPORTRANGE(""https://docs.google.com/spreadsheets/d/1yTh1ELC33JHYOeEdgIiEclxPRyh0zOKtlawDltfUay8"",""'Interns'!A:A""),
0
)),
""Outreach Conducted"",
"""")"),"")</f>
        <v/>
      </c>
      <c r="AI607" s="23"/>
      <c r="AJ607" s="23"/>
      <c r="AK607" s="23" t="str">
        <f>IFERROR(__xludf.DUMMYFUNCTION("XLOOKUP(C607, 
   IMPORTRANGE(""1RdEdgHYrZ33LJ7RUHj_h-qkAFL92bcVjtIdVa-UlsCw"", ""Interns!D:D""), 
   IMPORTRANGE(""1RdEdgHYrZ33LJ7RUHj_h-qkAFL92bcVjtIdVa-UlsCw"", ""Interns!M:M""), 
   ""Not Found"")"),"Not Found")</f>
        <v>Not Found</v>
      </c>
      <c r="AL607" s="23" t="str">
        <f>IFERROR(__xludf.DUMMYFUNCTION("XLOOKUP(C607, 
   IMPORTRANGE(""1RdEdgHYrZ33LJ7RUHj_h-qkAFL92bcVjtIdVa-UlsCw"", ""Interns!D:D""), 
   IMPORTRANGE(""1RdEdgHYrZ33LJ7RUHj_h-qkAFL92bcVjtIdVa-UlsCw"", ""Interns!N:N""), 
   ""Not Found"")"),"Not Found")</f>
        <v>Not Found</v>
      </c>
      <c r="AM607" s="23" t="str">
        <f>IFERROR(__xludf.DUMMYFUNCTION("XLOOKUP(C607, 
   IMPORTRANGE(""1RdEdgHYrZ33LJ7RUHj_h-qkAFL92bcVjtIdVa-UlsCw"", ""Interns!D:D""), 
   IMPORTRANGE(""1RdEdgHYrZ33LJ7RUHj_h-qkAFL92bcVjtIdVa-UlsCw"", ""Interns!O:O""), 
   ""Not Found"")"),"Not Found")</f>
        <v>Not Found</v>
      </c>
      <c r="AN607" s="23"/>
      <c r="AO607" s="23" t="s">
        <v>9265</v>
      </c>
      <c r="AP607" s="28" t="s">
        <v>5182</v>
      </c>
      <c r="AQ607" s="28" t="s">
        <v>9266</v>
      </c>
      <c r="AR607" s="23" t="s">
        <v>9267</v>
      </c>
      <c r="AS607" s="23"/>
      <c r="AT607" s="23"/>
      <c r="AU607" s="23"/>
      <c r="AV607" s="23"/>
    </row>
    <row r="608">
      <c r="A608" s="28" t="s">
        <v>5161</v>
      </c>
      <c r="B608" s="28" t="s">
        <v>5162</v>
      </c>
      <c r="C608" s="23" t="str">
        <f t="shared" si="1"/>
        <v>Jeremy Guaman</v>
      </c>
      <c r="D608" s="22" t="s">
        <v>7227</v>
      </c>
      <c r="E608" s="22" t="s">
        <v>8435</v>
      </c>
      <c r="F608" s="23"/>
      <c r="G608" s="23"/>
      <c r="H608" s="22">
        <v>1940.0</v>
      </c>
      <c r="I608" s="28"/>
      <c r="J608" s="28" t="s">
        <v>2388</v>
      </c>
      <c r="K608" s="28" t="s">
        <v>5463</v>
      </c>
      <c r="L608" s="28" t="s">
        <v>5165</v>
      </c>
      <c r="M608" s="29" t="s">
        <v>9268</v>
      </c>
      <c r="N608" s="61">
        <v>45729.51388888889</v>
      </c>
      <c r="O608" s="25">
        <v>40241.0</v>
      </c>
      <c r="P608" s="28">
        <f t="shared" si="20"/>
        <v>16</v>
      </c>
      <c r="Q608" s="62" t="s">
        <v>9269</v>
      </c>
      <c r="R608" s="22" t="s">
        <v>9270</v>
      </c>
      <c r="S608" s="28">
        <v>6.0</v>
      </c>
      <c r="T608" s="28">
        <v>12.0</v>
      </c>
      <c r="U608" s="28">
        <v>30.0</v>
      </c>
      <c r="V608" s="28">
        <v>25.0</v>
      </c>
      <c r="W608" s="28" t="s">
        <v>1173</v>
      </c>
      <c r="X608" s="28" t="s">
        <v>272</v>
      </c>
      <c r="Y608" s="22" t="s">
        <v>9271</v>
      </c>
      <c r="Z608" s="22" t="s">
        <v>5365</v>
      </c>
      <c r="AA608" s="28" t="s">
        <v>5366</v>
      </c>
      <c r="AB608" s="28">
        <v>26.0</v>
      </c>
      <c r="AC608" s="28" t="s">
        <v>23</v>
      </c>
      <c r="AD608" s="23"/>
      <c r="AE608" s="28" t="s">
        <v>19</v>
      </c>
      <c r="AF608" s="23"/>
      <c r="AG608" s="23"/>
      <c r="AH608" s="23" t="str">
        <f>IFERROR(__xludf.DUMMYFUNCTION("IF(
ISNUMBER(MATCH(
C608,
IMPORTRANGE(""https://docs.google.com/spreadsheets/d/1yTh1ELC33JHYOeEdgIiEclxPRyh0zOKtlawDltfUay8"",""'Interns'!A:A""),
0
)),
""Outreach Conducted"",
"""")"),"")</f>
        <v/>
      </c>
      <c r="AI608" s="23"/>
      <c r="AJ608" s="23"/>
      <c r="AK608" s="23"/>
      <c r="AL608" s="23" t="str">
        <f>IFERROR(__xludf.DUMMYFUNCTION("XLOOKUP(C608, 
   IMPORTRANGE(""1RdEdgHYrZ33LJ7RUHj_h-qkAFL92bcVjtIdVa-UlsCw"", ""Interns!D:D""), 
   IMPORTRANGE(""1RdEdgHYrZ33LJ7RUHj_h-qkAFL92bcVjtIdVa-UlsCw"", ""Interns!N:N""), 
   ""Not Found"")"),"#Cheers4Careers")</f>
        <v>#Cheers4Careers</v>
      </c>
      <c r="AM608" s="23" t="str">
        <f>IFERROR(__xludf.DUMMYFUNCTION("XLOOKUP(C608, 
   IMPORTRANGE(""1RdEdgHYrZ33LJ7RUHj_h-qkAFL92bcVjtIdVa-UlsCw"", ""Interns!D:D""), 
   IMPORTRANGE(""1RdEdgHYrZ33LJ7RUHj_h-qkAFL92bcVjtIdVa-UlsCw"", ""Interns!O:O""), 
   ""Not Found"")"),"Hetal reached out March 27 for March #Cheers4 Careers ")</f>
        <v>Hetal reached out March 27 for March #Cheers4 Careers </v>
      </c>
      <c r="AN608" s="23"/>
      <c r="AO608" s="23" t="s">
        <v>9272</v>
      </c>
      <c r="AP608" s="28" t="s">
        <v>9273</v>
      </c>
      <c r="AQ608" s="28" t="s">
        <v>9274</v>
      </c>
      <c r="AR608" s="23" t="s">
        <v>9275</v>
      </c>
      <c r="AS608" s="23"/>
      <c r="AT608" s="23"/>
      <c r="AU608" s="23"/>
      <c r="AV608" s="23"/>
    </row>
    <row r="609">
      <c r="A609" s="28" t="s">
        <v>5161</v>
      </c>
      <c r="B609" s="28" t="s">
        <v>5162</v>
      </c>
      <c r="C609" s="23" t="str">
        <f t="shared" si="1"/>
        <v>Jorge Lino</v>
      </c>
      <c r="D609" s="28" t="s">
        <v>8819</v>
      </c>
      <c r="E609" s="28" t="s">
        <v>9276</v>
      </c>
      <c r="F609" s="23" t="str">
        <f t="array" ref="F609">IFERROR(
    INDEX('Hub Interns 226'!A:A, MATCH(C609, 'Hub Interns 226'!B:B, 0)),"")</f>
        <v/>
      </c>
      <c r="G609" s="23">
        <f t="array" ref="G609">IFERROR(
    INDEX('Hub Users 226'!A:A, MATCH(C609, 'Hub Users 226'!B:B, 0)),"")</f>
        <v>1832</v>
      </c>
      <c r="H609" s="28">
        <v>1702.0</v>
      </c>
      <c r="I609" s="28"/>
      <c r="J609" s="28" t="s">
        <v>2388</v>
      </c>
      <c r="K609" s="28" t="s">
        <v>5463</v>
      </c>
      <c r="L609" s="28" t="s">
        <v>5165</v>
      </c>
      <c r="M609" s="56" t="s">
        <v>9277</v>
      </c>
      <c r="N609" s="59">
        <v>45250.955555555556</v>
      </c>
      <c r="O609" s="58">
        <v>40350.0</v>
      </c>
      <c r="P609" s="28">
        <f t="shared" si="20"/>
        <v>15</v>
      </c>
      <c r="Q609" s="28" t="s">
        <v>240</v>
      </c>
      <c r="R609" s="28" t="s">
        <v>9278</v>
      </c>
      <c r="S609" s="28">
        <v>14.0</v>
      </c>
      <c r="T609" s="28">
        <v>13.0</v>
      </c>
      <c r="U609" s="28">
        <v>34.0</v>
      </c>
      <c r="V609" s="28">
        <v>21.0</v>
      </c>
      <c r="W609" s="28" t="s">
        <v>1173</v>
      </c>
      <c r="X609" s="28" t="s">
        <v>272</v>
      </c>
      <c r="Y609" s="28" t="s">
        <v>9279</v>
      </c>
      <c r="Z609" s="28" t="s">
        <v>5170</v>
      </c>
      <c r="AA609" s="28" t="s">
        <v>5171</v>
      </c>
      <c r="AB609" s="28">
        <v>30.0</v>
      </c>
      <c r="AC609" s="28" t="s">
        <v>23</v>
      </c>
      <c r="AD609" s="23"/>
      <c r="AE609" s="28" t="s">
        <v>18</v>
      </c>
      <c r="AF609" s="23"/>
      <c r="AG609" s="23"/>
      <c r="AH609" s="23" t="str">
        <f>IFERROR(__xludf.DUMMYFUNCTION("IF(
ISNUMBER(MATCH(
C609,
IMPORTRANGE(""https://docs.google.com/spreadsheets/d/1yTh1ELC33JHYOeEdgIiEclxPRyh0zOKtlawDltfUay8"",""'Interns'!A:A""),
0
)),
""Outreach Conducted"",
"""")"),"")</f>
        <v/>
      </c>
      <c r="AI609" s="23"/>
      <c r="AJ609" s="23"/>
      <c r="AK609" s="23" t="str">
        <f>IFERROR(__xludf.DUMMYFUNCTION("XLOOKUP(C609, 
   IMPORTRANGE(""1RdEdgHYrZ33LJ7RUHj_h-qkAFL92bcVjtIdVa-UlsCw"", ""Interns!D:D""), 
   IMPORTRANGE(""1RdEdgHYrZ33LJ7RUHj_h-qkAFL92bcVjtIdVa-UlsCw"", ""Interns!M:M""), 
   ""Not Found"")"),"Contacted")</f>
        <v>Contacted</v>
      </c>
      <c r="AL609" s="23" t="str">
        <f>IFERROR(__xludf.DUMMYFUNCTION("XLOOKUP(C609, 
   IMPORTRANGE(""1RdEdgHYrZ33LJ7RUHj_h-qkAFL92bcVjtIdVa-UlsCw"", ""Interns!D:D""), 
   IMPORTRANGE(""1RdEdgHYrZ33LJ7RUHj_h-qkAFL92bcVjtIdVa-UlsCw"", ""Interns!N:N""), 
   ""Not Found"")"),"#Cheers4Careers")</f>
        <v>#Cheers4Careers</v>
      </c>
      <c r="AM609" s="23" t="str">
        <f>IFERROR(__xludf.DUMMYFUNCTION("XLOOKUP(C609, 
   IMPORTRANGE(""1RdEdgHYrZ33LJ7RUHj_h-qkAFL92bcVjtIdVa-UlsCw"", ""Interns!D:D""), 
   IMPORTRANGE(""1RdEdgHYrZ33LJ7RUHj_h-qkAFL92bcVjtIdVa-UlsCw"", ""Interns!O:O""), 
   ""Not Found"")"),"Hetal reached out March 27 for March #Cheers4 Careers ")</f>
        <v>Hetal reached out March 27 for March #Cheers4 Careers </v>
      </c>
      <c r="AN609" s="23"/>
      <c r="AO609" s="23" t="s">
        <v>9280</v>
      </c>
      <c r="AP609" s="28" t="s">
        <v>5182</v>
      </c>
      <c r="AQ609" s="28" t="s">
        <v>9281</v>
      </c>
      <c r="AR609" s="23" t="s">
        <v>9282</v>
      </c>
      <c r="AS609" s="23"/>
      <c r="AT609" s="23"/>
      <c r="AU609" s="23"/>
      <c r="AV609" s="23"/>
    </row>
    <row r="610">
      <c r="A610" s="28" t="s">
        <v>5161</v>
      </c>
      <c r="B610" s="28" t="s">
        <v>5162</v>
      </c>
      <c r="C610" s="23" t="str">
        <f t="shared" si="1"/>
        <v>Jhon Quillay</v>
      </c>
      <c r="D610" s="28" t="s">
        <v>8686</v>
      </c>
      <c r="E610" s="28" t="s">
        <v>9283</v>
      </c>
      <c r="F610" s="23">
        <f t="array" ref="F610">IFERROR(
    INDEX('Hub Interns 226'!A:A, MATCH(C610, 'Hub Interns 226'!B:B, 0)),"")</f>
        <v>664</v>
      </c>
      <c r="G610" s="23">
        <f t="array" ref="G610">IFERROR(
    INDEX('Hub Users 226'!A:A, MATCH(C610, 'Hub Users 226'!B:B, 0)),"")</f>
        <v>1097</v>
      </c>
      <c r="H610" s="28">
        <v>1203.0</v>
      </c>
      <c r="I610" s="28" t="s">
        <v>239</v>
      </c>
      <c r="J610" s="28" t="s">
        <v>2388</v>
      </c>
      <c r="K610" s="28" t="s">
        <v>5463</v>
      </c>
      <c r="L610" s="28" t="s">
        <v>5165</v>
      </c>
      <c r="M610" s="56" t="s">
        <v>9284</v>
      </c>
      <c r="N610" s="57">
        <v>44834.51388888889</v>
      </c>
      <c r="O610" s="58">
        <v>40147.0</v>
      </c>
      <c r="P610" s="28">
        <f t="shared" si="20"/>
        <v>16</v>
      </c>
      <c r="Q610" s="28" t="s">
        <v>240</v>
      </c>
      <c r="R610" s="28" t="s">
        <v>9285</v>
      </c>
      <c r="S610" s="28">
        <v>14.0</v>
      </c>
      <c r="T610" s="28">
        <v>13.0</v>
      </c>
      <c r="U610" s="28">
        <v>35.0</v>
      </c>
      <c r="V610" s="28">
        <v>21.0</v>
      </c>
      <c r="W610" s="28" t="s">
        <v>1173</v>
      </c>
      <c r="X610" s="28" t="s">
        <v>272</v>
      </c>
      <c r="Y610" s="28" t="s">
        <v>9286</v>
      </c>
      <c r="Z610" s="28" t="s">
        <v>5170</v>
      </c>
      <c r="AA610" s="28" t="s">
        <v>5171</v>
      </c>
      <c r="AB610" s="28">
        <v>30.0</v>
      </c>
      <c r="AC610" s="28" t="s">
        <v>23</v>
      </c>
      <c r="AD610" s="28" t="s">
        <v>101</v>
      </c>
      <c r="AE610" s="28" t="s">
        <v>15</v>
      </c>
      <c r="AF610" s="23"/>
      <c r="AG610" s="23"/>
      <c r="AH610" s="23" t="str">
        <f>IFERROR(__xludf.DUMMYFUNCTION("IF(
ISNUMBER(MATCH(
C610,
IMPORTRANGE(""https://docs.google.com/spreadsheets/d/1yTh1ELC33JHYOeEdgIiEclxPRyh0zOKtlawDltfUay8"",""'Interns'!A:A""),
0
)),
""Outreach Conducted"",
"""")"),"")</f>
        <v/>
      </c>
      <c r="AI610" s="23"/>
      <c r="AJ610" s="23"/>
      <c r="AK610" s="23" t="str">
        <f>IFERROR(__xludf.DUMMYFUNCTION("XLOOKUP(C610, 
   IMPORTRANGE(""1RdEdgHYrZ33LJ7RUHj_h-qkAFL92bcVjtIdVa-UlsCw"", ""Interns!D:D""), 
   IMPORTRANGE(""1RdEdgHYrZ33LJ7RUHj_h-qkAFL92bcVjtIdVa-UlsCw"", ""Interns!M:M""), 
   ""Not Found"")"),"Contacted")</f>
        <v>Contacted</v>
      </c>
      <c r="AL610" s="23" t="str">
        <f>IFERROR(__xludf.DUMMYFUNCTION("XLOOKUP(C610, 
   IMPORTRANGE(""1RdEdgHYrZ33LJ7RUHj_h-qkAFL92bcVjtIdVa-UlsCw"", ""Interns!D:D""), 
   IMPORTRANGE(""1RdEdgHYrZ33LJ7RUHj_h-qkAFL92bcVjtIdVa-UlsCw"", ""Interns!N:N""), 
   ""Not Found"")"),"#Cheers4Careers")</f>
        <v>#Cheers4Careers</v>
      </c>
      <c r="AM610" s="23" t="str">
        <f>IFERROR(__xludf.DUMMYFUNCTION("XLOOKUP(C610, 
   IMPORTRANGE(""1RdEdgHYrZ33LJ7RUHj_h-qkAFL92bcVjtIdVa-UlsCw"", ""Interns!D:D""), 
   IMPORTRANGE(""1RdEdgHYrZ33LJ7RUHj_h-qkAFL92bcVjtIdVa-UlsCw"", ""Interns!O:O""), 
   ""Not Found"")"),"Hetal reached out March 27 for March #Cheers4 Careers ")</f>
        <v>Hetal reached out March 27 for March #Cheers4 Careers </v>
      </c>
      <c r="AN610" s="23"/>
      <c r="AO610" s="23" t="s">
        <v>4368</v>
      </c>
      <c r="AP610" s="28" t="s">
        <v>5182</v>
      </c>
      <c r="AQ610" s="28"/>
      <c r="AR610" s="23"/>
      <c r="AS610" s="23"/>
      <c r="AT610" s="23"/>
      <c r="AU610" s="23"/>
      <c r="AV610" s="23"/>
    </row>
    <row r="611">
      <c r="A611" s="28" t="s">
        <v>5161</v>
      </c>
      <c r="B611" s="28" t="s">
        <v>5162</v>
      </c>
      <c r="C611" s="23" t="str">
        <f t="shared" si="1"/>
        <v>Ariel Cedeno</v>
      </c>
      <c r="D611" s="28" t="s">
        <v>4208</v>
      </c>
      <c r="E611" s="28" t="s">
        <v>6001</v>
      </c>
      <c r="F611" s="23">
        <f t="array" ref="F611">IFERROR(
    INDEX('Hub Interns 226'!A:A, MATCH(C611, 'Hub Interns 226'!B:B, 0)),"")</f>
        <v>346</v>
      </c>
      <c r="G611" s="23">
        <f t="array" ref="G611">IFERROR(
    INDEX('Hub Users 226'!A:A, MATCH(C611, 'Hub Users 226'!B:B, 0)),"")</f>
        <v>779</v>
      </c>
      <c r="H611" s="28">
        <v>684.0</v>
      </c>
      <c r="I611" s="28" t="s">
        <v>260</v>
      </c>
      <c r="J611" s="28" t="s">
        <v>2388</v>
      </c>
      <c r="K611" s="28" t="s">
        <v>5463</v>
      </c>
      <c r="L611" s="28" t="s">
        <v>5165</v>
      </c>
      <c r="M611" s="56" t="s">
        <v>9287</v>
      </c>
      <c r="N611" s="59">
        <v>44546.53680555556</v>
      </c>
      <c r="O611" s="58">
        <v>38051.0</v>
      </c>
      <c r="P611" s="28">
        <f t="shared" si="20"/>
        <v>22</v>
      </c>
      <c r="Q611" s="28" t="s">
        <v>240</v>
      </c>
      <c r="R611" s="28" t="s">
        <v>9288</v>
      </c>
      <c r="S611" s="28">
        <v>14.0</v>
      </c>
      <c r="T611" s="28">
        <v>13.0</v>
      </c>
      <c r="U611" s="28">
        <v>34.0</v>
      </c>
      <c r="V611" s="28">
        <v>21.0</v>
      </c>
      <c r="W611" s="28" t="s">
        <v>1173</v>
      </c>
      <c r="X611" s="28" t="s">
        <v>272</v>
      </c>
      <c r="Y611" s="28" t="s">
        <v>9289</v>
      </c>
      <c r="Z611" s="28" t="s">
        <v>5483</v>
      </c>
      <c r="AA611" s="28" t="s">
        <v>457</v>
      </c>
      <c r="AB611" s="28">
        <v>25.0</v>
      </c>
      <c r="AC611" s="28" t="s">
        <v>25</v>
      </c>
      <c r="AD611" s="23"/>
      <c r="AE611" s="28" t="s">
        <v>10</v>
      </c>
      <c r="AF611" s="23" t="str">
        <f>IFERROR(__xludf.DUMMYFUNCTION("TEXTJOIN("", "", TRUE,
  FILTER(Champions!C:C,
    ISNUMBER(SEARCH(C611, Champions!W:W))
  )
)"),"Jody Kramer, Oheneba Afriyie")</f>
        <v>Jody Kramer, Oheneba Afriyie</v>
      </c>
      <c r="AG611" s="23"/>
      <c r="AH611" s="23" t="str">
        <f>IFERROR(__xludf.DUMMYFUNCTION("IF(
ISNUMBER(MATCH(
C611,
IMPORTRANGE(""https://docs.google.com/spreadsheets/d/1yTh1ELC33JHYOeEdgIiEclxPRyh0zOKtlawDltfUay8"",""'Interns'!A:A""),
0
)),
""Outreach Conducted"",
"""")"),"")</f>
        <v/>
      </c>
      <c r="AI611" s="23"/>
      <c r="AJ611" s="23"/>
      <c r="AK611" s="23" t="str">
        <f>IFERROR(__xludf.DUMMYFUNCTION("XLOOKUP(C611, 
   IMPORTRANGE(""1RdEdgHYrZ33LJ7RUHj_h-qkAFL92bcVjtIdVa-UlsCw"", ""Interns!D:D""), 
   IMPORTRANGE(""1RdEdgHYrZ33LJ7RUHj_h-qkAFL92bcVjtIdVa-UlsCw"", ""Interns!M:M""), 
   ""Not Found"")"),"Contacted")</f>
        <v>Contacted</v>
      </c>
      <c r="AL611" s="23" t="str">
        <f>IFERROR(__xludf.DUMMYFUNCTION("XLOOKUP(C611, 
   IMPORTRANGE(""1RdEdgHYrZ33LJ7RUHj_h-qkAFL92bcVjtIdVa-UlsCw"", ""Interns!D:D""), 
   IMPORTRANGE(""1RdEdgHYrZ33LJ7RUHj_h-qkAFL92bcVjtIdVa-UlsCw"", ""Interns!N:N""), 
   ""Not Found"")"),"#Cheers4Careers")</f>
        <v>#Cheers4Careers</v>
      </c>
      <c r="AM611" s="23" t="str">
        <f>IFERROR(__xludf.DUMMYFUNCTION("XLOOKUP(C611, 
   IMPORTRANGE(""1RdEdgHYrZ33LJ7RUHj_h-qkAFL92bcVjtIdVa-UlsCw"", ""Interns!D:D""), 
   IMPORTRANGE(""1RdEdgHYrZ33LJ7RUHj_h-qkAFL92bcVjtIdVa-UlsCw"", ""Interns!O:O""), 
   ""Not Found"")"),"Hetal reached out by email 3/27")</f>
        <v>Hetal reached out by email 3/27</v>
      </c>
      <c r="AN611" s="23"/>
      <c r="AO611" s="23" t="s">
        <v>9290</v>
      </c>
      <c r="AP611" s="28" t="s">
        <v>5182</v>
      </c>
      <c r="AQ611" s="28" t="s">
        <v>9291</v>
      </c>
      <c r="AR611" s="23" t="s">
        <v>9292</v>
      </c>
      <c r="AS611" s="28" t="s">
        <v>9293</v>
      </c>
      <c r="AT611" s="23"/>
      <c r="AU611" s="23"/>
      <c r="AV611" s="23"/>
    </row>
    <row r="612">
      <c r="A612" s="28" t="s">
        <v>5161</v>
      </c>
      <c r="B612" s="28" t="s">
        <v>5162</v>
      </c>
      <c r="C612" s="23" t="str">
        <f t="shared" si="1"/>
        <v>Fanny Tixi</v>
      </c>
      <c r="D612" s="28" t="s">
        <v>9294</v>
      </c>
      <c r="E612" s="28" t="s">
        <v>9295</v>
      </c>
      <c r="F612" s="23">
        <f t="array" ref="F612">IFERROR(
    INDEX('Hub Interns 226'!A:A, MATCH(C612, 'Hub Interns 226'!B:B, 0)),"")</f>
        <v>86</v>
      </c>
      <c r="G612" s="23">
        <f t="array" ref="G612">IFERROR(
    INDEX('Hub Users 226'!A:A, MATCH(C612, 'Hub Users 226'!B:B, 0)),"")</f>
        <v>519</v>
      </c>
      <c r="H612" s="28">
        <v>1493.0</v>
      </c>
      <c r="I612" s="28" t="s">
        <v>239</v>
      </c>
      <c r="J612" s="28" t="s">
        <v>2388</v>
      </c>
      <c r="K612" s="28" t="s">
        <v>5463</v>
      </c>
      <c r="L612" s="28" t="s">
        <v>5196</v>
      </c>
      <c r="M612" s="56" t="s">
        <v>9296</v>
      </c>
      <c r="N612" s="57">
        <v>44949.645833333336</v>
      </c>
      <c r="O612" s="58">
        <v>37879.0</v>
      </c>
      <c r="P612" s="28">
        <f t="shared" si="20"/>
        <v>22</v>
      </c>
      <c r="Q612" s="28" t="s">
        <v>240</v>
      </c>
      <c r="R612" s="28" t="s">
        <v>9297</v>
      </c>
      <c r="S612" s="28">
        <v>15.0</v>
      </c>
      <c r="T612" s="28">
        <v>31.0</v>
      </c>
      <c r="U612" s="28">
        <v>77.0</v>
      </c>
      <c r="V612" s="28">
        <v>14.0</v>
      </c>
      <c r="W612" s="28" t="s">
        <v>859</v>
      </c>
      <c r="X612" s="28" t="s">
        <v>272</v>
      </c>
      <c r="Y612" s="28" t="s">
        <v>9298</v>
      </c>
      <c r="Z612" s="28" t="s">
        <v>5259</v>
      </c>
      <c r="AA612" s="28" t="s">
        <v>704</v>
      </c>
      <c r="AB612" s="28">
        <v>2.0</v>
      </c>
      <c r="AC612" s="28" t="s">
        <v>23</v>
      </c>
      <c r="AD612" s="23"/>
      <c r="AE612" s="28" t="s">
        <v>15</v>
      </c>
      <c r="AF612" s="23"/>
      <c r="AG612" s="23"/>
      <c r="AH612" s="23" t="str">
        <f>IFERROR(__xludf.DUMMYFUNCTION("IF(
ISNUMBER(MATCH(
C612,
IMPORTRANGE(""https://docs.google.com/spreadsheets/d/1yTh1ELC33JHYOeEdgIiEclxPRyh0zOKtlawDltfUay8"",""'Interns'!A:A""),
0
)),
""Outreach Conducted"",
"""")"),"")</f>
        <v/>
      </c>
      <c r="AI612" s="23"/>
      <c r="AJ612" s="23"/>
      <c r="AK612" s="23" t="str">
        <f>IFERROR(__xludf.DUMMYFUNCTION("XLOOKUP(C612, 
   IMPORTRANGE(""1RdEdgHYrZ33LJ7RUHj_h-qkAFL92bcVjtIdVa-UlsCw"", ""Interns!D:D""), 
   IMPORTRANGE(""1RdEdgHYrZ33LJ7RUHj_h-qkAFL92bcVjtIdVa-UlsCw"", ""Interns!M:M""), 
   ""Not Found"")"),"Contacted")</f>
        <v>Contacted</v>
      </c>
      <c r="AL612" s="23" t="str">
        <f>IFERROR(__xludf.DUMMYFUNCTION("XLOOKUP(C612, 
   IMPORTRANGE(""1RdEdgHYrZ33LJ7RUHj_h-qkAFL92bcVjtIdVa-UlsCw"", ""Interns!D:D""), 
   IMPORTRANGE(""1RdEdgHYrZ33LJ7RUHj_h-qkAFL92bcVjtIdVa-UlsCw"", ""Interns!N:N""), 
   ""Not Found"")"),"#Cheers4Careers")</f>
        <v>#Cheers4Careers</v>
      </c>
      <c r="AM612" s="23" t="str">
        <f>IFERROR(__xludf.DUMMYFUNCTION("XLOOKUP(C612, 
   IMPORTRANGE(""1RdEdgHYrZ33LJ7RUHj_h-qkAFL92bcVjtIdVa-UlsCw"", ""Interns!D:D""), 
   IMPORTRANGE(""1RdEdgHYrZ33LJ7RUHj_h-qkAFL92bcVjtIdVa-UlsCw"", ""Interns!O:O""), 
   ""Not Found"")"),"Ousmane reached out by email 3/26 and reach out by text 3/28")</f>
        <v>Ousmane reached out by email 3/26 and reach out by text 3/28</v>
      </c>
      <c r="AN612" s="23"/>
      <c r="AO612" s="23" t="s">
        <v>9299</v>
      </c>
      <c r="AP612" s="28" t="s">
        <v>5182</v>
      </c>
      <c r="AQ612" s="28"/>
      <c r="AR612" s="23"/>
      <c r="AS612" s="23"/>
      <c r="AT612" s="23"/>
      <c r="AU612" s="23"/>
      <c r="AV612" s="23"/>
    </row>
    <row r="613">
      <c r="A613" s="28" t="s">
        <v>5161</v>
      </c>
      <c r="B613" s="28" t="s">
        <v>5162</v>
      </c>
      <c r="C613" s="23" t="str">
        <f t="shared" si="1"/>
        <v>Dylan Cardenas</v>
      </c>
      <c r="D613" s="22" t="s">
        <v>9300</v>
      </c>
      <c r="E613" s="22" t="s">
        <v>6690</v>
      </c>
      <c r="F613" s="23"/>
      <c r="G613" s="23"/>
      <c r="H613" s="22">
        <v>2009.0</v>
      </c>
      <c r="I613" s="28"/>
      <c r="J613" s="28" t="s">
        <v>2388</v>
      </c>
      <c r="K613" s="28" t="s">
        <v>5463</v>
      </c>
      <c r="L613" s="28" t="s">
        <v>5165</v>
      </c>
      <c r="M613" s="29" t="s">
        <v>9301</v>
      </c>
      <c r="N613" s="63">
        <v>45615.50902777778</v>
      </c>
      <c r="O613" s="25">
        <v>45615.0</v>
      </c>
      <c r="P613" s="28">
        <f t="shared" si="20"/>
        <v>1</v>
      </c>
      <c r="Q613" s="62" t="s">
        <v>9302</v>
      </c>
      <c r="R613" s="22" t="s">
        <v>9303</v>
      </c>
      <c r="S613" s="28">
        <v>6.0</v>
      </c>
      <c r="T613" s="28">
        <v>12.0</v>
      </c>
      <c r="U613" s="28">
        <v>30.0</v>
      </c>
      <c r="V613" s="28">
        <v>26.0</v>
      </c>
      <c r="W613" s="28" t="s">
        <v>1173</v>
      </c>
      <c r="X613" s="28" t="s">
        <v>272</v>
      </c>
      <c r="Y613" s="64"/>
      <c r="Z613" s="22" t="s">
        <v>5536</v>
      </c>
      <c r="AA613" s="28" t="s">
        <v>5287</v>
      </c>
      <c r="AB613" s="28">
        <v>26.0</v>
      </c>
      <c r="AC613" s="28" t="s">
        <v>27</v>
      </c>
      <c r="AD613" s="23"/>
      <c r="AE613" s="28" t="s">
        <v>19</v>
      </c>
      <c r="AF613" s="23"/>
      <c r="AG613" s="23"/>
      <c r="AH613" s="23" t="str">
        <f>IFERROR(__xludf.DUMMYFUNCTION("IF(
ISNUMBER(MATCH(
C613,
IMPORTRANGE(""https://docs.google.com/spreadsheets/d/1yTh1ELC33JHYOeEdgIiEclxPRyh0zOKtlawDltfUay8"",""'Interns'!A:A""),
0
)),
""Outreach Conducted"",
"""")"),"")</f>
        <v/>
      </c>
      <c r="AI613" s="23"/>
      <c r="AJ613" s="23"/>
      <c r="AK613" s="23" t="str">
        <f>IFERROR(__xludf.DUMMYFUNCTION("XLOOKUP(C613, 
   IMPORTRANGE(""1RdEdgHYrZ33LJ7RUHj_h-qkAFL92bcVjtIdVa-UlsCw"", ""Interns!D:D""), 
   IMPORTRANGE(""1RdEdgHYrZ33LJ7RUHj_h-qkAFL92bcVjtIdVa-UlsCw"", ""Interns!M:M""), 
   ""Not Found"")"),"Not Found")</f>
        <v>Not Found</v>
      </c>
      <c r="AL613" s="23" t="str">
        <f>IFERROR(__xludf.DUMMYFUNCTION("XLOOKUP(C613, 
   IMPORTRANGE(""1RdEdgHYrZ33LJ7RUHj_h-qkAFL92bcVjtIdVa-UlsCw"", ""Interns!D:D""), 
   IMPORTRANGE(""1RdEdgHYrZ33LJ7RUHj_h-qkAFL92bcVjtIdVa-UlsCw"", ""Interns!N:N""), 
   ""Not Found"")"),"Not Found")</f>
        <v>Not Found</v>
      </c>
      <c r="AM613" s="23" t="str">
        <f>IFERROR(__xludf.DUMMYFUNCTION("XLOOKUP(C613, 
   IMPORTRANGE(""1RdEdgHYrZ33LJ7RUHj_h-qkAFL92bcVjtIdVa-UlsCw"", ""Interns!D:D""), 
   IMPORTRANGE(""1RdEdgHYrZ33LJ7RUHj_h-qkAFL92bcVjtIdVa-UlsCw"", ""Interns!O:O""), 
   ""Not Found"")"),"Not Found")</f>
        <v>Not Found</v>
      </c>
      <c r="AN613" s="23"/>
      <c r="AO613" s="23" t="s">
        <v>9304</v>
      </c>
      <c r="AP613" s="28" t="s">
        <v>5182</v>
      </c>
      <c r="AQ613" s="28"/>
      <c r="AR613" s="23"/>
      <c r="AS613" s="23"/>
      <c r="AT613" s="23"/>
      <c r="AU613" s="23"/>
      <c r="AV613" s="23"/>
    </row>
    <row r="614">
      <c r="A614" s="28" t="s">
        <v>5161</v>
      </c>
      <c r="B614" s="28" t="s">
        <v>5162</v>
      </c>
      <c r="C614" s="23" t="str">
        <f t="shared" si="1"/>
        <v>Xilena Toris</v>
      </c>
      <c r="D614" s="28" t="s">
        <v>9305</v>
      </c>
      <c r="E614" s="28" t="s">
        <v>9306</v>
      </c>
      <c r="F614" s="23">
        <f t="array" ref="F614">IFERROR(
    INDEX('Hub Interns 226'!A:A, MATCH(C614, 'Hub Interns 226'!B:B, 0)),"")</f>
        <v>1203</v>
      </c>
      <c r="G614" s="23">
        <f t="array" ref="G614">IFERROR(
    INDEX('Hub Users 226'!A:A, MATCH(C614, 'Hub Users 226'!B:B, 0)),"")</f>
        <v>1636</v>
      </c>
      <c r="H614" s="28">
        <v>681.0</v>
      </c>
      <c r="I614" s="28" t="s">
        <v>260</v>
      </c>
      <c r="J614" s="28" t="s">
        <v>2388</v>
      </c>
      <c r="K614" s="28" t="s">
        <v>5463</v>
      </c>
      <c r="L614" s="28" t="s">
        <v>5196</v>
      </c>
      <c r="M614" s="56" t="s">
        <v>9307</v>
      </c>
      <c r="N614" s="59">
        <v>44546.47708333333</v>
      </c>
      <c r="O614" s="58">
        <v>38170.0</v>
      </c>
      <c r="P614" s="28">
        <f t="shared" si="20"/>
        <v>21</v>
      </c>
      <c r="Q614" s="28" t="s">
        <v>240</v>
      </c>
      <c r="R614" s="28" t="s">
        <v>9308</v>
      </c>
      <c r="S614" s="28">
        <v>6.0</v>
      </c>
      <c r="T614" s="28">
        <v>13.0</v>
      </c>
      <c r="U614" s="28">
        <v>39.0</v>
      </c>
      <c r="V614" s="28">
        <v>25.0</v>
      </c>
      <c r="W614" s="28" t="s">
        <v>1173</v>
      </c>
      <c r="X614" s="28" t="s">
        <v>272</v>
      </c>
      <c r="Y614" s="28" t="s">
        <v>9309</v>
      </c>
      <c r="Z614" s="28" t="s">
        <v>5483</v>
      </c>
      <c r="AA614" s="28" t="s">
        <v>457</v>
      </c>
      <c r="AB614" s="28">
        <v>25.0</v>
      </c>
      <c r="AC614" s="28" t="s">
        <v>25</v>
      </c>
      <c r="AD614" s="23"/>
      <c r="AE614" s="28" t="s">
        <v>10</v>
      </c>
      <c r="AF614" s="23" t="str">
        <f>IFERROR(__xludf.DUMMYFUNCTION("TEXTJOIN("", "", TRUE,
  FILTER(Champions!C:C,
    ISNUMBER(SEARCH(C614, Champions!W:W))
  )
)"),"Christa Neu, Sunkyung Park")</f>
        <v>Christa Neu, Sunkyung Park</v>
      </c>
      <c r="AG614" s="23"/>
      <c r="AH614" s="23" t="str">
        <f>IFERROR(__xludf.DUMMYFUNCTION("IF(
ISNUMBER(MATCH(
C614,
IMPORTRANGE(""https://docs.google.com/spreadsheets/d/1yTh1ELC33JHYOeEdgIiEclxPRyh0zOKtlawDltfUay8"",""'Interns'!A:A""),
0
)),
""Outreach Conducted"",
"""")"),"")</f>
        <v/>
      </c>
      <c r="AI614" s="23"/>
      <c r="AJ614" s="23"/>
      <c r="AK614" s="23" t="str">
        <f>IFERROR(__xludf.DUMMYFUNCTION("XLOOKUP(C614, 
   IMPORTRANGE(""1RdEdgHYrZ33LJ7RUHj_h-qkAFL92bcVjtIdVa-UlsCw"", ""Interns!D:D""), 
   IMPORTRANGE(""1RdEdgHYrZ33LJ7RUHj_h-qkAFL92bcVjtIdVa-UlsCw"", ""Interns!M:M""), 
   ""Not Found"")"),"Contacted")</f>
        <v>Contacted</v>
      </c>
      <c r="AL614" s="23" t="str">
        <f>IFERROR(__xludf.DUMMYFUNCTION("XLOOKUP(C614, 
   IMPORTRANGE(""1RdEdgHYrZ33LJ7RUHj_h-qkAFL92bcVjtIdVa-UlsCw"", ""Interns!D:D""), 
   IMPORTRANGE(""1RdEdgHYrZ33LJ7RUHj_h-qkAFL92bcVjtIdVa-UlsCw"", ""Interns!N:N""), 
   ""Not Found"")"),"#Cheers4Careers")</f>
        <v>#Cheers4Careers</v>
      </c>
      <c r="AM614" s="23" t="str">
        <f>IFERROR(__xludf.DUMMYFUNCTION("XLOOKUP(C614, 
   IMPORTRANGE(""1RdEdgHYrZ33LJ7RUHj_h-qkAFL92bcVjtIdVa-UlsCw"", ""Interns!D:D""), 
   IMPORTRANGE(""1RdEdgHYrZ33LJ7RUHj_h-qkAFL92bcVjtIdVa-UlsCw"", ""Interns!O:O""), 
   ""Not Found"")"),"Hetal reached out by email 3/27")</f>
        <v>Hetal reached out by email 3/27</v>
      </c>
      <c r="AN614" s="23"/>
      <c r="AO614" s="23" t="s">
        <v>9310</v>
      </c>
      <c r="AP614" s="28" t="s">
        <v>5182</v>
      </c>
      <c r="AQ614" s="28" t="s">
        <v>9311</v>
      </c>
      <c r="AR614" s="23" t="s">
        <v>9312</v>
      </c>
      <c r="AS614" s="23"/>
      <c r="AT614" s="23"/>
      <c r="AU614" s="23"/>
      <c r="AV614" s="23"/>
    </row>
    <row r="615">
      <c r="A615" s="28" t="s">
        <v>5161</v>
      </c>
      <c r="B615" s="28" t="s">
        <v>5162</v>
      </c>
      <c r="C615" s="23" t="str">
        <f t="shared" si="1"/>
        <v>Lady Villa</v>
      </c>
      <c r="D615" s="28" t="s">
        <v>3776</v>
      </c>
      <c r="E615" s="28" t="s">
        <v>9313</v>
      </c>
      <c r="F615" s="23">
        <f t="array" ref="F615">IFERROR(
    INDEX('Hub Interns 226'!A:A, MATCH(C615, 'Hub Interns 226'!B:B, 0)),"")</f>
        <v>50</v>
      </c>
      <c r="G615" s="23">
        <f t="array" ref="G615">IFERROR(
    INDEX('Hub Users 226'!A:A, MATCH(C615, 'Hub Users 226'!B:B, 0)),"")</f>
        <v>483</v>
      </c>
      <c r="H615" s="28">
        <v>723.0</v>
      </c>
      <c r="I615" s="28" t="s">
        <v>260</v>
      </c>
      <c r="J615" s="28" t="s">
        <v>2388</v>
      </c>
      <c r="K615" s="28" t="s">
        <v>5463</v>
      </c>
      <c r="L615" s="28" t="s">
        <v>5196</v>
      </c>
      <c r="M615" s="56" t="s">
        <v>9314</v>
      </c>
      <c r="N615" s="59">
        <v>44550.39791666667</v>
      </c>
      <c r="O615" s="58">
        <v>37889.0</v>
      </c>
      <c r="P615" s="28">
        <f t="shared" si="20"/>
        <v>22</v>
      </c>
      <c r="Q615" s="28" t="s">
        <v>240</v>
      </c>
      <c r="R615" s="28" t="s">
        <v>9315</v>
      </c>
      <c r="S615" s="28">
        <v>14.0</v>
      </c>
      <c r="T615" s="28">
        <v>13.0</v>
      </c>
      <c r="U615" s="28">
        <v>34.0</v>
      </c>
      <c r="V615" s="28">
        <v>21.0</v>
      </c>
      <c r="W615" s="28" t="s">
        <v>1173</v>
      </c>
      <c r="X615" s="28" t="s">
        <v>272</v>
      </c>
      <c r="Y615" s="28" t="s">
        <v>9316</v>
      </c>
      <c r="Z615" s="28" t="s">
        <v>5259</v>
      </c>
      <c r="AA615" s="28" t="s">
        <v>704</v>
      </c>
      <c r="AB615" s="28">
        <v>2.0</v>
      </c>
      <c r="AC615" s="28" t="s">
        <v>25</v>
      </c>
      <c r="AD615" s="23"/>
      <c r="AE615" s="28" t="s">
        <v>10</v>
      </c>
      <c r="AF615" s="23" t="str">
        <f>IFERROR(__xludf.DUMMYFUNCTION("TEXTJOIN("", "", TRUE,
  FILTER(Champions!C:C,
    ISNUMBER(SEARCH(C615, Champions!W:W))
  )
)"),"Abigail Mawhirter, Frank Guia")</f>
        <v>Abigail Mawhirter, Frank Guia</v>
      </c>
      <c r="AG615" s="23"/>
      <c r="AH615" s="23" t="str">
        <f>IFERROR(__xludf.DUMMYFUNCTION("IF(
ISNUMBER(MATCH(
C615,
IMPORTRANGE(""https://docs.google.com/spreadsheets/d/1yTh1ELC33JHYOeEdgIiEclxPRyh0zOKtlawDltfUay8"",""'Interns'!A:A""),
0
)),
""Outreach Conducted"",
"""")"),"")</f>
        <v/>
      </c>
      <c r="AI615" s="23"/>
      <c r="AJ615" s="23"/>
      <c r="AK615" s="23" t="str">
        <f>IFERROR(__xludf.DUMMYFUNCTION("XLOOKUP(C615, 
   IMPORTRANGE(""1RdEdgHYrZ33LJ7RUHj_h-qkAFL92bcVjtIdVa-UlsCw"", ""Interns!D:D""), 
   IMPORTRANGE(""1RdEdgHYrZ33LJ7RUHj_h-qkAFL92bcVjtIdVa-UlsCw"", ""Interns!M:M""), 
   ""Not Found"")"),"")</f>
        <v/>
      </c>
      <c r="AL615" s="23" t="str">
        <f>IFERROR(__xludf.DUMMYFUNCTION("XLOOKUP(C615, 
   IMPORTRANGE(""1RdEdgHYrZ33LJ7RUHj_h-qkAFL92bcVjtIdVa-UlsCw"", ""Interns!D:D""), 
   IMPORTRANGE(""1RdEdgHYrZ33LJ7RUHj_h-qkAFL92bcVjtIdVa-UlsCw"", ""Interns!N:N""), 
   ""Not Found"")"),"")</f>
        <v/>
      </c>
      <c r="AM615" s="23" t="str">
        <f>IFERROR(__xludf.DUMMYFUNCTION("XLOOKUP(C615, 
   IMPORTRANGE(""1RdEdgHYrZ33LJ7RUHj_h-qkAFL92bcVjtIdVa-UlsCw"", ""Interns!D:D""), 
   IMPORTRANGE(""1RdEdgHYrZ33LJ7RUHj_h-qkAFL92bcVjtIdVa-UlsCw"", ""Interns!O:O""), 
   ""Not Found"")"),"")</f>
        <v/>
      </c>
      <c r="AN615" s="23"/>
      <c r="AO615" s="23" t="s">
        <v>9317</v>
      </c>
      <c r="AP615" s="28" t="s">
        <v>5182</v>
      </c>
      <c r="AQ615" s="28" t="s">
        <v>9318</v>
      </c>
      <c r="AR615" s="23" t="s">
        <v>9319</v>
      </c>
      <c r="AS615" s="23"/>
      <c r="AT615" s="23"/>
      <c r="AU615" s="23"/>
      <c r="AV615" s="23"/>
    </row>
    <row r="616">
      <c r="A616" s="28" t="s">
        <v>5161</v>
      </c>
      <c r="B616" s="28" t="s">
        <v>5162</v>
      </c>
      <c r="C616" s="23" t="str">
        <f t="shared" si="1"/>
        <v>Dhilany yauri</v>
      </c>
      <c r="D616" s="22" t="s">
        <v>9320</v>
      </c>
      <c r="E616" s="22" t="s">
        <v>9321</v>
      </c>
      <c r="F616" s="23"/>
      <c r="G616" s="23"/>
      <c r="H616" s="22">
        <v>1989.0</v>
      </c>
      <c r="I616" s="28"/>
      <c r="J616" s="28" t="s">
        <v>2388</v>
      </c>
      <c r="K616" s="28" t="s">
        <v>5463</v>
      </c>
      <c r="L616" s="28" t="s">
        <v>5196</v>
      </c>
      <c r="M616" s="29" t="s">
        <v>9322</v>
      </c>
      <c r="N616" s="61">
        <v>45631.49444444444</v>
      </c>
      <c r="O616" s="25">
        <v>40703.0</v>
      </c>
      <c r="P616" s="28">
        <f t="shared" si="20"/>
        <v>14</v>
      </c>
      <c r="Q616" s="62" t="s">
        <v>240</v>
      </c>
      <c r="R616" s="22" t="s">
        <v>9323</v>
      </c>
      <c r="S616" s="28">
        <v>6.0</v>
      </c>
      <c r="T616" s="28">
        <v>13.0</v>
      </c>
      <c r="U616" s="28">
        <v>39.0</v>
      </c>
      <c r="V616" s="28">
        <v>21.0</v>
      </c>
      <c r="W616" s="28" t="s">
        <v>1173</v>
      </c>
      <c r="X616" s="28" t="s">
        <v>272</v>
      </c>
      <c r="Y616" s="22" t="s">
        <v>9324</v>
      </c>
      <c r="Z616" s="22" t="s">
        <v>5520</v>
      </c>
      <c r="AA616" s="28" t="s">
        <v>5171</v>
      </c>
      <c r="AB616" s="28">
        <v>30.0</v>
      </c>
      <c r="AC616" s="28" t="s">
        <v>23</v>
      </c>
      <c r="AD616" s="23"/>
      <c r="AE616" s="28" t="s">
        <v>19</v>
      </c>
      <c r="AF616" s="23"/>
      <c r="AG616" s="23"/>
      <c r="AH616" s="23" t="str">
        <f>IFERROR(__xludf.DUMMYFUNCTION("IF(
ISNUMBER(MATCH(
C616,
IMPORTRANGE(""https://docs.google.com/spreadsheets/d/1yTh1ELC33JHYOeEdgIiEclxPRyh0zOKtlawDltfUay8"",""'Interns'!A:A""),
0
)),
""Outreach Conducted"",
"""")"),"")</f>
        <v/>
      </c>
      <c r="AI616" s="23"/>
      <c r="AJ616" s="23"/>
      <c r="AK616" s="23"/>
      <c r="AL616" s="23" t="str">
        <f>IFERROR(__xludf.DUMMYFUNCTION("XLOOKUP(C616, 
   IMPORTRANGE(""1RdEdgHYrZ33LJ7RUHj_h-qkAFL92bcVjtIdVa-UlsCw"", ""Interns!D:D""), 
   IMPORTRANGE(""1RdEdgHYrZ33LJ7RUHj_h-qkAFL92bcVjtIdVa-UlsCw"", ""Interns!N:N""), 
   ""Not Found"")"),"Not Found")</f>
        <v>Not Found</v>
      </c>
      <c r="AM616" s="23" t="str">
        <f>IFERROR(__xludf.DUMMYFUNCTION("XLOOKUP(C616, 
   IMPORTRANGE(""1RdEdgHYrZ33LJ7RUHj_h-qkAFL92bcVjtIdVa-UlsCw"", ""Interns!D:D""), 
   IMPORTRANGE(""1RdEdgHYrZ33LJ7RUHj_h-qkAFL92bcVjtIdVa-UlsCw"", ""Interns!O:O""), 
   ""Not Found"")"),"Not Found")</f>
        <v>Not Found</v>
      </c>
      <c r="AN616" s="23"/>
      <c r="AO616" s="23" t="s">
        <v>9325</v>
      </c>
      <c r="AP616" s="28" t="s">
        <v>5182</v>
      </c>
      <c r="AQ616" s="28" t="s">
        <v>9326</v>
      </c>
      <c r="AR616" s="23" t="s">
        <v>9324</v>
      </c>
      <c r="AS616" s="23"/>
      <c r="AT616" s="23"/>
      <c r="AU616" s="23"/>
      <c r="AV616" s="23"/>
    </row>
    <row r="617">
      <c r="A617" s="28" t="s">
        <v>5161</v>
      </c>
      <c r="B617" s="28" t="s">
        <v>5162</v>
      </c>
      <c r="C617" s="23" t="str">
        <f t="shared" si="1"/>
        <v>Fredy Toaquiza</v>
      </c>
      <c r="D617" s="28" t="s">
        <v>9327</v>
      </c>
      <c r="E617" s="28" t="s">
        <v>9328</v>
      </c>
      <c r="F617" s="23">
        <f t="array" ref="F617">IFERROR(
    INDEX('Hub Interns 226'!A:A, MATCH(C617, 'Hub Interns 226'!B:B, 0)),"")</f>
        <v>87</v>
      </c>
      <c r="G617" s="23">
        <f t="array" ref="G617">IFERROR(
    INDEX('Hub Users 226'!A:A, MATCH(C617, 'Hub Users 226'!B:B, 0)),"")</f>
        <v>520</v>
      </c>
      <c r="H617" s="28">
        <v>1491.0</v>
      </c>
      <c r="I617" s="28" t="s">
        <v>239</v>
      </c>
      <c r="J617" s="28" t="s">
        <v>2388</v>
      </c>
      <c r="K617" s="28" t="s">
        <v>5463</v>
      </c>
      <c r="L617" s="28" t="s">
        <v>5165</v>
      </c>
      <c r="M617" s="56" t="s">
        <v>9329</v>
      </c>
      <c r="N617" s="57">
        <v>44949.64375</v>
      </c>
      <c r="O617" s="58">
        <v>38132.0</v>
      </c>
      <c r="P617" s="28">
        <f t="shared" si="20"/>
        <v>21</v>
      </c>
      <c r="Q617" s="28" t="s">
        <v>9330</v>
      </c>
      <c r="R617" s="28" t="s">
        <v>9331</v>
      </c>
      <c r="S617" s="28">
        <v>10.0</v>
      </c>
      <c r="T617" s="28">
        <v>17.0</v>
      </c>
      <c r="U617" s="28">
        <v>51.0</v>
      </c>
      <c r="V617" s="28">
        <v>38.0</v>
      </c>
      <c r="W617" s="28" t="s">
        <v>294</v>
      </c>
      <c r="X617" s="28" t="s">
        <v>272</v>
      </c>
      <c r="Y617" s="28" t="s">
        <v>9332</v>
      </c>
      <c r="Z617" s="28" t="s">
        <v>5259</v>
      </c>
      <c r="AA617" s="28" t="s">
        <v>704</v>
      </c>
      <c r="AB617" s="28">
        <v>2.0</v>
      </c>
      <c r="AC617" s="28" t="s">
        <v>23</v>
      </c>
      <c r="AD617" s="28" t="s">
        <v>101</v>
      </c>
      <c r="AE617" s="28" t="s">
        <v>15</v>
      </c>
      <c r="AF617" s="23"/>
      <c r="AG617" s="23"/>
      <c r="AH617" s="23" t="str">
        <f>IFERROR(__xludf.DUMMYFUNCTION("IF(
ISNUMBER(MATCH(
C617,
IMPORTRANGE(""https://docs.google.com/spreadsheets/d/1yTh1ELC33JHYOeEdgIiEclxPRyh0zOKtlawDltfUay8"",""'Interns'!A:A""),
0
)),
""Outreach Conducted"",
"""")"),"")</f>
        <v/>
      </c>
      <c r="AI617" s="23"/>
      <c r="AJ617" s="23"/>
      <c r="AK617" s="23" t="str">
        <f>IFERROR(__xludf.DUMMYFUNCTION("XLOOKUP(C617, 
   IMPORTRANGE(""1RdEdgHYrZ33LJ7RUHj_h-qkAFL92bcVjtIdVa-UlsCw"", ""Interns!D:D""), 
   IMPORTRANGE(""1RdEdgHYrZ33LJ7RUHj_h-qkAFL92bcVjtIdVa-UlsCw"", ""Interns!M:M""), 
   ""Not Found"")"),"Contacted")</f>
        <v>Contacted</v>
      </c>
      <c r="AL617" s="23" t="str">
        <f>IFERROR(__xludf.DUMMYFUNCTION("XLOOKUP(C617, 
   IMPORTRANGE(""1RdEdgHYrZ33LJ7RUHj_h-qkAFL92bcVjtIdVa-UlsCw"", ""Interns!D:D""), 
   IMPORTRANGE(""1RdEdgHYrZ33LJ7RUHj_h-qkAFL92bcVjtIdVa-UlsCw"", ""Interns!N:N""), 
   ""Not Found"")"),"#Cheers4Careers")</f>
        <v>#Cheers4Careers</v>
      </c>
      <c r="AM617" s="23" t="str">
        <f>IFERROR(__xludf.DUMMYFUNCTION("XLOOKUP(C617, 
   IMPORTRANGE(""1RdEdgHYrZ33LJ7RUHj_h-qkAFL92bcVjtIdVa-UlsCw"", ""Interns!D:D""), 
   IMPORTRANGE(""1RdEdgHYrZ33LJ7RUHj_h-qkAFL92bcVjtIdVa-UlsCw"", ""Interns!O:O""), 
   ""Not Found"")"),"Ousmane reached out by email 3/26 and reach out by text 3/28")</f>
        <v>Ousmane reached out by email 3/26 and reach out by text 3/28</v>
      </c>
      <c r="AN617" s="23"/>
      <c r="AO617" s="23" t="s">
        <v>9333</v>
      </c>
      <c r="AP617" s="28" t="s">
        <v>5182</v>
      </c>
      <c r="AQ617" s="28"/>
      <c r="AR617" s="23"/>
      <c r="AS617" s="28" t="s">
        <v>9334</v>
      </c>
      <c r="AT617" s="23"/>
      <c r="AU617" s="23"/>
      <c r="AV617" s="23"/>
    </row>
    <row r="618">
      <c r="A618" s="28" t="s">
        <v>5161</v>
      </c>
      <c r="B618" s="28" t="s">
        <v>5162</v>
      </c>
      <c r="C618" s="23" t="str">
        <f t="shared" si="1"/>
        <v>Ligia Espinoza</v>
      </c>
      <c r="D618" s="28" t="s">
        <v>9335</v>
      </c>
      <c r="E618" s="28" t="s">
        <v>933</v>
      </c>
      <c r="F618" s="23">
        <f t="array" ref="F618">IFERROR(
    INDEX('Hub Interns 226'!A:A, MATCH(C618, 'Hub Interns 226'!B:B, 0)),"")</f>
        <v>783</v>
      </c>
      <c r="G618" s="23">
        <f t="array" ref="G618">IFERROR(
    INDEX('Hub Users 226'!A:A, MATCH(C618, 'Hub Users 226'!B:B, 0)),"")</f>
        <v>1216</v>
      </c>
      <c r="H618" s="28">
        <v>776.0</v>
      </c>
      <c r="I618" s="28" t="s">
        <v>260</v>
      </c>
      <c r="J618" s="28" t="s">
        <v>2388</v>
      </c>
      <c r="K618" s="28" t="s">
        <v>5463</v>
      </c>
      <c r="L618" s="28" t="s">
        <v>5196</v>
      </c>
      <c r="M618" s="56" t="s">
        <v>9336</v>
      </c>
      <c r="N618" s="59">
        <v>44553.41527777778</v>
      </c>
      <c r="O618" s="58">
        <v>38347.0</v>
      </c>
      <c r="P618" s="28">
        <f t="shared" si="20"/>
        <v>21</v>
      </c>
      <c r="Q618" s="28" t="s">
        <v>240</v>
      </c>
      <c r="R618" s="28" t="s">
        <v>9337</v>
      </c>
      <c r="S618" s="28">
        <v>14.0</v>
      </c>
      <c r="T618" s="28">
        <v>12.0</v>
      </c>
      <c r="U618" s="28">
        <v>34.0</v>
      </c>
      <c r="V618" s="28">
        <v>22.0</v>
      </c>
      <c r="W618" s="28" t="s">
        <v>1173</v>
      </c>
      <c r="X618" s="28" t="s">
        <v>272</v>
      </c>
      <c r="Y618" s="28" t="s">
        <v>9338</v>
      </c>
      <c r="Z618" s="28" t="s">
        <v>5483</v>
      </c>
      <c r="AA618" s="28" t="s">
        <v>457</v>
      </c>
      <c r="AB618" s="28">
        <v>25.0</v>
      </c>
      <c r="AC618" s="28" t="s">
        <v>25</v>
      </c>
      <c r="AD618" s="23"/>
      <c r="AE618" s="28" t="s">
        <v>10</v>
      </c>
      <c r="AF618" s="23" t="str">
        <f>IFERROR(__xludf.DUMMYFUNCTION("TEXTJOIN("", "", TRUE,
  FILTER(Champions!C:C,
    ISNUMBER(SEARCH(C618, Champions!W:W))
  )
)"),"Abhishek Mehta, Vanessa Ballenas")</f>
        <v>Abhishek Mehta, Vanessa Ballenas</v>
      </c>
      <c r="AG618" s="23"/>
      <c r="AH618" s="23" t="str">
        <f>IFERROR(__xludf.DUMMYFUNCTION("IF(
ISNUMBER(MATCH(
C618,
IMPORTRANGE(""https://docs.google.com/spreadsheets/d/1yTh1ELC33JHYOeEdgIiEclxPRyh0zOKtlawDltfUay8"",""'Interns'!A:A""),
0
)),
""Outreach Conducted"",
"""")"),"")</f>
        <v/>
      </c>
      <c r="AI618" s="23"/>
      <c r="AJ618" s="23"/>
      <c r="AK618" s="23" t="str">
        <f>IFERROR(__xludf.DUMMYFUNCTION("XLOOKUP(C618, 
   IMPORTRANGE(""1RdEdgHYrZ33LJ7RUHj_h-qkAFL92bcVjtIdVa-UlsCw"", ""Interns!D:D""), 
   IMPORTRANGE(""1RdEdgHYrZ33LJ7RUHj_h-qkAFL92bcVjtIdVa-UlsCw"", ""Interns!M:M""), 
   ""Not Found"")"),"Contacted")</f>
        <v>Contacted</v>
      </c>
      <c r="AL618" s="23" t="str">
        <f>IFERROR(__xludf.DUMMYFUNCTION("XLOOKUP(C618, 
   IMPORTRANGE(""1RdEdgHYrZ33LJ7RUHj_h-qkAFL92bcVjtIdVa-UlsCw"", ""Interns!D:D""), 
   IMPORTRANGE(""1RdEdgHYrZ33LJ7RUHj_h-qkAFL92bcVjtIdVa-UlsCw"", ""Interns!N:N""), 
   ""Not Found"")"),"#Cheers4Careers")</f>
        <v>#Cheers4Careers</v>
      </c>
      <c r="AM618" s="23" t="str">
        <f>IFERROR(__xludf.DUMMYFUNCTION("XLOOKUP(C618, 
   IMPORTRANGE(""1RdEdgHYrZ33LJ7RUHj_h-qkAFL92bcVjtIdVa-UlsCw"", ""Interns!D:D""), 
   IMPORTRANGE(""1RdEdgHYrZ33LJ7RUHj_h-qkAFL92bcVjtIdVa-UlsCw"", ""Interns!O:O""), 
   ""Not Found"")"),"Hetal reached out by email 3/27")</f>
        <v>Hetal reached out by email 3/27</v>
      </c>
      <c r="AN618" s="23"/>
      <c r="AO618" s="23" t="s">
        <v>9339</v>
      </c>
      <c r="AP618" s="28" t="s">
        <v>5182</v>
      </c>
      <c r="AQ618" s="28" t="s">
        <v>9340</v>
      </c>
      <c r="AR618" s="23" t="s">
        <v>9341</v>
      </c>
      <c r="AS618" s="23"/>
      <c r="AT618" s="23"/>
      <c r="AU618" s="23"/>
      <c r="AV618" s="23"/>
    </row>
    <row r="619">
      <c r="A619" s="28" t="s">
        <v>5161</v>
      </c>
      <c r="B619" s="28" t="s">
        <v>5162</v>
      </c>
      <c r="C619" s="23" t="str">
        <f t="shared" si="1"/>
        <v>Camila Llivicura</v>
      </c>
      <c r="D619" s="28" t="s">
        <v>9342</v>
      </c>
      <c r="E619" s="28" t="s">
        <v>9343</v>
      </c>
      <c r="F619" s="23">
        <f t="array" ref="F619">IFERROR(
    INDEX('Hub Interns 226'!A:A, MATCH(C619, 'Hub Interns 226'!B:B, 0)),"")</f>
        <v>331</v>
      </c>
      <c r="G619" s="23">
        <f t="array" ref="G619">IFERROR(
    INDEX('Hub Users 226'!A:A, MATCH(C619, 'Hub Users 226'!B:B, 0)),"")</f>
        <v>764</v>
      </c>
      <c r="H619" s="28">
        <v>1619.0</v>
      </c>
      <c r="I619" s="28"/>
      <c r="J619" s="28" t="s">
        <v>2388</v>
      </c>
      <c r="K619" s="28" t="s">
        <v>5463</v>
      </c>
      <c r="L619" s="28" t="s">
        <v>5196</v>
      </c>
      <c r="M619" s="56" t="s">
        <v>9344</v>
      </c>
      <c r="N619" s="57">
        <v>45084.36944444444</v>
      </c>
      <c r="O619" s="58">
        <v>40403.0</v>
      </c>
      <c r="P619" s="28">
        <f t="shared" si="20"/>
        <v>15</v>
      </c>
      <c r="Q619" s="28" t="s">
        <v>240</v>
      </c>
      <c r="R619" s="28" t="s">
        <v>9345</v>
      </c>
      <c r="S619" s="28">
        <v>6.0</v>
      </c>
      <c r="T619" s="28">
        <v>12.0</v>
      </c>
      <c r="U619" s="28">
        <v>30.0</v>
      </c>
      <c r="V619" s="28">
        <v>25.0</v>
      </c>
      <c r="W619" s="28" t="s">
        <v>1173</v>
      </c>
      <c r="X619" s="28" t="s">
        <v>272</v>
      </c>
      <c r="Y619" s="28" t="s">
        <v>9346</v>
      </c>
      <c r="Z619" s="28" t="s">
        <v>5352</v>
      </c>
      <c r="AA619" s="28" t="s">
        <v>5287</v>
      </c>
      <c r="AB619" s="28">
        <v>26.0</v>
      </c>
      <c r="AC619" s="28" t="s">
        <v>23</v>
      </c>
      <c r="AD619" s="23"/>
      <c r="AE619" s="28" t="s">
        <v>15</v>
      </c>
      <c r="AF619" s="23"/>
      <c r="AG619" s="23"/>
      <c r="AH619" s="23" t="str">
        <f>IFERROR(__xludf.DUMMYFUNCTION("IF(
ISNUMBER(MATCH(
C619,
IMPORTRANGE(""https://docs.google.com/spreadsheets/d/1yTh1ELC33JHYOeEdgIiEclxPRyh0zOKtlawDltfUay8"",""'Interns'!A:A""),
0
)),
""Outreach Conducted"",
"""")"),"")</f>
        <v/>
      </c>
      <c r="AI619" s="23"/>
      <c r="AJ619" s="23"/>
      <c r="AK619" s="23" t="str">
        <f>IFERROR(__xludf.DUMMYFUNCTION("XLOOKUP(C619, 
   IMPORTRANGE(""1RdEdgHYrZ33LJ7RUHj_h-qkAFL92bcVjtIdVa-UlsCw"", ""Interns!D:D""), 
   IMPORTRANGE(""1RdEdgHYrZ33LJ7RUHj_h-qkAFL92bcVjtIdVa-UlsCw"", ""Interns!M:M""), 
   ""Not Found"")"),"Contacted")</f>
        <v>Contacted</v>
      </c>
      <c r="AL619" s="23" t="str">
        <f>IFERROR(__xludf.DUMMYFUNCTION("XLOOKUP(C619, 
   IMPORTRANGE(""1RdEdgHYrZ33LJ7RUHj_h-qkAFL92bcVjtIdVa-UlsCw"", ""Interns!D:D""), 
   IMPORTRANGE(""1RdEdgHYrZ33LJ7RUHj_h-qkAFL92bcVjtIdVa-UlsCw"", ""Interns!N:N""), 
   ""Not Found"")"),"#Cheers4Careers")</f>
        <v>#Cheers4Careers</v>
      </c>
      <c r="AM619" s="23" t="str">
        <f>IFERROR(__xludf.DUMMYFUNCTION("XLOOKUP(C619, 
   IMPORTRANGE(""1RdEdgHYrZ33LJ7RUHj_h-qkAFL92bcVjtIdVa-UlsCw"", ""Interns!D:D""), 
   IMPORTRANGE(""1RdEdgHYrZ33LJ7RUHj_h-qkAFL92bcVjtIdVa-UlsCw"", ""Interns!O:O""), 
   ""Not Found"")"),"Hetal reached out by email 3/27")</f>
        <v>Hetal reached out by email 3/27</v>
      </c>
      <c r="AN619" s="23"/>
      <c r="AO619" s="23" t="s">
        <v>9347</v>
      </c>
      <c r="AP619" s="28" t="s">
        <v>5191</v>
      </c>
      <c r="AQ619" s="28"/>
      <c r="AR619" s="23"/>
      <c r="AS619" s="23"/>
      <c r="AT619" s="23"/>
      <c r="AU619" s="23"/>
      <c r="AV619" s="23"/>
    </row>
    <row r="620">
      <c r="A620" s="28" t="s">
        <v>5161</v>
      </c>
      <c r="B620" s="28" t="s">
        <v>5162</v>
      </c>
      <c r="C620" s="23" t="str">
        <f t="shared" si="1"/>
        <v>Carolina Flores</v>
      </c>
      <c r="D620" s="22" t="s">
        <v>791</v>
      </c>
      <c r="E620" s="22" t="s">
        <v>3101</v>
      </c>
      <c r="F620" s="23"/>
      <c r="G620" s="23"/>
      <c r="H620" s="22">
        <v>2003.0</v>
      </c>
      <c r="I620" s="28"/>
      <c r="J620" s="28" t="s">
        <v>2388</v>
      </c>
      <c r="K620" s="28" t="s">
        <v>5463</v>
      </c>
      <c r="L620" s="28" t="s">
        <v>5196</v>
      </c>
      <c r="M620" s="29" t="s">
        <v>9348</v>
      </c>
      <c r="N620" s="63">
        <v>45615.509722222225</v>
      </c>
      <c r="O620" s="25">
        <v>41407.0</v>
      </c>
      <c r="P620" s="28">
        <f t="shared" si="20"/>
        <v>13</v>
      </c>
      <c r="Q620" s="62" t="s">
        <v>9349</v>
      </c>
      <c r="R620" s="22" t="s">
        <v>9350</v>
      </c>
      <c r="S620" s="28">
        <v>6.0</v>
      </c>
      <c r="T620" s="28">
        <v>12.0</v>
      </c>
      <c r="U620" s="28">
        <v>37.0</v>
      </c>
      <c r="V620" s="28">
        <v>26.0</v>
      </c>
      <c r="W620" s="28" t="s">
        <v>1173</v>
      </c>
      <c r="X620" s="28" t="s">
        <v>272</v>
      </c>
      <c r="Y620" s="64"/>
      <c r="Z620" s="22" t="s">
        <v>5536</v>
      </c>
      <c r="AA620" s="28" t="s">
        <v>5287</v>
      </c>
      <c r="AB620" s="28">
        <v>26.0</v>
      </c>
      <c r="AC620" s="28" t="s">
        <v>27</v>
      </c>
      <c r="AD620" s="23"/>
      <c r="AE620" s="28" t="s">
        <v>19</v>
      </c>
      <c r="AF620" s="23"/>
      <c r="AG620" s="23"/>
      <c r="AH620" s="23" t="str">
        <f>IFERROR(__xludf.DUMMYFUNCTION("IF(
ISNUMBER(MATCH(
C620,
IMPORTRANGE(""https://docs.google.com/spreadsheets/d/1yTh1ELC33JHYOeEdgIiEclxPRyh0zOKtlawDltfUay8"",""'Interns'!A:A""),
0
)),
""Outreach Conducted"",
"""")"),"")</f>
        <v/>
      </c>
      <c r="AI620" s="23"/>
      <c r="AJ620" s="23"/>
      <c r="AK620" s="23" t="str">
        <f>IFERROR(__xludf.DUMMYFUNCTION("XLOOKUP(C620, 
   IMPORTRANGE(""1RdEdgHYrZ33LJ7RUHj_h-qkAFL92bcVjtIdVa-UlsCw"", ""Interns!D:D""), 
   IMPORTRANGE(""1RdEdgHYrZ33LJ7RUHj_h-qkAFL92bcVjtIdVa-UlsCw"", ""Interns!M:M""), 
   ""Not Found"")"),"Not Found")</f>
        <v>Not Found</v>
      </c>
      <c r="AL620" s="23" t="str">
        <f>IFERROR(__xludf.DUMMYFUNCTION("XLOOKUP(C620, 
   IMPORTRANGE(""1RdEdgHYrZ33LJ7RUHj_h-qkAFL92bcVjtIdVa-UlsCw"", ""Interns!D:D""), 
   IMPORTRANGE(""1RdEdgHYrZ33LJ7RUHj_h-qkAFL92bcVjtIdVa-UlsCw"", ""Interns!N:N""), 
   ""Not Found"")"),"Not Found")</f>
        <v>Not Found</v>
      </c>
      <c r="AM620" s="23" t="str">
        <f>IFERROR(__xludf.DUMMYFUNCTION("XLOOKUP(C620, 
   IMPORTRANGE(""1RdEdgHYrZ33LJ7RUHj_h-qkAFL92bcVjtIdVa-UlsCw"", ""Interns!D:D""), 
   IMPORTRANGE(""1RdEdgHYrZ33LJ7RUHj_h-qkAFL92bcVjtIdVa-UlsCw"", ""Interns!O:O""), 
   ""Not Found"")"),"Not Found")</f>
        <v>Not Found</v>
      </c>
      <c r="AN620" s="23"/>
      <c r="AO620" s="23" t="s">
        <v>9351</v>
      </c>
      <c r="AP620" s="28" t="s">
        <v>5182</v>
      </c>
      <c r="AQ620" s="28" t="s">
        <v>9352</v>
      </c>
      <c r="AR620" s="23">
        <v>3.475531481E9</v>
      </c>
      <c r="AS620" s="23"/>
      <c r="AT620" s="23"/>
      <c r="AU620" s="23"/>
      <c r="AV620" s="23"/>
    </row>
    <row r="621">
      <c r="A621" s="28" t="s">
        <v>5161</v>
      </c>
      <c r="B621" s="28" t="s">
        <v>31</v>
      </c>
      <c r="C621" s="23" t="str">
        <f t="shared" si="1"/>
        <v>Génesis Lochart</v>
      </c>
      <c r="D621" s="28" t="s">
        <v>9353</v>
      </c>
      <c r="E621" s="28" t="s">
        <v>7603</v>
      </c>
      <c r="F621" s="23">
        <f t="array" ref="F621">IFERROR(
    INDEX('Hub Interns 226'!A:A, MATCH("Genesis Lochart", 'Hub Interns 226'!B:B, 0)),"")</f>
        <v>43</v>
      </c>
      <c r="G621" s="23">
        <f t="array" ref="G621">IFERROR(
    INDEX('Hub Users 226'!A:A, MATCH("Genesis Lochart", 'Hub Users 226'!B:B, 0)),"")</f>
        <v>476</v>
      </c>
      <c r="H621" s="28">
        <v>1167.0</v>
      </c>
      <c r="I621" s="28" t="s">
        <v>260</v>
      </c>
      <c r="J621" s="28"/>
      <c r="K621" s="28"/>
      <c r="L621" s="28" t="s">
        <v>5196</v>
      </c>
      <c r="M621" s="56" t="s">
        <v>7604</v>
      </c>
      <c r="N621" s="57">
        <v>44754.49722222222</v>
      </c>
      <c r="O621" s="58">
        <v>38817.0</v>
      </c>
      <c r="P621" s="28">
        <f t="shared" si="20"/>
        <v>20</v>
      </c>
      <c r="Q621" s="28" t="s">
        <v>240</v>
      </c>
      <c r="R621" s="28" t="s">
        <v>9354</v>
      </c>
      <c r="S621" s="28"/>
      <c r="T621" s="28"/>
      <c r="U621" s="28"/>
      <c r="V621" s="28"/>
      <c r="W621" s="28" t="s">
        <v>294</v>
      </c>
      <c r="X621" s="28" t="s">
        <v>272</v>
      </c>
      <c r="Y621" s="28" t="s">
        <v>7606</v>
      </c>
      <c r="Z621" s="28" t="s">
        <v>5259</v>
      </c>
      <c r="AA621" s="28" t="s">
        <v>704</v>
      </c>
      <c r="AB621" s="28">
        <v>2.0</v>
      </c>
      <c r="AC621" s="28" t="s">
        <v>23</v>
      </c>
      <c r="AD621" s="28" t="s">
        <v>101</v>
      </c>
      <c r="AE621" s="28" t="s">
        <v>15</v>
      </c>
      <c r="AF621" s="23"/>
      <c r="AG621" s="23"/>
      <c r="AH621" s="23" t="str">
        <f>IFERROR(__xludf.DUMMYFUNCTION("IF(
ISNUMBER(MATCH(
C621,
IMPORTRANGE(""https://docs.google.com/spreadsheets/d/1yTh1ELC33JHYOeEdgIiEclxPRyh0zOKtlawDltfUay8"",""'Interns'!A:A""),
0
)),
""Outreach Conducted"",
"""")"),"")</f>
        <v/>
      </c>
      <c r="AI621" s="23"/>
      <c r="AJ621" s="28" t="s">
        <v>9355</v>
      </c>
      <c r="AK621" s="23" t="str">
        <f>IFERROR(__xludf.DUMMYFUNCTION("XLOOKUP(C621, 
   IMPORTRANGE(""1RdEdgHYrZ33LJ7RUHj_h-qkAFL92bcVjtIdVa-UlsCw"", ""Interns!D:D""), 
   IMPORTRANGE(""1RdEdgHYrZ33LJ7RUHj_h-qkAFL92bcVjtIdVa-UlsCw"", ""Interns!M:M""), 
   ""Not Found"")"),"")</f>
        <v/>
      </c>
      <c r="AL621" s="23" t="str">
        <f>IFERROR(__xludf.DUMMYFUNCTION("XLOOKUP(C621, 
   IMPORTRANGE(""1RdEdgHYrZ33LJ7RUHj_h-qkAFL92bcVjtIdVa-UlsCw"", ""Interns!D:D""), 
   IMPORTRANGE(""1RdEdgHYrZ33LJ7RUHj_h-qkAFL92bcVjtIdVa-UlsCw"", ""Interns!N:N""), 
   ""Not Found"")"),"")</f>
        <v/>
      </c>
      <c r="AM621" s="23" t="str">
        <f>IFERROR(__xludf.DUMMYFUNCTION("XLOOKUP(C621, 
   IMPORTRANGE(""1RdEdgHYrZ33LJ7RUHj_h-qkAFL92bcVjtIdVa-UlsCw"", ""Interns!D:D""), 
   IMPORTRANGE(""1RdEdgHYrZ33LJ7RUHj_h-qkAFL92bcVjtIdVa-UlsCw"", ""Interns!O:O""), 
   ""Not Found"")"),"")</f>
        <v/>
      </c>
      <c r="AN621" s="23"/>
      <c r="AO621" s="23" t="s">
        <v>7607</v>
      </c>
      <c r="AP621" s="28" t="s">
        <v>5182</v>
      </c>
      <c r="AQ621" s="28"/>
      <c r="AR621" s="23" t="s">
        <v>9356</v>
      </c>
      <c r="AS621" s="23"/>
      <c r="AT621" s="23"/>
      <c r="AU621" s="23"/>
      <c r="AV621" s="23"/>
    </row>
    <row r="622">
      <c r="A622" s="28" t="s">
        <v>5161</v>
      </c>
      <c r="B622" s="28" t="s">
        <v>5162</v>
      </c>
      <c r="C622" s="23" t="str">
        <f t="shared" si="1"/>
        <v>Rony Velasco</v>
      </c>
      <c r="D622" s="28" t="s">
        <v>9357</v>
      </c>
      <c r="E622" s="28" t="s">
        <v>9358</v>
      </c>
      <c r="F622" s="23">
        <f t="array" ref="F622">IFERROR(
    INDEX('Hub Interns 226'!A:A, MATCH(C622, 'Hub Interns 226'!B:B, 0)),"")</f>
        <v>1037</v>
      </c>
      <c r="G622" s="23">
        <f t="array" ref="G622">IFERROR(
    INDEX('Hub Users 226'!A:A, MATCH(C622, 'Hub Users 226'!B:B, 0)),"")</f>
        <v>1470</v>
      </c>
      <c r="H622" s="28">
        <v>551.0</v>
      </c>
      <c r="I622" s="28" t="s">
        <v>1235</v>
      </c>
      <c r="J622" s="28" t="s">
        <v>2388</v>
      </c>
      <c r="K622" s="28" t="s">
        <v>5463</v>
      </c>
      <c r="L622" s="28" t="s">
        <v>5165</v>
      </c>
      <c r="M622" s="56" t="s">
        <v>9359</v>
      </c>
      <c r="N622" s="57">
        <v>44477.55486111111</v>
      </c>
      <c r="O622" s="58">
        <v>38466.0</v>
      </c>
      <c r="P622" s="28">
        <f t="shared" si="20"/>
        <v>21</v>
      </c>
      <c r="Q622" s="28" t="s">
        <v>9360</v>
      </c>
      <c r="R622" s="28" t="s">
        <v>9361</v>
      </c>
      <c r="S622" s="28">
        <v>6.0</v>
      </c>
      <c r="T622" s="28">
        <v>13.0</v>
      </c>
      <c r="U622" s="28">
        <v>39.0</v>
      </c>
      <c r="V622" s="28">
        <v>25.0</v>
      </c>
      <c r="W622" s="28" t="s">
        <v>1173</v>
      </c>
      <c r="X622" s="28" t="s">
        <v>272</v>
      </c>
      <c r="Y622" s="28" t="s">
        <v>9362</v>
      </c>
      <c r="Z622" s="28" t="s">
        <v>5189</v>
      </c>
      <c r="AA622" s="28" t="s">
        <v>619</v>
      </c>
      <c r="AB622" s="28">
        <v>20.0</v>
      </c>
      <c r="AC622" s="28" t="s">
        <v>25</v>
      </c>
      <c r="AD622" s="23"/>
      <c r="AE622" s="28" t="s">
        <v>10</v>
      </c>
      <c r="AF622" s="23" t="str">
        <f>IFERROR(__xludf.DUMMYFUNCTION("TEXTJOIN("", "", TRUE,
  FILTER(Champions!C:C,
    ISNUMBER(SEARCH(C622, Champions!W:W))
  )
)"),"Bryan Roberts, Tatiana Nechaeva")</f>
        <v>Bryan Roberts, Tatiana Nechaeva</v>
      </c>
      <c r="AG622" s="23"/>
      <c r="AH622" s="23" t="str">
        <f>IFERROR(__xludf.DUMMYFUNCTION("IF(
ISNUMBER(MATCH(
C622,
IMPORTRANGE(""https://docs.google.com/spreadsheets/d/1yTh1ELC33JHYOeEdgIiEclxPRyh0zOKtlawDltfUay8"",""'Interns'!A:A""),
0
)),
""Outreach Conducted"",
"""")"),"")</f>
        <v/>
      </c>
      <c r="AI622" s="23"/>
      <c r="AJ622" s="23"/>
      <c r="AK622" s="23" t="str">
        <f>IFERROR(__xludf.DUMMYFUNCTION("XLOOKUP(C622, 
   IMPORTRANGE(""1RdEdgHYrZ33LJ7RUHj_h-qkAFL92bcVjtIdVa-UlsCw"", ""Interns!D:D""), 
   IMPORTRANGE(""1RdEdgHYrZ33LJ7RUHj_h-qkAFL92bcVjtIdVa-UlsCw"", ""Interns!M:M""), 
   ""Not Found"")"),"Contacted")</f>
        <v>Contacted</v>
      </c>
      <c r="AL622" s="23" t="str">
        <f>IFERROR(__xludf.DUMMYFUNCTION("XLOOKUP(C622, 
   IMPORTRANGE(""1RdEdgHYrZ33LJ7RUHj_h-qkAFL92bcVjtIdVa-UlsCw"", ""Interns!D:D""), 
   IMPORTRANGE(""1RdEdgHYrZ33LJ7RUHj_h-qkAFL92bcVjtIdVa-UlsCw"", ""Interns!N:N""), 
   ""Not Found"")"),"#Cheers4Careers")</f>
        <v>#Cheers4Careers</v>
      </c>
      <c r="AM622" s="23" t="str">
        <f>IFERROR(__xludf.DUMMYFUNCTION("XLOOKUP(C622, 
   IMPORTRANGE(""1RdEdgHYrZ33LJ7RUHj_h-qkAFL92bcVjtIdVa-UlsCw"", ""Interns!D:D""), 
   IMPORTRANGE(""1RdEdgHYrZ33LJ7RUHj_h-qkAFL92bcVjtIdVa-UlsCw"", ""Interns!O:O""), 
   ""Not Found"")"),"Hetal reached out by email 3/27 followed by text")</f>
        <v>Hetal reached out by email 3/27 followed by text</v>
      </c>
      <c r="AN622" s="23"/>
      <c r="AO622" s="23" t="s">
        <v>9363</v>
      </c>
      <c r="AP622" s="28" t="s">
        <v>5182</v>
      </c>
      <c r="AQ622" s="28" t="s">
        <v>9364</v>
      </c>
      <c r="AR622" s="23" t="s">
        <v>9365</v>
      </c>
      <c r="AS622" s="23"/>
      <c r="AT622" s="23"/>
      <c r="AU622" s="23"/>
      <c r="AV622" s="23"/>
    </row>
    <row r="623">
      <c r="A623" s="28" t="s">
        <v>5161</v>
      </c>
      <c r="B623" s="28" t="s">
        <v>5162</v>
      </c>
      <c r="C623" s="23" t="str">
        <f t="shared" si="1"/>
        <v>Brianna Molina</v>
      </c>
      <c r="D623" s="22" t="s">
        <v>5354</v>
      </c>
      <c r="E623" s="22" t="s">
        <v>6357</v>
      </c>
      <c r="F623" s="23"/>
      <c r="G623" s="23"/>
      <c r="H623" s="22">
        <v>1988.0</v>
      </c>
      <c r="I623" s="28"/>
      <c r="J623" s="28" t="s">
        <v>2388</v>
      </c>
      <c r="K623" s="28" t="s">
        <v>5463</v>
      </c>
      <c r="L623" s="28" t="s">
        <v>5196</v>
      </c>
      <c r="M623" s="29" t="s">
        <v>9366</v>
      </c>
      <c r="N623" s="61">
        <v>45631.49513888889</v>
      </c>
      <c r="O623" s="25">
        <v>40587.0</v>
      </c>
      <c r="P623" s="28">
        <f t="shared" si="20"/>
        <v>15</v>
      </c>
      <c r="Q623" s="62" t="s">
        <v>240</v>
      </c>
      <c r="R623" s="22" t="s">
        <v>9367</v>
      </c>
      <c r="S623" s="28">
        <v>6.0</v>
      </c>
      <c r="T623" s="28">
        <v>13.0</v>
      </c>
      <c r="U623" s="28">
        <v>39.0</v>
      </c>
      <c r="V623" s="28">
        <v>25.0</v>
      </c>
      <c r="W623" s="28" t="s">
        <v>1173</v>
      </c>
      <c r="X623" s="28" t="s">
        <v>272</v>
      </c>
      <c r="Y623" s="24"/>
      <c r="Z623" s="22" t="s">
        <v>5520</v>
      </c>
      <c r="AA623" s="28" t="s">
        <v>5171</v>
      </c>
      <c r="AB623" s="28">
        <v>30.0</v>
      </c>
      <c r="AC623" s="28" t="s">
        <v>23</v>
      </c>
      <c r="AD623" s="23"/>
      <c r="AE623" s="28" t="s">
        <v>19</v>
      </c>
      <c r="AF623" s="23"/>
      <c r="AG623" s="23"/>
      <c r="AH623" s="23" t="str">
        <f>IFERROR(__xludf.DUMMYFUNCTION("IF(
ISNUMBER(MATCH(
C623,
IMPORTRANGE(""https://docs.google.com/spreadsheets/d/1yTh1ELC33JHYOeEdgIiEclxPRyh0zOKtlawDltfUay8"",""'Interns'!A:A""),
0
)),
""Outreach Conducted"",
"""")"),"")</f>
        <v/>
      </c>
      <c r="AI623" s="23"/>
      <c r="AJ623" s="23"/>
      <c r="AK623" s="23"/>
      <c r="AL623" s="23" t="str">
        <f>IFERROR(__xludf.DUMMYFUNCTION("XLOOKUP(C623, 
   IMPORTRANGE(""1RdEdgHYrZ33LJ7RUHj_h-qkAFL92bcVjtIdVa-UlsCw"", ""Interns!D:D""), 
   IMPORTRANGE(""1RdEdgHYrZ33LJ7RUHj_h-qkAFL92bcVjtIdVa-UlsCw"", ""Interns!N:N""), 
   ""Not Found"")"),"Not Found")</f>
        <v>Not Found</v>
      </c>
      <c r="AM623" s="23" t="str">
        <f>IFERROR(__xludf.DUMMYFUNCTION("XLOOKUP(C623, 
   IMPORTRANGE(""1RdEdgHYrZ33LJ7RUHj_h-qkAFL92bcVjtIdVa-UlsCw"", ""Interns!D:D""), 
   IMPORTRANGE(""1RdEdgHYrZ33LJ7RUHj_h-qkAFL92bcVjtIdVa-UlsCw"", ""Interns!O:O""), 
   ""Not Found"")"),"Not Found")</f>
        <v>Not Found</v>
      </c>
      <c r="AN623" s="23"/>
      <c r="AO623" s="23" t="s">
        <v>9368</v>
      </c>
      <c r="AP623" s="28" t="s">
        <v>5182</v>
      </c>
      <c r="AQ623" s="28" t="s">
        <v>9369</v>
      </c>
      <c r="AR623" s="23" t="s">
        <v>9370</v>
      </c>
      <c r="AS623" s="23"/>
      <c r="AT623" s="23"/>
      <c r="AU623" s="23"/>
      <c r="AV623" s="23"/>
    </row>
    <row r="624">
      <c r="A624" s="28" t="s">
        <v>5161</v>
      </c>
      <c r="B624" s="28" t="s">
        <v>5162</v>
      </c>
      <c r="C624" s="23" t="str">
        <f t="shared" si="1"/>
        <v>Ginna Saquisilli</v>
      </c>
      <c r="D624" s="28" t="s">
        <v>9371</v>
      </c>
      <c r="E624" s="28" t="s">
        <v>9372</v>
      </c>
      <c r="F624" s="23">
        <f t="array" ref="F624">IFERROR(
    INDEX('Hub Interns 226'!A:A, MATCH(C624, 'Hub Interns 226'!B:B, 0)),"")</f>
        <v>88</v>
      </c>
      <c r="G624" s="23">
        <f t="array" ref="G624">IFERROR(
    INDEX('Hub Users 226'!A:A, MATCH(C624, 'Hub Users 226'!B:B, 0)),"")</f>
        <v>521</v>
      </c>
      <c r="H624" s="28">
        <v>1540.0</v>
      </c>
      <c r="I624" s="28" t="s">
        <v>260</v>
      </c>
      <c r="J624" s="28" t="s">
        <v>2388</v>
      </c>
      <c r="K624" s="28" t="s">
        <v>5463</v>
      </c>
      <c r="L624" s="28" t="s">
        <v>5196</v>
      </c>
      <c r="M624" s="56" t="s">
        <v>9373</v>
      </c>
      <c r="N624" s="57">
        <v>44958.59722222222</v>
      </c>
      <c r="O624" s="58">
        <v>38506.0</v>
      </c>
      <c r="P624" s="28">
        <f t="shared" si="20"/>
        <v>20</v>
      </c>
      <c r="Q624" s="28" t="s">
        <v>240</v>
      </c>
      <c r="R624" s="28" t="s">
        <v>9374</v>
      </c>
      <c r="S624" s="28"/>
      <c r="T624" s="28"/>
      <c r="U624" s="28"/>
      <c r="V624" s="28"/>
      <c r="W624" s="28"/>
      <c r="X624" s="28" t="s">
        <v>272</v>
      </c>
      <c r="Y624" s="28" t="s">
        <v>9375</v>
      </c>
      <c r="Z624" s="28" t="s">
        <v>5259</v>
      </c>
      <c r="AA624" s="28" t="s">
        <v>704</v>
      </c>
      <c r="AB624" s="28">
        <v>2.0</v>
      </c>
      <c r="AC624" s="28" t="s">
        <v>23</v>
      </c>
      <c r="AD624" s="28" t="s">
        <v>101</v>
      </c>
      <c r="AE624" s="28" t="s">
        <v>15</v>
      </c>
      <c r="AF624" s="23"/>
      <c r="AG624" s="26" t="s">
        <v>9376</v>
      </c>
      <c r="AH624" s="23" t="str">
        <f>IFERROR(__xludf.DUMMYFUNCTION("IF(
ISNUMBER(MATCH(
C624,
IMPORTRANGE(""https://docs.google.com/spreadsheets/d/1yTh1ELC33JHYOeEdgIiEclxPRyh0zOKtlawDltfUay8"",""'Interns'!A:A""),
0
)),
""Outreach Conducted"",
"""")"),"")</f>
        <v/>
      </c>
      <c r="AI624" s="23"/>
      <c r="AJ624" s="23"/>
      <c r="AK624" s="23" t="str">
        <f>IFERROR(__xludf.DUMMYFUNCTION("XLOOKUP(C624, 
   IMPORTRANGE(""1RdEdgHYrZ33LJ7RUHj_h-qkAFL92bcVjtIdVa-UlsCw"", ""Interns!D:D""), 
   IMPORTRANGE(""1RdEdgHYrZ33LJ7RUHj_h-qkAFL92bcVjtIdVa-UlsCw"", ""Interns!M:M""), 
   ""Not Found"")"),"Contacted")</f>
        <v>Contacted</v>
      </c>
      <c r="AL624" s="23" t="str">
        <f>IFERROR(__xludf.DUMMYFUNCTION("XLOOKUP(C624, 
   IMPORTRANGE(""1RdEdgHYrZ33LJ7RUHj_h-qkAFL92bcVjtIdVa-UlsCw"", ""Interns!D:D""), 
   IMPORTRANGE(""1RdEdgHYrZ33LJ7RUHj_h-qkAFL92bcVjtIdVa-UlsCw"", ""Interns!N:N""), 
   ""Not Found"")"),"#Cheers4Careers")</f>
        <v>#Cheers4Careers</v>
      </c>
      <c r="AM624" s="23" t="str">
        <f>IFERROR(__xludf.DUMMYFUNCTION("XLOOKUP(C624, 
   IMPORTRANGE(""1RdEdgHYrZ33LJ7RUHj_h-qkAFL92bcVjtIdVa-UlsCw"", ""Interns!D:D""), 
   IMPORTRANGE(""1RdEdgHYrZ33LJ7RUHj_h-qkAFL92bcVjtIdVa-UlsCw"", ""Interns!O:O""), 
   ""Not Found"")"),"Ousmane reached out by email 3/26 and reach out by text 3/28")</f>
        <v>Ousmane reached out by email 3/26 and reach out by text 3/28</v>
      </c>
      <c r="AN624" s="23"/>
      <c r="AO624" s="23" t="s">
        <v>9377</v>
      </c>
      <c r="AP624" s="28" t="s">
        <v>5182</v>
      </c>
      <c r="AQ624" s="28"/>
      <c r="AR624" s="23"/>
      <c r="AS624" s="23"/>
      <c r="AT624" s="23"/>
      <c r="AU624" s="23"/>
      <c r="AV624" s="23"/>
    </row>
    <row r="625">
      <c r="A625" s="28" t="s">
        <v>5161</v>
      </c>
      <c r="B625" s="28" t="s">
        <v>5162</v>
      </c>
      <c r="C625" s="23" t="str">
        <f t="shared" si="1"/>
        <v>Joselyn Reyes</v>
      </c>
      <c r="D625" s="28" t="s">
        <v>8810</v>
      </c>
      <c r="E625" s="28" t="s">
        <v>4325</v>
      </c>
      <c r="F625" s="23" t="str">
        <f t="array" ref="F625">IFERROR(
    INDEX('Hub Interns 226'!A:A, MATCH(C625, 'Hub Interns 226'!B:B, 0)),"")</f>
        <v/>
      </c>
      <c r="G625" s="23">
        <f t="array" ref="G625">IFERROR(
    INDEX('Hub Users 226'!A:A, MATCH(C625, 'Hub Users 226'!B:B, 0)),"")</f>
        <v>1914</v>
      </c>
      <c r="H625" s="28">
        <v>1777.0</v>
      </c>
      <c r="I625" s="28" t="s">
        <v>260</v>
      </c>
      <c r="J625" s="28" t="s">
        <v>2388</v>
      </c>
      <c r="K625" s="28" t="s">
        <v>5463</v>
      </c>
      <c r="L625" s="28" t="s">
        <v>5196</v>
      </c>
      <c r="M625" s="56" t="s">
        <v>9378</v>
      </c>
      <c r="N625" s="57">
        <v>45312.86666666667</v>
      </c>
      <c r="O625" s="58">
        <v>45309.0</v>
      </c>
      <c r="P625" s="28">
        <f t="shared" si="20"/>
        <v>2</v>
      </c>
      <c r="Q625" s="28" t="s">
        <v>9379</v>
      </c>
      <c r="R625" s="28" t="s">
        <v>9380</v>
      </c>
      <c r="S625" s="28">
        <v>7.0</v>
      </c>
      <c r="T625" s="28">
        <v>18.0</v>
      </c>
      <c r="U625" s="28">
        <v>53.0</v>
      </c>
      <c r="V625" s="28">
        <v>37.0</v>
      </c>
      <c r="W625" s="28" t="s">
        <v>294</v>
      </c>
      <c r="X625" s="28" t="s">
        <v>272</v>
      </c>
      <c r="Y625" s="28">
        <v>7.187911059E9</v>
      </c>
      <c r="Z625" s="28" t="s">
        <v>5259</v>
      </c>
      <c r="AA625" s="28" t="s">
        <v>704</v>
      </c>
      <c r="AB625" s="28">
        <v>2.0</v>
      </c>
      <c r="AC625" s="28" t="s">
        <v>27</v>
      </c>
      <c r="AD625" s="28" t="s">
        <v>101</v>
      </c>
      <c r="AE625" s="28" t="s">
        <v>18</v>
      </c>
      <c r="AF625" s="23"/>
      <c r="AG625" s="23"/>
      <c r="AH625" s="23" t="str">
        <f>IFERROR(__xludf.DUMMYFUNCTION("IF(
ISNUMBER(MATCH(
C625,
IMPORTRANGE(""https://docs.google.com/spreadsheets/d/1yTh1ELC33JHYOeEdgIiEclxPRyh0zOKtlawDltfUay8"",""'Interns'!A:A""),
0
)),
""Outreach Conducted"",
"""")"),"")</f>
        <v/>
      </c>
      <c r="AI625" s="23"/>
      <c r="AJ625" s="23"/>
      <c r="AK625" s="23" t="str">
        <f>IFERROR(__xludf.DUMMYFUNCTION("XLOOKUP(C625, 
   IMPORTRANGE(""1RdEdgHYrZ33LJ7RUHj_h-qkAFL92bcVjtIdVa-UlsCw"", ""Interns!D:D""), 
   IMPORTRANGE(""1RdEdgHYrZ33LJ7RUHj_h-qkAFL92bcVjtIdVa-UlsCw"", ""Interns!M:M""), 
   ""Not Found"")"),"Contacted")</f>
        <v>Contacted</v>
      </c>
      <c r="AL625" s="23" t="str">
        <f>IFERROR(__xludf.DUMMYFUNCTION("XLOOKUP(C625, 
   IMPORTRANGE(""1RdEdgHYrZ33LJ7RUHj_h-qkAFL92bcVjtIdVa-UlsCw"", ""Interns!D:D""), 
   IMPORTRANGE(""1RdEdgHYrZ33LJ7RUHj_h-qkAFL92bcVjtIdVa-UlsCw"", ""Interns!N:N""), 
   ""Not Found"")"),"#Cheers4Careers")</f>
        <v>#Cheers4Careers</v>
      </c>
      <c r="AM625" s="23" t="str">
        <f>IFERROR(__xludf.DUMMYFUNCTION("XLOOKUP(C625, 
   IMPORTRANGE(""1RdEdgHYrZ33LJ7RUHj_h-qkAFL92bcVjtIdVa-UlsCw"", ""Interns!D:D""), 
   IMPORTRANGE(""1RdEdgHYrZ33LJ7RUHj_h-qkAFL92bcVjtIdVa-UlsCw"", ""Interns!O:O""), 
   ""Not Found"")"),"Ousmane reached out by email 3/26 and reach out by text 3/28")</f>
        <v>Ousmane reached out by email 3/26 and reach out by text 3/28</v>
      </c>
      <c r="AN625" s="23"/>
      <c r="AO625" s="23" t="s">
        <v>9381</v>
      </c>
      <c r="AP625" s="28" t="s">
        <v>5182</v>
      </c>
      <c r="AQ625" s="28" t="s">
        <v>9382</v>
      </c>
      <c r="AR625" s="23">
        <v>3.478804177E9</v>
      </c>
      <c r="AS625" s="23"/>
      <c r="AT625" s="23"/>
      <c r="AU625" s="23"/>
      <c r="AV625" s="23"/>
    </row>
    <row r="626">
      <c r="A626" s="28" t="s">
        <v>5161</v>
      </c>
      <c r="B626" s="28" t="s">
        <v>5162</v>
      </c>
      <c r="C626" s="23" t="str">
        <f t="shared" si="1"/>
        <v>JOSIMAR LUCERO</v>
      </c>
      <c r="D626" s="28" t="s">
        <v>9383</v>
      </c>
      <c r="E626" s="28" t="s">
        <v>9384</v>
      </c>
      <c r="F626" s="23">
        <f t="array" ref="F626">IFERROR(
    INDEX('Hub Interns 226'!A:A, MATCH(C626, 'Hub Interns 226'!B:B, 0)),"")</f>
        <v>46</v>
      </c>
      <c r="G626" s="23">
        <f t="array" ref="G626">IFERROR(
    INDEX('Hub Users 226'!A:A, MATCH(C626, 'Hub Users 226'!B:B, 0)),"")</f>
        <v>479</v>
      </c>
      <c r="H626" s="28">
        <v>799.0</v>
      </c>
      <c r="I626" s="28" t="s">
        <v>417</v>
      </c>
      <c r="J626" s="28" t="s">
        <v>2388</v>
      </c>
      <c r="K626" s="28" t="s">
        <v>5463</v>
      </c>
      <c r="L626" s="28" t="s">
        <v>5165</v>
      </c>
      <c r="M626" s="56" t="s">
        <v>9385</v>
      </c>
      <c r="N626" s="57">
        <v>44565.64375</v>
      </c>
      <c r="O626" s="58">
        <v>37866.0</v>
      </c>
      <c r="P626" s="28">
        <f t="shared" si="20"/>
        <v>22</v>
      </c>
      <c r="Q626" s="28" t="s">
        <v>240</v>
      </c>
      <c r="R626" s="28" t="s">
        <v>9386</v>
      </c>
      <c r="S626" s="28">
        <v>7.0</v>
      </c>
      <c r="T626" s="28">
        <v>18.0</v>
      </c>
      <c r="U626" s="28">
        <v>53.0</v>
      </c>
      <c r="V626" s="28">
        <v>34.0</v>
      </c>
      <c r="W626" s="28" t="s">
        <v>294</v>
      </c>
      <c r="X626" s="28" t="s">
        <v>272</v>
      </c>
      <c r="Y626" s="28" t="s">
        <v>9387</v>
      </c>
      <c r="Z626" s="28" t="s">
        <v>5259</v>
      </c>
      <c r="AA626" s="28" t="s">
        <v>704</v>
      </c>
      <c r="AB626" s="28">
        <v>2.0</v>
      </c>
      <c r="AC626" s="28" t="s">
        <v>25</v>
      </c>
      <c r="AD626" s="23"/>
      <c r="AE626" s="28" t="s">
        <v>10</v>
      </c>
      <c r="AF626" s="23" t="str">
        <f>IFERROR(__xludf.DUMMYFUNCTION("TEXTJOIN("", "", TRUE,
  FILTER(Champions!C:C,
    ISNUMBER(SEARCH(C626, Champions!W:W))
  )
)"),"Daniela Fernandez Espinosa, Mariana Tejeida-Olvera")</f>
        <v>Daniela Fernandez Espinosa, Mariana Tejeida-Olvera</v>
      </c>
      <c r="AG626" s="23"/>
      <c r="AH626" s="23" t="str">
        <f>IFERROR(__xludf.DUMMYFUNCTION("IF(
ISNUMBER(MATCH(
C626,
IMPORTRANGE(""https://docs.google.com/spreadsheets/d/1yTh1ELC33JHYOeEdgIiEclxPRyh0zOKtlawDltfUay8"",""'Interns'!A:A""),
0
)),
""Outreach Conducted"",
"""")"),"")</f>
        <v/>
      </c>
      <c r="AI626" s="23"/>
      <c r="AJ626" s="23"/>
      <c r="AK626" s="23" t="str">
        <f>IFERROR(__xludf.DUMMYFUNCTION("XLOOKUP(C626, 
   IMPORTRANGE(""1RdEdgHYrZ33LJ7RUHj_h-qkAFL92bcVjtIdVa-UlsCw"", ""Interns!D:D""), 
   IMPORTRANGE(""1RdEdgHYrZ33LJ7RUHj_h-qkAFL92bcVjtIdVa-UlsCw"", ""Interns!M:M""), 
   ""Not Found"")"),"")</f>
        <v/>
      </c>
      <c r="AL626" s="23" t="str">
        <f>IFERROR(__xludf.DUMMYFUNCTION("XLOOKUP(C626, 
   IMPORTRANGE(""1RdEdgHYrZ33LJ7RUHj_h-qkAFL92bcVjtIdVa-UlsCw"", ""Interns!D:D""), 
   IMPORTRANGE(""1RdEdgHYrZ33LJ7RUHj_h-qkAFL92bcVjtIdVa-UlsCw"", ""Interns!N:N""), 
   ""Not Found"")"),"")</f>
        <v/>
      </c>
      <c r="AM626" s="23" t="str">
        <f>IFERROR(__xludf.DUMMYFUNCTION("XLOOKUP(C626, 
   IMPORTRANGE(""1RdEdgHYrZ33LJ7RUHj_h-qkAFL92bcVjtIdVa-UlsCw"", ""Interns!D:D""), 
   IMPORTRANGE(""1RdEdgHYrZ33LJ7RUHj_h-qkAFL92bcVjtIdVa-UlsCw"", ""Interns!O:O""), 
   ""Not Found"")"),"")</f>
        <v/>
      </c>
      <c r="AN626" s="23"/>
      <c r="AO626" s="23" t="s">
        <v>9388</v>
      </c>
      <c r="AP626" s="28" t="s">
        <v>5191</v>
      </c>
      <c r="AQ626" s="28" t="s">
        <v>9389</v>
      </c>
      <c r="AR626" s="23" t="s">
        <v>9390</v>
      </c>
      <c r="AS626" s="23"/>
      <c r="AT626" s="23"/>
      <c r="AU626" s="23"/>
      <c r="AV626" s="23"/>
    </row>
    <row r="627">
      <c r="A627" s="28" t="s">
        <v>5202</v>
      </c>
      <c r="B627" s="28" t="s">
        <v>5162</v>
      </c>
      <c r="C627" s="23" t="str">
        <f t="shared" si="1"/>
        <v>Steven G Guillen</v>
      </c>
      <c r="D627" s="28" t="s">
        <v>9391</v>
      </c>
      <c r="E627" s="28" t="s">
        <v>9392</v>
      </c>
      <c r="F627" s="23">
        <f t="array" ref="F627">IFERROR(
    INDEX('Hub Interns 226'!A:A, MATCH(C627, 'Hub Interns 226'!B:B, 0)),"")</f>
        <v>1125</v>
      </c>
      <c r="G627" s="23">
        <f t="array" ref="G627">IFERROR(
    INDEX('Hub Users 226'!A:A, MATCH(C627, 'Hub Users 226'!B:B, 0)),"")</f>
        <v>1558</v>
      </c>
      <c r="H627" s="28">
        <v>888.0</v>
      </c>
      <c r="I627" s="28" t="s">
        <v>239</v>
      </c>
      <c r="J627" s="28" t="s">
        <v>9066</v>
      </c>
      <c r="K627" s="28" t="s">
        <v>5177</v>
      </c>
      <c r="L627" s="28" t="s">
        <v>5165</v>
      </c>
      <c r="M627" s="56" t="s">
        <v>9393</v>
      </c>
      <c r="N627" s="57">
        <v>44601.529861111114</v>
      </c>
      <c r="O627" s="58">
        <v>38380.0</v>
      </c>
      <c r="P627" s="28">
        <f t="shared" si="20"/>
        <v>21</v>
      </c>
      <c r="Q627" s="28" t="s">
        <v>240</v>
      </c>
      <c r="R627" s="28" t="s">
        <v>9394</v>
      </c>
      <c r="S627" s="28">
        <v>3.0</v>
      </c>
      <c r="T627" s="28">
        <v>11.0</v>
      </c>
      <c r="U627" s="28">
        <v>26.0</v>
      </c>
      <c r="V627" s="28">
        <v>23.0</v>
      </c>
      <c r="W627" s="28" t="s">
        <v>1173</v>
      </c>
      <c r="X627" s="28" t="s">
        <v>272</v>
      </c>
      <c r="Y627" s="28" t="s">
        <v>9395</v>
      </c>
      <c r="Z627" s="28" t="s">
        <v>5189</v>
      </c>
      <c r="AA627" s="28" t="s">
        <v>619</v>
      </c>
      <c r="AB627" s="28">
        <v>20.0</v>
      </c>
      <c r="AC627" s="28" t="s">
        <v>24</v>
      </c>
      <c r="AD627" s="23"/>
      <c r="AE627" s="28" t="s">
        <v>10</v>
      </c>
      <c r="AF627" s="23"/>
      <c r="AG627" s="23"/>
      <c r="AH627" s="23" t="str">
        <f>IFERROR(__xludf.DUMMYFUNCTION("IF(
ISNUMBER(MATCH(
C627,
IMPORTRANGE(""https://docs.google.com/spreadsheets/d/1yTh1ELC33JHYOeEdgIiEclxPRyh0zOKtlawDltfUay8"",""'Interns'!A:A""),
0
)),
""Outreach Conducted"",
"""")"),"")</f>
        <v/>
      </c>
      <c r="AI627" s="23"/>
      <c r="AJ627" s="23"/>
      <c r="AK627" s="23" t="str">
        <f>IFERROR(__xludf.DUMMYFUNCTION("XLOOKUP(C627, 
   IMPORTRANGE(""1RdEdgHYrZ33LJ7RUHj_h-qkAFL92bcVjtIdVa-UlsCw"", ""Interns!D:D""), 
   IMPORTRANGE(""1RdEdgHYrZ33LJ7RUHj_h-qkAFL92bcVjtIdVa-UlsCw"", ""Interns!M:M""), 
   ""Not Found"")"),"")</f>
        <v/>
      </c>
      <c r="AL627" s="23" t="str">
        <f>IFERROR(__xludf.DUMMYFUNCTION("XLOOKUP(C627, 
   IMPORTRANGE(""1RdEdgHYrZ33LJ7RUHj_h-qkAFL92bcVjtIdVa-UlsCw"", ""Interns!D:D""), 
   IMPORTRANGE(""1RdEdgHYrZ33LJ7RUHj_h-qkAFL92bcVjtIdVa-UlsCw"", ""Interns!N:N""), 
   ""Not Found"")"),"")</f>
        <v/>
      </c>
      <c r="AM627" s="23" t="str">
        <f>IFERROR(__xludf.DUMMYFUNCTION("XLOOKUP(C627, 
   IMPORTRANGE(""1RdEdgHYrZ33LJ7RUHj_h-qkAFL92bcVjtIdVa-UlsCw"", ""Interns!D:D""), 
   IMPORTRANGE(""1RdEdgHYrZ33LJ7RUHj_h-qkAFL92bcVjtIdVa-UlsCw"", ""Interns!O:O""), 
   ""Not Found"")"),"")</f>
        <v/>
      </c>
      <c r="AN627" s="23"/>
      <c r="AO627" s="23" t="s">
        <v>9396</v>
      </c>
      <c r="AP627" s="28" t="s">
        <v>5191</v>
      </c>
      <c r="AQ627" s="28"/>
      <c r="AR627" s="23"/>
      <c r="AS627" s="23"/>
      <c r="AT627" s="23"/>
      <c r="AU627" s="23"/>
      <c r="AV627" s="23"/>
    </row>
    <row r="628">
      <c r="A628" s="28" t="s">
        <v>5161</v>
      </c>
      <c r="B628" s="28" t="s">
        <v>5162</v>
      </c>
      <c r="C628" s="23" t="str">
        <f t="shared" si="1"/>
        <v>Valentina Tito</v>
      </c>
      <c r="D628" s="22" t="s">
        <v>3440</v>
      </c>
      <c r="E628" s="22" t="s">
        <v>9397</v>
      </c>
      <c r="F628" s="23"/>
      <c r="G628" s="23"/>
      <c r="H628" s="22">
        <v>1969.0</v>
      </c>
      <c r="I628" s="28"/>
      <c r="J628" s="28" t="s">
        <v>2388</v>
      </c>
      <c r="K628" s="28" t="s">
        <v>5463</v>
      </c>
      <c r="L628" s="28" t="s">
        <v>5196</v>
      </c>
      <c r="M628" s="29" t="s">
        <v>9398</v>
      </c>
      <c r="N628" s="22"/>
      <c r="O628" s="25">
        <v>41296.0</v>
      </c>
      <c r="P628" s="28">
        <f t="shared" si="20"/>
        <v>13</v>
      </c>
      <c r="Q628" s="62" t="s">
        <v>9399</v>
      </c>
      <c r="R628" s="22" t="s">
        <v>9400</v>
      </c>
      <c r="S628" s="28">
        <v>7.0</v>
      </c>
      <c r="T628" s="28">
        <v>12.0</v>
      </c>
      <c r="U628" s="28">
        <v>37.0</v>
      </c>
      <c r="V628" s="28">
        <v>26.0</v>
      </c>
      <c r="W628" s="28" t="s">
        <v>1173</v>
      </c>
      <c r="X628" s="28" t="s">
        <v>272</v>
      </c>
      <c r="Y628" s="22">
        <v>7.183409645E9</v>
      </c>
      <c r="Z628" s="22" t="s">
        <v>5536</v>
      </c>
      <c r="AA628" s="28" t="s">
        <v>5287</v>
      </c>
      <c r="AB628" s="28">
        <v>26.0</v>
      </c>
      <c r="AC628" s="28" t="s">
        <v>27</v>
      </c>
      <c r="AD628" s="23"/>
      <c r="AE628" s="28" t="s">
        <v>19</v>
      </c>
      <c r="AF628" s="23"/>
      <c r="AG628" s="23"/>
      <c r="AH628" s="23" t="str">
        <f>IFERROR(__xludf.DUMMYFUNCTION("IF(
ISNUMBER(MATCH(
C628,
IMPORTRANGE(""https://docs.google.com/spreadsheets/d/1yTh1ELC33JHYOeEdgIiEclxPRyh0zOKtlawDltfUay8"",""'Interns'!A:A""),
0
)),
""Outreach Conducted"",
"""")"),"")</f>
        <v/>
      </c>
      <c r="AI628" s="23"/>
      <c r="AJ628" s="23"/>
      <c r="AK628" s="23"/>
      <c r="AL628" s="23" t="str">
        <f>IFERROR(__xludf.DUMMYFUNCTION("XLOOKUP(C628, 
   IMPORTRANGE(""1RdEdgHYrZ33LJ7RUHj_h-qkAFL92bcVjtIdVa-UlsCw"", ""Interns!D:D""), 
   IMPORTRANGE(""1RdEdgHYrZ33LJ7RUHj_h-qkAFL92bcVjtIdVa-UlsCw"", ""Interns!N:N""), 
   ""Not Found"")"),"Not Found")</f>
        <v>Not Found</v>
      </c>
      <c r="AM628" s="23" t="str">
        <f>IFERROR(__xludf.DUMMYFUNCTION("XLOOKUP(C628, 
   IMPORTRANGE(""1RdEdgHYrZ33LJ7RUHj_h-qkAFL92bcVjtIdVa-UlsCw"", ""Interns!D:D""), 
   IMPORTRANGE(""1RdEdgHYrZ33LJ7RUHj_h-qkAFL92bcVjtIdVa-UlsCw"", ""Interns!O:O""), 
   ""Not Found"")"),"Not Found")</f>
        <v>Not Found</v>
      </c>
      <c r="AN628" s="23"/>
      <c r="AO628" s="23" t="s">
        <v>9401</v>
      </c>
      <c r="AP628" s="28" t="s">
        <v>5191</v>
      </c>
      <c r="AQ628" s="28" t="s">
        <v>9402</v>
      </c>
      <c r="AR628" s="23">
        <v>7.187052638E9</v>
      </c>
      <c r="AS628" s="23"/>
      <c r="AT628" s="23"/>
      <c r="AU628" s="23"/>
      <c r="AV628" s="23"/>
    </row>
    <row r="629">
      <c r="A629" s="28" t="s">
        <v>5202</v>
      </c>
      <c r="B629" s="28" t="s">
        <v>5162</v>
      </c>
      <c r="C629" s="23" t="str">
        <f t="shared" si="1"/>
        <v>Sael Marroquin</v>
      </c>
      <c r="D629" s="28" t="s">
        <v>9403</v>
      </c>
      <c r="E629" s="28" t="s">
        <v>9404</v>
      </c>
      <c r="F629" s="23">
        <f t="array" ref="F629">IFERROR(
    INDEX('Hub Interns 226'!A:A, MATCH(C629, 'Hub Interns 226'!B:B, 0)),"")</f>
        <v>1055</v>
      </c>
      <c r="G629" s="23">
        <f t="array" ref="G629">IFERROR(
    INDEX('Hub Users 226'!A:A, MATCH(C629, 'Hub Users 226'!B:B, 0)),"")</f>
        <v>1488</v>
      </c>
      <c r="H629" s="28">
        <v>860.0</v>
      </c>
      <c r="I629" s="28" t="s">
        <v>1235</v>
      </c>
      <c r="J629" s="28" t="s">
        <v>9066</v>
      </c>
      <c r="K629" s="28" t="s">
        <v>5177</v>
      </c>
      <c r="L629" s="28" t="s">
        <v>5165</v>
      </c>
      <c r="M629" s="56" t="s">
        <v>9405</v>
      </c>
      <c r="N629" s="57">
        <v>44594.54513888889</v>
      </c>
      <c r="O629" s="58">
        <v>38354.0</v>
      </c>
      <c r="P629" s="28">
        <f t="shared" si="20"/>
        <v>21</v>
      </c>
      <c r="Q629" s="28" t="s">
        <v>6522</v>
      </c>
      <c r="R629" s="28" t="s">
        <v>9406</v>
      </c>
      <c r="S629" s="28">
        <v>14.0</v>
      </c>
      <c r="T629" s="28">
        <v>13.0</v>
      </c>
      <c r="U629" s="28">
        <v>34.0</v>
      </c>
      <c r="V629" s="28">
        <v>21.0</v>
      </c>
      <c r="W629" s="28" t="s">
        <v>1173</v>
      </c>
      <c r="X629" s="28" t="s">
        <v>272</v>
      </c>
      <c r="Y629" s="28" t="s">
        <v>9407</v>
      </c>
      <c r="Z629" s="28" t="s">
        <v>5483</v>
      </c>
      <c r="AA629" s="28" t="s">
        <v>457</v>
      </c>
      <c r="AB629" s="28">
        <v>25.0</v>
      </c>
      <c r="AC629" s="28" t="s">
        <v>25</v>
      </c>
      <c r="AD629" s="23"/>
      <c r="AE629" s="28" t="s">
        <v>10</v>
      </c>
      <c r="AF629" s="23" t="str">
        <f>IFERROR(__xludf.DUMMYFUNCTION("TEXTJOIN("", "", TRUE,
  FILTER(Champions!C:C,
    ISNUMBER(SEARCH(C629, Champions!W:W))
  )
)"),"Josh Harris")</f>
        <v>Josh Harris</v>
      </c>
      <c r="AG629" s="23"/>
      <c r="AH629" s="23" t="str">
        <f>IFERROR(__xludf.DUMMYFUNCTION("IF(
ISNUMBER(MATCH(
C629,
IMPORTRANGE(""https://docs.google.com/spreadsheets/d/1yTh1ELC33JHYOeEdgIiEclxPRyh0zOKtlawDltfUay8"",""'Interns'!A:A""),
0
)),
""Outreach Conducted"",
"""")"),"")</f>
        <v/>
      </c>
      <c r="AI629" s="23"/>
      <c r="AJ629" s="23"/>
      <c r="AK629" s="23" t="str">
        <f>IFERROR(__xludf.DUMMYFUNCTION("XLOOKUP(C629, 
   IMPORTRANGE(""1RdEdgHYrZ33LJ7RUHj_h-qkAFL92bcVjtIdVa-UlsCw"", ""Interns!D:D""), 
   IMPORTRANGE(""1RdEdgHYrZ33LJ7RUHj_h-qkAFL92bcVjtIdVa-UlsCw"", ""Interns!M:M""), 
   ""Not Found"")"),"")</f>
        <v/>
      </c>
      <c r="AL629" s="23" t="str">
        <f>IFERROR(__xludf.DUMMYFUNCTION("XLOOKUP(C629, 
   IMPORTRANGE(""1RdEdgHYrZ33LJ7RUHj_h-qkAFL92bcVjtIdVa-UlsCw"", ""Interns!D:D""), 
   IMPORTRANGE(""1RdEdgHYrZ33LJ7RUHj_h-qkAFL92bcVjtIdVa-UlsCw"", ""Interns!N:N""), 
   ""Not Found"")"),"")</f>
        <v/>
      </c>
      <c r="AM629" s="23" t="str">
        <f>IFERROR(__xludf.DUMMYFUNCTION("XLOOKUP(C629, 
   IMPORTRANGE(""1RdEdgHYrZ33LJ7RUHj_h-qkAFL92bcVjtIdVa-UlsCw"", ""Interns!D:D""), 
   IMPORTRANGE(""1RdEdgHYrZ33LJ7RUHj_h-qkAFL92bcVjtIdVa-UlsCw"", ""Interns!O:O""), 
   ""Not Found"")"),"")</f>
        <v/>
      </c>
      <c r="AN629" s="23"/>
      <c r="AO629" s="23" t="s">
        <v>9408</v>
      </c>
      <c r="AP629" s="28" t="s">
        <v>5182</v>
      </c>
      <c r="AQ629" s="28" t="s">
        <v>7524</v>
      </c>
      <c r="AR629" s="23" t="s">
        <v>9409</v>
      </c>
      <c r="AS629" s="23"/>
      <c r="AT629" s="23"/>
      <c r="AU629" s="23"/>
      <c r="AV629" s="23"/>
    </row>
    <row r="630">
      <c r="A630" s="28" t="s">
        <v>5161</v>
      </c>
      <c r="B630" s="28" t="s">
        <v>5162</v>
      </c>
      <c r="C630" s="23" t="str">
        <f t="shared" si="1"/>
        <v>Luz Yasaca</v>
      </c>
      <c r="D630" s="28" t="s">
        <v>2177</v>
      </c>
      <c r="E630" s="28" t="s">
        <v>9410</v>
      </c>
      <c r="F630" s="23">
        <f t="array" ref="F630">IFERROR(
    INDEX('Hub Interns 226'!A:A, MATCH(C630, 'Hub Interns 226'!B:B, 0)),"")</f>
        <v>1135</v>
      </c>
      <c r="G630" s="23">
        <f t="array" ref="G630">IFERROR(
    INDEX('Hub Users 226'!A:A, MATCH(C630, 'Hub Users 226'!B:B, 0)),"")</f>
        <v>1568</v>
      </c>
      <c r="H630" s="28">
        <v>1417.0</v>
      </c>
      <c r="I630" s="28" t="s">
        <v>785</v>
      </c>
      <c r="J630" s="28" t="s">
        <v>2388</v>
      </c>
      <c r="K630" s="28" t="s">
        <v>5463</v>
      </c>
      <c r="L630" s="28" t="s">
        <v>5196</v>
      </c>
      <c r="M630" s="56" t="s">
        <v>9411</v>
      </c>
      <c r="N630" s="57">
        <v>44866.38055555556</v>
      </c>
      <c r="O630" s="58">
        <v>40210.0</v>
      </c>
      <c r="P630" s="28">
        <f t="shared" si="20"/>
        <v>16</v>
      </c>
      <c r="Q630" s="28" t="s">
        <v>9412</v>
      </c>
      <c r="R630" s="28" t="s">
        <v>9413</v>
      </c>
      <c r="S630" s="28">
        <v>7.0</v>
      </c>
      <c r="T630" s="28">
        <v>12.0</v>
      </c>
      <c r="U630" s="28">
        <v>37.0</v>
      </c>
      <c r="V630" s="28">
        <v>26.0</v>
      </c>
      <c r="W630" s="28" t="s">
        <v>1173</v>
      </c>
      <c r="X630" s="28" t="s">
        <v>272</v>
      </c>
      <c r="Y630" s="28" t="s">
        <v>5351</v>
      </c>
      <c r="Z630" s="28" t="s">
        <v>5352</v>
      </c>
      <c r="AA630" s="28" t="s">
        <v>5287</v>
      </c>
      <c r="AB630" s="28">
        <v>26.0</v>
      </c>
      <c r="AC630" s="28" t="s">
        <v>23</v>
      </c>
      <c r="AD630" s="23"/>
      <c r="AE630" s="28" t="s">
        <v>15</v>
      </c>
      <c r="AF630" s="23"/>
      <c r="AG630" s="23"/>
      <c r="AH630" s="23" t="str">
        <f>IFERROR(__xludf.DUMMYFUNCTION("IF(
ISNUMBER(MATCH(
C630,
IMPORTRANGE(""https://docs.google.com/spreadsheets/d/1yTh1ELC33JHYOeEdgIiEclxPRyh0zOKtlawDltfUay8"",""'Interns'!A:A""),
0
)),
""Outreach Conducted"",
"""")"),"")</f>
        <v/>
      </c>
      <c r="AI630" s="23"/>
      <c r="AJ630" s="23"/>
      <c r="AK630" s="23" t="str">
        <f>IFERROR(__xludf.DUMMYFUNCTION("XLOOKUP(C630, 
   IMPORTRANGE(""1RdEdgHYrZ33LJ7RUHj_h-qkAFL92bcVjtIdVa-UlsCw"", ""Interns!D:D""), 
   IMPORTRANGE(""1RdEdgHYrZ33LJ7RUHj_h-qkAFL92bcVjtIdVa-UlsCw"", ""Interns!M:M""), 
   ""Not Found"")"),"Contacted")</f>
        <v>Contacted</v>
      </c>
      <c r="AL630" s="23" t="str">
        <f>IFERROR(__xludf.DUMMYFUNCTION("XLOOKUP(C630, 
   IMPORTRANGE(""1RdEdgHYrZ33LJ7RUHj_h-qkAFL92bcVjtIdVa-UlsCw"", ""Interns!D:D""), 
   IMPORTRANGE(""1RdEdgHYrZ33LJ7RUHj_h-qkAFL92bcVjtIdVa-UlsCw"", ""Interns!N:N""), 
   ""Not Found"")"),"#Cheers4Careers")</f>
        <v>#Cheers4Careers</v>
      </c>
      <c r="AM630" s="23" t="str">
        <f>IFERROR(__xludf.DUMMYFUNCTION("XLOOKUP(C630, 
   IMPORTRANGE(""1RdEdgHYrZ33LJ7RUHj_h-qkAFL92bcVjtIdVa-UlsCw"", ""Interns!D:D""), 
   IMPORTRANGE(""1RdEdgHYrZ33LJ7RUHj_h-qkAFL92bcVjtIdVa-UlsCw"", ""Interns!O:O""), 
   ""Not Found"")"),"Hetal reached out by email 3/27")</f>
        <v>Hetal reached out by email 3/27</v>
      </c>
      <c r="AN630" s="23"/>
      <c r="AO630" s="23" t="s">
        <v>9414</v>
      </c>
      <c r="AP630" s="28" t="s">
        <v>5182</v>
      </c>
      <c r="AQ630" s="28"/>
      <c r="AR630" s="23"/>
      <c r="AS630" s="23"/>
      <c r="AT630" s="23"/>
      <c r="AU630" s="23"/>
      <c r="AV630" s="23"/>
    </row>
    <row r="631">
      <c r="A631" s="28" t="s">
        <v>5161</v>
      </c>
      <c r="B631" s="28" t="s">
        <v>5162</v>
      </c>
      <c r="C631" s="23" t="str">
        <f t="shared" si="1"/>
        <v>Darwin Chimborazo</v>
      </c>
      <c r="D631" s="28" t="s">
        <v>8502</v>
      </c>
      <c r="E631" s="28" t="s">
        <v>9415</v>
      </c>
      <c r="F631" s="23">
        <f t="array" ref="F631">IFERROR(
    INDEX('Hub Interns 226'!A:A, MATCH(C631, 'Hub Interns 226'!B:B, 0)),"")</f>
        <v>414</v>
      </c>
      <c r="G631" s="23">
        <f t="array" ref="G631">IFERROR(
    INDEX('Hub Users 226'!A:A, MATCH(C631, 'Hub Users 226'!B:B, 0)),"")</f>
        <v>847</v>
      </c>
      <c r="H631" s="28">
        <v>1386.0</v>
      </c>
      <c r="I631" s="28"/>
      <c r="J631" s="28" t="s">
        <v>2388</v>
      </c>
      <c r="K631" s="28" t="s">
        <v>5463</v>
      </c>
      <c r="L631" s="28" t="s">
        <v>6647</v>
      </c>
      <c r="M631" s="56" t="s">
        <v>9416</v>
      </c>
      <c r="N631" s="59">
        <v>44862.52569444444</v>
      </c>
      <c r="O631" s="58">
        <v>40460.0</v>
      </c>
      <c r="P631" s="28">
        <f t="shared" si="20"/>
        <v>15</v>
      </c>
      <c r="Q631" s="28" t="s">
        <v>9417</v>
      </c>
      <c r="R631" s="28" t="s">
        <v>9418</v>
      </c>
      <c r="S631" s="28">
        <v>7.0</v>
      </c>
      <c r="T631" s="28">
        <v>12.0</v>
      </c>
      <c r="U631" s="28">
        <v>37.0</v>
      </c>
      <c r="V631" s="28">
        <v>26.0</v>
      </c>
      <c r="W631" s="28" t="s">
        <v>1173</v>
      </c>
      <c r="X631" s="28" t="s">
        <v>272</v>
      </c>
      <c r="Y631" s="28" t="s">
        <v>5351</v>
      </c>
      <c r="Z631" s="28" t="s">
        <v>5352</v>
      </c>
      <c r="AA631" s="28" t="s">
        <v>5287</v>
      </c>
      <c r="AB631" s="28">
        <v>26.0</v>
      </c>
      <c r="AC631" s="28" t="s">
        <v>23</v>
      </c>
      <c r="AD631" s="28" t="s">
        <v>101</v>
      </c>
      <c r="AE631" s="28" t="s">
        <v>15</v>
      </c>
      <c r="AF631" s="23"/>
      <c r="AG631" s="23"/>
      <c r="AH631" s="23" t="str">
        <f>IFERROR(__xludf.DUMMYFUNCTION("IF(
ISNUMBER(MATCH(
C631,
IMPORTRANGE(""https://docs.google.com/spreadsheets/d/1yTh1ELC33JHYOeEdgIiEclxPRyh0zOKtlawDltfUay8"",""'Interns'!A:A""),
0
)),
""Outreach Conducted"",
"""")"),"")</f>
        <v/>
      </c>
      <c r="AI631" s="23"/>
      <c r="AJ631" s="23"/>
      <c r="AK631" s="23" t="str">
        <f>IFERROR(__xludf.DUMMYFUNCTION("XLOOKUP(C631, 
   IMPORTRANGE(""1RdEdgHYrZ33LJ7RUHj_h-qkAFL92bcVjtIdVa-UlsCw"", ""Interns!D:D""), 
   IMPORTRANGE(""1RdEdgHYrZ33LJ7RUHj_h-qkAFL92bcVjtIdVa-UlsCw"", ""Interns!M:M""), 
   ""Not Found"")"),"Contacted")</f>
        <v>Contacted</v>
      </c>
      <c r="AL631" s="23" t="str">
        <f>IFERROR(__xludf.DUMMYFUNCTION("XLOOKUP(C631, 
   IMPORTRANGE(""1RdEdgHYrZ33LJ7RUHj_h-qkAFL92bcVjtIdVa-UlsCw"", ""Interns!D:D""), 
   IMPORTRANGE(""1RdEdgHYrZ33LJ7RUHj_h-qkAFL92bcVjtIdVa-UlsCw"", ""Interns!N:N""), 
   ""Not Found"")"),"#Cheers4Careers")</f>
        <v>#Cheers4Careers</v>
      </c>
      <c r="AM631" s="23" t="str">
        <f>IFERROR(__xludf.DUMMYFUNCTION("XLOOKUP(C631, 
   IMPORTRANGE(""1RdEdgHYrZ33LJ7RUHj_h-qkAFL92bcVjtIdVa-UlsCw"", ""Interns!D:D""), 
   IMPORTRANGE(""1RdEdgHYrZ33LJ7RUHj_h-qkAFL92bcVjtIdVa-UlsCw"", ""Interns!O:O""), 
   ""Not Found"")"),"Hetal reached out by email 3/27")</f>
        <v>Hetal reached out by email 3/27</v>
      </c>
      <c r="AN631" s="23"/>
      <c r="AO631" s="23" t="s">
        <v>9419</v>
      </c>
      <c r="AP631" s="28" t="s">
        <v>5182</v>
      </c>
      <c r="AQ631" s="28"/>
      <c r="AR631" s="23"/>
      <c r="AS631" s="23"/>
      <c r="AT631" s="23"/>
      <c r="AU631" s="23"/>
      <c r="AV631" s="23"/>
    </row>
    <row r="632">
      <c r="A632" s="28" t="s">
        <v>5161</v>
      </c>
      <c r="B632" s="28" t="s">
        <v>5162</v>
      </c>
      <c r="C632" s="23" t="str">
        <f t="shared" si="1"/>
        <v>Luis Ulloa</v>
      </c>
      <c r="D632" s="28" t="s">
        <v>6689</v>
      </c>
      <c r="E632" s="28" t="s">
        <v>7000</v>
      </c>
      <c r="F632" s="23">
        <f t="array" ref="F632">IFERROR(
    INDEX('Hub Interns 226'!A:A, MATCH(C632, 'Hub Interns 226'!B:B, 0)),"")</f>
        <v>896</v>
      </c>
      <c r="G632" s="23">
        <f t="array" ref="G632">IFERROR(
    INDEX('Hub Users 226'!A:A, MATCH(C632, 'Hub Users 226'!B:B, 0)),"")</f>
        <v>1329</v>
      </c>
      <c r="H632" s="28">
        <v>1393.0</v>
      </c>
      <c r="I632" s="28" t="s">
        <v>239</v>
      </c>
      <c r="J632" s="28" t="s">
        <v>2388</v>
      </c>
      <c r="K632" s="28" t="s">
        <v>5463</v>
      </c>
      <c r="L632" s="28" t="s">
        <v>5165</v>
      </c>
      <c r="M632" s="56" t="s">
        <v>9420</v>
      </c>
      <c r="N632" s="59">
        <v>44862.529861111114</v>
      </c>
      <c r="O632" s="58">
        <v>40272.0</v>
      </c>
      <c r="P632" s="28">
        <f t="shared" si="20"/>
        <v>16</v>
      </c>
      <c r="Q632" s="28" t="s">
        <v>240</v>
      </c>
      <c r="R632" s="28" t="s">
        <v>9421</v>
      </c>
      <c r="S632" s="28">
        <v>7.0</v>
      </c>
      <c r="T632" s="28">
        <v>12.0</v>
      </c>
      <c r="U632" s="28">
        <v>37.0</v>
      </c>
      <c r="V632" s="28">
        <v>26.0</v>
      </c>
      <c r="W632" s="28" t="s">
        <v>1173</v>
      </c>
      <c r="X632" s="28" t="s">
        <v>272</v>
      </c>
      <c r="Y632" s="28" t="s">
        <v>5351</v>
      </c>
      <c r="Z632" s="28" t="s">
        <v>5352</v>
      </c>
      <c r="AA632" s="28" t="s">
        <v>5287</v>
      </c>
      <c r="AB632" s="28">
        <v>26.0</v>
      </c>
      <c r="AC632" s="28" t="s">
        <v>23</v>
      </c>
      <c r="AD632" s="23"/>
      <c r="AE632" s="28" t="s">
        <v>15</v>
      </c>
      <c r="AF632" s="23"/>
      <c r="AG632" s="23"/>
      <c r="AH632" s="23" t="str">
        <f>IFERROR(__xludf.DUMMYFUNCTION("IF(
ISNUMBER(MATCH(
C632,
IMPORTRANGE(""https://docs.google.com/spreadsheets/d/1yTh1ELC33JHYOeEdgIiEclxPRyh0zOKtlawDltfUay8"",""'Interns'!A:A""),
0
)),
""Outreach Conducted"",
"""")"),"")</f>
        <v/>
      </c>
      <c r="AI632" s="23"/>
      <c r="AJ632" s="23"/>
      <c r="AK632" s="23" t="str">
        <f>IFERROR(__xludf.DUMMYFUNCTION("XLOOKUP(C632, 
   IMPORTRANGE(""1RdEdgHYrZ33LJ7RUHj_h-qkAFL92bcVjtIdVa-UlsCw"", ""Interns!D:D""), 
   IMPORTRANGE(""1RdEdgHYrZ33LJ7RUHj_h-qkAFL92bcVjtIdVa-UlsCw"", ""Interns!M:M""), 
   ""Not Found"")"),"Contacted")</f>
        <v>Contacted</v>
      </c>
      <c r="AL632" s="23" t="str">
        <f>IFERROR(__xludf.DUMMYFUNCTION("XLOOKUP(C632, 
   IMPORTRANGE(""1RdEdgHYrZ33LJ7RUHj_h-qkAFL92bcVjtIdVa-UlsCw"", ""Interns!D:D""), 
   IMPORTRANGE(""1RdEdgHYrZ33LJ7RUHj_h-qkAFL92bcVjtIdVa-UlsCw"", ""Interns!N:N""), 
   ""Not Found"")"),"#Cheers4Careers")</f>
        <v>#Cheers4Careers</v>
      </c>
      <c r="AM632" s="23" t="str">
        <f>IFERROR(__xludf.DUMMYFUNCTION("XLOOKUP(C632, 
   IMPORTRANGE(""1RdEdgHYrZ33LJ7RUHj_h-qkAFL92bcVjtIdVa-UlsCw"", ""Interns!D:D""), 
   IMPORTRANGE(""1RdEdgHYrZ33LJ7RUHj_h-qkAFL92bcVjtIdVa-UlsCw"", ""Interns!O:O""), 
   ""Not Found"")"),"Hetal reached out by email 3/27")</f>
        <v>Hetal reached out by email 3/27</v>
      </c>
      <c r="AN632" s="23"/>
      <c r="AO632" s="23" t="s">
        <v>9422</v>
      </c>
      <c r="AP632" s="28" t="s">
        <v>5191</v>
      </c>
      <c r="AQ632" s="28"/>
      <c r="AR632" s="23"/>
      <c r="AS632" s="23"/>
      <c r="AT632" s="23"/>
      <c r="AU632" s="23"/>
      <c r="AV632" s="23"/>
    </row>
    <row r="633">
      <c r="A633" s="28" t="s">
        <v>5161</v>
      </c>
      <c r="B633" s="28" t="s">
        <v>5162</v>
      </c>
      <c r="C633" s="23" t="str">
        <f t="shared" si="1"/>
        <v>Oscar Choloquinga</v>
      </c>
      <c r="D633" s="28" t="s">
        <v>6681</v>
      </c>
      <c r="E633" s="28" t="s">
        <v>8714</v>
      </c>
      <c r="F633" s="23">
        <f t="array" ref="F633">IFERROR(
    INDEX('Hub Interns 226'!A:A, MATCH(C633, 'Hub Interns 226'!B:B, 0)),"")</f>
        <v>972</v>
      </c>
      <c r="G633" s="23">
        <f t="array" ref="G633">IFERROR(
    INDEX('Hub Users 226'!A:A, MATCH(C633, 'Hub Users 226'!B:B, 0)),"")</f>
        <v>1405</v>
      </c>
      <c r="H633" s="28">
        <v>1395.0</v>
      </c>
      <c r="I633" s="28" t="s">
        <v>302</v>
      </c>
      <c r="J633" s="28" t="s">
        <v>2388</v>
      </c>
      <c r="K633" s="28" t="s">
        <v>5463</v>
      </c>
      <c r="L633" s="28" t="s">
        <v>5165</v>
      </c>
      <c r="M633" s="56" t="s">
        <v>9423</v>
      </c>
      <c r="N633" s="59">
        <v>44862.53055555555</v>
      </c>
      <c r="O633" s="58">
        <v>40396.0</v>
      </c>
      <c r="P633" s="28">
        <f t="shared" si="20"/>
        <v>15</v>
      </c>
      <c r="Q633" s="28" t="s">
        <v>240</v>
      </c>
      <c r="R633" s="28" t="s">
        <v>9424</v>
      </c>
      <c r="S633" s="28">
        <v>7.0</v>
      </c>
      <c r="T633" s="28">
        <v>12.0</v>
      </c>
      <c r="U633" s="28">
        <v>37.0</v>
      </c>
      <c r="V633" s="28">
        <v>26.0</v>
      </c>
      <c r="W633" s="28" t="s">
        <v>1173</v>
      </c>
      <c r="X633" s="28" t="s">
        <v>272</v>
      </c>
      <c r="Y633" s="28" t="s">
        <v>5351</v>
      </c>
      <c r="Z633" s="28" t="s">
        <v>5352</v>
      </c>
      <c r="AA633" s="28" t="s">
        <v>5287</v>
      </c>
      <c r="AB633" s="28">
        <v>26.0</v>
      </c>
      <c r="AC633" s="28" t="s">
        <v>23</v>
      </c>
      <c r="AD633" s="28" t="s">
        <v>101</v>
      </c>
      <c r="AE633" s="28" t="s">
        <v>15</v>
      </c>
      <c r="AF633" s="23"/>
      <c r="AG633" s="23"/>
      <c r="AH633" s="23" t="str">
        <f>IFERROR(__xludf.DUMMYFUNCTION("IF(
ISNUMBER(MATCH(
C633,
IMPORTRANGE(""https://docs.google.com/spreadsheets/d/1yTh1ELC33JHYOeEdgIiEclxPRyh0zOKtlawDltfUay8"",""'Interns'!A:A""),
0
)),
""Outreach Conducted"",
"""")"),"")</f>
        <v/>
      </c>
      <c r="AI633" s="23"/>
      <c r="AJ633" s="23"/>
      <c r="AK633" s="23" t="str">
        <f>IFERROR(__xludf.DUMMYFUNCTION("XLOOKUP(C633, 
   IMPORTRANGE(""1RdEdgHYrZ33LJ7RUHj_h-qkAFL92bcVjtIdVa-UlsCw"", ""Interns!D:D""), 
   IMPORTRANGE(""1RdEdgHYrZ33LJ7RUHj_h-qkAFL92bcVjtIdVa-UlsCw"", ""Interns!M:M""), 
   ""Not Found"")"),"Contacted")</f>
        <v>Contacted</v>
      </c>
      <c r="AL633" s="23" t="str">
        <f>IFERROR(__xludf.DUMMYFUNCTION("XLOOKUP(C633, 
   IMPORTRANGE(""1RdEdgHYrZ33LJ7RUHj_h-qkAFL92bcVjtIdVa-UlsCw"", ""Interns!D:D""), 
   IMPORTRANGE(""1RdEdgHYrZ33LJ7RUHj_h-qkAFL92bcVjtIdVa-UlsCw"", ""Interns!N:N""), 
   ""Not Found"")"),"#Cheers4Careers")</f>
        <v>#Cheers4Careers</v>
      </c>
      <c r="AM633" s="23" t="str">
        <f>IFERROR(__xludf.DUMMYFUNCTION("XLOOKUP(C633, 
   IMPORTRANGE(""1RdEdgHYrZ33LJ7RUHj_h-qkAFL92bcVjtIdVa-UlsCw"", ""Interns!D:D""), 
   IMPORTRANGE(""1RdEdgHYrZ33LJ7RUHj_h-qkAFL92bcVjtIdVa-UlsCw"", ""Interns!O:O""), 
   ""Not Found"")"),"Hetal reached out by email 3/27")</f>
        <v>Hetal reached out by email 3/27</v>
      </c>
      <c r="AN633" s="23"/>
      <c r="AO633" s="23" t="s">
        <v>9425</v>
      </c>
      <c r="AP633" s="28" t="s">
        <v>5191</v>
      </c>
      <c r="AQ633" s="28"/>
      <c r="AR633" s="23"/>
      <c r="AS633" s="23"/>
      <c r="AT633" s="23"/>
      <c r="AU633" s="23"/>
      <c r="AV633" s="23"/>
    </row>
    <row r="634">
      <c r="A634" s="28" t="s">
        <v>5202</v>
      </c>
      <c r="B634" s="28" t="s">
        <v>5162</v>
      </c>
      <c r="C634" s="23" t="str">
        <f t="shared" si="1"/>
        <v>Meybelin Nicole Marquez</v>
      </c>
      <c r="D634" s="28" t="s">
        <v>9426</v>
      </c>
      <c r="E634" s="28" t="s">
        <v>9427</v>
      </c>
      <c r="F634" s="23">
        <f t="array" ref="F634">IFERROR(
    INDEX('Hub Interns 226'!A:A, MATCH(C634, 'Hub Interns 226'!B:B, 0)),"")</f>
        <v>879</v>
      </c>
      <c r="G634" s="23">
        <f t="array" ref="G634">IFERROR(
    INDEX('Hub Users 226'!A:A, MATCH(C634, 'Hub Users 226'!B:B, 0)),"")</f>
        <v>1312</v>
      </c>
      <c r="H634" s="28">
        <v>613.0</v>
      </c>
      <c r="I634" s="28" t="s">
        <v>302</v>
      </c>
      <c r="J634" s="28" t="s">
        <v>9066</v>
      </c>
      <c r="K634" s="28" t="s">
        <v>5177</v>
      </c>
      <c r="L634" s="28" t="s">
        <v>5196</v>
      </c>
      <c r="M634" s="56" t="s">
        <v>9428</v>
      </c>
      <c r="N634" s="59">
        <v>44490.77638888889</v>
      </c>
      <c r="O634" s="58">
        <v>37796.0</v>
      </c>
      <c r="P634" s="28">
        <f t="shared" si="20"/>
        <v>22</v>
      </c>
      <c r="Q634" s="28" t="s">
        <v>9429</v>
      </c>
      <c r="R634" s="28" t="s">
        <v>9430</v>
      </c>
      <c r="S634" s="28">
        <v>14.0</v>
      </c>
      <c r="T634" s="28">
        <v>11.0</v>
      </c>
      <c r="U634" s="28">
        <v>27.0</v>
      </c>
      <c r="V634" s="28">
        <v>19.0</v>
      </c>
      <c r="W634" s="28" t="s">
        <v>1173</v>
      </c>
      <c r="X634" s="28" t="s">
        <v>272</v>
      </c>
      <c r="Y634" s="28">
        <v>3.47592032E9</v>
      </c>
      <c r="Z634" s="28" t="s">
        <v>5189</v>
      </c>
      <c r="AA634" s="28" t="s">
        <v>619</v>
      </c>
      <c r="AB634" s="28">
        <v>20.0</v>
      </c>
      <c r="AC634" s="28" t="s">
        <v>25</v>
      </c>
      <c r="AD634" s="23"/>
      <c r="AE634" s="28" t="s">
        <v>10</v>
      </c>
      <c r="AF634" s="23" t="str">
        <f>IFERROR(__xludf.DUMMYFUNCTION("TEXTJOIN("", "", TRUE,
  FILTER(Champions!C:C,
    ISNUMBER(SEARCH(C634, Champions!W:W))
  )
)"),"Renata Lozano Giral, Tiffany Soojung Park")</f>
        <v>Renata Lozano Giral, Tiffany Soojung Park</v>
      </c>
      <c r="AG634" s="23"/>
      <c r="AH634" s="23" t="str">
        <f>IFERROR(__xludf.DUMMYFUNCTION("IF(
ISNUMBER(MATCH(
C634,
IMPORTRANGE(""https://docs.google.com/spreadsheets/d/1yTh1ELC33JHYOeEdgIiEclxPRyh0zOKtlawDltfUay8"",""'Interns'!A:A""),
0
)),
""Outreach Conducted"",
"""")"),"")</f>
        <v/>
      </c>
      <c r="AI634" s="23"/>
      <c r="AJ634" s="23"/>
      <c r="AK634" s="23" t="str">
        <f>IFERROR(__xludf.DUMMYFUNCTION("XLOOKUP(C634, 
   IMPORTRANGE(""1RdEdgHYrZ33LJ7RUHj_h-qkAFL92bcVjtIdVa-UlsCw"", ""Interns!D:D""), 
   IMPORTRANGE(""1RdEdgHYrZ33LJ7RUHj_h-qkAFL92bcVjtIdVa-UlsCw"", ""Interns!M:M""), 
   ""Not Found"")"),"")</f>
        <v/>
      </c>
      <c r="AL634" s="23" t="str">
        <f>IFERROR(__xludf.DUMMYFUNCTION("XLOOKUP(C634, 
   IMPORTRANGE(""1RdEdgHYrZ33LJ7RUHj_h-qkAFL92bcVjtIdVa-UlsCw"", ""Interns!D:D""), 
   IMPORTRANGE(""1RdEdgHYrZ33LJ7RUHj_h-qkAFL92bcVjtIdVa-UlsCw"", ""Interns!N:N""), 
   ""Not Found"")"),"")</f>
        <v/>
      </c>
      <c r="AM634" s="23" t="str">
        <f>IFERROR(__xludf.DUMMYFUNCTION("XLOOKUP(C634, 
   IMPORTRANGE(""1RdEdgHYrZ33LJ7RUHj_h-qkAFL92bcVjtIdVa-UlsCw"", ""Interns!D:D""), 
   IMPORTRANGE(""1RdEdgHYrZ33LJ7RUHj_h-qkAFL92bcVjtIdVa-UlsCw"", ""Interns!O:O""), 
   ""Not Found"")"),"")</f>
        <v/>
      </c>
      <c r="AN634" s="23"/>
      <c r="AO634" s="23" t="s">
        <v>9431</v>
      </c>
      <c r="AP634" s="28" t="s">
        <v>9432</v>
      </c>
      <c r="AQ634" s="28"/>
      <c r="AR634" s="23" t="s">
        <v>9433</v>
      </c>
      <c r="AS634" s="23"/>
      <c r="AT634" s="23"/>
      <c r="AU634" s="23"/>
      <c r="AV634" s="23"/>
    </row>
    <row r="635">
      <c r="A635" s="28" t="s">
        <v>5161</v>
      </c>
      <c r="B635" s="28" t="s">
        <v>5162</v>
      </c>
      <c r="C635" s="23" t="str">
        <f t="shared" si="1"/>
        <v>Cristian Bravo</v>
      </c>
      <c r="D635" s="28" t="s">
        <v>8211</v>
      </c>
      <c r="E635" s="28" t="s">
        <v>9434</v>
      </c>
      <c r="F635" s="23">
        <f t="array" ref="F635">IFERROR(
    INDEX('Hub Interns 226'!A:A, MATCH(C635, 'Hub Interns 226'!B:B, 0)),"")</f>
        <v>391</v>
      </c>
      <c r="G635" s="23">
        <f t="array" ref="G635">IFERROR(
    INDEX('Hub Users 226'!A:A, MATCH(C635, 'Hub Users 226'!B:B, 0)),"")</f>
        <v>824</v>
      </c>
      <c r="H635" s="28">
        <v>1384.0</v>
      </c>
      <c r="I635" s="28" t="s">
        <v>1153</v>
      </c>
      <c r="J635" s="28" t="s">
        <v>2388</v>
      </c>
      <c r="K635" s="28" t="s">
        <v>5463</v>
      </c>
      <c r="L635" s="28" t="s">
        <v>8087</v>
      </c>
      <c r="M635" s="56" t="s">
        <v>9435</v>
      </c>
      <c r="N635" s="59">
        <v>44862.524305555555</v>
      </c>
      <c r="O635" s="58">
        <v>40522.0</v>
      </c>
      <c r="P635" s="28">
        <f t="shared" si="20"/>
        <v>15</v>
      </c>
      <c r="Q635" s="28" t="s">
        <v>9436</v>
      </c>
      <c r="R635" s="28" t="s">
        <v>9437</v>
      </c>
      <c r="S635" s="28">
        <v>7.0</v>
      </c>
      <c r="T635" s="28">
        <v>12.0</v>
      </c>
      <c r="U635" s="28">
        <v>37.0</v>
      </c>
      <c r="V635" s="28">
        <v>26.0</v>
      </c>
      <c r="W635" s="28" t="s">
        <v>1173</v>
      </c>
      <c r="X635" s="28" t="s">
        <v>272</v>
      </c>
      <c r="Y635" s="28" t="s">
        <v>5351</v>
      </c>
      <c r="Z635" s="28" t="s">
        <v>5352</v>
      </c>
      <c r="AA635" s="28" t="s">
        <v>5287</v>
      </c>
      <c r="AB635" s="28">
        <v>26.0</v>
      </c>
      <c r="AC635" s="28" t="s">
        <v>23</v>
      </c>
      <c r="AD635" s="28" t="s">
        <v>101</v>
      </c>
      <c r="AE635" s="28" t="s">
        <v>15</v>
      </c>
      <c r="AF635" s="23"/>
      <c r="AG635" s="23"/>
      <c r="AH635" s="23" t="str">
        <f>IFERROR(__xludf.DUMMYFUNCTION("IF(
ISNUMBER(MATCH(
C635,
IMPORTRANGE(""https://docs.google.com/spreadsheets/d/1yTh1ELC33JHYOeEdgIiEclxPRyh0zOKtlawDltfUay8"",""'Interns'!A:A""),
0
)),
""Outreach Conducted"",
"""")"),"")</f>
        <v/>
      </c>
      <c r="AI635" s="23"/>
      <c r="AJ635" s="23"/>
      <c r="AK635" s="23" t="str">
        <f>IFERROR(__xludf.DUMMYFUNCTION("XLOOKUP(C635, 
   IMPORTRANGE(""1RdEdgHYrZ33LJ7RUHj_h-qkAFL92bcVjtIdVa-UlsCw"", ""Interns!D:D""), 
   IMPORTRANGE(""1RdEdgHYrZ33LJ7RUHj_h-qkAFL92bcVjtIdVa-UlsCw"", ""Interns!M:M""), 
   ""Not Found"")"),"")</f>
        <v/>
      </c>
      <c r="AL635" s="23" t="str">
        <f>IFERROR(__xludf.DUMMYFUNCTION("XLOOKUP(C635, 
   IMPORTRANGE(""1RdEdgHYrZ33LJ7RUHj_h-qkAFL92bcVjtIdVa-UlsCw"", ""Interns!D:D""), 
   IMPORTRANGE(""1RdEdgHYrZ33LJ7RUHj_h-qkAFL92bcVjtIdVa-UlsCw"", ""Interns!N:N""), 
   ""Not Found"")"),"")</f>
        <v/>
      </c>
      <c r="AM635" s="23" t="str">
        <f>IFERROR(__xludf.DUMMYFUNCTION("XLOOKUP(C635, 
   IMPORTRANGE(""1RdEdgHYrZ33LJ7RUHj_h-qkAFL92bcVjtIdVa-UlsCw"", ""Interns!D:D""), 
   IMPORTRANGE(""1RdEdgHYrZ33LJ7RUHj_h-qkAFL92bcVjtIdVa-UlsCw"", ""Interns!O:O""), 
   ""Not Found"")"),"")</f>
        <v/>
      </c>
      <c r="AN635" s="23"/>
      <c r="AO635" s="23" t="s">
        <v>9438</v>
      </c>
      <c r="AP635" s="28" t="s">
        <v>5182</v>
      </c>
      <c r="AQ635" s="28"/>
      <c r="AR635" s="23"/>
      <c r="AS635" s="23"/>
      <c r="AT635" s="23"/>
      <c r="AU635" s="23"/>
      <c r="AV635" s="23"/>
    </row>
    <row r="636">
      <c r="A636" s="28" t="s">
        <v>5161</v>
      </c>
      <c r="B636" s="28" t="s">
        <v>5162</v>
      </c>
      <c r="C636" s="23" t="str">
        <f t="shared" si="1"/>
        <v>Gloria Guayan</v>
      </c>
      <c r="D636" s="28" t="s">
        <v>6546</v>
      </c>
      <c r="E636" s="28" t="s">
        <v>9439</v>
      </c>
      <c r="F636" s="23">
        <f t="array" ref="F636">IFERROR(
    INDEX('Hub Interns 226'!A:A, MATCH(C636, 'Hub Interns 226'!B:B, 0)),"")</f>
        <v>89</v>
      </c>
      <c r="G636" s="23">
        <f t="array" ref="G636">IFERROR(
    INDEX('Hub Users 226'!A:A, MATCH(C636, 'Hub Users 226'!B:B, 0)),"")</f>
        <v>522</v>
      </c>
      <c r="H636" s="28">
        <v>1547.0</v>
      </c>
      <c r="I636" s="28" t="s">
        <v>260</v>
      </c>
      <c r="J636" s="28" t="s">
        <v>2388</v>
      </c>
      <c r="K636" s="28" t="s">
        <v>5463</v>
      </c>
      <c r="L636" s="28" t="s">
        <v>5196</v>
      </c>
      <c r="M636" s="56" t="s">
        <v>9440</v>
      </c>
      <c r="N636" s="57">
        <v>44958.60763888889</v>
      </c>
      <c r="O636" s="58">
        <v>37947.0</v>
      </c>
      <c r="P636" s="28">
        <f t="shared" si="20"/>
        <v>22</v>
      </c>
      <c r="Q636" s="28" t="s">
        <v>240</v>
      </c>
      <c r="R636" s="28" t="s">
        <v>9441</v>
      </c>
      <c r="S636" s="28">
        <v>7.0</v>
      </c>
      <c r="T636" s="28">
        <v>18.0</v>
      </c>
      <c r="U636" s="28">
        <v>53.0</v>
      </c>
      <c r="V636" s="28">
        <v>37.0</v>
      </c>
      <c r="W636" s="28" t="s">
        <v>294</v>
      </c>
      <c r="X636" s="28" t="s">
        <v>272</v>
      </c>
      <c r="Y636" s="28" t="s">
        <v>9442</v>
      </c>
      <c r="Z636" s="28" t="s">
        <v>5259</v>
      </c>
      <c r="AA636" s="28" t="s">
        <v>704</v>
      </c>
      <c r="AB636" s="28">
        <v>2.0</v>
      </c>
      <c r="AC636" s="28" t="s">
        <v>23</v>
      </c>
      <c r="AD636" s="23"/>
      <c r="AE636" s="28" t="s">
        <v>15</v>
      </c>
      <c r="AF636" s="23"/>
      <c r="AG636" s="23"/>
      <c r="AH636" s="23" t="str">
        <f>IFERROR(__xludf.DUMMYFUNCTION("IF(
ISNUMBER(MATCH(
C636,
IMPORTRANGE(""https://docs.google.com/spreadsheets/d/1yTh1ELC33JHYOeEdgIiEclxPRyh0zOKtlawDltfUay8"",""'Interns'!A:A""),
0
)),
""Outreach Conducted"",
"""")"),"")</f>
        <v/>
      </c>
      <c r="AI636" s="23"/>
      <c r="AJ636" s="23"/>
      <c r="AK636" s="23" t="str">
        <f>IFERROR(__xludf.DUMMYFUNCTION("XLOOKUP(C636, 
   IMPORTRANGE(""1RdEdgHYrZ33LJ7RUHj_h-qkAFL92bcVjtIdVa-UlsCw"", ""Interns!D:D""), 
   IMPORTRANGE(""1RdEdgHYrZ33LJ7RUHj_h-qkAFL92bcVjtIdVa-UlsCw"", ""Interns!M:M""), 
   ""Not Found"")"),"Contacted")</f>
        <v>Contacted</v>
      </c>
      <c r="AL636" s="23" t="str">
        <f>IFERROR(__xludf.DUMMYFUNCTION("XLOOKUP(C636, 
   IMPORTRANGE(""1RdEdgHYrZ33LJ7RUHj_h-qkAFL92bcVjtIdVa-UlsCw"", ""Interns!D:D""), 
   IMPORTRANGE(""1RdEdgHYrZ33LJ7RUHj_h-qkAFL92bcVjtIdVa-UlsCw"", ""Interns!N:N""), 
   ""Not Found"")"),"#Cheers4Careers")</f>
        <v>#Cheers4Careers</v>
      </c>
      <c r="AM636" s="23" t="str">
        <f>IFERROR(__xludf.DUMMYFUNCTION("XLOOKUP(C636, 
   IMPORTRANGE(""1RdEdgHYrZ33LJ7RUHj_h-qkAFL92bcVjtIdVa-UlsCw"", ""Interns!D:D""), 
   IMPORTRANGE(""1RdEdgHYrZ33LJ7RUHj_h-qkAFL92bcVjtIdVa-UlsCw"", ""Interns!O:O""), 
   ""Not Found"")"),"Ousmane reached out by email 3/26 and reach out by text 3/28")</f>
        <v>Ousmane reached out by email 3/26 and reach out by text 3/28</v>
      </c>
      <c r="AN636" s="23"/>
      <c r="AO636" s="23" t="s">
        <v>9443</v>
      </c>
      <c r="AP636" s="28" t="s">
        <v>5908</v>
      </c>
      <c r="AQ636" s="28"/>
      <c r="AR636" s="23"/>
      <c r="AS636" s="23"/>
      <c r="AT636" s="23"/>
      <c r="AU636" s="23"/>
      <c r="AV636" s="23"/>
    </row>
    <row r="637">
      <c r="A637" s="28" t="s">
        <v>5161</v>
      </c>
      <c r="B637" s="28" t="s">
        <v>5162</v>
      </c>
      <c r="C637" s="23" t="str">
        <f t="shared" si="1"/>
        <v>Mayerli Torres</v>
      </c>
      <c r="D637" s="28" t="s">
        <v>9444</v>
      </c>
      <c r="E637" s="28" t="s">
        <v>6739</v>
      </c>
      <c r="F637" s="23">
        <f t="array" ref="F637">IFERROR(
    INDEX('Hub Interns 226'!A:A, MATCH(C637, 'Hub Interns 226'!B:B, 0)),"")</f>
        <v>905</v>
      </c>
      <c r="G637" s="23">
        <f t="array" ref="G637">IFERROR(
    INDEX('Hub Users 226'!A:A, MATCH(C637, 'Hub Users 226'!B:B, 0)),"")</f>
        <v>1338</v>
      </c>
      <c r="H637" s="28">
        <v>698.0</v>
      </c>
      <c r="I637" s="28" t="s">
        <v>260</v>
      </c>
      <c r="J637" s="28" t="s">
        <v>2388</v>
      </c>
      <c r="K637" s="28" t="s">
        <v>5463</v>
      </c>
      <c r="L637" s="28" t="s">
        <v>5196</v>
      </c>
      <c r="M637" s="56" t="s">
        <v>9445</v>
      </c>
      <c r="N637" s="59">
        <v>44546.56041666667</v>
      </c>
      <c r="O637" s="58">
        <v>39272.0</v>
      </c>
      <c r="P637" s="28">
        <f t="shared" si="20"/>
        <v>18</v>
      </c>
      <c r="Q637" s="28" t="s">
        <v>240</v>
      </c>
      <c r="R637" s="28" t="s">
        <v>9446</v>
      </c>
      <c r="S637" s="28">
        <v>10.0</v>
      </c>
      <c r="T637" s="28">
        <v>26.0</v>
      </c>
      <c r="U637" s="28">
        <v>51.0</v>
      </c>
      <c r="V637" s="28">
        <v>38.0</v>
      </c>
      <c r="W637" s="28" t="s">
        <v>294</v>
      </c>
      <c r="X637" s="28" t="s">
        <v>272</v>
      </c>
      <c r="Y637" s="28" t="s">
        <v>9447</v>
      </c>
      <c r="Z637" s="28" t="s">
        <v>5386</v>
      </c>
      <c r="AA637" s="28" t="s">
        <v>1887</v>
      </c>
      <c r="AB637" s="28">
        <v>47.0</v>
      </c>
      <c r="AC637" s="28" t="s">
        <v>25</v>
      </c>
      <c r="AD637" s="23"/>
      <c r="AE637" s="28" t="s">
        <v>10</v>
      </c>
      <c r="AF637" s="23" t="str">
        <f>IFERROR(__xludf.DUMMYFUNCTION("TEXTJOIN("", "", TRUE,
  FILTER(Champions!C:C,
    ISNUMBER(SEARCH(C637, Champions!W:W))
  )
)"),"Annie Camey Kuo, Yada Treesukosol")</f>
        <v>Annie Camey Kuo, Yada Treesukosol</v>
      </c>
      <c r="AG637" s="23"/>
      <c r="AH637" s="23" t="str">
        <f>IFERROR(__xludf.DUMMYFUNCTION("IF(
ISNUMBER(MATCH(
C637,
IMPORTRANGE(""https://docs.google.com/spreadsheets/d/1yTh1ELC33JHYOeEdgIiEclxPRyh0zOKtlawDltfUay8"",""'Interns'!A:A""),
0
)),
""Outreach Conducted"",
"""")"),"")</f>
        <v/>
      </c>
      <c r="AI637" s="23"/>
      <c r="AJ637" s="23"/>
      <c r="AK637" s="23" t="str">
        <f>IFERROR(__xludf.DUMMYFUNCTION("XLOOKUP(C637, 
   IMPORTRANGE(""1RdEdgHYrZ33LJ7RUHj_h-qkAFL92bcVjtIdVa-UlsCw"", ""Interns!D:D""), 
   IMPORTRANGE(""1RdEdgHYrZ33LJ7RUHj_h-qkAFL92bcVjtIdVa-UlsCw"", ""Interns!M:M""), 
   ""Not Found"")"),"Contacted")</f>
        <v>Contacted</v>
      </c>
      <c r="AL637" s="23" t="str">
        <f>IFERROR(__xludf.DUMMYFUNCTION("XLOOKUP(C637, 
   IMPORTRANGE(""1RdEdgHYrZ33LJ7RUHj_h-qkAFL92bcVjtIdVa-UlsCw"", ""Interns!D:D""), 
   IMPORTRANGE(""1RdEdgHYrZ33LJ7RUHj_h-qkAFL92bcVjtIdVa-UlsCw"", ""Interns!N:N""), 
   ""Not Found"")"),"#Cheers4Careers")</f>
        <v>#Cheers4Careers</v>
      </c>
      <c r="AM637" s="23" t="str">
        <f>IFERROR(__xludf.DUMMYFUNCTION("XLOOKUP(C637, 
   IMPORTRANGE(""1RdEdgHYrZ33LJ7RUHj_h-qkAFL92bcVjtIdVa-UlsCw"", ""Interns!D:D""), 
   IMPORTRANGE(""1RdEdgHYrZ33LJ7RUHj_h-qkAFL92bcVjtIdVa-UlsCw"", ""Interns!O:O""), 
   ""Not Found"")"),"Hetal reached out by email 3/27")</f>
        <v>Hetal reached out by email 3/27</v>
      </c>
      <c r="AN637" s="23"/>
      <c r="AO637" s="23" t="s">
        <v>9448</v>
      </c>
      <c r="AP637" s="28" t="s">
        <v>5182</v>
      </c>
      <c r="AQ637" s="28" t="s">
        <v>9449</v>
      </c>
      <c r="AR637" s="23" t="s">
        <v>9450</v>
      </c>
      <c r="AS637" s="23"/>
      <c r="AT637" s="23"/>
      <c r="AU637" s="23"/>
      <c r="AV637" s="23"/>
    </row>
    <row r="638">
      <c r="A638" s="28" t="s">
        <v>5161</v>
      </c>
      <c r="B638" s="28" t="s">
        <v>5162</v>
      </c>
      <c r="C638" s="23" t="str">
        <f t="shared" si="1"/>
        <v>Aylin Morocho</v>
      </c>
      <c r="D638" s="22" t="s">
        <v>9451</v>
      </c>
      <c r="E638" s="22" t="s">
        <v>8860</v>
      </c>
      <c r="F638" s="23"/>
      <c r="G638" s="23"/>
      <c r="H638" s="22">
        <v>1996.0</v>
      </c>
      <c r="I638" s="28"/>
      <c r="J638" s="28" t="s">
        <v>2388</v>
      </c>
      <c r="K638" s="28" t="s">
        <v>5463</v>
      </c>
      <c r="L638" s="28" t="s">
        <v>5196</v>
      </c>
      <c r="M638" s="29" t="s">
        <v>9452</v>
      </c>
      <c r="N638" s="63">
        <v>45615.5125</v>
      </c>
      <c r="O638" s="25">
        <v>41396.0</v>
      </c>
      <c r="P638" s="28">
        <f t="shared" si="20"/>
        <v>13</v>
      </c>
      <c r="Q638" s="62" t="s">
        <v>9453</v>
      </c>
      <c r="R638" s="22" t="s">
        <v>9454</v>
      </c>
      <c r="S638" s="28">
        <v>7.0</v>
      </c>
      <c r="T638" s="28">
        <v>12.0</v>
      </c>
      <c r="U638" s="28">
        <v>37.0</v>
      </c>
      <c r="V638" s="28">
        <v>26.0</v>
      </c>
      <c r="W638" s="23"/>
      <c r="X638" s="23"/>
      <c r="Y638" s="22">
        <v>3.474377439E9</v>
      </c>
      <c r="Z638" s="22" t="s">
        <v>5536</v>
      </c>
      <c r="AA638" s="28" t="s">
        <v>5287</v>
      </c>
      <c r="AB638" s="28">
        <v>26.0</v>
      </c>
      <c r="AC638" s="28" t="s">
        <v>27</v>
      </c>
      <c r="AD638" s="23"/>
      <c r="AE638" s="28" t="s">
        <v>19</v>
      </c>
      <c r="AF638" s="23"/>
      <c r="AG638" s="23"/>
      <c r="AH638" s="23" t="str">
        <f>IFERROR(__xludf.DUMMYFUNCTION("IF(
ISNUMBER(MATCH(
C638,
IMPORTRANGE(""https://docs.google.com/spreadsheets/d/1yTh1ELC33JHYOeEdgIiEclxPRyh0zOKtlawDltfUay8"",""'Interns'!A:A""),
0
)),
""Outreach Conducted"",
"""")"),"")</f>
        <v/>
      </c>
      <c r="AI638" s="23"/>
      <c r="AJ638" s="23"/>
      <c r="AK638" s="23"/>
      <c r="AL638" s="23" t="str">
        <f>IFERROR(__xludf.DUMMYFUNCTION("XLOOKUP(C638, 
   IMPORTRANGE(""1RdEdgHYrZ33LJ7RUHj_h-qkAFL92bcVjtIdVa-UlsCw"", ""Interns!D:D""), 
   IMPORTRANGE(""1RdEdgHYrZ33LJ7RUHj_h-qkAFL92bcVjtIdVa-UlsCw"", ""Interns!N:N""), 
   ""Not Found"")"),"Not Found")</f>
        <v>Not Found</v>
      </c>
      <c r="AM638" s="23" t="str">
        <f>IFERROR(__xludf.DUMMYFUNCTION("XLOOKUP(C638, 
   IMPORTRANGE(""1RdEdgHYrZ33LJ7RUHj_h-qkAFL92bcVjtIdVa-UlsCw"", ""Interns!D:D""), 
   IMPORTRANGE(""1RdEdgHYrZ33LJ7RUHj_h-qkAFL92bcVjtIdVa-UlsCw"", ""Interns!O:O""), 
   ""Not Found"")"),"Not Found")</f>
        <v>Not Found</v>
      </c>
      <c r="AN638" s="23"/>
      <c r="AO638" s="23" t="s">
        <v>9455</v>
      </c>
      <c r="AP638" s="28" t="s">
        <v>5182</v>
      </c>
      <c r="AQ638" s="28" t="s">
        <v>9456</v>
      </c>
      <c r="AR638" s="23">
        <v>9.294928772E9</v>
      </c>
      <c r="AS638" s="23"/>
      <c r="AT638" s="23"/>
      <c r="AU638" s="23"/>
      <c r="AV638" s="23"/>
    </row>
    <row r="639">
      <c r="A639" s="28" t="s">
        <v>5202</v>
      </c>
      <c r="B639" s="28" t="s">
        <v>5162</v>
      </c>
      <c r="C639" s="23" t="str">
        <f t="shared" si="1"/>
        <v>Andrea Magana</v>
      </c>
      <c r="D639" s="28" t="s">
        <v>422</v>
      </c>
      <c r="E639" s="28" t="s">
        <v>9457</v>
      </c>
      <c r="F639" s="23">
        <f t="array" ref="F639">IFERROR(
    INDEX('Hub Interns 226'!A:A, MATCH(C639, 'Hub Interns 226'!B:B, 0)),"")</f>
        <v>229</v>
      </c>
      <c r="G639" s="23">
        <f t="array" ref="G639">IFERROR(
    INDEX('Hub Users 226'!A:A, MATCH(C639, 'Hub Users 226'!B:B, 0)),"")</f>
        <v>662</v>
      </c>
      <c r="H639" s="28">
        <v>887.0</v>
      </c>
      <c r="I639" s="28"/>
      <c r="J639" s="28" t="s">
        <v>9066</v>
      </c>
      <c r="K639" s="28" t="s">
        <v>5177</v>
      </c>
      <c r="L639" s="28" t="s">
        <v>5196</v>
      </c>
      <c r="M639" s="56" t="s">
        <v>9458</v>
      </c>
      <c r="N639" s="57">
        <v>44601.52916666667</v>
      </c>
      <c r="O639" s="58">
        <v>38702.0</v>
      </c>
      <c r="P639" s="28">
        <f t="shared" si="20"/>
        <v>20</v>
      </c>
      <c r="Q639" s="28" t="s">
        <v>240</v>
      </c>
      <c r="R639" s="28" t="s">
        <v>9459</v>
      </c>
      <c r="S639" s="28">
        <v>14.0</v>
      </c>
      <c r="T639" s="28">
        <v>11.0</v>
      </c>
      <c r="U639" s="28">
        <v>27.0</v>
      </c>
      <c r="V639" s="28">
        <v>19.0</v>
      </c>
      <c r="W639" s="28" t="s">
        <v>1173</v>
      </c>
      <c r="X639" s="28" t="s">
        <v>272</v>
      </c>
      <c r="Y639" s="28" t="s">
        <v>9460</v>
      </c>
      <c r="Z639" s="28" t="s">
        <v>5189</v>
      </c>
      <c r="AA639" s="28" t="s">
        <v>619</v>
      </c>
      <c r="AB639" s="28">
        <v>20.0</v>
      </c>
      <c r="AC639" s="28" t="s">
        <v>24</v>
      </c>
      <c r="AD639" s="23"/>
      <c r="AE639" s="28" t="s">
        <v>10</v>
      </c>
      <c r="AF639" s="23"/>
      <c r="AG639" s="23"/>
      <c r="AH639" s="23" t="str">
        <f>IFERROR(__xludf.DUMMYFUNCTION("IF(
ISNUMBER(MATCH(
C639,
IMPORTRANGE(""https://docs.google.com/spreadsheets/d/1yTh1ELC33JHYOeEdgIiEclxPRyh0zOKtlawDltfUay8"",""'Interns'!A:A""),
0
)),
""Outreach Conducted"",
"""")"),"")</f>
        <v/>
      </c>
      <c r="AI639" s="23"/>
      <c r="AJ639" s="23"/>
      <c r="AK639" s="23" t="str">
        <f>IFERROR(__xludf.DUMMYFUNCTION("XLOOKUP(C639, 
   IMPORTRANGE(""1RdEdgHYrZ33LJ7RUHj_h-qkAFL92bcVjtIdVa-UlsCw"", ""Interns!D:D""), 
   IMPORTRANGE(""1RdEdgHYrZ33LJ7RUHj_h-qkAFL92bcVjtIdVa-UlsCw"", ""Interns!M:M""), 
   ""Not Found"")"),"")</f>
        <v/>
      </c>
      <c r="AL639" s="23" t="str">
        <f>IFERROR(__xludf.DUMMYFUNCTION("XLOOKUP(C639, 
   IMPORTRANGE(""1RdEdgHYrZ33LJ7RUHj_h-qkAFL92bcVjtIdVa-UlsCw"", ""Interns!D:D""), 
   IMPORTRANGE(""1RdEdgHYrZ33LJ7RUHj_h-qkAFL92bcVjtIdVa-UlsCw"", ""Interns!N:N""), 
   ""Not Found"")"),"")</f>
        <v/>
      </c>
      <c r="AM639" s="23" t="str">
        <f>IFERROR(__xludf.DUMMYFUNCTION("XLOOKUP(C639, 
   IMPORTRANGE(""1RdEdgHYrZ33LJ7RUHj_h-qkAFL92bcVjtIdVa-UlsCw"", ""Interns!D:D""), 
   IMPORTRANGE(""1RdEdgHYrZ33LJ7RUHj_h-qkAFL92bcVjtIdVa-UlsCw"", ""Interns!O:O""), 
   ""Not Found"")"),"")</f>
        <v/>
      </c>
      <c r="AN639" s="23"/>
      <c r="AO639" s="23" t="s">
        <v>9461</v>
      </c>
      <c r="AP639" s="28" t="s">
        <v>5182</v>
      </c>
      <c r="AQ639" s="28"/>
      <c r="AR639" s="23"/>
      <c r="AS639" s="23"/>
      <c r="AT639" s="23"/>
      <c r="AU639" s="23"/>
      <c r="AV639" s="23"/>
    </row>
    <row r="640">
      <c r="A640" s="28" t="s">
        <v>5161</v>
      </c>
      <c r="B640" s="28" t="s">
        <v>5162</v>
      </c>
      <c r="C640" s="23" t="str">
        <f t="shared" si="1"/>
        <v>Julissa Vazquez</v>
      </c>
      <c r="D640" s="22" t="s">
        <v>9462</v>
      </c>
      <c r="E640" s="22" t="s">
        <v>9463</v>
      </c>
      <c r="F640" s="23"/>
      <c r="G640" s="23"/>
      <c r="H640" s="22">
        <v>1912.0</v>
      </c>
      <c r="I640" s="28"/>
      <c r="J640" s="28" t="s">
        <v>2388</v>
      </c>
      <c r="K640" s="28" t="s">
        <v>5463</v>
      </c>
      <c r="L640" s="28" t="s">
        <v>5196</v>
      </c>
      <c r="M640" s="29" t="s">
        <v>9464</v>
      </c>
      <c r="N640" s="61">
        <v>45793.62222222222</v>
      </c>
      <c r="O640" s="25">
        <v>41296.0</v>
      </c>
      <c r="P640" s="28">
        <f t="shared" si="20"/>
        <v>13</v>
      </c>
      <c r="Q640" s="62" t="s">
        <v>9465</v>
      </c>
      <c r="R640" s="22" t="s">
        <v>9466</v>
      </c>
      <c r="S640" s="28">
        <v>7.0</v>
      </c>
      <c r="T640" s="28">
        <v>12.0</v>
      </c>
      <c r="U640" s="28">
        <v>37.0</v>
      </c>
      <c r="V640" s="28">
        <v>26.0</v>
      </c>
      <c r="W640" s="28" t="s">
        <v>1173</v>
      </c>
      <c r="X640" s="28" t="s">
        <v>272</v>
      </c>
      <c r="Y640" s="22" t="s">
        <v>9467</v>
      </c>
      <c r="Z640" s="22" t="s">
        <v>9468</v>
      </c>
      <c r="AA640" s="28" t="s">
        <v>5287</v>
      </c>
      <c r="AB640" s="28">
        <v>26.0</v>
      </c>
      <c r="AC640" s="28" t="s">
        <v>22</v>
      </c>
      <c r="AD640" s="23"/>
      <c r="AE640" s="28" t="s">
        <v>19</v>
      </c>
      <c r="AF640" s="23"/>
      <c r="AG640" s="23"/>
      <c r="AH640" s="23" t="str">
        <f>IFERROR(__xludf.DUMMYFUNCTION("IF(
ISNUMBER(MATCH(
C640,
IMPORTRANGE(""https://docs.google.com/spreadsheets/d/1yTh1ELC33JHYOeEdgIiEclxPRyh0zOKtlawDltfUay8"",""'Interns'!A:A""),
0
)),
""Outreach Conducted"",
"""")"),"")</f>
        <v/>
      </c>
      <c r="AI640" s="23"/>
      <c r="AJ640" s="23"/>
      <c r="AK640" s="23"/>
      <c r="AL640" s="23" t="str">
        <f>IFERROR(__xludf.DUMMYFUNCTION("XLOOKUP(C640, 
   IMPORTRANGE(""1RdEdgHYrZ33LJ7RUHj_h-qkAFL92bcVjtIdVa-UlsCw"", ""Interns!D:D""), 
   IMPORTRANGE(""1RdEdgHYrZ33LJ7RUHj_h-qkAFL92bcVjtIdVa-UlsCw"", ""Interns!N:N""), 
   ""Not Found"")"),"#Cheers4Careers")</f>
        <v>#Cheers4Careers</v>
      </c>
      <c r="AM640" s="23" t="str">
        <f>IFERROR(__xludf.DUMMYFUNCTION("XLOOKUP(C640, 
   IMPORTRANGE(""1RdEdgHYrZ33LJ7RUHj_h-qkAFL92bcVjtIdVa-UlsCw"", ""Interns!D:D""), 
   IMPORTRANGE(""1RdEdgHYrZ33LJ7RUHj_h-qkAFL92bcVjtIdVa-UlsCw"", ""Interns!O:O""), 
   ""Not Found"")"),"Hetal reached out by email 3/27, email was blocked")</f>
        <v>Hetal reached out by email 3/27, email was blocked</v>
      </c>
      <c r="AN640" s="23"/>
      <c r="AO640" s="23" t="s">
        <v>6689</v>
      </c>
      <c r="AP640" s="28" t="s">
        <v>5191</v>
      </c>
      <c r="AQ640" s="28" t="s">
        <v>9469</v>
      </c>
      <c r="AR640" s="23" t="s">
        <v>9470</v>
      </c>
      <c r="AS640" s="23"/>
      <c r="AT640" s="23"/>
      <c r="AU640" s="23"/>
      <c r="AV640" s="23"/>
    </row>
    <row r="641">
      <c r="A641" s="28" t="s">
        <v>5161</v>
      </c>
      <c r="B641" s="28" t="s">
        <v>5162</v>
      </c>
      <c r="C641" s="23" t="str">
        <f t="shared" si="1"/>
        <v>Maria (Mafer) Matute</v>
      </c>
      <c r="D641" s="28" t="s">
        <v>9471</v>
      </c>
      <c r="E641" s="28" t="s">
        <v>9472</v>
      </c>
      <c r="F641" s="23">
        <f t="array" ref="F641">IFERROR(
    INDEX('Hub Interns 226'!A:A, MATCH("Mafer", 'Hub Interns 226'!B:B, 0)),"")</f>
        <v>1387</v>
      </c>
      <c r="G641" s="23">
        <f t="array" ref="G641">IFERROR(
    INDEX('Hub Users 226'!A:A, MATCH("Maria Matute", 'Hub Users 226'!B:B, 0)),"")</f>
        <v>1932</v>
      </c>
      <c r="H641" s="28">
        <v>1799.0</v>
      </c>
      <c r="I641" s="28" t="s">
        <v>260</v>
      </c>
      <c r="J641" s="28" t="s">
        <v>2388</v>
      </c>
      <c r="K641" s="28" t="s">
        <v>5463</v>
      </c>
      <c r="L641" s="28" t="s">
        <v>5196</v>
      </c>
      <c r="M641" s="56" t="s">
        <v>9473</v>
      </c>
      <c r="N641" s="57">
        <v>45321.916666666664</v>
      </c>
      <c r="O641" s="58">
        <v>38503.0</v>
      </c>
      <c r="P641" s="28">
        <f t="shared" si="20"/>
        <v>20</v>
      </c>
      <c r="Q641" s="28" t="s">
        <v>9474</v>
      </c>
      <c r="R641" s="28" t="s">
        <v>9475</v>
      </c>
      <c r="S641" s="28">
        <v>7.0</v>
      </c>
      <c r="T641" s="28">
        <v>12.0</v>
      </c>
      <c r="U641" s="28">
        <v>30.0</v>
      </c>
      <c r="V641" s="28">
        <v>26.0</v>
      </c>
      <c r="W641" s="28" t="s">
        <v>271</v>
      </c>
      <c r="X641" s="28" t="s">
        <v>272</v>
      </c>
      <c r="Y641" s="28">
        <v>3.478374244E9</v>
      </c>
      <c r="Z641" s="28" t="s">
        <v>5259</v>
      </c>
      <c r="AA641" s="28" t="s">
        <v>704</v>
      </c>
      <c r="AB641" s="28">
        <v>2.0</v>
      </c>
      <c r="AC641" s="28" t="s">
        <v>27</v>
      </c>
      <c r="AD641" s="28" t="s">
        <v>101</v>
      </c>
      <c r="AE641" s="28" t="s">
        <v>18</v>
      </c>
      <c r="AF641" s="23"/>
      <c r="AG641" s="23"/>
      <c r="AH641" s="23" t="str">
        <f>IFERROR(__xludf.DUMMYFUNCTION("IF(
ISNUMBER(MATCH(
C641,
IMPORTRANGE(""https://docs.google.com/spreadsheets/d/1yTh1ELC33JHYOeEdgIiEclxPRyh0zOKtlawDltfUay8"",""'Interns'!A:A""),
0
)),
""Outreach Conducted"",
"""")"),"")</f>
        <v/>
      </c>
      <c r="AI641" s="23"/>
      <c r="AJ641" s="23"/>
      <c r="AK641" s="23" t="str">
        <f>IFERROR(__xludf.DUMMYFUNCTION("XLOOKUP(C641, 
   IMPORTRANGE(""1RdEdgHYrZ33LJ7RUHj_h-qkAFL92bcVjtIdVa-UlsCw"", ""Interns!D:D""), 
   IMPORTRANGE(""1RdEdgHYrZ33LJ7RUHj_h-qkAFL92bcVjtIdVa-UlsCw"", ""Interns!M:M""), 
   ""Not Found"")"),"Contacted")</f>
        <v>Contacted</v>
      </c>
      <c r="AL641" s="23" t="str">
        <f>IFERROR(__xludf.DUMMYFUNCTION("XLOOKUP(C641, 
   IMPORTRANGE(""1RdEdgHYrZ33LJ7RUHj_h-qkAFL92bcVjtIdVa-UlsCw"", ""Interns!D:D""), 
   IMPORTRANGE(""1RdEdgHYrZ33LJ7RUHj_h-qkAFL92bcVjtIdVa-UlsCw"", ""Interns!N:N""), 
   ""Not Found"")"),"#Cheers4Careers")</f>
        <v>#Cheers4Careers</v>
      </c>
      <c r="AM641" s="23" t="str">
        <f>IFERROR(__xludf.DUMMYFUNCTION("XLOOKUP(C641, 
   IMPORTRANGE(""1RdEdgHYrZ33LJ7RUHj_h-qkAFL92bcVjtIdVa-UlsCw"", ""Interns!D:D""), 
   IMPORTRANGE(""1RdEdgHYrZ33LJ7RUHj_h-qkAFL92bcVjtIdVa-UlsCw"", ""Interns!O:O""), 
   ""Not Found"")"),"Ousmane reached out by email 3/26 and reach out by text 3/28")</f>
        <v>Ousmane reached out by email 3/26 and reach out by text 3/28</v>
      </c>
      <c r="AN641" s="23"/>
      <c r="AO641" s="23" t="s">
        <v>6733</v>
      </c>
      <c r="AP641" s="28" t="s">
        <v>5908</v>
      </c>
      <c r="AQ641" s="28" t="s">
        <v>9476</v>
      </c>
      <c r="AR641" s="23">
        <v>9.29325661E9</v>
      </c>
      <c r="AS641" s="23"/>
      <c r="AT641" s="23"/>
      <c r="AU641" s="23"/>
      <c r="AV641" s="23"/>
    </row>
    <row r="642">
      <c r="A642" s="28" t="s">
        <v>5161</v>
      </c>
      <c r="B642" s="28" t="s">
        <v>5162</v>
      </c>
      <c r="C642" s="23" t="str">
        <f t="shared" si="1"/>
        <v>Richard Andagana</v>
      </c>
      <c r="D642" s="28" t="s">
        <v>9477</v>
      </c>
      <c r="E642" s="28" t="s">
        <v>9478</v>
      </c>
      <c r="F642" s="23">
        <f t="array" ref="F642">IFERROR(
    INDEX('Hub Interns 226'!A:A, MATCH("Richard", 'Hub Interns 226'!B:B, 0)),"")</f>
        <v>1365</v>
      </c>
      <c r="G642" s="23">
        <f t="array" ref="G642">IFERROR(
    INDEX('Hub Users 226'!A:A, MATCH(C642, 'Hub Users 226'!B:B, 0)),"")</f>
        <v>1907</v>
      </c>
      <c r="H642" s="28">
        <v>1785.0</v>
      </c>
      <c r="I642" s="28" t="s">
        <v>290</v>
      </c>
      <c r="J642" s="28" t="s">
        <v>2388</v>
      </c>
      <c r="K642" s="28" t="s">
        <v>5463</v>
      </c>
      <c r="L642" s="28" t="s">
        <v>5165</v>
      </c>
      <c r="M642" s="56" t="s">
        <v>9479</v>
      </c>
      <c r="N642" s="57">
        <v>45312.941666666666</v>
      </c>
      <c r="O642" s="58">
        <v>38795.0</v>
      </c>
      <c r="P642" s="28">
        <f t="shared" si="20"/>
        <v>20</v>
      </c>
      <c r="Q642" s="28" t="s">
        <v>9480</v>
      </c>
      <c r="R642" s="28" t="s">
        <v>9481</v>
      </c>
      <c r="S642" s="28">
        <v>8.0</v>
      </c>
      <c r="T642" s="28">
        <v>25.0</v>
      </c>
      <c r="U642" s="28">
        <v>56.0</v>
      </c>
      <c r="V642" s="28">
        <v>36.0</v>
      </c>
      <c r="W642" s="28" t="s">
        <v>294</v>
      </c>
      <c r="X642" s="28" t="s">
        <v>272</v>
      </c>
      <c r="Y642" s="28">
        <v>3.474037282E9</v>
      </c>
      <c r="Z642" s="28" t="s">
        <v>5259</v>
      </c>
      <c r="AA642" s="28" t="s">
        <v>704</v>
      </c>
      <c r="AB642" s="28">
        <v>2.0</v>
      </c>
      <c r="AC642" s="28" t="s">
        <v>27</v>
      </c>
      <c r="AD642" s="28" t="s">
        <v>101</v>
      </c>
      <c r="AE642" s="28" t="s">
        <v>18</v>
      </c>
      <c r="AF642" s="23"/>
      <c r="AG642" s="23"/>
      <c r="AH642" s="23" t="str">
        <f>IFERROR(__xludf.DUMMYFUNCTION("IF(
ISNUMBER(MATCH(
C642,
IMPORTRANGE(""https://docs.google.com/spreadsheets/d/1yTh1ELC33JHYOeEdgIiEclxPRyh0zOKtlawDltfUay8"",""'Interns'!A:A""),
0
)),
""Outreach Conducted"",
"""")"),"")</f>
        <v/>
      </c>
      <c r="AI642" s="23"/>
      <c r="AJ642" s="23"/>
      <c r="AK642" s="23" t="str">
        <f>IFERROR(__xludf.DUMMYFUNCTION("XLOOKUP(C642, 
   IMPORTRANGE(""1RdEdgHYrZ33LJ7RUHj_h-qkAFL92bcVjtIdVa-UlsCw"", ""Interns!D:D""), 
   IMPORTRANGE(""1RdEdgHYrZ33LJ7RUHj_h-qkAFL92bcVjtIdVa-UlsCw"", ""Interns!M:M""), 
   ""Not Found"")"),"Contacted")</f>
        <v>Contacted</v>
      </c>
      <c r="AL642" s="23" t="str">
        <f>IFERROR(__xludf.DUMMYFUNCTION("XLOOKUP(C642, 
   IMPORTRANGE(""1RdEdgHYrZ33LJ7RUHj_h-qkAFL92bcVjtIdVa-UlsCw"", ""Interns!D:D""), 
   IMPORTRANGE(""1RdEdgHYrZ33LJ7RUHj_h-qkAFL92bcVjtIdVa-UlsCw"", ""Interns!N:N""), 
   ""Not Found"")"),"#Cheers4Careers")</f>
        <v>#Cheers4Careers</v>
      </c>
      <c r="AM642" s="23" t="str">
        <f>IFERROR(__xludf.DUMMYFUNCTION("XLOOKUP(C642, 
   IMPORTRANGE(""1RdEdgHYrZ33LJ7RUHj_h-qkAFL92bcVjtIdVa-UlsCw"", ""Interns!D:D""), 
   IMPORTRANGE(""1RdEdgHYrZ33LJ7RUHj_h-qkAFL92bcVjtIdVa-UlsCw"", ""Interns!O:O""), 
   ""Not Found"")"),"Ousmane reached out by email 3/26 and reach out by text 3/28")</f>
        <v>Ousmane reached out by email 3/26 and reach out by text 3/28</v>
      </c>
      <c r="AN642" s="23"/>
      <c r="AO642" s="23" t="s">
        <v>9482</v>
      </c>
      <c r="AP642" s="28" t="s">
        <v>5182</v>
      </c>
      <c r="AQ642" s="28" t="s">
        <v>9483</v>
      </c>
      <c r="AR642" s="23" t="s">
        <v>9484</v>
      </c>
      <c r="AS642" s="23"/>
      <c r="AT642" s="23"/>
      <c r="AU642" s="23"/>
      <c r="AV642" s="23"/>
    </row>
    <row r="643">
      <c r="A643" s="28" t="s">
        <v>5202</v>
      </c>
      <c r="B643" s="28" t="s">
        <v>5162</v>
      </c>
      <c r="C643" s="23" t="str">
        <f t="shared" si="1"/>
        <v>Toran Mohamed</v>
      </c>
      <c r="D643" s="28" t="s">
        <v>9485</v>
      </c>
      <c r="E643" s="28" t="s">
        <v>9486</v>
      </c>
      <c r="F643" s="23" t="str">
        <f t="array" ref="F643">IFERROR(
    INDEX('Hub Interns 226'!A:A, MATCH(C643, 'Hub Interns 226'!B:B, 0)),"")</f>
        <v/>
      </c>
      <c r="G643" s="23" t="str">
        <f t="array" ref="G643">IFERROR(
    INDEX('Hub Users 226'!A:A, MATCH(C643, 'Hub Users 226'!B:B, 0)),"")</f>
        <v/>
      </c>
      <c r="H643" s="28">
        <v>1207.0</v>
      </c>
      <c r="I643" s="28" t="s">
        <v>239</v>
      </c>
      <c r="J643" s="28" t="s">
        <v>9487</v>
      </c>
      <c r="K643" s="28" t="s">
        <v>5186</v>
      </c>
      <c r="L643" s="28" t="s">
        <v>5165</v>
      </c>
      <c r="M643" s="28"/>
      <c r="N643" s="57">
        <v>44835.771527777775</v>
      </c>
      <c r="O643" s="58">
        <v>37858.0</v>
      </c>
      <c r="P643" s="28">
        <f t="shared" si="20"/>
        <v>22</v>
      </c>
      <c r="Q643" s="28" t="s">
        <v>9488</v>
      </c>
      <c r="R643" s="28" t="s">
        <v>9489</v>
      </c>
      <c r="S643" s="28">
        <v>15.0</v>
      </c>
      <c r="T643" s="28">
        <v>33.0</v>
      </c>
      <c r="U643" s="28">
        <v>81.0</v>
      </c>
      <c r="V643" s="28">
        <v>11.0</v>
      </c>
      <c r="W643" s="28" t="s">
        <v>859</v>
      </c>
      <c r="X643" s="28" t="s">
        <v>272</v>
      </c>
      <c r="Y643" s="23"/>
      <c r="Z643" s="28" t="s">
        <v>5435</v>
      </c>
      <c r="AA643" s="28" t="s">
        <v>5436</v>
      </c>
      <c r="AB643" s="28">
        <v>10.0</v>
      </c>
      <c r="AC643" s="28" t="s">
        <v>25</v>
      </c>
      <c r="AD643" s="23"/>
      <c r="AE643" s="28" t="s">
        <v>15</v>
      </c>
      <c r="AF643" s="23" t="str">
        <f>IFERROR(__xludf.DUMMYFUNCTION("TEXTJOIN("", "", TRUE,
  FILTER(Champions!C:C,
    ISNUMBER(SEARCH(C643, Champions!W:W))
  )
)"),"#N/A")</f>
        <v>#N/A</v>
      </c>
      <c r="AG643" s="23"/>
      <c r="AH643" s="23" t="str">
        <f>IFERROR(__xludf.DUMMYFUNCTION("IF(
ISNUMBER(MATCH(
C643,
IMPORTRANGE(""https://docs.google.com/spreadsheets/d/1yTh1ELC33JHYOeEdgIiEclxPRyh0zOKtlawDltfUay8"",""'Interns'!A:A""),
0
)),
""Outreach Conducted"",
"""")"),"")</f>
        <v/>
      </c>
      <c r="AI643" s="23"/>
      <c r="AJ643" s="23"/>
      <c r="AK643" s="23" t="str">
        <f>IFERROR(__xludf.DUMMYFUNCTION("XLOOKUP(C643, 
   IMPORTRANGE(""1RdEdgHYrZ33LJ7RUHj_h-qkAFL92bcVjtIdVa-UlsCw"", ""Interns!D:D""), 
   IMPORTRANGE(""1RdEdgHYrZ33LJ7RUHj_h-qkAFL92bcVjtIdVa-UlsCw"", ""Interns!M:M""), 
   ""Not Found"")"),"")</f>
        <v/>
      </c>
      <c r="AL643" s="23" t="str">
        <f>IFERROR(__xludf.DUMMYFUNCTION("XLOOKUP(C643, 
   IMPORTRANGE(""1RdEdgHYrZ33LJ7RUHj_h-qkAFL92bcVjtIdVa-UlsCw"", ""Interns!D:D""), 
   IMPORTRANGE(""1RdEdgHYrZ33LJ7RUHj_h-qkAFL92bcVjtIdVa-UlsCw"", ""Interns!N:N""), 
   ""Not Found"")"),"")</f>
        <v/>
      </c>
      <c r="AM643" s="23" t="str">
        <f>IFERROR(__xludf.DUMMYFUNCTION("XLOOKUP(C643, 
   IMPORTRANGE(""1RdEdgHYrZ33LJ7RUHj_h-qkAFL92bcVjtIdVa-UlsCw"", ""Interns!D:D""), 
   IMPORTRANGE(""1RdEdgHYrZ33LJ7RUHj_h-qkAFL92bcVjtIdVa-UlsCw"", ""Interns!O:O""), 
   ""Not Found"")"),"")</f>
        <v/>
      </c>
      <c r="AN643" s="23"/>
      <c r="AO643" s="23" t="s">
        <v>9490</v>
      </c>
      <c r="AP643" s="28" t="s">
        <v>5191</v>
      </c>
      <c r="AQ643" s="28" t="s">
        <v>9491</v>
      </c>
      <c r="AR643" s="23">
        <v>3.47327653E9</v>
      </c>
      <c r="AS643" s="23"/>
      <c r="AT643" s="23"/>
      <c r="AU643" s="23"/>
      <c r="AV643" s="23"/>
    </row>
    <row r="644">
      <c r="A644" s="28" t="s">
        <v>5161</v>
      </c>
      <c r="B644" s="28" t="s">
        <v>5162</v>
      </c>
      <c r="C644" s="23" t="str">
        <f t="shared" si="1"/>
        <v>Katherine (Katy) Flores</v>
      </c>
      <c r="D644" s="28" t="s">
        <v>9492</v>
      </c>
      <c r="E644" s="28" t="s">
        <v>3101</v>
      </c>
      <c r="F644" s="23">
        <f t="array" ref="F644">IFERROR(
    INDEX('Hub Interns 226'!A:A, MATCH(C644, 'Hub Interns 226'!B:B, 0)),"")</f>
        <v>1747</v>
      </c>
      <c r="G644" s="23">
        <f t="array" ref="G644">IFERROR(
    INDEX('Hub Users 226'!A:A, MATCH(C644, 'Hub Users 226'!B:B, 0)),"")</f>
        <v>2577</v>
      </c>
      <c r="H644" s="28">
        <v>1781.0</v>
      </c>
      <c r="I644" s="28" t="s">
        <v>290</v>
      </c>
      <c r="J644" s="28" t="s">
        <v>2388</v>
      </c>
      <c r="K644" s="28" t="s">
        <v>5463</v>
      </c>
      <c r="L644" s="28" t="s">
        <v>5196</v>
      </c>
      <c r="M644" s="56" t="s">
        <v>9493</v>
      </c>
      <c r="N644" s="57">
        <v>45312.8875</v>
      </c>
      <c r="O644" s="58">
        <v>38702.0</v>
      </c>
      <c r="P644" s="28">
        <f t="shared" si="20"/>
        <v>20</v>
      </c>
      <c r="Q644" s="28" t="s">
        <v>9494</v>
      </c>
      <c r="R644" s="28" t="s">
        <v>9495</v>
      </c>
      <c r="S644" s="28">
        <v>7.0</v>
      </c>
      <c r="T644" s="28">
        <v>18.0</v>
      </c>
      <c r="U644" s="28">
        <v>53.0</v>
      </c>
      <c r="V644" s="28">
        <v>37.0</v>
      </c>
      <c r="W644" s="28" t="s">
        <v>294</v>
      </c>
      <c r="X644" s="28" t="s">
        <v>272</v>
      </c>
      <c r="Y644" s="28" t="s">
        <v>9496</v>
      </c>
      <c r="Z644" s="28" t="s">
        <v>5259</v>
      </c>
      <c r="AA644" s="28" t="s">
        <v>704</v>
      </c>
      <c r="AB644" s="28">
        <v>2.0</v>
      </c>
      <c r="AC644" s="28" t="s">
        <v>25</v>
      </c>
      <c r="AD644" s="23"/>
      <c r="AE644" s="28" t="s">
        <v>18</v>
      </c>
      <c r="AF644" s="23" t="str">
        <f>IFERROR(__xludf.DUMMYFUNCTION("TEXTJOIN("", "", TRUE,
  FILTER(Champions!C:C,
    ISNUMBER(SEARCH(C644, Champions!W:W))
  )
)"),"Brandy Fonkam, Frances Tseng")</f>
        <v>Brandy Fonkam, Frances Tseng</v>
      </c>
      <c r="AG644" s="23"/>
      <c r="AH644" s="23" t="str">
        <f>IFERROR(__xludf.DUMMYFUNCTION("IF(
ISNUMBER(MATCH(
C644,
IMPORTRANGE(""https://docs.google.com/spreadsheets/d/1yTh1ELC33JHYOeEdgIiEclxPRyh0zOKtlawDltfUay8"",""'Interns'!A:A""),
0
)),
""Outreach Conducted"",
"""")"),"")</f>
        <v/>
      </c>
      <c r="AI644" s="23"/>
      <c r="AJ644" s="28" t="s">
        <v>9497</v>
      </c>
      <c r="AK644" s="23" t="str">
        <f>IFERROR(__xludf.DUMMYFUNCTION("XLOOKUP(C644, 
   IMPORTRANGE(""1RdEdgHYrZ33LJ7RUHj_h-qkAFL92bcVjtIdVa-UlsCw"", ""Interns!D:D""), 
   IMPORTRANGE(""1RdEdgHYrZ33LJ7RUHj_h-qkAFL92bcVjtIdVa-UlsCw"", ""Interns!M:M""), 
   ""Not Found"")"),"Contacted")</f>
        <v>Contacted</v>
      </c>
      <c r="AL644" s="23" t="str">
        <f>IFERROR(__xludf.DUMMYFUNCTION("XLOOKUP(C644, 
   IMPORTRANGE(""1RdEdgHYrZ33LJ7RUHj_h-qkAFL92bcVjtIdVa-UlsCw"", ""Interns!D:D""), 
   IMPORTRANGE(""1RdEdgHYrZ33LJ7RUHj_h-qkAFL92bcVjtIdVa-UlsCw"", ""Interns!N:N""), 
   ""Not Found"")"),"#Cheers4Careers")</f>
        <v>#Cheers4Careers</v>
      </c>
      <c r="AM644" s="23" t="str">
        <f>IFERROR(__xludf.DUMMYFUNCTION("XLOOKUP(C644, 
   IMPORTRANGE(""1RdEdgHYrZ33LJ7RUHj_h-qkAFL92bcVjtIdVa-UlsCw"", ""Interns!D:D""), 
   IMPORTRANGE(""1RdEdgHYrZ33LJ7RUHj_h-qkAFL92bcVjtIdVa-UlsCw"", ""Interns!O:O""), 
   ""Not Found"")"),"Ousmane reached out by email 3/26 and reach out by text 3/28")</f>
        <v>Ousmane reached out by email 3/26 and reach out by text 3/28</v>
      </c>
      <c r="AN644" s="23"/>
      <c r="AO644" s="23" t="s">
        <v>2308</v>
      </c>
      <c r="AP644" s="28" t="s">
        <v>5182</v>
      </c>
      <c r="AQ644" s="28" t="s">
        <v>9498</v>
      </c>
      <c r="AR644" s="23" t="s">
        <v>9499</v>
      </c>
      <c r="AS644" s="23"/>
      <c r="AT644" s="23"/>
      <c r="AU644" s="23"/>
      <c r="AV644" s="23"/>
    </row>
    <row r="645">
      <c r="A645" s="28" t="s">
        <v>5161</v>
      </c>
      <c r="B645" s="28" t="s">
        <v>5162</v>
      </c>
      <c r="C645" s="23" t="str">
        <f t="shared" si="1"/>
        <v>Lady Mizhirumbay</v>
      </c>
      <c r="D645" s="28" t="s">
        <v>3776</v>
      </c>
      <c r="E645" s="28" t="s">
        <v>9500</v>
      </c>
      <c r="F645" s="23" t="str">
        <f t="array" ref="F645">IFERROR(
    INDEX('Hub Interns 226'!A:A, MATCH(C645, 'Hub Interns 226'!B:B, 0)),"")</f>
        <v/>
      </c>
      <c r="G645" s="23">
        <f t="array" ref="G645">IFERROR(
    INDEX('Hub Users 226'!A:A, MATCH(C645, 'Hub Users 226'!B:B, 0)),"")</f>
        <v>1819</v>
      </c>
      <c r="H645" s="28">
        <v>1827.0</v>
      </c>
      <c r="I645" s="28"/>
      <c r="J645" s="28" t="s">
        <v>2388</v>
      </c>
      <c r="K645" s="28" t="s">
        <v>5463</v>
      </c>
      <c r="L645" s="28" t="s">
        <v>5196</v>
      </c>
      <c r="M645" s="56" t="s">
        <v>9501</v>
      </c>
      <c r="N645" s="57">
        <v>45430.66180555556</v>
      </c>
      <c r="O645" s="58">
        <v>40325.0</v>
      </c>
      <c r="P645" s="28">
        <f t="shared" si="20"/>
        <v>15</v>
      </c>
      <c r="Q645" s="28" t="s">
        <v>240</v>
      </c>
      <c r="R645" s="28" t="s">
        <v>9502</v>
      </c>
      <c r="S645" s="60">
        <v>6.0</v>
      </c>
      <c r="T645" s="60">
        <v>12.0</v>
      </c>
      <c r="U645" s="60">
        <v>30.0</v>
      </c>
      <c r="V645" s="28">
        <v>30.0</v>
      </c>
      <c r="W645" s="28" t="s">
        <v>271</v>
      </c>
      <c r="X645" s="28" t="s">
        <v>272</v>
      </c>
      <c r="Y645" s="23"/>
      <c r="Z645" s="28" t="s">
        <v>5170</v>
      </c>
      <c r="AA645" s="28" t="s">
        <v>5171</v>
      </c>
      <c r="AB645" s="28">
        <v>30.0</v>
      </c>
      <c r="AC645" s="28" t="s">
        <v>23</v>
      </c>
      <c r="AD645" s="23"/>
      <c r="AE645" s="28" t="s">
        <v>18</v>
      </c>
      <c r="AF645" s="23"/>
      <c r="AG645" s="23"/>
      <c r="AH645" s="23" t="str">
        <f>IFERROR(__xludf.DUMMYFUNCTION("IF(
ISNUMBER(MATCH(
C645,
IMPORTRANGE(""https://docs.google.com/spreadsheets/d/1yTh1ELC33JHYOeEdgIiEclxPRyh0zOKtlawDltfUay8"",""'Interns'!A:A""),
0
)),
""Outreach Conducted"",
"""")"),"")</f>
        <v/>
      </c>
      <c r="AI645" s="23"/>
      <c r="AJ645" s="23"/>
      <c r="AK645" s="23" t="str">
        <f>IFERROR(__xludf.DUMMYFUNCTION("XLOOKUP(C645, 
   IMPORTRANGE(""1RdEdgHYrZ33LJ7RUHj_h-qkAFL92bcVjtIdVa-UlsCw"", ""Interns!D:D""), 
   IMPORTRANGE(""1RdEdgHYrZ33LJ7RUHj_h-qkAFL92bcVjtIdVa-UlsCw"", ""Interns!M:M""), 
   ""Not Found"")"),"Contacted")</f>
        <v>Contacted</v>
      </c>
      <c r="AL645" s="23" t="str">
        <f>IFERROR(__xludf.DUMMYFUNCTION("XLOOKUP(C645, 
   IMPORTRANGE(""1RdEdgHYrZ33LJ7RUHj_h-qkAFL92bcVjtIdVa-UlsCw"", ""Interns!D:D""), 
   IMPORTRANGE(""1RdEdgHYrZ33LJ7RUHj_h-qkAFL92bcVjtIdVa-UlsCw"", ""Interns!N:N""), 
   ""Not Found"")"),"#Cheers4Careers")</f>
        <v>#Cheers4Careers</v>
      </c>
      <c r="AM645" s="23" t="str">
        <f>IFERROR(__xludf.DUMMYFUNCTION("XLOOKUP(C645, 
   IMPORTRANGE(""1RdEdgHYrZ33LJ7RUHj_h-qkAFL92bcVjtIdVa-UlsCw"", ""Interns!D:D""), 
   IMPORTRANGE(""1RdEdgHYrZ33LJ7RUHj_h-qkAFL92bcVjtIdVa-UlsCw"", ""Interns!O:O""), 
   ""Not Found"")"),"Hetal reached out March 27 for March #Cheers4 Careers ")</f>
        <v>Hetal reached out March 27 for March #Cheers4 Careers </v>
      </c>
      <c r="AN645" s="23"/>
      <c r="AO645" s="23" t="s">
        <v>2308</v>
      </c>
      <c r="AP645" s="28" t="s">
        <v>5182</v>
      </c>
      <c r="AQ645" s="28" t="s">
        <v>9503</v>
      </c>
      <c r="AR645" s="23">
        <v>3.479459344E9</v>
      </c>
      <c r="AS645" s="23"/>
      <c r="AT645" s="23"/>
      <c r="AU645" s="23"/>
      <c r="AV645" s="23"/>
    </row>
    <row r="646">
      <c r="A646" s="28" t="s">
        <v>5161</v>
      </c>
      <c r="B646" s="28" t="s">
        <v>5162</v>
      </c>
      <c r="C646" s="23" t="str">
        <f t="shared" si="1"/>
        <v>Harley Tigre</v>
      </c>
      <c r="D646" s="28" t="s">
        <v>9504</v>
      </c>
      <c r="E646" s="28" t="s">
        <v>9505</v>
      </c>
      <c r="F646" s="23" t="str">
        <f t="array" ref="F646">IFERROR(
    INDEX('Hub Interns 226'!A:A, MATCH(C646, 'Hub Interns 226'!B:B, 0)),"")</f>
        <v/>
      </c>
      <c r="G646" s="23">
        <f t="array" ref="G646">IFERROR(
    INDEX('Hub Users 226'!A:A, MATCH(C646, 'Hub Users 226'!B:B, 0)),"")</f>
        <v>1811</v>
      </c>
      <c r="H646" s="28">
        <v>1713.0</v>
      </c>
      <c r="I646" s="28" t="s">
        <v>269</v>
      </c>
      <c r="J646" s="28" t="s">
        <v>2388</v>
      </c>
      <c r="K646" s="28" t="s">
        <v>5463</v>
      </c>
      <c r="L646" s="28" t="s">
        <v>5165</v>
      </c>
      <c r="M646" s="56" t="s">
        <v>9506</v>
      </c>
      <c r="N646" s="59">
        <v>45251.00069444445</v>
      </c>
      <c r="O646" s="58">
        <v>40349.0</v>
      </c>
      <c r="P646" s="28">
        <f t="shared" si="20"/>
        <v>15</v>
      </c>
      <c r="Q646" s="28" t="s">
        <v>240</v>
      </c>
      <c r="R646" s="28" t="s">
        <v>9507</v>
      </c>
      <c r="S646" s="60">
        <v>6.0</v>
      </c>
      <c r="T646" s="60">
        <v>12.0</v>
      </c>
      <c r="U646" s="60">
        <v>30.0</v>
      </c>
      <c r="V646" s="28">
        <v>30.0</v>
      </c>
      <c r="W646" s="28" t="s">
        <v>1173</v>
      </c>
      <c r="X646" s="28" t="s">
        <v>272</v>
      </c>
      <c r="Y646" s="28">
        <v>7.182056788E9</v>
      </c>
      <c r="Z646" s="28" t="s">
        <v>5170</v>
      </c>
      <c r="AA646" s="28" t="s">
        <v>5171</v>
      </c>
      <c r="AB646" s="28">
        <v>30.0</v>
      </c>
      <c r="AC646" s="28" t="s">
        <v>23</v>
      </c>
      <c r="AD646" s="23"/>
      <c r="AE646" s="28" t="s">
        <v>18</v>
      </c>
      <c r="AF646" s="23"/>
      <c r="AG646" s="23"/>
      <c r="AH646" s="23" t="str">
        <f>IFERROR(__xludf.DUMMYFUNCTION("IF(
ISNUMBER(MATCH(
C646,
IMPORTRANGE(""https://docs.google.com/spreadsheets/d/1yTh1ELC33JHYOeEdgIiEclxPRyh0zOKtlawDltfUay8"",""'Interns'!A:A""),
0
)),
""Outreach Conducted"",
"""")"),"")</f>
        <v/>
      </c>
      <c r="AI646" s="23"/>
      <c r="AJ646" s="23"/>
      <c r="AK646" s="23" t="str">
        <f>IFERROR(__xludf.DUMMYFUNCTION("XLOOKUP(C646, 
   IMPORTRANGE(""1RdEdgHYrZ33LJ7RUHj_h-qkAFL92bcVjtIdVa-UlsCw"", ""Interns!D:D""), 
   IMPORTRANGE(""1RdEdgHYrZ33LJ7RUHj_h-qkAFL92bcVjtIdVa-UlsCw"", ""Interns!M:M""), 
   ""Not Found"")"),"Contacted")</f>
        <v>Contacted</v>
      </c>
      <c r="AL646" s="23" t="str">
        <f>IFERROR(__xludf.DUMMYFUNCTION("XLOOKUP(C646, 
   IMPORTRANGE(""1RdEdgHYrZ33LJ7RUHj_h-qkAFL92bcVjtIdVa-UlsCw"", ""Interns!D:D""), 
   IMPORTRANGE(""1RdEdgHYrZ33LJ7RUHj_h-qkAFL92bcVjtIdVa-UlsCw"", ""Interns!N:N""), 
   ""Not Found"")"),"#Cheers4Careers")</f>
        <v>#Cheers4Careers</v>
      </c>
      <c r="AM646" s="23" t="str">
        <f>IFERROR(__xludf.DUMMYFUNCTION("XLOOKUP(C646, 
   IMPORTRANGE(""1RdEdgHYrZ33LJ7RUHj_h-qkAFL92bcVjtIdVa-UlsCw"", ""Interns!D:D""), 
   IMPORTRANGE(""1RdEdgHYrZ33LJ7RUHj_h-qkAFL92bcVjtIdVa-UlsCw"", ""Interns!O:O""), 
   ""Not Found"")"),"Hetal reached out March 27 for March #Cheers4 Careers ")</f>
        <v>Hetal reached out March 27 for March #Cheers4 Careers </v>
      </c>
      <c r="AN646" s="23"/>
      <c r="AO646" s="23" t="s">
        <v>9508</v>
      </c>
      <c r="AP646" s="28" t="s">
        <v>5182</v>
      </c>
      <c r="AQ646" s="28" t="s">
        <v>9509</v>
      </c>
      <c r="AR646" s="23" t="s">
        <v>9510</v>
      </c>
      <c r="AS646" s="23"/>
      <c r="AT646" s="23"/>
      <c r="AU646" s="23"/>
      <c r="AV646" s="23"/>
    </row>
    <row r="647">
      <c r="A647" s="28" t="s">
        <v>5161</v>
      </c>
      <c r="B647" s="28" t="s">
        <v>5162</v>
      </c>
      <c r="C647" s="23" t="str">
        <f t="shared" si="1"/>
        <v>Justin Chuqui</v>
      </c>
      <c r="D647" s="28" t="s">
        <v>6724</v>
      </c>
      <c r="E647" s="28" t="s">
        <v>9511</v>
      </c>
      <c r="F647" s="23" t="str">
        <f t="array" ref="F647">IFERROR(
    INDEX('Hub Interns 226'!A:A, MATCH(C647, 'Hub Interns 226'!B:B, 0)),"")</f>
        <v/>
      </c>
      <c r="G647" s="23">
        <f t="array" ref="G647">IFERROR(
    INDEX('Hub Users 226'!A:A, MATCH(C647, 'Hub Users 226'!B:B, 0)),"")</f>
        <v>1808</v>
      </c>
      <c r="H647" s="28">
        <v>1703.0</v>
      </c>
      <c r="I647" s="28" t="s">
        <v>239</v>
      </c>
      <c r="J647" s="28" t="s">
        <v>2388</v>
      </c>
      <c r="K647" s="28" t="s">
        <v>5463</v>
      </c>
      <c r="L647" s="28" t="s">
        <v>5165</v>
      </c>
      <c r="M647" s="56" t="s">
        <v>9512</v>
      </c>
      <c r="N647" s="59">
        <v>45250.972916666666</v>
      </c>
      <c r="O647" s="58">
        <v>40342.0</v>
      </c>
      <c r="P647" s="28">
        <f t="shared" si="20"/>
        <v>15</v>
      </c>
      <c r="Q647" s="28" t="s">
        <v>240</v>
      </c>
      <c r="R647" s="28" t="s">
        <v>9513</v>
      </c>
      <c r="S647" s="60">
        <v>6.0</v>
      </c>
      <c r="T647" s="60">
        <v>12.0</v>
      </c>
      <c r="U647" s="60">
        <v>30.0</v>
      </c>
      <c r="V647" s="28">
        <v>30.0</v>
      </c>
      <c r="W647" s="28" t="s">
        <v>1173</v>
      </c>
      <c r="X647" s="28" t="s">
        <v>272</v>
      </c>
      <c r="Y647" s="28" t="s">
        <v>8135</v>
      </c>
      <c r="Z647" s="28" t="s">
        <v>5170</v>
      </c>
      <c r="AA647" s="28" t="s">
        <v>5171</v>
      </c>
      <c r="AB647" s="28">
        <v>30.0</v>
      </c>
      <c r="AC647" s="28" t="s">
        <v>23</v>
      </c>
      <c r="AD647" s="23"/>
      <c r="AE647" s="28" t="s">
        <v>18</v>
      </c>
      <c r="AF647" s="23"/>
      <c r="AG647" s="23"/>
      <c r="AH647" s="23" t="str">
        <f>IFERROR(__xludf.DUMMYFUNCTION("IF(
ISNUMBER(MATCH(
C647,
IMPORTRANGE(""https://docs.google.com/spreadsheets/d/1yTh1ELC33JHYOeEdgIiEclxPRyh0zOKtlawDltfUay8"",""'Interns'!A:A""),
0
)),
""Outreach Conducted"",
"""")"),"")</f>
        <v/>
      </c>
      <c r="AI647" s="23"/>
      <c r="AJ647" s="23"/>
      <c r="AK647" s="23" t="str">
        <f>IFERROR(__xludf.DUMMYFUNCTION("XLOOKUP(C647, 
   IMPORTRANGE(""1RdEdgHYrZ33LJ7RUHj_h-qkAFL92bcVjtIdVa-UlsCw"", ""Interns!D:D""), 
   IMPORTRANGE(""1RdEdgHYrZ33LJ7RUHj_h-qkAFL92bcVjtIdVa-UlsCw"", ""Interns!M:M""), 
   ""Not Found"")"),"Contacted")</f>
        <v>Contacted</v>
      </c>
      <c r="AL647" s="23" t="str">
        <f>IFERROR(__xludf.DUMMYFUNCTION("XLOOKUP(C647, 
   IMPORTRANGE(""1RdEdgHYrZ33LJ7RUHj_h-qkAFL92bcVjtIdVa-UlsCw"", ""Interns!D:D""), 
   IMPORTRANGE(""1RdEdgHYrZ33LJ7RUHj_h-qkAFL92bcVjtIdVa-UlsCw"", ""Interns!N:N""), 
   ""Not Found"")"),"#Cheers4Careers")</f>
        <v>#Cheers4Careers</v>
      </c>
      <c r="AM647" s="23" t="str">
        <f>IFERROR(__xludf.DUMMYFUNCTION("XLOOKUP(C647, 
   IMPORTRANGE(""1RdEdgHYrZ33LJ7RUHj_h-qkAFL92bcVjtIdVa-UlsCw"", ""Interns!D:D""), 
   IMPORTRANGE(""1RdEdgHYrZ33LJ7RUHj_h-qkAFL92bcVjtIdVa-UlsCw"", ""Interns!O:O""), 
   ""Not Found"")"),"Hetal reached out March 27 for March #Cheers4 Careers ")</f>
        <v>Hetal reached out March 27 for March #Cheers4 Careers </v>
      </c>
      <c r="AN647" s="23"/>
      <c r="AO647" s="23" t="s">
        <v>2308</v>
      </c>
      <c r="AP647" s="28" t="s">
        <v>5182</v>
      </c>
      <c r="AQ647" s="28" t="s">
        <v>9514</v>
      </c>
      <c r="AR647" s="23" t="s">
        <v>8135</v>
      </c>
      <c r="AS647" s="23"/>
      <c r="AT647" s="23"/>
      <c r="AU647" s="23"/>
      <c r="AV647" s="23"/>
    </row>
    <row r="648">
      <c r="A648" s="28" t="s">
        <v>5202</v>
      </c>
      <c r="B648" s="28" t="s">
        <v>5162</v>
      </c>
      <c r="C648" s="23" t="str">
        <f t="shared" si="1"/>
        <v>Omar Camara</v>
      </c>
      <c r="D648" s="28" t="s">
        <v>3878</v>
      </c>
      <c r="E648" s="28" t="s">
        <v>9515</v>
      </c>
      <c r="F648" s="23">
        <f t="array" ref="F648">IFERROR(
    INDEX('Hub Interns 226'!A:A, MATCH(C648, 'Hub Interns 226'!B:B, 0)),"")</f>
        <v>969</v>
      </c>
      <c r="G648" s="23">
        <f t="array" ref="G648">IFERROR(
    INDEX('Hub Users 226'!A:A, MATCH(C648, 'Hub Users 226'!B:B, 0)),"")</f>
        <v>1402</v>
      </c>
      <c r="H648" s="28">
        <v>331.0</v>
      </c>
      <c r="I648" s="28" t="s">
        <v>290</v>
      </c>
      <c r="J648" s="28" t="s">
        <v>9516</v>
      </c>
      <c r="K648" s="28" t="s">
        <v>5245</v>
      </c>
      <c r="L648" s="28" t="s">
        <v>5165</v>
      </c>
      <c r="M648" s="56" t="s">
        <v>9517</v>
      </c>
      <c r="N648" s="57">
        <v>44237.87569444445</v>
      </c>
      <c r="O648" s="58">
        <v>37921.0</v>
      </c>
      <c r="P648" s="28">
        <f t="shared" si="20"/>
        <v>22</v>
      </c>
      <c r="Q648" s="28" t="s">
        <v>240</v>
      </c>
      <c r="R648" s="28" t="s">
        <v>9518</v>
      </c>
      <c r="S648" s="28">
        <v>15.0</v>
      </c>
      <c r="T648" s="28">
        <v>32.0</v>
      </c>
      <c r="U648" s="28">
        <v>86.0</v>
      </c>
      <c r="V648" s="28">
        <v>15.0</v>
      </c>
      <c r="W648" s="28" t="s">
        <v>859</v>
      </c>
      <c r="X648" s="28" t="s">
        <v>272</v>
      </c>
      <c r="Y648" s="28" t="s">
        <v>9519</v>
      </c>
      <c r="Z648" s="28" t="s">
        <v>5310</v>
      </c>
      <c r="AA648" s="28" t="s">
        <v>362</v>
      </c>
      <c r="AB648" s="28">
        <v>16.0</v>
      </c>
      <c r="AC648" s="28" t="s">
        <v>25</v>
      </c>
      <c r="AD648" s="23"/>
      <c r="AE648" s="28" t="s">
        <v>8</v>
      </c>
      <c r="AF648" s="23" t="str">
        <f>IFERROR(__xludf.DUMMYFUNCTION("TEXTJOIN("", "", TRUE,
  FILTER(Champions!C:C,
    ISNUMBER(SEARCH(C648, Champions!W:W))
  )
)"),"Kenna Elice Ranson, Melissa Mozelle Schad")</f>
        <v>Kenna Elice Ranson, Melissa Mozelle Schad</v>
      </c>
      <c r="AG648" s="23"/>
      <c r="AH648" s="23" t="str">
        <f>IFERROR(__xludf.DUMMYFUNCTION("IF(
ISNUMBER(MATCH(
C648,
IMPORTRANGE(""https://docs.google.com/spreadsheets/d/1yTh1ELC33JHYOeEdgIiEclxPRyh0zOKtlawDltfUay8"",""'Interns'!A:A""),
0
)),
""Outreach Conducted"",
"""")"),"")</f>
        <v/>
      </c>
      <c r="AI648" s="23"/>
      <c r="AJ648" s="23"/>
      <c r="AK648" s="23" t="str">
        <f>IFERROR(__xludf.DUMMYFUNCTION("XLOOKUP(C648, 
   IMPORTRANGE(""1RdEdgHYrZ33LJ7RUHj_h-qkAFL92bcVjtIdVa-UlsCw"", ""Interns!D:D""), 
   IMPORTRANGE(""1RdEdgHYrZ33LJ7RUHj_h-qkAFL92bcVjtIdVa-UlsCw"", ""Interns!M:M""), 
   ""Not Found"")"),"")</f>
        <v/>
      </c>
      <c r="AL648" s="23" t="str">
        <f>IFERROR(__xludf.DUMMYFUNCTION("XLOOKUP(C648, 
   IMPORTRANGE(""1RdEdgHYrZ33LJ7RUHj_h-qkAFL92bcVjtIdVa-UlsCw"", ""Interns!D:D""), 
   IMPORTRANGE(""1RdEdgHYrZ33LJ7RUHj_h-qkAFL92bcVjtIdVa-UlsCw"", ""Interns!N:N""), 
   ""Not Found"")"),"")</f>
        <v/>
      </c>
      <c r="AM648" s="23" t="str">
        <f>IFERROR(__xludf.DUMMYFUNCTION("XLOOKUP(C648, 
   IMPORTRANGE(""1RdEdgHYrZ33LJ7RUHj_h-qkAFL92bcVjtIdVa-UlsCw"", ""Interns!D:D""), 
   IMPORTRANGE(""1RdEdgHYrZ33LJ7RUHj_h-qkAFL92bcVjtIdVa-UlsCw"", ""Interns!O:O""), 
   ""Not Found"")"),"")</f>
        <v/>
      </c>
      <c r="AN648" s="23"/>
      <c r="AO648" s="23" t="s">
        <v>9520</v>
      </c>
      <c r="AP648" s="28" t="s">
        <v>5191</v>
      </c>
      <c r="AQ648" s="28" t="s">
        <v>9521</v>
      </c>
      <c r="AR648" s="23" t="s">
        <v>9522</v>
      </c>
      <c r="AS648" s="23"/>
      <c r="AT648" s="23"/>
      <c r="AU648" s="23"/>
      <c r="AV648" s="23"/>
    </row>
    <row r="649">
      <c r="A649" s="28" t="s">
        <v>5161</v>
      </c>
      <c r="B649" s="28" t="s">
        <v>5162</v>
      </c>
      <c r="C649" s="23" t="str">
        <f t="shared" si="1"/>
        <v>Galo Yungan</v>
      </c>
      <c r="D649" s="28" t="s">
        <v>9523</v>
      </c>
      <c r="E649" s="28" t="s">
        <v>9524</v>
      </c>
      <c r="F649" s="23" t="str">
        <f t="array" ref="F649">IFERROR(
    INDEX('Hub Interns 226'!A:A, MATCH(C649, 'Hub Interns 226'!B:B, 0)),"")</f>
        <v/>
      </c>
      <c r="G649" s="23">
        <f t="array" ref="G649">IFERROR(
    INDEX('Hub Users 226'!A:A, MATCH(C649, 'Hub Users 226'!B:B, 0)),"")</f>
        <v>1828</v>
      </c>
      <c r="H649" s="28">
        <v>1704.0</v>
      </c>
      <c r="I649" s="28"/>
      <c r="J649" s="28" t="s">
        <v>2388</v>
      </c>
      <c r="K649" s="28" t="s">
        <v>5463</v>
      </c>
      <c r="L649" s="28" t="s">
        <v>5165</v>
      </c>
      <c r="M649" s="56" t="s">
        <v>9525</v>
      </c>
      <c r="N649" s="59">
        <v>45250.975694444445</v>
      </c>
      <c r="O649" s="58">
        <v>39957.0</v>
      </c>
      <c r="P649" s="28">
        <f t="shared" si="20"/>
        <v>16</v>
      </c>
      <c r="Q649" s="28" t="s">
        <v>240</v>
      </c>
      <c r="R649" s="28" t="s">
        <v>9526</v>
      </c>
      <c r="S649" s="60">
        <v>6.0</v>
      </c>
      <c r="T649" s="60">
        <v>12.0</v>
      </c>
      <c r="U649" s="60">
        <v>30.0</v>
      </c>
      <c r="V649" s="28">
        <v>30.0</v>
      </c>
      <c r="W649" s="28" t="s">
        <v>1173</v>
      </c>
      <c r="X649" s="28" t="s">
        <v>272</v>
      </c>
      <c r="Y649" s="28" t="s">
        <v>8135</v>
      </c>
      <c r="Z649" s="28" t="s">
        <v>5170</v>
      </c>
      <c r="AA649" s="28" t="s">
        <v>5171</v>
      </c>
      <c r="AB649" s="28">
        <v>30.0</v>
      </c>
      <c r="AC649" s="28" t="s">
        <v>23</v>
      </c>
      <c r="AD649" s="23"/>
      <c r="AE649" s="28" t="s">
        <v>18</v>
      </c>
      <c r="AF649" s="23"/>
      <c r="AG649" s="23"/>
      <c r="AH649" s="23" t="str">
        <f>IFERROR(__xludf.DUMMYFUNCTION("IF(
ISNUMBER(MATCH(
C649,
IMPORTRANGE(""https://docs.google.com/spreadsheets/d/1yTh1ELC33JHYOeEdgIiEclxPRyh0zOKtlawDltfUay8"",""'Interns'!A:A""),
0
)),
""Outreach Conducted"",
"""")"),"")</f>
        <v/>
      </c>
      <c r="AI649" s="23"/>
      <c r="AJ649" s="23"/>
      <c r="AK649" s="23" t="str">
        <f>IFERROR(__xludf.DUMMYFUNCTION("XLOOKUP(C649, 
   IMPORTRANGE(""1RdEdgHYrZ33LJ7RUHj_h-qkAFL92bcVjtIdVa-UlsCw"", ""Interns!D:D""), 
   IMPORTRANGE(""1RdEdgHYrZ33LJ7RUHj_h-qkAFL92bcVjtIdVa-UlsCw"", ""Interns!M:M""), 
   ""Not Found"")"),"Contacted")</f>
        <v>Contacted</v>
      </c>
      <c r="AL649" s="23" t="str">
        <f>IFERROR(__xludf.DUMMYFUNCTION("XLOOKUP(C649, 
   IMPORTRANGE(""1RdEdgHYrZ33LJ7RUHj_h-qkAFL92bcVjtIdVa-UlsCw"", ""Interns!D:D""), 
   IMPORTRANGE(""1RdEdgHYrZ33LJ7RUHj_h-qkAFL92bcVjtIdVa-UlsCw"", ""Interns!N:N""), 
   ""Not Found"")"),"#Cheers4Careers")</f>
        <v>#Cheers4Careers</v>
      </c>
      <c r="AM649" s="23" t="str">
        <f>IFERROR(__xludf.DUMMYFUNCTION("XLOOKUP(C649, 
   IMPORTRANGE(""1RdEdgHYrZ33LJ7RUHj_h-qkAFL92bcVjtIdVa-UlsCw"", ""Interns!D:D""), 
   IMPORTRANGE(""1RdEdgHYrZ33LJ7RUHj_h-qkAFL92bcVjtIdVa-UlsCw"", ""Interns!O:O""), 
   ""Not Found"")"),"Hetal reached out March 27 for March #Cheers4 Careers ")</f>
        <v>Hetal reached out March 27 for March #Cheers4 Careers </v>
      </c>
      <c r="AN649" s="23"/>
      <c r="AO649" s="23" t="s">
        <v>9527</v>
      </c>
      <c r="AP649" s="28" t="s">
        <v>5182</v>
      </c>
      <c r="AQ649" s="28" t="s">
        <v>9528</v>
      </c>
      <c r="AR649" s="23" t="s">
        <v>9529</v>
      </c>
      <c r="AS649" s="23"/>
      <c r="AT649" s="23"/>
      <c r="AU649" s="23"/>
      <c r="AV649" s="23"/>
    </row>
    <row r="650">
      <c r="A650" s="28" t="s">
        <v>5161</v>
      </c>
      <c r="B650" s="28" t="s">
        <v>5162</v>
      </c>
      <c r="C650" s="23" t="str">
        <f t="shared" si="1"/>
        <v>Kelvin Altamirano</v>
      </c>
      <c r="D650" s="28" t="s">
        <v>9530</v>
      </c>
      <c r="E650" s="28" t="s">
        <v>9531</v>
      </c>
      <c r="F650" s="23" t="str">
        <f t="array" ref="F650">IFERROR(
    INDEX('Hub Interns 226'!A:A, MATCH(C650, 'Hub Interns 226'!B:B, 0)),"")</f>
        <v/>
      </c>
      <c r="G650" s="23">
        <f t="array" ref="G650">IFERROR(
    INDEX('Hub Users 226'!A:A, MATCH(C650, 'Hub Users 226'!B:B, 0)),"")</f>
        <v>1818</v>
      </c>
      <c r="H650" s="28">
        <v>1690.0</v>
      </c>
      <c r="I650" s="28" t="s">
        <v>1235</v>
      </c>
      <c r="J650" s="28" t="s">
        <v>2388</v>
      </c>
      <c r="K650" s="28" t="s">
        <v>5463</v>
      </c>
      <c r="L650" s="28" t="s">
        <v>5165</v>
      </c>
      <c r="M650" s="56" t="s">
        <v>9532</v>
      </c>
      <c r="N650" s="59">
        <v>45249.990277777775</v>
      </c>
      <c r="O650" s="58">
        <v>40373.0</v>
      </c>
      <c r="P650" s="28">
        <f t="shared" si="20"/>
        <v>15</v>
      </c>
      <c r="Q650" s="28" t="s">
        <v>240</v>
      </c>
      <c r="R650" s="28" t="s">
        <v>6821</v>
      </c>
      <c r="S650" s="60">
        <v>6.0</v>
      </c>
      <c r="T650" s="60">
        <v>12.0</v>
      </c>
      <c r="U650" s="60">
        <v>30.0</v>
      </c>
      <c r="V650" s="28">
        <v>30.0</v>
      </c>
      <c r="W650" s="28" t="s">
        <v>1173</v>
      </c>
      <c r="X650" s="28" t="s">
        <v>272</v>
      </c>
      <c r="Y650" s="28">
        <v>7.18205678E8</v>
      </c>
      <c r="Z650" s="28" t="s">
        <v>5170</v>
      </c>
      <c r="AA650" s="28" t="s">
        <v>5171</v>
      </c>
      <c r="AB650" s="28">
        <v>30.0</v>
      </c>
      <c r="AC650" s="28" t="s">
        <v>23</v>
      </c>
      <c r="AD650" s="23"/>
      <c r="AE650" s="28" t="s">
        <v>18</v>
      </c>
      <c r="AF650" s="23"/>
      <c r="AG650" s="23"/>
      <c r="AH650" s="23" t="str">
        <f>IFERROR(__xludf.DUMMYFUNCTION("IF(
ISNUMBER(MATCH(
C650,
IMPORTRANGE(""https://docs.google.com/spreadsheets/d/1yTh1ELC33JHYOeEdgIiEclxPRyh0zOKtlawDltfUay8"",""'Interns'!A:A""),
0
)),
""Outreach Conducted"",
"""")"),"")</f>
        <v/>
      </c>
      <c r="AI650" s="23"/>
      <c r="AJ650" s="23"/>
      <c r="AK650" s="23" t="str">
        <f>IFERROR(__xludf.DUMMYFUNCTION("XLOOKUP(C650, 
   IMPORTRANGE(""1RdEdgHYrZ33LJ7RUHj_h-qkAFL92bcVjtIdVa-UlsCw"", ""Interns!D:D""), 
   IMPORTRANGE(""1RdEdgHYrZ33LJ7RUHj_h-qkAFL92bcVjtIdVa-UlsCw"", ""Interns!M:M""), 
   ""Not Found"")"),"Contacted")</f>
        <v>Contacted</v>
      </c>
      <c r="AL650" s="23" t="str">
        <f>IFERROR(__xludf.DUMMYFUNCTION("XLOOKUP(C650, 
   IMPORTRANGE(""1RdEdgHYrZ33LJ7RUHj_h-qkAFL92bcVjtIdVa-UlsCw"", ""Interns!D:D""), 
   IMPORTRANGE(""1RdEdgHYrZ33LJ7RUHj_h-qkAFL92bcVjtIdVa-UlsCw"", ""Interns!N:N""), 
   ""Not Found"")"),"#Cheers4Careers")</f>
        <v>#Cheers4Careers</v>
      </c>
      <c r="AM650" s="23" t="str">
        <f>IFERROR(__xludf.DUMMYFUNCTION("XLOOKUP(C650, 
   IMPORTRANGE(""1RdEdgHYrZ33LJ7RUHj_h-qkAFL92bcVjtIdVa-UlsCw"", ""Interns!D:D""), 
   IMPORTRANGE(""1RdEdgHYrZ33LJ7RUHj_h-qkAFL92bcVjtIdVa-UlsCw"", ""Interns!O:O""), 
   ""Not Found"")"),"Hetal reached out March 27 for March #Cheers4 Careers ")</f>
        <v>Hetal reached out March 27 for March #Cheers4 Careers </v>
      </c>
      <c r="AN650" s="23"/>
      <c r="AO650" s="23" t="s">
        <v>9530</v>
      </c>
      <c r="AP650" s="28" t="s">
        <v>5182</v>
      </c>
      <c r="AQ650" s="28" t="s">
        <v>9533</v>
      </c>
      <c r="AR650" s="23">
        <v>7.185782744E9</v>
      </c>
      <c r="AS650" s="23"/>
      <c r="AT650" s="23"/>
      <c r="AU650" s="23"/>
      <c r="AV650" s="23"/>
    </row>
    <row r="651">
      <c r="A651" s="28" t="s">
        <v>5202</v>
      </c>
      <c r="B651" s="28" t="s">
        <v>5162</v>
      </c>
      <c r="C651" s="23" t="str">
        <f t="shared" si="1"/>
        <v>Ancly Tzul</v>
      </c>
      <c r="D651" s="28" t="s">
        <v>9534</v>
      </c>
      <c r="E651" s="28" t="s">
        <v>9535</v>
      </c>
      <c r="F651" s="23">
        <f t="array" ref="F651">IFERROR(
    INDEX('Hub Interns 226'!A:A, MATCH(C651, 'Hub Interns 226'!B:B, 0)),"")</f>
        <v>225</v>
      </c>
      <c r="G651" s="23">
        <f t="array" ref="G651">IFERROR(
    INDEX('Hub Users 226'!A:A, MATCH(C651, 'Hub Users 226'!B:B, 0)),"")</f>
        <v>658</v>
      </c>
      <c r="H651" s="28">
        <v>589.0</v>
      </c>
      <c r="I651" s="28" t="s">
        <v>239</v>
      </c>
      <c r="J651" s="28" t="s">
        <v>9536</v>
      </c>
      <c r="K651" s="28" t="s">
        <v>5177</v>
      </c>
      <c r="L651" s="28" t="s">
        <v>5196</v>
      </c>
      <c r="M651" s="56" t="s">
        <v>9537</v>
      </c>
      <c r="N651" s="59">
        <v>44484.552777777775</v>
      </c>
      <c r="O651" s="58">
        <v>37875.0</v>
      </c>
      <c r="P651" s="28">
        <f t="shared" si="20"/>
        <v>22</v>
      </c>
      <c r="Q651" s="28" t="s">
        <v>9538</v>
      </c>
      <c r="R651" s="28" t="s">
        <v>9539</v>
      </c>
      <c r="S651" s="28">
        <v>5.0</v>
      </c>
      <c r="T651" s="28">
        <v>10.0</v>
      </c>
      <c r="U651" s="28">
        <v>32.0</v>
      </c>
      <c r="V651" s="28">
        <v>28.0</v>
      </c>
      <c r="W651" s="28" t="s">
        <v>1173</v>
      </c>
      <c r="X651" s="28" t="s">
        <v>272</v>
      </c>
      <c r="Y651" s="28" t="s">
        <v>9540</v>
      </c>
      <c r="Z651" s="28" t="s">
        <v>5189</v>
      </c>
      <c r="AA651" s="28" t="s">
        <v>619</v>
      </c>
      <c r="AB651" s="28">
        <v>20.0</v>
      </c>
      <c r="AC651" s="28" t="s">
        <v>25</v>
      </c>
      <c r="AD651" s="23"/>
      <c r="AE651" s="28" t="s">
        <v>10</v>
      </c>
      <c r="AF651" s="23" t="str">
        <f>IFERROR(__xludf.DUMMYFUNCTION("TEXTJOIN("", "", TRUE,
  FILTER(Champions!C:C,
    ISNUMBER(SEARCH(C651, Champions!W:W))
  )
)"),"Benjamin Curtis, Paola Lopez")</f>
        <v>Benjamin Curtis, Paola Lopez</v>
      </c>
      <c r="AG651" s="23"/>
      <c r="AH651" s="23" t="str">
        <f>IFERROR(__xludf.DUMMYFUNCTION("IF(
ISNUMBER(MATCH(
C651,
IMPORTRANGE(""https://docs.google.com/spreadsheets/d/1yTh1ELC33JHYOeEdgIiEclxPRyh0zOKtlawDltfUay8"",""'Interns'!A:A""),
0
)),
""Outreach Conducted"",
"""")"),"")</f>
        <v/>
      </c>
      <c r="AI651" s="23"/>
      <c r="AJ651" s="23"/>
      <c r="AK651" s="23" t="str">
        <f>IFERROR(__xludf.DUMMYFUNCTION("XLOOKUP(C651, 
   IMPORTRANGE(""1RdEdgHYrZ33LJ7RUHj_h-qkAFL92bcVjtIdVa-UlsCw"", ""Interns!D:D""), 
   IMPORTRANGE(""1RdEdgHYrZ33LJ7RUHj_h-qkAFL92bcVjtIdVa-UlsCw"", ""Interns!M:M""), 
   ""Not Found"")"),"")</f>
        <v/>
      </c>
      <c r="AL651" s="23" t="str">
        <f>IFERROR(__xludf.DUMMYFUNCTION("XLOOKUP(C651, 
   IMPORTRANGE(""1RdEdgHYrZ33LJ7RUHj_h-qkAFL92bcVjtIdVa-UlsCw"", ""Interns!D:D""), 
   IMPORTRANGE(""1RdEdgHYrZ33LJ7RUHj_h-qkAFL92bcVjtIdVa-UlsCw"", ""Interns!N:N""), 
   ""Not Found"")"),"")</f>
        <v/>
      </c>
      <c r="AM651" s="23" t="str">
        <f>IFERROR(__xludf.DUMMYFUNCTION("XLOOKUP(C651, 
   IMPORTRANGE(""1RdEdgHYrZ33LJ7RUHj_h-qkAFL92bcVjtIdVa-UlsCw"", ""Interns!D:D""), 
   IMPORTRANGE(""1RdEdgHYrZ33LJ7RUHj_h-qkAFL92bcVjtIdVa-UlsCw"", ""Interns!O:O""), 
   ""Not Found"")"),"")</f>
        <v/>
      </c>
      <c r="AN651" s="23"/>
      <c r="AO651" s="23" t="s">
        <v>9541</v>
      </c>
      <c r="AP651" s="28" t="s">
        <v>5191</v>
      </c>
      <c r="AQ651" s="28" t="s">
        <v>9542</v>
      </c>
      <c r="AR651" s="23" t="s">
        <v>9543</v>
      </c>
      <c r="AS651" s="23"/>
      <c r="AT651" s="23"/>
      <c r="AU651" s="23"/>
      <c r="AV651" s="23"/>
    </row>
    <row r="652">
      <c r="A652" s="28" t="s">
        <v>5202</v>
      </c>
      <c r="B652" s="28" t="s">
        <v>5162</v>
      </c>
      <c r="C652" s="23" t="str">
        <f t="shared" si="1"/>
        <v>William Q Quizar</v>
      </c>
      <c r="D652" s="28" t="s">
        <v>9544</v>
      </c>
      <c r="E652" s="28" t="s">
        <v>9545</v>
      </c>
      <c r="F652" s="23">
        <f t="array" ref="F652">IFERROR(
    INDEX('Hub Interns 226'!A:A, MATCH(C652, 'Hub Interns 226'!B:B, 0)),"")</f>
        <v>1001</v>
      </c>
      <c r="G652" s="23">
        <f t="array" ref="G652">IFERROR(
    INDEX('Hub Users 226'!A:A, MATCH(C652, 'Hub Users 226'!B:B, 0)),"")</f>
        <v>1434</v>
      </c>
      <c r="H652" s="28">
        <v>906.0</v>
      </c>
      <c r="I652" s="28" t="s">
        <v>290</v>
      </c>
      <c r="J652" s="28" t="s">
        <v>9536</v>
      </c>
      <c r="K652" s="28" t="s">
        <v>5177</v>
      </c>
      <c r="L652" s="28" t="s">
        <v>5165</v>
      </c>
      <c r="M652" s="56" t="s">
        <v>9546</v>
      </c>
      <c r="N652" s="57">
        <v>44601.53680555556</v>
      </c>
      <c r="O652" s="58">
        <v>38119.0</v>
      </c>
      <c r="P652" s="28">
        <f t="shared" si="20"/>
        <v>22</v>
      </c>
      <c r="Q652" s="28" t="s">
        <v>240</v>
      </c>
      <c r="R652" s="28" t="s">
        <v>9547</v>
      </c>
      <c r="S652" s="28">
        <v>5.0</v>
      </c>
      <c r="T652" s="28">
        <v>11.0</v>
      </c>
      <c r="U652" s="28">
        <v>24.0</v>
      </c>
      <c r="V652" s="28">
        <v>24.0</v>
      </c>
      <c r="W652" s="28" t="s">
        <v>1173</v>
      </c>
      <c r="X652" s="28" t="s">
        <v>272</v>
      </c>
      <c r="Y652" s="28" t="s">
        <v>9548</v>
      </c>
      <c r="Z652" s="28" t="s">
        <v>5189</v>
      </c>
      <c r="AA652" s="28" t="s">
        <v>619</v>
      </c>
      <c r="AB652" s="28">
        <v>20.0</v>
      </c>
      <c r="AC652" s="28" t="s">
        <v>24</v>
      </c>
      <c r="AD652" s="23"/>
      <c r="AE652" s="28" t="s">
        <v>10</v>
      </c>
      <c r="AF652" s="23"/>
      <c r="AG652" s="23"/>
      <c r="AH652" s="23" t="str">
        <f>IFERROR(__xludf.DUMMYFUNCTION("IF(
ISNUMBER(MATCH(
C652,
IMPORTRANGE(""https://docs.google.com/spreadsheets/d/1yTh1ELC33JHYOeEdgIiEclxPRyh0zOKtlawDltfUay8"",""'Interns'!A:A""),
0
)),
""Outreach Conducted"",
"""")"),"")</f>
        <v/>
      </c>
      <c r="AI652" s="23"/>
      <c r="AJ652" s="23"/>
      <c r="AK652" s="23" t="str">
        <f>IFERROR(__xludf.DUMMYFUNCTION("XLOOKUP(C652, 
   IMPORTRANGE(""1RdEdgHYrZ33LJ7RUHj_h-qkAFL92bcVjtIdVa-UlsCw"", ""Interns!D:D""), 
   IMPORTRANGE(""1RdEdgHYrZ33LJ7RUHj_h-qkAFL92bcVjtIdVa-UlsCw"", ""Interns!M:M""), 
   ""Not Found"")"),"")</f>
        <v/>
      </c>
      <c r="AL652" s="23" t="str">
        <f>IFERROR(__xludf.DUMMYFUNCTION("XLOOKUP(C652, 
   IMPORTRANGE(""1RdEdgHYrZ33LJ7RUHj_h-qkAFL92bcVjtIdVa-UlsCw"", ""Interns!D:D""), 
   IMPORTRANGE(""1RdEdgHYrZ33LJ7RUHj_h-qkAFL92bcVjtIdVa-UlsCw"", ""Interns!N:N""), 
   ""Not Found"")"),"")</f>
        <v/>
      </c>
      <c r="AM652" s="23" t="str">
        <f>IFERROR(__xludf.DUMMYFUNCTION("XLOOKUP(C652, 
   IMPORTRANGE(""1RdEdgHYrZ33LJ7RUHj_h-qkAFL92bcVjtIdVa-UlsCw"", ""Interns!D:D""), 
   IMPORTRANGE(""1RdEdgHYrZ33LJ7RUHj_h-qkAFL92bcVjtIdVa-UlsCw"", ""Interns!O:O""), 
   ""Not Found"")"),"")</f>
        <v/>
      </c>
      <c r="AN652" s="23"/>
      <c r="AO652" s="23" t="s">
        <v>9549</v>
      </c>
      <c r="AP652" s="28" t="s">
        <v>5182</v>
      </c>
      <c r="AQ652" s="28"/>
      <c r="AR652" s="23"/>
      <c r="AS652" s="23"/>
      <c r="AT652" s="23"/>
      <c r="AU652" s="23"/>
      <c r="AV652" s="23"/>
    </row>
    <row r="653">
      <c r="A653" s="28" t="s">
        <v>5161</v>
      </c>
      <c r="B653" s="28" t="s">
        <v>5162</v>
      </c>
      <c r="C653" s="23" t="str">
        <f t="shared" si="1"/>
        <v>Paulina Goya</v>
      </c>
      <c r="D653" s="28" t="s">
        <v>9550</v>
      </c>
      <c r="E653" s="28" t="s">
        <v>9551</v>
      </c>
      <c r="F653" s="23" t="str">
        <f t="array" ref="F653">IFERROR(
    INDEX('Hub Interns 226'!A:A, MATCH(C653, 'Hub Interns 226'!B:B, 0)),"")</f>
        <v/>
      </c>
      <c r="G653" s="23">
        <f t="array" ref="G653">IFERROR(
    INDEX('Hub Users 226'!A:A, MATCH(C653, 'Hub Users 226'!B:B, 0)),"")</f>
        <v>1831</v>
      </c>
      <c r="H653" s="28">
        <v>1697.0</v>
      </c>
      <c r="I653" s="28"/>
      <c r="J653" s="28" t="s">
        <v>2388</v>
      </c>
      <c r="K653" s="28" t="s">
        <v>5463</v>
      </c>
      <c r="L653" s="28" t="s">
        <v>5196</v>
      </c>
      <c r="M653" s="56" t="s">
        <v>9552</v>
      </c>
      <c r="N653" s="59">
        <v>45250.93958333333</v>
      </c>
      <c r="O653" s="58">
        <v>40288.0</v>
      </c>
      <c r="P653" s="28">
        <f t="shared" si="20"/>
        <v>16</v>
      </c>
      <c r="Q653" s="28" t="s">
        <v>240</v>
      </c>
      <c r="R653" s="28" t="s">
        <v>6821</v>
      </c>
      <c r="S653" s="60">
        <v>6.0</v>
      </c>
      <c r="T653" s="60">
        <v>12.0</v>
      </c>
      <c r="U653" s="60">
        <v>30.0</v>
      </c>
      <c r="V653" s="28">
        <v>30.0</v>
      </c>
      <c r="W653" s="28" t="s">
        <v>1173</v>
      </c>
      <c r="X653" s="28" t="s">
        <v>272</v>
      </c>
      <c r="Y653" s="23"/>
      <c r="Z653" s="28" t="s">
        <v>5170</v>
      </c>
      <c r="AA653" s="28" t="s">
        <v>5171</v>
      </c>
      <c r="AB653" s="28">
        <v>30.0</v>
      </c>
      <c r="AC653" s="28" t="s">
        <v>23</v>
      </c>
      <c r="AD653" s="23"/>
      <c r="AE653" s="28" t="s">
        <v>18</v>
      </c>
      <c r="AF653" s="23"/>
      <c r="AG653" s="23"/>
      <c r="AH653" s="23" t="str">
        <f>IFERROR(__xludf.DUMMYFUNCTION("IF(
ISNUMBER(MATCH(
C653,
IMPORTRANGE(""https://docs.google.com/spreadsheets/d/1yTh1ELC33JHYOeEdgIiEclxPRyh0zOKtlawDltfUay8"",""'Interns'!A:A""),
0
)),
""Outreach Conducted"",
"""")"),"")</f>
        <v/>
      </c>
      <c r="AI653" s="23"/>
      <c r="AJ653" s="23"/>
      <c r="AK653" s="23" t="str">
        <f>IFERROR(__xludf.DUMMYFUNCTION("XLOOKUP(C653, 
   IMPORTRANGE(""1RdEdgHYrZ33LJ7RUHj_h-qkAFL92bcVjtIdVa-UlsCw"", ""Interns!D:D""), 
   IMPORTRANGE(""1RdEdgHYrZ33LJ7RUHj_h-qkAFL92bcVjtIdVa-UlsCw"", ""Interns!M:M""), 
   ""Not Found"")"),"Contacted")</f>
        <v>Contacted</v>
      </c>
      <c r="AL653" s="23" t="str">
        <f>IFERROR(__xludf.DUMMYFUNCTION("XLOOKUP(C653, 
   IMPORTRANGE(""1RdEdgHYrZ33LJ7RUHj_h-qkAFL92bcVjtIdVa-UlsCw"", ""Interns!D:D""), 
   IMPORTRANGE(""1RdEdgHYrZ33LJ7RUHj_h-qkAFL92bcVjtIdVa-UlsCw"", ""Interns!N:N""), 
   ""Not Found"")"),"#Cheers4Careers")</f>
        <v>#Cheers4Careers</v>
      </c>
      <c r="AM653" s="23" t="str">
        <f>IFERROR(__xludf.DUMMYFUNCTION("XLOOKUP(C653, 
   IMPORTRANGE(""1RdEdgHYrZ33LJ7RUHj_h-qkAFL92bcVjtIdVa-UlsCw"", ""Interns!D:D""), 
   IMPORTRANGE(""1RdEdgHYrZ33LJ7RUHj_h-qkAFL92bcVjtIdVa-UlsCw"", ""Interns!O:O""), 
   ""Not Found"")"),"Hetal reached out March 27 for March #Cheers4 Careers ")</f>
        <v>Hetal reached out March 27 for March #Cheers4 Careers </v>
      </c>
      <c r="AN653" s="23"/>
      <c r="AO653" s="23" t="s">
        <v>9553</v>
      </c>
      <c r="AP653" s="28" t="s">
        <v>5182</v>
      </c>
      <c r="AQ653" s="28" t="s">
        <v>9554</v>
      </c>
      <c r="AR653" s="23">
        <v>7.182056788E9</v>
      </c>
      <c r="AS653" s="23"/>
      <c r="AT653" s="23"/>
      <c r="AU653" s="23"/>
      <c r="AV653" s="23"/>
    </row>
    <row r="654">
      <c r="A654" s="28" t="s">
        <v>5161</v>
      </c>
      <c r="B654" s="28" t="s">
        <v>5162</v>
      </c>
      <c r="C654" s="23" t="str">
        <f t="shared" si="1"/>
        <v>Rafaela Almeida</v>
      </c>
      <c r="D654" s="22" t="s">
        <v>9555</v>
      </c>
      <c r="E654" s="22" t="s">
        <v>8805</v>
      </c>
      <c r="F654" s="23"/>
      <c r="G654" s="23"/>
      <c r="H654" s="22">
        <v>1999.0</v>
      </c>
      <c r="I654" s="28"/>
      <c r="J654" s="28" t="s">
        <v>2388</v>
      </c>
      <c r="K654" s="28" t="s">
        <v>5463</v>
      </c>
      <c r="L654" s="28" t="s">
        <v>5196</v>
      </c>
      <c r="M654" s="29" t="s">
        <v>9556</v>
      </c>
      <c r="N654" s="63">
        <v>45615.510416666664</v>
      </c>
      <c r="O654" s="25">
        <v>41471.0</v>
      </c>
      <c r="P654" s="28">
        <f t="shared" si="20"/>
        <v>12</v>
      </c>
      <c r="Q654" s="62" t="s">
        <v>9557</v>
      </c>
      <c r="R654" s="22" t="s">
        <v>9558</v>
      </c>
      <c r="S654" s="69">
        <v>7.0</v>
      </c>
      <c r="T654" s="69">
        <v>12.0</v>
      </c>
      <c r="U654" s="69">
        <v>37.0</v>
      </c>
      <c r="V654" s="28">
        <v>26.0</v>
      </c>
      <c r="W654" s="28" t="s">
        <v>271</v>
      </c>
      <c r="X654" s="28" t="s">
        <v>272</v>
      </c>
      <c r="Y654" s="22">
        <v>9.29465628E9</v>
      </c>
      <c r="Z654" s="22" t="s">
        <v>5536</v>
      </c>
      <c r="AA654" s="28" t="s">
        <v>5287</v>
      </c>
      <c r="AB654" s="28">
        <v>26.0</v>
      </c>
      <c r="AC654" s="28" t="s">
        <v>27</v>
      </c>
      <c r="AD654" s="23"/>
      <c r="AE654" s="28" t="s">
        <v>19</v>
      </c>
      <c r="AF654" s="23"/>
      <c r="AG654" s="23"/>
      <c r="AH654" s="23" t="str">
        <f>IFERROR(__xludf.DUMMYFUNCTION("IF(
ISNUMBER(MATCH(
C654,
IMPORTRANGE(""https://docs.google.com/spreadsheets/d/1yTh1ELC33JHYOeEdgIiEclxPRyh0zOKtlawDltfUay8"",""'Interns'!A:A""),
0
)),
""Outreach Conducted"",
"""")"),"")</f>
        <v/>
      </c>
      <c r="AI654" s="23"/>
      <c r="AJ654" s="23"/>
      <c r="AK654" s="23" t="str">
        <f>IFERROR(__xludf.DUMMYFUNCTION("XLOOKUP(C654, 
   IMPORTRANGE(""1RdEdgHYrZ33LJ7RUHj_h-qkAFL92bcVjtIdVa-UlsCw"", ""Interns!D:D""), 
   IMPORTRANGE(""1RdEdgHYrZ33LJ7RUHj_h-qkAFL92bcVjtIdVa-UlsCw"", ""Interns!M:M""), 
   ""Not Found"")"),"Not Found")</f>
        <v>Not Found</v>
      </c>
      <c r="AL654" s="23" t="str">
        <f>IFERROR(__xludf.DUMMYFUNCTION("XLOOKUP(C654, 
   IMPORTRANGE(""1RdEdgHYrZ33LJ7RUHj_h-qkAFL92bcVjtIdVa-UlsCw"", ""Interns!D:D""), 
   IMPORTRANGE(""1RdEdgHYrZ33LJ7RUHj_h-qkAFL92bcVjtIdVa-UlsCw"", ""Interns!N:N""), 
   ""Not Found"")"),"Not Found")</f>
        <v>Not Found</v>
      </c>
      <c r="AM654" s="23" t="str">
        <f>IFERROR(__xludf.DUMMYFUNCTION("XLOOKUP(C654, 
   IMPORTRANGE(""1RdEdgHYrZ33LJ7RUHj_h-qkAFL92bcVjtIdVa-UlsCw"", ""Interns!D:D""), 
   IMPORTRANGE(""1RdEdgHYrZ33LJ7RUHj_h-qkAFL92bcVjtIdVa-UlsCw"", ""Interns!O:O""), 
   ""Not Found"")"),"Not Found")</f>
        <v>Not Found</v>
      </c>
      <c r="AN654" s="23"/>
      <c r="AO654" s="23" t="s">
        <v>9559</v>
      </c>
      <c r="AP654" s="28" t="s">
        <v>7001</v>
      </c>
      <c r="AQ654" s="28" t="s">
        <v>9560</v>
      </c>
      <c r="AR654" s="23">
        <v>9.29465628E9</v>
      </c>
      <c r="AS654" s="23"/>
      <c r="AT654" s="23"/>
      <c r="AU654" s="23"/>
      <c r="AV654" s="23"/>
    </row>
    <row r="655">
      <c r="A655" s="28" t="s">
        <v>5202</v>
      </c>
      <c r="B655" s="28" t="s">
        <v>5162</v>
      </c>
      <c r="C655" s="23" t="str">
        <f t="shared" si="1"/>
        <v>Jose SANAN</v>
      </c>
      <c r="D655" s="28" t="s">
        <v>6697</v>
      </c>
      <c r="E655" s="28" t="s">
        <v>9561</v>
      </c>
      <c r="F655" s="23">
        <f t="array" ref="F655">IFERROR(
    INDEX('Hub Interns 226'!A:A, MATCH(C655, 'Hub Interns 226'!B:B, 0)),"")</f>
        <v>701</v>
      </c>
      <c r="G655" s="23">
        <f t="array" ref="G655">IFERROR(
    INDEX('Hub Users 226'!A:A, MATCH(C655, 'Hub Users 226'!B:B, 0)),"")</f>
        <v>1134</v>
      </c>
      <c r="H655" s="28">
        <v>1473.0</v>
      </c>
      <c r="I655" s="28" t="s">
        <v>1235</v>
      </c>
      <c r="J655" s="28" t="s">
        <v>9536</v>
      </c>
      <c r="K655" s="28" t="s">
        <v>5177</v>
      </c>
      <c r="L655" s="28" t="s">
        <v>5165</v>
      </c>
      <c r="M655" s="56" t="s">
        <v>9562</v>
      </c>
      <c r="N655" s="57">
        <v>44939.50625</v>
      </c>
      <c r="O655" s="58">
        <v>39197.0</v>
      </c>
      <c r="P655" s="28">
        <f t="shared" si="20"/>
        <v>19</v>
      </c>
      <c r="Q655" s="28" t="s">
        <v>9563</v>
      </c>
      <c r="R655" s="28" t="s">
        <v>9564</v>
      </c>
      <c r="S655" s="28">
        <v>13.0</v>
      </c>
      <c r="T655" s="28">
        <v>33.0</v>
      </c>
      <c r="U655" s="28">
        <v>86.0</v>
      </c>
      <c r="V655" s="28">
        <v>15.0</v>
      </c>
      <c r="W655" s="28" t="s">
        <v>859</v>
      </c>
      <c r="X655" s="28" t="s">
        <v>272</v>
      </c>
      <c r="Y655" s="28" t="s">
        <v>9565</v>
      </c>
      <c r="Z655" s="28" t="s">
        <v>5918</v>
      </c>
      <c r="AA655" s="28" t="s">
        <v>477</v>
      </c>
      <c r="AB655" s="28">
        <v>15.0</v>
      </c>
      <c r="AC655" s="28" t="s">
        <v>25</v>
      </c>
      <c r="AD655" s="23"/>
      <c r="AE655" s="28" t="s">
        <v>15</v>
      </c>
      <c r="AF655" s="23" t="str">
        <f>IFERROR(__xludf.DUMMYFUNCTION("TEXTJOIN("", "", TRUE,
  FILTER(Champions!C:C,
    ISNUMBER(SEARCH(C655, Champions!W:W))
  )
)"),"Bhavna Mohan Agnihotri, Divya Padgaonkar")</f>
        <v>Bhavna Mohan Agnihotri, Divya Padgaonkar</v>
      </c>
      <c r="AG655" s="23"/>
      <c r="AH655" s="23" t="str">
        <f>IFERROR(__xludf.DUMMYFUNCTION("IF(
ISNUMBER(MATCH(
C655,
IMPORTRANGE(""https://docs.google.com/spreadsheets/d/1yTh1ELC33JHYOeEdgIiEclxPRyh0zOKtlawDltfUay8"",""'Interns'!A:A""),
0
)),
""Outreach Conducted"",
"""")"),"")</f>
        <v/>
      </c>
      <c r="AI655" s="23"/>
      <c r="AJ655" s="23"/>
      <c r="AK655" s="23" t="str">
        <f>IFERROR(__xludf.DUMMYFUNCTION("XLOOKUP(C655, 
   IMPORTRANGE(""1RdEdgHYrZ33LJ7RUHj_h-qkAFL92bcVjtIdVa-UlsCw"", ""Interns!D:D""), 
   IMPORTRANGE(""1RdEdgHYrZ33LJ7RUHj_h-qkAFL92bcVjtIdVa-UlsCw"", ""Interns!M:M""), 
   ""Not Found"")"),"")</f>
        <v/>
      </c>
      <c r="AL655" s="23" t="str">
        <f>IFERROR(__xludf.DUMMYFUNCTION("XLOOKUP(C655, 
   IMPORTRANGE(""1RdEdgHYrZ33LJ7RUHj_h-qkAFL92bcVjtIdVa-UlsCw"", ""Interns!D:D""), 
   IMPORTRANGE(""1RdEdgHYrZ33LJ7RUHj_h-qkAFL92bcVjtIdVa-UlsCw"", ""Interns!N:N""), 
   ""Not Found"")"),"")</f>
        <v/>
      </c>
      <c r="AM655" s="23" t="str">
        <f>IFERROR(__xludf.DUMMYFUNCTION("XLOOKUP(C655, 
   IMPORTRANGE(""1RdEdgHYrZ33LJ7RUHj_h-qkAFL92bcVjtIdVa-UlsCw"", ""Interns!D:D""), 
   IMPORTRANGE(""1RdEdgHYrZ33LJ7RUHj_h-qkAFL92bcVjtIdVa-UlsCw"", ""Interns!O:O""), 
   ""Not Found"")"),"")</f>
        <v/>
      </c>
      <c r="AN655" s="23"/>
      <c r="AO655" s="23" t="s">
        <v>9566</v>
      </c>
      <c r="AP655" s="28" t="s">
        <v>5182</v>
      </c>
      <c r="AQ655" s="28" t="s">
        <v>9567</v>
      </c>
      <c r="AR655" s="23" t="s">
        <v>9568</v>
      </c>
      <c r="AS655" s="23"/>
      <c r="AT655" s="23"/>
      <c r="AU655" s="23"/>
      <c r="AV655" s="23"/>
    </row>
    <row r="656">
      <c r="A656" s="28" t="s">
        <v>5161</v>
      </c>
      <c r="B656" s="28" t="s">
        <v>5162</v>
      </c>
      <c r="C656" s="23" t="str">
        <f t="shared" si="1"/>
        <v>James Ametefe</v>
      </c>
      <c r="D656" s="28" t="s">
        <v>1628</v>
      </c>
      <c r="E656" s="28" t="s">
        <v>9569</v>
      </c>
      <c r="F656" s="23">
        <f t="array" ref="F656">IFERROR(
    INDEX('Hub Interns 226'!A:A, MATCH(C656, 'Hub Interns 226'!B:B, 0)),"")</f>
        <v>29</v>
      </c>
      <c r="G656" s="23">
        <f t="array" ref="G656">IFERROR(
    INDEX('Hub Users 226'!A:A, MATCH(C656, 'Hub Users 226'!B:B, 0)),"")</f>
        <v>462</v>
      </c>
      <c r="H656" s="28">
        <v>1168.0</v>
      </c>
      <c r="I656" s="28" t="s">
        <v>239</v>
      </c>
      <c r="J656" s="28" t="s">
        <v>9570</v>
      </c>
      <c r="K656" s="28" t="s">
        <v>5245</v>
      </c>
      <c r="L656" s="28" t="s">
        <v>5165</v>
      </c>
      <c r="M656" s="56" t="s">
        <v>9571</v>
      </c>
      <c r="N656" s="57">
        <v>44754.86944444444</v>
      </c>
      <c r="O656" s="58">
        <v>38082.0</v>
      </c>
      <c r="P656" s="28">
        <f t="shared" si="20"/>
        <v>22</v>
      </c>
      <c r="Q656" s="28" t="s">
        <v>240</v>
      </c>
      <c r="R656" s="28" t="s">
        <v>9572</v>
      </c>
      <c r="S656" s="28">
        <v>15.0</v>
      </c>
      <c r="T656" s="28">
        <v>31.0</v>
      </c>
      <c r="U656" s="28">
        <v>77.0</v>
      </c>
      <c r="V656" s="28">
        <v>14.0</v>
      </c>
      <c r="W656" s="28" t="s">
        <v>859</v>
      </c>
      <c r="X656" s="28" t="s">
        <v>272</v>
      </c>
      <c r="Y656" s="28" t="s">
        <v>9573</v>
      </c>
      <c r="Z656" s="28" t="s">
        <v>5259</v>
      </c>
      <c r="AA656" s="28" t="s">
        <v>704</v>
      </c>
      <c r="AB656" s="28">
        <v>2.0</v>
      </c>
      <c r="AC656" s="28" t="s">
        <v>23</v>
      </c>
      <c r="AD656" s="28" t="s">
        <v>101</v>
      </c>
      <c r="AE656" s="28" t="s">
        <v>15</v>
      </c>
      <c r="AF656" s="23"/>
      <c r="AG656" s="23"/>
      <c r="AH656" s="23" t="str">
        <f>IFERROR(__xludf.DUMMYFUNCTION("IF(
ISNUMBER(MATCH(
C656,
IMPORTRANGE(""https://docs.google.com/spreadsheets/d/1yTh1ELC33JHYOeEdgIiEclxPRyh0zOKtlawDltfUay8"",""'Interns'!A:A""),
0
)),
""Outreach Conducted"",
"""")"),"")</f>
        <v/>
      </c>
      <c r="AI656" s="23"/>
      <c r="AJ656" s="28" t="s">
        <v>9574</v>
      </c>
      <c r="AK656" s="23" t="str">
        <f>IFERROR(__xludf.DUMMYFUNCTION("XLOOKUP(C656, 
   IMPORTRANGE(""1RdEdgHYrZ33LJ7RUHj_h-qkAFL92bcVjtIdVa-UlsCw"", ""Interns!D:D""), 
   IMPORTRANGE(""1RdEdgHYrZ33LJ7RUHj_h-qkAFL92bcVjtIdVa-UlsCw"", ""Interns!M:M""), 
   ""Not Found"")"),"Contacted")</f>
        <v>Contacted</v>
      </c>
      <c r="AL656" s="23" t="str">
        <f>IFERROR(__xludf.DUMMYFUNCTION("XLOOKUP(C656, 
   IMPORTRANGE(""1RdEdgHYrZ33LJ7RUHj_h-qkAFL92bcVjtIdVa-UlsCw"", ""Interns!D:D""), 
   IMPORTRANGE(""1RdEdgHYrZ33LJ7RUHj_h-qkAFL92bcVjtIdVa-UlsCw"", ""Interns!N:N""), 
   ""Not Found"")"),"#Cheers4Careers")</f>
        <v>#Cheers4Careers</v>
      </c>
      <c r="AM656" s="23" t="str">
        <f>IFERROR(__xludf.DUMMYFUNCTION("XLOOKUP(C656, 
   IMPORTRANGE(""1RdEdgHYrZ33LJ7RUHj_h-qkAFL92bcVjtIdVa-UlsCw"", ""Interns!D:D""), 
   IMPORTRANGE(""1RdEdgHYrZ33LJ7RUHj_h-qkAFL92bcVjtIdVa-UlsCw"", ""Interns!O:O""), 
   ""Not Found"")"),"Ousmane reached out by email 3/26 and reach out by text 3/28")</f>
        <v>Ousmane reached out by email 3/26 and reach out by text 3/28</v>
      </c>
      <c r="AN656" s="23"/>
      <c r="AO656" s="23" t="s">
        <v>9575</v>
      </c>
      <c r="AP656" s="28" t="s">
        <v>5191</v>
      </c>
      <c r="AQ656" s="28"/>
      <c r="AR656" s="23"/>
      <c r="AS656" s="23"/>
      <c r="AT656" s="23"/>
      <c r="AU656" s="23"/>
      <c r="AV656" s="23"/>
    </row>
    <row r="657">
      <c r="A657" s="28" t="s">
        <v>5161</v>
      </c>
      <c r="B657" s="28" t="s">
        <v>5162</v>
      </c>
      <c r="C657" s="23" t="str">
        <f t="shared" si="1"/>
        <v>Mateo Buele</v>
      </c>
      <c r="D657" s="28" t="s">
        <v>9576</v>
      </c>
      <c r="E657" s="28" t="s">
        <v>9577</v>
      </c>
      <c r="F657" s="23">
        <f t="array" ref="F657">IFERROR(
    INDEX('Hub Interns 226'!A:A, MATCH(C657, 'Hub Interns 226'!B:B, 0)),"")</f>
        <v>855</v>
      </c>
      <c r="G657" s="23">
        <f t="array" ref="G657">IFERROR(
    INDEX('Hub Users 226'!A:A, MATCH(C657, 'Hub Users 226'!B:B, 0)),"")</f>
        <v>1288</v>
      </c>
      <c r="H657" s="28">
        <v>1615.0</v>
      </c>
      <c r="I657" s="28"/>
      <c r="J657" s="28" t="s">
        <v>2388</v>
      </c>
      <c r="K657" s="28" t="s">
        <v>5463</v>
      </c>
      <c r="L657" s="28" t="s">
        <v>5165</v>
      </c>
      <c r="M657" s="56" t="s">
        <v>9578</v>
      </c>
      <c r="N657" s="57">
        <v>45079.51944444444</v>
      </c>
      <c r="O657" s="58">
        <v>40317.0</v>
      </c>
      <c r="P657" s="28">
        <f t="shared" si="20"/>
        <v>16</v>
      </c>
      <c r="Q657" s="28" t="s">
        <v>240</v>
      </c>
      <c r="R657" s="28" t="s">
        <v>9579</v>
      </c>
      <c r="S657" s="28">
        <v>6.0</v>
      </c>
      <c r="T657" s="28">
        <v>13.0</v>
      </c>
      <c r="U657" s="28">
        <v>39.0</v>
      </c>
      <c r="V657" s="28">
        <v>21.0</v>
      </c>
      <c r="W657" s="28" t="s">
        <v>1173</v>
      </c>
      <c r="X657" s="28" t="s">
        <v>272</v>
      </c>
      <c r="Y657" s="28" t="s">
        <v>9580</v>
      </c>
      <c r="Z657" s="28" t="s">
        <v>5352</v>
      </c>
      <c r="AA657" s="28" t="s">
        <v>5287</v>
      </c>
      <c r="AB657" s="28">
        <v>26.0</v>
      </c>
      <c r="AC657" s="28" t="s">
        <v>23</v>
      </c>
      <c r="AD657" s="23"/>
      <c r="AE657" s="28" t="s">
        <v>15</v>
      </c>
      <c r="AF657" s="23"/>
      <c r="AG657" s="23"/>
      <c r="AH657" s="23" t="str">
        <f>IFERROR(__xludf.DUMMYFUNCTION("IF(
ISNUMBER(MATCH(
C657,
IMPORTRANGE(""https://docs.google.com/spreadsheets/d/1yTh1ELC33JHYOeEdgIiEclxPRyh0zOKtlawDltfUay8"",""'Interns'!A:A""),
0
)),
""Outreach Conducted"",
"""")"),"")</f>
        <v/>
      </c>
      <c r="AI657" s="23"/>
      <c r="AJ657" s="23"/>
      <c r="AK657" s="23" t="str">
        <f>IFERROR(__xludf.DUMMYFUNCTION("XLOOKUP(C657, 
   IMPORTRANGE(""1RdEdgHYrZ33LJ7RUHj_h-qkAFL92bcVjtIdVa-UlsCw"", ""Interns!D:D""), 
   IMPORTRANGE(""1RdEdgHYrZ33LJ7RUHj_h-qkAFL92bcVjtIdVa-UlsCw"", ""Interns!M:M""), 
   ""Not Found"")"),"Contacted")</f>
        <v>Contacted</v>
      </c>
      <c r="AL657" s="23" t="str">
        <f>IFERROR(__xludf.DUMMYFUNCTION("XLOOKUP(C657, 
   IMPORTRANGE(""1RdEdgHYrZ33LJ7RUHj_h-qkAFL92bcVjtIdVa-UlsCw"", ""Interns!D:D""), 
   IMPORTRANGE(""1RdEdgHYrZ33LJ7RUHj_h-qkAFL92bcVjtIdVa-UlsCw"", ""Interns!N:N""), 
   ""Not Found"")"),"#Cheers4Careers")</f>
        <v>#Cheers4Careers</v>
      </c>
      <c r="AM657" s="23" t="str">
        <f>IFERROR(__xludf.DUMMYFUNCTION("XLOOKUP(C657, 
   IMPORTRANGE(""1RdEdgHYrZ33LJ7RUHj_h-qkAFL92bcVjtIdVa-UlsCw"", ""Interns!D:D""), 
   IMPORTRANGE(""1RdEdgHYrZ33LJ7RUHj_h-qkAFL92bcVjtIdVa-UlsCw"", ""Interns!O:O""), 
   ""Not Found"")"),"Hetal reached out by email 3/27")</f>
        <v>Hetal reached out by email 3/27</v>
      </c>
      <c r="AN657" s="23"/>
      <c r="AO657" s="23" t="s">
        <v>9581</v>
      </c>
      <c r="AP657" s="28" t="s">
        <v>5191</v>
      </c>
      <c r="AQ657" s="28"/>
      <c r="AR657" s="23"/>
      <c r="AS657" s="23"/>
      <c r="AT657" s="23"/>
      <c r="AU657" s="23"/>
      <c r="AV657" s="23"/>
    </row>
    <row r="658">
      <c r="A658" s="28" t="s">
        <v>5202</v>
      </c>
      <c r="B658" s="28" t="s">
        <v>5162</v>
      </c>
      <c r="C658" s="23" t="str">
        <f t="shared" si="1"/>
        <v>Elba Larias</v>
      </c>
      <c r="D658" s="28" t="s">
        <v>9582</v>
      </c>
      <c r="E658" s="28" t="s">
        <v>9583</v>
      </c>
      <c r="F658" s="23">
        <f t="array" ref="F658">IFERROR(
    INDEX('Hub Interns 226'!A:A, MATCH(C658, 'Hub Interns 226'!B:B, 0)),"")</f>
        <v>475</v>
      </c>
      <c r="G658" s="23">
        <f t="array" ref="G658">IFERROR(
    INDEX('Hub Users 226'!A:A, MATCH(C658, 'Hub Users 226'!B:B, 0)),"")</f>
        <v>908</v>
      </c>
      <c r="H658" s="28">
        <v>1317.0</v>
      </c>
      <c r="I658" s="28"/>
      <c r="J658" s="28" t="s">
        <v>9536</v>
      </c>
      <c r="K658" s="28" t="s">
        <v>5177</v>
      </c>
      <c r="L658" s="28" t="s">
        <v>5196</v>
      </c>
      <c r="M658" s="56" t="s">
        <v>9584</v>
      </c>
      <c r="N658" s="59">
        <v>44851.441666666666</v>
      </c>
      <c r="O658" s="58">
        <v>38297.0</v>
      </c>
      <c r="P658" s="28">
        <f t="shared" si="20"/>
        <v>21</v>
      </c>
      <c r="Q658" s="28" t="s">
        <v>240</v>
      </c>
      <c r="R658" s="28" t="s">
        <v>9585</v>
      </c>
      <c r="S658" s="28">
        <v>13.0</v>
      </c>
      <c r="T658" s="28">
        <v>33.0</v>
      </c>
      <c r="U658" s="28">
        <v>78.0</v>
      </c>
      <c r="V658" s="28">
        <v>15.0</v>
      </c>
      <c r="W658" s="28" t="s">
        <v>859</v>
      </c>
      <c r="X658" s="28" t="s">
        <v>272</v>
      </c>
      <c r="Y658" s="28" t="s">
        <v>9586</v>
      </c>
      <c r="Z658" s="28" t="s">
        <v>5918</v>
      </c>
      <c r="AA658" s="28" t="s">
        <v>477</v>
      </c>
      <c r="AB658" s="28">
        <v>15.0</v>
      </c>
      <c r="AC658" s="28" t="s">
        <v>23</v>
      </c>
      <c r="AD658" s="23"/>
      <c r="AE658" s="28" t="s">
        <v>15</v>
      </c>
      <c r="AF658" s="23"/>
      <c r="AG658" s="23"/>
      <c r="AH658" s="23" t="str">
        <f>IFERROR(__xludf.DUMMYFUNCTION("IF(
ISNUMBER(MATCH(
C658,
IMPORTRANGE(""https://docs.google.com/spreadsheets/d/1yTh1ELC33JHYOeEdgIiEclxPRyh0zOKtlawDltfUay8"",""'Interns'!A:A""),
0
)),
""Outreach Conducted"",
"""")"),"")</f>
        <v/>
      </c>
      <c r="AI658" s="23"/>
      <c r="AJ658" s="23"/>
      <c r="AK658" s="23" t="str">
        <f>IFERROR(__xludf.DUMMYFUNCTION("XLOOKUP(C658, 
   IMPORTRANGE(""1RdEdgHYrZ33LJ7RUHj_h-qkAFL92bcVjtIdVa-UlsCw"", ""Interns!D:D""), 
   IMPORTRANGE(""1RdEdgHYrZ33LJ7RUHj_h-qkAFL92bcVjtIdVa-UlsCw"", ""Interns!M:M""), 
   ""Not Found"")"),"")</f>
        <v/>
      </c>
      <c r="AL658" s="23" t="str">
        <f>IFERROR(__xludf.DUMMYFUNCTION("XLOOKUP(C658, 
   IMPORTRANGE(""1RdEdgHYrZ33LJ7RUHj_h-qkAFL92bcVjtIdVa-UlsCw"", ""Interns!D:D""), 
   IMPORTRANGE(""1RdEdgHYrZ33LJ7RUHj_h-qkAFL92bcVjtIdVa-UlsCw"", ""Interns!N:N""), 
   ""Not Found"")"),"")</f>
        <v/>
      </c>
      <c r="AM658" s="23" t="str">
        <f>IFERROR(__xludf.DUMMYFUNCTION("XLOOKUP(C658, 
   IMPORTRANGE(""1RdEdgHYrZ33LJ7RUHj_h-qkAFL92bcVjtIdVa-UlsCw"", ""Interns!D:D""), 
   IMPORTRANGE(""1RdEdgHYrZ33LJ7RUHj_h-qkAFL92bcVjtIdVa-UlsCw"", ""Interns!O:O""), 
   ""Not Found"")"),"")</f>
        <v/>
      </c>
      <c r="AN658" s="23"/>
      <c r="AO658" s="23" t="s">
        <v>9587</v>
      </c>
      <c r="AP658" s="28" t="s">
        <v>5908</v>
      </c>
      <c r="AQ658" s="28"/>
      <c r="AR658" s="23"/>
      <c r="AS658" s="23"/>
      <c r="AT658" s="23"/>
      <c r="AU658" s="23"/>
      <c r="AV658" s="23"/>
    </row>
    <row r="659">
      <c r="A659" s="28" t="s">
        <v>5202</v>
      </c>
      <c r="B659" s="28" t="s">
        <v>5162</v>
      </c>
      <c r="C659" s="23" t="str">
        <f t="shared" si="1"/>
        <v>Jose Rivera</v>
      </c>
      <c r="D659" s="28" t="s">
        <v>6697</v>
      </c>
      <c r="E659" s="28" t="s">
        <v>1976</v>
      </c>
      <c r="F659" s="28">
        <v>27.0</v>
      </c>
      <c r="G659" s="28">
        <v>460.0</v>
      </c>
      <c r="H659" s="28">
        <v>590.0</v>
      </c>
      <c r="I659" s="28" t="s">
        <v>302</v>
      </c>
      <c r="J659" s="28" t="s">
        <v>9536</v>
      </c>
      <c r="K659" s="28" t="s">
        <v>5177</v>
      </c>
      <c r="L659" s="28" t="s">
        <v>5165</v>
      </c>
      <c r="M659" s="56" t="s">
        <v>9588</v>
      </c>
      <c r="N659" s="59">
        <v>44484.552777777775</v>
      </c>
      <c r="O659" s="58">
        <v>38226.0</v>
      </c>
      <c r="P659" s="28">
        <f t="shared" si="20"/>
        <v>21</v>
      </c>
      <c r="Q659" s="28" t="s">
        <v>240</v>
      </c>
      <c r="R659" s="28" t="s">
        <v>9589</v>
      </c>
      <c r="S659" s="28">
        <v>6.0</v>
      </c>
      <c r="T659" s="28">
        <v>16.0</v>
      </c>
      <c r="U659" s="28">
        <v>40.0</v>
      </c>
      <c r="V659" s="28">
        <v>30.0</v>
      </c>
      <c r="W659" s="28" t="s">
        <v>1173</v>
      </c>
      <c r="X659" s="28" t="s">
        <v>272</v>
      </c>
      <c r="Y659" s="28" t="s">
        <v>9590</v>
      </c>
      <c r="Z659" s="28" t="s">
        <v>5189</v>
      </c>
      <c r="AA659" s="28" t="s">
        <v>619</v>
      </c>
      <c r="AB659" s="28">
        <v>20.0</v>
      </c>
      <c r="AC659" s="28" t="s">
        <v>25</v>
      </c>
      <c r="AD659" s="23"/>
      <c r="AE659" s="28" t="s">
        <v>10</v>
      </c>
      <c r="AF659" s="23" t="str">
        <f>IFERROR(__xludf.DUMMYFUNCTION("TEXTJOIN("", "", TRUE,
  FILTER(Champions!C:C,
    ISNUMBER(SEARCH(C659, Champions!W:W))
  )
)"),"John ?Nico? Johnson, Tiffany Soojung Park")</f>
        <v>John ?Nico? Johnson, Tiffany Soojung Park</v>
      </c>
      <c r="AG659" s="23"/>
      <c r="AH659" s="23" t="str">
        <f>IFERROR(__xludf.DUMMYFUNCTION("IF(
ISNUMBER(MATCH(
C659,
IMPORTRANGE(""https://docs.google.com/spreadsheets/d/1yTh1ELC33JHYOeEdgIiEclxPRyh0zOKtlawDltfUay8"",""'Interns'!A:A""),
0
)),
""Outreach Conducted"",
"""")"),"")</f>
        <v/>
      </c>
      <c r="AI659" s="23"/>
      <c r="AJ659" s="28" t="s">
        <v>9591</v>
      </c>
      <c r="AK659" s="23" t="str">
        <f>IFERROR(__xludf.DUMMYFUNCTION("XLOOKUP(C659, 
   IMPORTRANGE(""1RdEdgHYrZ33LJ7RUHj_h-qkAFL92bcVjtIdVa-UlsCw"", ""Interns!D:D""), 
   IMPORTRANGE(""1RdEdgHYrZ33LJ7RUHj_h-qkAFL92bcVjtIdVa-UlsCw"", ""Interns!M:M""), 
   ""Not Found"")"),"")</f>
        <v/>
      </c>
      <c r="AL659" s="23" t="str">
        <f>IFERROR(__xludf.DUMMYFUNCTION("XLOOKUP(C659, 
   IMPORTRANGE(""1RdEdgHYrZ33LJ7RUHj_h-qkAFL92bcVjtIdVa-UlsCw"", ""Interns!D:D""), 
   IMPORTRANGE(""1RdEdgHYrZ33LJ7RUHj_h-qkAFL92bcVjtIdVa-UlsCw"", ""Interns!N:N""), 
   ""Not Found"")"),"")</f>
        <v/>
      </c>
      <c r="AM659" s="23" t="str">
        <f>IFERROR(__xludf.DUMMYFUNCTION("XLOOKUP(C659, 
   IMPORTRANGE(""1RdEdgHYrZ33LJ7RUHj_h-qkAFL92bcVjtIdVa-UlsCw"", ""Interns!D:D""), 
   IMPORTRANGE(""1RdEdgHYrZ33LJ7RUHj_h-qkAFL92bcVjtIdVa-UlsCw"", ""Interns!O:O""), 
   ""Not Found"")"),"")</f>
        <v/>
      </c>
      <c r="AN659" s="23"/>
      <c r="AO659" s="23" t="s">
        <v>9592</v>
      </c>
      <c r="AP659" s="28" t="s">
        <v>5908</v>
      </c>
      <c r="AQ659" s="28" t="s">
        <v>9593</v>
      </c>
      <c r="AR659" s="23" t="s">
        <v>9594</v>
      </c>
      <c r="AS659" s="23"/>
      <c r="AT659" s="23"/>
      <c r="AU659" s="23"/>
      <c r="AV659" s="23"/>
    </row>
    <row r="660">
      <c r="A660" s="28" t="s">
        <v>5161</v>
      </c>
      <c r="B660" s="28" t="s">
        <v>5162</v>
      </c>
      <c r="C660" s="23" t="str">
        <f t="shared" si="1"/>
        <v>Bryan Montesdeoca Montesdeoca</v>
      </c>
      <c r="D660" s="28" t="s">
        <v>9595</v>
      </c>
      <c r="E660" s="28" t="s">
        <v>9596</v>
      </c>
      <c r="F660" s="23">
        <f t="array" ref="F660">IFERROR(
    INDEX('Hub Interns 226'!A:A, MATCH(C660, 'Hub Interns 226'!B:B, 0)),"")</f>
        <v>322</v>
      </c>
      <c r="G660" s="23">
        <f t="array" ref="G660">IFERROR(
    INDEX('Hub Users 226'!A:A, MATCH(C660, 'Hub Users 226'!B:B, 0)),"")</f>
        <v>755</v>
      </c>
      <c r="H660" s="28">
        <v>573.0</v>
      </c>
      <c r="I660" s="28" t="s">
        <v>538</v>
      </c>
      <c r="J660" s="28" t="s">
        <v>2388</v>
      </c>
      <c r="K660" s="28" t="s">
        <v>5463</v>
      </c>
      <c r="L660" s="28" t="s">
        <v>5165</v>
      </c>
      <c r="M660" s="56" t="s">
        <v>9597</v>
      </c>
      <c r="N660" s="59">
        <v>44480.88125</v>
      </c>
      <c r="O660" s="58">
        <v>37858.0</v>
      </c>
      <c r="P660" s="28">
        <f t="shared" si="20"/>
        <v>22</v>
      </c>
      <c r="Q660" s="28" t="s">
        <v>240</v>
      </c>
      <c r="R660" s="28" t="s">
        <v>9598</v>
      </c>
      <c r="S660" s="28">
        <v>6.0</v>
      </c>
      <c r="T660" s="28">
        <v>13.0</v>
      </c>
      <c r="U660" s="28">
        <v>35.0</v>
      </c>
      <c r="V660" s="28">
        <v>21.0</v>
      </c>
      <c r="W660" s="28" t="s">
        <v>1173</v>
      </c>
      <c r="X660" s="28" t="s">
        <v>272</v>
      </c>
      <c r="Y660" s="28" t="s">
        <v>9599</v>
      </c>
      <c r="Z660" s="28" t="s">
        <v>5189</v>
      </c>
      <c r="AA660" s="28" t="s">
        <v>619</v>
      </c>
      <c r="AB660" s="28">
        <v>20.0</v>
      </c>
      <c r="AC660" s="28" t="s">
        <v>25</v>
      </c>
      <c r="AD660" s="23"/>
      <c r="AE660" s="28" t="s">
        <v>10</v>
      </c>
      <c r="AF660" s="23" t="str">
        <f>IFERROR(__xludf.DUMMYFUNCTION("TEXTJOIN("", "", TRUE,
  FILTER(Champions!C:C,
    ISNUMBER(SEARCH(C660, Champions!W:W))
  )
)"),"Christian Espinoza, Victor Evans")</f>
        <v>Christian Espinoza, Victor Evans</v>
      </c>
      <c r="AG660" s="23"/>
      <c r="AH660" s="23" t="str">
        <f>IFERROR(__xludf.DUMMYFUNCTION("IF(
ISNUMBER(MATCH(
C660,
IMPORTRANGE(""https://docs.google.com/spreadsheets/d/1yTh1ELC33JHYOeEdgIiEclxPRyh0zOKtlawDltfUay8"",""'Interns'!A:A""),
0
)),
""Outreach Conducted"",
"""")"),"")</f>
        <v/>
      </c>
      <c r="AI660" s="23"/>
      <c r="AJ660" s="23"/>
      <c r="AK660" s="23" t="str">
        <f>IFERROR(__xludf.DUMMYFUNCTION("XLOOKUP(C660, 
   IMPORTRANGE(""1RdEdgHYrZ33LJ7RUHj_h-qkAFL92bcVjtIdVa-UlsCw"", ""Interns!D:D""), 
   IMPORTRANGE(""1RdEdgHYrZ33LJ7RUHj_h-qkAFL92bcVjtIdVa-UlsCw"", ""Interns!M:M""), 
   ""Not Found"")"),"Contacted")</f>
        <v>Contacted</v>
      </c>
      <c r="AL660" s="23" t="str">
        <f>IFERROR(__xludf.DUMMYFUNCTION("XLOOKUP(C660, 
   IMPORTRANGE(""1RdEdgHYrZ33LJ7RUHj_h-qkAFL92bcVjtIdVa-UlsCw"", ""Interns!D:D""), 
   IMPORTRANGE(""1RdEdgHYrZ33LJ7RUHj_h-qkAFL92bcVjtIdVa-UlsCw"", ""Interns!N:N""), 
   ""Not Found"")"),"#Cheers4Careers")</f>
        <v>#Cheers4Careers</v>
      </c>
      <c r="AM660" s="23" t="str">
        <f>IFERROR(__xludf.DUMMYFUNCTION("XLOOKUP(C660, 
   IMPORTRANGE(""1RdEdgHYrZ33LJ7RUHj_h-qkAFL92bcVjtIdVa-UlsCw"", ""Interns!D:D""), 
   IMPORTRANGE(""1RdEdgHYrZ33LJ7RUHj_h-qkAFL92bcVjtIdVa-UlsCw"", ""Interns!O:O""), 
   ""Not Found"")"),"Hetal reached out by email 3/27 followed by text")</f>
        <v>Hetal reached out by email 3/27 followed by text</v>
      </c>
      <c r="AN660" s="23"/>
      <c r="AO660" s="23" t="s">
        <v>9600</v>
      </c>
      <c r="AP660" s="28" t="s">
        <v>5191</v>
      </c>
      <c r="AQ660" s="28" t="s">
        <v>9597</v>
      </c>
      <c r="AR660" s="23" t="s">
        <v>9601</v>
      </c>
      <c r="AS660" s="23"/>
      <c r="AT660" s="23"/>
      <c r="AU660" s="23"/>
      <c r="AV660" s="23"/>
    </row>
    <row r="661">
      <c r="A661" s="28" t="s">
        <v>5161</v>
      </c>
      <c r="B661" s="28" t="s">
        <v>5162</v>
      </c>
      <c r="C661" s="23" t="str">
        <f t="shared" si="1"/>
        <v>Carlos Ramirez</v>
      </c>
      <c r="D661" s="28" t="s">
        <v>846</v>
      </c>
      <c r="E661" s="28" t="s">
        <v>2127</v>
      </c>
      <c r="F661" s="23">
        <f t="array" ref="F661">IFERROR(
    INDEX('Hub Interns 226'!A:A, MATCH(C661, 'Hub Interns 226'!B:B, 0)),"")</f>
        <v>334</v>
      </c>
      <c r="G661" s="23">
        <f t="array" ref="G661">IFERROR(
    INDEX('Hub Users 226'!A:A, MATCH(C661, 'Hub Users 226'!B:B, 0)),"")</f>
        <v>767</v>
      </c>
      <c r="H661" s="28">
        <v>606.0</v>
      </c>
      <c r="I661" s="28" t="s">
        <v>302</v>
      </c>
      <c r="J661" s="28" t="s">
        <v>2388</v>
      </c>
      <c r="K661" s="28" t="s">
        <v>5463</v>
      </c>
      <c r="L661" s="28" t="s">
        <v>5165</v>
      </c>
      <c r="M661" s="56" t="s">
        <v>9602</v>
      </c>
      <c r="N661" s="59">
        <v>44490.65</v>
      </c>
      <c r="O661" s="58">
        <v>38534.0</v>
      </c>
      <c r="P661" s="28">
        <f t="shared" si="20"/>
        <v>20</v>
      </c>
      <c r="Q661" s="28" t="s">
        <v>240</v>
      </c>
      <c r="R661" s="28" t="s">
        <v>9603</v>
      </c>
      <c r="S661" s="28">
        <v>6.0</v>
      </c>
      <c r="T661" s="28">
        <v>12.0</v>
      </c>
      <c r="U661" s="28">
        <v>30.0</v>
      </c>
      <c r="V661" s="28">
        <v>30.0</v>
      </c>
      <c r="W661" s="28" t="s">
        <v>1173</v>
      </c>
      <c r="X661" s="28" t="s">
        <v>272</v>
      </c>
      <c r="Y661" s="28" t="s">
        <v>9604</v>
      </c>
      <c r="Z661" s="28" t="s">
        <v>5189</v>
      </c>
      <c r="AA661" s="28" t="s">
        <v>619</v>
      </c>
      <c r="AB661" s="28">
        <v>20.0</v>
      </c>
      <c r="AC661" s="28" t="s">
        <v>25</v>
      </c>
      <c r="AD661" s="23"/>
      <c r="AE661" s="28" t="s">
        <v>10</v>
      </c>
      <c r="AF661" s="23" t="str">
        <f>IFERROR(__xludf.DUMMYFUNCTION("TEXTJOIN("", "", TRUE,
  FILTER(Champions!C:C,
    ISNUMBER(SEARCH(C661, Champions!W:W))
  )
)"),"Joseph Temowo, Andy Bolanos, Carolina Parra")</f>
        <v>Joseph Temowo, Andy Bolanos, Carolina Parra</v>
      </c>
      <c r="AG661" s="23"/>
      <c r="AH661" s="23" t="str">
        <f>IFERROR(__xludf.DUMMYFUNCTION("IF(
ISNUMBER(MATCH(
C661,
IMPORTRANGE(""https://docs.google.com/spreadsheets/d/1yTh1ELC33JHYOeEdgIiEclxPRyh0zOKtlawDltfUay8"",""'Interns'!A:A""),
0
)),
""Outreach Conducted"",
"""")"),"")</f>
        <v/>
      </c>
      <c r="AI661" s="23"/>
      <c r="AJ661" s="23"/>
      <c r="AK661" s="23" t="str">
        <f>IFERROR(__xludf.DUMMYFUNCTION("XLOOKUP(C661, 
   IMPORTRANGE(""1RdEdgHYrZ33LJ7RUHj_h-qkAFL92bcVjtIdVa-UlsCw"", ""Interns!D:D""), 
   IMPORTRANGE(""1RdEdgHYrZ33LJ7RUHj_h-qkAFL92bcVjtIdVa-UlsCw"", ""Interns!M:M""), 
   ""Not Found"")"),"Contacted")</f>
        <v>Contacted</v>
      </c>
      <c r="AL661" s="23" t="str">
        <f>IFERROR(__xludf.DUMMYFUNCTION("XLOOKUP(C661, 
   IMPORTRANGE(""1RdEdgHYrZ33LJ7RUHj_h-qkAFL92bcVjtIdVa-UlsCw"", ""Interns!D:D""), 
   IMPORTRANGE(""1RdEdgHYrZ33LJ7RUHj_h-qkAFL92bcVjtIdVa-UlsCw"", ""Interns!N:N""), 
   ""Not Found"")"),"#Cheers4Careers")</f>
        <v>#Cheers4Careers</v>
      </c>
      <c r="AM661" s="23" t="str">
        <f>IFERROR(__xludf.DUMMYFUNCTION("XLOOKUP(C661, 
   IMPORTRANGE(""1RdEdgHYrZ33LJ7RUHj_h-qkAFL92bcVjtIdVa-UlsCw"", ""Interns!D:D""), 
   IMPORTRANGE(""1RdEdgHYrZ33LJ7RUHj_h-qkAFL92bcVjtIdVa-UlsCw"", ""Interns!O:O""), 
   ""Not Found"")"),"Hetal reached out by email 3/27 followed by text")</f>
        <v>Hetal reached out by email 3/27 followed by text</v>
      </c>
      <c r="AN661" s="23"/>
      <c r="AO661" s="23" t="s">
        <v>9605</v>
      </c>
      <c r="AP661" s="28" t="s">
        <v>5182</v>
      </c>
      <c r="AQ661" s="28" t="s">
        <v>9602</v>
      </c>
      <c r="AR661" s="23" t="s">
        <v>9606</v>
      </c>
      <c r="AS661" s="23"/>
      <c r="AT661" s="23"/>
      <c r="AU661" s="23"/>
      <c r="AV661" s="23"/>
    </row>
    <row r="662">
      <c r="A662" s="28" t="s">
        <v>5161</v>
      </c>
      <c r="B662" s="28" t="s">
        <v>5162</v>
      </c>
      <c r="C662" s="23" t="str">
        <f t="shared" si="1"/>
        <v>Gustavo Cargua</v>
      </c>
      <c r="D662" s="28" t="s">
        <v>9607</v>
      </c>
      <c r="E662" s="28" t="s">
        <v>9608</v>
      </c>
      <c r="F662" s="23" t="str">
        <f t="array" ref="F662">IFERROR(
    INDEX('Hub Interns 226'!A:A, MATCH(C662, 'Hub Interns 226'!B:B, 0)),"")</f>
        <v/>
      </c>
      <c r="G662" s="23">
        <f t="array" ref="G662">IFERROR(
    INDEX('Hub Users 226'!A:A, MATCH(C662, 'Hub Users 226'!B:B, 0)),"")</f>
        <v>1921</v>
      </c>
      <c r="H662" s="28">
        <v>1770.0</v>
      </c>
      <c r="I662" s="28" t="s">
        <v>1153</v>
      </c>
      <c r="J662" s="28" t="s">
        <v>2388</v>
      </c>
      <c r="K662" s="28" t="s">
        <v>5463</v>
      </c>
      <c r="L662" s="28" t="s">
        <v>5165</v>
      </c>
      <c r="M662" s="56" t="s">
        <v>9609</v>
      </c>
      <c r="N662" s="57">
        <v>45312.73611111111</v>
      </c>
      <c r="O662" s="58">
        <v>38822.0</v>
      </c>
      <c r="P662" s="28">
        <f t="shared" si="20"/>
        <v>20</v>
      </c>
      <c r="Q662" s="28" t="s">
        <v>9610</v>
      </c>
      <c r="R662" s="28" t="s">
        <v>9611</v>
      </c>
      <c r="S662" s="28">
        <v>13.0</v>
      </c>
      <c r="T662" s="28">
        <v>30.0</v>
      </c>
      <c r="U662" s="28">
        <v>70.0</v>
      </c>
      <c r="V662" s="28">
        <v>7.0</v>
      </c>
      <c r="W662" s="28" t="s">
        <v>271</v>
      </c>
      <c r="X662" s="28" t="s">
        <v>272</v>
      </c>
      <c r="Y662" s="28">
        <v>7.182166332E9</v>
      </c>
      <c r="Z662" s="28" t="s">
        <v>5259</v>
      </c>
      <c r="AA662" s="28" t="s">
        <v>704</v>
      </c>
      <c r="AB662" s="28">
        <v>2.0</v>
      </c>
      <c r="AC662" s="28" t="s">
        <v>27</v>
      </c>
      <c r="AD662" s="23"/>
      <c r="AE662" s="28" t="s">
        <v>18</v>
      </c>
      <c r="AF662" s="23"/>
      <c r="AG662" s="23"/>
      <c r="AH662" s="23" t="str">
        <f>IFERROR(__xludf.DUMMYFUNCTION("IF(
ISNUMBER(MATCH(
C662,
IMPORTRANGE(""https://docs.google.com/spreadsheets/d/1yTh1ELC33JHYOeEdgIiEclxPRyh0zOKtlawDltfUay8"",""'Interns'!A:A""),
0
)),
""Outreach Conducted"",
"""")"),"")</f>
        <v/>
      </c>
      <c r="AI662" s="23"/>
      <c r="AJ662" s="23"/>
      <c r="AK662" s="23" t="str">
        <f>IFERROR(__xludf.DUMMYFUNCTION("XLOOKUP(C662, 
   IMPORTRANGE(""1RdEdgHYrZ33LJ7RUHj_h-qkAFL92bcVjtIdVa-UlsCw"", ""Interns!D:D""), 
   IMPORTRANGE(""1RdEdgHYrZ33LJ7RUHj_h-qkAFL92bcVjtIdVa-UlsCw"", ""Interns!M:M""), 
   ""Not Found"")"),"Contacted")</f>
        <v>Contacted</v>
      </c>
      <c r="AL662" s="23" t="str">
        <f>IFERROR(__xludf.DUMMYFUNCTION("XLOOKUP(C662, 
   IMPORTRANGE(""1RdEdgHYrZ33LJ7RUHj_h-qkAFL92bcVjtIdVa-UlsCw"", ""Interns!D:D""), 
   IMPORTRANGE(""1RdEdgHYrZ33LJ7RUHj_h-qkAFL92bcVjtIdVa-UlsCw"", ""Interns!N:N""), 
   ""Not Found"")"),"#Cheers4Careers")</f>
        <v>#Cheers4Careers</v>
      </c>
      <c r="AM662" s="23" t="str">
        <f>IFERROR(__xludf.DUMMYFUNCTION("XLOOKUP(C662, 
   IMPORTRANGE(""1RdEdgHYrZ33LJ7RUHj_h-qkAFL92bcVjtIdVa-UlsCw"", ""Interns!D:D""), 
   IMPORTRANGE(""1RdEdgHYrZ33LJ7RUHj_h-qkAFL92bcVjtIdVa-UlsCw"", ""Interns!O:O""), 
   ""Not Found"")"),"Ousmane reached out by email 3/26 and reach out by text 3/28")</f>
        <v>Ousmane reached out by email 3/26 and reach out by text 3/28</v>
      </c>
      <c r="AN662" s="23"/>
      <c r="AO662" s="23" t="s">
        <v>9612</v>
      </c>
      <c r="AP662" s="28" t="s">
        <v>9613</v>
      </c>
      <c r="AQ662" s="28" t="s">
        <v>9614</v>
      </c>
      <c r="AR662" s="23">
        <v>9.177365629E9</v>
      </c>
      <c r="AS662" s="23"/>
      <c r="AT662" s="23"/>
      <c r="AU662" s="23"/>
      <c r="AV662" s="23"/>
    </row>
    <row r="663">
      <c r="A663" s="28" t="s">
        <v>5161</v>
      </c>
      <c r="B663" s="28" t="s">
        <v>5162</v>
      </c>
      <c r="C663" s="23" t="str">
        <f t="shared" si="1"/>
        <v>Jasmin Mendoza</v>
      </c>
      <c r="D663" s="28" t="s">
        <v>9615</v>
      </c>
      <c r="E663" s="28" t="s">
        <v>4503</v>
      </c>
      <c r="F663" s="23">
        <f t="array" ref="F663">IFERROR(
    INDEX('Hub Interns 226'!A:A, MATCH(C663, 'Hub Interns 226'!B:B, 0)),"")</f>
        <v>939</v>
      </c>
      <c r="G663" s="23">
        <f t="array" ref="G663">IFERROR(
    INDEX('Hub Users 226'!A:A, MATCH(C663, 'Hub Users 226'!B:B, 0)),"")</f>
        <v>1372</v>
      </c>
      <c r="H663" s="28">
        <v>1552.0</v>
      </c>
      <c r="I663" s="28" t="s">
        <v>290</v>
      </c>
      <c r="J663" s="28"/>
      <c r="K663" s="28"/>
      <c r="L663" s="28" t="s">
        <v>5196</v>
      </c>
      <c r="M663" s="56" t="s">
        <v>9616</v>
      </c>
      <c r="N663" s="57">
        <v>44958.64861111111</v>
      </c>
      <c r="O663" s="58">
        <v>38277.0</v>
      </c>
      <c r="P663" s="28">
        <f t="shared" si="20"/>
        <v>21</v>
      </c>
      <c r="Q663" s="28" t="s">
        <v>9617</v>
      </c>
      <c r="R663" s="28" t="s">
        <v>9618</v>
      </c>
      <c r="S663" s="28">
        <v>7.0</v>
      </c>
      <c r="T663" s="28">
        <v>18.0</v>
      </c>
      <c r="U663" s="28">
        <v>53.0</v>
      </c>
      <c r="V663" s="28">
        <v>37.0</v>
      </c>
      <c r="W663" s="28" t="s">
        <v>294</v>
      </c>
      <c r="X663" s="28" t="s">
        <v>272</v>
      </c>
      <c r="Y663" s="28" t="s">
        <v>9619</v>
      </c>
      <c r="Z663" s="28" t="s">
        <v>5259</v>
      </c>
      <c r="AA663" s="28" t="s">
        <v>704</v>
      </c>
      <c r="AB663" s="28">
        <v>2.0</v>
      </c>
      <c r="AC663" s="28" t="s">
        <v>23</v>
      </c>
      <c r="AD663" s="28" t="s">
        <v>101</v>
      </c>
      <c r="AE663" s="28" t="s">
        <v>15</v>
      </c>
      <c r="AF663" s="23"/>
      <c r="AG663" s="26" t="s">
        <v>5273</v>
      </c>
      <c r="AH663" s="23" t="str">
        <f>IFERROR(__xludf.DUMMYFUNCTION("IF(
ISNUMBER(MATCH(
C663,
IMPORTRANGE(""https://docs.google.com/spreadsheets/d/1yTh1ELC33JHYOeEdgIiEclxPRyh0zOKtlawDltfUay8"",""'Interns'!A:A""),
0
)),
""Outreach Conducted"",
"""")"),"")</f>
        <v/>
      </c>
      <c r="AI663" s="23"/>
      <c r="AJ663" s="23"/>
      <c r="AK663" s="23" t="str">
        <f>IFERROR(__xludf.DUMMYFUNCTION("XLOOKUP(C663, 
   IMPORTRANGE(""1RdEdgHYrZ33LJ7RUHj_h-qkAFL92bcVjtIdVa-UlsCw"", ""Interns!D:D""), 
   IMPORTRANGE(""1RdEdgHYrZ33LJ7RUHj_h-qkAFL92bcVjtIdVa-UlsCw"", ""Interns!M:M""), 
   ""Not Found"")"),"Contacted")</f>
        <v>Contacted</v>
      </c>
      <c r="AL663" s="23" t="str">
        <f>IFERROR(__xludf.DUMMYFUNCTION("XLOOKUP(C663, 
   IMPORTRANGE(""1RdEdgHYrZ33LJ7RUHj_h-qkAFL92bcVjtIdVa-UlsCw"", ""Interns!D:D""), 
   IMPORTRANGE(""1RdEdgHYrZ33LJ7RUHj_h-qkAFL92bcVjtIdVa-UlsCw"", ""Interns!N:N""), 
   ""Not Found"")"),"#Cheers4Careers")</f>
        <v>#Cheers4Careers</v>
      </c>
      <c r="AM663" s="23" t="str">
        <f>IFERROR(__xludf.DUMMYFUNCTION("XLOOKUP(C663, 
   IMPORTRANGE(""1RdEdgHYrZ33LJ7RUHj_h-qkAFL92bcVjtIdVa-UlsCw"", ""Interns!D:D""), 
   IMPORTRANGE(""1RdEdgHYrZ33LJ7RUHj_h-qkAFL92bcVjtIdVa-UlsCw"", ""Interns!O:O""), 
   ""Not Found"")"),"Ousmane reached out by email 3/26 ")</f>
        <v>Ousmane reached out by email 3/26 </v>
      </c>
      <c r="AN663" s="23"/>
      <c r="AO663" s="23" t="s">
        <v>9620</v>
      </c>
      <c r="AP663" s="28" t="s">
        <v>5191</v>
      </c>
      <c r="AQ663" s="28"/>
      <c r="AR663" s="23"/>
      <c r="AS663" s="23"/>
      <c r="AT663" s="23"/>
      <c r="AU663" s="23"/>
      <c r="AV663" s="23"/>
    </row>
    <row r="664">
      <c r="A664" s="28" t="s">
        <v>5161</v>
      </c>
      <c r="B664" s="28" t="s">
        <v>5162</v>
      </c>
      <c r="C664" s="23" t="str">
        <f t="shared" si="1"/>
        <v>Lessly Flores</v>
      </c>
      <c r="D664" s="22" t="s">
        <v>9621</v>
      </c>
      <c r="E664" s="22" t="s">
        <v>3101</v>
      </c>
      <c r="F664" s="23"/>
      <c r="G664" s="23"/>
      <c r="H664" s="22">
        <v>1981.0</v>
      </c>
      <c r="I664" s="28"/>
      <c r="J664" s="28" t="s">
        <v>2388</v>
      </c>
      <c r="K664" s="28" t="s">
        <v>5463</v>
      </c>
      <c r="L664" s="28" t="s">
        <v>5196</v>
      </c>
      <c r="M664" s="29" t="s">
        <v>9622</v>
      </c>
      <c r="N664" s="61">
        <v>45632.464583333334</v>
      </c>
      <c r="O664" s="25">
        <v>40046.0</v>
      </c>
      <c r="P664" s="28">
        <f t="shared" si="20"/>
        <v>16</v>
      </c>
      <c r="Q664" s="62" t="s">
        <v>9623</v>
      </c>
      <c r="R664" s="22" t="s">
        <v>9624</v>
      </c>
      <c r="S664" s="28">
        <v>13.0</v>
      </c>
      <c r="T664" s="28">
        <v>30.0</v>
      </c>
      <c r="U664" s="28">
        <v>70.0</v>
      </c>
      <c r="V664" s="28">
        <v>9.0</v>
      </c>
      <c r="W664" s="28" t="s">
        <v>271</v>
      </c>
      <c r="X664" s="28" t="s">
        <v>272</v>
      </c>
      <c r="Y664" s="22">
        <v>5.513304247E9</v>
      </c>
      <c r="Z664" s="22" t="s">
        <v>9625</v>
      </c>
      <c r="AA664" s="28" t="s">
        <v>6863</v>
      </c>
      <c r="AB664" s="28">
        <v>9.0</v>
      </c>
      <c r="AC664" s="28" t="s">
        <v>27</v>
      </c>
      <c r="AD664" s="23"/>
      <c r="AE664" s="28" t="s">
        <v>19</v>
      </c>
      <c r="AF664" s="23"/>
      <c r="AG664" s="23"/>
      <c r="AH664" s="23" t="str">
        <f>IFERROR(__xludf.DUMMYFUNCTION("IF(
ISNUMBER(MATCH(
C664,
IMPORTRANGE(""https://docs.google.com/spreadsheets/d/1yTh1ELC33JHYOeEdgIiEclxPRyh0zOKtlawDltfUay8"",""'Interns'!A:A""),
0
)),
""Outreach Conducted"",
"""")"),"")</f>
        <v/>
      </c>
      <c r="AI664" s="23"/>
      <c r="AJ664" s="23"/>
      <c r="AK664" s="23"/>
      <c r="AL664" s="23" t="str">
        <f>IFERROR(__xludf.DUMMYFUNCTION("XLOOKUP(C664, 
   IMPORTRANGE(""1RdEdgHYrZ33LJ7RUHj_h-qkAFL92bcVjtIdVa-UlsCw"", ""Interns!D:D""), 
   IMPORTRANGE(""1RdEdgHYrZ33LJ7RUHj_h-qkAFL92bcVjtIdVa-UlsCw"", ""Interns!N:N""), 
   ""Not Found"")"),"Not Found")</f>
        <v>Not Found</v>
      </c>
      <c r="AM664" s="23" t="str">
        <f>IFERROR(__xludf.DUMMYFUNCTION("XLOOKUP(C664, 
   IMPORTRANGE(""1RdEdgHYrZ33LJ7RUHj_h-qkAFL92bcVjtIdVa-UlsCw"", ""Interns!D:D""), 
   IMPORTRANGE(""1RdEdgHYrZ33LJ7RUHj_h-qkAFL92bcVjtIdVa-UlsCw"", ""Interns!O:O""), 
   ""Not Found"")"),"Not Found")</f>
        <v>Not Found</v>
      </c>
      <c r="AN664" s="23"/>
      <c r="AO664" s="23" t="s">
        <v>9626</v>
      </c>
      <c r="AP664" s="28" t="s">
        <v>5182</v>
      </c>
      <c r="AQ664" s="28" t="s">
        <v>9627</v>
      </c>
      <c r="AR664" s="23">
        <v>5.513304247E9</v>
      </c>
      <c r="AS664" s="23"/>
      <c r="AT664" s="23"/>
      <c r="AU664" s="23"/>
      <c r="AV664" s="23"/>
    </row>
    <row r="665">
      <c r="A665" s="28" t="s">
        <v>5161</v>
      </c>
      <c r="B665" s="28" t="s">
        <v>5162</v>
      </c>
      <c r="C665" s="23" t="str">
        <f t="shared" si="1"/>
        <v>David Mendoza</v>
      </c>
      <c r="D665" s="22" t="s">
        <v>1068</v>
      </c>
      <c r="E665" s="22" t="s">
        <v>4503</v>
      </c>
      <c r="F665" s="23"/>
      <c r="G665" s="23"/>
      <c r="H665" s="22">
        <v>1976.0</v>
      </c>
      <c r="I665" s="28"/>
      <c r="J665" s="28" t="s">
        <v>2388</v>
      </c>
      <c r="K665" s="28" t="s">
        <v>5463</v>
      </c>
      <c r="L665" s="28" t="s">
        <v>5165</v>
      </c>
      <c r="M665" s="29" t="s">
        <v>9628</v>
      </c>
      <c r="N665" s="22"/>
      <c r="O665" s="25">
        <v>40004.0</v>
      </c>
      <c r="P665" s="28">
        <f t="shared" si="20"/>
        <v>16</v>
      </c>
      <c r="Q665" s="62" t="s">
        <v>240</v>
      </c>
      <c r="R665" s="22" t="s">
        <v>9629</v>
      </c>
      <c r="S665" s="28">
        <v>13.0</v>
      </c>
      <c r="T665" s="28">
        <v>30.0</v>
      </c>
      <c r="U665" s="28">
        <v>70.0</v>
      </c>
      <c r="V665" s="28">
        <v>9.0</v>
      </c>
      <c r="W665" s="28" t="s">
        <v>271</v>
      </c>
      <c r="X665" s="28" t="s">
        <v>272</v>
      </c>
      <c r="Y665" s="24"/>
      <c r="Z665" s="22" t="s">
        <v>9625</v>
      </c>
      <c r="AA665" s="28" t="s">
        <v>6863</v>
      </c>
      <c r="AB665" s="28">
        <v>9.0</v>
      </c>
      <c r="AC665" s="28" t="s">
        <v>27</v>
      </c>
      <c r="AD665" s="23"/>
      <c r="AE665" s="28" t="s">
        <v>19</v>
      </c>
      <c r="AF665" s="23"/>
      <c r="AG665" s="23"/>
      <c r="AH665" s="23" t="str">
        <f>IFERROR(__xludf.DUMMYFUNCTION("IF(
ISNUMBER(MATCH(
C665,
IMPORTRANGE(""https://docs.google.com/spreadsheets/d/1yTh1ELC33JHYOeEdgIiEclxPRyh0zOKtlawDltfUay8"",""'Interns'!A:A""),
0
)),
""Outreach Conducted"",
"""")"),"")</f>
        <v/>
      </c>
      <c r="AI665" s="23"/>
      <c r="AJ665" s="23"/>
      <c r="AK665" s="23"/>
      <c r="AL665" s="23" t="str">
        <f>IFERROR(__xludf.DUMMYFUNCTION("XLOOKUP(C665, 
   IMPORTRANGE(""1RdEdgHYrZ33LJ7RUHj_h-qkAFL92bcVjtIdVa-UlsCw"", ""Interns!D:D""), 
   IMPORTRANGE(""1RdEdgHYrZ33LJ7RUHj_h-qkAFL92bcVjtIdVa-UlsCw"", ""Interns!N:N""), 
   ""Not Found"")"),"Not Found")</f>
        <v>Not Found</v>
      </c>
      <c r="AM665" s="23" t="str">
        <f>IFERROR(__xludf.DUMMYFUNCTION("XLOOKUP(C665, 
   IMPORTRANGE(""1RdEdgHYrZ33LJ7RUHj_h-qkAFL92bcVjtIdVa-UlsCw"", ""Interns!D:D""), 
   IMPORTRANGE(""1RdEdgHYrZ33LJ7RUHj_h-qkAFL92bcVjtIdVa-UlsCw"", ""Interns!O:O""), 
   ""Not Found"")"),"Not Found")</f>
        <v>Not Found</v>
      </c>
      <c r="AN665" s="23"/>
      <c r="AO665" s="23" t="s">
        <v>9630</v>
      </c>
      <c r="AP665" s="28" t="s">
        <v>5191</v>
      </c>
      <c r="AQ665" s="28" t="s">
        <v>9631</v>
      </c>
      <c r="AR665" s="23">
        <v>3.476417229E9</v>
      </c>
      <c r="AS665" s="23"/>
      <c r="AT665" s="23"/>
      <c r="AU665" s="23"/>
      <c r="AV665" s="23"/>
    </row>
    <row r="666">
      <c r="A666" s="28" t="s">
        <v>5161</v>
      </c>
      <c r="B666" s="28" t="s">
        <v>5162</v>
      </c>
      <c r="C666" s="23" t="str">
        <f t="shared" si="1"/>
        <v>Inti (Abel) Sisa</v>
      </c>
      <c r="D666" s="28" t="s">
        <v>9632</v>
      </c>
      <c r="E666" s="28" t="s">
        <v>9633</v>
      </c>
      <c r="F666" s="23">
        <f t="array" ref="F666">IFERROR(
    INDEX('Hub Interns 226'!A:A, MATCH("Abel", 'Hub Interns 226'!B:B, 0)),"")</f>
        <v>1366</v>
      </c>
      <c r="G666" s="23">
        <f t="array" ref="G666">IFERROR(
    INDEX('Hub Users 226'!A:A, MATCH("Inti Sisa", 'Hub Users 226'!B:B, 0)),"")</f>
        <v>1906</v>
      </c>
      <c r="H666" s="28">
        <v>1784.0</v>
      </c>
      <c r="I666" s="28" t="s">
        <v>290</v>
      </c>
      <c r="J666" s="28" t="s">
        <v>2388</v>
      </c>
      <c r="K666" s="28" t="s">
        <v>5463</v>
      </c>
      <c r="L666" s="28" t="s">
        <v>5165</v>
      </c>
      <c r="M666" s="56" t="s">
        <v>9634</v>
      </c>
      <c r="N666" s="57">
        <v>45312.93680555555</v>
      </c>
      <c r="O666" s="58">
        <v>38476.0</v>
      </c>
      <c r="P666" s="28">
        <f t="shared" si="20"/>
        <v>21</v>
      </c>
      <c r="Q666" s="28" t="s">
        <v>9635</v>
      </c>
      <c r="R666" s="28" t="s">
        <v>9636</v>
      </c>
      <c r="S666" s="28">
        <v>7.0</v>
      </c>
      <c r="T666" s="28">
        <v>12.0</v>
      </c>
      <c r="U666" s="28">
        <v>37.0</v>
      </c>
      <c r="V666" s="28">
        <v>30.0</v>
      </c>
      <c r="W666" s="28" t="s">
        <v>1173</v>
      </c>
      <c r="X666" s="28" t="s">
        <v>272</v>
      </c>
      <c r="Y666" s="28">
        <v>6.469569381E9</v>
      </c>
      <c r="Z666" s="28" t="s">
        <v>5259</v>
      </c>
      <c r="AA666" s="28" t="s">
        <v>704</v>
      </c>
      <c r="AB666" s="28">
        <v>2.0</v>
      </c>
      <c r="AC666" s="28" t="s">
        <v>27</v>
      </c>
      <c r="AD666" s="23"/>
      <c r="AE666" s="28" t="s">
        <v>18</v>
      </c>
      <c r="AF666" s="23"/>
      <c r="AG666" s="23"/>
      <c r="AH666" s="23" t="str">
        <f>IFERROR(__xludf.DUMMYFUNCTION("IF(
ISNUMBER(MATCH(
C666,
IMPORTRANGE(""https://docs.google.com/spreadsheets/d/1yTh1ELC33JHYOeEdgIiEclxPRyh0zOKtlawDltfUay8"",""'Interns'!A:A""),
0
)),
""Outreach Conducted"",
"""")"),"")</f>
        <v/>
      </c>
      <c r="AI666" s="23"/>
      <c r="AJ666" s="23"/>
      <c r="AK666" s="23" t="str">
        <f>IFERROR(__xludf.DUMMYFUNCTION("XLOOKUP(C666, 
   IMPORTRANGE(""1RdEdgHYrZ33LJ7RUHj_h-qkAFL92bcVjtIdVa-UlsCw"", ""Interns!D:D""), 
   IMPORTRANGE(""1RdEdgHYrZ33LJ7RUHj_h-qkAFL92bcVjtIdVa-UlsCw"", ""Interns!M:M""), 
   ""Not Found"")"),"Contacted")</f>
        <v>Contacted</v>
      </c>
      <c r="AL666" s="23" t="str">
        <f>IFERROR(__xludf.DUMMYFUNCTION("XLOOKUP(C666, 
   IMPORTRANGE(""1RdEdgHYrZ33LJ7RUHj_h-qkAFL92bcVjtIdVa-UlsCw"", ""Interns!D:D""), 
   IMPORTRANGE(""1RdEdgHYrZ33LJ7RUHj_h-qkAFL92bcVjtIdVa-UlsCw"", ""Interns!N:N""), 
   ""Not Found"")"),"#Cheers4Careers")</f>
        <v>#Cheers4Careers</v>
      </c>
      <c r="AM666" s="23" t="str">
        <f>IFERROR(__xludf.DUMMYFUNCTION("XLOOKUP(C666, 
   IMPORTRANGE(""1RdEdgHYrZ33LJ7RUHj_h-qkAFL92bcVjtIdVa-UlsCw"", ""Interns!D:D""), 
   IMPORTRANGE(""1RdEdgHYrZ33LJ7RUHj_h-qkAFL92bcVjtIdVa-UlsCw"", ""Interns!O:O""), 
   ""Not Found"")"),"Ousmane reached out by email 3/26 and reach out by text 3/28")</f>
        <v>Ousmane reached out by email 3/26 and reach out by text 3/28</v>
      </c>
      <c r="AN666" s="23"/>
      <c r="AO666" s="23" t="s">
        <v>9637</v>
      </c>
      <c r="AP666" s="28" t="s">
        <v>5182</v>
      </c>
      <c r="AQ666" s="28" t="s">
        <v>9638</v>
      </c>
      <c r="AR666" s="23">
        <v>6.469566954E9</v>
      </c>
      <c r="AS666" s="23"/>
      <c r="AT666" s="23"/>
      <c r="AU666" s="23"/>
      <c r="AV666" s="23"/>
    </row>
    <row r="667">
      <c r="A667" s="28" t="s">
        <v>5161</v>
      </c>
      <c r="B667" s="28" t="s">
        <v>5162</v>
      </c>
      <c r="C667" s="23" t="str">
        <f t="shared" si="1"/>
        <v>Christopher Auquilla</v>
      </c>
      <c r="D667" s="28" t="s">
        <v>976</v>
      </c>
      <c r="E667" s="28" t="s">
        <v>9639</v>
      </c>
      <c r="F667" s="23">
        <f t="array" ref="F667">IFERROR(
    INDEX('Hub Interns 226'!A:A, MATCH(C667, 'Hub Interns 226'!B:B, 0)),"")</f>
        <v>80</v>
      </c>
      <c r="G667" s="23">
        <f t="array" ref="G667">IFERROR(
    INDEX('Hub Users 226'!A:A, MATCH(C667, 'Hub Users 226'!B:B, 0)),"")</f>
        <v>513</v>
      </c>
      <c r="H667" s="28">
        <v>1462.0</v>
      </c>
      <c r="I667" s="28" t="s">
        <v>1235</v>
      </c>
      <c r="J667" s="28" t="s">
        <v>2388</v>
      </c>
      <c r="K667" s="28" t="s">
        <v>5463</v>
      </c>
      <c r="L667" s="28" t="s">
        <v>5165</v>
      </c>
      <c r="M667" s="56" t="s">
        <v>9640</v>
      </c>
      <c r="N667" s="57">
        <v>44935.65138888889</v>
      </c>
      <c r="O667" s="58">
        <v>38380.0</v>
      </c>
      <c r="P667" s="28">
        <f t="shared" si="20"/>
        <v>21</v>
      </c>
      <c r="Q667" s="28" t="s">
        <v>9641</v>
      </c>
      <c r="R667" s="28" t="s">
        <v>9642</v>
      </c>
      <c r="S667" s="28">
        <v>6.0</v>
      </c>
      <c r="T667" s="28">
        <v>12.0</v>
      </c>
      <c r="U667" s="28">
        <v>37.0</v>
      </c>
      <c r="V667" s="28">
        <v>30.0</v>
      </c>
      <c r="W667" s="28" t="s">
        <v>1173</v>
      </c>
      <c r="X667" s="28" t="s">
        <v>272</v>
      </c>
      <c r="Y667" s="28" t="s">
        <v>9643</v>
      </c>
      <c r="Z667" s="28" t="s">
        <v>5259</v>
      </c>
      <c r="AA667" s="28" t="s">
        <v>704</v>
      </c>
      <c r="AB667" s="28">
        <v>2.0</v>
      </c>
      <c r="AC667" s="28" t="s">
        <v>25</v>
      </c>
      <c r="AD667" s="23"/>
      <c r="AE667" s="28" t="s">
        <v>15</v>
      </c>
      <c r="AF667" s="23" t="str">
        <f>IFERROR(__xludf.DUMMYFUNCTION("TEXTJOIN("", "", TRUE,
  FILTER(Champions!C:C,
    ISNUMBER(SEARCH(C667, Champions!W:W))
  )
)"),"Azikiwe Rich, Vignesh Sundar")</f>
        <v>Azikiwe Rich, Vignesh Sundar</v>
      </c>
      <c r="AG667" s="23"/>
      <c r="AH667" s="23" t="str">
        <f>IFERROR(__xludf.DUMMYFUNCTION("IF(
ISNUMBER(MATCH(
C667,
IMPORTRANGE(""https://docs.google.com/spreadsheets/d/1yTh1ELC33JHYOeEdgIiEclxPRyh0zOKtlawDltfUay8"",""'Interns'!A:A""),
0
)),
""Outreach Conducted"",
"""")"),"")</f>
        <v/>
      </c>
      <c r="AI667" s="23"/>
      <c r="AJ667" s="23"/>
      <c r="AK667" s="23" t="str">
        <f>IFERROR(__xludf.DUMMYFUNCTION("XLOOKUP(C667, 
   IMPORTRANGE(""1RdEdgHYrZ33LJ7RUHj_h-qkAFL92bcVjtIdVa-UlsCw"", ""Interns!D:D""), 
   IMPORTRANGE(""1RdEdgHYrZ33LJ7RUHj_h-qkAFL92bcVjtIdVa-UlsCw"", ""Interns!M:M""), 
   ""Not Found"")"),"")</f>
        <v/>
      </c>
      <c r="AL667" s="23" t="str">
        <f>IFERROR(__xludf.DUMMYFUNCTION("XLOOKUP(C667, 
   IMPORTRANGE(""1RdEdgHYrZ33LJ7RUHj_h-qkAFL92bcVjtIdVa-UlsCw"", ""Interns!D:D""), 
   IMPORTRANGE(""1RdEdgHYrZ33LJ7RUHj_h-qkAFL92bcVjtIdVa-UlsCw"", ""Interns!N:N""), 
   ""Not Found"")"),"")</f>
        <v/>
      </c>
      <c r="AM667" s="23" t="str">
        <f>IFERROR(__xludf.DUMMYFUNCTION("XLOOKUP(C667, 
   IMPORTRANGE(""1RdEdgHYrZ33LJ7RUHj_h-qkAFL92bcVjtIdVa-UlsCw"", ""Interns!D:D""), 
   IMPORTRANGE(""1RdEdgHYrZ33LJ7RUHj_h-qkAFL92bcVjtIdVa-UlsCw"", ""Interns!O:O""), 
   ""Not Found"")"),"")</f>
        <v/>
      </c>
      <c r="AN667" s="23"/>
      <c r="AO667" s="23" t="s">
        <v>9644</v>
      </c>
      <c r="AP667" s="28" t="s">
        <v>5182</v>
      </c>
      <c r="AQ667" s="28" t="s">
        <v>9645</v>
      </c>
      <c r="AR667" s="23" t="s">
        <v>9646</v>
      </c>
      <c r="AS667" s="23"/>
      <c r="AT667" s="23"/>
      <c r="AU667" s="23"/>
      <c r="AV667" s="23"/>
    </row>
    <row r="668">
      <c r="A668" s="28" t="s">
        <v>5161</v>
      </c>
      <c r="B668" s="28" t="s">
        <v>5162</v>
      </c>
      <c r="C668" s="23" t="str">
        <f t="shared" si="1"/>
        <v>Zoe Elizalde</v>
      </c>
      <c r="D668" s="28" t="s">
        <v>9647</v>
      </c>
      <c r="E668" s="28" t="s">
        <v>9648</v>
      </c>
      <c r="F668" s="23">
        <f t="array" ref="F668">IFERROR(
    INDEX('Hub Interns 226'!A:A, MATCH(C668, 'Hub Interns 226'!B:B, 0)),"")</f>
        <v>1262</v>
      </c>
      <c r="G668" s="23">
        <f t="array" ref="G668">IFERROR(
    INDEX('Hub Users 226'!A:A, MATCH(C668, 'Hub Users 226'!B:B, 0)),"")</f>
        <v>1695</v>
      </c>
      <c r="H668" s="28">
        <v>1016.0</v>
      </c>
      <c r="I668" s="28" t="s">
        <v>107</v>
      </c>
      <c r="J668" s="28" t="s">
        <v>2388</v>
      </c>
      <c r="K668" s="28" t="s">
        <v>5463</v>
      </c>
      <c r="L668" s="28" t="s">
        <v>5196</v>
      </c>
      <c r="M668" s="56" t="s">
        <v>9649</v>
      </c>
      <c r="N668" s="57">
        <v>44657.739583333336</v>
      </c>
      <c r="O668" s="58">
        <v>40132.0</v>
      </c>
      <c r="P668" s="28">
        <f t="shared" si="20"/>
        <v>16</v>
      </c>
      <c r="Q668" s="28" t="s">
        <v>240</v>
      </c>
      <c r="R668" s="28" t="s">
        <v>9650</v>
      </c>
      <c r="S668" s="28">
        <v>7.0</v>
      </c>
      <c r="T668" s="28">
        <v>12.0</v>
      </c>
      <c r="U668" s="28">
        <v>37.0</v>
      </c>
      <c r="V668" s="28">
        <v>30.0</v>
      </c>
      <c r="W668" s="28" t="s">
        <v>1173</v>
      </c>
      <c r="X668" s="28" t="s">
        <v>272</v>
      </c>
      <c r="Y668" s="28" t="s">
        <v>9651</v>
      </c>
      <c r="Z668" s="28" t="s">
        <v>9652</v>
      </c>
      <c r="AA668" s="28" t="s">
        <v>9653</v>
      </c>
      <c r="AB668" s="28">
        <v>30.0</v>
      </c>
      <c r="AC668" s="28" t="s">
        <v>24</v>
      </c>
      <c r="AD668" s="23"/>
      <c r="AE668" s="28" t="s">
        <v>10</v>
      </c>
      <c r="AF668" s="23"/>
      <c r="AG668" s="23"/>
      <c r="AH668" s="23" t="str">
        <f>IFERROR(__xludf.DUMMYFUNCTION("IF(
ISNUMBER(MATCH(
C668,
IMPORTRANGE(""https://docs.google.com/spreadsheets/d/1yTh1ELC33JHYOeEdgIiEclxPRyh0zOKtlawDltfUay8"",""'Interns'!A:A""),
0
)),
""Outreach Conducted"",
"""")"),"")</f>
        <v/>
      </c>
      <c r="AI668" s="23"/>
      <c r="AJ668" s="23"/>
      <c r="AK668" s="23" t="str">
        <f>IFERROR(__xludf.DUMMYFUNCTION("XLOOKUP(C668, 
   IMPORTRANGE(""1RdEdgHYrZ33LJ7RUHj_h-qkAFL92bcVjtIdVa-UlsCw"", ""Interns!D:D""), 
   IMPORTRANGE(""1RdEdgHYrZ33LJ7RUHj_h-qkAFL92bcVjtIdVa-UlsCw"", ""Interns!M:M""), 
   ""Not Found"")"),"Contacted")</f>
        <v>Contacted</v>
      </c>
      <c r="AL668" s="23" t="str">
        <f>IFERROR(__xludf.DUMMYFUNCTION("XLOOKUP(C668, 
   IMPORTRANGE(""1RdEdgHYrZ33LJ7RUHj_h-qkAFL92bcVjtIdVa-UlsCw"", ""Interns!D:D""), 
   IMPORTRANGE(""1RdEdgHYrZ33LJ7RUHj_h-qkAFL92bcVjtIdVa-UlsCw"", ""Interns!N:N""), 
   ""Not Found"")"),"#Cheers4Careers")</f>
        <v>#Cheers4Careers</v>
      </c>
      <c r="AM668" s="23" t="str">
        <f>IFERROR(__xludf.DUMMYFUNCTION("XLOOKUP(C668, 
   IMPORTRANGE(""1RdEdgHYrZ33LJ7RUHj_h-qkAFL92bcVjtIdVa-UlsCw"", ""Interns!D:D""), 
   IMPORTRANGE(""1RdEdgHYrZ33LJ7RUHj_h-qkAFL92bcVjtIdVa-UlsCw"", ""Interns!O:O""), 
   ""Not Found"")"),"MENNA Reached out by email 3/26 and by text 3/27 for Cheers 4 Careers Reached out again 3/28 but no response MENNA REACHED OUT FOR APRIL 18")</f>
        <v>MENNA Reached out by email 3/26 and by text 3/27 for Cheers 4 Careers Reached out again 3/28 but no response MENNA REACHED OUT FOR APRIL 18</v>
      </c>
      <c r="AN668" s="23"/>
      <c r="AO668" s="23" t="s">
        <v>9654</v>
      </c>
      <c r="AP668" s="28" t="s">
        <v>5182</v>
      </c>
      <c r="AQ668" s="28"/>
      <c r="AR668" s="23"/>
      <c r="AS668" s="23"/>
      <c r="AT668" s="23"/>
      <c r="AU668" s="23"/>
      <c r="AV668" s="23"/>
    </row>
    <row r="669">
      <c r="A669" s="28" t="s">
        <v>5161</v>
      </c>
      <c r="B669" s="28" t="s">
        <v>5162</v>
      </c>
      <c r="C669" s="23" t="str">
        <f t="shared" si="1"/>
        <v>Jhordy Mayancela</v>
      </c>
      <c r="D669" s="22" t="s">
        <v>9655</v>
      </c>
      <c r="E669" s="22" t="s">
        <v>9656</v>
      </c>
      <c r="F669" s="23"/>
      <c r="G669" s="23"/>
      <c r="H669" s="22">
        <v>2021.0</v>
      </c>
      <c r="I669" s="28"/>
      <c r="J669" s="28" t="s">
        <v>2388</v>
      </c>
      <c r="K669" s="28" t="s">
        <v>5463</v>
      </c>
      <c r="L669" s="28" t="s">
        <v>5165</v>
      </c>
      <c r="M669" s="29" t="s">
        <v>9657</v>
      </c>
      <c r="N669" s="61">
        <v>45602.61944444444</v>
      </c>
      <c r="O669" s="25">
        <v>41153.0</v>
      </c>
      <c r="P669" s="28">
        <f t="shared" si="20"/>
        <v>13</v>
      </c>
      <c r="Q669" s="62" t="s">
        <v>9658</v>
      </c>
      <c r="R669" s="22" t="s">
        <v>9659</v>
      </c>
      <c r="S669" s="28">
        <v>6.0</v>
      </c>
      <c r="T669" s="28">
        <v>12.0</v>
      </c>
      <c r="U669" s="28">
        <v>30.0</v>
      </c>
      <c r="V669" s="28">
        <v>30.0</v>
      </c>
      <c r="W669" s="28" t="s">
        <v>1173</v>
      </c>
      <c r="X669" s="28" t="s">
        <v>272</v>
      </c>
      <c r="Y669" s="22">
        <v>6.463092174E9</v>
      </c>
      <c r="Z669" s="22" t="s">
        <v>6332</v>
      </c>
      <c r="AA669" s="28" t="s">
        <v>5512</v>
      </c>
      <c r="AB669" s="28">
        <v>30.0</v>
      </c>
      <c r="AC669" s="28" t="s">
        <v>23</v>
      </c>
      <c r="AD669" s="23"/>
      <c r="AE669" s="28" t="s">
        <v>19</v>
      </c>
      <c r="AF669" s="23"/>
      <c r="AG669" s="23"/>
      <c r="AH669" s="23" t="str">
        <f>IFERROR(__xludf.DUMMYFUNCTION("IF(
ISNUMBER(MATCH(
C669,
IMPORTRANGE(""https://docs.google.com/spreadsheets/d/1yTh1ELC33JHYOeEdgIiEclxPRyh0zOKtlawDltfUay8"",""'Interns'!A:A""),
0
)),
""Outreach Conducted"",
"""")"),"")</f>
        <v/>
      </c>
      <c r="AI669" s="23"/>
      <c r="AJ669" s="23"/>
      <c r="AK669" s="23" t="str">
        <f>IFERROR(__xludf.DUMMYFUNCTION("XLOOKUP(C669, 
   IMPORTRANGE(""1RdEdgHYrZ33LJ7RUHj_h-qkAFL92bcVjtIdVa-UlsCw"", ""Interns!D:D""), 
   IMPORTRANGE(""1RdEdgHYrZ33LJ7RUHj_h-qkAFL92bcVjtIdVa-UlsCw"", ""Interns!M:M""), 
   ""Not Found"")"),"Not Found")</f>
        <v>Not Found</v>
      </c>
      <c r="AL669" s="23" t="str">
        <f>IFERROR(__xludf.DUMMYFUNCTION("XLOOKUP(C669, 
   IMPORTRANGE(""1RdEdgHYrZ33LJ7RUHj_h-qkAFL92bcVjtIdVa-UlsCw"", ""Interns!D:D""), 
   IMPORTRANGE(""1RdEdgHYrZ33LJ7RUHj_h-qkAFL92bcVjtIdVa-UlsCw"", ""Interns!N:N""), 
   ""Not Found"")"),"Not Found")</f>
        <v>Not Found</v>
      </c>
      <c r="AM669" s="23" t="str">
        <f>IFERROR(__xludf.DUMMYFUNCTION("XLOOKUP(C669, 
   IMPORTRANGE(""1RdEdgHYrZ33LJ7RUHj_h-qkAFL92bcVjtIdVa-UlsCw"", ""Interns!D:D""), 
   IMPORTRANGE(""1RdEdgHYrZ33LJ7RUHj_h-qkAFL92bcVjtIdVa-UlsCw"", ""Interns!O:O""), 
   ""Not Found"")"),"Not Found")</f>
        <v>Not Found</v>
      </c>
      <c r="AN669" s="23"/>
      <c r="AO669" s="23" t="s">
        <v>9660</v>
      </c>
      <c r="AP669" s="28" t="s">
        <v>5182</v>
      </c>
      <c r="AQ669" s="28" t="s">
        <v>9661</v>
      </c>
      <c r="AR669" s="23">
        <v>6.464967625E9</v>
      </c>
      <c r="AS669" s="23"/>
      <c r="AT669" s="23"/>
      <c r="AU669" s="23"/>
      <c r="AV669" s="23"/>
    </row>
    <row r="670">
      <c r="A670" s="28" t="s">
        <v>5202</v>
      </c>
      <c r="B670" s="28" t="s">
        <v>5162</v>
      </c>
      <c r="C670" s="23" t="str">
        <f t="shared" si="1"/>
        <v>Katherine Ruano</v>
      </c>
      <c r="D670" s="28" t="s">
        <v>1926</v>
      </c>
      <c r="E670" s="28" t="s">
        <v>9662</v>
      </c>
      <c r="F670" s="23">
        <f t="array" ref="F670">IFERROR(
    INDEX('Hub Interns 226'!A:A, MATCH(C670, 'Hub Interns 226'!B:B, 0)),"")</f>
        <v>1267</v>
      </c>
      <c r="G670" s="23">
        <f t="array" ref="G670">IFERROR(
    INDEX('Hub Users 226'!A:A, MATCH(C670, 'Hub Users 226'!B:B, 0)),"")</f>
        <v>1713</v>
      </c>
      <c r="H670" s="28">
        <v>1653.0</v>
      </c>
      <c r="I670" s="28" t="s">
        <v>1235</v>
      </c>
      <c r="J670" s="28" t="s">
        <v>9536</v>
      </c>
      <c r="K670" s="28" t="s">
        <v>5177</v>
      </c>
      <c r="L670" s="28" t="s">
        <v>5196</v>
      </c>
      <c r="M670" s="56" t="s">
        <v>9663</v>
      </c>
      <c r="N670" s="57">
        <v>45126.589583333334</v>
      </c>
      <c r="O670" s="58">
        <v>38082.0</v>
      </c>
      <c r="P670" s="28">
        <f t="shared" si="20"/>
        <v>22</v>
      </c>
      <c r="Q670" s="28" t="s">
        <v>9664</v>
      </c>
      <c r="R670" s="28" t="s">
        <v>9665</v>
      </c>
      <c r="S670" s="28">
        <v>15.0</v>
      </c>
      <c r="T670" s="28">
        <v>32.0</v>
      </c>
      <c r="U670" s="28">
        <v>79.0</v>
      </c>
      <c r="V670" s="28">
        <v>17.0</v>
      </c>
      <c r="W670" s="28" t="s">
        <v>859</v>
      </c>
      <c r="X670" s="28" t="s">
        <v>272</v>
      </c>
      <c r="Y670" s="28">
        <v>9.293876001E9</v>
      </c>
      <c r="Z670" s="28" t="s">
        <v>5208</v>
      </c>
      <c r="AA670" s="28" t="s">
        <v>2141</v>
      </c>
      <c r="AB670" s="28">
        <v>8.0</v>
      </c>
      <c r="AC670" s="28" t="s">
        <v>25</v>
      </c>
      <c r="AD670" s="23"/>
      <c r="AE670" s="28" t="s">
        <v>18</v>
      </c>
      <c r="AF670" s="23" t="str">
        <f>IFERROR(__xludf.DUMMYFUNCTION("TEXTJOIN("", "", TRUE,
  FILTER(Champions!C:C,
    ISNUMBER(SEARCH(C670, Champions!W:W))
  )
)"),"AUGUSTO SALCEDO, Wendy Velasquez Ebanks")</f>
        <v>AUGUSTO SALCEDO, Wendy Velasquez Ebanks</v>
      </c>
      <c r="AG670" s="23"/>
      <c r="AH670" s="23" t="str">
        <f>IFERROR(__xludf.DUMMYFUNCTION("IF(
ISNUMBER(MATCH(
C670,
IMPORTRANGE(""https://docs.google.com/spreadsheets/d/1yTh1ELC33JHYOeEdgIiEclxPRyh0zOKtlawDltfUay8"",""'Interns'!A:A""),
0
)),
""Outreach Conducted"",
"""")"),"")</f>
        <v/>
      </c>
      <c r="AI670" s="23"/>
      <c r="AJ670" s="23"/>
      <c r="AK670" s="23" t="str">
        <f>IFERROR(__xludf.DUMMYFUNCTION("XLOOKUP(C670, 
   IMPORTRANGE(""1RdEdgHYrZ33LJ7RUHj_h-qkAFL92bcVjtIdVa-UlsCw"", ""Interns!D:D""), 
   IMPORTRANGE(""1RdEdgHYrZ33LJ7RUHj_h-qkAFL92bcVjtIdVa-UlsCw"", ""Interns!M:M""), 
   ""Not Found"")"),"")</f>
        <v/>
      </c>
      <c r="AL670" s="23" t="str">
        <f>IFERROR(__xludf.DUMMYFUNCTION("XLOOKUP(C670, 
   IMPORTRANGE(""1RdEdgHYrZ33LJ7RUHj_h-qkAFL92bcVjtIdVa-UlsCw"", ""Interns!D:D""), 
   IMPORTRANGE(""1RdEdgHYrZ33LJ7RUHj_h-qkAFL92bcVjtIdVa-UlsCw"", ""Interns!N:N""), 
   ""Not Found"")"),"")</f>
        <v/>
      </c>
      <c r="AM670" s="23" t="str">
        <f>IFERROR(__xludf.DUMMYFUNCTION("XLOOKUP(C670, 
   IMPORTRANGE(""1RdEdgHYrZ33LJ7RUHj_h-qkAFL92bcVjtIdVa-UlsCw"", ""Interns!D:D""), 
   IMPORTRANGE(""1RdEdgHYrZ33LJ7RUHj_h-qkAFL92bcVjtIdVa-UlsCw"", ""Interns!O:O""), 
   ""Not Found"")"),"")</f>
        <v/>
      </c>
      <c r="AN670" s="23"/>
      <c r="AO670" s="23" t="s">
        <v>9666</v>
      </c>
      <c r="AP670" s="28" t="s">
        <v>5182</v>
      </c>
      <c r="AQ670" s="28" t="s">
        <v>9667</v>
      </c>
      <c r="AR670" s="23">
        <v>3.476038898E9</v>
      </c>
      <c r="AS670" s="23"/>
      <c r="AT670" s="23"/>
      <c r="AU670" s="23"/>
      <c r="AV670" s="23"/>
    </row>
    <row r="671">
      <c r="A671" s="28" t="s">
        <v>5161</v>
      </c>
      <c r="B671" s="28" t="s">
        <v>5162</v>
      </c>
      <c r="C671" s="23" t="str">
        <f t="shared" si="1"/>
        <v>Melanie Rodas</v>
      </c>
      <c r="D671" s="28" t="s">
        <v>3987</v>
      </c>
      <c r="E671" s="28" t="s">
        <v>9668</v>
      </c>
      <c r="F671" s="23">
        <f t="array" ref="F671">IFERROR(
    INDEX('Hub Interns 226'!A:A, MATCH(C671, 'Hub Interns 226'!B:B, 0)),"")</f>
        <v>1749</v>
      </c>
      <c r="G671" s="23">
        <f t="array" ref="G671">IFERROR(
    INDEX('Hub Users 226'!A:A, MATCH(C671, 'Hub Users 226'!B:B, 0)),"")</f>
        <v>2579</v>
      </c>
      <c r="H671" s="28">
        <v>1758.0</v>
      </c>
      <c r="I671" s="28" t="s">
        <v>260</v>
      </c>
      <c r="J671" s="28" t="s">
        <v>2388</v>
      </c>
      <c r="K671" s="28" t="s">
        <v>5463</v>
      </c>
      <c r="L671" s="28" t="s">
        <v>5196</v>
      </c>
      <c r="M671" s="56" t="s">
        <v>9669</v>
      </c>
      <c r="N671" s="59">
        <v>45273.58263888889</v>
      </c>
      <c r="O671" s="58">
        <v>40382.0</v>
      </c>
      <c r="P671" s="28">
        <f t="shared" si="20"/>
        <v>15</v>
      </c>
      <c r="Q671" s="28" t="s">
        <v>240</v>
      </c>
      <c r="R671" s="28" t="s">
        <v>9670</v>
      </c>
      <c r="S671" s="28">
        <v>6.0</v>
      </c>
      <c r="T671" s="28">
        <v>12.0</v>
      </c>
      <c r="U671" s="28">
        <v>30.0</v>
      </c>
      <c r="V671" s="28">
        <v>26.0</v>
      </c>
      <c r="W671" s="28" t="s">
        <v>1173</v>
      </c>
      <c r="X671" s="28" t="s">
        <v>272</v>
      </c>
      <c r="Y671" s="28" t="s">
        <v>9671</v>
      </c>
      <c r="Z671" s="28" t="s">
        <v>5352</v>
      </c>
      <c r="AA671" s="28" t="s">
        <v>5287</v>
      </c>
      <c r="AB671" s="28">
        <v>26.0</v>
      </c>
      <c r="AC671" s="28" t="s">
        <v>27</v>
      </c>
      <c r="AD671" s="23"/>
      <c r="AE671" s="28" t="s">
        <v>18</v>
      </c>
      <c r="AF671" s="23"/>
      <c r="AG671" s="23"/>
      <c r="AH671" s="23" t="str">
        <f>IFERROR(__xludf.DUMMYFUNCTION("IF(
ISNUMBER(MATCH(
C671,
IMPORTRANGE(""https://docs.google.com/spreadsheets/d/1yTh1ELC33JHYOeEdgIiEclxPRyh0zOKtlawDltfUay8"",""'Interns'!A:A""),
0
)),
""Outreach Conducted"",
"""")"),"")</f>
        <v/>
      </c>
      <c r="AI671" s="23"/>
      <c r="AJ671" s="23"/>
      <c r="AK671" s="23" t="str">
        <f>IFERROR(__xludf.DUMMYFUNCTION("XLOOKUP(C671, 
   IMPORTRANGE(""1RdEdgHYrZ33LJ7RUHj_h-qkAFL92bcVjtIdVa-UlsCw"", ""Interns!D:D""), 
   IMPORTRANGE(""1RdEdgHYrZ33LJ7RUHj_h-qkAFL92bcVjtIdVa-UlsCw"", ""Interns!M:M""), 
   ""Not Found"")"),"Contacted")</f>
        <v>Contacted</v>
      </c>
      <c r="AL671" s="23" t="str">
        <f>IFERROR(__xludf.DUMMYFUNCTION("XLOOKUP(C671, 
   IMPORTRANGE(""1RdEdgHYrZ33LJ7RUHj_h-qkAFL92bcVjtIdVa-UlsCw"", ""Interns!D:D""), 
   IMPORTRANGE(""1RdEdgHYrZ33LJ7RUHj_h-qkAFL92bcVjtIdVa-UlsCw"", ""Interns!N:N""), 
   ""Not Found"")"),"#Cheers4Careers")</f>
        <v>#Cheers4Careers</v>
      </c>
      <c r="AM671" s="23" t="str">
        <f>IFERROR(__xludf.DUMMYFUNCTION("XLOOKUP(C671, 
   IMPORTRANGE(""1RdEdgHYrZ33LJ7RUHj_h-qkAFL92bcVjtIdVa-UlsCw"", ""Interns!D:D""), 
   IMPORTRANGE(""1RdEdgHYrZ33LJ7RUHj_h-qkAFL92bcVjtIdVa-UlsCw"", ""Interns!O:O""), 
   ""Not Found"")"),"Hetal reached out by email 3/27")</f>
        <v>Hetal reached out by email 3/27</v>
      </c>
      <c r="AN671" s="23"/>
      <c r="AO671" s="23" t="s">
        <v>9672</v>
      </c>
      <c r="AP671" s="28" t="s">
        <v>5182</v>
      </c>
      <c r="AQ671" s="28"/>
      <c r="AR671" s="23"/>
      <c r="AS671" s="23"/>
      <c r="AT671" s="23"/>
      <c r="AU671" s="23"/>
      <c r="AV671" s="23"/>
    </row>
    <row r="672">
      <c r="A672" s="28" t="s">
        <v>5202</v>
      </c>
      <c r="B672" s="28" t="s">
        <v>5162</v>
      </c>
      <c r="C672" s="23" t="str">
        <f t="shared" si="1"/>
        <v>Antonia Ajtzalam</v>
      </c>
      <c r="D672" s="28" t="s">
        <v>9673</v>
      </c>
      <c r="E672" s="28" t="s">
        <v>9674</v>
      </c>
      <c r="F672" s="23">
        <f t="array" ref="F672">IFERROR(
    INDEX('Hub Interns 226'!A:A, MATCH(C672, 'Hub Interns 226'!B:B, 0)),"")</f>
        <v>773</v>
      </c>
      <c r="G672" s="23">
        <f t="array" ref="G672">IFERROR(
    INDEX('Hub Users 226'!A:A, MATCH(C672, 'Hub Users 226'!B:B, 0)),"")</f>
        <v>1206</v>
      </c>
      <c r="H672" s="28">
        <v>688.0</v>
      </c>
      <c r="I672" s="28" t="s">
        <v>107</v>
      </c>
      <c r="J672" s="28" t="s">
        <v>9536</v>
      </c>
      <c r="K672" s="28" t="s">
        <v>5177</v>
      </c>
      <c r="L672" s="28" t="s">
        <v>5196</v>
      </c>
      <c r="M672" s="56" t="s">
        <v>9675</v>
      </c>
      <c r="N672" s="59">
        <v>44546.552777777775</v>
      </c>
      <c r="O672" s="58">
        <v>38768.0</v>
      </c>
      <c r="P672" s="28">
        <f t="shared" si="20"/>
        <v>20</v>
      </c>
      <c r="Q672" s="28" t="s">
        <v>240</v>
      </c>
      <c r="R672" s="28" t="s">
        <v>9676</v>
      </c>
      <c r="S672" s="28">
        <v>11.0</v>
      </c>
      <c r="T672" s="28">
        <v>17.0</v>
      </c>
      <c r="U672" s="28">
        <v>47.0</v>
      </c>
      <c r="V672" s="28">
        <v>43.0</v>
      </c>
      <c r="W672" s="28" t="s">
        <v>294</v>
      </c>
      <c r="X672" s="28" t="s">
        <v>272</v>
      </c>
      <c r="Y672" s="23"/>
      <c r="Z672" s="28" t="s">
        <v>5386</v>
      </c>
      <c r="AA672" s="28" t="s">
        <v>1887</v>
      </c>
      <c r="AB672" s="28">
        <v>47.0</v>
      </c>
      <c r="AC672" s="28" t="s">
        <v>25</v>
      </c>
      <c r="AD672" s="23"/>
      <c r="AE672" s="28" t="s">
        <v>10</v>
      </c>
      <c r="AF672" s="23" t="str">
        <f>IFERROR(__xludf.DUMMYFUNCTION("TEXTJOIN("", "", TRUE,
  FILTER(Champions!C:C,
    ISNUMBER(SEARCH(C672, Champions!W:W))
  )
)"),"Stephanie Grandjacques")</f>
        <v>Stephanie Grandjacques</v>
      </c>
      <c r="AG672" s="23"/>
      <c r="AH672" s="23" t="str">
        <f>IFERROR(__xludf.DUMMYFUNCTION("IF(
ISNUMBER(MATCH(
C672,
IMPORTRANGE(""https://docs.google.com/spreadsheets/d/1yTh1ELC33JHYOeEdgIiEclxPRyh0zOKtlawDltfUay8"",""'Interns'!A:A""),
0
)),
""Outreach Conducted"",
"""")"),"")</f>
        <v/>
      </c>
      <c r="AI672" s="23"/>
      <c r="AJ672" s="23"/>
      <c r="AK672" s="23" t="str">
        <f>IFERROR(__xludf.DUMMYFUNCTION("XLOOKUP(C672, 
   IMPORTRANGE(""1RdEdgHYrZ33LJ7RUHj_h-qkAFL92bcVjtIdVa-UlsCw"", ""Interns!D:D""), 
   IMPORTRANGE(""1RdEdgHYrZ33LJ7RUHj_h-qkAFL92bcVjtIdVa-UlsCw"", ""Interns!M:M""), 
   ""Not Found"")"),"")</f>
        <v/>
      </c>
      <c r="AL672" s="23" t="str">
        <f>IFERROR(__xludf.DUMMYFUNCTION("XLOOKUP(C672, 
   IMPORTRANGE(""1RdEdgHYrZ33LJ7RUHj_h-qkAFL92bcVjtIdVa-UlsCw"", ""Interns!D:D""), 
   IMPORTRANGE(""1RdEdgHYrZ33LJ7RUHj_h-qkAFL92bcVjtIdVa-UlsCw"", ""Interns!N:N""), 
   ""Not Found"")"),"")</f>
        <v/>
      </c>
      <c r="AM672" s="23" t="str">
        <f>IFERROR(__xludf.DUMMYFUNCTION("XLOOKUP(C672, 
   IMPORTRANGE(""1RdEdgHYrZ33LJ7RUHj_h-qkAFL92bcVjtIdVa-UlsCw"", ""Interns!D:D""), 
   IMPORTRANGE(""1RdEdgHYrZ33LJ7RUHj_h-qkAFL92bcVjtIdVa-UlsCw"", ""Interns!O:O""), 
   ""Not Found"")"),"")</f>
        <v/>
      </c>
      <c r="AN672" s="23"/>
      <c r="AO672" s="23" t="s">
        <v>9677</v>
      </c>
      <c r="AP672" s="28" t="s">
        <v>5908</v>
      </c>
      <c r="AQ672" s="28" t="s">
        <v>9678</v>
      </c>
      <c r="AR672" s="23" t="s">
        <v>9679</v>
      </c>
      <c r="AS672" s="23"/>
      <c r="AT672" s="23"/>
      <c r="AU672" s="23"/>
      <c r="AV672" s="23"/>
    </row>
    <row r="673">
      <c r="A673" s="28" t="s">
        <v>5161</v>
      </c>
      <c r="B673" s="28" t="s">
        <v>5162</v>
      </c>
      <c r="C673" s="23" t="str">
        <f t="shared" si="1"/>
        <v>Josthyn Corozo</v>
      </c>
      <c r="D673" s="28" t="s">
        <v>9680</v>
      </c>
      <c r="E673" s="28" t="s">
        <v>9681</v>
      </c>
      <c r="F673" s="23" t="str">
        <f t="array" ref="F673">IFERROR(
    INDEX('Hub Interns 226'!A:A, MATCH(C673, 'Hub Interns 226'!B:B, 0)),"")</f>
        <v/>
      </c>
      <c r="G673" s="23">
        <f t="array" ref="G673">IFERROR(
    INDEX('Hub Users 226'!A:A, MATCH(C673, 'Hub Users 226'!B:B, 0)),"")</f>
        <v>2125</v>
      </c>
      <c r="H673" s="28">
        <v>1806.0</v>
      </c>
      <c r="I673" s="28"/>
      <c r="J673" s="28" t="s">
        <v>2388</v>
      </c>
      <c r="K673" s="28" t="s">
        <v>5463</v>
      </c>
      <c r="L673" s="28" t="s">
        <v>5165</v>
      </c>
      <c r="M673" s="56" t="s">
        <v>9682</v>
      </c>
      <c r="N673" s="57">
        <v>45379.674305555556</v>
      </c>
      <c r="O673" s="58">
        <v>45377.0</v>
      </c>
      <c r="P673" s="28">
        <f t="shared" si="20"/>
        <v>2</v>
      </c>
      <c r="Q673" s="28" t="s">
        <v>9683</v>
      </c>
      <c r="R673" s="28" t="s">
        <v>9684</v>
      </c>
      <c r="S673" s="28">
        <v>13.0</v>
      </c>
      <c r="T673" s="28">
        <v>30.0</v>
      </c>
      <c r="U673" s="28">
        <v>70.0</v>
      </c>
      <c r="V673" s="28">
        <v>9.0</v>
      </c>
      <c r="W673" s="28" t="s">
        <v>271</v>
      </c>
      <c r="X673" s="28" t="s">
        <v>272</v>
      </c>
      <c r="Y673" s="23"/>
      <c r="Z673" s="28" t="s">
        <v>6876</v>
      </c>
      <c r="AA673" s="28" t="s">
        <v>6863</v>
      </c>
      <c r="AB673" s="28">
        <v>9.0</v>
      </c>
      <c r="AC673" s="28" t="s">
        <v>27</v>
      </c>
      <c r="AD673" s="23"/>
      <c r="AE673" s="28" t="s">
        <v>18</v>
      </c>
      <c r="AF673" s="23"/>
      <c r="AG673" s="23"/>
      <c r="AH673" s="23" t="str">
        <f>IFERROR(__xludf.DUMMYFUNCTION("IF(
ISNUMBER(MATCH(
C673,
IMPORTRANGE(""https://docs.google.com/spreadsheets/d/1yTh1ELC33JHYOeEdgIiEclxPRyh0zOKtlawDltfUay8"",""'Interns'!A:A""),
0
)),
""Outreach Conducted"",
"""")"),"")</f>
        <v/>
      </c>
      <c r="AI673" s="23"/>
      <c r="AJ673" s="23"/>
      <c r="AK673" s="23" t="str">
        <f>IFERROR(__xludf.DUMMYFUNCTION("XLOOKUP(C673, 
   IMPORTRANGE(""1RdEdgHYrZ33LJ7RUHj_h-qkAFL92bcVjtIdVa-UlsCw"", ""Interns!D:D""), 
   IMPORTRANGE(""1RdEdgHYrZ33LJ7RUHj_h-qkAFL92bcVjtIdVa-UlsCw"", ""Interns!M:M""), 
   ""Not Found"")"),"Contacted")</f>
        <v>Contacted</v>
      </c>
      <c r="AL673" s="23" t="str">
        <f>IFERROR(__xludf.DUMMYFUNCTION("XLOOKUP(C673, 
   IMPORTRANGE(""1RdEdgHYrZ33LJ7RUHj_h-qkAFL92bcVjtIdVa-UlsCw"", ""Interns!D:D""), 
   IMPORTRANGE(""1RdEdgHYrZ33LJ7RUHj_h-qkAFL92bcVjtIdVa-UlsCw"", ""Interns!N:N""), 
   ""Not Found"")"),"#Cheers4Careers")</f>
        <v>#Cheers4Careers</v>
      </c>
      <c r="AM673" s="23" t="str">
        <f>IFERROR(__xludf.DUMMYFUNCTION("XLOOKUP(C673, 
   IMPORTRANGE(""1RdEdgHYrZ33LJ7RUHj_h-qkAFL92bcVjtIdVa-UlsCw"", ""Interns!D:D""), 
   IMPORTRANGE(""1RdEdgHYrZ33LJ7RUHj_h-qkAFL92bcVjtIdVa-UlsCw"", ""Interns!O:O""), 
   ""Not Found"")"),"Hetal reached out March 27 for March #Cheers4 Careers")</f>
        <v>Hetal reached out March 27 for March #Cheers4 Careers</v>
      </c>
      <c r="AN673" s="23"/>
      <c r="AO673" s="23" t="s">
        <v>9685</v>
      </c>
      <c r="AP673" s="28" t="s">
        <v>9686</v>
      </c>
      <c r="AQ673" s="28" t="s">
        <v>9687</v>
      </c>
      <c r="AR673" s="23">
        <v>2.12694602E9</v>
      </c>
      <c r="AS673" s="23"/>
      <c r="AT673" s="23"/>
      <c r="AU673" s="23"/>
      <c r="AV673" s="23"/>
    </row>
    <row r="674">
      <c r="A674" s="28" t="s">
        <v>5161</v>
      </c>
      <c r="B674" s="28" t="s">
        <v>5162</v>
      </c>
      <c r="C674" s="23" t="str">
        <f t="shared" si="1"/>
        <v>Emily Diez</v>
      </c>
      <c r="D674" s="28" t="s">
        <v>1285</v>
      </c>
      <c r="E674" s="28" t="s">
        <v>9688</v>
      </c>
      <c r="F674" s="23" t="str">
        <f t="array" ref="F674">IFERROR(
    INDEX('Hub Interns 226'!A:A, MATCH(C674, 'Hub Interns 226'!B:B, 0)),"")</f>
        <v/>
      </c>
      <c r="G674" s="23">
        <f t="array" ref="G674">IFERROR(
    INDEX('Hub Users 226'!A:A, MATCH(C674, 'Hub Users 226'!B:B, 0)),"")</f>
        <v>2001</v>
      </c>
      <c r="H674" s="28">
        <v>1830.0</v>
      </c>
      <c r="I674" s="28" t="s">
        <v>425</v>
      </c>
      <c r="J674" s="28" t="s">
        <v>2388</v>
      </c>
      <c r="K674" s="28" t="s">
        <v>5463</v>
      </c>
      <c r="L674" s="28" t="s">
        <v>5196</v>
      </c>
      <c r="M674" s="56" t="s">
        <v>9689</v>
      </c>
      <c r="N674" s="57">
        <v>45449.950694444444</v>
      </c>
      <c r="O674" s="58">
        <v>45414.0</v>
      </c>
      <c r="P674" s="28">
        <f t="shared" si="20"/>
        <v>2</v>
      </c>
      <c r="Q674" s="28" t="s">
        <v>9690</v>
      </c>
      <c r="R674" s="28" t="s">
        <v>9691</v>
      </c>
      <c r="S674" s="28">
        <v>13.0</v>
      </c>
      <c r="T674" s="28">
        <v>30.0</v>
      </c>
      <c r="U674" s="28">
        <v>70.0</v>
      </c>
      <c r="V674" s="28">
        <v>9.0</v>
      </c>
      <c r="W674" s="28" t="s">
        <v>271</v>
      </c>
      <c r="X674" s="28" t="s">
        <v>272</v>
      </c>
      <c r="Y674" s="23"/>
      <c r="Z674" s="23"/>
      <c r="AA674" s="23"/>
      <c r="AB674" s="23"/>
      <c r="AC674" s="28" t="s">
        <v>27</v>
      </c>
      <c r="AD674" s="23"/>
      <c r="AE674" s="28" t="s">
        <v>18</v>
      </c>
      <c r="AF674" s="23"/>
      <c r="AG674" s="23"/>
      <c r="AH674" s="23" t="str">
        <f>IFERROR(__xludf.DUMMYFUNCTION("IF(
ISNUMBER(MATCH(
C674,
IMPORTRANGE(""https://docs.google.com/spreadsheets/d/1yTh1ELC33JHYOeEdgIiEclxPRyh0zOKtlawDltfUay8"",""'Interns'!A:A""),
0
)),
""Outreach Conducted"",
"""")"),"")</f>
        <v/>
      </c>
      <c r="AI674" s="23"/>
      <c r="AJ674" s="23"/>
      <c r="AK674" s="23" t="str">
        <f>IFERROR(__xludf.DUMMYFUNCTION("XLOOKUP(C674, 
   IMPORTRANGE(""1RdEdgHYrZ33LJ7RUHj_h-qkAFL92bcVjtIdVa-UlsCw"", ""Interns!D:D""), 
   IMPORTRANGE(""1RdEdgHYrZ33LJ7RUHj_h-qkAFL92bcVjtIdVa-UlsCw"", ""Interns!M:M""), 
   ""Not Found"")"),"")</f>
        <v/>
      </c>
      <c r="AL674" s="23" t="str">
        <f>IFERROR(__xludf.DUMMYFUNCTION("XLOOKUP(C674, 
   IMPORTRANGE(""1RdEdgHYrZ33LJ7RUHj_h-qkAFL92bcVjtIdVa-UlsCw"", ""Interns!D:D""), 
   IMPORTRANGE(""1RdEdgHYrZ33LJ7RUHj_h-qkAFL92bcVjtIdVa-UlsCw"", ""Interns!N:N""), 
   ""Not Found"")"),"")</f>
        <v/>
      </c>
      <c r="AM674" s="23" t="str">
        <f>IFERROR(__xludf.DUMMYFUNCTION("XLOOKUP(C674, 
   IMPORTRANGE(""1RdEdgHYrZ33LJ7RUHj_h-qkAFL92bcVjtIdVa-UlsCw"", ""Interns!D:D""), 
   IMPORTRANGE(""1RdEdgHYrZ33LJ7RUHj_h-qkAFL92bcVjtIdVa-UlsCw"", ""Interns!O:O""), 
   ""Not Found"")"),"")</f>
        <v/>
      </c>
      <c r="AN674" s="23"/>
      <c r="AO674" s="23" t="s">
        <v>9692</v>
      </c>
      <c r="AP674" s="28" t="s">
        <v>9693</v>
      </c>
      <c r="AQ674" s="28" t="s">
        <v>9687</v>
      </c>
      <c r="AR674" s="23">
        <v>9.12640602E9</v>
      </c>
      <c r="AS674" s="23"/>
      <c r="AT674" s="23"/>
      <c r="AU674" s="23"/>
      <c r="AV674" s="23"/>
    </row>
    <row r="675">
      <c r="A675" s="28" t="s">
        <v>5161</v>
      </c>
      <c r="B675" s="28" t="s">
        <v>5162</v>
      </c>
      <c r="C675" s="23" t="str">
        <f t="shared" si="1"/>
        <v>Jade Gordillo</v>
      </c>
      <c r="D675" s="28" t="s">
        <v>9694</v>
      </c>
      <c r="E675" s="28" t="s">
        <v>9695</v>
      </c>
      <c r="F675" s="23">
        <f t="array" ref="F675">IFERROR(
    INDEX('Hub Interns 226'!A:A, MATCH(C675, 'Hub Interns 226'!B:B, 0)),"")</f>
        <v>1342</v>
      </c>
      <c r="G675" s="23">
        <f t="array" ref="G675">IFERROR(
    INDEX('Hub Users 226'!A:A, MATCH(C675, 'Hub Users 226'!B:B, 0)),"")</f>
        <v>1855</v>
      </c>
      <c r="H675" s="28">
        <v>1685.0</v>
      </c>
      <c r="I675" s="28"/>
      <c r="J675" s="28" t="s">
        <v>2388</v>
      </c>
      <c r="K675" s="28" t="s">
        <v>5463</v>
      </c>
      <c r="L675" s="28" t="s">
        <v>5196</v>
      </c>
      <c r="M675" s="56" t="s">
        <v>9696</v>
      </c>
      <c r="N675" s="59">
        <v>45247.782638888886</v>
      </c>
      <c r="O675" s="58">
        <v>40988.0</v>
      </c>
      <c r="P675" s="28">
        <f t="shared" si="20"/>
        <v>14</v>
      </c>
      <c r="Q675" s="28" t="s">
        <v>9697</v>
      </c>
      <c r="R675" s="28" t="s">
        <v>9698</v>
      </c>
      <c r="S675" s="28">
        <v>6.0</v>
      </c>
      <c r="T675" s="28">
        <v>12.0</v>
      </c>
      <c r="U675" s="28">
        <v>30.0</v>
      </c>
      <c r="V675" s="28">
        <v>26.0</v>
      </c>
      <c r="W675" s="28" t="s">
        <v>1173</v>
      </c>
      <c r="X675" s="28" t="s">
        <v>272</v>
      </c>
      <c r="Y675" s="28" t="s">
        <v>9699</v>
      </c>
      <c r="Z675" s="28" t="s">
        <v>5170</v>
      </c>
      <c r="AA675" s="28" t="s">
        <v>5171</v>
      </c>
      <c r="AB675" s="28">
        <v>30.0</v>
      </c>
      <c r="AC675" s="28" t="s">
        <v>23</v>
      </c>
      <c r="AD675" s="28" t="s">
        <v>101</v>
      </c>
      <c r="AE675" s="28" t="s">
        <v>18</v>
      </c>
      <c r="AF675" s="23"/>
      <c r="AG675" s="23"/>
      <c r="AH675" s="23" t="str">
        <f>IFERROR(__xludf.DUMMYFUNCTION("IF(
ISNUMBER(MATCH(
C675,
IMPORTRANGE(""https://docs.google.com/spreadsheets/d/1yTh1ELC33JHYOeEdgIiEclxPRyh0zOKtlawDltfUay8"",""'Interns'!A:A""),
0
)),
""Outreach Conducted"",
"""")"),"")</f>
        <v/>
      </c>
      <c r="AI675" s="23"/>
      <c r="AJ675" s="23"/>
      <c r="AK675" s="23" t="str">
        <f>IFERROR(__xludf.DUMMYFUNCTION("XLOOKUP(C675, 
   IMPORTRANGE(""1RdEdgHYrZ33LJ7RUHj_h-qkAFL92bcVjtIdVa-UlsCw"", ""Interns!D:D""), 
   IMPORTRANGE(""1RdEdgHYrZ33LJ7RUHj_h-qkAFL92bcVjtIdVa-UlsCw"", ""Interns!M:M""), 
   ""Not Found"")"),"Contacted")</f>
        <v>Contacted</v>
      </c>
      <c r="AL675" s="23" t="str">
        <f>IFERROR(__xludf.DUMMYFUNCTION("XLOOKUP(C675, 
   IMPORTRANGE(""1RdEdgHYrZ33LJ7RUHj_h-qkAFL92bcVjtIdVa-UlsCw"", ""Interns!D:D""), 
   IMPORTRANGE(""1RdEdgHYrZ33LJ7RUHj_h-qkAFL92bcVjtIdVa-UlsCw"", ""Interns!N:N""), 
   ""Not Found"")"),"#Cheers4Careers")</f>
        <v>#Cheers4Careers</v>
      </c>
      <c r="AM675" s="23" t="str">
        <f>IFERROR(__xludf.DUMMYFUNCTION("XLOOKUP(C675, 
   IMPORTRANGE(""1RdEdgHYrZ33LJ7RUHj_h-qkAFL92bcVjtIdVa-UlsCw"", ""Interns!D:D""), 
   IMPORTRANGE(""1RdEdgHYrZ33LJ7RUHj_h-qkAFL92bcVjtIdVa-UlsCw"", ""Interns!O:O""), 
   ""Not Found"")"),"Hetal reached out March 27 for March #Cheers4 Careers ")</f>
        <v>Hetal reached out March 27 for March #Cheers4 Careers </v>
      </c>
      <c r="AN675" s="23"/>
      <c r="AO675" s="23" t="s">
        <v>9700</v>
      </c>
      <c r="AP675" s="28" t="s">
        <v>5191</v>
      </c>
      <c r="AQ675" s="28" t="s">
        <v>9701</v>
      </c>
      <c r="AR675" s="23" t="s">
        <v>9699</v>
      </c>
      <c r="AS675" s="23"/>
      <c r="AT675" s="23"/>
      <c r="AU675" s="23"/>
      <c r="AV675" s="23"/>
    </row>
    <row r="676">
      <c r="A676" s="28" t="s">
        <v>5202</v>
      </c>
      <c r="B676" s="28" t="s">
        <v>5162</v>
      </c>
      <c r="C676" s="23" t="str">
        <f t="shared" si="1"/>
        <v>Donis Aldana</v>
      </c>
      <c r="D676" s="28" t="s">
        <v>9702</v>
      </c>
      <c r="E676" s="28" t="s">
        <v>9703</v>
      </c>
      <c r="F676" s="23">
        <f t="array" ref="F676">IFERROR(
    INDEX('Hub Interns 226'!A:A, MATCH(C676, 'Hub Interns 226'!B:B, 0)),"")</f>
        <v>461</v>
      </c>
      <c r="G676" s="23">
        <f t="array" ref="G676">IFERROR(
    INDEX('Hub Users 226'!A:A, MATCH(C676, 'Hub Users 226'!B:B, 0)),"")</f>
        <v>894</v>
      </c>
      <c r="H676" s="28">
        <v>503.0</v>
      </c>
      <c r="I676" s="28" t="s">
        <v>1235</v>
      </c>
      <c r="J676" s="28" t="s">
        <v>9536</v>
      </c>
      <c r="K676" s="28" t="s">
        <v>5177</v>
      </c>
      <c r="L676" s="28" t="s">
        <v>5165</v>
      </c>
      <c r="M676" s="56" t="s">
        <v>9704</v>
      </c>
      <c r="N676" s="57">
        <v>44475.67986111111</v>
      </c>
      <c r="O676" s="58">
        <v>38174.0</v>
      </c>
      <c r="P676" s="28">
        <f t="shared" si="20"/>
        <v>21</v>
      </c>
      <c r="Q676" s="28" t="s">
        <v>7343</v>
      </c>
      <c r="R676" s="28" t="s">
        <v>9705</v>
      </c>
      <c r="S676" s="28">
        <v>13.0</v>
      </c>
      <c r="T676" s="28">
        <v>33.0</v>
      </c>
      <c r="U676" s="28">
        <v>86.0</v>
      </c>
      <c r="V676" s="28">
        <v>15.0</v>
      </c>
      <c r="W676" s="28" t="s">
        <v>859</v>
      </c>
      <c r="X676" s="28" t="s">
        <v>272</v>
      </c>
      <c r="Y676" s="23"/>
      <c r="Z676" s="28" t="s">
        <v>5918</v>
      </c>
      <c r="AA676" s="28" t="s">
        <v>477</v>
      </c>
      <c r="AB676" s="28">
        <v>15.0</v>
      </c>
      <c r="AC676" s="28" t="s">
        <v>25</v>
      </c>
      <c r="AD676" s="23"/>
      <c r="AE676" s="28" t="s">
        <v>10</v>
      </c>
      <c r="AF676" s="23" t="str">
        <f>IFERROR(__xludf.DUMMYFUNCTION("TEXTJOIN("", "", TRUE,
  FILTER(Champions!C:C,
    ISNUMBER(SEARCH(C676, Champions!W:W))
  )
)"),"Kenia Wellington")</f>
        <v>Kenia Wellington</v>
      </c>
      <c r="AG676" s="23"/>
      <c r="AH676" s="23" t="str">
        <f>IFERROR(__xludf.DUMMYFUNCTION("IF(
ISNUMBER(MATCH(
C676,
IMPORTRANGE(""https://docs.google.com/spreadsheets/d/1yTh1ELC33JHYOeEdgIiEclxPRyh0zOKtlawDltfUay8"",""'Interns'!A:A""),
0
)),
""Outreach Conducted"",
"""")"),"")</f>
        <v/>
      </c>
      <c r="AI676" s="23"/>
      <c r="AJ676" s="23"/>
      <c r="AK676" s="23" t="str">
        <f>IFERROR(__xludf.DUMMYFUNCTION("XLOOKUP(C676, 
   IMPORTRANGE(""1RdEdgHYrZ33LJ7RUHj_h-qkAFL92bcVjtIdVa-UlsCw"", ""Interns!D:D""), 
   IMPORTRANGE(""1RdEdgHYrZ33LJ7RUHj_h-qkAFL92bcVjtIdVa-UlsCw"", ""Interns!M:M""), 
   ""Not Found"")"),"")</f>
        <v/>
      </c>
      <c r="AL676" s="23" t="str">
        <f>IFERROR(__xludf.DUMMYFUNCTION("XLOOKUP(C676, 
   IMPORTRANGE(""1RdEdgHYrZ33LJ7RUHj_h-qkAFL92bcVjtIdVa-UlsCw"", ""Interns!D:D""), 
   IMPORTRANGE(""1RdEdgHYrZ33LJ7RUHj_h-qkAFL92bcVjtIdVa-UlsCw"", ""Interns!N:N""), 
   ""Not Found"")"),"")</f>
        <v/>
      </c>
      <c r="AM676" s="23" t="str">
        <f>IFERROR(__xludf.DUMMYFUNCTION("XLOOKUP(C676, 
   IMPORTRANGE(""1RdEdgHYrZ33LJ7RUHj_h-qkAFL92bcVjtIdVa-UlsCw"", ""Interns!D:D""), 
   IMPORTRANGE(""1RdEdgHYrZ33LJ7RUHj_h-qkAFL92bcVjtIdVa-UlsCw"", ""Interns!O:O""), 
   ""Not Found"")"),"")</f>
        <v/>
      </c>
      <c r="AN676" s="23"/>
      <c r="AO676" s="23" t="s">
        <v>9706</v>
      </c>
      <c r="AP676" s="28" t="s">
        <v>5191</v>
      </c>
      <c r="AQ676" s="28" t="s">
        <v>9704</v>
      </c>
      <c r="AR676" s="23" t="s">
        <v>9707</v>
      </c>
      <c r="AS676" s="23"/>
      <c r="AT676" s="23"/>
      <c r="AU676" s="23"/>
      <c r="AV676" s="23"/>
    </row>
    <row r="677">
      <c r="A677" s="28" t="s">
        <v>5161</v>
      </c>
      <c r="B677" s="28" t="s">
        <v>5162</v>
      </c>
      <c r="C677" s="23" t="str">
        <f t="shared" si="1"/>
        <v>Richard Murillo</v>
      </c>
      <c r="D677" s="28" t="s">
        <v>9477</v>
      </c>
      <c r="E677" s="28" t="s">
        <v>9708</v>
      </c>
      <c r="F677" s="23">
        <f t="array" ref="F677">IFERROR(
    INDEX('Hub Interns 226'!A:A, MATCH(C677, 'Hub Interns 226'!B:B, 0)),"")</f>
        <v>1028</v>
      </c>
      <c r="G677" s="23">
        <f t="array" ref="G677">IFERROR(
    INDEX('Hub Users 226'!A:A, MATCH(C677, 'Hub Users 226'!B:B, 0)),"")</f>
        <v>1461</v>
      </c>
      <c r="H677" s="28">
        <v>1439.0</v>
      </c>
      <c r="I677" s="28" t="s">
        <v>269</v>
      </c>
      <c r="J677" s="28" t="s">
        <v>2388</v>
      </c>
      <c r="K677" s="28" t="s">
        <v>5463</v>
      </c>
      <c r="L677" s="28" t="s">
        <v>5165</v>
      </c>
      <c r="M677" s="56" t="s">
        <v>9709</v>
      </c>
      <c r="N677" s="59">
        <v>44882.46319444444</v>
      </c>
      <c r="O677" s="58">
        <v>38926.0</v>
      </c>
      <c r="P677" s="28">
        <f t="shared" si="20"/>
        <v>19</v>
      </c>
      <c r="Q677" s="28" t="s">
        <v>9710</v>
      </c>
      <c r="R677" s="28" t="s">
        <v>9711</v>
      </c>
      <c r="S677" s="28">
        <v>13.0</v>
      </c>
      <c r="T677" s="28">
        <v>31.0</v>
      </c>
      <c r="U677" s="28">
        <v>71.0</v>
      </c>
      <c r="V677" s="28">
        <v>10.0</v>
      </c>
      <c r="W677" s="28" t="s">
        <v>271</v>
      </c>
      <c r="X677" s="28" t="s">
        <v>272</v>
      </c>
      <c r="Y677" s="28" t="s">
        <v>9712</v>
      </c>
      <c r="Z677" s="28" t="s">
        <v>5341</v>
      </c>
      <c r="AA677" s="28" t="s">
        <v>1085</v>
      </c>
      <c r="AB677" s="28">
        <v>10.0</v>
      </c>
      <c r="AC677" s="28" t="s">
        <v>25</v>
      </c>
      <c r="AD677" s="23"/>
      <c r="AE677" s="28" t="s">
        <v>15</v>
      </c>
      <c r="AF677" s="23" t="str">
        <f>IFERROR(__xludf.DUMMYFUNCTION("TEXTJOIN("", "", TRUE,
  FILTER(Champions!C:C,
    ISNUMBER(SEARCH(C677, Champions!W:W))
  )
)"),"John ?Nico? Johnson, Frank Guia, Ryane Montanez")</f>
        <v>John ?Nico? Johnson, Frank Guia, Ryane Montanez</v>
      </c>
      <c r="AG677" s="23"/>
      <c r="AH677" s="23" t="str">
        <f>IFERROR(__xludf.DUMMYFUNCTION("IF(
ISNUMBER(MATCH(
C677,
IMPORTRANGE(""https://docs.google.com/spreadsheets/d/1yTh1ELC33JHYOeEdgIiEclxPRyh0zOKtlawDltfUay8"",""'Interns'!A:A""),
0
)),
""Outreach Conducted"",
"""")"),"")</f>
        <v/>
      </c>
      <c r="AI677" s="23"/>
      <c r="AJ677" s="23"/>
      <c r="AK677" s="23" t="str">
        <f>IFERROR(__xludf.DUMMYFUNCTION("XLOOKUP(C677, 
   IMPORTRANGE(""1RdEdgHYrZ33LJ7RUHj_h-qkAFL92bcVjtIdVa-UlsCw"", ""Interns!D:D""), 
   IMPORTRANGE(""1RdEdgHYrZ33LJ7RUHj_h-qkAFL92bcVjtIdVa-UlsCw"", ""Interns!M:M""), 
   ""Not Found"")"),"Contacted")</f>
        <v>Contacted</v>
      </c>
      <c r="AL677" s="23" t="str">
        <f>IFERROR(__xludf.DUMMYFUNCTION("XLOOKUP(C677, 
   IMPORTRANGE(""1RdEdgHYrZ33LJ7RUHj_h-qkAFL92bcVjtIdVa-UlsCw"", ""Interns!D:D""), 
   IMPORTRANGE(""1RdEdgHYrZ33LJ7RUHj_h-qkAFL92bcVjtIdVa-UlsCw"", ""Interns!N:N""), 
   ""Not Found"")"),"#Cheers4Careers")</f>
        <v>#Cheers4Careers</v>
      </c>
      <c r="AM677" s="23" t="str">
        <f>IFERROR(__xludf.DUMMYFUNCTION("XLOOKUP(C677, 
   IMPORTRANGE(""1RdEdgHYrZ33LJ7RUHj_h-qkAFL92bcVjtIdVa-UlsCw"", ""Interns!D:D""), 
   IMPORTRANGE(""1RdEdgHYrZ33LJ7RUHj_h-qkAFL92bcVjtIdVa-UlsCw"", ""Interns!O:O""), 
   ""Not Found"")"),"Texted on April 14 for #Cheers4Careers event")</f>
        <v>Texted on April 14 for #Cheers4Careers event</v>
      </c>
      <c r="AN677" s="23"/>
      <c r="AO677" s="23" t="s">
        <v>9713</v>
      </c>
      <c r="AP677" s="28" t="s">
        <v>5182</v>
      </c>
      <c r="AQ677" s="28" t="s">
        <v>9714</v>
      </c>
      <c r="AR677" s="23" t="s">
        <v>9715</v>
      </c>
      <c r="AS677" s="23"/>
      <c r="AT677" s="23"/>
      <c r="AU677" s="23"/>
      <c r="AV677" s="23"/>
    </row>
    <row r="678">
      <c r="A678" s="28" t="s">
        <v>5161</v>
      </c>
      <c r="B678" s="28" t="s">
        <v>5162</v>
      </c>
      <c r="C678" s="23" t="str">
        <f t="shared" si="1"/>
        <v>Yamile Bastidas</v>
      </c>
      <c r="D678" s="28" t="s">
        <v>9716</v>
      </c>
      <c r="E678" s="28" t="s">
        <v>9717</v>
      </c>
      <c r="F678" s="23">
        <f t="array" ref="F678">IFERROR(
    INDEX('Hub Interns 226'!A:A, MATCH(C678, 'Hub Interns 226'!B:B, 0)),"")</f>
        <v>223</v>
      </c>
      <c r="G678" s="23">
        <f t="array" ref="G678">IFERROR(
    INDEX('Hub Users 226'!A:A, MATCH(C678, 'Hub Users 226'!B:B, 0)),"")</f>
        <v>656</v>
      </c>
      <c r="H678" s="28">
        <v>748.0</v>
      </c>
      <c r="I678" s="28" t="s">
        <v>608</v>
      </c>
      <c r="J678" s="28" t="s">
        <v>2388</v>
      </c>
      <c r="K678" s="28" t="s">
        <v>5463</v>
      </c>
      <c r="L678" s="28" t="s">
        <v>6647</v>
      </c>
      <c r="M678" s="56" t="s">
        <v>9718</v>
      </c>
      <c r="N678" s="59">
        <v>44551.527083333334</v>
      </c>
      <c r="O678" s="58">
        <v>38760.0</v>
      </c>
      <c r="P678" s="28">
        <f t="shared" si="20"/>
        <v>20</v>
      </c>
      <c r="Q678" s="28" t="s">
        <v>240</v>
      </c>
      <c r="R678" s="28" t="s">
        <v>9719</v>
      </c>
      <c r="S678" s="28">
        <v>7.0</v>
      </c>
      <c r="T678" s="28">
        <v>15.0</v>
      </c>
      <c r="U678" s="28">
        <v>38.0</v>
      </c>
      <c r="V678" s="28">
        <v>32.0</v>
      </c>
      <c r="W678" s="28" t="s">
        <v>1173</v>
      </c>
      <c r="X678" s="28" t="s">
        <v>272</v>
      </c>
      <c r="Y678" s="28" t="s">
        <v>9720</v>
      </c>
      <c r="Z678" s="28" t="s">
        <v>5483</v>
      </c>
      <c r="AA678" s="28" t="s">
        <v>457</v>
      </c>
      <c r="AB678" s="28">
        <v>25.0</v>
      </c>
      <c r="AC678" s="28" t="s">
        <v>25</v>
      </c>
      <c r="AD678" s="23"/>
      <c r="AE678" s="28" t="s">
        <v>10</v>
      </c>
      <c r="AF678" s="23" t="str">
        <f>IFERROR(__xludf.DUMMYFUNCTION("TEXTJOIN("", "", TRUE,
  FILTER(Champions!C:C,
    ISNUMBER(SEARCH(C678, Champions!W:W))
  )
)"),"Romina Tome, Frank Weber")</f>
        <v>Romina Tome, Frank Weber</v>
      </c>
      <c r="AG678" s="23"/>
      <c r="AH678" s="23" t="str">
        <f>IFERROR(__xludf.DUMMYFUNCTION("IF(
ISNUMBER(MATCH(
C678,
IMPORTRANGE(""https://docs.google.com/spreadsheets/d/1yTh1ELC33JHYOeEdgIiEclxPRyh0zOKtlawDltfUay8"",""'Interns'!A:A""),
0
)),
""Outreach Conducted"",
"""")"),"")</f>
        <v/>
      </c>
      <c r="AI678" s="23"/>
      <c r="AJ678" s="23"/>
      <c r="AK678" s="23" t="str">
        <f>IFERROR(__xludf.DUMMYFUNCTION("XLOOKUP(C678, 
   IMPORTRANGE(""1RdEdgHYrZ33LJ7RUHj_h-qkAFL92bcVjtIdVa-UlsCw"", ""Interns!D:D""), 
   IMPORTRANGE(""1RdEdgHYrZ33LJ7RUHj_h-qkAFL92bcVjtIdVa-UlsCw"", ""Interns!M:M""), 
   ""Not Found"")"),"Contacted")</f>
        <v>Contacted</v>
      </c>
      <c r="AL678" s="23" t="str">
        <f>IFERROR(__xludf.DUMMYFUNCTION("XLOOKUP(C678, 
   IMPORTRANGE(""1RdEdgHYrZ33LJ7RUHj_h-qkAFL92bcVjtIdVa-UlsCw"", ""Interns!D:D""), 
   IMPORTRANGE(""1RdEdgHYrZ33LJ7RUHj_h-qkAFL92bcVjtIdVa-UlsCw"", ""Interns!N:N""), 
   ""Not Found"")"),"#Cheers4Careers")</f>
        <v>#Cheers4Careers</v>
      </c>
      <c r="AM678" s="23" t="str">
        <f>IFERROR(__xludf.DUMMYFUNCTION("XLOOKUP(C678, 
   IMPORTRANGE(""1RdEdgHYrZ33LJ7RUHj_h-qkAFL92bcVjtIdVa-UlsCw"", ""Interns!D:D""), 
   IMPORTRANGE(""1RdEdgHYrZ33LJ7RUHj_h-qkAFL92bcVjtIdVa-UlsCw"", ""Interns!O:O""), 
   ""Not Found"")"),"Hetal reached out by email 3/27")</f>
        <v>Hetal reached out by email 3/27</v>
      </c>
      <c r="AN678" s="23"/>
      <c r="AO678" s="23" t="s">
        <v>9721</v>
      </c>
      <c r="AP678" s="28" t="s">
        <v>5191</v>
      </c>
      <c r="AQ678" s="28" t="s">
        <v>9722</v>
      </c>
      <c r="AR678" s="23" t="s">
        <v>9723</v>
      </c>
      <c r="AS678" s="23"/>
      <c r="AT678" s="23"/>
      <c r="AU678" s="23"/>
      <c r="AV678" s="23"/>
    </row>
    <row r="679">
      <c r="A679" s="28" t="s">
        <v>5161</v>
      </c>
      <c r="B679" s="28" t="s">
        <v>5162</v>
      </c>
      <c r="C679" s="23" t="str">
        <f t="shared" si="1"/>
        <v>Jenny Cayambe</v>
      </c>
      <c r="D679" s="28" t="s">
        <v>1731</v>
      </c>
      <c r="E679" s="28" t="s">
        <v>9724</v>
      </c>
      <c r="F679" s="23">
        <f t="array" ref="F679">IFERROR(
    INDEX('Hub Interns 226'!A:A, MATCH(C679, 'Hub Interns 226'!B:B, 0)),"")</f>
        <v>848</v>
      </c>
      <c r="G679" s="23">
        <f t="array" ref="G679">IFERROR(
    INDEX('Hub Users 226'!A:A, MATCH(C679, 'Hub Users 226'!B:B, 0)),"")</f>
        <v>1281</v>
      </c>
      <c r="H679" s="28">
        <v>1551.0</v>
      </c>
      <c r="I679" s="28" t="s">
        <v>290</v>
      </c>
      <c r="J679" s="28" t="s">
        <v>2388</v>
      </c>
      <c r="K679" s="28" t="s">
        <v>5463</v>
      </c>
      <c r="L679" s="28" t="s">
        <v>5196</v>
      </c>
      <c r="M679" s="56" t="s">
        <v>9725</v>
      </c>
      <c r="N679" s="57">
        <v>44958.634722222225</v>
      </c>
      <c r="O679" s="58">
        <v>38312.0</v>
      </c>
      <c r="P679" s="28">
        <f t="shared" si="20"/>
        <v>21</v>
      </c>
      <c r="Q679" s="28" t="s">
        <v>240</v>
      </c>
      <c r="R679" s="28" t="s">
        <v>9726</v>
      </c>
      <c r="S679" s="28">
        <v>7.0</v>
      </c>
      <c r="T679" s="28">
        <v>18.0</v>
      </c>
      <c r="U679" s="28">
        <v>53.0</v>
      </c>
      <c r="V679" s="28">
        <v>37.0</v>
      </c>
      <c r="W679" s="28" t="s">
        <v>294</v>
      </c>
      <c r="X679" s="28" t="s">
        <v>272</v>
      </c>
      <c r="Y679" s="28" t="s">
        <v>9727</v>
      </c>
      <c r="Z679" s="28" t="s">
        <v>5259</v>
      </c>
      <c r="AA679" s="28" t="s">
        <v>704</v>
      </c>
      <c r="AB679" s="28">
        <v>2.0</v>
      </c>
      <c r="AC679" s="28" t="s">
        <v>23</v>
      </c>
      <c r="AD679" s="23"/>
      <c r="AE679" s="28" t="s">
        <v>15</v>
      </c>
      <c r="AF679" s="23"/>
      <c r="AG679" s="23"/>
      <c r="AH679" s="23" t="str">
        <f>IFERROR(__xludf.DUMMYFUNCTION("IF(
ISNUMBER(MATCH(
C679,
IMPORTRANGE(""https://docs.google.com/spreadsheets/d/1yTh1ELC33JHYOeEdgIiEclxPRyh0zOKtlawDltfUay8"",""'Interns'!A:A""),
0
)),
""Outreach Conducted"",
"""")"),"")</f>
        <v/>
      </c>
      <c r="AI679" s="23"/>
      <c r="AJ679" s="23"/>
      <c r="AK679" s="23" t="str">
        <f>IFERROR(__xludf.DUMMYFUNCTION("XLOOKUP(C679, 
   IMPORTRANGE(""1RdEdgHYrZ33LJ7RUHj_h-qkAFL92bcVjtIdVa-UlsCw"", ""Interns!D:D""), 
   IMPORTRANGE(""1RdEdgHYrZ33LJ7RUHj_h-qkAFL92bcVjtIdVa-UlsCw"", ""Interns!M:M""), 
   ""Not Found"")"),"Contacted")</f>
        <v>Contacted</v>
      </c>
      <c r="AL679" s="23" t="str">
        <f>IFERROR(__xludf.DUMMYFUNCTION("XLOOKUP(C679, 
   IMPORTRANGE(""1RdEdgHYrZ33LJ7RUHj_h-qkAFL92bcVjtIdVa-UlsCw"", ""Interns!D:D""), 
   IMPORTRANGE(""1RdEdgHYrZ33LJ7RUHj_h-qkAFL92bcVjtIdVa-UlsCw"", ""Interns!N:N""), 
   ""Not Found"")"),"#Cheers4Careers")</f>
        <v>#Cheers4Careers</v>
      </c>
      <c r="AM679" s="23" t="str">
        <f>IFERROR(__xludf.DUMMYFUNCTION("XLOOKUP(C679, 
   IMPORTRANGE(""1RdEdgHYrZ33LJ7RUHj_h-qkAFL92bcVjtIdVa-UlsCw"", ""Interns!D:D""), 
   IMPORTRANGE(""1RdEdgHYrZ33LJ7RUHj_h-qkAFL92bcVjtIdVa-UlsCw"", ""Interns!O:O""), 
   ""Not Found"")"),"Ousmane reached out by email 3/26 ")</f>
        <v>Ousmane reached out by email 3/26 </v>
      </c>
      <c r="AN679" s="23"/>
      <c r="AO679" s="23" t="s">
        <v>9728</v>
      </c>
      <c r="AP679" s="28" t="s">
        <v>5173</v>
      </c>
      <c r="AQ679" s="28"/>
      <c r="AR679" s="23"/>
      <c r="AS679" s="23"/>
      <c r="AT679" s="23"/>
      <c r="AU679" s="23"/>
      <c r="AV679" s="23"/>
    </row>
    <row r="680">
      <c r="A680" s="28" t="s">
        <v>5161</v>
      </c>
      <c r="B680" s="28" t="s">
        <v>5162</v>
      </c>
      <c r="C680" s="23" t="str">
        <f t="shared" si="1"/>
        <v>Nelly (Alexandra) Pilahuisin</v>
      </c>
      <c r="D680" s="28" t="s">
        <v>9729</v>
      </c>
      <c r="E680" s="28" t="s">
        <v>9730</v>
      </c>
      <c r="F680" s="23">
        <f t="array" ref="F680">IFERROR(
    INDEX('Hub Interns 226'!A:A, MATCH("Alexandra", 'Hub Interns 226'!B:B, 0)),"")</f>
        <v>1355</v>
      </c>
      <c r="G680" s="23">
        <f t="array" ref="G680">IFERROR(
    INDEX('Hub Users 226'!A:A, MATCH("Nelly Pilahuisin", 'Hub Users 226'!B:B, 0)),"")</f>
        <v>1897</v>
      </c>
      <c r="H680" s="28">
        <v>1783.0</v>
      </c>
      <c r="I680" s="28" t="s">
        <v>260</v>
      </c>
      <c r="J680" s="28" t="s">
        <v>2388</v>
      </c>
      <c r="K680" s="28" t="s">
        <v>5463</v>
      </c>
      <c r="L680" s="28" t="s">
        <v>5196</v>
      </c>
      <c r="M680" s="56" t="s">
        <v>9731</v>
      </c>
      <c r="N680" s="57">
        <v>45312.91111111111</v>
      </c>
      <c r="O680" s="58">
        <v>39279.0</v>
      </c>
      <c r="P680" s="28">
        <f t="shared" si="20"/>
        <v>18</v>
      </c>
      <c r="Q680" s="28" t="s">
        <v>9732</v>
      </c>
      <c r="R680" s="28" t="s">
        <v>9733</v>
      </c>
      <c r="S680" s="28">
        <v>7.0</v>
      </c>
      <c r="T680" s="28">
        <v>15.0</v>
      </c>
      <c r="U680" s="28">
        <v>38.0</v>
      </c>
      <c r="V680" s="28">
        <v>32.0</v>
      </c>
      <c r="W680" s="28" t="s">
        <v>1173</v>
      </c>
      <c r="X680" s="28" t="s">
        <v>272</v>
      </c>
      <c r="Y680" s="23"/>
      <c r="Z680" s="28" t="s">
        <v>5259</v>
      </c>
      <c r="AA680" s="28" t="s">
        <v>704</v>
      </c>
      <c r="AB680" s="28">
        <v>2.0</v>
      </c>
      <c r="AC680" s="28" t="s">
        <v>27</v>
      </c>
      <c r="AD680" s="28" t="s">
        <v>101</v>
      </c>
      <c r="AE680" s="28" t="s">
        <v>18</v>
      </c>
      <c r="AF680" s="23"/>
      <c r="AG680" s="23"/>
      <c r="AH680" s="23" t="str">
        <f>IFERROR(__xludf.DUMMYFUNCTION("IF(
ISNUMBER(MATCH(
C680,
IMPORTRANGE(""https://docs.google.com/spreadsheets/d/1yTh1ELC33JHYOeEdgIiEclxPRyh0zOKtlawDltfUay8"",""'Interns'!A:A""),
0
)),
""Outreach Conducted"",
"""")"),"")</f>
        <v/>
      </c>
      <c r="AI680" s="23"/>
      <c r="AJ680" s="28" t="s">
        <v>9734</v>
      </c>
      <c r="AK680" s="23" t="str">
        <f>IFERROR(__xludf.DUMMYFUNCTION("XLOOKUP(C680, 
   IMPORTRANGE(""1RdEdgHYrZ33LJ7RUHj_h-qkAFL92bcVjtIdVa-UlsCw"", ""Interns!D:D""), 
   IMPORTRANGE(""1RdEdgHYrZ33LJ7RUHj_h-qkAFL92bcVjtIdVa-UlsCw"", ""Interns!M:M""), 
   ""Not Found"")"),"Contacted")</f>
        <v>Contacted</v>
      </c>
      <c r="AL680" s="23" t="str">
        <f>IFERROR(__xludf.DUMMYFUNCTION("XLOOKUP(C680, 
   IMPORTRANGE(""1RdEdgHYrZ33LJ7RUHj_h-qkAFL92bcVjtIdVa-UlsCw"", ""Interns!D:D""), 
   IMPORTRANGE(""1RdEdgHYrZ33LJ7RUHj_h-qkAFL92bcVjtIdVa-UlsCw"", ""Interns!N:N""), 
   ""Not Found"")"),"#Cheers4Careers")</f>
        <v>#Cheers4Careers</v>
      </c>
      <c r="AM680" s="23" t="str">
        <f>IFERROR(__xludf.DUMMYFUNCTION("XLOOKUP(C680, 
   IMPORTRANGE(""1RdEdgHYrZ33LJ7RUHj_h-qkAFL92bcVjtIdVa-UlsCw"", ""Interns!D:D""), 
   IMPORTRANGE(""1RdEdgHYrZ33LJ7RUHj_h-qkAFL92bcVjtIdVa-UlsCw"", ""Interns!O:O""), 
   ""Not Found"")"),"Ousmane reached out by email 3/26 and reach out by text 3/28")</f>
        <v>Ousmane reached out by email 3/26 and reach out by text 3/28</v>
      </c>
      <c r="AN680" s="23"/>
      <c r="AO680" s="23" t="s">
        <v>9735</v>
      </c>
      <c r="AP680" s="28" t="s">
        <v>5191</v>
      </c>
      <c r="AQ680" s="28" t="s">
        <v>9736</v>
      </c>
      <c r="AR680" s="23">
        <v>3.477201558E9</v>
      </c>
      <c r="AS680" s="23"/>
      <c r="AT680" s="23"/>
      <c r="AU680" s="23"/>
      <c r="AV680" s="23"/>
    </row>
    <row r="681">
      <c r="A681" s="28" t="s">
        <v>5161</v>
      </c>
      <c r="B681" s="28" t="s">
        <v>5162</v>
      </c>
      <c r="C681" s="23" t="str">
        <f t="shared" si="1"/>
        <v>Jazmine Corte</v>
      </c>
      <c r="D681" s="22" t="s">
        <v>9737</v>
      </c>
      <c r="E681" s="22" t="s">
        <v>9738</v>
      </c>
      <c r="F681" s="23"/>
      <c r="G681" s="23"/>
      <c r="H681" s="22">
        <v>1985.0</v>
      </c>
      <c r="I681" s="28"/>
      <c r="J681" s="28" t="s">
        <v>2388</v>
      </c>
      <c r="K681" s="28" t="s">
        <v>5463</v>
      </c>
      <c r="L681" s="28" t="s">
        <v>5196</v>
      </c>
      <c r="M681" s="29" t="s">
        <v>9739</v>
      </c>
      <c r="N681" s="61">
        <v>45631.495833333334</v>
      </c>
      <c r="O681" s="25">
        <v>45632.0</v>
      </c>
      <c r="P681" s="28">
        <f t="shared" si="20"/>
        <v>1</v>
      </c>
      <c r="Q681" s="62" t="s">
        <v>240</v>
      </c>
      <c r="R681" s="22" t="s">
        <v>9740</v>
      </c>
      <c r="S681" s="28">
        <v>6.0</v>
      </c>
      <c r="T681" s="28">
        <v>13.0</v>
      </c>
      <c r="U681" s="28">
        <v>39.0</v>
      </c>
      <c r="V681" s="28">
        <v>25.0</v>
      </c>
      <c r="W681" s="28" t="s">
        <v>1173</v>
      </c>
      <c r="X681" s="28" t="s">
        <v>272</v>
      </c>
      <c r="Y681" s="24"/>
      <c r="Z681" s="22" t="s">
        <v>5520</v>
      </c>
      <c r="AA681" s="28" t="s">
        <v>5171</v>
      </c>
      <c r="AB681" s="28">
        <v>30.0</v>
      </c>
      <c r="AC681" s="28" t="s">
        <v>23</v>
      </c>
      <c r="AD681" s="23"/>
      <c r="AE681" s="28" t="s">
        <v>19</v>
      </c>
      <c r="AF681" s="23"/>
      <c r="AG681" s="23"/>
      <c r="AH681" s="23" t="str">
        <f>IFERROR(__xludf.DUMMYFUNCTION("IF(
ISNUMBER(MATCH(
C681,
IMPORTRANGE(""https://docs.google.com/spreadsheets/d/1yTh1ELC33JHYOeEdgIiEclxPRyh0zOKtlawDltfUay8"",""'Interns'!A:A""),
0
)),
""Outreach Conducted"",
"""")"),"")</f>
        <v/>
      </c>
      <c r="AI681" s="23"/>
      <c r="AJ681" s="23"/>
      <c r="AK681" s="23"/>
      <c r="AL681" s="23" t="str">
        <f>IFERROR(__xludf.DUMMYFUNCTION("XLOOKUP(C681, 
   IMPORTRANGE(""1RdEdgHYrZ33LJ7RUHj_h-qkAFL92bcVjtIdVa-UlsCw"", ""Interns!D:D""), 
   IMPORTRANGE(""1RdEdgHYrZ33LJ7RUHj_h-qkAFL92bcVjtIdVa-UlsCw"", ""Interns!N:N""), 
   ""Not Found"")"),"Not Found")</f>
        <v>Not Found</v>
      </c>
      <c r="AM681" s="23" t="str">
        <f>IFERROR(__xludf.DUMMYFUNCTION("XLOOKUP(C681, 
   IMPORTRANGE(""1RdEdgHYrZ33LJ7RUHj_h-qkAFL92bcVjtIdVa-UlsCw"", ""Interns!D:D""), 
   IMPORTRANGE(""1RdEdgHYrZ33LJ7RUHj_h-qkAFL92bcVjtIdVa-UlsCw"", ""Interns!O:O""), 
   ""Not Found"")"),"Not Found")</f>
        <v>Not Found</v>
      </c>
      <c r="AN681" s="23"/>
      <c r="AO681" s="23" t="s">
        <v>9741</v>
      </c>
      <c r="AP681" s="28" t="s">
        <v>5880</v>
      </c>
      <c r="AQ681" s="28" t="s">
        <v>9742</v>
      </c>
      <c r="AR681" s="23">
        <v>3.47924807E9</v>
      </c>
      <c r="AS681" s="23"/>
      <c r="AT681" s="23"/>
      <c r="AU681" s="23"/>
      <c r="AV681" s="23"/>
    </row>
    <row r="682">
      <c r="A682" s="28" t="s">
        <v>5161</v>
      </c>
      <c r="B682" s="28" t="s">
        <v>5162</v>
      </c>
      <c r="C682" s="23" t="str">
        <f t="shared" si="1"/>
        <v>Leonor Chuya</v>
      </c>
      <c r="D682" s="28" t="s">
        <v>9743</v>
      </c>
      <c r="E682" s="28" t="s">
        <v>9744</v>
      </c>
      <c r="F682" s="23" t="str">
        <f t="array" ref="F682">IFERROR(
    INDEX('Hub Interns 226'!A:A, MATCH(C682, 'Hub Interns 226'!B:B, 0)),"")</f>
        <v/>
      </c>
      <c r="G682" s="23">
        <f t="array" ref="G682">IFERROR(
    INDEX('Hub Users 226'!A:A, MATCH(C682, 'Hub Users 226'!B:B, 0)),"")</f>
        <v>2094</v>
      </c>
      <c r="H682" s="28">
        <v>1858.0</v>
      </c>
      <c r="I682" s="28" t="s">
        <v>260</v>
      </c>
      <c r="J682" s="28" t="s">
        <v>2388</v>
      </c>
      <c r="K682" s="28" t="s">
        <v>5463</v>
      </c>
      <c r="L682" s="28" t="s">
        <v>5196</v>
      </c>
      <c r="M682" s="56" t="s">
        <v>9745</v>
      </c>
      <c r="N682" s="59">
        <v>45583.86944444444</v>
      </c>
      <c r="O682" s="58">
        <v>45575.0</v>
      </c>
      <c r="P682" s="28">
        <f t="shared" si="20"/>
        <v>1</v>
      </c>
      <c r="Q682" s="28" t="s">
        <v>240</v>
      </c>
      <c r="R682" s="28" t="s">
        <v>9746</v>
      </c>
      <c r="S682" s="28">
        <v>6.0</v>
      </c>
      <c r="T682" s="28">
        <v>15.0</v>
      </c>
      <c r="U682" s="28">
        <v>28.0</v>
      </c>
      <c r="V682" s="28">
        <v>30.0</v>
      </c>
      <c r="W682" s="28" t="s">
        <v>271</v>
      </c>
      <c r="X682" s="28" t="s">
        <v>272</v>
      </c>
      <c r="Y682" s="28">
        <v>9.342069691E9</v>
      </c>
      <c r="Z682" s="28" t="s">
        <v>6332</v>
      </c>
      <c r="AA682" s="28" t="s">
        <v>5512</v>
      </c>
      <c r="AB682" s="28">
        <v>30.0</v>
      </c>
      <c r="AC682" s="26" t="s">
        <v>23</v>
      </c>
      <c r="AD682" s="23"/>
      <c r="AE682" s="28" t="s">
        <v>19</v>
      </c>
      <c r="AF682" s="23"/>
      <c r="AG682" s="23"/>
      <c r="AH682" s="23" t="str">
        <f>IFERROR(__xludf.DUMMYFUNCTION("IF(
ISNUMBER(MATCH(
C682,
IMPORTRANGE(""https://docs.google.com/spreadsheets/d/1yTh1ELC33JHYOeEdgIiEclxPRyh0zOKtlawDltfUay8"",""'Interns'!A:A""),
0
)),
""Outreach Conducted"",
"""")"),"")</f>
        <v/>
      </c>
      <c r="AI682" s="23"/>
      <c r="AJ682" s="23"/>
      <c r="AK682" s="23" t="str">
        <f>IFERROR(__xludf.DUMMYFUNCTION("XLOOKUP(C682, 
   IMPORTRANGE(""1RdEdgHYrZ33LJ7RUHj_h-qkAFL92bcVjtIdVa-UlsCw"", ""Interns!D:D""), 
   IMPORTRANGE(""1RdEdgHYrZ33LJ7RUHj_h-qkAFL92bcVjtIdVa-UlsCw"", ""Interns!M:M""), 
   ""Not Found"")"),"Contacted")</f>
        <v>Contacted</v>
      </c>
      <c r="AL682" s="23" t="str">
        <f>IFERROR(__xludf.DUMMYFUNCTION("XLOOKUP(C682, 
   IMPORTRANGE(""1RdEdgHYrZ33LJ7RUHj_h-qkAFL92bcVjtIdVa-UlsCw"", ""Interns!D:D""), 
   IMPORTRANGE(""1RdEdgHYrZ33LJ7RUHj_h-qkAFL92bcVjtIdVa-UlsCw"", ""Interns!N:N""), 
   ""Not Found"")"),"#Cheers4Careers")</f>
        <v>#Cheers4Careers</v>
      </c>
      <c r="AM682" s="23" t="str">
        <f>IFERROR(__xludf.DUMMYFUNCTION("XLOOKUP(C682,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682" s="23"/>
      <c r="AO682" s="23" t="s">
        <v>1602</v>
      </c>
      <c r="AP682" s="28" t="s">
        <v>5182</v>
      </c>
      <c r="AQ682" s="28" t="s">
        <v>9747</v>
      </c>
      <c r="AR682" s="23" t="s">
        <v>9748</v>
      </c>
      <c r="AS682" s="23"/>
      <c r="AT682" s="23"/>
      <c r="AU682" s="23"/>
      <c r="AV682" s="23"/>
    </row>
    <row r="683">
      <c r="A683" s="28" t="s">
        <v>5161</v>
      </c>
      <c r="B683" s="28" t="s">
        <v>5162</v>
      </c>
      <c r="C683" s="23" t="str">
        <f t="shared" si="1"/>
        <v>Anderson Valverde</v>
      </c>
      <c r="D683" s="22" t="s">
        <v>9749</v>
      </c>
      <c r="E683" s="22" t="s">
        <v>9750</v>
      </c>
      <c r="F683" s="23"/>
      <c r="G683" s="23"/>
      <c r="H683" s="22">
        <v>1994.0</v>
      </c>
      <c r="I683" s="28"/>
      <c r="J683" s="28" t="s">
        <v>2388</v>
      </c>
      <c r="K683" s="28" t="s">
        <v>5463</v>
      </c>
      <c r="L683" s="28" t="s">
        <v>5165</v>
      </c>
      <c r="M683" s="29" t="s">
        <v>9751</v>
      </c>
      <c r="N683" s="61">
        <v>45631.493055555555</v>
      </c>
      <c r="O683" s="25">
        <v>40575.0</v>
      </c>
      <c r="P683" s="28">
        <f t="shared" si="20"/>
        <v>15</v>
      </c>
      <c r="Q683" s="62" t="s">
        <v>240</v>
      </c>
      <c r="R683" s="22" t="s">
        <v>9752</v>
      </c>
      <c r="S683" s="28">
        <v>6.0</v>
      </c>
      <c r="T683" s="28">
        <v>13.0</v>
      </c>
      <c r="U683" s="28">
        <v>39.0</v>
      </c>
      <c r="V683" s="28">
        <v>25.0</v>
      </c>
      <c r="W683" s="28" t="s">
        <v>1173</v>
      </c>
      <c r="X683" s="28" t="s">
        <v>272</v>
      </c>
      <c r="Y683" s="24"/>
      <c r="Z683" s="22" t="s">
        <v>5520</v>
      </c>
      <c r="AA683" s="28" t="s">
        <v>5171</v>
      </c>
      <c r="AB683" s="28">
        <v>30.0</v>
      </c>
      <c r="AC683" s="28" t="s">
        <v>23</v>
      </c>
      <c r="AD683" s="23"/>
      <c r="AE683" s="28" t="s">
        <v>19</v>
      </c>
      <c r="AF683" s="23"/>
      <c r="AG683" s="23"/>
      <c r="AH683" s="23" t="str">
        <f>IFERROR(__xludf.DUMMYFUNCTION("IF(
ISNUMBER(MATCH(
C683,
IMPORTRANGE(""https://docs.google.com/spreadsheets/d/1yTh1ELC33JHYOeEdgIiEclxPRyh0zOKtlawDltfUay8"",""'Interns'!A:A""),
0
)),
""Outreach Conducted"",
"""")"),"")</f>
        <v/>
      </c>
      <c r="AI683" s="23"/>
      <c r="AJ683" s="23"/>
      <c r="AK683" s="23"/>
      <c r="AL683" s="23" t="str">
        <f>IFERROR(__xludf.DUMMYFUNCTION("XLOOKUP(C683, 
   IMPORTRANGE(""1RdEdgHYrZ33LJ7RUHj_h-qkAFL92bcVjtIdVa-UlsCw"", ""Interns!D:D""), 
   IMPORTRANGE(""1RdEdgHYrZ33LJ7RUHj_h-qkAFL92bcVjtIdVa-UlsCw"", ""Interns!N:N""), 
   ""Not Found"")"),"Not Found")</f>
        <v>Not Found</v>
      </c>
      <c r="AM683" s="23" t="str">
        <f>IFERROR(__xludf.DUMMYFUNCTION("XLOOKUP(C683, 
   IMPORTRANGE(""1RdEdgHYrZ33LJ7RUHj_h-qkAFL92bcVjtIdVa-UlsCw"", ""Interns!D:D""), 
   IMPORTRANGE(""1RdEdgHYrZ33LJ7RUHj_h-qkAFL92bcVjtIdVa-UlsCw"", ""Interns!O:O""), 
   ""Not Found"")"),"Not Found")</f>
        <v>Not Found</v>
      </c>
      <c r="AN683" s="23"/>
      <c r="AO683" s="23" t="s">
        <v>9753</v>
      </c>
      <c r="AP683" s="28" t="s">
        <v>5182</v>
      </c>
      <c r="AQ683" s="28" t="s">
        <v>9754</v>
      </c>
      <c r="AR683" s="23">
        <v>3.478482719E9</v>
      </c>
      <c r="AS683" s="23"/>
      <c r="AT683" s="23"/>
      <c r="AU683" s="23"/>
      <c r="AV683" s="23"/>
    </row>
    <row r="684">
      <c r="A684" s="28" t="s">
        <v>5161</v>
      </c>
      <c r="B684" s="28" t="s">
        <v>5162</v>
      </c>
      <c r="C684" s="23" t="str">
        <f t="shared" si="1"/>
        <v>Frankie Boccio</v>
      </c>
      <c r="D684" s="22" t="s">
        <v>9755</v>
      </c>
      <c r="E684" s="22" t="s">
        <v>9756</v>
      </c>
      <c r="F684" s="23"/>
      <c r="G684" s="23"/>
      <c r="H684" s="22">
        <v>1991.0</v>
      </c>
      <c r="I684" s="28"/>
      <c r="J684" s="28" t="s">
        <v>2388</v>
      </c>
      <c r="K684" s="28" t="s">
        <v>5463</v>
      </c>
      <c r="L684" s="28" t="s">
        <v>5165</v>
      </c>
      <c r="M684" s="29" t="s">
        <v>9757</v>
      </c>
      <c r="N684" s="22" t="s">
        <v>9250</v>
      </c>
      <c r="O684" s="25">
        <v>40833.0</v>
      </c>
      <c r="P684" s="28">
        <f t="shared" si="20"/>
        <v>14</v>
      </c>
      <c r="Q684" s="62" t="s">
        <v>240</v>
      </c>
      <c r="R684" s="22" t="s">
        <v>9758</v>
      </c>
      <c r="S684" s="28">
        <v>6.0</v>
      </c>
      <c r="T684" s="28">
        <v>12.0</v>
      </c>
      <c r="U684" s="28">
        <v>30.0</v>
      </c>
      <c r="V684" s="28">
        <v>25.0</v>
      </c>
      <c r="W684" s="28" t="s">
        <v>1173</v>
      </c>
      <c r="X684" s="28" t="s">
        <v>272</v>
      </c>
      <c r="Y684" s="24"/>
      <c r="Z684" s="22" t="s">
        <v>5520</v>
      </c>
      <c r="AA684" s="28" t="s">
        <v>5171</v>
      </c>
      <c r="AB684" s="28">
        <v>30.0</v>
      </c>
      <c r="AC684" s="28" t="s">
        <v>23</v>
      </c>
      <c r="AD684" s="23"/>
      <c r="AE684" s="28" t="s">
        <v>19</v>
      </c>
      <c r="AF684" s="23"/>
      <c r="AG684" s="23"/>
      <c r="AH684" s="23" t="str">
        <f>IFERROR(__xludf.DUMMYFUNCTION("IF(
ISNUMBER(MATCH(
C684,
IMPORTRANGE(""https://docs.google.com/spreadsheets/d/1yTh1ELC33JHYOeEdgIiEclxPRyh0zOKtlawDltfUay8"",""'Interns'!A:A""),
0
)),
""Outreach Conducted"",
"""")"),"")</f>
        <v/>
      </c>
      <c r="AI684" s="23"/>
      <c r="AJ684" s="23"/>
      <c r="AK684" s="23"/>
      <c r="AL684" s="23" t="str">
        <f>IFERROR(__xludf.DUMMYFUNCTION("XLOOKUP(C684, 
   IMPORTRANGE(""1RdEdgHYrZ33LJ7RUHj_h-qkAFL92bcVjtIdVa-UlsCw"", ""Interns!D:D""), 
   IMPORTRANGE(""1RdEdgHYrZ33LJ7RUHj_h-qkAFL92bcVjtIdVa-UlsCw"", ""Interns!N:N""), 
   ""Not Found"")"),"Not Found")</f>
        <v>Not Found</v>
      </c>
      <c r="AM684" s="23" t="str">
        <f>IFERROR(__xludf.DUMMYFUNCTION("XLOOKUP(C684, 
   IMPORTRANGE(""1RdEdgHYrZ33LJ7RUHj_h-qkAFL92bcVjtIdVa-UlsCw"", ""Interns!D:D""), 
   IMPORTRANGE(""1RdEdgHYrZ33LJ7RUHj_h-qkAFL92bcVjtIdVa-UlsCw"", ""Interns!O:O""), 
   ""Not Found"")"),"Not Found")</f>
        <v>Not Found</v>
      </c>
      <c r="AN684" s="23"/>
      <c r="AO684" s="23" t="s">
        <v>9759</v>
      </c>
      <c r="AP684" s="28" t="s">
        <v>5182</v>
      </c>
      <c r="AQ684" s="28" t="s">
        <v>9760</v>
      </c>
      <c r="AR684" s="23" t="s">
        <v>9761</v>
      </c>
      <c r="AS684" s="23"/>
      <c r="AT684" s="23"/>
      <c r="AU684" s="23"/>
      <c r="AV684" s="23"/>
    </row>
    <row r="685">
      <c r="A685" s="28" t="s">
        <v>5161</v>
      </c>
      <c r="B685" s="28" t="s">
        <v>5162</v>
      </c>
      <c r="C685" s="23" t="str">
        <f t="shared" si="1"/>
        <v>Sebastian Gonzalez</v>
      </c>
      <c r="D685" s="22" t="s">
        <v>6733</v>
      </c>
      <c r="E685" s="22" t="s">
        <v>1377</v>
      </c>
      <c r="F685" s="23"/>
      <c r="G685" s="23"/>
      <c r="H685" s="22">
        <v>1923.0</v>
      </c>
      <c r="I685" s="28"/>
      <c r="J685" s="28" t="s">
        <v>2388</v>
      </c>
      <c r="K685" s="28" t="s">
        <v>5463</v>
      </c>
      <c r="L685" s="28" t="s">
        <v>5165</v>
      </c>
      <c r="M685" s="29" t="s">
        <v>9762</v>
      </c>
      <c r="N685" s="61">
        <v>45771.44930555556</v>
      </c>
      <c r="O685" s="25">
        <v>40382.0</v>
      </c>
      <c r="P685" s="28">
        <f t="shared" si="20"/>
        <v>15</v>
      </c>
      <c r="Q685" s="62" t="s">
        <v>240</v>
      </c>
      <c r="R685" s="22" t="s">
        <v>9763</v>
      </c>
      <c r="S685" s="28">
        <v>3.0</v>
      </c>
      <c r="T685" s="28">
        <v>11.0</v>
      </c>
      <c r="U685" s="28">
        <v>33.0</v>
      </c>
      <c r="V685" s="28">
        <v>23.0</v>
      </c>
      <c r="W685" s="28" t="s">
        <v>1173</v>
      </c>
      <c r="X685" s="28" t="s">
        <v>272</v>
      </c>
      <c r="Y685" s="22" t="s">
        <v>9764</v>
      </c>
      <c r="Z685" s="22" t="s">
        <v>7490</v>
      </c>
      <c r="AA685" s="28" t="s">
        <v>5659</v>
      </c>
      <c r="AB685" s="28">
        <v>23.0</v>
      </c>
      <c r="AC685" s="28" t="s">
        <v>23</v>
      </c>
      <c r="AD685" s="23"/>
      <c r="AE685" s="28" t="s">
        <v>19</v>
      </c>
      <c r="AF685" s="23"/>
      <c r="AG685" s="23"/>
      <c r="AH685" s="23" t="str">
        <f>IFERROR(__xludf.DUMMYFUNCTION("IF(
ISNUMBER(MATCH(
C685,
IMPORTRANGE(""https://docs.google.com/spreadsheets/d/1yTh1ELC33JHYOeEdgIiEclxPRyh0zOKtlawDltfUay8"",""'Interns'!A:A""),
0
)),
""Outreach Conducted"",
"""")"),"")</f>
        <v/>
      </c>
      <c r="AI685" s="23"/>
      <c r="AJ685" s="23"/>
      <c r="AK685" s="23"/>
      <c r="AL685" s="23" t="str">
        <f>IFERROR(__xludf.DUMMYFUNCTION("XLOOKUP(C685, 
   IMPORTRANGE(""1RdEdgHYrZ33LJ7RUHj_h-qkAFL92bcVjtIdVa-UlsCw"", ""Interns!D:D""), 
   IMPORTRANGE(""1RdEdgHYrZ33LJ7RUHj_h-qkAFL92bcVjtIdVa-UlsCw"", ""Interns!N:N""), 
   ""Not Found"")"),"#Cheers4Careers")</f>
        <v>#Cheers4Careers</v>
      </c>
      <c r="AM685" s="23" t="str">
        <f>IFERROR(__xludf.DUMMYFUNCTION("XLOOKUP(C685, 
   IMPORTRANGE(""1RdEdgHYrZ33LJ7RUHj_h-qkAFL92bcVjtIdVa-UlsCw"", ""Interns!D:D""), 
   IMPORTRANGE(""1RdEdgHYrZ33LJ7RUHj_h-qkAFL92bcVjtIdVa-UlsCw"", ""Interns!O:O""), 
   ""Not Found"")"),"Hetal reached out March 27 for March #Cheers4 Careers ")</f>
        <v>Hetal reached out March 27 for March #Cheers4 Careers </v>
      </c>
      <c r="AN685" s="23"/>
      <c r="AO685" s="23" t="s">
        <v>9765</v>
      </c>
      <c r="AP685" s="28" t="s">
        <v>5182</v>
      </c>
      <c r="AQ685" s="28" t="s">
        <v>9766</v>
      </c>
      <c r="AR685" s="23" t="s">
        <v>9767</v>
      </c>
      <c r="AS685" s="23"/>
      <c r="AT685" s="23"/>
      <c r="AU685" s="23"/>
      <c r="AV685" s="23"/>
    </row>
    <row r="686">
      <c r="A686" s="28" t="s">
        <v>5161</v>
      </c>
      <c r="B686" s="28" t="s">
        <v>31</v>
      </c>
      <c r="C686" s="23" t="str">
        <f t="shared" si="1"/>
        <v>Jorge Lopez</v>
      </c>
      <c r="D686" s="28" t="s">
        <v>8819</v>
      </c>
      <c r="E686" s="28" t="s">
        <v>2778</v>
      </c>
      <c r="F686" s="23">
        <f t="array" ref="F686">IFERROR(
    INDEX('Hub Interns 226'!A:A, MATCH("Jorge. Lopez", 'Hub Interns 226'!B:B, 0)),"")</f>
        <v>92</v>
      </c>
      <c r="G686" s="23">
        <f t="array" ref="G686">IFERROR(
    INDEX('Hub Users 226'!A:A, MATCH("Jorge. Lopez", 'Hub Users 226'!B:B, 0)),"")</f>
        <v>525</v>
      </c>
      <c r="H686" s="28">
        <v>1468.0</v>
      </c>
      <c r="I686" s="28" t="s">
        <v>1235</v>
      </c>
      <c r="J686" s="28"/>
      <c r="K686" s="28"/>
      <c r="L686" s="28" t="s">
        <v>5165</v>
      </c>
      <c r="M686" s="56" t="s">
        <v>8820</v>
      </c>
      <c r="N686" s="57">
        <v>44938.65069444444</v>
      </c>
      <c r="O686" s="58">
        <v>38661.0</v>
      </c>
      <c r="P686" s="28">
        <f t="shared" si="20"/>
        <v>20</v>
      </c>
      <c r="Q686" s="28" t="s">
        <v>8821</v>
      </c>
      <c r="R686" s="28" t="s">
        <v>8822</v>
      </c>
      <c r="S686" s="28"/>
      <c r="T686" s="28"/>
      <c r="U686" s="28"/>
      <c r="V686" s="28"/>
      <c r="W686" s="28" t="s">
        <v>859</v>
      </c>
      <c r="X686" s="28" t="s">
        <v>272</v>
      </c>
      <c r="Y686" s="28" t="s">
        <v>8823</v>
      </c>
      <c r="Z686" s="28" t="s">
        <v>5259</v>
      </c>
      <c r="AA686" s="28" t="s">
        <v>704</v>
      </c>
      <c r="AB686" s="28">
        <v>2.0</v>
      </c>
      <c r="AC686" s="28" t="s">
        <v>23</v>
      </c>
      <c r="AD686" s="28" t="s">
        <v>101</v>
      </c>
      <c r="AE686" s="28" t="s">
        <v>15</v>
      </c>
      <c r="AF686" s="23"/>
      <c r="AG686" s="23"/>
      <c r="AH686" s="23" t="str">
        <f>IFERROR(__xludf.DUMMYFUNCTION("IF(
ISNUMBER(MATCH(
C686,
IMPORTRANGE(""https://docs.google.com/spreadsheets/d/1yTh1ELC33JHYOeEdgIiEclxPRyh0zOKtlawDltfUay8"",""'Interns'!A:A""),
0
)),
""Outreach Conducted"",
"""")"),"")</f>
        <v/>
      </c>
      <c r="AI686" s="23"/>
      <c r="AJ686" s="23"/>
      <c r="AK686" s="23" t="str">
        <f>IFERROR(__xludf.DUMMYFUNCTION("XLOOKUP(C686, 
   IMPORTRANGE(""1RdEdgHYrZ33LJ7RUHj_h-qkAFL92bcVjtIdVa-UlsCw"", ""Interns!D:D""), 
   IMPORTRANGE(""1RdEdgHYrZ33LJ7RUHj_h-qkAFL92bcVjtIdVa-UlsCw"", ""Interns!M:M""), 
   ""Not Found"")"),"")</f>
        <v/>
      </c>
      <c r="AL686" s="23" t="str">
        <f>IFERROR(__xludf.DUMMYFUNCTION("XLOOKUP(C686, 
   IMPORTRANGE(""1RdEdgHYrZ33LJ7RUHj_h-qkAFL92bcVjtIdVa-UlsCw"", ""Interns!D:D""), 
   IMPORTRANGE(""1RdEdgHYrZ33LJ7RUHj_h-qkAFL92bcVjtIdVa-UlsCw"", ""Interns!N:N""), 
   ""Not Found"")"),"")</f>
        <v/>
      </c>
      <c r="AM686" s="23" t="str">
        <f>IFERROR(__xludf.DUMMYFUNCTION("XLOOKUP(C686, 
   IMPORTRANGE(""1RdEdgHYrZ33LJ7RUHj_h-qkAFL92bcVjtIdVa-UlsCw"", ""Interns!D:D""), 
   IMPORTRANGE(""1RdEdgHYrZ33LJ7RUHj_h-qkAFL92bcVjtIdVa-UlsCw"", ""Interns!O:O""), 
   ""Not Found"")"),"")</f>
        <v/>
      </c>
      <c r="AN686" s="23"/>
      <c r="AO686" s="23" t="s">
        <v>8824</v>
      </c>
      <c r="AP686" s="28" t="s">
        <v>5182</v>
      </c>
      <c r="AQ686" s="28" t="s">
        <v>8825</v>
      </c>
      <c r="AR686" s="23" t="s">
        <v>8826</v>
      </c>
      <c r="AS686" s="23"/>
      <c r="AT686" s="23"/>
      <c r="AU686" s="23"/>
      <c r="AV686" s="23"/>
    </row>
    <row r="687">
      <c r="A687" s="28" t="s">
        <v>5161</v>
      </c>
      <c r="B687" s="28" t="s">
        <v>5162</v>
      </c>
      <c r="C687" s="23" t="str">
        <f t="shared" si="1"/>
        <v>Fabricio Saquipulla</v>
      </c>
      <c r="D687" s="28" t="s">
        <v>9768</v>
      </c>
      <c r="E687" s="28" t="s">
        <v>9769</v>
      </c>
      <c r="F687" s="23">
        <f t="array" ref="F687">IFERROR(
    INDEX('Hub Interns 226'!A:A, MATCH(C687, 'Hub Interns 226'!B:B, 0)),"")</f>
        <v>508</v>
      </c>
      <c r="G687" s="23">
        <f t="array" ref="G687">IFERROR(
    INDEX('Hub Users 226'!A:A, MATCH(C687, 'Hub Users 226'!B:B, 0)),"")</f>
        <v>941</v>
      </c>
      <c r="H687" s="28">
        <v>1416.0</v>
      </c>
      <c r="I687" s="28" t="s">
        <v>785</v>
      </c>
      <c r="J687" s="28" t="s">
        <v>2388</v>
      </c>
      <c r="K687" s="28" t="s">
        <v>5463</v>
      </c>
      <c r="L687" s="28" t="s">
        <v>5165</v>
      </c>
      <c r="M687" s="56" t="s">
        <v>9770</v>
      </c>
      <c r="N687" s="57">
        <v>44866.37430555555</v>
      </c>
      <c r="O687" s="58">
        <v>40437.0</v>
      </c>
      <c r="P687" s="28">
        <f t="shared" si="20"/>
        <v>15</v>
      </c>
      <c r="Q687" s="28" t="s">
        <v>240</v>
      </c>
      <c r="R687" s="28" t="s">
        <v>9771</v>
      </c>
      <c r="S687" s="28"/>
      <c r="T687" s="28"/>
      <c r="U687" s="28"/>
      <c r="V687" s="28"/>
      <c r="W687" s="28"/>
      <c r="X687" s="28" t="s">
        <v>272</v>
      </c>
      <c r="Y687" s="28" t="s">
        <v>9772</v>
      </c>
      <c r="Z687" s="28" t="s">
        <v>5352</v>
      </c>
      <c r="AA687" s="28" t="s">
        <v>5287</v>
      </c>
      <c r="AB687" s="28">
        <v>26.0</v>
      </c>
      <c r="AC687" s="28" t="s">
        <v>23</v>
      </c>
      <c r="AD687" s="23"/>
      <c r="AE687" s="28" t="s">
        <v>15</v>
      </c>
      <c r="AF687" s="23"/>
      <c r="AG687" s="23"/>
      <c r="AH687" s="23" t="str">
        <f>IFERROR(__xludf.DUMMYFUNCTION("IF(
ISNUMBER(MATCH(
C687,
IMPORTRANGE(""https://docs.google.com/spreadsheets/d/1yTh1ELC33JHYOeEdgIiEclxPRyh0zOKtlawDltfUay8"",""'Interns'!A:A""),
0
)),
""Outreach Conducted"",
"""")"),"")</f>
        <v/>
      </c>
      <c r="AI687" s="23"/>
      <c r="AJ687" s="23"/>
      <c r="AK687" s="23" t="str">
        <f>IFERROR(__xludf.DUMMYFUNCTION("XLOOKUP(C687, 
   IMPORTRANGE(""1RdEdgHYrZ33LJ7RUHj_h-qkAFL92bcVjtIdVa-UlsCw"", ""Interns!D:D""), 
   IMPORTRANGE(""1RdEdgHYrZ33LJ7RUHj_h-qkAFL92bcVjtIdVa-UlsCw"", ""Interns!M:M""), 
   ""Not Found"")"),"Contacted")</f>
        <v>Contacted</v>
      </c>
      <c r="AL687" s="23" t="str">
        <f>IFERROR(__xludf.DUMMYFUNCTION("XLOOKUP(C687, 
   IMPORTRANGE(""1RdEdgHYrZ33LJ7RUHj_h-qkAFL92bcVjtIdVa-UlsCw"", ""Interns!D:D""), 
   IMPORTRANGE(""1RdEdgHYrZ33LJ7RUHj_h-qkAFL92bcVjtIdVa-UlsCw"", ""Interns!N:N""), 
   ""Not Found"")"),"#Cheers4Careers")</f>
        <v>#Cheers4Careers</v>
      </c>
      <c r="AM687" s="23" t="str">
        <f>IFERROR(__xludf.DUMMYFUNCTION("XLOOKUP(C687, 
   IMPORTRANGE(""1RdEdgHYrZ33LJ7RUHj_h-qkAFL92bcVjtIdVa-UlsCw"", ""Interns!D:D""), 
   IMPORTRANGE(""1RdEdgHYrZ33LJ7RUHj_h-qkAFL92bcVjtIdVa-UlsCw"", ""Interns!O:O""), 
   ""Not Found"")"),"Hetal reached out by email 3/27")</f>
        <v>Hetal reached out by email 3/27</v>
      </c>
      <c r="AN687" s="23"/>
      <c r="AO687" s="23" t="s">
        <v>9773</v>
      </c>
      <c r="AP687" s="28" t="s">
        <v>5182</v>
      </c>
      <c r="AQ687" s="28"/>
      <c r="AR687" s="23"/>
      <c r="AS687" s="23"/>
      <c r="AT687" s="23"/>
      <c r="AU687" s="23"/>
      <c r="AV687" s="23"/>
    </row>
    <row r="688">
      <c r="A688" s="28" t="s">
        <v>5161</v>
      </c>
      <c r="B688" s="28" t="s">
        <v>5162</v>
      </c>
      <c r="C688" s="23" t="str">
        <f t="shared" si="1"/>
        <v>Royce Prado</v>
      </c>
      <c r="D688" s="28" t="s">
        <v>9774</v>
      </c>
      <c r="E688" s="28" t="s">
        <v>5355</v>
      </c>
      <c r="F688" s="23" t="str">
        <f t="array" ref="F688">IFERROR(
    INDEX('Hub Interns 226'!A:A, MATCH(C688, 'Hub Interns 226'!B:B, 0)),"")</f>
        <v/>
      </c>
      <c r="G688" s="23">
        <f t="array" ref="G688">IFERROR(
    INDEX('Hub Users 226'!A:A, MATCH(C688, 'Hub Users 226'!B:B, 0)),"")</f>
        <v>1856</v>
      </c>
      <c r="H688" s="28">
        <v>1687.0</v>
      </c>
      <c r="I688" s="28" t="s">
        <v>107</v>
      </c>
      <c r="J688" s="28" t="s">
        <v>2388</v>
      </c>
      <c r="K688" s="28" t="s">
        <v>5463</v>
      </c>
      <c r="L688" s="28" t="s">
        <v>5165</v>
      </c>
      <c r="M688" s="56" t="s">
        <v>9775</v>
      </c>
      <c r="N688" s="59">
        <v>45249.92986111111</v>
      </c>
      <c r="O688" s="58">
        <v>41145.0</v>
      </c>
      <c r="P688" s="28">
        <f t="shared" si="20"/>
        <v>13</v>
      </c>
      <c r="Q688" s="28" t="s">
        <v>240</v>
      </c>
      <c r="R688" s="28" t="s">
        <v>9776</v>
      </c>
      <c r="S688" s="28">
        <v>6.0</v>
      </c>
      <c r="T688" s="28">
        <v>13.0</v>
      </c>
      <c r="U688" s="28">
        <v>39.0</v>
      </c>
      <c r="V688" s="28">
        <v>25.0</v>
      </c>
      <c r="W688" s="28" t="s">
        <v>1173</v>
      </c>
      <c r="X688" s="28" t="s">
        <v>272</v>
      </c>
      <c r="Y688" s="23"/>
      <c r="Z688" s="28" t="s">
        <v>5170</v>
      </c>
      <c r="AA688" s="28" t="s">
        <v>5171</v>
      </c>
      <c r="AB688" s="28">
        <v>30.0</v>
      </c>
      <c r="AC688" s="28" t="s">
        <v>23</v>
      </c>
      <c r="AD688" s="23"/>
      <c r="AE688" s="28" t="s">
        <v>18</v>
      </c>
      <c r="AF688" s="23"/>
      <c r="AG688" s="23"/>
      <c r="AH688" s="23" t="str">
        <f>IFERROR(__xludf.DUMMYFUNCTION("IF(
ISNUMBER(MATCH(
C688,
IMPORTRANGE(""https://docs.google.com/spreadsheets/d/1yTh1ELC33JHYOeEdgIiEclxPRyh0zOKtlawDltfUay8"",""'Interns'!A:A""),
0
)),
""Outreach Conducted"",
"""")"),"")</f>
        <v/>
      </c>
      <c r="AI688" s="23"/>
      <c r="AJ688" s="23"/>
      <c r="AK688" s="23" t="str">
        <f>IFERROR(__xludf.DUMMYFUNCTION("XLOOKUP(C688, 
   IMPORTRANGE(""1RdEdgHYrZ33LJ7RUHj_h-qkAFL92bcVjtIdVa-UlsCw"", ""Interns!D:D""), 
   IMPORTRANGE(""1RdEdgHYrZ33LJ7RUHj_h-qkAFL92bcVjtIdVa-UlsCw"", ""Interns!M:M""), 
   ""Not Found"")"),"Contacted")</f>
        <v>Contacted</v>
      </c>
      <c r="AL688" s="23" t="str">
        <f>IFERROR(__xludf.DUMMYFUNCTION("XLOOKUP(C688, 
   IMPORTRANGE(""1RdEdgHYrZ33LJ7RUHj_h-qkAFL92bcVjtIdVa-UlsCw"", ""Interns!D:D""), 
   IMPORTRANGE(""1RdEdgHYrZ33LJ7RUHj_h-qkAFL92bcVjtIdVa-UlsCw"", ""Interns!N:N""), 
   ""Not Found"")"),"#Cheers4Careers")</f>
        <v>#Cheers4Careers</v>
      </c>
      <c r="AM688" s="23" t="str">
        <f>IFERROR(__xludf.DUMMYFUNCTION("XLOOKUP(C688, 
   IMPORTRANGE(""1RdEdgHYrZ33LJ7RUHj_h-qkAFL92bcVjtIdVa-UlsCw"", ""Interns!D:D""), 
   IMPORTRANGE(""1RdEdgHYrZ33LJ7RUHj_h-qkAFL92bcVjtIdVa-UlsCw"", ""Interns!O:O""), 
   ""Not Found"")"),"Hetal reached out March 27 for March #Cheers4 Careers ")</f>
        <v>Hetal reached out March 27 for March #Cheers4 Careers </v>
      </c>
      <c r="AN688" s="23"/>
      <c r="AO688" s="23" t="s">
        <v>9777</v>
      </c>
      <c r="AP688" s="28" t="s">
        <v>5182</v>
      </c>
      <c r="AQ688" s="28" t="s">
        <v>9778</v>
      </c>
      <c r="AR688" s="23">
        <v>3.478808795E9</v>
      </c>
      <c r="AS688" s="23"/>
      <c r="AT688" s="23"/>
      <c r="AU688" s="23"/>
      <c r="AV688" s="23"/>
    </row>
    <row r="689">
      <c r="A689" s="28" t="s">
        <v>5161</v>
      </c>
      <c r="B689" s="28" t="s">
        <v>5162</v>
      </c>
      <c r="C689" s="23" t="str">
        <f t="shared" si="1"/>
        <v>Jayleen Vallejo</v>
      </c>
      <c r="D689" s="22" t="s">
        <v>9779</v>
      </c>
      <c r="E689" s="22" t="s">
        <v>9780</v>
      </c>
      <c r="F689" s="23"/>
      <c r="G689" s="23"/>
      <c r="H689" s="22">
        <v>1992.0</v>
      </c>
      <c r="I689" s="28"/>
      <c r="J689" s="28" t="s">
        <v>2388</v>
      </c>
      <c r="K689" s="28" t="s">
        <v>5463</v>
      </c>
      <c r="L689" s="28" t="s">
        <v>5196</v>
      </c>
      <c r="M689" s="29" t="s">
        <v>9781</v>
      </c>
      <c r="N689" s="61">
        <v>45631.49444444444</v>
      </c>
      <c r="O689" s="25">
        <v>40689.0</v>
      </c>
      <c r="P689" s="28">
        <f t="shared" si="20"/>
        <v>14</v>
      </c>
      <c r="Q689" s="62" t="s">
        <v>240</v>
      </c>
      <c r="R689" s="22" t="s">
        <v>9782</v>
      </c>
      <c r="S689" s="28">
        <v>14.0</v>
      </c>
      <c r="T689" s="28">
        <v>13.0</v>
      </c>
      <c r="U689" s="28">
        <v>35.0</v>
      </c>
      <c r="V689" s="28">
        <v>21.0</v>
      </c>
      <c r="W689" s="28" t="s">
        <v>1173</v>
      </c>
      <c r="X689" s="28" t="s">
        <v>272</v>
      </c>
      <c r="Y689" s="22">
        <v>9.296017089E9</v>
      </c>
      <c r="Z689" s="22" t="s">
        <v>5520</v>
      </c>
      <c r="AA689" s="28" t="s">
        <v>5171</v>
      </c>
      <c r="AB689" s="28">
        <v>30.0</v>
      </c>
      <c r="AC689" s="28" t="s">
        <v>23</v>
      </c>
      <c r="AD689" s="23"/>
      <c r="AE689" s="28" t="s">
        <v>19</v>
      </c>
      <c r="AF689" s="23"/>
      <c r="AG689" s="23"/>
      <c r="AH689" s="23" t="str">
        <f>IFERROR(__xludf.DUMMYFUNCTION("IF(
ISNUMBER(MATCH(
C689,
IMPORTRANGE(""https://docs.google.com/spreadsheets/d/1yTh1ELC33JHYOeEdgIiEclxPRyh0zOKtlawDltfUay8"",""'Interns'!A:A""),
0
)),
""Outreach Conducted"",
"""")"),"")</f>
        <v/>
      </c>
      <c r="AI689" s="23"/>
      <c r="AJ689" s="23"/>
      <c r="AK689" s="23"/>
      <c r="AL689" s="23" t="str">
        <f>IFERROR(__xludf.DUMMYFUNCTION("XLOOKUP(C689, 
   IMPORTRANGE(""1RdEdgHYrZ33LJ7RUHj_h-qkAFL92bcVjtIdVa-UlsCw"", ""Interns!D:D""), 
   IMPORTRANGE(""1RdEdgHYrZ33LJ7RUHj_h-qkAFL92bcVjtIdVa-UlsCw"", ""Interns!N:N""), 
   ""Not Found"")"),"Not Found")</f>
        <v>Not Found</v>
      </c>
      <c r="AM689" s="23" t="str">
        <f>IFERROR(__xludf.DUMMYFUNCTION("XLOOKUP(C689, 
   IMPORTRANGE(""1RdEdgHYrZ33LJ7RUHj_h-qkAFL92bcVjtIdVa-UlsCw"", ""Interns!D:D""), 
   IMPORTRANGE(""1RdEdgHYrZ33LJ7RUHj_h-qkAFL92bcVjtIdVa-UlsCw"", ""Interns!O:O""), 
   ""Not Found"")"),"Not Found")</f>
        <v>Not Found</v>
      </c>
      <c r="AN689" s="23"/>
      <c r="AO689" s="23" t="s">
        <v>9783</v>
      </c>
      <c r="AP689" s="28" t="s">
        <v>5182</v>
      </c>
      <c r="AQ689" s="28" t="s">
        <v>9781</v>
      </c>
      <c r="AR689" s="23">
        <v>3.474217554E9</v>
      </c>
      <c r="AS689" s="23"/>
      <c r="AT689" s="23"/>
      <c r="AU689" s="23"/>
      <c r="AV689" s="23"/>
    </row>
    <row r="690">
      <c r="A690" s="28" t="s">
        <v>5161</v>
      </c>
      <c r="B690" s="28" t="s">
        <v>5162</v>
      </c>
      <c r="C690" s="23" t="str">
        <f t="shared" si="1"/>
        <v>Tatiana Zumba</v>
      </c>
      <c r="D690" s="28" t="s">
        <v>3374</v>
      </c>
      <c r="E690" s="28" t="s">
        <v>9784</v>
      </c>
      <c r="F690" s="23">
        <f t="array" ref="F690">IFERROR(
    INDEX('Hub Interns 226'!A:A, MATCH(C690, 'Hub Interns 226'!B:B, 0)),"")</f>
        <v>1141</v>
      </c>
      <c r="G690" s="23">
        <f t="array" ref="G690">IFERROR(
    INDEX('Hub Users 226'!A:A, MATCH(C690, 'Hub Users 226'!B:B, 0)),"")</f>
        <v>1574</v>
      </c>
      <c r="H690" s="28">
        <v>1006.0</v>
      </c>
      <c r="I690" s="28" t="s">
        <v>407</v>
      </c>
      <c r="J690" s="28" t="s">
        <v>2388</v>
      </c>
      <c r="K690" s="28" t="s">
        <v>5463</v>
      </c>
      <c r="L690" s="28" t="s">
        <v>5196</v>
      </c>
      <c r="M690" s="56" t="s">
        <v>9785</v>
      </c>
      <c r="N690" s="57">
        <v>44654.86875</v>
      </c>
      <c r="O690" s="58">
        <v>39880.0</v>
      </c>
      <c r="P690" s="28">
        <f t="shared" si="20"/>
        <v>17</v>
      </c>
      <c r="Q690" s="28" t="s">
        <v>240</v>
      </c>
      <c r="R690" s="28" t="s">
        <v>9786</v>
      </c>
      <c r="S690" s="28">
        <v>14.0</v>
      </c>
      <c r="T690" s="28">
        <v>13.0</v>
      </c>
      <c r="U690" s="28">
        <v>34.0</v>
      </c>
      <c r="V690" s="28">
        <v>21.0</v>
      </c>
      <c r="W690" s="28" t="s">
        <v>1173</v>
      </c>
      <c r="X690" s="28" t="s">
        <v>272</v>
      </c>
      <c r="Y690" s="28" t="s">
        <v>9787</v>
      </c>
      <c r="Z690" s="28" t="s">
        <v>5403</v>
      </c>
      <c r="AA690" s="28" t="s">
        <v>5404</v>
      </c>
      <c r="AB690" s="28">
        <v>21.0</v>
      </c>
      <c r="AC690" s="28" t="s">
        <v>24</v>
      </c>
      <c r="AD690" s="23"/>
      <c r="AE690" s="28" t="s">
        <v>10</v>
      </c>
      <c r="AF690" s="23"/>
      <c r="AG690" s="23"/>
      <c r="AH690" s="23" t="str">
        <f>IFERROR(__xludf.DUMMYFUNCTION("IF(
ISNUMBER(MATCH(
C690,
IMPORTRANGE(""https://docs.google.com/spreadsheets/d/1yTh1ELC33JHYOeEdgIiEclxPRyh0zOKtlawDltfUay8"",""'Interns'!A:A""),
0
)),
""Outreach Conducted"",
"""")"),"")</f>
        <v/>
      </c>
      <c r="AI690" s="23"/>
      <c r="AJ690" s="23"/>
      <c r="AK690" s="23" t="str">
        <f>IFERROR(__xludf.DUMMYFUNCTION("XLOOKUP(C690, 
   IMPORTRANGE(""1RdEdgHYrZ33LJ7RUHj_h-qkAFL92bcVjtIdVa-UlsCw"", ""Interns!D:D""), 
   IMPORTRANGE(""1RdEdgHYrZ33LJ7RUHj_h-qkAFL92bcVjtIdVa-UlsCw"", ""Interns!M:M""), 
   ""Not Found"")"),"Contacted")</f>
        <v>Contacted</v>
      </c>
      <c r="AL690" s="23" t="str">
        <f>IFERROR(__xludf.DUMMYFUNCTION("XLOOKUP(C690, 
   IMPORTRANGE(""1RdEdgHYrZ33LJ7RUHj_h-qkAFL92bcVjtIdVa-UlsCw"", ""Interns!D:D""), 
   IMPORTRANGE(""1RdEdgHYrZ33LJ7RUHj_h-qkAFL92bcVjtIdVa-UlsCw"", ""Interns!N:N""), 
   ""Not Found"")"),"#Cheers4Careers")</f>
        <v>#Cheers4Careers</v>
      </c>
      <c r="AM690" s="23" t="str">
        <f>IFERROR(__xludf.DUMMYFUNCTION("XLOOKUP(C690,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690" s="23"/>
      <c r="AO690" s="23" t="s">
        <v>9788</v>
      </c>
      <c r="AP690" s="28" t="s">
        <v>5182</v>
      </c>
      <c r="AQ690" s="28"/>
      <c r="AR690" s="23"/>
      <c r="AS690" s="23"/>
      <c r="AT690" s="23"/>
      <c r="AU690" s="23"/>
      <c r="AV690" s="23"/>
    </row>
    <row r="691">
      <c r="A691" s="28" t="s">
        <v>5161</v>
      </c>
      <c r="B691" s="28" t="s">
        <v>5162</v>
      </c>
      <c r="C691" s="23" t="str">
        <f t="shared" si="1"/>
        <v>Daniel Guillen</v>
      </c>
      <c r="D691" s="28" t="s">
        <v>4968</v>
      </c>
      <c r="E691" s="28" t="s">
        <v>9392</v>
      </c>
      <c r="F691" s="23" t="str">
        <f t="array" ref="F691">IFERROR(
    INDEX('Hub Interns 226'!A:A, MATCH(C691, 'Hub Interns 226'!B:B, 0)),"")</f>
        <v/>
      </c>
      <c r="G691" s="23">
        <f t="array" ref="G691">IFERROR(
    INDEX('Hub Users 226'!A:A, MATCH(C691, 'Hub Users 226'!B:B, 0)),"")</f>
        <v>1933</v>
      </c>
      <c r="H691" s="28">
        <v>1802.0</v>
      </c>
      <c r="I691" s="28" t="s">
        <v>425</v>
      </c>
      <c r="J691" s="28" t="s">
        <v>2388</v>
      </c>
      <c r="K691" s="28" t="s">
        <v>5463</v>
      </c>
      <c r="L691" s="28" t="s">
        <v>5165</v>
      </c>
      <c r="M691" s="56" t="s">
        <v>9789</v>
      </c>
      <c r="N691" s="57">
        <v>45336.80416666667</v>
      </c>
      <c r="O691" s="58">
        <v>38818.0</v>
      </c>
      <c r="P691" s="28">
        <f t="shared" si="20"/>
        <v>20</v>
      </c>
      <c r="Q691" s="28" t="s">
        <v>9790</v>
      </c>
      <c r="R691" s="28" t="s">
        <v>9791</v>
      </c>
      <c r="S691" s="28">
        <v>6.0</v>
      </c>
      <c r="T691" s="28">
        <v>13.0</v>
      </c>
      <c r="U691" s="28">
        <v>39.0</v>
      </c>
      <c r="V691" s="28">
        <v>21.0</v>
      </c>
      <c r="W691" s="28" t="s">
        <v>1173</v>
      </c>
      <c r="X691" s="28" t="s">
        <v>272</v>
      </c>
      <c r="Y691" s="28">
        <v>9.176916525E9</v>
      </c>
      <c r="Z691" s="28" t="s">
        <v>5259</v>
      </c>
      <c r="AA691" s="28" t="s">
        <v>704</v>
      </c>
      <c r="AB691" s="28">
        <v>2.0</v>
      </c>
      <c r="AC691" s="28" t="s">
        <v>27</v>
      </c>
      <c r="AD691" s="23"/>
      <c r="AE691" s="28" t="s">
        <v>18</v>
      </c>
      <c r="AF691" s="23"/>
      <c r="AG691" s="23"/>
      <c r="AH691" s="23" t="str">
        <f>IFERROR(__xludf.DUMMYFUNCTION("IF(
ISNUMBER(MATCH(
C691,
IMPORTRANGE(""https://docs.google.com/spreadsheets/d/1yTh1ELC33JHYOeEdgIiEclxPRyh0zOKtlawDltfUay8"",""'Interns'!A:A""),
0
)),
""Outreach Conducted"",
"""")"),"")</f>
        <v/>
      </c>
      <c r="AI691" s="23"/>
      <c r="AJ691" s="23"/>
      <c r="AK691" s="23" t="str">
        <f>IFERROR(__xludf.DUMMYFUNCTION("XLOOKUP(C691, 
   IMPORTRANGE(""1RdEdgHYrZ33LJ7RUHj_h-qkAFL92bcVjtIdVa-UlsCw"", ""Interns!D:D""), 
   IMPORTRANGE(""1RdEdgHYrZ33LJ7RUHj_h-qkAFL92bcVjtIdVa-UlsCw"", ""Interns!M:M""), 
   ""Not Found"")"),"Contacted")</f>
        <v>Contacted</v>
      </c>
      <c r="AL691" s="23" t="str">
        <f>IFERROR(__xludf.DUMMYFUNCTION("XLOOKUP(C691, 
   IMPORTRANGE(""1RdEdgHYrZ33LJ7RUHj_h-qkAFL92bcVjtIdVa-UlsCw"", ""Interns!D:D""), 
   IMPORTRANGE(""1RdEdgHYrZ33LJ7RUHj_h-qkAFL92bcVjtIdVa-UlsCw"", ""Interns!N:N""), 
   ""Not Found"")"),"#Cheers4Careers")</f>
        <v>#Cheers4Careers</v>
      </c>
      <c r="AM691" s="23" t="str">
        <f>IFERROR(__xludf.DUMMYFUNCTION("XLOOKUP(C691, 
   IMPORTRANGE(""1RdEdgHYrZ33LJ7RUHj_h-qkAFL92bcVjtIdVa-UlsCw"", ""Interns!D:D""), 
   IMPORTRANGE(""1RdEdgHYrZ33LJ7RUHj_h-qkAFL92bcVjtIdVa-UlsCw"", ""Interns!O:O""), 
   ""Not Found"")"),"Ousmane reached out by email 3/26 and reach out by text 3/28")</f>
        <v>Ousmane reached out by email 3/26 and reach out by text 3/28</v>
      </c>
      <c r="AN691" s="23"/>
      <c r="AO691" s="23" t="s">
        <v>9792</v>
      </c>
      <c r="AP691" s="28" t="s">
        <v>5182</v>
      </c>
      <c r="AQ691" s="28" t="s">
        <v>9793</v>
      </c>
      <c r="AR691" s="23">
        <v>9.174451572E9</v>
      </c>
      <c r="AS691" s="23"/>
      <c r="AT691" s="23"/>
      <c r="AU691" s="23"/>
      <c r="AV691" s="23"/>
    </row>
    <row r="692">
      <c r="A692" s="28" t="s">
        <v>5161</v>
      </c>
      <c r="B692" s="28" t="s">
        <v>5162</v>
      </c>
      <c r="C692" s="23" t="str">
        <f t="shared" si="1"/>
        <v>Lesly Chucino</v>
      </c>
      <c r="D692" s="28" t="s">
        <v>9794</v>
      </c>
      <c r="E692" s="28" t="s">
        <v>8930</v>
      </c>
      <c r="F692" s="23">
        <f t="array" ref="F692">IFERROR(
    INDEX('Hub Interns 226'!A:A, MATCH(C692, 'Hub Interns 226'!B:B, 0)),"")</f>
        <v>372</v>
      </c>
      <c r="G692" s="23">
        <f t="array" ref="G692">IFERROR(
    INDEX('Hub Users 226'!A:A, MATCH(C692, 'Hub Users 226'!B:B, 0)),"")</f>
        <v>805</v>
      </c>
      <c r="H692" s="28">
        <v>1498.0</v>
      </c>
      <c r="I692" s="28" t="s">
        <v>785</v>
      </c>
      <c r="J692" s="28" t="s">
        <v>2388</v>
      </c>
      <c r="K692" s="28" t="s">
        <v>5463</v>
      </c>
      <c r="L692" s="28" t="s">
        <v>5196</v>
      </c>
      <c r="M692" s="56" t="s">
        <v>9795</v>
      </c>
      <c r="N692" s="57">
        <v>44949.66388888889</v>
      </c>
      <c r="O692" s="58">
        <v>38734.0</v>
      </c>
      <c r="P692" s="28">
        <f t="shared" si="20"/>
        <v>20</v>
      </c>
      <c r="Q692" s="28" t="s">
        <v>9796</v>
      </c>
      <c r="R692" s="28" t="s">
        <v>9797</v>
      </c>
      <c r="S692" s="28">
        <v>13.0</v>
      </c>
      <c r="T692" s="28">
        <v>33.0</v>
      </c>
      <c r="U692" s="28">
        <v>86.0</v>
      </c>
      <c r="V692" s="28">
        <v>14.0</v>
      </c>
      <c r="W692" s="28" t="s">
        <v>859</v>
      </c>
      <c r="X692" s="28" t="s">
        <v>272</v>
      </c>
      <c r="Y692" s="28" t="s">
        <v>9798</v>
      </c>
      <c r="Z692" s="28" t="s">
        <v>5918</v>
      </c>
      <c r="AA692" s="28" t="s">
        <v>477</v>
      </c>
      <c r="AB692" s="28">
        <v>15.0</v>
      </c>
      <c r="AC692" s="28" t="s">
        <v>25</v>
      </c>
      <c r="AD692" s="23"/>
      <c r="AE692" s="28" t="s">
        <v>17</v>
      </c>
      <c r="AF692" s="23" t="str">
        <f>IFERROR(__xludf.DUMMYFUNCTION("TEXTJOIN("", "", TRUE,
  FILTER(Champions!C:C,
    ISNUMBER(SEARCH(C692, Champions!W:W))
  )
)"),"Addy Michelle Jimenez Haga, Lamon Chapman, Luz Santana, Romina Tome, Carlos Abad")</f>
        <v>Addy Michelle Jimenez Haga, Lamon Chapman, Luz Santana, Romina Tome, Carlos Abad</v>
      </c>
      <c r="AG692" s="23"/>
      <c r="AH692" s="23" t="str">
        <f>IFERROR(__xludf.DUMMYFUNCTION("IF(
ISNUMBER(MATCH(
C692,
IMPORTRANGE(""https://docs.google.com/spreadsheets/d/1yTh1ELC33JHYOeEdgIiEclxPRyh0zOKtlawDltfUay8"",""'Interns'!A:A""),
0
)),
""Outreach Conducted"",
"""")"),"")</f>
        <v/>
      </c>
      <c r="AI692" s="23"/>
      <c r="AJ692" s="23"/>
      <c r="AK692" s="23" t="str">
        <f>IFERROR(__xludf.DUMMYFUNCTION("XLOOKUP(C692, 
   IMPORTRANGE(""1RdEdgHYrZ33LJ7RUHj_h-qkAFL92bcVjtIdVa-UlsCw"", ""Interns!D:D""), 
   IMPORTRANGE(""1RdEdgHYrZ33LJ7RUHj_h-qkAFL92bcVjtIdVa-UlsCw"", ""Interns!M:M""), 
   ""Not Found"")"),"")</f>
        <v/>
      </c>
      <c r="AL692" s="23" t="str">
        <f>IFERROR(__xludf.DUMMYFUNCTION("XLOOKUP(C692, 
   IMPORTRANGE(""1RdEdgHYrZ33LJ7RUHj_h-qkAFL92bcVjtIdVa-UlsCw"", ""Interns!D:D""), 
   IMPORTRANGE(""1RdEdgHYrZ33LJ7RUHj_h-qkAFL92bcVjtIdVa-UlsCw"", ""Interns!N:N""), 
   ""Not Found"")"),"")</f>
        <v/>
      </c>
      <c r="AM692" s="23" t="str">
        <f>IFERROR(__xludf.DUMMYFUNCTION("XLOOKUP(C692, 
   IMPORTRANGE(""1RdEdgHYrZ33LJ7RUHj_h-qkAFL92bcVjtIdVa-UlsCw"", ""Interns!D:D""), 
   IMPORTRANGE(""1RdEdgHYrZ33LJ7RUHj_h-qkAFL92bcVjtIdVa-UlsCw"", ""Interns!O:O""), 
   ""Not Found"")"),"")</f>
        <v/>
      </c>
      <c r="AN692" s="23"/>
      <c r="AO692" s="23" t="s">
        <v>9799</v>
      </c>
      <c r="AP692" s="28" t="s">
        <v>5182</v>
      </c>
      <c r="AQ692" s="28" t="s">
        <v>9800</v>
      </c>
      <c r="AR692" s="23" t="s">
        <v>9801</v>
      </c>
      <c r="AS692" s="23"/>
      <c r="AT692" s="23"/>
      <c r="AU692" s="23"/>
      <c r="AV692" s="23"/>
    </row>
    <row r="693">
      <c r="A693" s="28" t="s">
        <v>5161</v>
      </c>
      <c r="B693" s="28" t="s">
        <v>31</v>
      </c>
      <c r="C693" s="23" t="str">
        <f t="shared" si="1"/>
        <v>Ali Salem</v>
      </c>
      <c r="D693" s="28" t="s">
        <v>9802</v>
      </c>
      <c r="E693" s="28" t="s">
        <v>9803</v>
      </c>
      <c r="F693" s="23">
        <f t="array" ref="F693">IFERROR(
    INDEX('Hub Interns 226'!A:A, MATCH(C693, 'Hub Interns 226'!B:B, 0)),"")</f>
        <v>32</v>
      </c>
      <c r="G693" s="23">
        <f t="array" ref="G693">IFERROR(
    INDEX('Hub Users 226'!A:A, MATCH(C693, 'Hub Users 226'!B:B, 0)),"")</f>
        <v>465</v>
      </c>
      <c r="H693" s="28">
        <v>837.0</v>
      </c>
      <c r="I693" s="28" t="s">
        <v>290</v>
      </c>
      <c r="J693" s="28"/>
      <c r="K693" s="28"/>
      <c r="L693" s="28" t="s">
        <v>5165</v>
      </c>
      <c r="M693" s="56" t="s">
        <v>9804</v>
      </c>
      <c r="N693" s="57">
        <v>44575.62013888889</v>
      </c>
      <c r="O693" s="58">
        <v>38208.0</v>
      </c>
      <c r="P693" s="28">
        <f t="shared" si="20"/>
        <v>21</v>
      </c>
      <c r="Q693" s="28" t="s">
        <v>9805</v>
      </c>
      <c r="R693" s="28" t="s">
        <v>9806</v>
      </c>
      <c r="S693" s="28"/>
      <c r="T693" s="28"/>
      <c r="U693" s="28"/>
      <c r="V693" s="28"/>
      <c r="W693" s="28" t="s">
        <v>271</v>
      </c>
      <c r="X693" s="28" t="s">
        <v>272</v>
      </c>
      <c r="Y693" s="28" t="s">
        <v>9807</v>
      </c>
      <c r="Z693" s="28" t="s">
        <v>5259</v>
      </c>
      <c r="AA693" s="28" t="s">
        <v>704</v>
      </c>
      <c r="AB693" s="28">
        <v>2.0</v>
      </c>
      <c r="AC693" s="28" t="s">
        <v>28</v>
      </c>
      <c r="AD693" s="23"/>
      <c r="AE693" s="28" t="s">
        <v>10</v>
      </c>
      <c r="AF693" s="23"/>
      <c r="AG693" s="23"/>
      <c r="AH693" s="23" t="str">
        <f>IFERROR(__xludf.DUMMYFUNCTION("IF(
ISNUMBER(MATCH(
C693,
IMPORTRANGE(""https://docs.google.com/spreadsheets/d/1yTh1ELC33JHYOeEdgIiEclxPRyh0zOKtlawDltfUay8"",""'Interns'!A:A""),
0
)),
""Outreach Conducted"",
"""")"),"")</f>
        <v/>
      </c>
      <c r="AI693" s="23"/>
      <c r="AJ693" s="23"/>
      <c r="AK693" s="23" t="str">
        <f>IFERROR(__xludf.DUMMYFUNCTION("XLOOKUP(C693, 
   IMPORTRANGE(""1RdEdgHYrZ33LJ7RUHj_h-qkAFL92bcVjtIdVa-UlsCw"", ""Interns!D:D""), 
   IMPORTRANGE(""1RdEdgHYrZ33LJ7RUHj_h-qkAFL92bcVjtIdVa-UlsCw"", ""Interns!M:M""), 
   ""Not Found"")"),"")</f>
        <v/>
      </c>
      <c r="AL693" s="23" t="str">
        <f>IFERROR(__xludf.DUMMYFUNCTION("XLOOKUP(C693, 
   IMPORTRANGE(""1RdEdgHYrZ33LJ7RUHj_h-qkAFL92bcVjtIdVa-UlsCw"", ""Interns!D:D""), 
   IMPORTRANGE(""1RdEdgHYrZ33LJ7RUHj_h-qkAFL92bcVjtIdVa-UlsCw"", ""Interns!N:N""), 
   ""Not Found"")"),"")</f>
        <v/>
      </c>
      <c r="AM693" s="23" t="str">
        <f>IFERROR(__xludf.DUMMYFUNCTION("XLOOKUP(C693, 
   IMPORTRANGE(""1RdEdgHYrZ33LJ7RUHj_h-qkAFL92bcVjtIdVa-UlsCw"", ""Interns!D:D""), 
   IMPORTRANGE(""1RdEdgHYrZ33LJ7RUHj_h-qkAFL92bcVjtIdVa-UlsCw"", ""Interns!O:O""), 
   ""Not Found"")"),"")</f>
        <v/>
      </c>
      <c r="AN693" s="23"/>
      <c r="AO693" s="23" t="s">
        <v>9808</v>
      </c>
      <c r="AP693" s="28" t="s">
        <v>5908</v>
      </c>
      <c r="AQ693" s="28" t="s">
        <v>9804</v>
      </c>
      <c r="AR693" s="23" t="s">
        <v>9809</v>
      </c>
      <c r="AS693" s="23"/>
      <c r="AT693" s="23"/>
      <c r="AU693" s="23"/>
      <c r="AV693" s="23"/>
    </row>
    <row r="694">
      <c r="A694" s="28" t="s">
        <v>5161</v>
      </c>
      <c r="B694" s="28" t="s">
        <v>31</v>
      </c>
      <c r="C694" s="23" t="str">
        <f t="shared" si="1"/>
        <v>Jorge. Lopez</v>
      </c>
      <c r="D694" s="28" t="s">
        <v>9810</v>
      </c>
      <c r="E694" s="28" t="s">
        <v>2778</v>
      </c>
      <c r="F694" s="23">
        <f t="array" ref="F694">IFERROR(
    INDEX('Hub Interns 226'!A:A, MATCH(C694, 'Hub Interns 226'!B:B, 0)),"")</f>
        <v>92</v>
      </c>
      <c r="G694" s="23">
        <f t="array" ref="G694">IFERROR(
    INDEX('Hub Users 226'!A:A, MATCH(C694, 'Hub Users 226'!B:B, 0)),"")</f>
        <v>525</v>
      </c>
      <c r="H694" s="28">
        <v>1146.0</v>
      </c>
      <c r="I694" s="28" t="s">
        <v>1235</v>
      </c>
      <c r="J694" s="28"/>
      <c r="K694" s="28"/>
      <c r="L694" s="28" t="s">
        <v>5165</v>
      </c>
      <c r="M694" s="56" t="s">
        <v>8820</v>
      </c>
      <c r="N694" s="57">
        <v>44749.54027777778</v>
      </c>
      <c r="O694" s="58">
        <v>38661.0</v>
      </c>
      <c r="P694" s="28">
        <f t="shared" si="20"/>
        <v>20</v>
      </c>
      <c r="Q694" s="28" t="s">
        <v>240</v>
      </c>
      <c r="R694" s="28" t="s">
        <v>9811</v>
      </c>
      <c r="S694" s="28"/>
      <c r="T694" s="28"/>
      <c r="U694" s="28"/>
      <c r="V694" s="28"/>
      <c r="W694" s="28" t="s">
        <v>859</v>
      </c>
      <c r="X694" s="28" t="s">
        <v>272</v>
      </c>
      <c r="Y694" s="28" t="s">
        <v>8823</v>
      </c>
      <c r="Z694" s="28" t="s">
        <v>5259</v>
      </c>
      <c r="AA694" s="28" t="s">
        <v>704</v>
      </c>
      <c r="AB694" s="28">
        <v>2.0</v>
      </c>
      <c r="AC694" s="28" t="s">
        <v>23</v>
      </c>
      <c r="AD694" s="23"/>
      <c r="AE694" s="28" t="s">
        <v>15</v>
      </c>
      <c r="AF694" s="23"/>
      <c r="AG694" s="23"/>
      <c r="AH694" s="23" t="str">
        <f>IFERROR(__xludf.DUMMYFUNCTION("IF(
ISNUMBER(MATCH(
C694,
IMPORTRANGE(""https://docs.google.com/spreadsheets/d/1yTh1ELC33JHYOeEdgIiEclxPRyh0zOKtlawDltfUay8"",""'Interns'!A:A""),
0
)),
""Outreach Conducted"",
"""")"),"")</f>
        <v/>
      </c>
      <c r="AI694" s="23"/>
      <c r="AJ694" s="23"/>
      <c r="AK694" s="23" t="str">
        <f>IFERROR(__xludf.DUMMYFUNCTION("XLOOKUP(C694, 
   IMPORTRANGE(""1RdEdgHYrZ33LJ7RUHj_h-qkAFL92bcVjtIdVa-UlsCw"", ""Interns!D:D""), 
   IMPORTRANGE(""1RdEdgHYrZ33LJ7RUHj_h-qkAFL92bcVjtIdVa-UlsCw"", ""Interns!M:M""), 
   ""Not Found"")"),"")</f>
        <v/>
      </c>
      <c r="AL694" s="23" t="str">
        <f>IFERROR(__xludf.DUMMYFUNCTION("XLOOKUP(C694, 
   IMPORTRANGE(""1RdEdgHYrZ33LJ7RUHj_h-qkAFL92bcVjtIdVa-UlsCw"", ""Interns!D:D""), 
   IMPORTRANGE(""1RdEdgHYrZ33LJ7RUHj_h-qkAFL92bcVjtIdVa-UlsCw"", ""Interns!N:N""), 
   ""Not Found"")"),"")</f>
        <v/>
      </c>
      <c r="AM694" s="23" t="str">
        <f>IFERROR(__xludf.DUMMYFUNCTION("XLOOKUP(C694, 
   IMPORTRANGE(""1RdEdgHYrZ33LJ7RUHj_h-qkAFL92bcVjtIdVa-UlsCw"", ""Interns!D:D""), 
   IMPORTRANGE(""1RdEdgHYrZ33LJ7RUHj_h-qkAFL92bcVjtIdVa-UlsCw"", ""Interns!O:O""), 
   ""Not Found"")"),"")</f>
        <v/>
      </c>
      <c r="AN694" s="23"/>
      <c r="AO694" s="23" t="s">
        <v>8824</v>
      </c>
      <c r="AP694" s="28" t="s">
        <v>5182</v>
      </c>
      <c r="AQ694" s="28"/>
      <c r="AR694" s="23" t="s">
        <v>9812</v>
      </c>
      <c r="AS694" s="23"/>
      <c r="AT694" s="23"/>
      <c r="AU694" s="23"/>
      <c r="AV694" s="23"/>
    </row>
    <row r="695">
      <c r="A695" s="28" t="s">
        <v>5161</v>
      </c>
      <c r="B695" s="28" t="s">
        <v>31</v>
      </c>
      <c r="C695" s="23" t="str">
        <f t="shared" si="1"/>
        <v>Andrea Guevara</v>
      </c>
      <c r="D695" s="28" t="s">
        <v>422</v>
      </c>
      <c r="E695" s="28" t="s">
        <v>9813</v>
      </c>
      <c r="F695" s="23">
        <f t="array" ref="F695">IFERROR(
    INDEX('Hub Interns 226'!A:A, MATCH(C695, 'Hub Interns 226'!B:B, 0)),"")</f>
        <v>33</v>
      </c>
      <c r="G695" s="23">
        <f t="array" ref="G695">IFERROR(
    INDEX('Hub Users 226'!A:A, MATCH(C695, 'Hub Users 226'!B:B, 0)),"")</f>
        <v>466</v>
      </c>
      <c r="H695" s="28">
        <v>729.0</v>
      </c>
      <c r="I695" s="28" t="s">
        <v>785</v>
      </c>
      <c r="J695" s="28"/>
      <c r="K695" s="28"/>
      <c r="L695" s="28" t="s">
        <v>5196</v>
      </c>
      <c r="M695" s="56" t="s">
        <v>9814</v>
      </c>
      <c r="N695" s="59">
        <v>44550.54722222222</v>
      </c>
      <c r="O695" s="58">
        <v>38295.0</v>
      </c>
      <c r="P695" s="28">
        <f t="shared" si="20"/>
        <v>21</v>
      </c>
      <c r="Q695" s="28" t="s">
        <v>240</v>
      </c>
      <c r="R695" s="28" t="s">
        <v>9815</v>
      </c>
      <c r="S695" s="28"/>
      <c r="T695" s="28"/>
      <c r="U695" s="28"/>
      <c r="V695" s="28"/>
      <c r="W695" s="28" t="s">
        <v>271</v>
      </c>
      <c r="X695" s="28" t="s">
        <v>272</v>
      </c>
      <c r="Y695" s="28" t="s">
        <v>9816</v>
      </c>
      <c r="Z695" s="28" t="s">
        <v>5259</v>
      </c>
      <c r="AA695" s="28" t="s">
        <v>704</v>
      </c>
      <c r="AB695" s="28">
        <v>2.0</v>
      </c>
      <c r="AC695" s="28" t="s">
        <v>28</v>
      </c>
      <c r="AD695" s="23"/>
      <c r="AE695" s="28" t="s">
        <v>10</v>
      </c>
      <c r="AF695" s="23"/>
      <c r="AG695" s="23"/>
      <c r="AH695" s="23" t="str">
        <f>IFERROR(__xludf.DUMMYFUNCTION("IF(
ISNUMBER(MATCH(
C695,
IMPORTRANGE(""https://docs.google.com/spreadsheets/d/1yTh1ELC33JHYOeEdgIiEclxPRyh0zOKtlawDltfUay8"",""'Interns'!A:A""),
0
)),
""Outreach Conducted"",
"""")"),"")</f>
        <v/>
      </c>
      <c r="AI695" s="23"/>
      <c r="AJ695" s="28" t="s">
        <v>9817</v>
      </c>
      <c r="AK695" s="23" t="str">
        <f>IFERROR(__xludf.DUMMYFUNCTION("XLOOKUP(C695, 
   IMPORTRANGE(""1RdEdgHYrZ33LJ7RUHj_h-qkAFL92bcVjtIdVa-UlsCw"", ""Interns!D:D""), 
   IMPORTRANGE(""1RdEdgHYrZ33LJ7RUHj_h-qkAFL92bcVjtIdVa-UlsCw"", ""Interns!M:M""), 
   ""Not Found"")"),"")</f>
        <v/>
      </c>
      <c r="AL695" s="23" t="str">
        <f>IFERROR(__xludf.DUMMYFUNCTION("XLOOKUP(C695, 
   IMPORTRANGE(""1RdEdgHYrZ33LJ7RUHj_h-qkAFL92bcVjtIdVa-UlsCw"", ""Interns!D:D""), 
   IMPORTRANGE(""1RdEdgHYrZ33LJ7RUHj_h-qkAFL92bcVjtIdVa-UlsCw"", ""Interns!N:N""), 
   ""Not Found"")"),"")</f>
        <v/>
      </c>
      <c r="AM695" s="23" t="str">
        <f>IFERROR(__xludf.DUMMYFUNCTION("XLOOKUP(C695, 
   IMPORTRANGE(""1RdEdgHYrZ33LJ7RUHj_h-qkAFL92bcVjtIdVa-UlsCw"", ""Interns!D:D""), 
   IMPORTRANGE(""1RdEdgHYrZ33LJ7RUHj_h-qkAFL92bcVjtIdVa-UlsCw"", ""Interns!O:O""), 
   ""Not Found"")"),"")</f>
        <v/>
      </c>
      <c r="AN695" s="23"/>
      <c r="AO695" s="23" t="s">
        <v>9818</v>
      </c>
      <c r="AP695" s="28" t="s">
        <v>5182</v>
      </c>
      <c r="AQ695" s="28" t="s">
        <v>9819</v>
      </c>
      <c r="AR695" s="23" t="s">
        <v>9820</v>
      </c>
      <c r="AS695" s="23"/>
      <c r="AT695" s="23"/>
      <c r="AU695" s="23"/>
      <c r="AV695" s="23"/>
    </row>
    <row r="696">
      <c r="A696" s="28" t="s">
        <v>5202</v>
      </c>
      <c r="B696" s="28" t="s">
        <v>5162</v>
      </c>
      <c r="C696" s="23" t="str">
        <f t="shared" si="1"/>
        <v>Mauricio Javier</v>
      </c>
      <c r="D696" s="28" t="s">
        <v>9821</v>
      </c>
      <c r="E696" s="28" t="s">
        <v>8018</v>
      </c>
      <c r="F696" s="23">
        <f t="array" ref="F696">IFERROR(
    INDEX('Hub Interns 226'!A:A, MATCH(C696, 'Hub Interns 226'!B:B, 0)),"")</f>
        <v>903</v>
      </c>
      <c r="G696" s="23">
        <f t="array" ref="G696">IFERROR(
    INDEX('Hub Users 226'!A:A, MATCH(C696, 'Hub Users 226'!B:B, 0)),"")</f>
        <v>1336</v>
      </c>
      <c r="H696" s="28">
        <v>1300.0</v>
      </c>
      <c r="I696" s="28" t="s">
        <v>260</v>
      </c>
      <c r="J696" s="28" t="s">
        <v>9536</v>
      </c>
      <c r="K696" s="28" t="s">
        <v>5177</v>
      </c>
      <c r="L696" s="28" t="s">
        <v>5165</v>
      </c>
      <c r="M696" s="56" t="s">
        <v>9822</v>
      </c>
      <c r="N696" s="59">
        <v>44846.552083333336</v>
      </c>
      <c r="O696" s="58">
        <v>38902.0</v>
      </c>
      <c r="P696" s="28">
        <f t="shared" si="20"/>
        <v>19</v>
      </c>
      <c r="Q696" s="28" t="s">
        <v>240</v>
      </c>
      <c r="R696" s="28" t="s">
        <v>9823</v>
      </c>
      <c r="S696" s="28">
        <v>15.0</v>
      </c>
      <c r="T696" s="28">
        <v>32.0</v>
      </c>
      <c r="U696" s="28">
        <v>86.0</v>
      </c>
      <c r="V696" s="28">
        <v>15.0</v>
      </c>
      <c r="W696" s="28" t="s">
        <v>859</v>
      </c>
      <c r="X696" s="28" t="s">
        <v>272</v>
      </c>
      <c r="Y696" s="28" t="s">
        <v>9824</v>
      </c>
      <c r="Z696" s="28" t="s">
        <v>5918</v>
      </c>
      <c r="AA696" s="28" t="s">
        <v>477</v>
      </c>
      <c r="AB696" s="28">
        <v>15.0</v>
      </c>
      <c r="AC696" s="28" t="s">
        <v>23</v>
      </c>
      <c r="AD696" s="28" t="s">
        <v>101</v>
      </c>
      <c r="AE696" s="28" t="s">
        <v>15</v>
      </c>
      <c r="AF696" s="23"/>
      <c r="AG696" s="23"/>
      <c r="AH696" s="23" t="str">
        <f>IFERROR(__xludf.DUMMYFUNCTION("IF(
ISNUMBER(MATCH(
C696,
IMPORTRANGE(""https://docs.google.com/spreadsheets/d/1yTh1ELC33JHYOeEdgIiEclxPRyh0zOKtlawDltfUay8"",""'Interns'!A:A""),
0
)),
""Outreach Conducted"",
"""")"),"")</f>
        <v/>
      </c>
      <c r="AI696" s="23"/>
      <c r="AJ696" s="23"/>
      <c r="AK696" s="23" t="str">
        <f>IFERROR(__xludf.DUMMYFUNCTION("XLOOKUP(C696, 
   IMPORTRANGE(""1RdEdgHYrZ33LJ7RUHj_h-qkAFL92bcVjtIdVa-UlsCw"", ""Interns!D:D""), 
   IMPORTRANGE(""1RdEdgHYrZ33LJ7RUHj_h-qkAFL92bcVjtIdVa-UlsCw"", ""Interns!M:M""), 
   ""Not Found"")"),"")</f>
        <v/>
      </c>
      <c r="AL696" s="23" t="str">
        <f>IFERROR(__xludf.DUMMYFUNCTION("XLOOKUP(C696, 
   IMPORTRANGE(""1RdEdgHYrZ33LJ7RUHj_h-qkAFL92bcVjtIdVa-UlsCw"", ""Interns!D:D""), 
   IMPORTRANGE(""1RdEdgHYrZ33LJ7RUHj_h-qkAFL92bcVjtIdVa-UlsCw"", ""Interns!N:N""), 
   ""Not Found"")"),"")</f>
        <v/>
      </c>
      <c r="AM696" s="23" t="str">
        <f>IFERROR(__xludf.DUMMYFUNCTION("XLOOKUP(C696, 
   IMPORTRANGE(""1RdEdgHYrZ33LJ7RUHj_h-qkAFL92bcVjtIdVa-UlsCw"", ""Interns!D:D""), 
   IMPORTRANGE(""1RdEdgHYrZ33LJ7RUHj_h-qkAFL92bcVjtIdVa-UlsCw"", ""Interns!O:O""), 
   ""Not Found"")"),"")</f>
        <v/>
      </c>
      <c r="AN696" s="23"/>
      <c r="AO696" s="23" t="s">
        <v>9825</v>
      </c>
      <c r="AP696" s="28" t="s">
        <v>5173</v>
      </c>
      <c r="AQ696" s="28"/>
      <c r="AR696" s="23"/>
      <c r="AS696" s="23"/>
      <c r="AT696" s="23"/>
      <c r="AU696" s="23"/>
      <c r="AV696" s="23"/>
    </row>
    <row r="697">
      <c r="A697" s="28" t="s">
        <v>5161</v>
      </c>
      <c r="B697" s="28" t="s">
        <v>5162</v>
      </c>
      <c r="C697" s="23" t="str">
        <f t="shared" si="1"/>
        <v>Israel Cumina Cumina</v>
      </c>
      <c r="D697" s="28" t="s">
        <v>9826</v>
      </c>
      <c r="E697" s="28" t="s">
        <v>9827</v>
      </c>
      <c r="F697" s="23">
        <f t="array" ref="F697">IFERROR(
    INDEX('Hub Interns 226'!A:A, MATCH(C697, 'Hub Interns 226'!B:B, 0)),"")</f>
        <v>603</v>
      </c>
      <c r="G697" s="23">
        <f t="array" ref="G697">IFERROR(
    INDEX('Hub Users 226'!A:A, MATCH(C697, 'Hub Users 226'!B:B, 0)),"")</f>
        <v>1036</v>
      </c>
      <c r="H697" s="28">
        <v>1611.0</v>
      </c>
      <c r="I697" s="28"/>
      <c r="J697" s="28" t="s">
        <v>2388</v>
      </c>
      <c r="K697" s="28" t="s">
        <v>5463</v>
      </c>
      <c r="L697" s="28" t="s">
        <v>5165</v>
      </c>
      <c r="M697" s="56" t="s">
        <v>9828</v>
      </c>
      <c r="N697" s="57">
        <v>45072.52291666667</v>
      </c>
      <c r="O697" s="58">
        <v>40215.0</v>
      </c>
      <c r="P697" s="28">
        <f t="shared" si="20"/>
        <v>16</v>
      </c>
      <c r="Q697" s="28" t="s">
        <v>240</v>
      </c>
      <c r="R697" s="28" t="s">
        <v>9829</v>
      </c>
      <c r="S697" s="28"/>
      <c r="T697" s="28"/>
      <c r="U697" s="28"/>
      <c r="V697" s="28"/>
      <c r="W697" s="28" t="s">
        <v>294</v>
      </c>
      <c r="X697" s="28" t="s">
        <v>272</v>
      </c>
      <c r="Y697" s="28" t="s">
        <v>9830</v>
      </c>
      <c r="Z697" s="28" t="s">
        <v>5352</v>
      </c>
      <c r="AA697" s="28" t="s">
        <v>5287</v>
      </c>
      <c r="AB697" s="28">
        <v>26.0</v>
      </c>
      <c r="AC697" s="28" t="s">
        <v>23</v>
      </c>
      <c r="AD697" s="23"/>
      <c r="AE697" s="28" t="s">
        <v>15</v>
      </c>
      <c r="AF697" s="23"/>
      <c r="AG697" s="23"/>
      <c r="AH697" s="23" t="str">
        <f>IFERROR(__xludf.DUMMYFUNCTION("IF(
ISNUMBER(MATCH(
C697,
IMPORTRANGE(""https://docs.google.com/spreadsheets/d/1yTh1ELC33JHYOeEdgIiEclxPRyh0zOKtlawDltfUay8"",""'Interns'!A:A""),
0
)),
""Outreach Conducted"",
"""")"),"")</f>
        <v/>
      </c>
      <c r="AI697" s="23"/>
      <c r="AJ697" s="23"/>
      <c r="AK697" s="23" t="str">
        <f>IFERROR(__xludf.DUMMYFUNCTION("XLOOKUP(C697, 
   IMPORTRANGE(""1RdEdgHYrZ33LJ7RUHj_h-qkAFL92bcVjtIdVa-UlsCw"", ""Interns!D:D""), 
   IMPORTRANGE(""1RdEdgHYrZ33LJ7RUHj_h-qkAFL92bcVjtIdVa-UlsCw"", ""Interns!M:M""), 
   ""Not Found"")"),"Contacted")</f>
        <v>Contacted</v>
      </c>
      <c r="AL697" s="23" t="str">
        <f>IFERROR(__xludf.DUMMYFUNCTION("XLOOKUP(C697, 
   IMPORTRANGE(""1RdEdgHYrZ33LJ7RUHj_h-qkAFL92bcVjtIdVa-UlsCw"", ""Interns!D:D""), 
   IMPORTRANGE(""1RdEdgHYrZ33LJ7RUHj_h-qkAFL92bcVjtIdVa-UlsCw"", ""Interns!N:N""), 
   ""Not Found"")"),"#Cheers4Careers")</f>
        <v>#Cheers4Careers</v>
      </c>
      <c r="AM697" s="23" t="str">
        <f>IFERROR(__xludf.DUMMYFUNCTION("XLOOKUP(C697, 
   IMPORTRANGE(""1RdEdgHYrZ33LJ7RUHj_h-qkAFL92bcVjtIdVa-UlsCw"", ""Interns!D:D""), 
   IMPORTRANGE(""1RdEdgHYrZ33LJ7RUHj_h-qkAFL92bcVjtIdVa-UlsCw"", ""Interns!O:O""), 
   ""Not Found"")"),"Hetal reached out by email 3/27")</f>
        <v>Hetal reached out by email 3/27</v>
      </c>
      <c r="AN697" s="23"/>
      <c r="AO697" s="23" t="s">
        <v>9831</v>
      </c>
      <c r="AP697" s="28" t="s">
        <v>5182</v>
      </c>
      <c r="AQ697" s="28"/>
      <c r="AR697" s="23"/>
      <c r="AS697" s="23"/>
      <c r="AT697" s="23"/>
      <c r="AU697" s="23"/>
      <c r="AV697" s="23"/>
    </row>
    <row r="698">
      <c r="A698" s="28" t="s">
        <v>5161</v>
      </c>
      <c r="B698" s="28" t="s">
        <v>5162</v>
      </c>
      <c r="C698" s="23" t="str">
        <f t="shared" si="1"/>
        <v>Israel Cumina</v>
      </c>
      <c r="D698" s="28" t="s">
        <v>8270</v>
      </c>
      <c r="E698" s="28" t="s">
        <v>9827</v>
      </c>
      <c r="F698" s="23">
        <f t="array" ref="F698">IFERROR(
    INDEX('Hub Interns 226'!A:A, MATCH(C698, 'Hub Interns 226'!B:B, 0)),"")</f>
        <v>1762</v>
      </c>
      <c r="G698" s="23">
        <f t="array" ref="G698">IFERROR(
    INDEX('Hub Users 226'!A:A, MATCH(C698, 'Hub Users 226'!B:B, 0)),"")</f>
        <v>2592</v>
      </c>
      <c r="H698" s="28">
        <v>1723.0</v>
      </c>
      <c r="I698" s="28" t="s">
        <v>269</v>
      </c>
      <c r="J698" s="28" t="s">
        <v>2388</v>
      </c>
      <c r="K698" s="28" t="s">
        <v>5463</v>
      </c>
      <c r="L698" s="28" t="s">
        <v>5165</v>
      </c>
      <c r="M698" s="56" t="s">
        <v>9832</v>
      </c>
      <c r="N698" s="57">
        <v>45266.583333333336</v>
      </c>
      <c r="O698" s="58">
        <v>40215.0</v>
      </c>
      <c r="P698" s="28">
        <f t="shared" si="20"/>
        <v>16</v>
      </c>
      <c r="Q698" s="28" t="s">
        <v>240</v>
      </c>
      <c r="R698" s="28" t="s">
        <v>4573</v>
      </c>
      <c r="S698" s="28"/>
      <c r="T698" s="28"/>
      <c r="U698" s="28"/>
      <c r="V698" s="28"/>
      <c r="W698" s="28" t="s">
        <v>294</v>
      </c>
      <c r="X698" s="28" t="s">
        <v>272</v>
      </c>
      <c r="Y698" s="28" t="s">
        <v>9830</v>
      </c>
      <c r="Z698" s="28" t="s">
        <v>5352</v>
      </c>
      <c r="AA698" s="28" t="s">
        <v>5287</v>
      </c>
      <c r="AB698" s="28">
        <v>26.0</v>
      </c>
      <c r="AC698" s="28" t="s">
        <v>27</v>
      </c>
      <c r="AD698" s="23"/>
      <c r="AE698" s="28" t="s">
        <v>18</v>
      </c>
      <c r="AF698" s="23"/>
      <c r="AG698" s="23"/>
      <c r="AH698" s="23" t="str">
        <f>IFERROR(__xludf.DUMMYFUNCTION("IF(
ISNUMBER(MATCH(
C698,
IMPORTRANGE(""https://docs.google.com/spreadsheets/d/1yTh1ELC33JHYOeEdgIiEclxPRyh0zOKtlawDltfUay8"",""'Interns'!A:A""),
0
)),
""Outreach Conducted"",
"""")"),"")</f>
        <v/>
      </c>
      <c r="AI698" s="23"/>
      <c r="AJ698" s="23"/>
      <c r="AK698" s="23" t="str">
        <f>IFERROR(__xludf.DUMMYFUNCTION("XLOOKUP(C698, 
   IMPORTRANGE(""1RdEdgHYrZ33LJ7RUHj_h-qkAFL92bcVjtIdVa-UlsCw"", ""Interns!D:D""), 
   IMPORTRANGE(""1RdEdgHYrZ33LJ7RUHj_h-qkAFL92bcVjtIdVa-UlsCw"", ""Interns!M:M""), 
   ""Not Found"")"),"Contacted")</f>
        <v>Contacted</v>
      </c>
      <c r="AL698" s="23" t="str">
        <f>IFERROR(__xludf.DUMMYFUNCTION("XLOOKUP(C698, 
   IMPORTRANGE(""1RdEdgHYrZ33LJ7RUHj_h-qkAFL92bcVjtIdVa-UlsCw"", ""Interns!D:D""), 
   IMPORTRANGE(""1RdEdgHYrZ33LJ7RUHj_h-qkAFL92bcVjtIdVa-UlsCw"", ""Interns!N:N""), 
   ""Not Found"")"),"#Cheers4Careers")</f>
        <v>#Cheers4Careers</v>
      </c>
      <c r="AM698" s="23" t="str">
        <f>IFERROR(__xludf.DUMMYFUNCTION("XLOOKUP(C698, 
   IMPORTRANGE(""1RdEdgHYrZ33LJ7RUHj_h-qkAFL92bcVjtIdVa-UlsCw"", ""Interns!D:D""), 
   IMPORTRANGE(""1RdEdgHYrZ33LJ7RUHj_h-qkAFL92bcVjtIdVa-UlsCw"", ""Interns!O:O""), 
   ""Not Found"")"),"Hetal reached out by email 3/27")</f>
        <v>Hetal reached out by email 3/27</v>
      </c>
      <c r="AN698" s="23"/>
      <c r="AO698" s="23" t="s">
        <v>9831</v>
      </c>
      <c r="AP698" s="28" t="s">
        <v>5182</v>
      </c>
      <c r="AQ698" s="28"/>
      <c r="AR698" s="23"/>
      <c r="AS698" s="23"/>
      <c r="AT698" s="23"/>
      <c r="AU698" s="23"/>
      <c r="AV698" s="23"/>
    </row>
    <row r="699">
      <c r="A699" s="28" t="s">
        <v>5161</v>
      </c>
      <c r="B699" s="28" t="s">
        <v>31</v>
      </c>
      <c r="C699" s="23" t="str">
        <f t="shared" si="1"/>
        <v>Avril Mejia</v>
      </c>
      <c r="D699" s="28" t="s">
        <v>9833</v>
      </c>
      <c r="E699" s="28" t="s">
        <v>8263</v>
      </c>
      <c r="F699" s="23">
        <f t="array" ref="F699">IFERROR(
    INDEX('Hub Interns 226'!A:A, MATCH(C699, 'Hub Interns 226'!B:B, 0)),"")</f>
        <v>1393</v>
      </c>
      <c r="G699" s="23">
        <f t="array" ref="G699">IFERROR(
    INDEX('Hub Users 226'!A:A, MATCH(C699, 'Hub Users 226'!B:B, 0)),"")</f>
        <v>1949</v>
      </c>
      <c r="H699" s="28">
        <v>717.0</v>
      </c>
      <c r="I699" s="28" t="s">
        <v>260</v>
      </c>
      <c r="J699" s="28"/>
      <c r="K699" s="28"/>
      <c r="L699" s="28" t="s">
        <v>5196</v>
      </c>
      <c r="M699" s="56" t="s">
        <v>8264</v>
      </c>
      <c r="N699" s="59">
        <v>44547.64444444444</v>
      </c>
      <c r="O699" s="58">
        <v>37588.0</v>
      </c>
      <c r="P699" s="28">
        <f t="shared" si="20"/>
        <v>23</v>
      </c>
      <c r="Q699" s="28" t="s">
        <v>9834</v>
      </c>
      <c r="R699" s="28" t="s">
        <v>9835</v>
      </c>
      <c r="S699" s="28"/>
      <c r="T699" s="28"/>
      <c r="U699" s="28"/>
      <c r="V699" s="28"/>
      <c r="W699" s="28" t="s">
        <v>859</v>
      </c>
      <c r="X699" s="28" t="s">
        <v>272</v>
      </c>
      <c r="Y699" s="28" t="s">
        <v>8266</v>
      </c>
      <c r="Z699" s="28" t="s">
        <v>5259</v>
      </c>
      <c r="AA699" s="28" t="s">
        <v>704</v>
      </c>
      <c r="AB699" s="28">
        <v>2.0</v>
      </c>
      <c r="AC699" s="28" t="s">
        <v>28</v>
      </c>
      <c r="AD699" s="23"/>
      <c r="AE699" s="28" t="s">
        <v>10</v>
      </c>
      <c r="AF699" s="23"/>
      <c r="AG699" s="23"/>
      <c r="AH699" s="23" t="str">
        <f>IFERROR(__xludf.DUMMYFUNCTION("IF(
ISNUMBER(MATCH(
C699,
IMPORTRANGE(""https://docs.google.com/spreadsheets/d/1yTh1ELC33JHYOeEdgIiEclxPRyh0zOKtlawDltfUay8"",""'Interns'!A:A""),
0
)),
""Outreach Conducted"",
"""")"),"")</f>
        <v/>
      </c>
      <c r="AI699" s="23"/>
      <c r="AJ699" s="23"/>
      <c r="AK699" s="23" t="str">
        <f>IFERROR(__xludf.DUMMYFUNCTION("XLOOKUP(C699, 
   IMPORTRANGE(""1RdEdgHYrZ33LJ7RUHj_h-qkAFL92bcVjtIdVa-UlsCw"", ""Interns!D:D""), 
   IMPORTRANGE(""1RdEdgHYrZ33LJ7RUHj_h-qkAFL92bcVjtIdVa-UlsCw"", ""Interns!M:M""), 
   ""Not Found"")"),"")</f>
        <v/>
      </c>
      <c r="AL699" s="23" t="str">
        <f>IFERROR(__xludf.DUMMYFUNCTION("XLOOKUP(C699, 
   IMPORTRANGE(""1RdEdgHYrZ33LJ7RUHj_h-qkAFL92bcVjtIdVa-UlsCw"", ""Interns!D:D""), 
   IMPORTRANGE(""1RdEdgHYrZ33LJ7RUHj_h-qkAFL92bcVjtIdVa-UlsCw"", ""Interns!N:N""), 
   ""Not Found"")"),"")</f>
        <v/>
      </c>
      <c r="AM699" s="23" t="str">
        <f>IFERROR(__xludf.DUMMYFUNCTION("XLOOKUP(C699, 
   IMPORTRANGE(""1RdEdgHYrZ33LJ7RUHj_h-qkAFL92bcVjtIdVa-UlsCw"", ""Interns!D:D""), 
   IMPORTRANGE(""1RdEdgHYrZ33LJ7RUHj_h-qkAFL92bcVjtIdVa-UlsCw"", ""Interns!O:O""), 
   ""Not Found"")"),"")</f>
        <v/>
      </c>
      <c r="AN699" s="23"/>
      <c r="AO699" s="23" t="s">
        <v>4325</v>
      </c>
      <c r="AP699" s="28" t="s">
        <v>5182</v>
      </c>
      <c r="AQ699" s="28" t="s">
        <v>8268</v>
      </c>
      <c r="AR699" s="23" t="s">
        <v>9836</v>
      </c>
      <c r="AS699" s="23"/>
      <c r="AT699" s="23"/>
      <c r="AU699" s="23"/>
      <c r="AV699" s="23"/>
    </row>
    <row r="700">
      <c r="A700" s="28" t="s">
        <v>5161</v>
      </c>
      <c r="B700" s="28" t="s">
        <v>31</v>
      </c>
      <c r="C700" s="23" t="str">
        <f t="shared" si="1"/>
        <v>Carlos. Martinez</v>
      </c>
      <c r="D700" s="28" t="s">
        <v>9837</v>
      </c>
      <c r="E700" s="28" t="s">
        <v>2010</v>
      </c>
      <c r="F700" s="23">
        <f t="array" ref="F700">IFERROR(
    INDEX('Hub Interns 226'!A:A, MATCH("Carlos Martinez", 'Hub Interns 226'!B:B, 0)),"")</f>
        <v>337</v>
      </c>
      <c r="G700" s="23">
        <f t="array" ref="G700">IFERROR(
    INDEX('Hub Users 226'!A:A, MATCH("Carlos Martinez", 'Hub Users 226'!B:B, 0)),"")</f>
        <v>770</v>
      </c>
      <c r="H700" s="28">
        <v>1725.0</v>
      </c>
      <c r="I700" s="28"/>
      <c r="J700" s="28"/>
      <c r="K700" s="28"/>
      <c r="L700" s="28" t="s">
        <v>5165</v>
      </c>
      <c r="M700" s="56" t="s">
        <v>9838</v>
      </c>
      <c r="N700" s="57">
        <v>45266.58472222222</v>
      </c>
      <c r="O700" s="58">
        <v>40423.0</v>
      </c>
      <c r="P700" s="28">
        <f t="shared" si="20"/>
        <v>15</v>
      </c>
      <c r="Q700" s="28" t="s">
        <v>240</v>
      </c>
      <c r="R700" s="28" t="s">
        <v>9839</v>
      </c>
      <c r="S700" s="28"/>
      <c r="T700" s="28"/>
      <c r="U700" s="28"/>
      <c r="V700" s="28"/>
      <c r="W700" s="28" t="s">
        <v>1173</v>
      </c>
      <c r="X700" s="28" t="s">
        <v>272</v>
      </c>
      <c r="Y700" s="28" t="s">
        <v>5351</v>
      </c>
      <c r="Z700" s="28" t="s">
        <v>5352</v>
      </c>
      <c r="AA700" s="28" t="s">
        <v>5287</v>
      </c>
      <c r="AB700" s="28">
        <v>26.0</v>
      </c>
      <c r="AC700" s="28" t="s">
        <v>27</v>
      </c>
      <c r="AD700" s="23"/>
      <c r="AE700" s="28" t="s">
        <v>18</v>
      </c>
      <c r="AF700" s="23"/>
      <c r="AG700" s="23"/>
      <c r="AH700" s="23" t="str">
        <f>IFERROR(__xludf.DUMMYFUNCTION("IF(
ISNUMBER(MATCH(
C700,
IMPORTRANGE(""https://docs.google.com/spreadsheets/d/1yTh1ELC33JHYOeEdgIiEclxPRyh0zOKtlawDltfUay8"",""'Interns'!A:A""),
0
)),
""Outreach Conducted"",
"""")"),"")</f>
        <v/>
      </c>
      <c r="AI700" s="23"/>
      <c r="AJ700" s="23"/>
      <c r="AK700" s="23" t="str">
        <f>IFERROR(__xludf.DUMMYFUNCTION("XLOOKUP(C700, 
   IMPORTRANGE(""1RdEdgHYrZ33LJ7RUHj_h-qkAFL92bcVjtIdVa-UlsCw"", ""Interns!D:D""), 
   IMPORTRANGE(""1RdEdgHYrZ33LJ7RUHj_h-qkAFL92bcVjtIdVa-UlsCw"", ""Interns!M:M""), 
   ""Not Found"")"),"")</f>
        <v/>
      </c>
      <c r="AL700" s="23" t="str">
        <f>IFERROR(__xludf.DUMMYFUNCTION("XLOOKUP(C700, 
   IMPORTRANGE(""1RdEdgHYrZ33LJ7RUHj_h-qkAFL92bcVjtIdVa-UlsCw"", ""Interns!D:D""), 
   IMPORTRANGE(""1RdEdgHYrZ33LJ7RUHj_h-qkAFL92bcVjtIdVa-UlsCw"", ""Interns!N:N""), 
   ""Not Found"")"),"")</f>
        <v/>
      </c>
      <c r="AM700" s="23" t="str">
        <f>IFERROR(__xludf.DUMMYFUNCTION("XLOOKUP(C700, 
   IMPORTRANGE(""1RdEdgHYrZ33LJ7RUHj_h-qkAFL92bcVjtIdVa-UlsCw"", ""Interns!D:D""), 
   IMPORTRANGE(""1RdEdgHYrZ33LJ7RUHj_h-qkAFL92bcVjtIdVa-UlsCw"", ""Interns!O:O""), 
   ""Not Found"")"),"")</f>
        <v/>
      </c>
      <c r="AN700" s="23"/>
      <c r="AO700" s="23" t="s">
        <v>9840</v>
      </c>
      <c r="AP700" s="28" t="s">
        <v>5641</v>
      </c>
      <c r="AQ700" s="28"/>
      <c r="AR700" s="23"/>
      <c r="AS700" s="23"/>
      <c r="AT700" s="23"/>
      <c r="AU700" s="23"/>
      <c r="AV700" s="23"/>
    </row>
    <row r="701">
      <c r="A701" s="28" t="s">
        <v>5161</v>
      </c>
      <c r="B701" s="28" t="s">
        <v>5162</v>
      </c>
      <c r="C701" s="23" t="str">
        <f t="shared" si="1"/>
        <v>Johana Tuapanta</v>
      </c>
      <c r="D701" s="28" t="s">
        <v>8762</v>
      </c>
      <c r="E701" s="28" t="s">
        <v>8763</v>
      </c>
      <c r="F701" s="23">
        <f t="array" ref="F701">IFERROR(
    INDEX('Hub Interns 226'!A:A, MATCH(C701, 'Hub Interns 226'!B:B, 0)),"")</f>
        <v>676</v>
      </c>
      <c r="G701" s="23">
        <f t="array" ref="G701">IFERROR(
    INDEX('Hub Users 226'!A:A, MATCH(C701, 'Hub Users 226'!B:B, 0)),"")</f>
        <v>1109</v>
      </c>
      <c r="H701" s="28">
        <v>1726.0</v>
      </c>
      <c r="I701" s="28"/>
      <c r="J701" s="28" t="s">
        <v>2388</v>
      </c>
      <c r="K701" s="28" t="s">
        <v>5463</v>
      </c>
      <c r="L701" s="28" t="s">
        <v>5196</v>
      </c>
      <c r="M701" s="56" t="s">
        <v>9841</v>
      </c>
      <c r="N701" s="57">
        <v>45266.58541666667</v>
      </c>
      <c r="O701" s="58">
        <v>40197.0</v>
      </c>
      <c r="P701" s="28">
        <f t="shared" si="20"/>
        <v>16</v>
      </c>
      <c r="Q701" s="28" t="s">
        <v>240</v>
      </c>
      <c r="R701" s="28" t="s">
        <v>9842</v>
      </c>
      <c r="S701" s="28"/>
      <c r="T701" s="28"/>
      <c r="U701" s="28"/>
      <c r="V701" s="28"/>
      <c r="W701" s="23"/>
      <c r="X701" s="23"/>
      <c r="Y701" s="28" t="s">
        <v>5351</v>
      </c>
      <c r="Z701" s="28" t="s">
        <v>5352</v>
      </c>
      <c r="AA701" s="28" t="s">
        <v>5287</v>
      </c>
      <c r="AB701" s="28">
        <v>26.0</v>
      </c>
      <c r="AC701" s="28" t="s">
        <v>27</v>
      </c>
      <c r="AD701" s="23"/>
      <c r="AE701" s="28" t="s">
        <v>18</v>
      </c>
      <c r="AF701" s="23"/>
      <c r="AG701" s="23"/>
      <c r="AH701" s="23" t="str">
        <f>IFERROR(__xludf.DUMMYFUNCTION("IF(
ISNUMBER(MATCH(
C701,
IMPORTRANGE(""https://docs.google.com/spreadsheets/d/1yTh1ELC33JHYOeEdgIiEclxPRyh0zOKtlawDltfUay8"",""'Interns'!A:A""),
0
)),
""Outreach Conducted"",
"""")"),"")</f>
        <v/>
      </c>
      <c r="AI701" s="23"/>
      <c r="AJ701" s="23"/>
      <c r="AK701" s="23" t="str">
        <f>IFERROR(__xludf.DUMMYFUNCTION("XLOOKUP(C701, 
   IMPORTRANGE(""1RdEdgHYrZ33LJ7RUHj_h-qkAFL92bcVjtIdVa-UlsCw"", ""Interns!D:D""), 
   IMPORTRANGE(""1RdEdgHYrZ33LJ7RUHj_h-qkAFL92bcVjtIdVa-UlsCw"", ""Interns!M:M""), 
   ""Not Found"")"),"Contacted")</f>
        <v>Contacted</v>
      </c>
      <c r="AL701" s="23" t="str">
        <f>IFERROR(__xludf.DUMMYFUNCTION("XLOOKUP(C701, 
   IMPORTRANGE(""1RdEdgHYrZ33LJ7RUHj_h-qkAFL92bcVjtIdVa-UlsCw"", ""Interns!D:D""), 
   IMPORTRANGE(""1RdEdgHYrZ33LJ7RUHj_h-qkAFL92bcVjtIdVa-UlsCw"", ""Interns!N:N""), 
   ""Not Found"")"),"#Cheers4Careers")</f>
        <v>#Cheers4Careers</v>
      </c>
      <c r="AM701" s="23" t="str">
        <f>IFERROR(__xludf.DUMMYFUNCTION("XLOOKUP(C701, 
   IMPORTRANGE(""1RdEdgHYrZ33LJ7RUHj_h-qkAFL92bcVjtIdVa-UlsCw"", ""Interns!D:D""), 
   IMPORTRANGE(""1RdEdgHYrZ33LJ7RUHj_h-qkAFL92bcVjtIdVa-UlsCw"", ""Interns!O:O""), 
   ""Not Found"")"),"Hetal reached out by email 3/27")</f>
        <v>Hetal reached out by email 3/27</v>
      </c>
      <c r="AN701" s="23"/>
      <c r="AO701" s="23" t="s">
        <v>9843</v>
      </c>
      <c r="AP701" s="28" t="s">
        <v>5182</v>
      </c>
      <c r="AQ701" s="28"/>
      <c r="AR701" s="23"/>
      <c r="AS701" s="23"/>
      <c r="AT701" s="23"/>
      <c r="AU701" s="23"/>
      <c r="AV701" s="23"/>
    </row>
    <row r="702">
      <c r="A702" s="28" t="s">
        <v>5161</v>
      </c>
      <c r="B702" s="28" t="s">
        <v>5162</v>
      </c>
      <c r="C702" s="23" t="str">
        <f t="shared" si="1"/>
        <v>Lionel Hipo</v>
      </c>
      <c r="D702" s="22" t="s">
        <v>9844</v>
      </c>
      <c r="E702" s="22" t="s">
        <v>9845</v>
      </c>
      <c r="F702" s="23"/>
      <c r="G702" s="23"/>
      <c r="H702" s="22">
        <v>2001.0</v>
      </c>
      <c r="I702" s="28"/>
      <c r="J702" s="28" t="s">
        <v>2388</v>
      </c>
      <c r="K702" s="28" t="s">
        <v>5463</v>
      </c>
      <c r="L702" s="28" t="s">
        <v>5165</v>
      </c>
      <c r="M702" s="29" t="s">
        <v>9846</v>
      </c>
      <c r="N702" s="63">
        <v>45615.510416666664</v>
      </c>
      <c r="O702" s="25">
        <v>41418.0</v>
      </c>
      <c r="P702" s="28">
        <f t="shared" si="20"/>
        <v>12</v>
      </c>
      <c r="Q702" s="62" t="s">
        <v>9847</v>
      </c>
      <c r="R702" s="22" t="s">
        <v>9848</v>
      </c>
      <c r="S702" s="28"/>
      <c r="T702" s="28"/>
      <c r="U702" s="28"/>
      <c r="V702" s="28"/>
      <c r="W702" s="28" t="s">
        <v>1173</v>
      </c>
      <c r="X702" s="28" t="s">
        <v>272</v>
      </c>
      <c r="Y702" s="64"/>
      <c r="Z702" s="22" t="s">
        <v>5536</v>
      </c>
      <c r="AA702" s="28" t="s">
        <v>5287</v>
      </c>
      <c r="AB702" s="28">
        <v>26.0</v>
      </c>
      <c r="AC702" s="28" t="s">
        <v>27</v>
      </c>
      <c r="AD702" s="23"/>
      <c r="AE702" s="28" t="s">
        <v>19</v>
      </c>
      <c r="AF702" s="23"/>
      <c r="AG702" s="23"/>
      <c r="AH702" s="23" t="str">
        <f>IFERROR(__xludf.DUMMYFUNCTION("IF(
ISNUMBER(MATCH(
C702,
IMPORTRANGE(""https://docs.google.com/spreadsheets/d/1yTh1ELC33JHYOeEdgIiEclxPRyh0zOKtlawDltfUay8"",""'Interns'!A:A""),
0
)),
""Outreach Conducted"",
"""")"),"")</f>
        <v/>
      </c>
      <c r="AI702" s="23"/>
      <c r="AJ702" s="23"/>
      <c r="AK702" s="23" t="str">
        <f>IFERROR(__xludf.DUMMYFUNCTION("XLOOKUP(C702, 
   IMPORTRANGE(""1RdEdgHYrZ33LJ7RUHj_h-qkAFL92bcVjtIdVa-UlsCw"", ""Interns!D:D""), 
   IMPORTRANGE(""1RdEdgHYrZ33LJ7RUHj_h-qkAFL92bcVjtIdVa-UlsCw"", ""Interns!M:M""), 
   ""Not Found"")"),"Not Found")</f>
        <v>Not Found</v>
      </c>
      <c r="AL702" s="23" t="str">
        <f>IFERROR(__xludf.DUMMYFUNCTION("XLOOKUP(C702, 
   IMPORTRANGE(""1RdEdgHYrZ33LJ7RUHj_h-qkAFL92bcVjtIdVa-UlsCw"", ""Interns!D:D""), 
   IMPORTRANGE(""1RdEdgHYrZ33LJ7RUHj_h-qkAFL92bcVjtIdVa-UlsCw"", ""Interns!N:N""), 
   ""Not Found"")"),"Not Found")</f>
        <v>Not Found</v>
      </c>
      <c r="AM702" s="23" t="str">
        <f>IFERROR(__xludf.DUMMYFUNCTION("XLOOKUP(C702, 
   IMPORTRANGE(""1RdEdgHYrZ33LJ7RUHj_h-qkAFL92bcVjtIdVa-UlsCw"", ""Interns!D:D""), 
   IMPORTRANGE(""1RdEdgHYrZ33LJ7RUHj_h-qkAFL92bcVjtIdVa-UlsCw"", ""Interns!O:O""), 
   ""Not Found"")"),"Not Found")</f>
        <v>Not Found</v>
      </c>
      <c r="AN702" s="23"/>
      <c r="AO702" s="23" t="s">
        <v>9849</v>
      </c>
      <c r="AP702" s="28" t="s">
        <v>5191</v>
      </c>
      <c r="AQ702" s="28" t="s">
        <v>9850</v>
      </c>
      <c r="AR702" s="23"/>
      <c r="AS702" s="23"/>
      <c r="AT702" s="23"/>
      <c r="AU702" s="23"/>
      <c r="AV702" s="23"/>
    </row>
    <row r="703">
      <c r="A703" s="28" t="s">
        <v>5161</v>
      </c>
      <c r="B703" s="28" t="s">
        <v>5162</v>
      </c>
      <c r="C703" s="23" t="str">
        <f t="shared" si="1"/>
        <v>Jostyn Loor</v>
      </c>
      <c r="D703" s="28" t="s">
        <v>9851</v>
      </c>
      <c r="E703" s="28" t="s">
        <v>9852</v>
      </c>
      <c r="F703" s="23">
        <f t="array" ref="F703">IFERROR(
    INDEX('Hub Interns 226'!A:A, MATCH(C703, 'Hub Interns 226'!B:B, 0)),"")</f>
        <v>1761</v>
      </c>
      <c r="G703" s="23">
        <f t="array" ref="G703">IFERROR(
    INDEX('Hub Users 226'!A:A, MATCH(C703, 'Hub Users 226'!B:B, 0)),"")</f>
        <v>2591</v>
      </c>
      <c r="H703" s="28">
        <v>1732.0</v>
      </c>
      <c r="I703" s="28"/>
      <c r="J703" s="28" t="s">
        <v>2388</v>
      </c>
      <c r="K703" s="28" t="s">
        <v>5463</v>
      </c>
      <c r="L703" s="28" t="s">
        <v>5165</v>
      </c>
      <c r="M703" s="56" t="s">
        <v>9853</v>
      </c>
      <c r="N703" s="57">
        <v>45266.58819444444</v>
      </c>
      <c r="O703" s="58">
        <v>40396.0</v>
      </c>
      <c r="P703" s="28">
        <f t="shared" si="20"/>
        <v>15</v>
      </c>
      <c r="Q703" s="28" t="s">
        <v>240</v>
      </c>
      <c r="R703" s="28" t="s">
        <v>5368</v>
      </c>
      <c r="S703" s="28"/>
      <c r="T703" s="28"/>
      <c r="U703" s="28"/>
      <c r="V703" s="28"/>
      <c r="W703" s="23"/>
      <c r="X703" s="23"/>
      <c r="Y703" s="28" t="s">
        <v>9854</v>
      </c>
      <c r="Z703" s="28" t="s">
        <v>5352</v>
      </c>
      <c r="AA703" s="28" t="s">
        <v>5287</v>
      </c>
      <c r="AB703" s="28">
        <v>26.0</v>
      </c>
      <c r="AC703" s="28" t="s">
        <v>27</v>
      </c>
      <c r="AD703" s="23"/>
      <c r="AE703" s="28" t="s">
        <v>18</v>
      </c>
      <c r="AF703" s="23"/>
      <c r="AG703" s="23"/>
      <c r="AH703" s="23" t="str">
        <f>IFERROR(__xludf.DUMMYFUNCTION("IF(
ISNUMBER(MATCH(
C703,
IMPORTRANGE(""https://docs.google.com/spreadsheets/d/1yTh1ELC33JHYOeEdgIiEclxPRyh0zOKtlawDltfUay8"",""'Interns'!A:A""),
0
)),
""Outreach Conducted"",
"""")"),"")</f>
        <v/>
      </c>
      <c r="AI703" s="23"/>
      <c r="AJ703" s="23"/>
      <c r="AK703" s="23" t="str">
        <f>IFERROR(__xludf.DUMMYFUNCTION("XLOOKUP(C703, 
   IMPORTRANGE(""1RdEdgHYrZ33LJ7RUHj_h-qkAFL92bcVjtIdVa-UlsCw"", ""Interns!D:D""), 
   IMPORTRANGE(""1RdEdgHYrZ33LJ7RUHj_h-qkAFL92bcVjtIdVa-UlsCw"", ""Interns!M:M""), 
   ""Not Found"")"),"Contacted")</f>
        <v>Contacted</v>
      </c>
      <c r="AL703" s="23" t="str">
        <f>IFERROR(__xludf.DUMMYFUNCTION("XLOOKUP(C703, 
   IMPORTRANGE(""1RdEdgHYrZ33LJ7RUHj_h-qkAFL92bcVjtIdVa-UlsCw"", ""Interns!D:D""), 
   IMPORTRANGE(""1RdEdgHYrZ33LJ7RUHj_h-qkAFL92bcVjtIdVa-UlsCw"", ""Interns!N:N""), 
   ""Not Found"")"),"#Cheers4Careers")</f>
        <v>#Cheers4Careers</v>
      </c>
      <c r="AM703" s="23" t="str">
        <f>IFERROR(__xludf.DUMMYFUNCTION("XLOOKUP(C703, 
   IMPORTRANGE(""1RdEdgHYrZ33LJ7RUHj_h-qkAFL92bcVjtIdVa-UlsCw"", ""Interns!D:D""), 
   IMPORTRANGE(""1RdEdgHYrZ33LJ7RUHj_h-qkAFL92bcVjtIdVa-UlsCw"", ""Interns!O:O""), 
   ""Not Found"")"),"Hetal reached out by email 3/27")</f>
        <v>Hetal reached out by email 3/27</v>
      </c>
      <c r="AN703" s="23"/>
      <c r="AO703" s="23" t="s">
        <v>8810</v>
      </c>
      <c r="AP703" s="28" t="s">
        <v>5182</v>
      </c>
      <c r="AQ703" s="28"/>
      <c r="AR703" s="23"/>
      <c r="AS703" s="23"/>
      <c r="AT703" s="23"/>
      <c r="AU703" s="23"/>
      <c r="AV703" s="23"/>
    </row>
    <row r="704">
      <c r="A704" s="28" t="s">
        <v>5161</v>
      </c>
      <c r="B704" s="28" t="s">
        <v>5162</v>
      </c>
      <c r="C704" s="23" t="str">
        <f t="shared" si="1"/>
        <v>Jheymi Ortiz</v>
      </c>
      <c r="D704" s="28" t="s">
        <v>9855</v>
      </c>
      <c r="E704" s="28" t="s">
        <v>8190</v>
      </c>
      <c r="F704" s="23">
        <f t="array" ref="F704">IFERROR(
    INDEX('Hub Interns 226'!A:A, MATCH("jheymi (Duplicate) ortiz", 'Hub Interns 226'!B:B, 0)),"")</f>
        <v>1751</v>
      </c>
      <c r="G704" s="23">
        <f t="array" ref="G704">IFERROR(
    INDEX('Hub Users 226'!A:A, MATCH("jheymi (Duplicate) ortiz", 'Hub Users 226'!B:B, 0)),"")</f>
        <v>2581</v>
      </c>
      <c r="H704" s="28">
        <v>1744.0</v>
      </c>
      <c r="I704" s="28" t="s">
        <v>260</v>
      </c>
      <c r="J704" s="28" t="s">
        <v>2388</v>
      </c>
      <c r="K704" s="28" t="s">
        <v>5463</v>
      </c>
      <c r="L704" s="28" t="s">
        <v>5196</v>
      </c>
      <c r="M704" s="56" t="s">
        <v>9856</v>
      </c>
      <c r="N704" s="57">
        <v>45267.42083333333</v>
      </c>
      <c r="O704" s="58">
        <v>40283.0</v>
      </c>
      <c r="P704" s="28">
        <f t="shared" si="20"/>
        <v>16</v>
      </c>
      <c r="Q704" s="28" t="s">
        <v>240</v>
      </c>
      <c r="R704" s="28" t="s">
        <v>9857</v>
      </c>
      <c r="S704" s="28"/>
      <c r="T704" s="28"/>
      <c r="U704" s="28"/>
      <c r="V704" s="28"/>
      <c r="W704" s="23"/>
      <c r="X704" s="23"/>
      <c r="Y704" s="28" t="s">
        <v>5351</v>
      </c>
      <c r="Z704" s="28" t="s">
        <v>5352</v>
      </c>
      <c r="AA704" s="28" t="s">
        <v>5287</v>
      </c>
      <c r="AB704" s="28">
        <v>26.0</v>
      </c>
      <c r="AC704" s="28" t="s">
        <v>27</v>
      </c>
      <c r="AD704" s="23"/>
      <c r="AE704" s="28" t="s">
        <v>18</v>
      </c>
      <c r="AF704" s="23"/>
      <c r="AG704" s="23"/>
      <c r="AH704" s="23" t="str">
        <f>IFERROR(__xludf.DUMMYFUNCTION("IF(
ISNUMBER(MATCH(
C704,
IMPORTRANGE(""https://docs.google.com/spreadsheets/d/1yTh1ELC33JHYOeEdgIiEclxPRyh0zOKtlawDltfUay8"",""'Interns'!A:A""),
0
)),
""Outreach Conducted"",
"""")"),"")</f>
        <v/>
      </c>
      <c r="AI704" s="23"/>
      <c r="AJ704" s="23"/>
      <c r="AK704" s="23" t="str">
        <f>IFERROR(__xludf.DUMMYFUNCTION("XLOOKUP(C704, 
   IMPORTRANGE(""1RdEdgHYrZ33LJ7RUHj_h-qkAFL92bcVjtIdVa-UlsCw"", ""Interns!D:D""), 
   IMPORTRANGE(""1RdEdgHYrZ33LJ7RUHj_h-qkAFL92bcVjtIdVa-UlsCw"", ""Interns!M:M""), 
   ""Not Found"")"),"Contacted")</f>
        <v>Contacted</v>
      </c>
      <c r="AL704" s="23" t="str">
        <f>IFERROR(__xludf.DUMMYFUNCTION("XLOOKUP(C704, 
   IMPORTRANGE(""1RdEdgHYrZ33LJ7RUHj_h-qkAFL92bcVjtIdVa-UlsCw"", ""Interns!D:D""), 
   IMPORTRANGE(""1RdEdgHYrZ33LJ7RUHj_h-qkAFL92bcVjtIdVa-UlsCw"", ""Interns!N:N""), 
   ""Not Found"")"),"#Cheers4Careers")</f>
        <v>#Cheers4Careers</v>
      </c>
      <c r="AM704" s="23" t="str">
        <f>IFERROR(__xludf.DUMMYFUNCTION("XLOOKUP(C704, 
   IMPORTRANGE(""1RdEdgHYrZ33LJ7RUHj_h-qkAFL92bcVjtIdVa-UlsCw"", ""Interns!D:D""), 
   IMPORTRANGE(""1RdEdgHYrZ33LJ7RUHj_h-qkAFL92bcVjtIdVa-UlsCw"", ""Interns!O:O""), 
   ""Not Found"")"),"Hetal reached out by email 3/27")</f>
        <v>Hetal reached out by email 3/27</v>
      </c>
      <c r="AN704" s="23"/>
      <c r="AO704" s="23" t="s">
        <v>9858</v>
      </c>
      <c r="AP704" s="28" t="s">
        <v>5182</v>
      </c>
      <c r="AQ704" s="28"/>
      <c r="AR704" s="23"/>
      <c r="AS704" s="23"/>
      <c r="AT704" s="23"/>
      <c r="AU704" s="23"/>
      <c r="AV704" s="23"/>
    </row>
    <row r="705">
      <c r="A705" s="28" t="s">
        <v>5161</v>
      </c>
      <c r="B705" s="28" t="s">
        <v>31</v>
      </c>
      <c r="C705" s="23" t="str">
        <f t="shared" si="1"/>
        <v>Emmanuel Rezil</v>
      </c>
      <c r="D705" s="28" t="s">
        <v>9859</v>
      </c>
      <c r="E705" s="28" t="s">
        <v>9860</v>
      </c>
      <c r="F705" s="23">
        <f t="array" ref="F705">IFERROR(
    INDEX('Hub Interns 226'!A:A, MATCH(C705, 'Hub Interns 226'!B:B, 0)),"")</f>
        <v>41</v>
      </c>
      <c r="G705" s="23">
        <f t="array" ref="G705">IFERROR(
    INDEX('Hub Users 226'!A:A, MATCH(C705, 'Hub Users 226'!B:B, 0)),"")</f>
        <v>474</v>
      </c>
      <c r="H705" s="28">
        <v>716.0</v>
      </c>
      <c r="I705" s="28" t="s">
        <v>290</v>
      </c>
      <c r="J705" s="28"/>
      <c r="K705" s="28"/>
      <c r="L705" s="28" t="s">
        <v>5165</v>
      </c>
      <c r="M705" s="56" t="s">
        <v>9861</v>
      </c>
      <c r="N705" s="59">
        <v>44547.64375</v>
      </c>
      <c r="O705" s="58">
        <v>38607.0</v>
      </c>
      <c r="P705" s="28">
        <f t="shared" si="20"/>
        <v>20</v>
      </c>
      <c r="Q705" s="28" t="s">
        <v>240</v>
      </c>
      <c r="R705" s="28" t="s">
        <v>9862</v>
      </c>
      <c r="S705" s="28"/>
      <c r="T705" s="28"/>
      <c r="U705" s="28"/>
      <c r="V705" s="28"/>
      <c r="W705" s="28" t="s">
        <v>271</v>
      </c>
      <c r="X705" s="28" t="s">
        <v>272</v>
      </c>
      <c r="Y705" s="28" t="s">
        <v>9863</v>
      </c>
      <c r="Z705" s="28" t="s">
        <v>5259</v>
      </c>
      <c r="AA705" s="28" t="s">
        <v>704</v>
      </c>
      <c r="AB705" s="28">
        <v>2.0</v>
      </c>
      <c r="AC705" s="28" t="s">
        <v>28</v>
      </c>
      <c r="AD705" s="23"/>
      <c r="AE705" s="28" t="s">
        <v>10</v>
      </c>
      <c r="AF705" s="23"/>
      <c r="AG705" s="23"/>
      <c r="AH705" s="23" t="str">
        <f>IFERROR(__xludf.DUMMYFUNCTION("IF(
ISNUMBER(MATCH(
C705,
IMPORTRANGE(""https://docs.google.com/spreadsheets/d/1yTh1ELC33JHYOeEdgIiEclxPRyh0zOKtlawDltfUay8"",""'Interns'!A:A""),
0
)),
""Outreach Conducted"",
"""")"),"")</f>
        <v/>
      </c>
      <c r="AI705" s="23"/>
      <c r="AJ705" s="23"/>
      <c r="AK705" s="23" t="str">
        <f>IFERROR(__xludf.DUMMYFUNCTION("XLOOKUP(C705, 
   IMPORTRANGE(""1RdEdgHYrZ33LJ7RUHj_h-qkAFL92bcVjtIdVa-UlsCw"", ""Interns!D:D""), 
   IMPORTRANGE(""1RdEdgHYrZ33LJ7RUHj_h-qkAFL92bcVjtIdVa-UlsCw"", ""Interns!M:M""), 
   ""Not Found"")"),"")</f>
        <v/>
      </c>
      <c r="AL705" s="23" t="str">
        <f>IFERROR(__xludf.DUMMYFUNCTION("XLOOKUP(C705, 
   IMPORTRANGE(""1RdEdgHYrZ33LJ7RUHj_h-qkAFL92bcVjtIdVa-UlsCw"", ""Interns!D:D""), 
   IMPORTRANGE(""1RdEdgHYrZ33LJ7RUHj_h-qkAFL92bcVjtIdVa-UlsCw"", ""Interns!N:N""), 
   ""Not Found"")"),"")</f>
        <v/>
      </c>
      <c r="AM705" s="23" t="str">
        <f>IFERROR(__xludf.DUMMYFUNCTION("XLOOKUP(C705, 
   IMPORTRANGE(""1RdEdgHYrZ33LJ7RUHj_h-qkAFL92bcVjtIdVa-UlsCw"", ""Interns!D:D""), 
   IMPORTRANGE(""1RdEdgHYrZ33LJ7RUHj_h-qkAFL92bcVjtIdVa-UlsCw"", ""Interns!O:O""), 
   ""Not Found"")"),"")</f>
        <v/>
      </c>
      <c r="AN705" s="23"/>
      <c r="AO705" s="23" t="s">
        <v>9864</v>
      </c>
      <c r="AP705" s="28" t="s">
        <v>5191</v>
      </c>
      <c r="AQ705" s="28" t="s">
        <v>9865</v>
      </c>
      <c r="AR705" s="23" t="s">
        <v>9866</v>
      </c>
      <c r="AS705" s="23"/>
      <c r="AT705" s="23"/>
      <c r="AU705" s="23"/>
      <c r="AV705" s="23"/>
    </row>
    <row r="706">
      <c r="A706" s="28" t="s">
        <v>5161</v>
      </c>
      <c r="B706" s="28" t="s">
        <v>5162</v>
      </c>
      <c r="C706" s="23" t="str">
        <f t="shared" si="1"/>
        <v>Domenica Rivera</v>
      </c>
      <c r="D706" s="28" t="s">
        <v>9867</v>
      </c>
      <c r="E706" s="28" t="s">
        <v>1976</v>
      </c>
      <c r="F706" s="23">
        <f t="array" ref="F706">IFERROR(
    INDEX('Hub Interns 226'!A:A, MATCH(C706, 'Hub Interns 226'!B:B, 0)),"")</f>
        <v>1595</v>
      </c>
      <c r="G706" s="23">
        <f t="array" ref="G706">IFERROR(
    INDEX('Hub Users 226'!A:A, MATCH(C706, 'Hub Users 226'!B:B, 0)),"")</f>
        <v>2201</v>
      </c>
      <c r="H706" s="28">
        <v>1740.0</v>
      </c>
      <c r="I706" s="28" t="s">
        <v>269</v>
      </c>
      <c r="J706" s="28" t="s">
        <v>2388</v>
      </c>
      <c r="K706" s="28" t="s">
        <v>5463</v>
      </c>
      <c r="L706" s="28" t="s">
        <v>5196</v>
      </c>
      <c r="M706" s="56" t="s">
        <v>9868</v>
      </c>
      <c r="N706" s="57">
        <v>45266.592361111114</v>
      </c>
      <c r="O706" s="58">
        <v>40444.0</v>
      </c>
      <c r="P706" s="28">
        <f t="shared" si="20"/>
        <v>15</v>
      </c>
      <c r="Q706" s="28" t="s">
        <v>240</v>
      </c>
      <c r="R706" s="28" t="s">
        <v>9869</v>
      </c>
      <c r="S706" s="28"/>
      <c r="T706" s="28"/>
      <c r="U706" s="28"/>
      <c r="V706" s="28"/>
      <c r="W706" s="23"/>
      <c r="X706" s="23"/>
      <c r="Y706" s="28" t="s">
        <v>9870</v>
      </c>
      <c r="Z706" s="28" t="s">
        <v>5352</v>
      </c>
      <c r="AA706" s="28" t="s">
        <v>5287</v>
      </c>
      <c r="AB706" s="28">
        <v>26.0</v>
      </c>
      <c r="AC706" s="28" t="s">
        <v>27</v>
      </c>
      <c r="AD706" s="23"/>
      <c r="AE706" s="28" t="s">
        <v>18</v>
      </c>
      <c r="AF706" s="23"/>
      <c r="AG706" s="23"/>
      <c r="AH706" s="23" t="str">
        <f>IFERROR(__xludf.DUMMYFUNCTION("IF(
ISNUMBER(MATCH(
C706,
IMPORTRANGE(""https://docs.google.com/spreadsheets/d/1yTh1ELC33JHYOeEdgIiEclxPRyh0zOKtlawDltfUay8"",""'Interns'!A:A""),
0
)),
""Outreach Conducted"",
"""")"),"")</f>
        <v/>
      </c>
      <c r="AI706" s="23"/>
      <c r="AJ706" s="23"/>
      <c r="AK706" s="23" t="str">
        <f>IFERROR(__xludf.DUMMYFUNCTION("XLOOKUP(C706, 
   IMPORTRANGE(""1RdEdgHYrZ33LJ7RUHj_h-qkAFL92bcVjtIdVa-UlsCw"", ""Interns!D:D""), 
   IMPORTRANGE(""1RdEdgHYrZ33LJ7RUHj_h-qkAFL92bcVjtIdVa-UlsCw"", ""Interns!M:M""), 
   ""Not Found"")"),"")</f>
        <v/>
      </c>
      <c r="AL706" s="23" t="str">
        <f>IFERROR(__xludf.DUMMYFUNCTION("XLOOKUP(C706, 
   IMPORTRANGE(""1RdEdgHYrZ33LJ7RUHj_h-qkAFL92bcVjtIdVa-UlsCw"", ""Interns!D:D""), 
   IMPORTRANGE(""1RdEdgHYrZ33LJ7RUHj_h-qkAFL92bcVjtIdVa-UlsCw"", ""Interns!N:N""), 
   ""Not Found"")"),"")</f>
        <v/>
      </c>
      <c r="AM706" s="23" t="str">
        <f>IFERROR(__xludf.DUMMYFUNCTION("XLOOKUP(C706, 
   IMPORTRANGE(""1RdEdgHYrZ33LJ7RUHj_h-qkAFL92bcVjtIdVa-UlsCw"", ""Interns!D:D""), 
   IMPORTRANGE(""1RdEdgHYrZ33LJ7RUHj_h-qkAFL92bcVjtIdVa-UlsCw"", ""Interns!O:O""), 
   ""Not Found"")"),"")</f>
        <v/>
      </c>
      <c r="AN706" s="23"/>
      <c r="AO706" s="23" t="s">
        <v>9871</v>
      </c>
      <c r="AP706" s="28" t="s">
        <v>5182</v>
      </c>
      <c r="AQ706" s="28"/>
      <c r="AR706" s="23"/>
      <c r="AS706" s="23"/>
      <c r="AT706" s="23"/>
      <c r="AU706" s="23"/>
      <c r="AV706" s="23"/>
    </row>
    <row r="707">
      <c r="A707" s="28" t="s">
        <v>5161</v>
      </c>
      <c r="B707" s="28" t="s">
        <v>31</v>
      </c>
      <c r="C707" s="23" t="str">
        <f t="shared" si="1"/>
        <v>Gabriel Morris</v>
      </c>
      <c r="D707" s="28" t="s">
        <v>9872</v>
      </c>
      <c r="E707" s="28" t="s">
        <v>9873</v>
      </c>
      <c r="F707" s="23">
        <f t="array" ref="F707">IFERROR(
    INDEX('Hub Interns 226'!A:A, MATCH(C707, 'Hub Interns 226'!B:B, 0)),"")</f>
        <v>42</v>
      </c>
      <c r="G707" s="23">
        <f t="array" ref="G707">IFERROR(
    INDEX('Hub Users 226'!A:A, MATCH(C707, 'Hub Users 226'!B:B, 0)),"")</f>
        <v>475</v>
      </c>
      <c r="H707" s="28">
        <v>832.0</v>
      </c>
      <c r="I707" s="28" t="s">
        <v>107</v>
      </c>
      <c r="J707" s="28"/>
      <c r="K707" s="28"/>
      <c r="L707" s="28" t="s">
        <v>5165</v>
      </c>
      <c r="M707" s="56" t="s">
        <v>9874</v>
      </c>
      <c r="N707" s="57">
        <v>44575.60208333333</v>
      </c>
      <c r="O707" s="58">
        <v>38331.0</v>
      </c>
      <c r="P707" s="28">
        <f t="shared" si="20"/>
        <v>21</v>
      </c>
      <c r="Q707" s="28" t="s">
        <v>240</v>
      </c>
      <c r="R707" s="28" t="s">
        <v>9875</v>
      </c>
      <c r="S707" s="28"/>
      <c r="T707" s="28"/>
      <c r="U707" s="28"/>
      <c r="V707" s="28"/>
      <c r="W707" s="28" t="s">
        <v>271</v>
      </c>
      <c r="X707" s="28" t="s">
        <v>272</v>
      </c>
      <c r="Y707" s="28" t="s">
        <v>9876</v>
      </c>
      <c r="Z707" s="28" t="s">
        <v>5259</v>
      </c>
      <c r="AA707" s="28" t="s">
        <v>704</v>
      </c>
      <c r="AB707" s="28">
        <v>2.0</v>
      </c>
      <c r="AC707" s="28" t="s">
        <v>28</v>
      </c>
      <c r="AD707" s="23"/>
      <c r="AE707" s="28" t="s">
        <v>10</v>
      </c>
      <c r="AF707" s="23"/>
      <c r="AG707" s="23"/>
      <c r="AH707" s="23" t="str">
        <f>IFERROR(__xludf.DUMMYFUNCTION("IF(
ISNUMBER(MATCH(
C707,
IMPORTRANGE(""https://docs.google.com/spreadsheets/d/1yTh1ELC33JHYOeEdgIiEclxPRyh0zOKtlawDltfUay8"",""'Interns'!A:A""),
0
)),
""Outreach Conducted"",
"""")"),"")</f>
        <v/>
      </c>
      <c r="AI707" s="23"/>
      <c r="AJ707" s="23"/>
      <c r="AK707" s="23" t="str">
        <f>IFERROR(__xludf.DUMMYFUNCTION("XLOOKUP(C707, 
   IMPORTRANGE(""1RdEdgHYrZ33LJ7RUHj_h-qkAFL92bcVjtIdVa-UlsCw"", ""Interns!D:D""), 
   IMPORTRANGE(""1RdEdgHYrZ33LJ7RUHj_h-qkAFL92bcVjtIdVa-UlsCw"", ""Interns!M:M""), 
   ""Not Found"")"),"")</f>
        <v/>
      </c>
      <c r="AL707" s="23" t="str">
        <f>IFERROR(__xludf.DUMMYFUNCTION("XLOOKUP(C707, 
   IMPORTRANGE(""1RdEdgHYrZ33LJ7RUHj_h-qkAFL92bcVjtIdVa-UlsCw"", ""Interns!D:D""), 
   IMPORTRANGE(""1RdEdgHYrZ33LJ7RUHj_h-qkAFL92bcVjtIdVa-UlsCw"", ""Interns!N:N""), 
   ""Not Found"")"),"")</f>
        <v/>
      </c>
      <c r="AM707" s="23" t="str">
        <f>IFERROR(__xludf.DUMMYFUNCTION("XLOOKUP(C707, 
   IMPORTRANGE(""1RdEdgHYrZ33LJ7RUHj_h-qkAFL92bcVjtIdVa-UlsCw"", ""Interns!D:D""), 
   IMPORTRANGE(""1RdEdgHYrZ33LJ7RUHj_h-qkAFL92bcVjtIdVa-UlsCw"", ""Interns!O:O""), 
   ""Not Found"")"),"")</f>
        <v/>
      </c>
      <c r="AN707" s="23"/>
      <c r="AO707" s="23" t="s">
        <v>9877</v>
      </c>
      <c r="AP707" s="28" t="s">
        <v>5989</v>
      </c>
      <c r="AQ707" s="28" t="s">
        <v>9874</v>
      </c>
      <c r="AR707" s="23" t="s">
        <v>9878</v>
      </c>
      <c r="AS707" s="23"/>
      <c r="AT707" s="23"/>
      <c r="AU707" s="23"/>
      <c r="AV707" s="23"/>
    </row>
    <row r="708">
      <c r="A708" s="28" t="s">
        <v>5161</v>
      </c>
      <c r="B708" s="28" t="s">
        <v>5162</v>
      </c>
      <c r="C708" s="23" t="str">
        <f t="shared" si="1"/>
        <v>Jason Martinez</v>
      </c>
      <c r="D708" s="28" t="s">
        <v>1676</v>
      </c>
      <c r="E708" s="28" t="s">
        <v>2010</v>
      </c>
      <c r="F708" s="23">
        <f t="array" ref="F708">IFERROR(
    INDEX('Hub Interns 226'!A:A, MATCH(C708, 'Hub Interns 226'!B:B, 0)),"")</f>
        <v>628</v>
      </c>
      <c r="G708" s="23">
        <f t="array" ref="G708">IFERROR(
    INDEX('Hub Users 226'!A:A, MATCH(C708, 'Hub Users 226'!B:B, 0)),"")</f>
        <v>1061</v>
      </c>
      <c r="H708" s="28">
        <v>1372.0</v>
      </c>
      <c r="I708" s="28" t="s">
        <v>1235</v>
      </c>
      <c r="J708" s="28" t="s">
        <v>2388</v>
      </c>
      <c r="K708" s="28" t="s">
        <v>5463</v>
      </c>
      <c r="L708" s="28" t="s">
        <v>5165</v>
      </c>
      <c r="M708" s="56" t="s">
        <v>9879</v>
      </c>
      <c r="N708" s="59">
        <v>44860.44583333333</v>
      </c>
      <c r="O708" s="58">
        <v>38765.0</v>
      </c>
      <c r="P708" s="28">
        <f t="shared" si="20"/>
        <v>20</v>
      </c>
      <c r="Q708" s="28" t="s">
        <v>9880</v>
      </c>
      <c r="R708" s="28" t="s">
        <v>9881</v>
      </c>
      <c r="S708" s="28"/>
      <c r="T708" s="28"/>
      <c r="U708" s="28"/>
      <c r="V708" s="28"/>
      <c r="W708" s="28" t="s">
        <v>271</v>
      </c>
      <c r="X708" s="28" t="s">
        <v>272</v>
      </c>
      <c r="Y708" s="28" t="s">
        <v>9882</v>
      </c>
      <c r="Z708" s="28" t="s">
        <v>5341</v>
      </c>
      <c r="AA708" s="28" t="s">
        <v>1085</v>
      </c>
      <c r="AB708" s="28">
        <v>10.0</v>
      </c>
      <c r="AC708" s="28" t="s">
        <v>25</v>
      </c>
      <c r="AD708" s="23"/>
      <c r="AE708" s="28" t="s">
        <v>15</v>
      </c>
      <c r="AF708" s="23" t="str">
        <f>IFERROR(__xludf.DUMMYFUNCTION("TEXTJOIN("", "", TRUE,
  FILTER(Champions!C:C,
    ISNUMBER(SEARCH(C708, Champions!W:W))
  )
)"),"Kunal Jani, Mikey Bedney, Robert Wadams")</f>
        <v>Kunal Jani, Mikey Bedney, Robert Wadams</v>
      </c>
      <c r="AG708" s="26" t="s">
        <v>5342</v>
      </c>
      <c r="AH708" s="23" t="str">
        <f>IFERROR(__xludf.DUMMYFUNCTION("IF(
ISNUMBER(MATCH(
C708,
IMPORTRANGE(""https://docs.google.com/spreadsheets/d/1yTh1ELC33JHYOeEdgIiEclxPRyh0zOKtlawDltfUay8"",""'Interns'!A:A""),
0
)),
""Outreach Conducted"",
"""")"),"")</f>
        <v/>
      </c>
      <c r="AI708" s="23"/>
      <c r="AJ708" s="23"/>
      <c r="AK708" s="23" t="str">
        <f>IFERROR(__xludf.DUMMYFUNCTION("XLOOKUP(C708, 
   IMPORTRANGE(""1RdEdgHYrZ33LJ7RUHj_h-qkAFL92bcVjtIdVa-UlsCw"", ""Interns!D:D""), 
   IMPORTRANGE(""1RdEdgHYrZ33LJ7RUHj_h-qkAFL92bcVjtIdVa-UlsCw"", ""Interns!M:M""), 
   ""Not Found"")"),"Contacted")</f>
        <v>Contacted</v>
      </c>
      <c r="AL708" s="23" t="str">
        <f>IFERROR(__xludf.DUMMYFUNCTION("XLOOKUP(C708, 
   IMPORTRANGE(""1RdEdgHYrZ33LJ7RUHj_h-qkAFL92bcVjtIdVa-UlsCw"", ""Interns!D:D""), 
   IMPORTRANGE(""1RdEdgHYrZ33LJ7RUHj_h-qkAFL92bcVjtIdVa-UlsCw"", ""Interns!N:N""), 
   ""Not Found"")"),"#Cheers4Careers")</f>
        <v>#Cheers4Careers</v>
      </c>
      <c r="AM708" s="23" t="str">
        <f>IFERROR(__xludf.DUMMYFUNCTION("XLOOKUP(C708, 
   IMPORTRANGE(""1RdEdgHYrZ33LJ7RUHj_h-qkAFL92bcVjtIdVa-UlsCw"", ""Interns!D:D""), 
   IMPORTRANGE(""1RdEdgHYrZ33LJ7RUHj_h-qkAFL92bcVjtIdVa-UlsCw"", ""Interns!O:O""), 
   ""Not Found"")"),"Texted on April 14 for #Cheers4Careers event")</f>
        <v>Texted on April 14 for #Cheers4Careers event</v>
      </c>
      <c r="AN708" s="23"/>
      <c r="AO708" s="23" t="s">
        <v>9883</v>
      </c>
      <c r="AP708" s="28" t="s">
        <v>5182</v>
      </c>
      <c r="AQ708" s="28" t="s">
        <v>9884</v>
      </c>
      <c r="AR708" s="23" t="s">
        <v>9885</v>
      </c>
      <c r="AS708" s="23"/>
      <c r="AT708" s="23"/>
      <c r="AU708" s="23"/>
      <c r="AV708" s="23"/>
    </row>
    <row r="709">
      <c r="A709" s="28" t="s">
        <v>5161</v>
      </c>
      <c r="B709" s="28" t="s">
        <v>31</v>
      </c>
      <c r="C709" s="23" t="str">
        <f t="shared" si="1"/>
        <v>Genesis Lochart</v>
      </c>
      <c r="D709" s="28" t="s">
        <v>6519</v>
      </c>
      <c r="E709" s="28" t="s">
        <v>7603</v>
      </c>
      <c r="F709" s="23">
        <f t="array" ref="F709">IFERROR(
    INDEX('Hub Interns 226'!A:A, MATCH(C709, 'Hub Interns 226'!B:B, 0)),"")</f>
        <v>43</v>
      </c>
      <c r="G709" s="23">
        <f t="array" ref="G709">IFERROR(
    INDEX('Hub Users 226'!A:A, MATCH(C709, 'Hub Users 226'!B:B, 0)),"")</f>
        <v>476</v>
      </c>
      <c r="H709" s="28">
        <v>713.0</v>
      </c>
      <c r="I709" s="28" t="s">
        <v>425</v>
      </c>
      <c r="J709" s="28"/>
      <c r="K709" s="28"/>
      <c r="L709" s="28" t="s">
        <v>5196</v>
      </c>
      <c r="M709" s="56" t="s">
        <v>7604</v>
      </c>
      <c r="N709" s="59">
        <v>44547.61736111111</v>
      </c>
      <c r="O709" s="58">
        <v>38817.0</v>
      </c>
      <c r="P709" s="28">
        <f t="shared" si="20"/>
        <v>20</v>
      </c>
      <c r="Q709" s="28" t="s">
        <v>240</v>
      </c>
      <c r="R709" s="28" t="s">
        <v>7605</v>
      </c>
      <c r="S709" s="28"/>
      <c r="T709" s="28"/>
      <c r="U709" s="28"/>
      <c r="V709" s="28"/>
      <c r="W709" s="28" t="s">
        <v>294</v>
      </c>
      <c r="X709" s="28" t="s">
        <v>272</v>
      </c>
      <c r="Y709" s="28" t="s">
        <v>7606</v>
      </c>
      <c r="Z709" s="28" t="s">
        <v>5259</v>
      </c>
      <c r="AA709" s="28" t="s">
        <v>704</v>
      </c>
      <c r="AB709" s="28">
        <v>2.0</v>
      </c>
      <c r="AC709" s="28" t="s">
        <v>28</v>
      </c>
      <c r="AD709" s="23"/>
      <c r="AE709" s="28" t="s">
        <v>10</v>
      </c>
      <c r="AF709" s="23"/>
      <c r="AG709" s="23"/>
      <c r="AH709" s="23" t="str">
        <f>IFERROR(__xludf.DUMMYFUNCTION("IF(
ISNUMBER(MATCH(
C709,
IMPORTRANGE(""https://docs.google.com/spreadsheets/d/1yTh1ELC33JHYOeEdgIiEclxPRyh0zOKtlawDltfUay8"",""'Interns'!A:A""),
0
)),
""Outreach Conducted"",
"""")"),"")</f>
        <v/>
      </c>
      <c r="AI709" s="23"/>
      <c r="AJ709" s="23"/>
      <c r="AK709" s="23" t="str">
        <f>IFERROR(__xludf.DUMMYFUNCTION("XLOOKUP(C709, 
   IMPORTRANGE(""1RdEdgHYrZ33LJ7RUHj_h-qkAFL92bcVjtIdVa-UlsCw"", ""Interns!D:D""), 
   IMPORTRANGE(""1RdEdgHYrZ33LJ7RUHj_h-qkAFL92bcVjtIdVa-UlsCw"", ""Interns!M:M""), 
   ""Not Found"")"),"")</f>
        <v/>
      </c>
      <c r="AL709" s="23" t="str">
        <f>IFERROR(__xludf.DUMMYFUNCTION("XLOOKUP(C709, 
   IMPORTRANGE(""1RdEdgHYrZ33LJ7RUHj_h-qkAFL92bcVjtIdVa-UlsCw"", ""Interns!D:D""), 
   IMPORTRANGE(""1RdEdgHYrZ33LJ7RUHj_h-qkAFL92bcVjtIdVa-UlsCw"", ""Interns!N:N""), 
   ""Not Found"")"),"")</f>
        <v/>
      </c>
      <c r="AM709" s="23" t="str">
        <f>IFERROR(__xludf.DUMMYFUNCTION("XLOOKUP(C709, 
   IMPORTRANGE(""1RdEdgHYrZ33LJ7RUHj_h-qkAFL92bcVjtIdVa-UlsCw"", ""Interns!D:D""), 
   IMPORTRANGE(""1RdEdgHYrZ33LJ7RUHj_h-qkAFL92bcVjtIdVa-UlsCw"", ""Interns!O:O""), 
   ""Not Found"")"),"")</f>
        <v/>
      </c>
      <c r="AN709" s="23"/>
      <c r="AO709" s="23" t="s">
        <v>7607</v>
      </c>
      <c r="AP709" s="28" t="s">
        <v>5182</v>
      </c>
      <c r="AQ709" s="28" t="s">
        <v>7604</v>
      </c>
      <c r="AR709" s="23" t="s">
        <v>7608</v>
      </c>
      <c r="AS709" s="23"/>
      <c r="AT709" s="23"/>
      <c r="AU709" s="23"/>
      <c r="AV709" s="23"/>
    </row>
    <row r="710">
      <c r="A710" s="28" t="s">
        <v>5161</v>
      </c>
      <c r="B710" s="28" t="s">
        <v>5162</v>
      </c>
      <c r="C710" s="23" t="str">
        <f t="shared" si="1"/>
        <v>Juan Saul ALVARADO SALAZAR</v>
      </c>
      <c r="D710" s="28" t="s">
        <v>9886</v>
      </c>
      <c r="E710" s="28" t="s">
        <v>9887</v>
      </c>
      <c r="F710" s="23">
        <f t="array" ref="F710">IFERROR(
    INDEX('Hub Interns 226'!A:A, MATCH(C710, 'Hub Interns 226'!B:B, 0)),"")</f>
        <v>1593</v>
      </c>
      <c r="G710" s="23">
        <f t="array" ref="G710">IFERROR(
    INDEX('Hub Users 226'!A:A, MATCH(C710, 'Hub Users 226'!B:B, 0)),"")</f>
        <v>2199</v>
      </c>
      <c r="H710" s="28">
        <v>1729.0</v>
      </c>
      <c r="I710" s="28"/>
      <c r="J710" s="28" t="s">
        <v>2388</v>
      </c>
      <c r="K710" s="28" t="s">
        <v>5463</v>
      </c>
      <c r="L710" s="28" t="s">
        <v>6647</v>
      </c>
      <c r="M710" s="56" t="s">
        <v>9888</v>
      </c>
      <c r="N710" s="57">
        <v>45266.586805555555</v>
      </c>
      <c r="O710" s="58">
        <v>40478.0</v>
      </c>
      <c r="P710" s="28">
        <f t="shared" si="20"/>
        <v>15</v>
      </c>
      <c r="Q710" s="28" t="s">
        <v>240</v>
      </c>
      <c r="R710" s="28" t="s">
        <v>1173</v>
      </c>
      <c r="S710" s="28"/>
      <c r="T710" s="28"/>
      <c r="U710" s="28"/>
      <c r="V710" s="28"/>
      <c r="W710" s="28" t="s">
        <v>1173</v>
      </c>
      <c r="X710" s="28" t="s">
        <v>272</v>
      </c>
      <c r="Y710" s="28" t="s">
        <v>9889</v>
      </c>
      <c r="Z710" s="28" t="s">
        <v>5352</v>
      </c>
      <c r="AA710" s="28" t="s">
        <v>5287</v>
      </c>
      <c r="AB710" s="28">
        <v>26.0</v>
      </c>
      <c r="AC710" s="28" t="s">
        <v>27</v>
      </c>
      <c r="AD710" s="23"/>
      <c r="AE710" s="28" t="s">
        <v>18</v>
      </c>
      <c r="AF710" s="23"/>
      <c r="AG710" s="23"/>
      <c r="AH710" s="23" t="str">
        <f>IFERROR(__xludf.DUMMYFUNCTION("IF(
ISNUMBER(MATCH(
C710,
IMPORTRANGE(""https://docs.google.com/spreadsheets/d/1yTh1ELC33JHYOeEdgIiEclxPRyh0zOKtlawDltfUay8"",""'Interns'!A:A""),
0
)),
""Outreach Conducted"",
"""")"),"")</f>
        <v/>
      </c>
      <c r="AI710" s="23"/>
      <c r="AJ710" s="23"/>
      <c r="AK710" s="23" t="str">
        <f>IFERROR(__xludf.DUMMYFUNCTION("XLOOKUP(C710, 
   IMPORTRANGE(""1RdEdgHYrZ33LJ7RUHj_h-qkAFL92bcVjtIdVa-UlsCw"", ""Interns!D:D""), 
   IMPORTRANGE(""1RdEdgHYrZ33LJ7RUHj_h-qkAFL92bcVjtIdVa-UlsCw"", ""Interns!M:M""), 
   ""Not Found"")"),"Contacted")</f>
        <v>Contacted</v>
      </c>
      <c r="AL710" s="23" t="str">
        <f>IFERROR(__xludf.DUMMYFUNCTION("XLOOKUP(C710, 
   IMPORTRANGE(""1RdEdgHYrZ33LJ7RUHj_h-qkAFL92bcVjtIdVa-UlsCw"", ""Interns!D:D""), 
   IMPORTRANGE(""1RdEdgHYrZ33LJ7RUHj_h-qkAFL92bcVjtIdVa-UlsCw"", ""Interns!N:N""), 
   ""Not Found"")"),"#Cheers4Careers")</f>
        <v>#Cheers4Careers</v>
      </c>
      <c r="AM710" s="23" t="str">
        <f>IFERROR(__xludf.DUMMYFUNCTION("XLOOKUP(C710, 
   IMPORTRANGE(""1RdEdgHYrZ33LJ7RUHj_h-qkAFL92bcVjtIdVa-UlsCw"", ""Interns!D:D""), 
   IMPORTRANGE(""1RdEdgHYrZ33LJ7RUHj_h-qkAFL92bcVjtIdVa-UlsCw"", ""Interns!O:O""), 
   ""Not Found"")"),"Hetal reached out by email 3/27")</f>
        <v>Hetal reached out by email 3/27</v>
      </c>
      <c r="AN710" s="23"/>
      <c r="AO710" s="23" t="s">
        <v>9890</v>
      </c>
      <c r="AP710" s="28" t="s">
        <v>5908</v>
      </c>
      <c r="AQ710" s="28"/>
      <c r="AR710" s="23"/>
      <c r="AS710" s="23"/>
      <c r="AT710" s="23"/>
      <c r="AU710" s="23"/>
      <c r="AV710" s="23"/>
    </row>
    <row r="711">
      <c r="A711" s="28" t="s">
        <v>5202</v>
      </c>
      <c r="B711" s="28" t="s">
        <v>5162</v>
      </c>
      <c r="C711" s="23" t="str">
        <f t="shared" si="1"/>
        <v>Ousmane Nabe</v>
      </c>
      <c r="D711" s="28" t="s">
        <v>9891</v>
      </c>
      <c r="E711" s="28" t="s">
        <v>9892</v>
      </c>
      <c r="F711" s="23">
        <f t="array" ref="F711">IFERROR(
    INDEX('Hub Interns 226'!A:A, MATCH(C711, 'Hub Interns 226'!B:B, 0)),"")</f>
        <v>978</v>
      </c>
      <c r="G711" s="23">
        <f t="array" ref="G711">IFERROR(
    INDEX('Hub Users 226'!A:A, MATCH(C711, 'Hub Users 226'!B:B, 0)),"")</f>
        <v>1411</v>
      </c>
      <c r="H711" s="28">
        <v>477.0</v>
      </c>
      <c r="I711" s="28" t="s">
        <v>290</v>
      </c>
      <c r="J711" s="28" t="s">
        <v>9893</v>
      </c>
      <c r="K711" s="28" t="s">
        <v>5245</v>
      </c>
      <c r="L711" s="28" t="s">
        <v>5165</v>
      </c>
      <c r="M711" s="56" t="s">
        <v>9894</v>
      </c>
      <c r="N711" s="57">
        <v>44364.51736111111</v>
      </c>
      <c r="O711" s="58">
        <v>37444.0</v>
      </c>
      <c r="P711" s="28">
        <f t="shared" si="20"/>
        <v>23</v>
      </c>
      <c r="Q711" s="28" t="s">
        <v>9895</v>
      </c>
      <c r="R711" s="28" t="s">
        <v>7821</v>
      </c>
      <c r="S711" s="28">
        <v>13.0</v>
      </c>
      <c r="T711" s="28">
        <v>30.0</v>
      </c>
      <c r="U711" s="28">
        <v>71.0</v>
      </c>
      <c r="V711" s="28">
        <v>9.0</v>
      </c>
      <c r="W711" s="28" t="s">
        <v>859</v>
      </c>
      <c r="X711" s="28" t="s">
        <v>272</v>
      </c>
      <c r="Y711" s="28" t="s">
        <v>9896</v>
      </c>
      <c r="Z711" s="28" t="s">
        <v>5435</v>
      </c>
      <c r="AA711" s="28" t="s">
        <v>5436</v>
      </c>
      <c r="AB711" s="28">
        <v>10.0</v>
      </c>
      <c r="AC711" s="28" t="s">
        <v>25</v>
      </c>
      <c r="AD711" s="23"/>
      <c r="AE711" s="28" t="s">
        <v>10</v>
      </c>
      <c r="AF711" s="23" t="str">
        <f>IFERROR(__xludf.DUMMYFUNCTION("TEXTJOIN("", "", TRUE,
  FILTER(Champions!C:C,
    ISNUMBER(SEARCH(C711, Champions!W:W))
  )
)"),"Romina Tome, Tanya Toko")</f>
        <v>Romina Tome, Tanya Toko</v>
      </c>
      <c r="AG711" s="23"/>
      <c r="AH711" s="23" t="str">
        <f>IFERROR(__xludf.DUMMYFUNCTION("IF(
ISNUMBER(MATCH(
C711,
IMPORTRANGE(""https://docs.google.com/spreadsheets/d/1yTh1ELC33JHYOeEdgIiEclxPRyh0zOKtlawDltfUay8"",""'Interns'!A:A""),
0
)),
""Outreach Conducted"",
"""")"),"")</f>
        <v/>
      </c>
      <c r="AI711" s="23"/>
      <c r="AJ711" s="23"/>
      <c r="AK711" s="23" t="str">
        <f>IFERROR(__xludf.DUMMYFUNCTION("XLOOKUP(C711, 
   IMPORTRANGE(""1RdEdgHYrZ33LJ7RUHj_h-qkAFL92bcVjtIdVa-UlsCw"", ""Interns!D:D""), 
   IMPORTRANGE(""1RdEdgHYrZ33LJ7RUHj_h-qkAFL92bcVjtIdVa-UlsCw"", ""Interns!M:M""), 
   ""Not Found"")"),"")</f>
        <v/>
      </c>
      <c r="AL711" s="23" t="str">
        <f>IFERROR(__xludf.DUMMYFUNCTION("XLOOKUP(C711, 
   IMPORTRANGE(""1RdEdgHYrZ33LJ7RUHj_h-qkAFL92bcVjtIdVa-UlsCw"", ""Interns!D:D""), 
   IMPORTRANGE(""1RdEdgHYrZ33LJ7RUHj_h-qkAFL92bcVjtIdVa-UlsCw"", ""Interns!N:N""), 
   ""Not Found"")"),"")</f>
        <v/>
      </c>
      <c r="AM711" s="23" t="str">
        <f>IFERROR(__xludf.DUMMYFUNCTION("XLOOKUP(C711, 
   IMPORTRANGE(""1RdEdgHYrZ33LJ7RUHj_h-qkAFL92bcVjtIdVa-UlsCw"", ""Interns!D:D""), 
   IMPORTRANGE(""1RdEdgHYrZ33LJ7RUHj_h-qkAFL92bcVjtIdVa-UlsCw"", ""Interns!O:O""), 
   ""Not Found"")"),"")</f>
        <v/>
      </c>
      <c r="AN711" s="23"/>
      <c r="AO711" s="23" t="s">
        <v>9897</v>
      </c>
      <c r="AP711" s="28" t="s">
        <v>5989</v>
      </c>
      <c r="AQ711" s="28" t="s">
        <v>9894</v>
      </c>
      <c r="AR711" s="23" t="s">
        <v>9898</v>
      </c>
      <c r="AS711" s="28" t="s">
        <v>9899</v>
      </c>
      <c r="AT711" s="23"/>
      <c r="AU711" s="23"/>
      <c r="AV711" s="23"/>
    </row>
    <row r="712">
      <c r="A712" s="28" t="s">
        <v>5161</v>
      </c>
      <c r="B712" s="28" t="s">
        <v>5162</v>
      </c>
      <c r="C712" s="23" t="str">
        <f t="shared" si="1"/>
        <v>kathleen loja</v>
      </c>
      <c r="D712" s="28" t="s">
        <v>9900</v>
      </c>
      <c r="E712" s="28" t="s">
        <v>9901</v>
      </c>
      <c r="F712" s="23">
        <f t="array" ref="F712">IFERROR(
    INDEX('Hub Interns 226'!A:A, MATCH(C712, 'Hub Interns 226'!B:B, 0)),"")</f>
        <v>1744</v>
      </c>
      <c r="G712" s="23">
        <f t="array" ref="G712">IFERROR(
    INDEX('Hub Users 226'!A:A, MATCH(C712, 'Hub Users 226'!B:B, 0)),"")</f>
        <v>2574</v>
      </c>
      <c r="H712" s="28">
        <v>1821.0</v>
      </c>
      <c r="I712" s="28"/>
      <c r="J712" s="28" t="s">
        <v>2388</v>
      </c>
      <c r="K712" s="28" t="s">
        <v>5463</v>
      </c>
      <c r="L712" s="28" t="s">
        <v>5196</v>
      </c>
      <c r="M712" s="56" t="s">
        <v>9902</v>
      </c>
      <c r="N712" s="57">
        <v>45418.45138888889</v>
      </c>
      <c r="O712" s="58">
        <v>40697.0</v>
      </c>
      <c r="P712" s="28">
        <f t="shared" si="20"/>
        <v>14</v>
      </c>
      <c r="Q712" s="28" t="s">
        <v>240</v>
      </c>
      <c r="R712" s="28" t="s">
        <v>9903</v>
      </c>
      <c r="S712" s="28"/>
      <c r="T712" s="28"/>
      <c r="U712" s="28"/>
      <c r="V712" s="28"/>
      <c r="W712" s="28" t="s">
        <v>1173</v>
      </c>
      <c r="X712" s="28" t="s">
        <v>272</v>
      </c>
      <c r="Y712" s="28" t="s">
        <v>9904</v>
      </c>
      <c r="Z712" s="28" t="s">
        <v>5352</v>
      </c>
      <c r="AA712" s="28" t="s">
        <v>5287</v>
      </c>
      <c r="AB712" s="28">
        <v>26.0</v>
      </c>
      <c r="AC712" s="28" t="s">
        <v>27</v>
      </c>
      <c r="AD712" s="23"/>
      <c r="AE712" s="28" t="s">
        <v>18</v>
      </c>
      <c r="AF712" s="23"/>
      <c r="AG712" s="23"/>
      <c r="AH712" s="23" t="str">
        <f>IFERROR(__xludf.DUMMYFUNCTION("IF(
ISNUMBER(MATCH(
C712,
IMPORTRANGE(""https://docs.google.com/spreadsheets/d/1yTh1ELC33JHYOeEdgIiEclxPRyh0zOKtlawDltfUay8"",""'Interns'!A:A""),
0
)),
""Outreach Conducted"",
"""")"),"")</f>
        <v/>
      </c>
      <c r="AI712" s="23"/>
      <c r="AJ712" s="23"/>
      <c r="AK712" s="23" t="str">
        <f>IFERROR(__xludf.DUMMYFUNCTION("XLOOKUP(C712, 
   IMPORTRANGE(""1RdEdgHYrZ33LJ7RUHj_h-qkAFL92bcVjtIdVa-UlsCw"", ""Interns!D:D""), 
   IMPORTRANGE(""1RdEdgHYrZ33LJ7RUHj_h-qkAFL92bcVjtIdVa-UlsCw"", ""Interns!M:M""), 
   ""Not Found"")"),"Contacted")</f>
        <v>Contacted</v>
      </c>
      <c r="AL712" s="23" t="str">
        <f>IFERROR(__xludf.DUMMYFUNCTION("XLOOKUP(C712, 
   IMPORTRANGE(""1RdEdgHYrZ33LJ7RUHj_h-qkAFL92bcVjtIdVa-UlsCw"", ""Interns!D:D""), 
   IMPORTRANGE(""1RdEdgHYrZ33LJ7RUHj_h-qkAFL92bcVjtIdVa-UlsCw"", ""Interns!N:N""), 
   ""Not Found"")"),"#Cheers4Careers")</f>
        <v>#Cheers4Careers</v>
      </c>
      <c r="AM712" s="23" t="str">
        <f>IFERROR(__xludf.DUMMYFUNCTION("XLOOKUP(C712, 
   IMPORTRANGE(""1RdEdgHYrZ33LJ7RUHj_h-qkAFL92bcVjtIdVa-UlsCw"", ""Interns!D:D""), 
   IMPORTRANGE(""1RdEdgHYrZ33LJ7RUHj_h-qkAFL92bcVjtIdVa-UlsCw"", ""Interns!O:O""), 
   ""Not Found"")"),"Hetal reached out by email 3/27")</f>
        <v>Hetal reached out by email 3/27</v>
      </c>
      <c r="AN712" s="23"/>
      <c r="AO712" s="23" t="s">
        <v>9905</v>
      </c>
      <c r="AP712" s="28" t="s">
        <v>5182</v>
      </c>
      <c r="AQ712" s="28"/>
      <c r="AR712" s="23"/>
      <c r="AS712" s="23"/>
      <c r="AT712" s="23"/>
      <c r="AU712" s="23"/>
      <c r="AV712" s="23"/>
    </row>
    <row r="713">
      <c r="A713" s="28" t="s">
        <v>5161</v>
      </c>
      <c r="B713" s="28" t="s">
        <v>31</v>
      </c>
      <c r="C713" s="23" t="str">
        <f t="shared" si="1"/>
        <v>JOSIMAR LUCERO</v>
      </c>
      <c r="D713" s="28" t="s">
        <v>9383</v>
      </c>
      <c r="E713" s="28" t="s">
        <v>9384</v>
      </c>
      <c r="F713" s="23">
        <f t="array" ref="F713">IFERROR(
    INDEX('Hub Interns 226'!A:A, MATCH(C713, 'Hub Interns 226'!B:B, 0)),"")</f>
        <v>46</v>
      </c>
      <c r="G713" s="23">
        <f t="array" ref="G713">IFERROR(
    INDEX('Hub Users 226'!A:A, MATCH(C713, 'Hub Users 226'!B:B, 0)),"")</f>
        <v>479</v>
      </c>
      <c r="H713" s="28">
        <v>799.0</v>
      </c>
      <c r="I713" s="28" t="s">
        <v>417</v>
      </c>
      <c r="J713" s="28"/>
      <c r="K713" s="28"/>
      <c r="L713" s="28" t="s">
        <v>5165</v>
      </c>
      <c r="M713" s="56" t="s">
        <v>9385</v>
      </c>
      <c r="N713" s="57">
        <v>44565.64375</v>
      </c>
      <c r="O713" s="58">
        <v>37866.0</v>
      </c>
      <c r="P713" s="28">
        <f t="shared" si="20"/>
        <v>22</v>
      </c>
      <c r="Q713" s="28" t="s">
        <v>240</v>
      </c>
      <c r="R713" s="28" t="s">
        <v>9386</v>
      </c>
      <c r="S713" s="28"/>
      <c r="T713" s="28"/>
      <c r="U713" s="28"/>
      <c r="V713" s="28"/>
      <c r="W713" s="28" t="s">
        <v>294</v>
      </c>
      <c r="X713" s="28" t="s">
        <v>272</v>
      </c>
      <c r="Y713" s="28" t="s">
        <v>9387</v>
      </c>
      <c r="Z713" s="28" t="s">
        <v>5259</v>
      </c>
      <c r="AA713" s="28" t="s">
        <v>704</v>
      </c>
      <c r="AB713" s="28">
        <v>2.0</v>
      </c>
      <c r="AC713" s="28" t="s">
        <v>28</v>
      </c>
      <c r="AD713" s="23"/>
      <c r="AE713" s="28" t="s">
        <v>10</v>
      </c>
      <c r="AF713" s="23"/>
      <c r="AG713" s="23"/>
      <c r="AH713" s="23" t="str">
        <f>IFERROR(__xludf.DUMMYFUNCTION("IF(
ISNUMBER(MATCH(
C713,
IMPORTRANGE(""https://docs.google.com/spreadsheets/d/1yTh1ELC33JHYOeEdgIiEclxPRyh0zOKtlawDltfUay8"",""'Interns'!A:A""),
0
)),
""Outreach Conducted"",
"""")"),"")</f>
        <v/>
      </c>
      <c r="AI713" s="23"/>
      <c r="AJ713" s="23"/>
      <c r="AK713" s="23" t="str">
        <f>IFERROR(__xludf.DUMMYFUNCTION("XLOOKUP(C713, 
   IMPORTRANGE(""1RdEdgHYrZ33LJ7RUHj_h-qkAFL92bcVjtIdVa-UlsCw"", ""Interns!D:D""), 
   IMPORTRANGE(""1RdEdgHYrZ33LJ7RUHj_h-qkAFL92bcVjtIdVa-UlsCw"", ""Interns!M:M""), 
   ""Not Found"")"),"")</f>
        <v/>
      </c>
      <c r="AL713" s="23" t="str">
        <f>IFERROR(__xludf.DUMMYFUNCTION("XLOOKUP(C713, 
   IMPORTRANGE(""1RdEdgHYrZ33LJ7RUHj_h-qkAFL92bcVjtIdVa-UlsCw"", ""Interns!D:D""), 
   IMPORTRANGE(""1RdEdgHYrZ33LJ7RUHj_h-qkAFL92bcVjtIdVa-UlsCw"", ""Interns!N:N""), 
   ""Not Found"")"),"")</f>
        <v/>
      </c>
      <c r="AM713" s="23" t="str">
        <f>IFERROR(__xludf.DUMMYFUNCTION("XLOOKUP(C713, 
   IMPORTRANGE(""1RdEdgHYrZ33LJ7RUHj_h-qkAFL92bcVjtIdVa-UlsCw"", ""Interns!D:D""), 
   IMPORTRANGE(""1RdEdgHYrZ33LJ7RUHj_h-qkAFL92bcVjtIdVa-UlsCw"", ""Interns!O:O""), 
   ""Not Found"")"),"")</f>
        <v/>
      </c>
      <c r="AN713" s="23"/>
      <c r="AO713" s="23" t="s">
        <v>9388</v>
      </c>
      <c r="AP713" s="28" t="s">
        <v>5191</v>
      </c>
      <c r="AQ713" s="28" t="s">
        <v>9389</v>
      </c>
      <c r="AR713" s="23" t="s">
        <v>9390</v>
      </c>
      <c r="AS713" s="23"/>
      <c r="AT713" s="23"/>
      <c r="AU713" s="23"/>
      <c r="AV713" s="23"/>
    </row>
    <row r="714">
      <c r="A714" s="28" t="s">
        <v>5161</v>
      </c>
      <c r="B714" s="28" t="s">
        <v>5162</v>
      </c>
      <c r="C714" s="23" t="str">
        <f t="shared" si="1"/>
        <v>Galo Tenezaca</v>
      </c>
      <c r="D714" s="28" t="s">
        <v>9523</v>
      </c>
      <c r="E714" s="28" t="s">
        <v>9906</v>
      </c>
      <c r="F714" s="23">
        <f t="array" ref="F714">IFERROR(
    INDEX('Hub Interns 226'!A:A, MATCH(C714, 'Hub Interns 226'!B:B, 0)),"")</f>
        <v>1756</v>
      </c>
      <c r="G714" s="23">
        <f t="array" ref="G714">IFERROR(
    INDEX('Hub Users 226'!A:A, MATCH(C714, 'Hub Users 226'!B:B, 0)),"")</f>
        <v>2586</v>
      </c>
      <c r="H714" s="28">
        <v>1739.0</v>
      </c>
      <c r="I714" s="28" t="s">
        <v>239</v>
      </c>
      <c r="J714" s="28" t="s">
        <v>2388</v>
      </c>
      <c r="K714" s="28" t="s">
        <v>5463</v>
      </c>
      <c r="L714" s="28" t="s">
        <v>5165</v>
      </c>
      <c r="M714" s="56" t="s">
        <v>9907</v>
      </c>
      <c r="N714" s="57">
        <v>45266.592361111114</v>
      </c>
      <c r="O714" s="58">
        <v>40466.0</v>
      </c>
      <c r="P714" s="28">
        <f t="shared" si="20"/>
        <v>15</v>
      </c>
      <c r="Q714" s="28" t="s">
        <v>240</v>
      </c>
      <c r="R714" s="28" t="s">
        <v>9908</v>
      </c>
      <c r="S714" s="28"/>
      <c r="T714" s="28"/>
      <c r="U714" s="28"/>
      <c r="V714" s="28"/>
      <c r="W714" s="28" t="s">
        <v>1173</v>
      </c>
      <c r="X714" s="28" t="s">
        <v>272</v>
      </c>
      <c r="Y714" s="28" t="s">
        <v>5351</v>
      </c>
      <c r="Z714" s="28" t="s">
        <v>5352</v>
      </c>
      <c r="AA714" s="28" t="s">
        <v>5287</v>
      </c>
      <c r="AB714" s="28">
        <v>26.0</v>
      </c>
      <c r="AC714" s="28" t="s">
        <v>27</v>
      </c>
      <c r="AD714" s="23"/>
      <c r="AE714" s="28" t="s">
        <v>18</v>
      </c>
      <c r="AF714" s="23"/>
      <c r="AG714" s="23"/>
      <c r="AH714" s="23" t="str">
        <f>IFERROR(__xludf.DUMMYFUNCTION("IF(
ISNUMBER(MATCH(
C714,
IMPORTRANGE(""https://docs.google.com/spreadsheets/d/1yTh1ELC33JHYOeEdgIiEclxPRyh0zOKtlawDltfUay8"",""'Interns'!A:A""),
0
)),
""Outreach Conducted"",
"""")"),"")</f>
        <v/>
      </c>
      <c r="AI714" s="23"/>
      <c r="AJ714" s="23"/>
      <c r="AK714" s="23" t="str">
        <f>IFERROR(__xludf.DUMMYFUNCTION("XLOOKUP(C714, 
   IMPORTRANGE(""1RdEdgHYrZ33LJ7RUHj_h-qkAFL92bcVjtIdVa-UlsCw"", ""Interns!D:D""), 
   IMPORTRANGE(""1RdEdgHYrZ33LJ7RUHj_h-qkAFL92bcVjtIdVa-UlsCw"", ""Interns!M:M""), 
   ""Not Found"")"),"Contacted")</f>
        <v>Contacted</v>
      </c>
      <c r="AL714" s="23" t="str">
        <f>IFERROR(__xludf.DUMMYFUNCTION("XLOOKUP(C714, 
   IMPORTRANGE(""1RdEdgHYrZ33LJ7RUHj_h-qkAFL92bcVjtIdVa-UlsCw"", ""Interns!D:D""), 
   IMPORTRANGE(""1RdEdgHYrZ33LJ7RUHj_h-qkAFL92bcVjtIdVa-UlsCw"", ""Interns!N:N""), 
   ""Not Found"")"),"#Cheers4Careers")</f>
        <v>#Cheers4Careers</v>
      </c>
      <c r="AM714" s="23" t="str">
        <f>IFERROR(__xludf.DUMMYFUNCTION("XLOOKUP(C714, 
   IMPORTRANGE(""1RdEdgHYrZ33LJ7RUHj_h-qkAFL92bcVjtIdVa-UlsCw"", ""Interns!D:D""), 
   IMPORTRANGE(""1RdEdgHYrZ33LJ7RUHj_h-qkAFL92bcVjtIdVa-UlsCw"", ""Interns!O:O""), 
   ""Not Found"")"),"Hetal reached out by email 3/27")</f>
        <v>Hetal reached out by email 3/27</v>
      </c>
      <c r="AN714" s="23"/>
      <c r="AO714" s="23" t="s">
        <v>9909</v>
      </c>
      <c r="AP714" s="28" t="s">
        <v>5191</v>
      </c>
      <c r="AQ714" s="28"/>
      <c r="AR714" s="23"/>
      <c r="AS714" s="23"/>
      <c r="AT714" s="23"/>
      <c r="AU714" s="23"/>
      <c r="AV714" s="23"/>
    </row>
    <row r="715">
      <c r="A715" s="28" t="s">
        <v>5161</v>
      </c>
      <c r="B715" s="28" t="s">
        <v>31</v>
      </c>
      <c r="C715" s="23" t="str">
        <f t="shared" si="1"/>
        <v>Julia Pontes</v>
      </c>
      <c r="D715" s="28" t="s">
        <v>1864</v>
      </c>
      <c r="E715" s="28" t="s">
        <v>5841</v>
      </c>
      <c r="F715" s="23">
        <f t="array" ref="F715">IFERROR(
    INDEX('Hub Interns 226'!A:A, MATCH(C715, 'Hub Interns 226'!B:B, 0)),"")</f>
        <v>47</v>
      </c>
      <c r="G715" s="23">
        <f t="array" ref="G715">IFERROR(
    INDEX('Hub Users 226'!A:A, MATCH(C715, 'Hub Users 226'!B:B, 0)),"")</f>
        <v>480</v>
      </c>
      <c r="H715" s="28">
        <v>834.0</v>
      </c>
      <c r="I715" s="28" t="s">
        <v>239</v>
      </c>
      <c r="J715" s="28"/>
      <c r="K715" s="28"/>
      <c r="L715" s="28" t="s">
        <v>5196</v>
      </c>
      <c r="M715" s="56" t="s">
        <v>5843</v>
      </c>
      <c r="N715" s="57">
        <v>44575.603472222225</v>
      </c>
      <c r="O715" s="58">
        <v>38496.0</v>
      </c>
      <c r="P715" s="28">
        <f t="shared" si="20"/>
        <v>20</v>
      </c>
      <c r="Q715" s="28" t="s">
        <v>240</v>
      </c>
      <c r="R715" s="28" t="s">
        <v>5844</v>
      </c>
      <c r="S715" s="28"/>
      <c r="T715" s="28"/>
      <c r="U715" s="28"/>
      <c r="V715" s="28"/>
      <c r="W715" s="28" t="s">
        <v>271</v>
      </c>
      <c r="X715" s="28" t="s">
        <v>272</v>
      </c>
      <c r="Y715" s="28" t="s">
        <v>5845</v>
      </c>
      <c r="Z715" s="28" t="s">
        <v>5259</v>
      </c>
      <c r="AA715" s="28" t="s">
        <v>704</v>
      </c>
      <c r="AB715" s="28">
        <v>2.0</v>
      </c>
      <c r="AC715" s="28" t="s">
        <v>28</v>
      </c>
      <c r="AD715" s="23"/>
      <c r="AE715" s="28" t="s">
        <v>10</v>
      </c>
      <c r="AF715" s="23"/>
      <c r="AG715" s="23"/>
      <c r="AH715" s="23" t="str">
        <f>IFERROR(__xludf.DUMMYFUNCTION("IF(
ISNUMBER(MATCH(
C715,
IMPORTRANGE(""https://docs.google.com/spreadsheets/d/1yTh1ELC33JHYOeEdgIiEclxPRyh0zOKtlawDltfUay8"",""'Interns'!A:A""),
0
)),
""Outreach Conducted"",
"""")"),"")</f>
        <v/>
      </c>
      <c r="AI715" s="23"/>
      <c r="AJ715" s="28" t="s">
        <v>9910</v>
      </c>
      <c r="AK715" s="23" t="str">
        <f>IFERROR(__xludf.DUMMYFUNCTION("XLOOKUP(C715, 
   IMPORTRANGE(""1RdEdgHYrZ33LJ7RUHj_h-qkAFL92bcVjtIdVa-UlsCw"", ""Interns!D:D""), 
   IMPORTRANGE(""1RdEdgHYrZ33LJ7RUHj_h-qkAFL92bcVjtIdVa-UlsCw"", ""Interns!M:M""), 
   ""Not Found"")"),"")</f>
        <v/>
      </c>
      <c r="AL715" s="23" t="str">
        <f>IFERROR(__xludf.DUMMYFUNCTION("XLOOKUP(C715, 
   IMPORTRANGE(""1RdEdgHYrZ33LJ7RUHj_h-qkAFL92bcVjtIdVa-UlsCw"", ""Interns!D:D""), 
   IMPORTRANGE(""1RdEdgHYrZ33LJ7RUHj_h-qkAFL92bcVjtIdVa-UlsCw"", ""Interns!N:N""), 
   ""Not Found"")"),"")</f>
        <v/>
      </c>
      <c r="AM715" s="23" t="str">
        <f>IFERROR(__xludf.DUMMYFUNCTION("XLOOKUP(C715, 
   IMPORTRANGE(""1RdEdgHYrZ33LJ7RUHj_h-qkAFL92bcVjtIdVa-UlsCw"", ""Interns!D:D""), 
   IMPORTRANGE(""1RdEdgHYrZ33LJ7RUHj_h-qkAFL92bcVjtIdVa-UlsCw"", ""Interns!O:O""), 
   ""Not Found"")"),"")</f>
        <v/>
      </c>
      <c r="AN715" s="23"/>
      <c r="AO715" s="23" t="s">
        <v>5846</v>
      </c>
      <c r="AP715" s="28" t="s">
        <v>5191</v>
      </c>
      <c r="AQ715" s="28" t="s">
        <v>5843</v>
      </c>
      <c r="AR715" s="23" t="s">
        <v>5847</v>
      </c>
      <c r="AS715" s="23"/>
      <c r="AT715" s="23"/>
      <c r="AU715" s="23"/>
      <c r="AV715" s="23"/>
    </row>
    <row r="716">
      <c r="A716" s="28" t="s">
        <v>5161</v>
      </c>
      <c r="B716" s="28" t="s">
        <v>5162</v>
      </c>
      <c r="C716" s="23" t="str">
        <f t="shared" si="1"/>
        <v>Josue Pacheco</v>
      </c>
      <c r="D716" s="28" t="s">
        <v>7189</v>
      </c>
      <c r="E716" s="28" t="s">
        <v>9911</v>
      </c>
      <c r="F716" s="23">
        <f t="array" ref="F716">IFERROR(
    INDEX('Hub Interns 226'!A:A, MATCH(C716, 'Hub Interns 226'!B:B, 0)),"")</f>
        <v>93</v>
      </c>
      <c r="G716" s="23">
        <f t="array" ref="G716">IFERROR(
    INDEX('Hub Users 226'!A:A, MATCH(C716, 'Hub Users 226'!B:B, 0)),"")</f>
        <v>526</v>
      </c>
      <c r="H716" s="28">
        <v>1490.0</v>
      </c>
      <c r="I716" s="28" t="s">
        <v>239</v>
      </c>
      <c r="J716" s="28" t="s">
        <v>2388</v>
      </c>
      <c r="K716" s="28" t="s">
        <v>5463</v>
      </c>
      <c r="L716" s="28" t="s">
        <v>5165</v>
      </c>
      <c r="M716" s="56" t="s">
        <v>9912</v>
      </c>
      <c r="N716" s="57">
        <v>44949.64375</v>
      </c>
      <c r="O716" s="58">
        <v>38189.0</v>
      </c>
      <c r="P716" s="28">
        <f t="shared" si="20"/>
        <v>21</v>
      </c>
      <c r="Q716" s="28" t="s">
        <v>240</v>
      </c>
      <c r="R716" s="28" t="s">
        <v>9913</v>
      </c>
      <c r="S716" s="28">
        <v>7.0</v>
      </c>
      <c r="T716" s="28">
        <v>18.0</v>
      </c>
      <c r="U716" s="28">
        <v>37.0</v>
      </c>
      <c r="V716" s="28">
        <v>34.0</v>
      </c>
      <c r="W716" s="28" t="s">
        <v>271</v>
      </c>
      <c r="X716" s="28" t="s">
        <v>272</v>
      </c>
      <c r="Y716" s="28" t="s">
        <v>9914</v>
      </c>
      <c r="Z716" s="28" t="s">
        <v>5259</v>
      </c>
      <c r="AA716" s="28" t="s">
        <v>704</v>
      </c>
      <c r="AB716" s="28">
        <v>2.0</v>
      </c>
      <c r="AC716" s="28" t="s">
        <v>23</v>
      </c>
      <c r="AD716" s="23"/>
      <c r="AE716" s="28" t="s">
        <v>15</v>
      </c>
      <c r="AF716" s="23"/>
      <c r="AG716" s="23"/>
      <c r="AH716" s="23" t="str">
        <f>IFERROR(__xludf.DUMMYFUNCTION("IF(
ISNUMBER(MATCH(
C716,
IMPORTRANGE(""https://docs.google.com/spreadsheets/d/1yTh1ELC33JHYOeEdgIiEclxPRyh0zOKtlawDltfUay8"",""'Interns'!A:A""),
0
)),
""Outreach Conducted"",
"""")"),"")</f>
        <v/>
      </c>
      <c r="AI716" s="23"/>
      <c r="AJ716" s="23"/>
      <c r="AK716" s="23" t="str">
        <f>IFERROR(__xludf.DUMMYFUNCTION("XLOOKUP(C716, 
   IMPORTRANGE(""1RdEdgHYrZ33LJ7RUHj_h-qkAFL92bcVjtIdVa-UlsCw"", ""Interns!D:D""), 
   IMPORTRANGE(""1RdEdgHYrZ33LJ7RUHj_h-qkAFL92bcVjtIdVa-UlsCw"", ""Interns!M:M""), 
   ""Not Found"")"),"Contacted")</f>
        <v>Contacted</v>
      </c>
      <c r="AL716" s="23" t="str">
        <f>IFERROR(__xludf.DUMMYFUNCTION("XLOOKUP(C716, 
   IMPORTRANGE(""1RdEdgHYrZ33LJ7RUHj_h-qkAFL92bcVjtIdVa-UlsCw"", ""Interns!D:D""), 
   IMPORTRANGE(""1RdEdgHYrZ33LJ7RUHj_h-qkAFL92bcVjtIdVa-UlsCw"", ""Interns!N:N""), 
   ""Not Found"")"),"#Cheers4Careers")</f>
        <v>#Cheers4Careers</v>
      </c>
      <c r="AM716" s="23" t="str">
        <f>IFERROR(__xludf.DUMMYFUNCTION("XLOOKUP(C716, 
   IMPORTRANGE(""1RdEdgHYrZ33LJ7RUHj_h-qkAFL92bcVjtIdVa-UlsCw"", ""Interns!D:D""), 
   IMPORTRANGE(""1RdEdgHYrZ33LJ7RUHj_h-qkAFL92bcVjtIdVa-UlsCw"", ""Interns!O:O""), 
   ""Not Found"")"),"Ousmane reached out by email 3/26 and reach out by text 3/28")</f>
        <v>Ousmane reached out by email 3/26 and reach out by text 3/28</v>
      </c>
      <c r="AN716" s="23"/>
      <c r="AO716" s="23" t="s">
        <v>9915</v>
      </c>
      <c r="AP716" s="28" t="s">
        <v>5182</v>
      </c>
      <c r="AQ716" s="28"/>
      <c r="AR716" s="23"/>
      <c r="AS716" s="23"/>
      <c r="AT716" s="23"/>
      <c r="AU716" s="23"/>
      <c r="AV716" s="23"/>
    </row>
    <row r="717">
      <c r="A717" s="28" t="s">
        <v>5161</v>
      </c>
      <c r="B717" s="28" t="s">
        <v>5162</v>
      </c>
      <c r="C717" s="23" t="str">
        <f t="shared" si="1"/>
        <v>Camila llivicura</v>
      </c>
      <c r="D717" s="28" t="s">
        <v>9342</v>
      </c>
      <c r="E717" s="28" t="s">
        <v>9916</v>
      </c>
      <c r="F717" s="23">
        <f t="array" ref="F717">IFERROR(
    INDEX('Hub Interns 226'!A:A, MATCH(C717, 'Hub Interns 226'!B:B, 0)),"")</f>
        <v>331</v>
      </c>
      <c r="G717" s="23">
        <f t="array" ref="G717">IFERROR(
    INDEX('Hub Users 226'!A:A, MATCH(C717, 'Hub Users 226'!B:B, 0)),"")</f>
        <v>764</v>
      </c>
      <c r="H717" s="28">
        <v>1733.0</v>
      </c>
      <c r="I717" s="28" t="s">
        <v>260</v>
      </c>
      <c r="J717" s="28" t="s">
        <v>2388</v>
      </c>
      <c r="K717" s="28" t="s">
        <v>5463</v>
      </c>
      <c r="L717" s="28" t="s">
        <v>5196</v>
      </c>
      <c r="M717" s="56" t="s">
        <v>9344</v>
      </c>
      <c r="N717" s="57">
        <v>45266.58819444444</v>
      </c>
      <c r="O717" s="58">
        <v>40403.0</v>
      </c>
      <c r="P717" s="28">
        <f t="shared" si="20"/>
        <v>15</v>
      </c>
      <c r="Q717" s="28" t="s">
        <v>240</v>
      </c>
      <c r="R717" s="28" t="s">
        <v>9917</v>
      </c>
      <c r="S717" s="28"/>
      <c r="T717" s="28"/>
      <c r="U717" s="28"/>
      <c r="V717" s="28"/>
      <c r="W717" s="28" t="s">
        <v>1173</v>
      </c>
      <c r="X717" s="28" t="s">
        <v>272</v>
      </c>
      <c r="Y717" s="28" t="s">
        <v>5351</v>
      </c>
      <c r="Z717" s="28" t="s">
        <v>5352</v>
      </c>
      <c r="AA717" s="28" t="s">
        <v>5287</v>
      </c>
      <c r="AB717" s="28">
        <v>26.0</v>
      </c>
      <c r="AC717" s="28" t="s">
        <v>27</v>
      </c>
      <c r="AD717" s="23"/>
      <c r="AE717" s="28" t="s">
        <v>18</v>
      </c>
      <c r="AF717" s="23"/>
      <c r="AG717" s="23"/>
      <c r="AH717" s="23" t="str">
        <f>IFERROR(__xludf.DUMMYFUNCTION("IF(
ISNUMBER(MATCH(
C717,
IMPORTRANGE(""https://docs.google.com/spreadsheets/d/1yTh1ELC33JHYOeEdgIiEclxPRyh0zOKtlawDltfUay8"",""'Interns'!A:A""),
0
)),
""Outreach Conducted"",
"""")"),"")</f>
        <v/>
      </c>
      <c r="AI717" s="23"/>
      <c r="AJ717" s="23"/>
      <c r="AK717" s="23" t="str">
        <f>IFERROR(__xludf.DUMMYFUNCTION("XLOOKUP(C717, 
   IMPORTRANGE(""1RdEdgHYrZ33LJ7RUHj_h-qkAFL92bcVjtIdVa-UlsCw"", ""Interns!D:D""), 
   IMPORTRANGE(""1RdEdgHYrZ33LJ7RUHj_h-qkAFL92bcVjtIdVa-UlsCw"", ""Interns!M:M""), 
   ""Not Found"")"),"Contacted")</f>
        <v>Contacted</v>
      </c>
      <c r="AL717" s="23" t="str">
        <f>IFERROR(__xludf.DUMMYFUNCTION("XLOOKUP(C717, 
   IMPORTRANGE(""1RdEdgHYrZ33LJ7RUHj_h-qkAFL92bcVjtIdVa-UlsCw"", ""Interns!D:D""), 
   IMPORTRANGE(""1RdEdgHYrZ33LJ7RUHj_h-qkAFL92bcVjtIdVa-UlsCw"", ""Interns!N:N""), 
   ""Not Found"")"),"#Cheers4Careers")</f>
        <v>#Cheers4Careers</v>
      </c>
      <c r="AM717" s="23" t="str">
        <f>IFERROR(__xludf.DUMMYFUNCTION("XLOOKUP(C717, 
   IMPORTRANGE(""1RdEdgHYrZ33LJ7RUHj_h-qkAFL92bcVjtIdVa-UlsCw"", ""Interns!D:D""), 
   IMPORTRANGE(""1RdEdgHYrZ33LJ7RUHj_h-qkAFL92bcVjtIdVa-UlsCw"", ""Interns!O:O""), 
   ""Not Found"")"),"Hetal reached out by email 3/27")</f>
        <v>Hetal reached out by email 3/27</v>
      </c>
      <c r="AN717" s="23"/>
      <c r="AO717" s="23" t="s">
        <v>9347</v>
      </c>
      <c r="AP717" s="28" t="s">
        <v>5191</v>
      </c>
      <c r="AQ717" s="28"/>
      <c r="AR717" s="23"/>
      <c r="AS717" s="23"/>
      <c r="AT717" s="23"/>
      <c r="AU717" s="23"/>
      <c r="AV717" s="23"/>
    </row>
    <row r="718">
      <c r="A718" s="28" t="s">
        <v>5161</v>
      </c>
      <c r="B718" s="28" t="s">
        <v>31</v>
      </c>
      <c r="C718" s="23" t="str">
        <f t="shared" si="1"/>
        <v>Keren Mejia Calderon</v>
      </c>
      <c r="D718" s="28" t="s">
        <v>9918</v>
      </c>
      <c r="E718" s="28" t="s">
        <v>9919</v>
      </c>
      <c r="F718" s="23">
        <f t="array" ref="F718">IFERROR(
    INDEX('Hub Interns 226'!A:A, MATCH(C718, 'Hub Interns 226'!B:B, 0)),"")</f>
        <v>48</v>
      </c>
      <c r="G718" s="23">
        <f t="array" ref="G718">IFERROR(
    INDEX('Hub Users 226'!A:A, MATCH(C718, 'Hub Users 226'!B:B, 0)),"")</f>
        <v>481</v>
      </c>
      <c r="H718" s="28">
        <v>830.0</v>
      </c>
      <c r="I718" s="28" t="s">
        <v>417</v>
      </c>
      <c r="J718" s="28"/>
      <c r="K718" s="28"/>
      <c r="L718" s="28" t="s">
        <v>5196</v>
      </c>
      <c r="M718" s="56" t="s">
        <v>9920</v>
      </c>
      <c r="N718" s="57">
        <v>44574.64027777778</v>
      </c>
      <c r="O718" s="58">
        <v>38430.0</v>
      </c>
      <c r="P718" s="28">
        <f t="shared" si="20"/>
        <v>21</v>
      </c>
      <c r="Q718" s="28" t="s">
        <v>240</v>
      </c>
      <c r="R718" s="28" t="s">
        <v>9921</v>
      </c>
      <c r="S718" s="28"/>
      <c r="T718" s="28"/>
      <c r="U718" s="28"/>
      <c r="V718" s="28"/>
      <c r="W718" s="28" t="s">
        <v>271</v>
      </c>
      <c r="X718" s="28" t="s">
        <v>272</v>
      </c>
      <c r="Y718" s="28" t="s">
        <v>9922</v>
      </c>
      <c r="Z718" s="28" t="s">
        <v>5259</v>
      </c>
      <c r="AA718" s="28" t="s">
        <v>704</v>
      </c>
      <c r="AB718" s="28">
        <v>2.0</v>
      </c>
      <c r="AC718" s="28" t="s">
        <v>28</v>
      </c>
      <c r="AD718" s="23"/>
      <c r="AE718" s="28" t="s">
        <v>10</v>
      </c>
      <c r="AF718" s="23"/>
      <c r="AG718" s="23"/>
      <c r="AH718" s="23" t="str">
        <f>IFERROR(__xludf.DUMMYFUNCTION("IF(
ISNUMBER(MATCH(
C718,
IMPORTRANGE(""https://docs.google.com/spreadsheets/d/1yTh1ELC33JHYOeEdgIiEclxPRyh0zOKtlawDltfUay8"",""'Interns'!A:A""),
0
)),
""Outreach Conducted"",
"""")"),"")</f>
        <v/>
      </c>
      <c r="AI718" s="23"/>
      <c r="AJ718" s="23"/>
      <c r="AK718" s="23" t="str">
        <f>IFERROR(__xludf.DUMMYFUNCTION("XLOOKUP(C718, 
   IMPORTRANGE(""1RdEdgHYrZ33LJ7RUHj_h-qkAFL92bcVjtIdVa-UlsCw"", ""Interns!D:D""), 
   IMPORTRANGE(""1RdEdgHYrZ33LJ7RUHj_h-qkAFL92bcVjtIdVa-UlsCw"", ""Interns!M:M""), 
   ""Not Found"")"),"")</f>
        <v/>
      </c>
      <c r="AL718" s="23" t="str">
        <f>IFERROR(__xludf.DUMMYFUNCTION("XLOOKUP(C718, 
   IMPORTRANGE(""1RdEdgHYrZ33LJ7RUHj_h-qkAFL92bcVjtIdVa-UlsCw"", ""Interns!D:D""), 
   IMPORTRANGE(""1RdEdgHYrZ33LJ7RUHj_h-qkAFL92bcVjtIdVa-UlsCw"", ""Interns!N:N""), 
   ""Not Found"")"),"")</f>
        <v/>
      </c>
      <c r="AM718" s="23" t="str">
        <f>IFERROR(__xludf.DUMMYFUNCTION("XLOOKUP(C718, 
   IMPORTRANGE(""1RdEdgHYrZ33LJ7RUHj_h-qkAFL92bcVjtIdVa-UlsCw"", ""Interns!D:D""), 
   IMPORTRANGE(""1RdEdgHYrZ33LJ7RUHj_h-qkAFL92bcVjtIdVa-UlsCw"", ""Interns!O:O""), 
   ""Not Found"")"),"")</f>
        <v/>
      </c>
      <c r="AN718" s="23"/>
      <c r="AO718" s="23" t="s">
        <v>4816</v>
      </c>
      <c r="AP718" s="28" t="s">
        <v>5182</v>
      </c>
      <c r="AQ718" s="28" t="s">
        <v>9923</v>
      </c>
      <c r="AR718" s="23" t="s">
        <v>9924</v>
      </c>
      <c r="AS718" s="23"/>
      <c r="AT718" s="23"/>
      <c r="AU718" s="23"/>
      <c r="AV718" s="23"/>
    </row>
    <row r="719">
      <c r="A719" s="28" t="s">
        <v>5161</v>
      </c>
      <c r="B719" s="28" t="s">
        <v>5162</v>
      </c>
      <c r="C719" s="23" t="str">
        <f t="shared" si="1"/>
        <v>Alejandra Minan Rodriguez</v>
      </c>
      <c r="D719" s="28" t="s">
        <v>6505</v>
      </c>
      <c r="E719" s="28" t="s">
        <v>5810</v>
      </c>
      <c r="F719" s="23">
        <f t="array" ref="F719">IFERROR(
    INDEX('Hub Interns 226'!A:A, MATCH(C719, 'Hub Interns 226'!B:B, 0)),"")</f>
        <v>103</v>
      </c>
      <c r="G719" s="23">
        <f t="array" ref="G719">IFERROR(
    INDEX('Hub Users 226'!A:A, MATCH(C719, 'Hub Users 226'!B:B, 0)),"")</f>
        <v>536</v>
      </c>
      <c r="H719" s="28">
        <v>1787.0</v>
      </c>
      <c r="I719" s="28" t="s">
        <v>260</v>
      </c>
      <c r="J719" s="28" t="s">
        <v>9925</v>
      </c>
      <c r="K719" s="28" t="s">
        <v>9926</v>
      </c>
      <c r="L719" s="28" t="s">
        <v>5196</v>
      </c>
      <c r="M719" s="56" t="s">
        <v>5811</v>
      </c>
      <c r="N719" s="57">
        <v>45312.9625</v>
      </c>
      <c r="O719" s="58">
        <v>39154.0</v>
      </c>
      <c r="P719" s="28">
        <f t="shared" si="20"/>
        <v>19</v>
      </c>
      <c r="Q719" s="28" t="s">
        <v>9927</v>
      </c>
      <c r="R719" s="28" t="s">
        <v>9928</v>
      </c>
      <c r="S719" s="28">
        <v>8.0</v>
      </c>
      <c r="T719" s="28">
        <v>23.0</v>
      </c>
      <c r="U719" s="28">
        <v>46.0</v>
      </c>
      <c r="V719" s="28">
        <v>47.0</v>
      </c>
      <c r="W719" s="28" t="s">
        <v>294</v>
      </c>
      <c r="X719" s="28" t="s">
        <v>272</v>
      </c>
      <c r="Y719" s="28" t="s">
        <v>5813</v>
      </c>
      <c r="Z719" s="28" t="s">
        <v>5259</v>
      </c>
      <c r="AA719" s="28" t="s">
        <v>704</v>
      </c>
      <c r="AB719" s="28">
        <v>2.0</v>
      </c>
      <c r="AC719" s="28" t="s">
        <v>25</v>
      </c>
      <c r="AD719" s="28" t="s">
        <v>101</v>
      </c>
      <c r="AE719" s="28" t="s">
        <v>18</v>
      </c>
      <c r="AF719" s="23" t="str">
        <f>IFERROR(__xludf.DUMMYFUNCTION("TEXTJOIN("", "", TRUE,
  FILTER(Champions!C:C,
    ISNUMBER(SEARCH(C719, Champions!W:W))
  )
)"),"Bindu Krishna, Brandy Fonkam, Bindu Krishna (D)")</f>
        <v>Bindu Krishna, Brandy Fonkam, Bindu Krishna (D)</v>
      </c>
      <c r="AG719" s="26" t="s">
        <v>9929</v>
      </c>
      <c r="AH719" s="23" t="str">
        <f>IFERROR(__xludf.DUMMYFUNCTION("IF(
ISNUMBER(MATCH(
C719,
IMPORTRANGE(""https://docs.google.com/spreadsheets/d/1yTh1ELC33JHYOeEdgIiEclxPRyh0zOKtlawDltfUay8"",""'Interns'!A:A""),
0
)),
""Outreach Conducted"",
"""")"),"")</f>
        <v/>
      </c>
      <c r="AI719" s="23"/>
      <c r="AJ719" s="28" t="s">
        <v>9930</v>
      </c>
      <c r="AK719" s="23" t="str">
        <f>IFERROR(__xludf.DUMMYFUNCTION("XLOOKUP(C719, 
   IMPORTRANGE(""1RdEdgHYrZ33LJ7RUHj_h-qkAFL92bcVjtIdVa-UlsCw"", ""Interns!D:D""), 
   IMPORTRANGE(""1RdEdgHYrZ33LJ7RUHj_h-qkAFL92bcVjtIdVa-UlsCw"", ""Interns!M:M""), 
   ""Not Found"")"),"Contacted")</f>
        <v>Contacted</v>
      </c>
      <c r="AL719" s="23" t="str">
        <f>IFERROR(__xludf.DUMMYFUNCTION("XLOOKUP(C719, 
   IMPORTRANGE(""1RdEdgHYrZ33LJ7RUHj_h-qkAFL92bcVjtIdVa-UlsCw"", ""Interns!D:D""), 
   IMPORTRANGE(""1RdEdgHYrZ33LJ7RUHj_h-qkAFL92bcVjtIdVa-UlsCw"", ""Interns!N:N""), 
   ""Not Found"")"),"#Cheers4Careers")</f>
        <v>#Cheers4Careers</v>
      </c>
      <c r="AM719" s="23" t="str">
        <f>IFERROR(__xludf.DUMMYFUNCTION("XLOOKUP(C719, 
   IMPORTRANGE(""1RdEdgHYrZ33LJ7RUHj_h-qkAFL92bcVjtIdVa-UlsCw"", ""Interns!D:D""), 
   IMPORTRANGE(""1RdEdgHYrZ33LJ7RUHj_h-qkAFL92bcVjtIdVa-UlsCw"", ""Interns!O:O""), 
   ""Not Found"")"),"Hetal reached out by text on 3/28/26")</f>
        <v>Hetal reached out by text on 3/28/26</v>
      </c>
      <c r="AN719" s="23"/>
      <c r="AO719" s="23" t="s">
        <v>5814</v>
      </c>
      <c r="AP719" s="28" t="s">
        <v>5182</v>
      </c>
      <c r="AQ719" s="28" t="s">
        <v>9931</v>
      </c>
      <c r="AR719" s="23">
        <v>9.293747908E9</v>
      </c>
      <c r="AS719" s="23"/>
      <c r="AT719" s="23"/>
      <c r="AU719" s="23"/>
      <c r="AV719" s="23"/>
    </row>
    <row r="720">
      <c r="A720" s="28" t="s">
        <v>5161</v>
      </c>
      <c r="B720" s="28" t="s">
        <v>31</v>
      </c>
      <c r="C720" s="23" t="str">
        <f t="shared" si="1"/>
        <v>Alejandra Minan Rodriguez</v>
      </c>
      <c r="D720" s="28" t="s">
        <v>6505</v>
      </c>
      <c r="E720" s="28" t="s">
        <v>5810</v>
      </c>
      <c r="F720" s="23">
        <f t="array" ref="F720">IFERROR(
    INDEX('Hub Interns 226'!A:A, MATCH(C720, 'Hub Interns 226'!B:B, 0)),"")</f>
        <v>103</v>
      </c>
      <c r="G720" s="23">
        <f t="array" ref="G720">IFERROR(
    INDEX('Hub Users 226'!A:A, MATCH(C720, 'Hub Users 226'!B:B, 0)),"")</f>
        <v>536</v>
      </c>
      <c r="H720" s="28">
        <v>1787.0</v>
      </c>
      <c r="I720" s="28" t="s">
        <v>260</v>
      </c>
      <c r="J720" s="28" t="s">
        <v>9925</v>
      </c>
      <c r="K720" s="28" t="s">
        <v>9926</v>
      </c>
      <c r="L720" s="28" t="s">
        <v>5196</v>
      </c>
      <c r="M720" s="56" t="s">
        <v>5811</v>
      </c>
      <c r="N720" s="57">
        <v>45312.9625</v>
      </c>
      <c r="O720" s="58">
        <v>39154.0</v>
      </c>
      <c r="P720" s="28">
        <f t="shared" si="20"/>
        <v>19</v>
      </c>
      <c r="Q720" s="28"/>
      <c r="R720" s="28" t="s">
        <v>9928</v>
      </c>
      <c r="S720" s="28">
        <v>8.0</v>
      </c>
      <c r="T720" s="28">
        <v>23.0</v>
      </c>
      <c r="U720" s="28">
        <v>46.0</v>
      </c>
      <c r="V720" s="28">
        <v>47.0</v>
      </c>
      <c r="W720" s="28" t="s">
        <v>294</v>
      </c>
      <c r="X720" s="28" t="s">
        <v>272</v>
      </c>
      <c r="Y720" s="28" t="s">
        <v>5813</v>
      </c>
      <c r="Z720" s="28" t="s">
        <v>5259</v>
      </c>
      <c r="AA720" s="28" t="s">
        <v>704</v>
      </c>
      <c r="AB720" s="28">
        <v>2.0</v>
      </c>
      <c r="AC720" s="28" t="s">
        <v>25</v>
      </c>
      <c r="AD720" s="28" t="s">
        <v>101</v>
      </c>
      <c r="AE720" s="28" t="s">
        <v>15</v>
      </c>
      <c r="AF720" s="23"/>
      <c r="AG720" s="23"/>
      <c r="AH720" s="23" t="str">
        <f>IFERROR(__xludf.DUMMYFUNCTION("IF(
ISNUMBER(MATCH(
C720,
IMPORTRANGE(""https://docs.google.com/spreadsheets/d/1yTh1ELC33JHYOeEdgIiEclxPRyh0zOKtlawDltfUay8"",""'Interns'!A:A""),
0
)),
""Outreach Conducted"",
"""")"),"")</f>
        <v/>
      </c>
      <c r="AI720" s="23"/>
      <c r="AJ720" s="28"/>
      <c r="AK720" s="23" t="str">
        <f>IFERROR(__xludf.DUMMYFUNCTION("XLOOKUP(C720, 
   IMPORTRANGE(""1RdEdgHYrZ33LJ7RUHj_h-qkAFL92bcVjtIdVa-UlsCw"", ""Interns!D:D""), 
   IMPORTRANGE(""1RdEdgHYrZ33LJ7RUHj_h-qkAFL92bcVjtIdVa-UlsCw"", ""Interns!M:M""), 
   ""Not Found"")"),"Contacted")</f>
        <v>Contacted</v>
      </c>
      <c r="AL720" s="23" t="str">
        <f>IFERROR(__xludf.DUMMYFUNCTION("XLOOKUP(C720, 
   IMPORTRANGE(""1RdEdgHYrZ33LJ7RUHj_h-qkAFL92bcVjtIdVa-UlsCw"", ""Interns!D:D""), 
   IMPORTRANGE(""1RdEdgHYrZ33LJ7RUHj_h-qkAFL92bcVjtIdVa-UlsCw"", ""Interns!N:N""), 
   ""Not Found"")"),"#Cheers4Careers")</f>
        <v>#Cheers4Careers</v>
      </c>
      <c r="AM720" s="23" t="str">
        <f>IFERROR(__xludf.DUMMYFUNCTION("XLOOKUP(C720, 
   IMPORTRANGE(""1RdEdgHYrZ33LJ7RUHj_h-qkAFL92bcVjtIdVa-UlsCw"", ""Interns!D:D""), 
   IMPORTRANGE(""1RdEdgHYrZ33LJ7RUHj_h-qkAFL92bcVjtIdVa-UlsCw"", ""Interns!O:O""), 
   ""Not Found"")"),"Hetal reached out by text on 3/28/26")</f>
        <v>Hetal reached out by text on 3/28/26</v>
      </c>
      <c r="AN720" s="23"/>
      <c r="AO720" s="23" t="s">
        <v>5814</v>
      </c>
      <c r="AP720" s="28" t="s">
        <v>5182</v>
      </c>
      <c r="AQ720" s="28" t="s">
        <v>9931</v>
      </c>
      <c r="AR720" s="23">
        <v>9.293747908E9</v>
      </c>
      <c r="AS720" s="23"/>
      <c r="AT720" s="23"/>
      <c r="AU720" s="23"/>
      <c r="AV720" s="23"/>
    </row>
    <row r="721">
      <c r="A721" s="28" t="s">
        <v>5161</v>
      </c>
      <c r="B721" s="28" t="s">
        <v>5162</v>
      </c>
      <c r="C721" s="23" t="str">
        <f t="shared" si="1"/>
        <v>Zeyad Marzouk</v>
      </c>
      <c r="D721" s="28" t="s">
        <v>9932</v>
      </c>
      <c r="E721" s="28" t="s">
        <v>8974</v>
      </c>
      <c r="F721" s="23">
        <f t="array" ref="F721">IFERROR(
    INDEX('Hub Interns 226'!A:A, MATCH(C721, 'Hub Interns 226'!B:B, 0)),"")</f>
        <v>1256</v>
      </c>
      <c r="G721" s="23">
        <f t="array" ref="G721">IFERROR(
    INDEX('Hub Users 226'!A:A, MATCH(C721, 'Hub Users 226'!B:B, 0)),"")</f>
        <v>1689</v>
      </c>
      <c r="H721" s="28">
        <v>574.0</v>
      </c>
      <c r="I721" s="28" t="s">
        <v>260</v>
      </c>
      <c r="J721" s="28" t="s">
        <v>8975</v>
      </c>
      <c r="K721" s="28" t="s">
        <v>5245</v>
      </c>
      <c r="L721" s="28" t="s">
        <v>5165</v>
      </c>
      <c r="M721" s="56" t="s">
        <v>9933</v>
      </c>
      <c r="N721" s="59">
        <v>44481.53888888889</v>
      </c>
      <c r="O721" s="58">
        <v>38417.0</v>
      </c>
      <c r="P721" s="28">
        <f t="shared" si="20"/>
        <v>21</v>
      </c>
      <c r="Q721" s="28" t="s">
        <v>240</v>
      </c>
      <c r="R721" s="28">
        <v>11355.0</v>
      </c>
      <c r="S721" s="28"/>
      <c r="T721" s="28"/>
      <c r="U721" s="28"/>
      <c r="V721" s="28"/>
      <c r="W721" s="28" t="s">
        <v>1173</v>
      </c>
      <c r="X721" s="28" t="s">
        <v>272</v>
      </c>
      <c r="Y721" s="28" t="s">
        <v>9934</v>
      </c>
      <c r="Z721" s="28" t="s">
        <v>5189</v>
      </c>
      <c r="AA721" s="28" t="s">
        <v>619</v>
      </c>
      <c r="AB721" s="28">
        <v>20.0</v>
      </c>
      <c r="AC721" s="28" t="s">
        <v>25</v>
      </c>
      <c r="AD721" s="23"/>
      <c r="AE721" s="28" t="s">
        <v>10</v>
      </c>
      <c r="AF721" s="23" t="str">
        <f>IFERROR(__xludf.DUMMYFUNCTION("TEXTJOIN("", "", TRUE,
  FILTER(Champions!C:C,
    ISNUMBER(SEARCH(C721, Champions!W:W))
  )
)"),"Bela Madrigal, Pritika Kumar")</f>
        <v>Bela Madrigal, Pritika Kumar</v>
      </c>
      <c r="AG721" s="23"/>
      <c r="AH721" s="23" t="str">
        <f>IFERROR(__xludf.DUMMYFUNCTION("IF(
ISNUMBER(MATCH(
C721,
IMPORTRANGE(""https://docs.google.com/spreadsheets/d/1yTh1ELC33JHYOeEdgIiEclxPRyh0zOKtlawDltfUay8"",""'Interns'!A:A""),
0
)),
""Outreach Conducted"",
"""")"),"")</f>
        <v/>
      </c>
      <c r="AI721" s="23"/>
      <c r="AJ721" s="23"/>
      <c r="AK721" s="23" t="str">
        <f>IFERROR(__xludf.DUMMYFUNCTION("XLOOKUP(C721, 
   IMPORTRANGE(""1RdEdgHYrZ33LJ7RUHj_h-qkAFL92bcVjtIdVa-UlsCw"", ""Interns!D:D""), 
   IMPORTRANGE(""1RdEdgHYrZ33LJ7RUHj_h-qkAFL92bcVjtIdVa-UlsCw"", ""Interns!M:M""), 
   ""Not Found"")"),"Contacted")</f>
        <v>Contacted</v>
      </c>
      <c r="AL721" s="23" t="str">
        <f>IFERROR(__xludf.DUMMYFUNCTION("XLOOKUP(C721, 
   IMPORTRANGE(""1RdEdgHYrZ33LJ7RUHj_h-qkAFL92bcVjtIdVa-UlsCw"", ""Interns!D:D""), 
   IMPORTRANGE(""1RdEdgHYrZ33LJ7RUHj_h-qkAFL92bcVjtIdVa-UlsCw"", ""Interns!N:N""), 
   ""Not Found"")"),"#Cheers4Careers")</f>
        <v>#Cheers4Careers</v>
      </c>
      <c r="AM721" s="23" t="str">
        <f>IFERROR(__xludf.DUMMYFUNCTION("XLOOKUP(C721, 
   IMPORTRANGE(""1RdEdgHYrZ33LJ7RUHj_h-qkAFL92bcVjtIdVa-UlsCw"", ""Interns!D:D""), 
   IMPORTRANGE(""1RdEdgHYrZ33LJ7RUHj_h-qkAFL92bcVjtIdVa-UlsCw"", ""Interns!O:O""), 
   ""Not Found"")"),"Hetal reached out by email 3/27 followed by text")</f>
        <v>Hetal reached out by email 3/27 followed by text</v>
      </c>
      <c r="AN721" s="23"/>
      <c r="AO721" s="23" t="s">
        <v>9935</v>
      </c>
      <c r="AP721" s="28" t="s">
        <v>5191</v>
      </c>
      <c r="AQ721" s="28" t="s">
        <v>9933</v>
      </c>
      <c r="AR721" s="23" t="s">
        <v>9934</v>
      </c>
      <c r="AS721" s="23"/>
      <c r="AT721" s="23"/>
      <c r="AU721" s="23"/>
      <c r="AV721" s="23"/>
    </row>
    <row r="722">
      <c r="A722" s="28" t="s">
        <v>5161</v>
      </c>
      <c r="B722" s="28" t="s">
        <v>31</v>
      </c>
      <c r="C722" s="23" t="str">
        <f t="shared" si="1"/>
        <v>Lady Villa</v>
      </c>
      <c r="D722" s="28" t="s">
        <v>3776</v>
      </c>
      <c r="E722" s="28" t="s">
        <v>9313</v>
      </c>
      <c r="F722" s="23">
        <f t="array" ref="F722">IFERROR(
    INDEX('Hub Interns 226'!A:A, MATCH(C722, 'Hub Interns 226'!B:B, 0)),"")</f>
        <v>50</v>
      </c>
      <c r="G722" s="23">
        <f t="array" ref="G722">IFERROR(
    INDEX('Hub Users 226'!A:A, MATCH(C722, 'Hub Users 226'!B:B, 0)),"")</f>
        <v>483</v>
      </c>
      <c r="H722" s="28">
        <v>723.0</v>
      </c>
      <c r="I722" s="28" t="s">
        <v>260</v>
      </c>
      <c r="J722" s="28"/>
      <c r="K722" s="28"/>
      <c r="L722" s="28" t="s">
        <v>5196</v>
      </c>
      <c r="M722" s="56" t="s">
        <v>9314</v>
      </c>
      <c r="N722" s="59">
        <v>44550.39791666667</v>
      </c>
      <c r="O722" s="58">
        <v>37889.0</v>
      </c>
      <c r="P722" s="28">
        <f t="shared" si="20"/>
        <v>22</v>
      </c>
      <c r="Q722" s="28" t="s">
        <v>240</v>
      </c>
      <c r="R722" s="28" t="s">
        <v>9315</v>
      </c>
      <c r="S722" s="28"/>
      <c r="T722" s="28"/>
      <c r="U722" s="28"/>
      <c r="V722" s="28"/>
      <c r="W722" s="28" t="s">
        <v>1173</v>
      </c>
      <c r="X722" s="28" t="s">
        <v>272</v>
      </c>
      <c r="Y722" s="28" t="s">
        <v>9316</v>
      </c>
      <c r="Z722" s="28" t="s">
        <v>5259</v>
      </c>
      <c r="AA722" s="28" t="s">
        <v>704</v>
      </c>
      <c r="AB722" s="28">
        <v>2.0</v>
      </c>
      <c r="AC722" s="28" t="s">
        <v>28</v>
      </c>
      <c r="AD722" s="23"/>
      <c r="AE722" s="28" t="s">
        <v>10</v>
      </c>
      <c r="AF722" s="23"/>
      <c r="AG722" s="23"/>
      <c r="AH722" s="23" t="str">
        <f>IFERROR(__xludf.DUMMYFUNCTION("IF(
ISNUMBER(MATCH(
C722,
IMPORTRANGE(""https://docs.google.com/spreadsheets/d/1yTh1ELC33JHYOeEdgIiEclxPRyh0zOKtlawDltfUay8"",""'Interns'!A:A""),
0
)),
""Outreach Conducted"",
"""")"),"")</f>
        <v/>
      </c>
      <c r="AI722" s="23"/>
      <c r="AJ722" s="23"/>
      <c r="AK722" s="23" t="str">
        <f>IFERROR(__xludf.DUMMYFUNCTION("XLOOKUP(C722, 
   IMPORTRANGE(""1RdEdgHYrZ33LJ7RUHj_h-qkAFL92bcVjtIdVa-UlsCw"", ""Interns!D:D""), 
   IMPORTRANGE(""1RdEdgHYrZ33LJ7RUHj_h-qkAFL92bcVjtIdVa-UlsCw"", ""Interns!M:M""), 
   ""Not Found"")"),"")</f>
        <v/>
      </c>
      <c r="AL722" s="23" t="str">
        <f>IFERROR(__xludf.DUMMYFUNCTION("XLOOKUP(C722, 
   IMPORTRANGE(""1RdEdgHYrZ33LJ7RUHj_h-qkAFL92bcVjtIdVa-UlsCw"", ""Interns!D:D""), 
   IMPORTRANGE(""1RdEdgHYrZ33LJ7RUHj_h-qkAFL92bcVjtIdVa-UlsCw"", ""Interns!N:N""), 
   ""Not Found"")"),"")</f>
        <v/>
      </c>
      <c r="AM722" s="23" t="str">
        <f>IFERROR(__xludf.DUMMYFUNCTION("XLOOKUP(C722, 
   IMPORTRANGE(""1RdEdgHYrZ33LJ7RUHj_h-qkAFL92bcVjtIdVa-UlsCw"", ""Interns!D:D""), 
   IMPORTRANGE(""1RdEdgHYrZ33LJ7RUHj_h-qkAFL92bcVjtIdVa-UlsCw"", ""Interns!O:O""), 
   ""Not Found"")"),"")</f>
        <v/>
      </c>
      <c r="AN722" s="23"/>
      <c r="AO722" s="23" t="s">
        <v>9317</v>
      </c>
      <c r="AP722" s="28" t="s">
        <v>5182</v>
      </c>
      <c r="AQ722" s="28" t="s">
        <v>9318</v>
      </c>
      <c r="AR722" s="23" t="s">
        <v>9319</v>
      </c>
      <c r="AS722" s="23"/>
      <c r="AT722" s="23"/>
      <c r="AU722" s="23"/>
      <c r="AV722" s="23"/>
    </row>
    <row r="723">
      <c r="A723" s="28" t="s">
        <v>5161</v>
      </c>
      <c r="B723" s="28" t="s">
        <v>5162</v>
      </c>
      <c r="C723" s="23" t="str">
        <f t="shared" si="1"/>
        <v>Abdelrahman Mohamed</v>
      </c>
      <c r="D723" s="28" t="s">
        <v>257</v>
      </c>
      <c r="E723" s="28" t="s">
        <v>9486</v>
      </c>
      <c r="F723" s="23">
        <f t="array" ref="F723">IFERROR(
    INDEX('Hub Interns 226'!A:A, MATCH(C723, 'Hub Interns 226'!B:B, 0)),"")</f>
        <v>211</v>
      </c>
      <c r="G723" s="23">
        <f t="array" ref="G723">IFERROR(
    INDEX('Hub Users 226'!A:A, MATCH(C723, 'Hub Users 226'!B:B, 0)),"")</f>
        <v>644</v>
      </c>
      <c r="H723" s="28">
        <v>710.0</v>
      </c>
      <c r="I723" s="28" t="s">
        <v>260</v>
      </c>
      <c r="J723" s="28" t="s">
        <v>8975</v>
      </c>
      <c r="K723" s="28" t="s">
        <v>5245</v>
      </c>
      <c r="L723" s="28" t="s">
        <v>5165</v>
      </c>
      <c r="M723" s="56" t="s">
        <v>9936</v>
      </c>
      <c r="N723" s="59">
        <v>44547.322916666664</v>
      </c>
      <c r="O723" s="58">
        <v>38540.0</v>
      </c>
      <c r="P723" s="28">
        <f t="shared" si="20"/>
        <v>20</v>
      </c>
      <c r="Q723" s="28" t="s">
        <v>240</v>
      </c>
      <c r="R723" s="28" t="s">
        <v>9937</v>
      </c>
      <c r="S723" s="28">
        <v>11.0</v>
      </c>
      <c r="T723" s="28">
        <v>17.0</v>
      </c>
      <c r="U723" s="28">
        <v>49.0</v>
      </c>
      <c r="V723" s="28">
        <v>43.0</v>
      </c>
      <c r="W723" s="28" t="s">
        <v>294</v>
      </c>
      <c r="X723" s="28" t="s">
        <v>272</v>
      </c>
      <c r="Y723" s="28" t="s">
        <v>9938</v>
      </c>
      <c r="Z723" s="28" t="s">
        <v>5386</v>
      </c>
      <c r="AA723" s="28" t="s">
        <v>1887</v>
      </c>
      <c r="AB723" s="28">
        <v>47.0</v>
      </c>
      <c r="AC723" s="28" t="s">
        <v>25</v>
      </c>
      <c r="AD723" s="23"/>
      <c r="AE723" s="28" t="s">
        <v>10</v>
      </c>
      <c r="AF723" s="23" t="str">
        <f>IFERROR(__xludf.DUMMYFUNCTION("TEXTJOIN("", "", TRUE,
  FILTER(Champions!C:C,
    ISNUMBER(SEARCH(C723, Champions!W:W))
  )
)"),"Abhishek Mehta, Wendy Velasquez Ebanks")</f>
        <v>Abhishek Mehta, Wendy Velasquez Ebanks</v>
      </c>
      <c r="AG723" s="23"/>
      <c r="AH723" s="23" t="str">
        <f>IFERROR(__xludf.DUMMYFUNCTION("IF(
ISNUMBER(MATCH(
C723,
IMPORTRANGE(""https://docs.google.com/spreadsheets/d/1yTh1ELC33JHYOeEdgIiEclxPRyh0zOKtlawDltfUay8"",""'Interns'!A:A""),
0
)),
""Outreach Conducted"",
"""")"),"")</f>
        <v/>
      </c>
      <c r="AI723" s="23"/>
      <c r="AJ723" s="23"/>
      <c r="AK723" s="23" t="str">
        <f>IFERROR(__xludf.DUMMYFUNCTION("XLOOKUP(C723, 
   IMPORTRANGE(""1RdEdgHYrZ33LJ7RUHj_h-qkAFL92bcVjtIdVa-UlsCw"", ""Interns!D:D""), 
   IMPORTRANGE(""1RdEdgHYrZ33LJ7RUHj_h-qkAFL92bcVjtIdVa-UlsCw"", ""Interns!M:M""), 
   ""Not Found"")"),"Contacted")</f>
        <v>Contacted</v>
      </c>
      <c r="AL723" s="23" t="str">
        <f>IFERROR(__xludf.DUMMYFUNCTION("XLOOKUP(C723, 
   IMPORTRANGE(""1RdEdgHYrZ33LJ7RUHj_h-qkAFL92bcVjtIdVa-UlsCw"", ""Interns!D:D""), 
   IMPORTRANGE(""1RdEdgHYrZ33LJ7RUHj_h-qkAFL92bcVjtIdVa-UlsCw"", ""Interns!N:N""), 
   ""Not Found"")"),"#Cheers4Careers")</f>
        <v>#Cheers4Careers</v>
      </c>
      <c r="AM723" s="23" t="str">
        <f>IFERROR(__xludf.DUMMYFUNCTION("XLOOKUP(C723, 
   IMPORTRANGE(""1RdEdgHYrZ33LJ7RUHj_h-qkAFL92bcVjtIdVa-UlsCw"", ""Interns!D:D""), 
   IMPORTRANGE(""1RdEdgHYrZ33LJ7RUHj_h-qkAFL92bcVjtIdVa-UlsCw"", ""Interns!O:O""), 
   ""Not Found"")"),"Hetal reached out by email 3/27")</f>
        <v>Hetal reached out by email 3/27</v>
      </c>
      <c r="AN723" s="23"/>
      <c r="AO723" s="23" t="s">
        <v>9939</v>
      </c>
      <c r="AP723" s="28" t="s">
        <v>5191</v>
      </c>
      <c r="AQ723" s="28" t="s">
        <v>9940</v>
      </c>
      <c r="AR723" s="23" t="s">
        <v>9941</v>
      </c>
      <c r="AS723" s="23"/>
      <c r="AT723" s="23"/>
      <c r="AU723" s="23"/>
      <c r="AV723" s="23"/>
    </row>
    <row r="724">
      <c r="A724" s="28" t="s">
        <v>5161</v>
      </c>
      <c r="B724" s="28" t="s">
        <v>31</v>
      </c>
      <c r="C724" s="23" t="str">
        <f t="shared" si="1"/>
        <v>Leo Monnier</v>
      </c>
      <c r="D724" s="28" t="s">
        <v>9942</v>
      </c>
      <c r="E724" s="28" t="s">
        <v>9943</v>
      </c>
      <c r="F724" s="23">
        <f t="array" ref="F724">IFERROR(
    INDEX('Hub Interns 226'!A:A, MATCH(C724, 'Hub Interns 226'!B:B, 0)),"")</f>
        <v>51</v>
      </c>
      <c r="G724" s="23">
        <f t="array" ref="G724">IFERROR(
    INDEX('Hub Users 226'!A:A, MATCH(C724, 'Hub Users 226'!B:B, 0)),"")</f>
        <v>484</v>
      </c>
      <c r="H724" s="28">
        <v>730.0</v>
      </c>
      <c r="I724" s="28" t="s">
        <v>239</v>
      </c>
      <c r="J724" s="28"/>
      <c r="K724" s="28"/>
      <c r="L724" s="28" t="s">
        <v>5165</v>
      </c>
      <c r="M724" s="56" t="s">
        <v>9944</v>
      </c>
      <c r="N724" s="59">
        <v>44550.54791666667</v>
      </c>
      <c r="O724" s="58">
        <v>38194.0</v>
      </c>
      <c r="P724" s="28">
        <f t="shared" si="20"/>
        <v>21</v>
      </c>
      <c r="Q724" s="28" t="s">
        <v>9945</v>
      </c>
      <c r="R724" s="28" t="s">
        <v>9946</v>
      </c>
      <c r="S724" s="28"/>
      <c r="T724" s="28"/>
      <c r="U724" s="28"/>
      <c r="V724" s="28"/>
      <c r="W724" s="28" t="s">
        <v>294</v>
      </c>
      <c r="X724" s="28" t="s">
        <v>272</v>
      </c>
      <c r="Y724" s="28" t="s">
        <v>9947</v>
      </c>
      <c r="Z724" s="28" t="s">
        <v>5259</v>
      </c>
      <c r="AA724" s="28" t="s">
        <v>704</v>
      </c>
      <c r="AB724" s="28">
        <v>2.0</v>
      </c>
      <c r="AC724" s="28" t="s">
        <v>28</v>
      </c>
      <c r="AD724" s="23"/>
      <c r="AE724" s="28" t="s">
        <v>10</v>
      </c>
      <c r="AF724" s="23"/>
      <c r="AG724" s="23"/>
      <c r="AH724" s="23" t="str">
        <f>IFERROR(__xludf.DUMMYFUNCTION("IF(
ISNUMBER(MATCH(
C724,
IMPORTRANGE(""https://docs.google.com/spreadsheets/d/1yTh1ELC33JHYOeEdgIiEclxPRyh0zOKtlawDltfUay8"",""'Interns'!A:A""),
0
)),
""Outreach Conducted"",
"""")"),"")</f>
        <v/>
      </c>
      <c r="AI724" s="23"/>
      <c r="AJ724" s="23"/>
      <c r="AK724" s="23" t="str">
        <f>IFERROR(__xludf.DUMMYFUNCTION("XLOOKUP(C724, 
   IMPORTRANGE(""1RdEdgHYrZ33LJ7RUHj_h-qkAFL92bcVjtIdVa-UlsCw"", ""Interns!D:D""), 
   IMPORTRANGE(""1RdEdgHYrZ33LJ7RUHj_h-qkAFL92bcVjtIdVa-UlsCw"", ""Interns!M:M""), 
   ""Not Found"")"),"")</f>
        <v/>
      </c>
      <c r="AL724" s="23" t="str">
        <f>IFERROR(__xludf.DUMMYFUNCTION("XLOOKUP(C724, 
   IMPORTRANGE(""1RdEdgHYrZ33LJ7RUHj_h-qkAFL92bcVjtIdVa-UlsCw"", ""Interns!D:D""), 
   IMPORTRANGE(""1RdEdgHYrZ33LJ7RUHj_h-qkAFL92bcVjtIdVa-UlsCw"", ""Interns!N:N""), 
   ""Not Found"")"),"")</f>
        <v/>
      </c>
      <c r="AM724" s="23" t="str">
        <f>IFERROR(__xludf.DUMMYFUNCTION("XLOOKUP(C724, 
   IMPORTRANGE(""1RdEdgHYrZ33LJ7RUHj_h-qkAFL92bcVjtIdVa-UlsCw"", ""Interns!D:D""), 
   IMPORTRANGE(""1RdEdgHYrZ33LJ7RUHj_h-qkAFL92bcVjtIdVa-UlsCw"", ""Interns!O:O""), 
   ""Not Found"")"),"")</f>
        <v/>
      </c>
      <c r="AN724" s="23"/>
      <c r="AO724" s="23" t="s">
        <v>9948</v>
      </c>
      <c r="AP724" s="28" t="s">
        <v>5182</v>
      </c>
      <c r="AQ724" s="28" t="s">
        <v>9949</v>
      </c>
      <c r="AR724" s="23" t="s">
        <v>9950</v>
      </c>
      <c r="AS724" s="23"/>
      <c r="AT724" s="23"/>
      <c r="AU724" s="23"/>
      <c r="AV724" s="23"/>
    </row>
    <row r="725">
      <c r="A725" s="28" t="s">
        <v>5202</v>
      </c>
      <c r="B725" s="28" t="s">
        <v>5162</v>
      </c>
      <c r="C725" s="23" t="str">
        <f t="shared" si="1"/>
        <v>Aicha Doukoure</v>
      </c>
      <c r="D725" s="28" t="s">
        <v>9951</v>
      </c>
      <c r="E725" s="28" t="s">
        <v>8996</v>
      </c>
      <c r="F725" s="23">
        <f t="array" ref="F725">IFERROR(
    INDEX('Hub Interns 226'!A:A, MATCH(C725, 'Hub Interns 226'!B:B, 0)),"")</f>
        <v>158</v>
      </c>
      <c r="G725" s="23">
        <f t="array" ref="G725">IFERROR(
    INDEX('Hub Users 226'!A:A, MATCH(C725, 'Hub Users 226'!B:B, 0)),"")</f>
        <v>591</v>
      </c>
      <c r="H725" s="28">
        <v>210.0</v>
      </c>
      <c r="I725" s="28" t="s">
        <v>290</v>
      </c>
      <c r="J725" s="28" t="s">
        <v>9893</v>
      </c>
      <c r="K725" s="28" t="s">
        <v>5245</v>
      </c>
      <c r="L725" s="28" t="s">
        <v>5196</v>
      </c>
      <c r="M725" s="56" t="s">
        <v>9952</v>
      </c>
      <c r="N725" s="57">
        <v>44063.89166666667</v>
      </c>
      <c r="O725" s="58">
        <v>35843.0</v>
      </c>
      <c r="P725" s="28">
        <f t="shared" si="20"/>
        <v>28</v>
      </c>
      <c r="Q725" s="28" t="s">
        <v>9953</v>
      </c>
      <c r="R725" s="28" t="s">
        <v>9954</v>
      </c>
      <c r="S725" s="28">
        <v>15.0</v>
      </c>
      <c r="T725" s="28">
        <v>33.0</v>
      </c>
      <c r="U725" s="28">
        <v>86.0</v>
      </c>
      <c r="V725" s="28">
        <v>15.0</v>
      </c>
      <c r="W725" s="28" t="s">
        <v>859</v>
      </c>
      <c r="X725" s="28" t="s">
        <v>272</v>
      </c>
      <c r="Y725" s="28">
        <v>9.29497782E9</v>
      </c>
      <c r="Z725" s="28" t="s">
        <v>5435</v>
      </c>
      <c r="AA725" s="28" t="s">
        <v>5436</v>
      </c>
      <c r="AB725" s="28">
        <v>10.0</v>
      </c>
      <c r="AC725" s="28" t="s">
        <v>25</v>
      </c>
      <c r="AD725" s="23"/>
      <c r="AE725" s="28" t="s">
        <v>10</v>
      </c>
      <c r="AF725" s="23" t="str">
        <f>IFERROR(__xludf.DUMMYFUNCTION("TEXTJOIN("", "", TRUE,
  FILTER(Champions!C:C,
    ISNUMBER(SEARCH(C725, Champions!W:W))
  )
)"),"Lena K Dandy, Rajnarind Kaur, Madhumitha Sowndararajan, Lena K Dandy (D)")</f>
        <v>Lena K Dandy, Rajnarind Kaur, Madhumitha Sowndararajan, Lena K Dandy (D)</v>
      </c>
      <c r="AG725" s="23"/>
      <c r="AH725" s="23" t="str">
        <f>IFERROR(__xludf.DUMMYFUNCTION("IF(
ISNUMBER(MATCH(
C725,
IMPORTRANGE(""https://docs.google.com/spreadsheets/d/1yTh1ELC33JHYOeEdgIiEclxPRyh0zOKtlawDltfUay8"",""'Interns'!A:A""),
0
)),
""Outreach Conducted"",
"""")"),"")</f>
        <v/>
      </c>
      <c r="AI725" s="23"/>
      <c r="AJ725" s="23"/>
      <c r="AK725" s="23" t="str">
        <f>IFERROR(__xludf.DUMMYFUNCTION("XLOOKUP(C725, 
   IMPORTRANGE(""1RdEdgHYrZ33LJ7RUHj_h-qkAFL92bcVjtIdVa-UlsCw"", ""Interns!D:D""), 
   IMPORTRANGE(""1RdEdgHYrZ33LJ7RUHj_h-qkAFL92bcVjtIdVa-UlsCw"", ""Interns!M:M""), 
   ""Not Found"")"),"")</f>
        <v/>
      </c>
      <c r="AL725" s="23" t="str">
        <f>IFERROR(__xludf.DUMMYFUNCTION("XLOOKUP(C725, 
   IMPORTRANGE(""1RdEdgHYrZ33LJ7RUHj_h-qkAFL92bcVjtIdVa-UlsCw"", ""Interns!D:D""), 
   IMPORTRANGE(""1RdEdgHYrZ33LJ7RUHj_h-qkAFL92bcVjtIdVa-UlsCw"", ""Interns!N:N""), 
   ""Not Found"")"),"")</f>
        <v/>
      </c>
      <c r="AM725" s="23" t="str">
        <f>IFERROR(__xludf.DUMMYFUNCTION("XLOOKUP(C725, 
   IMPORTRANGE(""1RdEdgHYrZ33LJ7RUHj_h-qkAFL92bcVjtIdVa-UlsCw"", ""Interns!D:D""), 
   IMPORTRANGE(""1RdEdgHYrZ33LJ7RUHj_h-qkAFL92bcVjtIdVa-UlsCw"", ""Interns!O:O""), 
   ""Not Found"")"),"")</f>
        <v/>
      </c>
      <c r="AN725" s="23"/>
      <c r="AO725" s="23" t="s">
        <v>9955</v>
      </c>
      <c r="AP725" s="28" t="s">
        <v>5908</v>
      </c>
      <c r="AQ725" s="28"/>
      <c r="AR725" s="23">
        <v>6.462684532E9</v>
      </c>
      <c r="AS725" s="23"/>
      <c r="AT725" s="23"/>
      <c r="AU725" s="23"/>
      <c r="AV725" s="23"/>
    </row>
    <row r="726">
      <c r="A726" s="28" t="s">
        <v>5161</v>
      </c>
      <c r="B726" s="28" t="s">
        <v>5162</v>
      </c>
      <c r="C726" s="23" t="str">
        <f t="shared" si="1"/>
        <v>Abdelrahman Ammar</v>
      </c>
      <c r="D726" s="22" t="s">
        <v>257</v>
      </c>
      <c r="E726" s="22" t="s">
        <v>9956</v>
      </c>
      <c r="F726" s="23"/>
      <c r="G726" s="23"/>
      <c r="H726" s="22">
        <v>1942.0</v>
      </c>
      <c r="I726" s="28"/>
      <c r="J726" s="28" t="s">
        <v>8975</v>
      </c>
      <c r="K726" s="28" t="s">
        <v>5245</v>
      </c>
      <c r="L726" s="28" t="s">
        <v>5165</v>
      </c>
      <c r="M726" s="29" t="s">
        <v>9957</v>
      </c>
      <c r="N726" s="61">
        <v>45729.50277777778</v>
      </c>
      <c r="O726" s="25">
        <v>39015.0</v>
      </c>
      <c r="P726" s="28">
        <f t="shared" si="20"/>
        <v>19</v>
      </c>
      <c r="Q726" s="62" t="s">
        <v>240</v>
      </c>
      <c r="R726" s="22" t="s">
        <v>9958</v>
      </c>
      <c r="S726" s="28">
        <v>14.0</v>
      </c>
      <c r="T726" s="28">
        <v>12.0</v>
      </c>
      <c r="U726" s="28">
        <v>34.0</v>
      </c>
      <c r="V726" s="28">
        <v>22.0</v>
      </c>
      <c r="W726" s="23"/>
      <c r="X726" s="23"/>
      <c r="Y726" s="24"/>
      <c r="Z726" s="22" t="s">
        <v>5365</v>
      </c>
      <c r="AA726" s="28" t="s">
        <v>5366</v>
      </c>
      <c r="AB726" s="28">
        <v>26.0</v>
      </c>
      <c r="AC726" s="28" t="s">
        <v>23</v>
      </c>
      <c r="AD726" s="23"/>
      <c r="AE726" s="28" t="s">
        <v>19</v>
      </c>
      <c r="AF726" s="23"/>
      <c r="AG726" s="23"/>
      <c r="AH726" s="23" t="str">
        <f>IFERROR(__xludf.DUMMYFUNCTION("IF(
ISNUMBER(MATCH(
C726,
IMPORTRANGE(""https://docs.google.com/spreadsheets/d/1yTh1ELC33JHYOeEdgIiEclxPRyh0zOKtlawDltfUay8"",""'Interns'!A:A""),
0
)),
""Outreach Conducted"",
"""")"),"")</f>
        <v/>
      </c>
      <c r="AI726" s="23"/>
      <c r="AJ726" s="23"/>
      <c r="AK726" s="23"/>
      <c r="AL726" s="23" t="str">
        <f>IFERROR(__xludf.DUMMYFUNCTION("XLOOKUP(C726, 
   IMPORTRANGE(""1RdEdgHYrZ33LJ7RUHj_h-qkAFL92bcVjtIdVa-UlsCw"", ""Interns!D:D""), 
   IMPORTRANGE(""1RdEdgHYrZ33LJ7RUHj_h-qkAFL92bcVjtIdVa-UlsCw"", ""Interns!N:N""), 
   ""Not Found"")"),"#Cheers4Careers")</f>
        <v>#Cheers4Careers</v>
      </c>
      <c r="AM726" s="23" t="str">
        <f>IFERROR(__xludf.DUMMYFUNCTION("XLOOKUP(C726, 
   IMPORTRANGE(""1RdEdgHYrZ33LJ7RUHj_h-qkAFL92bcVjtIdVa-UlsCw"", ""Interns!D:D""), 
   IMPORTRANGE(""1RdEdgHYrZ33LJ7RUHj_h-qkAFL92bcVjtIdVa-UlsCw"", ""Interns!O:O""), 
   ""Not Found"")"),"Hetal reached out March 27 for March #Cheers4 Careers ")</f>
        <v>Hetal reached out March 27 for March #Cheers4 Careers </v>
      </c>
      <c r="AN726" s="23"/>
      <c r="AO726" s="23" t="s">
        <v>9959</v>
      </c>
      <c r="AP726" s="28" t="s">
        <v>5191</v>
      </c>
      <c r="AQ726" s="28" t="s">
        <v>9960</v>
      </c>
      <c r="AR726" s="23" t="s">
        <v>9961</v>
      </c>
      <c r="AS726" s="23"/>
      <c r="AT726" s="23"/>
      <c r="AU726" s="23"/>
      <c r="AV726" s="23"/>
    </row>
    <row r="727">
      <c r="A727" s="28" t="s">
        <v>5161</v>
      </c>
      <c r="B727" s="28" t="s">
        <v>31</v>
      </c>
      <c r="C727" s="23" t="str">
        <f t="shared" si="1"/>
        <v>Luis Chimbo</v>
      </c>
      <c r="D727" s="28" t="s">
        <v>6689</v>
      </c>
      <c r="E727" s="28" t="s">
        <v>8796</v>
      </c>
      <c r="F727" s="23">
        <f t="array" ref="F727">IFERROR(
    INDEX('Hub Interns 226'!A:A, MATCH(C727, 'Hub Interns 226'!B:B, 0)),"")</f>
        <v>53</v>
      </c>
      <c r="G727" s="23">
        <f t="array" ref="G727">IFERROR(
    INDEX('Hub Users 226'!A:A, MATCH(C727, 'Hub Users 226'!B:B, 0)),"")</f>
        <v>486</v>
      </c>
      <c r="H727" s="28">
        <v>743.0</v>
      </c>
      <c r="I727" s="28" t="s">
        <v>239</v>
      </c>
      <c r="J727" s="28"/>
      <c r="K727" s="28"/>
      <c r="L727" s="28" t="s">
        <v>5165</v>
      </c>
      <c r="M727" s="56" t="s">
        <v>8797</v>
      </c>
      <c r="N727" s="59">
        <v>44551.441666666666</v>
      </c>
      <c r="O727" s="58">
        <v>38830.0</v>
      </c>
      <c r="P727" s="28">
        <f t="shared" si="20"/>
        <v>20</v>
      </c>
      <c r="Q727" s="28" t="s">
        <v>240</v>
      </c>
      <c r="R727" s="28" t="s">
        <v>8798</v>
      </c>
      <c r="S727" s="28"/>
      <c r="T727" s="28"/>
      <c r="U727" s="28"/>
      <c r="V727" s="28"/>
      <c r="W727" s="28" t="s">
        <v>859</v>
      </c>
      <c r="X727" s="28" t="s">
        <v>272</v>
      </c>
      <c r="Y727" s="28" t="s">
        <v>8799</v>
      </c>
      <c r="Z727" s="28" t="s">
        <v>5259</v>
      </c>
      <c r="AA727" s="28" t="s">
        <v>704</v>
      </c>
      <c r="AB727" s="28">
        <v>2.0</v>
      </c>
      <c r="AC727" s="28" t="s">
        <v>28</v>
      </c>
      <c r="AD727" s="23"/>
      <c r="AE727" s="28" t="s">
        <v>10</v>
      </c>
      <c r="AF727" s="23"/>
      <c r="AG727" s="23"/>
      <c r="AH727" s="23" t="str">
        <f>IFERROR(__xludf.DUMMYFUNCTION("IF(
ISNUMBER(MATCH(
C727,
IMPORTRANGE(""https://docs.google.com/spreadsheets/d/1yTh1ELC33JHYOeEdgIiEclxPRyh0zOKtlawDltfUay8"",""'Interns'!A:A""),
0
)),
""Outreach Conducted"",
"""")"),"")</f>
        <v/>
      </c>
      <c r="AI727" s="23"/>
      <c r="AJ727" s="23"/>
      <c r="AK727" s="23" t="str">
        <f>IFERROR(__xludf.DUMMYFUNCTION("XLOOKUP(C727, 
   IMPORTRANGE(""1RdEdgHYrZ33LJ7RUHj_h-qkAFL92bcVjtIdVa-UlsCw"", ""Interns!D:D""), 
   IMPORTRANGE(""1RdEdgHYrZ33LJ7RUHj_h-qkAFL92bcVjtIdVa-UlsCw"", ""Interns!M:M""), 
   ""Not Found"")"),"")</f>
        <v/>
      </c>
      <c r="AL727" s="23" t="str">
        <f>IFERROR(__xludf.DUMMYFUNCTION("XLOOKUP(C727, 
   IMPORTRANGE(""1RdEdgHYrZ33LJ7RUHj_h-qkAFL92bcVjtIdVa-UlsCw"", ""Interns!D:D""), 
   IMPORTRANGE(""1RdEdgHYrZ33LJ7RUHj_h-qkAFL92bcVjtIdVa-UlsCw"", ""Interns!N:N""), 
   ""Not Found"")"),"")</f>
        <v/>
      </c>
      <c r="AM727" s="23" t="str">
        <f>IFERROR(__xludf.DUMMYFUNCTION("XLOOKUP(C727, 
   IMPORTRANGE(""1RdEdgHYrZ33LJ7RUHj_h-qkAFL92bcVjtIdVa-UlsCw"", ""Interns!D:D""), 
   IMPORTRANGE(""1RdEdgHYrZ33LJ7RUHj_h-qkAFL92bcVjtIdVa-UlsCw"", ""Interns!O:O""), 
   ""Not Found"")"),"")</f>
        <v/>
      </c>
      <c r="AN727" s="23"/>
      <c r="AO727" s="23" t="s">
        <v>8800</v>
      </c>
      <c r="AP727" s="28" t="s">
        <v>5182</v>
      </c>
      <c r="AQ727" s="28" t="s">
        <v>8801</v>
      </c>
      <c r="AR727" s="23" t="s">
        <v>8802</v>
      </c>
      <c r="AS727" s="23"/>
      <c r="AT727" s="23"/>
      <c r="AU727" s="23"/>
      <c r="AV727" s="23"/>
    </row>
    <row r="728">
      <c r="A728" s="28" t="s">
        <v>5161</v>
      </c>
      <c r="B728" s="28" t="s">
        <v>5162</v>
      </c>
      <c r="C728" s="23" t="str">
        <f t="shared" si="1"/>
        <v>Mennatallah Mahmoud</v>
      </c>
      <c r="D728" s="28" t="s">
        <v>9962</v>
      </c>
      <c r="E728" s="28" t="s">
        <v>9963</v>
      </c>
      <c r="F728" s="23">
        <f t="array" ref="F728">IFERROR(
    INDEX('Hub Interns 226'!A:A, MATCH(C728, 'Hub Interns 226'!B:B, 0)),"")</f>
        <v>207</v>
      </c>
      <c r="G728" s="23">
        <f t="array" ref="G728">IFERROR(
    INDEX('Hub Users 226'!A:A, MATCH(C728, 'Hub Users 226'!B:B, 0)),"")</f>
        <v>2034</v>
      </c>
      <c r="H728" s="28">
        <v>1003.0</v>
      </c>
      <c r="I728" s="28" t="s">
        <v>1235</v>
      </c>
      <c r="J728" s="28" t="s">
        <v>8975</v>
      </c>
      <c r="K728" s="28" t="s">
        <v>5245</v>
      </c>
      <c r="L728" s="28" t="s">
        <v>5196</v>
      </c>
      <c r="M728" s="56" t="s">
        <v>9964</v>
      </c>
      <c r="N728" s="57">
        <v>44649.81458333333</v>
      </c>
      <c r="O728" s="58">
        <v>40031.0</v>
      </c>
      <c r="P728" s="28">
        <f t="shared" si="20"/>
        <v>16</v>
      </c>
      <c r="Q728" s="28" t="s">
        <v>9965</v>
      </c>
      <c r="R728" s="28" t="s">
        <v>9966</v>
      </c>
      <c r="S728" s="28">
        <v>7.0</v>
      </c>
      <c r="T728" s="28">
        <v>12.0</v>
      </c>
      <c r="U728" s="28">
        <v>37.0</v>
      </c>
      <c r="V728" s="28">
        <v>30.0</v>
      </c>
      <c r="W728" s="28" t="s">
        <v>1173</v>
      </c>
      <c r="X728" s="28" t="s">
        <v>272</v>
      </c>
      <c r="Y728" s="28" t="s">
        <v>9967</v>
      </c>
      <c r="Z728" s="28" t="s">
        <v>9652</v>
      </c>
      <c r="AA728" s="28" t="s">
        <v>9653</v>
      </c>
      <c r="AB728" s="28">
        <v>30.0</v>
      </c>
      <c r="AC728" s="28" t="s">
        <v>24</v>
      </c>
      <c r="AD728" s="23"/>
      <c r="AE728" s="28" t="s">
        <v>10</v>
      </c>
      <c r="AF728" s="23"/>
      <c r="AG728" s="26" t="s">
        <v>9968</v>
      </c>
      <c r="AH728" s="23" t="str">
        <f>IFERROR(__xludf.DUMMYFUNCTION("IF(
ISNUMBER(MATCH(
C728,
IMPORTRANGE(""https://docs.google.com/spreadsheets/d/1yTh1ELC33JHYOeEdgIiEclxPRyh0zOKtlawDltfUay8"",""'Interns'!A:A""),
0
)),
""Outreach Conducted"",
"""")"),"Outreach Conducted")</f>
        <v>Outreach Conducted</v>
      </c>
      <c r="AI728" s="23"/>
      <c r="AJ728" s="23"/>
      <c r="AK728" s="23" t="str">
        <f>IFERROR(__xludf.DUMMYFUNCTION("XLOOKUP(C728, 
   IMPORTRANGE(""1RdEdgHYrZ33LJ7RUHj_h-qkAFL92bcVjtIdVa-UlsCw"", ""Interns!D:D""), 
   IMPORTRANGE(""1RdEdgHYrZ33LJ7RUHj_h-qkAFL92bcVjtIdVa-UlsCw"", ""Interns!M:M""), 
   ""Not Found"")"),"Contacted")</f>
        <v>Contacted</v>
      </c>
      <c r="AL728" s="23" t="str">
        <f>IFERROR(__xludf.DUMMYFUNCTION("XLOOKUP(C728, 
   IMPORTRANGE(""1RdEdgHYrZ33LJ7RUHj_h-qkAFL92bcVjtIdVa-UlsCw"", ""Interns!D:D""), 
   IMPORTRANGE(""1RdEdgHYrZ33LJ7RUHj_h-qkAFL92bcVjtIdVa-UlsCw"", ""Interns!N:N""), 
   ""Not Found"")"),"#Cheers4Careers")</f>
        <v>#Cheers4Careers</v>
      </c>
      <c r="AM728" s="23" t="str">
        <f>IFERROR(__xludf.DUMMYFUNCTION("XLOOKUP(C728, 
   IMPORTRANGE(""1RdEdgHYrZ33LJ7RUHj_h-qkAFL92bcVjtIdVa-UlsCw"", ""Interns!D:D""), 
   IMPORTRANGE(""1RdEdgHYrZ33LJ7RUHj_h-qkAFL92bcVjtIdVa-UlsCw"", ""Interns!O:O""), 
   ""Not Found"")"),"Reached out by email 3/26 and by text 3/27  for Cheers 4 Careers Reached out again 3/28 but no response ")</f>
        <v>Reached out by email 3/26 and by text 3/27  for Cheers 4 Careers Reached out again 3/28 but no response </v>
      </c>
      <c r="AN728" s="23"/>
      <c r="AO728" s="23" t="s">
        <v>9969</v>
      </c>
      <c r="AP728" s="28" t="s">
        <v>5182</v>
      </c>
      <c r="AQ728" s="28"/>
      <c r="AR728" s="23" t="s">
        <v>9970</v>
      </c>
      <c r="AS728" s="23"/>
      <c r="AT728" s="23"/>
      <c r="AU728" s="23"/>
      <c r="AV728" s="23"/>
    </row>
    <row r="729">
      <c r="A729" s="28" t="s">
        <v>5161</v>
      </c>
      <c r="B729" s="28" t="s">
        <v>5162</v>
      </c>
      <c r="C729" s="23" t="str">
        <f t="shared" si="1"/>
        <v>Ali Salem</v>
      </c>
      <c r="D729" s="28" t="s">
        <v>9802</v>
      </c>
      <c r="E729" s="28" t="s">
        <v>9803</v>
      </c>
      <c r="F729" s="23">
        <f t="array" ref="F729">IFERROR(
    INDEX('Hub Interns 226'!A:A, MATCH(C729, 'Hub Interns 226'!B:B, 0)),"")</f>
        <v>32</v>
      </c>
      <c r="G729" s="23">
        <f t="array" ref="G729">IFERROR(
    INDEX('Hub Users 226'!A:A, MATCH(C729, 'Hub Users 226'!B:B, 0)),"")</f>
        <v>465</v>
      </c>
      <c r="H729" s="28">
        <v>837.0</v>
      </c>
      <c r="I729" s="28" t="s">
        <v>290</v>
      </c>
      <c r="J729" s="28" t="s">
        <v>8975</v>
      </c>
      <c r="K729" s="28" t="s">
        <v>5245</v>
      </c>
      <c r="L729" s="28" t="s">
        <v>5165</v>
      </c>
      <c r="M729" s="56" t="s">
        <v>9804</v>
      </c>
      <c r="N729" s="57">
        <v>44575.62013888889</v>
      </c>
      <c r="O729" s="58">
        <v>38208.0</v>
      </c>
      <c r="P729" s="28">
        <f t="shared" si="20"/>
        <v>21</v>
      </c>
      <c r="Q729" s="28" t="s">
        <v>9805</v>
      </c>
      <c r="R729" s="28" t="s">
        <v>9806</v>
      </c>
      <c r="S729" s="28">
        <v>12.0</v>
      </c>
      <c r="T729" s="28">
        <v>47.0</v>
      </c>
      <c r="U729" s="28">
        <v>75.0</v>
      </c>
      <c r="V729" s="28">
        <v>3.0</v>
      </c>
      <c r="W729" s="28" t="s">
        <v>271</v>
      </c>
      <c r="X729" s="28" t="s">
        <v>272</v>
      </c>
      <c r="Y729" s="28" t="s">
        <v>9807</v>
      </c>
      <c r="Z729" s="28" t="s">
        <v>5259</v>
      </c>
      <c r="AA729" s="28" t="s">
        <v>704</v>
      </c>
      <c r="AB729" s="28">
        <v>2.0</v>
      </c>
      <c r="AC729" s="28" t="s">
        <v>25</v>
      </c>
      <c r="AD729" s="23"/>
      <c r="AE729" s="28" t="s">
        <v>10</v>
      </c>
      <c r="AF729" s="23" t="str">
        <f>IFERROR(__xludf.DUMMYFUNCTION("TEXTJOIN("", "", TRUE,
  FILTER(Champions!C:C,
    ISNUMBER(SEARCH(C729, Champions!W:W))
  )
)"),"Harshitha Girithara Gopalan, Lien Nguyen")</f>
        <v>Harshitha Girithara Gopalan, Lien Nguyen</v>
      </c>
      <c r="AG729" s="23"/>
      <c r="AH729" s="23" t="str">
        <f>IFERROR(__xludf.DUMMYFUNCTION("IF(
ISNUMBER(MATCH(
C729,
IMPORTRANGE(""https://docs.google.com/spreadsheets/d/1yTh1ELC33JHYOeEdgIiEclxPRyh0zOKtlawDltfUay8"",""'Interns'!A:A""),
0
)),
""Outreach Conducted"",
"""")"),"")</f>
        <v/>
      </c>
      <c r="AI729" s="23"/>
      <c r="AJ729" s="23"/>
      <c r="AK729" s="23" t="str">
        <f>IFERROR(__xludf.DUMMYFUNCTION("XLOOKUP(C729, 
   IMPORTRANGE(""1RdEdgHYrZ33LJ7RUHj_h-qkAFL92bcVjtIdVa-UlsCw"", ""Interns!D:D""), 
   IMPORTRANGE(""1RdEdgHYrZ33LJ7RUHj_h-qkAFL92bcVjtIdVa-UlsCw"", ""Interns!M:M""), 
   ""Not Found"")"),"")</f>
        <v/>
      </c>
      <c r="AL729" s="23" t="str">
        <f>IFERROR(__xludf.DUMMYFUNCTION("XLOOKUP(C729, 
   IMPORTRANGE(""1RdEdgHYrZ33LJ7RUHj_h-qkAFL92bcVjtIdVa-UlsCw"", ""Interns!D:D""), 
   IMPORTRANGE(""1RdEdgHYrZ33LJ7RUHj_h-qkAFL92bcVjtIdVa-UlsCw"", ""Interns!N:N""), 
   ""Not Found"")"),"")</f>
        <v/>
      </c>
      <c r="AM729" s="23" t="str">
        <f>IFERROR(__xludf.DUMMYFUNCTION("XLOOKUP(C729, 
   IMPORTRANGE(""1RdEdgHYrZ33LJ7RUHj_h-qkAFL92bcVjtIdVa-UlsCw"", ""Interns!D:D""), 
   IMPORTRANGE(""1RdEdgHYrZ33LJ7RUHj_h-qkAFL92bcVjtIdVa-UlsCw"", ""Interns!O:O""), 
   ""Not Found"")"),"")</f>
        <v/>
      </c>
      <c r="AN729" s="23"/>
      <c r="AO729" s="23" t="s">
        <v>9808</v>
      </c>
      <c r="AP729" s="28" t="s">
        <v>5908</v>
      </c>
      <c r="AQ729" s="28" t="s">
        <v>9804</v>
      </c>
      <c r="AR729" s="23" t="s">
        <v>9809</v>
      </c>
      <c r="AS729" s="23"/>
      <c r="AT729" s="23"/>
      <c r="AU729" s="23"/>
      <c r="AV729" s="23"/>
    </row>
    <row r="730">
      <c r="A730" s="28" t="s">
        <v>5161</v>
      </c>
      <c r="B730" s="28" t="s">
        <v>31</v>
      </c>
      <c r="C730" s="23" t="str">
        <f t="shared" si="1"/>
        <v>Cheikh. Ka</v>
      </c>
      <c r="D730" s="28" t="s">
        <v>9971</v>
      </c>
      <c r="E730" s="28" t="s">
        <v>9972</v>
      </c>
      <c r="F730" s="23">
        <f t="array" ref="F730">IFERROR(
    INDEX('Hub Interns 226'!A:A, MATCH("Cheikh Ka", 'Hub Interns 226'!B:B, 0)),"")</f>
        <v>355</v>
      </c>
      <c r="G730" s="23">
        <f t="array" ref="G730">IFERROR(
    INDEX('Hub Users 226'!A:A, MATCH("Cheikh Ka", 'Hub Users 226'!B:B, 0)),"")</f>
        <v>788</v>
      </c>
      <c r="H730" s="28">
        <v>472.0</v>
      </c>
      <c r="I730" s="28" t="s">
        <v>290</v>
      </c>
      <c r="J730" s="28"/>
      <c r="K730" s="28"/>
      <c r="L730" s="28" t="s">
        <v>5165</v>
      </c>
      <c r="M730" s="56" t="s">
        <v>9973</v>
      </c>
      <c r="N730" s="57">
        <v>44362.54791666667</v>
      </c>
      <c r="O730" s="58">
        <v>37205.0</v>
      </c>
      <c r="P730" s="28">
        <f t="shared" si="20"/>
        <v>24</v>
      </c>
      <c r="Q730" s="28" t="s">
        <v>9974</v>
      </c>
      <c r="R730" s="28" t="s">
        <v>9975</v>
      </c>
      <c r="S730" s="28"/>
      <c r="T730" s="28"/>
      <c r="U730" s="28"/>
      <c r="V730" s="28"/>
      <c r="W730" s="28" t="s">
        <v>859</v>
      </c>
      <c r="X730" s="28" t="s">
        <v>272</v>
      </c>
      <c r="Y730" s="28" t="s">
        <v>9976</v>
      </c>
      <c r="Z730" s="28" t="s">
        <v>5208</v>
      </c>
      <c r="AA730" s="28" t="s">
        <v>2141</v>
      </c>
      <c r="AB730" s="28">
        <v>8.0</v>
      </c>
      <c r="AC730" s="28" t="s">
        <v>24</v>
      </c>
      <c r="AD730" s="23"/>
      <c r="AE730" s="28" t="s">
        <v>8</v>
      </c>
      <c r="AF730" s="23"/>
      <c r="AG730" s="23"/>
      <c r="AH730" s="23" t="str">
        <f>IFERROR(__xludf.DUMMYFUNCTION("IF(
ISNUMBER(MATCH(
C730,
IMPORTRANGE(""https://docs.google.com/spreadsheets/d/1yTh1ELC33JHYOeEdgIiEclxPRyh0zOKtlawDltfUay8"",""'Interns'!A:A""),
0
)),
""Outreach Conducted"",
"""")"),"")</f>
        <v/>
      </c>
      <c r="AI730" s="23"/>
      <c r="AJ730" s="23"/>
      <c r="AK730" s="23" t="str">
        <f>IFERROR(__xludf.DUMMYFUNCTION("XLOOKUP(C730, 
   IMPORTRANGE(""1RdEdgHYrZ33LJ7RUHj_h-qkAFL92bcVjtIdVa-UlsCw"", ""Interns!D:D""), 
   IMPORTRANGE(""1RdEdgHYrZ33LJ7RUHj_h-qkAFL92bcVjtIdVa-UlsCw"", ""Interns!M:M""), 
   ""Not Found"")"),"")</f>
        <v/>
      </c>
      <c r="AL730" s="23" t="str">
        <f>IFERROR(__xludf.DUMMYFUNCTION("XLOOKUP(C730, 
   IMPORTRANGE(""1RdEdgHYrZ33LJ7RUHj_h-qkAFL92bcVjtIdVa-UlsCw"", ""Interns!D:D""), 
   IMPORTRANGE(""1RdEdgHYrZ33LJ7RUHj_h-qkAFL92bcVjtIdVa-UlsCw"", ""Interns!N:N""), 
   ""Not Found"")"),"")</f>
        <v/>
      </c>
      <c r="AM730" s="23" t="str">
        <f>IFERROR(__xludf.DUMMYFUNCTION("XLOOKUP(C730, 
   IMPORTRANGE(""1RdEdgHYrZ33LJ7RUHj_h-qkAFL92bcVjtIdVa-UlsCw"", ""Interns!D:D""), 
   IMPORTRANGE(""1RdEdgHYrZ33LJ7RUHj_h-qkAFL92bcVjtIdVa-UlsCw"", ""Interns!O:O""), 
   ""Not Found"")"),"")</f>
        <v/>
      </c>
      <c r="AN730" s="23"/>
      <c r="AO730" s="23" t="s">
        <v>9977</v>
      </c>
      <c r="AP730" s="28" t="s">
        <v>5191</v>
      </c>
      <c r="AQ730" s="28" t="s">
        <v>9978</v>
      </c>
      <c r="AR730" s="23" t="s">
        <v>9979</v>
      </c>
      <c r="AS730" s="23"/>
      <c r="AT730" s="23"/>
      <c r="AU730" s="23"/>
      <c r="AV730" s="23"/>
    </row>
    <row r="731">
      <c r="A731" s="28" t="s">
        <v>5161</v>
      </c>
      <c r="B731" s="28" t="s">
        <v>5162</v>
      </c>
      <c r="C731" s="23" t="str">
        <f t="shared" si="1"/>
        <v>Ana Fabian</v>
      </c>
      <c r="D731" s="28" t="s">
        <v>4816</v>
      </c>
      <c r="E731" s="28" t="s">
        <v>7215</v>
      </c>
      <c r="F731" s="28">
        <v>219.0</v>
      </c>
      <c r="G731" s="28">
        <v>652.0</v>
      </c>
      <c r="H731" s="28">
        <v>845.0</v>
      </c>
      <c r="I731" s="28" t="s">
        <v>260</v>
      </c>
      <c r="J731" s="28" t="s">
        <v>9066</v>
      </c>
      <c r="K731" s="28" t="s">
        <v>5177</v>
      </c>
      <c r="L731" s="28" t="s">
        <v>5196</v>
      </c>
      <c r="M731" s="56" t="s">
        <v>7216</v>
      </c>
      <c r="N731" s="57">
        <v>44585.0</v>
      </c>
      <c r="O731" s="58">
        <v>38299.0</v>
      </c>
      <c r="P731" s="28">
        <f t="shared" si="20"/>
        <v>21</v>
      </c>
      <c r="Q731" s="28" t="s">
        <v>240</v>
      </c>
      <c r="R731" s="28" t="s">
        <v>9980</v>
      </c>
      <c r="S731" s="28">
        <v>6.0</v>
      </c>
      <c r="T731" s="28">
        <v>13.0</v>
      </c>
      <c r="U731" s="28">
        <v>35.0</v>
      </c>
      <c r="V731" s="28">
        <v>21.0</v>
      </c>
      <c r="W731" s="28" t="s">
        <v>1173</v>
      </c>
      <c r="X731" s="28" t="s">
        <v>272</v>
      </c>
      <c r="Y731" s="23"/>
      <c r="Z731" s="28" t="s">
        <v>5310</v>
      </c>
      <c r="AA731" s="28" t="s">
        <v>362</v>
      </c>
      <c r="AB731" s="28">
        <v>16.0</v>
      </c>
      <c r="AC731" s="28" t="s">
        <v>25</v>
      </c>
      <c r="AD731" s="23"/>
      <c r="AE731" s="28" t="s">
        <v>10</v>
      </c>
      <c r="AF731" s="23" t="str">
        <f>IFERROR(__xludf.DUMMYFUNCTION("TEXTJOIN("", "", TRUE,
  FILTER(Champions!C:C,
    ISNUMBER(SEARCH(C731, Champions!W:W))
  )
)"),"Tara Shajan, Yan Guan")</f>
        <v>Tara Shajan, Yan Guan</v>
      </c>
      <c r="AG731" s="23"/>
      <c r="AH731" s="23" t="str">
        <f>IFERROR(__xludf.DUMMYFUNCTION("IF(
ISNUMBER(MATCH(
C731,
IMPORTRANGE(""https://docs.google.com/spreadsheets/d/1yTh1ELC33JHYOeEdgIiEclxPRyh0zOKtlawDltfUay8"",""'Interns'!A:A""),
0
)),
""Outreach Conducted"",
"""")"),"")</f>
        <v/>
      </c>
      <c r="AI731" s="23"/>
      <c r="AJ731" s="23"/>
      <c r="AK731" s="23" t="str">
        <f>IFERROR(__xludf.DUMMYFUNCTION("XLOOKUP(C731, 
   IMPORTRANGE(""1RdEdgHYrZ33LJ7RUHj_h-qkAFL92bcVjtIdVa-UlsCw"", ""Interns!D:D""), 
   IMPORTRANGE(""1RdEdgHYrZ33LJ7RUHj_h-qkAFL92bcVjtIdVa-UlsCw"", ""Interns!M:M""), 
   ""Not Found"")"),"")</f>
        <v/>
      </c>
      <c r="AL731" s="23" t="str">
        <f>IFERROR(__xludf.DUMMYFUNCTION("XLOOKUP(C731, 
   IMPORTRANGE(""1RdEdgHYrZ33LJ7RUHj_h-qkAFL92bcVjtIdVa-UlsCw"", ""Interns!D:D""), 
   IMPORTRANGE(""1RdEdgHYrZ33LJ7RUHj_h-qkAFL92bcVjtIdVa-UlsCw"", ""Interns!N:N""), 
   ""Not Found"")"),"")</f>
        <v/>
      </c>
      <c r="AM731" s="23" t="str">
        <f>IFERROR(__xludf.DUMMYFUNCTION("XLOOKUP(C731, 
   IMPORTRANGE(""1RdEdgHYrZ33LJ7RUHj_h-qkAFL92bcVjtIdVa-UlsCw"", ""Interns!D:D""), 
   IMPORTRANGE(""1RdEdgHYrZ33LJ7RUHj_h-qkAFL92bcVjtIdVa-UlsCw"", ""Interns!O:O""), 
   ""Not Found"")"),"")</f>
        <v/>
      </c>
      <c r="AN731" s="23"/>
      <c r="AO731" s="23" t="s">
        <v>7218</v>
      </c>
      <c r="AP731" s="28" t="s">
        <v>5182</v>
      </c>
      <c r="AQ731" s="28" t="s">
        <v>9981</v>
      </c>
      <c r="AR731" s="23" t="s">
        <v>9982</v>
      </c>
      <c r="AS731" s="23"/>
      <c r="AT731" s="23"/>
      <c r="AU731" s="23"/>
      <c r="AV731" s="23"/>
    </row>
    <row r="732">
      <c r="A732" s="28" t="s">
        <v>5202</v>
      </c>
      <c r="B732" s="28" t="s">
        <v>5162</v>
      </c>
      <c r="C732" s="23" t="str">
        <f t="shared" si="1"/>
        <v>Jabez Yorrick</v>
      </c>
      <c r="D732" s="28" t="s">
        <v>9983</v>
      </c>
      <c r="E732" s="28" t="s">
        <v>9984</v>
      </c>
      <c r="F732" s="23">
        <f t="array" ref="F732">IFERROR(
    INDEX('Hub Interns 226'!A:A, MATCH(C732, 'Hub Interns 226'!B:B, 0)),"")</f>
        <v>1240</v>
      </c>
      <c r="G732" s="23">
        <f t="array" ref="G732">IFERROR(
    INDEX('Hub Users 226'!A:A, MATCH(C732, 'Hub Users 226'!B:B, 0)),"")</f>
        <v>1673</v>
      </c>
      <c r="H732" s="28">
        <v>360.0</v>
      </c>
      <c r="I732" s="28" t="s">
        <v>239</v>
      </c>
      <c r="J732" s="28" t="s">
        <v>9985</v>
      </c>
      <c r="K732" s="28" t="s">
        <v>5186</v>
      </c>
      <c r="L732" s="28" t="s">
        <v>5165</v>
      </c>
      <c r="M732" s="56" t="s">
        <v>9986</v>
      </c>
      <c r="N732" s="57">
        <v>44250.62986111111</v>
      </c>
      <c r="O732" s="58">
        <v>38154.0</v>
      </c>
      <c r="P732" s="28">
        <f t="shared" si="20"/>
        <v>21</v>
      </c>
      <c r="Q732" s="28" t="s">
        <v>240</v>
      </c>
      <c r="R732" s="28" t="s">
        <v>9987</v>
      </c>
      <c r="S732" s="28">
        <v>5.0</v>
      </c>
      <c r="T732" s="28">
        <v>10.0</v>
      </c>
      <c r="U732" s="28">
        <v>32.0</v>
      </c>
      <c r="V732" s="28">
        <v>28.0</v>
      </c>
      <c r="W732" s="28" t="s">
        <v>1173</v>
      </c>
      <c r="X732" s="28" t="s">
        <v>272</v>
      </c>
      <c r="Y732" s="28" t="s">
        <v>9988</v>
      </c>
      <c r="Z732" s="28" t="s">
        <v>5332</v>
      </c>
      <c r="AA732" s="28" t="s">
        <v>421</v>
      </c>
      <c r="AB732" s="28">
        <v>31.0</v>
      </c>
      <c r="AC732" s="28" t="s">
        <v>25</v>
      </c>
      <c r="AD732" s="23"/>
      <c r="AE732" s="28" t="s">
        <v>8</v>
      </c>
      <c r="AF732" s="23" t="str">
        <f>IFERROR(__xludf.DUMMYFUNCTION("TEXTJOIN("", "", TRUE,
  FILTER(Champions!C:C,
    ISNUMBER(SEARCH(C732, Champions!W:W))
  )
)"),"Geoffrey Irwin")</f>
        <v>Geoffrey Irwin</v>
      </c>
      <c r="AG732" s="23"/>
      <c r="AH732" s="23" t="str">
        <f>IFERROR(__xludf.DUMMYFUNCTION("IF(
ISNUMBER(MATCH(
C732,
IMPORTRANGE(""https://docs.google.com/spreadsheets/d/1yTh1ELC33JHYOeEdgIiEclxPRyh0zOKtlawDltfUay8"",""'Interns'!A:A""),
0
)),
""Outreach Conducted"",
"""")"),"")</f>
        <v/>
      </c>
      <c r="AI732" s="23"/>
      <c r="AJ732" s="23"/>
      <c r="AK732" s="23" t="str">
        <f>IFERROR(__xludf.DUMMYFUNCTION("XLOOKUP(C732, 
   IMPORTRANGE(""1RdEdgHYrZ33LJ7RUHj_h-qkAFL92bcVjtIdVa-UlsCw"", ""Interns!D:D""), 
   IMPORTRANGE(""1RdEdgHYrZ33LJ7RUHj_h-qkAFL92bcVjtIdVa-UlsCw"", ""Interns!M:M""), 
   ""Not Found"")"),"")</f>
        <v/>
      </c>
      <c r="AL732" s="23" t="str">
        <f>IFERROR(__xludf.DUMMYFUNCTION("XLOOKUP(C732, 
   IMPORTRANGE(""1RdEdgHYrZ33LJ7RUHj_h-qkAFL92bcVjtIdVa-UlsCw"", ""Interns!D:D""), 
   IMPORTRANGE(""1RdEdgHYrZ33LJ7RUHj_h-qkAFL92bcVjtIdVa-UlsCw"", ""Interns!N:N""), 
   ""Not Found"")"),"")</f>
        <v/>
      </c>
      <c r="AM732" s="23" t="str">
        <f>IFERROR(__xludf.DUMMYFUNCTION("XLOOKUP(C732, 
   IMPORTRANGE(""1RdEdgHYrZ33LJ7RUHj_h-qkAFL92bcVjtIdVa-UlsCw"", ""Interns!D:D""), 
   IMPORTRANGE(""1RdEdgHYrZ33LJ7RUHj_h-qkAFL92bcVjtIdVa-UlsCw"", ""Interns!O:O""), 
   ""Not Found"")"),"")</f>
        <v/>
      </c>
      <c r="AN732" s="23"/>
      <c r="AO732" s="23" t="s">
        <v>9989</v>
      </c>
      <c r="AP732" s="28" t="s">
        <v>5182</v>
      </c>
      <c r="AQ732" s="28" t="s">
        <v>9990</v>
      </c>
      <c r="AR732" s="23" t="s">
        <v>9991</v>
      </c>
      <c r="AS732" s="28" t="s">
        <v>9334</v>
      </c>
      <c r="AT732" s="23"/>
      <c r="AU732" s="23"/>
      <c r="AV732" s="23"/>
    </row>
    <row r="733">
      <c r="A733" s="28" t="s">
        <v>5161</v>
      </c>
      <c r="B733" s="28" t="s">
        <v>31</v>
      </c>
      <c r="C733" s="23" t="str">
        <f t="shared" si="1"/>
        <v>Navier Rojas</v>
      </c>
      <c r="D733" s="28" t="s">
        <v>9992</v>
      </c>
      <c r="E733" s="28" t="s">
        <v>6566</v>
      </c>
      <c r="F733" s="23">
        <f t="array" ref="F733">IFERROR(
    INDEX('Hub Interns 226'!A:A, MATCH(C733, 'Hub Interns 226'!B:B, 0)),"")</f>
        <v>58</v>
      </c>
      <c r="G733" s="23">
        <f t="array" ref="G733">IFERROR(
    INDEX('Hub Users 226'!A:A, MATCH(C733, 'Hub Users 226'!B:B, 0)),"")</f>
        <v>491</v>
      </c>
      <c r="H733" s="28">
        <v>727.0</v>
      </c>
      <c r="I733" s="28" t="s">
        <v>239</v>
      </c>
      <c r="J733" s="28"/>
      <c r="K733" s="28"/>
      <c r="L733" s="28" t="s">
        <v>5196</v>
      </c>
      <c r="M733" s="56" t="s">
        <v>9993</v>
      </c>
      <c r="N733" s="59">
        <v>44550.54236111111</v>
      </c>
      <c r="O733" s="58">
        <v>38493.0</v>
      </c>
      <c r="P733" s="28">
        <f t="shared" si="20"/>
        <v>20</v>
      </c>
      <c r="Q733" s="28" t="s">
        <v>240</v>
      </c>
      <c r="R733" s="28" t="s">
        <v>9994</v>
      </c>
      <c r="S733" s="28"/>
      <c r="T733" s="28"/>
      <c r="U733" s="28"/>
      <c r="V733" s="28"/>
      <c r="W733" s="28" t="s">
        <v>271</v>
      </c>
      <c r="X733" s="28" t="s">
        <v>272</v>
      </c>
      <c r="Y733" s="28" t="s">
        <v>9995</v>
      </c>
      <c r="Z733" s="28" t="s">
        <v>5259</v>
      </c>
      <c r="AA733" s="28" t="s">
        <v>704</v>
      </c>
      <c r="AB733" s="28">
        <v>2.0</v>
      </c>
      <c r="AC733" s="28" t="s">
        <v>28</v>
      </c>
      <c r="AD733" s="23"/>
      <c r="AE733" s="28" t="s">
        <v>10</v>
      </c>
      <c r="AF733" s="23"/>
      <c r="AG733" s="23"/>
      <c r="AH733" s="23" t="str">
        <f>IFERROR(__xludf.DUMMYFUNCTION("IF(
ISNUMBER(MATCH(
C733,
IMPORTRANGE(""https://docs.google.com/spreadsheets/d/1yTh1ELC33JHYOeEdgIiEclxPRyh0zOKtlawDltfUay8"",""'Interns'!A:A""),
0
)),
""Outreach Conducted"",
"""")"),"")</f>
        <v/>
      </c>
      <c r="AI733" s="23"/>
      <c r="AJ733" s="23"/>
      <c r="AK733" s="23" t="str">
        <f>IFERROR(__xludf.DUMMYFUNCTION("XLOOKUP(C733, 
   IMPORTRANGE(""1RdEdgHYrZ33LJ7RUHj_h-qkAFL92bcVjtIdVa-UlsCw"", ""Interns!D:D""), 
   IMPORTRANGE(""1RdEdgHYrZ33LJ7RUHj_h-qkAFL92bcVjtIdVa-UlsCw"", ""Interns!M:M""), 
   ""Not Found"")"),"")</f>
        <v/>
      </c>
      <c r="AL733" s="23" t="str">
        <f>IFERROR(__xludf.DUMMYFUNCTION("XLOOKUP(C733, 
   IMPORTRANGE(""1RdEdgHYrZ33LJ7RUHj_h-qkAFL92bcVjtIdVa-UlsCw"", ""Interns!D:D""), 
   IMPORTRANGE(""1RdEdgHYrZ33LJ7RUHj_h-qkAFL92bcVjtIdVa-UlsCw"", ""Interns!N:N""), 
   ""Not Found"")"),"")</f>
        <v/>
      </c>
      <c r="AM733" s="23" t="str">
        <f>IFERROR(__xludf.DUMMYFUNCTION("XLOOKUP(C733, 
   IMPORTRANGE(""1RdEdgHYrZ33LJ7RUHj_h-qkAFL92bcVjtIdVa-UlsCw"", ""Interns!D:D""), 
   IMPORTRANGE(""1RdEdgHYrZ33LJ7RUHj_h-qkAFL92bcVjtIdVa-UlsCw"", ""Interns!O:O""), 
   ""Not Found"")"),"")</f>
        <v/>
      </c>
      <c r="AN733" s="23"/>
      <c r="AO733" s="23" t="s">
        <v>9996</v>
      </c>
      <c r="AP733" s="28" t="s">
        <v>5182</v>
      </c>
      <c r="AQ733" s="28" t="s">
        <v>9997</v>
      </c>
      <c r="AR733" s="23" t="s">
        <v>9998</v>
      </c>
      <c r="AS733" s="23"/>
      <c r="AT733" s="23"/>
      <c r="AU733" s="23"/>
      <c r="AV733" s="23"/>
    </row>
    <row r="734">
      <c r="A734" s="28" t="s">
        <v>5161</v>
      </c>
      <c r="B734" s="28" t="s">
        <v>5162</v>
      </c>
      <c r="C734" s="23" t="str">
        <f t="shared" si="1"/>
        <v>Nayeli Cruz</v>
      </c>
      <c r="D734" s="28" t="s">
        <v>9999</v>
      </c>
      <c r="E734" s="28" t="s">
        <v>4683</v>
      </c>
      <c r="F734" s="23">
        <f t="array" ref="F734">IFERROR(
    INDEX('Hub Interns 226'!A:A, MATCH(C734, 'Hub Interns 226'!B:B, 0)),"")</f>
        <v>401</v>
      </c>
      <c r="G734" s="23">
        <f t="array" ref="G734">IFERROR(
    INDEX('Hub Users 226'!A:A, MATCH(C734, 'Hub Users 226'!B:B, 0)),"")</f>
        <v>834</v>
      </c>
      <c r="H734" s="28">
        <v>755.0</v>
      </c>
      <c r="I734" s="28" t="s">
        <v>260</v>
      </c>
      <c r="J734" s="28" t="s">
        <v>9066</v>
      </c>
      <c r="K734" s="28" t="s">
        <v>5177</v>
      </c>
      <c r="L734" s="28" t="s">
        <v>5196</v>
      </c>
      <c r="M734" s="56" t="s">
        <v>10000</v>
      </c>
      <c r="N734" s="59">
        <v>44551.58263888889</v>
      </c>
      <c r="O734" s="58">
        <v>38347.0</v>
      </c>
      <c r="P734" s="28">
        <f t="shared" si="20"/>
        <v>21</v>
      </c>
      <c r="Q734" s="28" t="s">
        <v>240</v>
      </c>
      <c r="R734" s="28" t="s">
        <v>10001</v>
      </c>
      <c r="S734" s="28">
        <v>14.0</v>
      </c>
      <c r="T734" s="28">
        <v>13.0</v>
      </c>
      <c r="U734" s="28">
        <v>35.0</v>
      </c>
      <c r="V734" s="28">
        <v>21.0</v>
      </c>
      <c r="W734" s="28" t="s">
        <v>1173</v>
      </c>
      <c r="X734" s="28" t="s">
        <v>272</v>
      </c>
      <c r="Y734" s="28" t="s">
        <v>10002</v>
      </c>
      <c r="Z734" s="28" t="s">
        <v>5483</v>
      </c>
      <c r="AA734" s="28" t="s">
        <v>457</v>
      </c>
      <c r="AB734" s="28">
        <v>25.0</v>
      </c>
      <c r="AC734" s="28" t="s">
        <v>25</v>
      </c>
      <c r="AD734" s="23"/>
      <c r="AE734" s="28" t="s">
        <v>10</v>
      </c>
      <c r="AF734" s="23" t="str">
        <f>IFERROR(__xludf.DUMMYFUNCTION("TEXTJOIN("", "", TRUE,
  FILTER(Champions!C:C,
    ISNUMBER(SEARCH(C734, Champions!W:W))
  )
)"),"Lena K Dandy, Seema Dixit, Lena K Dandy (D)")</f>
        <v>Lena K Dandy, Seema Dixit, Lena K Dandy (D)</v>
      </c>
      <c r="AG734" s="23"/>
      <c r="AH734" s="23" t="str">
        <f>IFERROR(__xludf.DUMMYFUNCTION("IF(
ISNUMBER(MATCH(
C734,
IMPORTRANGE(""https://docs.google.com/spreadsheets/d/1yTh1ELC33JHYOeEdgIiEclxPRyh0zOKtlawDltfUay8"",""'Interns'!A:A""),
0
)),
""Outreach Conducted"",
"""")"),"")</f>
        <v/>
      </c>
      <c r="AI734" s="23"/>
      <c r="AJ734" s="23"/>
      <c r="AK734" s="23" t="str">
        <f>IFERROR(__xludf.DUMMYFUNCTION("XLOOKUP(C734, 
   IMPORTRANGE(""1RdEdgHYrZ33LJ7RUHj_h-qkAFL92bcVjtIdVa-UlsCw"", ""Interns!D:D""), 
   IMPORTRANGE(""1RdEdgHYrZ33LJ7RUHj_h-qkAFL92bcVjtIdVa-UlsCw"", ""Interns!M:M""), 
   ""Not Found"")"),"")</f>
        <v/>
      </c>
      <c r="AL734" s="23" t="str">
        <f>IFERROR(__xludf.DUMMYFUNCTION("XLOOKUP(C734, 
   IMPORTRANGE(""1RdEdgHYrZ33LJ7RUHj_h-qkAFL92bcVjtIdVa-UlsCw"", ""Interns!D:D""), 
   IMPORTRANGE(""1RdEdgHYrZ33LJ7RUHj_h-qkAFL92bcVjtIdVa-UlsCw"", ""Interns!N:N""), 
   ""Not Found"")"),"")</f>
        <v/>
      </c>
      <c r="AM734" s="23" t="str">
        <f>IFERROR(__xludf.DUMMYFUNCTION("XLOOKUP(C734, 
   IMPORTRANGE(""1RdEdgHYrZ33LJ7RUHj_h-qkAFL92bcVjtIdVa-UlsCw"", ""Interns!D:D""), 
   IMPORTRANGE(""1RdEdgHYrZ33LJ7RUHj_h-qkAFL92bcVjtIdVa-UlsCw"", ""Interns!O:O""), 
   ""Not Found"")"),"")</f>
        <v/>
      </c>
      <c r="AN734" s="23"/>
      <c r="AO734" s="23" t="s">
        <v>10003</v>
      </c>
      <c r="AP734" s="28" t="s">
        <v>5191</v>
      </c>
      <c r="AQ734" s="28" t="s">
        <v>10004</v>
      </c>
      <c r="AR734" s="23" t="s">
        <v>10005</v>
      </c>
      <c r="AS734" s="23"/>
      <c r="AT734" s="23"/>
      <c r="AU734" s="23"/>
      <c r="AV734" s="23"/>
    </row>
    <row r="735">
      <c r="A735" s="28" t="s">
        <v>5161</v>
      </c>
      <c r="B735" s="28" t="s">
        <v>5162</v>
      </c>
      <c r="C735" s="23" t="str">
        <f t="shared" si="1"/>
        <v>Fatima Magana</v>
      </c>
      <c r="D735" s="28" t="s">
        <v>3045</v>
      </c>
      <c r="E735" s="28" t="s">
        <v>9457</v>
      </c>
      <c r="F735" s="23">
        <f t="array" ref="F735">IFERROR(
    INDEX('Hub Interns 226'!A:A, MATCH(C735, 'Hub Interns 226'!B:B, 0)),"")</f>
        <v>512</v>
      </c>
      <c r="G735" s="23">
        <f t="array" ref="G735">IFERROR(
    INDEX('Hub Users 226'!A:A, MATCH(C735, 'Hub Users 226'!B:B, 0)),"")</f>
        <v>945</v>
      </c>
      <c r="H735" s="28">
        <v>614.0</v>
      </c>
      <c r="I735" s="28" t="s">
        <v>1235</v>
      </c>
      <c r="J735" s="28" t="s">
        <v>9066</v>
      </c>
      <c r="K735" s="28" t="s">
        <v>5177</v>
      </c>
      <c r="L735" s="28" t="s">
        <v>5196</v>
      </c>
      <c r="M735" s="56" t="s">
        <v>10006</v>
      </c>
      <c r="N735" s="59">
        <v>44490.88402777778</v>
      </c>
      <c r="O735" s="58">
        <v>38073.0</v>
      </c>
      <c r="P735" s="28">
        <f t="shared" si="20"/>
        <v>22</v>
      </c>
      <c r="Q735" s="28" t="s">
        <v>240</v>
      </c>
      <c r="R735" s="28" t="s">
        <v>10007</v>
      </c>
      <c r="S735" s="28">
        <v>14.0</v>
      </c>
      <c r="T735" s="28">
        <v>11.0</v>
      </c>
      <c r="U735" s="28">
        <v>27.0</v>
      </c>
      <c r="V735" s="28">
        <v>19.0</v>
      </c>
      <c r="W735" s="28" t="s">
        <v>1173</v>
      </c>
      <c r="X735" s="28" t="s">
        <v>272</v>
      </c>
      <c r="Y735" s="28" t="s">
        <v>10008</v>
      </c>
      <c r="Z735" s="28" t="s">
        <v>5189</v>
      </c>
      <c r="AA735" s="28" t="s">
        <v>619</v>
      </c>
      <c r="AB735" s="28">
        <v>20.0</v>
      </c>
      <c r="AC735" s="28" t="s">
        <v>25</v>
      </c>
      <c r="AD735" s="23"/>
      <c r="AE735" s="28" t="s">
        <v>10</v>
      </c>
      <c r="AF735" s="23" t="str">
        <f>IFERROR(__xludf.DUMMYFUNCTION("TEXTJOIN("", "", TRUE,
  FILTER(Champions!C:C,
    ISNUMBER(SEARCH(C735, Champions!W:W))
  )
)"),"Maria Graciela Burn, Sandhya Jain-Patel")</f>
        <v>Maria Graciela Burn, Sandhya Jain-Patel</v>
      </c>
      <c r="AG735" s="23"/>
      <c r="AH735" s="23" t="str">
        <f>IFERROR(__xludf.DUMMYFUNCTION("IF(
ISNUMBER(MATCH(
C735,
IMPORTRANGE(""https://docs.google.com/spreadsheets/d/1yTh1ELC33JHYOeEdgIiEclxPRyh0zOKtlawDltfUay8"",""'Interns'!A:A""),
0
)),
""Outreach Conducted"",
"""")"),"")</f>
        <v/>
      </c>
      <c r="AI735" s="23"/>
      <c r="AJ735" s="23"/>
      <c r="AK735" s="23" t="str">
        <f>IFERROR(__xludf.DUMMYFUNCTION("XLOOKUP(C735, 
   IMPORTRANGE(""1RdEdgHYrZ33LJ7RUHj_h-qkAFL92bcVjtIdVa-UlsCw"", ""Interns!D:D""), 
   IMPORTRANGE(""1RdEdgHYrZ33LJ7RUHj_h-qkAFL92bcVjtIdVa-UlsCw"", ""Interns!M:M""), 
   ""Not Found"")"),"Contacted")</f>
        <v>Contacted</v>
      </c>
      <c r="AL735" s="23" t="str">
        <f>IFERROR(__xludf.DUMMYFUNCTION("XLOOKUP(C735, 
   IMPORTRANGE(""1RdEdgHYrZ33LJ7RUHj_h-qkAFL92bcVjtIdVa-UlsCw"", ""Interns!D:D""), 
   IMPORTRANGE(""1RdEdgHYrZ33LJ7RUHj_h-qkAFL92bcVjtIdVa-UlsCw"", ""Interns!N:N""), 
   ""Not Found"")"),"#Cheers4Careers")</f>
        <v>#Cheers4Careers</v>
      </c>
      <c r="AM735" s="23" t="str">
        <f>IFERROR(__xludf.DUMMYFUNCTION("XLOOKUP(C735, 
   IMPORTRANGE(""1RdEdgHYrZ33LJ7RUHj_h-qkAFL92bcVjtIdVa-UlsCw"", ""Interns!D:D""), 
   IMPORTRANGE(""1RdEdgHYrZ33LJ7RUHj_h-qkAFL92bcVjtIdVa-UlsCw"", ""Interns!O:O""), 
   ""Not Found"")"),"Hetal reached out by email 3/27 followed by text")</f>
        <v>Hetal reached out by email 3/27 followed by text</v>
      </c>
      <c r="AN735" s="23"/>
      <c r="AO735" s="23" t="s">
        <v>10009</v>
      </c>
      <c r="AP735" s="28" t="s">
        <v>5182</v>
      </c>
      <c r="AQ735" s="28" t="s">
        <v>10010</v>
      </c>
      <c r="AR735" s="23" t="s">
        <v>10011</v>
      </c>
      <c r="AS735" s="23"/>
      <c r="AT735" s="23"/>
      <c r="AU735" s="23"/>
      <c r="AV735" s="23"/>
    </row>
    <row r="736">
      <c r="A736" s="28" t="s">
        <v>5202</v>
      </c>
      <c r="B736" s="28" t="s">
        <v>5162</v>
      </c>
      <c r="C736" s="23" t="str">
        <f t="shared" si="1"/>
        <v>Binda Sukhandan</v>
      </c>
      <c r="D736" s="28" t="s">
        <v>10012</v>
      </c>
      <c r="E736" s="28" t="s">
        <v>10013</v>
      </c>
      <c r="F736" s="28">
        <v>299.0</v>
      </c>
      <c r="G736" s="28">
        <v>732.0</v>
      </c>
      <c r="H736" s="28">
        <v>878.0</v>
      </c>
      <c r="I736" s="28" t="s">
        <v>239</v>
      </c>
      <c r="J736" s="28" t="s">
        <v>9985</v>
      </c>
      <c r="K736" s="28" t="s">
        <v>5186</v>
      </c>
      <c r="L736" s="28" t="s">
        <v>5196</v>
      </c>
      <c r="M736" s="56" t="s">
        <v>10014</v>
      </c>
      <c r="N736" s="57">
        <v>44600.38888888889</v>
      </c>
      <c r="O736" s="58">
        <v>38490.0</v>
      </c>
      <c r="P736" s="28">
        <f t="shared" si="20"/>
        <v>21</v>
      </c>
      <c r="Q736" s="28" t="s">
        <v>240</v>
      </c>
      <c r="R736" s="28" t="s">
        <v>10015</v>
      </c>
      <c r="S736" s="28">
        <v>6.0</v>
      </c>
      <c r="T736" s="28">
        <v>11.0</v>
      </c>
      <c r="U736" s="28">
        <v>24.0</v>
      </c>
      <c r="V736" s="28">
        <v>23.0</v>
      </c>
      <c r="W736" s="28" t="s">
        <v>1173</v>
      </c>
      <c r="X736" s="28" t="s">
        <v>272</v>
      </c>
      <c r="Y736" s="28" t="s">
        <v>10016</v>
      </c>
      <c r="Z736" s="28" t="s">
        <v>5332</v>
      </c>
      <c r="AA736" s="28" t="s">
        <v>421</v>
      </c>
      <c r="AB736" s="28">
        <v>31.0</v>
      </c>
      <c r="AC736" s="28" t="s">
        <v>24</v>
      </c>
      <c r="AD736" s="23"/>
      <c r="AE736" s="28" t="s">
        <v>10</v>
      </c>
      <c r="AF736" s="23"/>
      <c r="AG736" s="23"/>
      <c r="AH736" s="23" t="str">
        <f>IFERROR(__xludf.DUMMYFUNCTION("IF(
ISNUMBER(MATCH(
C736,
IMPORTRANGE(""https://docs.google.com/spreadsheets/d/1yTh1ELC33JHYOeEdgIiEclxPRyh0zOKtlawDltfUay8"",""'Interns'!A:A""),
0
)),
""Outreach Conducted"",
"""")"),"")</f>
        <v/>
      </c>
      <c r="AI736" s="23"/>
      <c r="AJ736" s="23"/>
      <c r="AK736" s="23" t="str">
        <f>IFERROR(__xludf.DUMMYFUNCTION("XLOOKUP(C736, 
   IMPORTRANGE(""1RdEdgHYrZ33LJ7RUHj_h-qkAFL92bcVjtIdVa-UlsCw"", ""Interns!D:D""), 
   IMPORTRANGE(""1RdEdgHYrZ33LJ7RUHj_h-qkAFL92bcVjtIdVa-UlsCw"", ""Interns!M:M""), 
   ""Not Found"")"),"")</f>
        <v/>
      </c>
      <c r="AL736" s="23" t="str">
        <f>IFERROR(__xludf.DUMMYFUNCTION("XLOOKUP(C736, 
   IMPORTRANGE(""1RdEdgHYrZ33LJ7RUHj_h-qkAFL92bcVjtIdVa-UlsCw"", ""Interns!D:D""), 
   IMPORTRANGE(""1RdEdgHYrZ33LJ7RUHj_h-qkAFL92bcVjtIdVa-UlsCw"", ""Interns!N:N""), 
   ""Not Found"")"),"")</f>
        <v/>
      </c>
      <c r="AM736" s="23" t="str">
        <f>IFERROR(__xludf.DUMMYFUNCTION("XLOOKUP(C736, 
   IMPORTRANGE(""1RdEdgHYrZ33LJ7RUHj_h-qkAFL92bcVjtIdVa-UlsCw"", ""Interns!D:D""), 
   IMPORTRANGE(""1RdEdgHYrZ33LJ7RUHj_h-qkAFL92bcVjtIdVa-UlsCw"", ""Interns!O:O""), 
   ""Not Found"")"),"")</f>
        <v/>
      </c>
      <c r="AN736" s="23"/>
      <c r="AO736" s="23" t="s">
        <v>10017</v>
      </c>
      <c r="AP736" s="28" t="s">
        <v>5191</v>
      </c>
      <c r="AQ736" s="28"/>
      <c r="AR736" s="23"/>
      <c r="AS736" s="23"/>
      <c r="AT736" s="23"/>
      <c r="AU736" s="23"/>
      <c r="AV736" s="23"/>
    </row>
    <row r="737">
      <c r="A737" s="28" t="s">
        <v>5161</v>
      </c>
      <c r="B737" s="28" t="s">
        <v>31</v>
      </c>
      <c r="C737" s="23" t="str">
        <f t="shared" si="1"/>
        <v>Paula Astudillo</v>
      </c>
      <c r="D737" s="28" t="s">
        <v>6469</v>
      </c>
      <c r="E737" s="28" t="s">
        <v>9056</v>
      </c>
      <c r="F737" s="23">
        <f t="array" ref="F737">IFERROR(
    INDEX('Hub Interns 226'!A:A, MATCH(C737, 'Hub Interns 226'!B:B, 0)),"")</f>
        <v>61</v>
      </c>
      <c r="G737" s="23">
        <f t="array" ref="G737">IFERROR(
    INDEX('Hub Users 226'!A:A, MATCH(C737, 'Hub Users 226'!B:B, 0)),"")</f>
        <v>494</v>
      </c>
      <c r="H737" s="28">
        <v>800.0</v>
      </c>
      <c r="I737" s="28" t="s">
        <v>260</v>
      </c>
      <c r="J737" s="28"/>
      <c r="K737" s="28"/>
      <c r="L737" s="28" t="s">
        <v>5196</v>
      </c>
      <c r="M737" s="56" t="s">
        <v>9057</v>
      </c>
      <c r="N737" s="57">
        <v>44565.64722222222</v>
      </c>
      <c r="O737" s="58">
        <v>38581.0</v>
      </c>
      <c r="P737" s="28">
        <f t="shared" si="20"/>
        <v>20</v>
      </c>
      <c r="Q737" s="28" t="s">
        <v>9058</v>
      </c>
      <c r="R737" s="28" t="s">
        <v>9059</v>
      </c>
      <c r="S737" s="28"/>
      <c r="T737" s="28"/>
      <c r="U737" s="28"/>
      <c r="V737" s="28"/>
      <c r="W737" s="28" t="s">
        <v>1173</v>
      </c>
      <c r="X737" s="28" t="s">
        <v>272</v>
      </c>
      <c r="Y737" s="28" t="s">
        <v>9060</v>
      </c>
      <c r="Z737" s="28" t="s">
        <v>5259</v>
      </c>
      <c r="AA737" s="28" t="s">
        <v>704</v>
      </c>
      <c r="AB737" s="28">
        <v>2.0</v>
      </c>
      <c r="AC737" s="28" t="s">
        <v>28</v>
      </c>
      <c r="AD737" s="23"/>
      <c r="AE737" s="28" t="s">
        <v>10</v>
      </c>
      <c r="AF737" s="23"/>
      <c r="AG737" s="23"/>
      <c r="AH737" s="23" t="str">
        <f>IFERROR(__xludf.DUMMYFUNCTION("IF(
ISNUMBER(MATCH(
C737,
IMPORTRANGE(""https://docs.google.com/spreadsheets/d/1yTh1ELC33JHYOeEdgIiEclxPRyh0zOKtlawDltfUay8"",""'Interns'!A:A""),
0
)),
""Outreach Conducted"",
"""")"),"")</f>
        <v/>
      </c>
      <c r="AI737" s="23"/>
      <c r="AJ737" s="23"/>
      <c r="AK737" s="23" t="str">
        <f>IFERROR(__xludf.DUMMYFUNCTION("XLOOKUP(C737, 
   IMPORTRANGE(""1RdEdgHYrZ33LJ7RUHj_h-qkAFL92bcVjtIdVa-UlsCw"", ""Interns!D:D""), 
   IMPORTRANGE(""1RdEdgHYrZ33LJ7RUHj_h-qkAFL92bcVjtIdVa-UlsCw"", ""Interns!M:M""), 
   ""Not Found"")"),"")</f>
        <v/>
      </c>
      <c r="AL737" s="23" t="str">
        <f>IFERROR(__xludf.DUMMYFUNCTION("XLOOKUP(C737, 
   IMPORTRANGE(""1RdEdgHYrZ33LJ7RUHj_h-qkAFL92bcVjtIdVa-UlsCw"", ""Interns!D:D""), 
   IMPORTRANGE(""1RdEdgHYrZ33LJ7RUHj_h-qkAFL92bcVjtIdVa-UlsCw"", ""Interns!N:N""), 
   ""Not Found"")"),"")</f>
        <v/>
      </c>
      <c r="AM737" s="23" t="str">
        <f>IFERROR(__xludf.DUMMYFUNCTION("XLOOKUP(C737, 
   IMPORTRANGE(""1RdEdgHYrZ33LJ7RUHj_h-qkAFL92bcVjtIdVa-UlsCw"", ""Interns!D:D""), 
   IMPORTRANGE(""1RdEdgHYrZ33LJ7RUHj_h-qkAFL92bcVjtIdVa-UlsCw"", ""Interns!O:O""), 
   ""Not Found"")"),"")</f>
        <v/>
      </c>
      <c r="AN737" s="23"/>
      <c r="AO737" s="23" t="s">
        <v>9061</v>
      </c>
      <c r="AP737" s="28" t="s">
        <v>5182</v>
      </c>
      <c r="AQ737" s="28" t="s">
        <v>9062</v>
      </c>
      <c r="AR737" s="23" t="s">
        <v>9063</v>
      </c>
      <c r="AS737" s="23"/>
      <c r="AT737" s="23"/>
      <c r="AU737" s="23"/>
      <c r="AV737" s="23"/>
    </row>
    <row r="738">
      <c r="A738" s="28" t="s">
        <v>5202</v>
      </c>
      <c r="B738" s="28" t="s">
        <v>31</v>
      </c>
      <c r="C738" s="23" t="str">
        <f t="shared" si="1"/>
        <v>Paula Astudillo</v>
      </c>
      <c r="D738" s="28" t="s">
        <v>6469</v>
      </c>
      <c r="E738" s="28" t="s">
        <v>9056</v>
      </c>
      <c r="F738" s="23">
        <f t="array" ref="F738">IFERROR(
    INDEX('Hub Interns 226'!A:A, MATCH(C738, 'Hub Interns 226'!B:B, 0)),"")</f>
        <v>61</v>
      </c>
      <c r="G738" s="23">
        <f t="array" ref="G738">IFERROR(
    INDEX('Hub Users 226'!A:A, MATCH(C738, 'Hub Users 226'!B:B, 0)),"")</f>
        <v>494</v>
      </c>
      <c r="H738" s="28">
        <v>800.0</v>
      </c>
      <c r="I738" s="28" t="s">
        <v>260</v>
      </c>
      <c r="J738" s="28"/>
      <c r="K738" s="28"/>
      <c r="L738" s="28" t="s">
        <v>5196</v>
      </c>
      <c r="M738" s="56" t="s">
        <v>9057</v>
      </c>
      <c r="N738" s="57">
        <v>44565.64722222222</v>
      </c>
      <c r="O738" s="58">
        <v>38581.0</v>
      </c>
      <c r="P738" s="28">
        <f t="shared" si="20"/>
        <v>20</v>
      </c>
      <c r="Q738" s="28" t="s">
        <v>9058</v>
      </c>
      <c r="R738" s="28" t="s">
        <v>9059</v>
      </c>
      <c r="S738" s="28"/>
      <c r="T738" s="28"/>
      <c r="U738" s="28"/>
      <c r="V738" s="28"/>
      <c r="W738" s="28" t="s">
        <v>1173</v>
      </c>
      <c r="X738" s="28" t="s">
        <v>272</v>
      </c>
      <c r="Y738" s="28" t="s">
        <v>9060</v>
      </c>
      <c r="Z738" s="28" t="s">
        <v>5259</v>
      </c>
      <c r="AA738" s="28" t="s">
        <v>704</v>
      </c>
      <c r="AB738" s="28">
        <v>2.0</v>
      </c>
      <c r="AC738" s="28" t="s">
        <v>23</v>
      </c>
      <c r="AD738" s="23"/>
      <c r="AE738" s="28" t="s">
        <v>15</v>
      </c>
      <c r="AF738" s="23"/>
      <c r="AG738" s="23"/>
      <c r="AH738" s="23" t="str">
        <f>IFERROR(__xludf.DUMMYFUNCTION("IF(
ISNUMBER(MATCH(
C738,
IMPORTRANGE(""https://docs.google.com/spreadsheets/d/1yTh1ELC33JHYOeEdgIiEclxPRyh0zOKtlawDltfUay8"",""'Interns'!A:A""),
0
)),
""Outreach Conducted"",
"""")"),"")</f>
        <v/>
      </c>
      <c r="AI738" s="23"/>
      <c r="AJ738" s="23"/>
      <c r="AK738" s="23" t="str">
        <f>IFERROR(__xludf.DUMMYFUNCTION("XLOOKUP(C738, 
   IMPORTRANGE(""1RdEdgHYrZ33LJ7RUHj_h-qkAFL92bcVjtIdVa-UlsCw"", ""Interns!D:D""), 
   IMPORTRANGE(""1RdEdgHYrZ33LJ7RUHj_h-qkAFL92bcVjtIdVa-UlsCw"", ""Interns!M:M""), 
   ""Not Found"")"),"")</f>
        <v/>
      </c>
      <c r="AL738" s="23" t="str">
        <f>IFERROR(__xludf.DUMMYFUNCTION("XLOOKUP(C738, 
   IMPORTRANGE(""1RdEdgHYrZ33LJ7RUHj_h-qkAFL92bcVjtIdVa-UlsCw"", ""Interns!D:D""), 
   IMPORTRANGE(""1RdEdgHYrZ33LJ7RUHj_h-qkAFL92bcVjtIdVa-UlsCw"", ""Interns!N:N""), 
   ""Not Found"")"),"")</f>
        <v/>
      </c>
      <c r="AM738" s="23" t="str">
        <f>IFERROR(__xludf.DUMMYFUNCTION("XLOOKUP(C738, 
   IMPORTRANGE(""1RdEdgHYrZ33LJ7RUHj_h-qkAFL92bcVjtIdVa-UlsCw"", ""Interns!D:D""), 
   IMPORTRANGE(""1RdEdgHYrZ33LJ7RUHj_h-qkAFL92bcVjtIdVa-UlsCw"", ""Interns!O:O""), 
   ""Not Found"")"),"")</f>
        <v/>
      </c>
      <c r="AN738" s="23"/>
      <c r="AO738" s="23" t="s">
        <v>9061</v>
      </c>
      <c r="AP738" s="28" t="s">
        <v>5182</v>
      </c>
      <c r="AQ738" s="28" t="s">
        <v>9062</v>
      </c>
      <c r="AR738" s="23" t="s">
        <v>9063</v>
      </c>
      <c r="AS738" s="23"/>
      <c r="AT738" s="23"/>
      <c r="AU738" s="23"/>
      <c r="AV738" s="23"/>
    </row>
    <row r="739">
      <c r="A739" s="28" t="s">
        <v>5202</v>
      </c>
      <c r="B739" s="28" t="s">
        <v>5162</v>
      </c>
      <c r="C739" s="23" t="str">
        <f t="shared" si="1"/>
        <v>Ytaliashe Joseph</v>
      </c>
      <c r="D739" s="28" t="s">
        <v>10018</v>
      </c>
      <c r="E739" s="28" t="s">
        <v>363</v>
      </c>
      <c r="F739" s="23">
        <f t="array" ref="F739">IFERROR(
    INDEX('Hub Interns 226'!A:A, MATCH(C739, 'Hub Interns 226'!B:B, 0)),"")</f>
        <v>1247</v>
      </c>
      <c r="G739" s="23">
        <f t="array" ref="G739">IFERROR(
    INDEX('Hub Users 226'!A:A, MATCH(C739, 'Hub Users 226'!B:B, 0)),"")</f>
        <v>1680</v>
      </c>
      <c r="H739" s="28">
        <v>1433.0</v>
      </c>
      <c r="I739" s="28" t="s">
        <v>290</v>
      </c>
      <c r="J739" s="28" t="s">
        <v>10019</v>
      </c>
      <c r="K739" s="28" t="s">
        <v>5177</v>
      </c>
      <c r="L739" s="28" t="s">
        <v>5196</v>
      </c>
      <c r="M739" s="56" t="s">
        <v>10020</v>
      </c>
      <c r="N739" s="57">
        <v>44874.66736111111</v>
      </c>
      <c r="O739" s="58">
        <v>38710.0</v>
      </c>
      <c r="P739" s="28">
        <f t="shared" si="20"/>
        <v>20</v>
      </c>
      <c r="Q739" s="28" t="s">
        <v>10021</v>
      </c>
      <c r="R739" s="28">
        <v>11422.0</v>
      </c>
      <c r="S739" s="28"/>
      <c r="T739" s="28"/>
      <c r="U739" s="28"/>
      <c r="V739" s="28"/>
      <c r="W739" s="28" t="s">
        <v>1173</v>
      </c>
      <c r="X739" s="28" t="s">
        <v>272</v>
      </c>
      <c r="Y739" s="28" t="s">
        <v>10022</v>
      </c>
      <c r="Z739" s="28" t="s">
        <v>5332</v>
      </c>
      <c r="AA739" s="28" t="s">
        <v>421</v>
      </c>
      <c r="AB739" s="28">
        <v>31.0</v>
      </c>
      <c r="AC739" s="28" t="s">
        <v>25</v>
      </c>
      <c r="AD739" s="23"/>
      <c r="AE739" s="28" t="s">
        <v>15</v>
      </c>
      <c r="AF739" s="23" t="str">
        <f>IFERROR(__xludf.DUMMYFUNCTION("TEXTJOIN("", "", TRUE,
  FILTER(Champions!C:C,
    ISNUMBER(SEARCH(C739, Champions!W:W))
  )
)"),"Wendy Velasquez Ebanks")</f>
        <v>Wendy Velasquez Ebanks</v>
      </c>
      <c r="AG739" s="23"/>
      <c r="AH739" s="23" t="str">
        <f>IFERROR(__xludf.DUMMYFUNCTION("IF(
ISNUMBER(MATCH(
C739,
IMPORTRANGE(""https://docs.google.com/spreadsheets/d/1yTh1ELC33JHYOeEdgIiEclxPRyh0zOKtlawDltfUay8"",""'Interns'!A:A""),
0
)),
""Outreach Conducted"",
"""")"),"")</f>
        <v/>
      </c>
      <c r="AI739" s="23"/>
      <c r="AJ739" s="23"/>
      <c r="AK739" s="23" t="str">
        <f>IFERROR(__xludf.DUMMYFUNCTION("XLOOKUP(C739, 
   IMPORTRANGE(""1RdEdgHYrZ33LJ7RUHj_h-qkAFL92bcVjtIdVa-UlsCw"", ""Interns!D:D""), 
   IMPORTRANGE(""1RdEdgHYrZ33LJ7RUHj_h-qkAFL92bcVjtIdVa-UlsCw"", ""Interns!M:M""), 
   ""Not Found"")"),"")</f>
        <v/>
      </c>
      <c r="AL739" s="23" t="str">
        <f>IFERROR(__xludf.DUMMYFUNCTION("XLOOKUP(C739, 
   IMPORTRANGE(""1RdEdgHYrZ33LJ7RUHj_h-qkAFL92bcVjtIdVa-UlsCw"", ""Interns!D:D""), 
   IMPORTRANGE(""1RdEdgHYrZ33LJ7RUHj_h-qkAFL92bcVjtIdVa-UlsCw"", ""Interns!N:N""), 
   ""Not Found"")"),"")</f>
        <v/>
      </c>
      <c r="AM739" s="23" t="str">
        <f>IFERROR(__xludf.DUMMYFUNCTION("XLOOKUP(C739, 
   IMPORTRANGE(""1RdEdgHYrZ33LJ7RUHj_h-qkAFL92bcVjtIdVa-UlsCw"", ""Interns!D:D""), 
   IMPORTRANGE(""1RdEdgHYrZ33LJ7RUHj_h-qkAFL92bcVjtIdVa-UlsCw"", ""Interns!O:O""), 
   ""Not Found"")"),"")</f>
        <v/>
      </c>
      <c r="AN739" s="23"/>
      <c r="AO739" s="23" t="s">
        <v>10023</v>
      </c>
      <c r="AP739" s="28" t="s">
        <v>5182</v>
      </c>
      <c r="AQ739" s="28" t="s">
        <v>10024</v>
      </c>
      <c r="AR739" s="23" t="s">
        <v>10025</v>
      </c>
      <c r="AS739" s="23"/>
      <c r="AT739" s="23"/>
      <c r="AU739" s="23"/>
      <c r="AV739" s="23"/>
    </row>
    <row r="740">
      <c r="A740" s="28" t="s">
        <v>5161</v>
      </c>
      <c r="B740" s="28" t="s">
        <v>31</v>
      </c>
      <c r="C740" s="23" t="str">
        <f t="shared" si="1"/>
        <v>Rongze Yu</v>
      </c>
      <c r="D740" s="28" t="s">
        <v>6100</v>
      </c>
      <c r="E740" s="28" t="s">
        <v>6101</v>
      </c>
      <c r="F740" s="23">
        <f t="array" ref="F740">IFERROR(
    INDEX('Hub Interns 226'!A:A, MATCH(C740, 'Hub Interns 226'!B:B, 0)),"")</f>
        <v>63</v>
      </c>
      <c r="G740" s="23">
        <f t="array" ref="G740">IFERROR(
    INDEX('Hub Users 226'!A:A, MATCH(C740, 'Hub Users 226'!B:B, 0)),"")</f>
        <v>496</v>
      </c>
      <c r="H740" s="28">
        <v>715.0</v>
      </c>
      <c r="I740" s="28" t="s">
        <v>239</v>
      </c>
      <c r="J740" s="28"/>
      <c r="K740" s="28"/>
      <c r="L740" s="28" t="s">
        <v>5165</v>
      </c>
      <c r="M740" s="56" t="s">
        <v>6102</v>
      </c>
      <c r="N740" s="59">
        <v>44547.64097222222</v>
      </c>
      <c r="O740" s="58">
        <v>37928.0</v>
      </c>
      <c r="P740" s="28">
        <f t="shared" si="20"/>
        <v>22</v>
      </c>
      <c r="Q740" s="28" t="s">
        <v>6103</v>
      </c>
      <c r="R740" s="28" t="s">
        <v>6104</v>
      </c>
      <c r="S740" s="28"/>
      <c r="T740" s="28"/>
      <c r="U740" s="28"/>
      <c r="V740" s="28"/>
      <c r="W740" s="28" t="s">
        <v>271</v>
      </c>
      <c r="X740" s="28" t="s">
        <v>272</v>
      </c>
      <c r="Y740" s="28" t="s">
        <v>6105</v>
      </c>
      <c r="Z740" s="28" t="s">
        <v>5259</v>
      </c>
      <c r="AA740" s="28" t="s">
        <v>704</v>
      </c>
      <c r="AB740" s="28">
        <v>2.0</v>
      </c>
      <c r="AC740" s="28" t="s">
        <v>28</v>
      </c>
      <c r="AD740" s="23"/>
      <c r="AE740" s="28" t="s">
        <v>10</v>
      </c>
      <c r="AF740" s="23"/>
      <c r="AG740" s="23"/>
      <c r="AH740" s="23" t="str">
        <f>IFERROR(__xludf.DUMMYFUNCTION("IF(
ISNUMBER(MATCH(
C740,
IMPORTRANGE(""https://docs.google.com/spreadsheets/d/1yTh1ELC33JHYOeEdgIiEclxPRyh0zOKtlawDltfUay8"",""'Interns'!A:A""),
0
)),
""Outreach Conducted"",
"""")"),"")</f>
        <v/>
      </c>
      <c r="AI740" s="23"/>
      <c r="AJ740" s="23"/>
      <c r="AK740" s="23" t="str">
        <f>IFERROR(__xludf.DUMMYFUNCTION("XLOOKUP(C740, 
   IMPORTRANGE(""1RdEdgHYrZ33LJ7RUHj_h-qkAFL92bcVjtIdVa-UlsCw"", ""Interns!D:D""), 
   IMPORTRANGE(""1RdEdgHYrZ33LJ7RUHj_h-qkAFL92bcVjtIdVa-UlsCw"", ""Interns!M:M""), 
   ""Not Found"")"),"")</f>
        <v/>
      </c>
      <c r="AL740" s="23" t="str">
        <f>IFERROR(__xludf.DUMMYFUNCTION("XLOOKUP(C740, 
   IMPORTRANGE(""1RdEdgHYrZ33LJ7RUHj_h-qkAFL92bcVjtIdVa-UlsCw"", ""Interns!D:D""), 
   IMPORTRANGE(""1RdEdgHYrZ33LJ7RUHj_h-qkAFL92bcVjtIdVa-UlsCw"", ""Interns!N:N""), 
   ""Not Found"")"),"")</f>
        <v/>
      </c>
      <c r="AM740" s="23" t="str">
        <f>IFERROR(__xludf.DUMMYFUNCTION("XLOOKUP(C740, 
   IMPORTRANGE(""1RdEdgHYrZ33LJ7RUHj_h-qkAFL92bcVjtIdVa-UlsCw"", ""Interns!D:D""), 
   IMPORTRANGE(""1RdEdgHYrZ33LJ7RUHj_h-qkAFL92bcVjtIdVa-UlsCw"", ""Interns!O:O""), 
   ""Not Found"")"),"")</f>
        <v/>
      </c>
      <c r="AN740" s="23"/>
      <c r="AO740" s="23" t="s">
        <v>6106</v>
      </c>
      <c r="AP740" s="28" t="s">
        <v>5240</v>
      </c>
      <c r="AQ740" s="28" t="s">
        <v>6107</v>
      </c>
      <c r="AR740" s="23" t="s">
        <v>6108</v>
      </c>
      <c r="AS740" s="23"/>
      <c r="AT740" s="23"/>
      <c r="AU740" s="23"/>
      <c r="AV740" s="23"/>
    </row>
    <row r="741">
      <c r="A741" s="28" t="s">
        <v>5161</v>
      </c>
      <c r="B741" s="28" t="s">
        <v>5162</v>
      </c>
      <c r="C741" s="23" t="str">
        <f t="shared" si="1"/>
        <v>Paola Munoz</v>
      </c>
      <c r="D741" s="28" t="s">
        <v>2777</v>
      </c>
      <c r="E741" s="28" t="s">
        <v>6520</v>
      </c>
      <c r="F741" s="23">
        <f t="array" ref="F741">IFERROR(
    INDEX('Hub Interns 226'!A:A, MATCH(C741, 'Hub Interns 226'!B:B, 0)),"")</f>
        <v>987</v>
      </c>
      <c r="G741" s="23">
        <f t="array" ref="G741">IFERROR(
    INDEX('Hub Users 226'!A:A, MATCH(C741, 'Hub Users 226'!B:B, 0)),"")</f>
        <v>1420</v>
      </c>
      <c r="H741" s="28">
        <v>633.0</v>
      </c>
      <c r="I741" s="28" t="s">
        <v>239</v>
      </c>
      <c r="J741" s="28" t="s">
        <v>9066</v>
      </c>
      <c r="K741" s="28" t="s">
        <v>5177</v>
      </c>
      <c r="L741" s="28" t="s">
        <v>5196</v>
      </c>
      <c r="M741" s="56" t="s">
        <v>10026</v>
      </c>
      <c r="N741" s="59">
        <v>44498.48611111111</v>
      </c>
      <c r="O741" s="58">
        <v>38184.0</v>
      </c>
      <c r="P741" s="28">
        <f t="shared" si="20"/>
        <v>21</v>
      </c>
      <c r="Q741" s="28" t="s">
        <v>240</v>
      </c>
      <c r="R741" s="28" t="s">
        <v>10027</v>
      </c>
      <c r="S741" s="28">
        <v>14.0</v>
      </c>
      <c r="T741" s="28">
        <v>11.0</v>
      </c>
      <c r="U741" s="28">
        <v>27.0</v>
      </c>
      <c r="V741" s="28">
        <v>21.0</v>
      </c>
      <c r="W741" s="28" t="s">
        <v>1173</v>
      </c>
      <c r="X741" s="28" t="s">
        <v>272</v>
      </c>
      <c r="Y741" s="28" t="s">
        <v>10028</v>
      </c>
      <c r="Z741" s="28" t="s">
        <v>5189</v>
      </c>
      <c r="AA741" s="28" t="s">
        <v>619</v>
      </c>
      <c r="AB741" s="28">
        <v>20.0</v>
      </c>
      <c r="AC741" s="28" t="s">
        <v>25</v>
      </c>
      <c r="AD741" s="23"/>
      <c r="AE741" s="28" t="s">
        <v>10</v>
      </c>
      <c r="AF741" s="23" t="str">
        <f>IFERROR(__xludf.DUMMYFUNCTION("TEXTJOIN("", "", TRUE,
  FILTER(Champions!C:C,
    ISNUMBER(SEARCH(C741, Champions!W:W))
  )
)"),"Abhishek Mehta, Paola Lopez")</f>
        <v>Abhishek Mehta, Paola Lopez</v>
      </c>
      <c r="AG741" s="23"/>
      <c r="AH741" s="23" t="str">
        <f>IFERROR(__xludf.DUMMYFUNCTION("IF(
ISNUMBER(MATCH(
C741,
IMPORTRANGE(""https://docs.google.com/spreadsheets/d/1yTh1ELC33JHYOeEdgIiEclxPRyh0zOKtlawDltfUay8"",""'Interns'!A:A""),
0
)),
""Outreach Conducted"",
"""")"),"")</f>
        <v/>
      </c>
      <c r="AI741" s="23"/>
      <c r="AJ741" s="23"/>
      <c r="AK741" s="23" t="str">
        <f>IFERROR(__xludf.DUMMYFUNCTION("XLOOKUP(C741, 
   IMPORTRANGE(""1RdEdgHYrZ33LJ7RUHj_h-qkAFL92bcVjtIdVa-UlsCw"", ""Interns!D:D""), 
   IMPORTRANGE(""1RdEdgHYrZ33LJ7RUHj_h-qkAFL92bcVjtIdVa-UlsCw"", ""Interns!M:M""), 
   ""Not Found"")"),"Contacted")</f>
        <v>Contacted</v>
      </c>
      <c r="AL741" s="23" t="str">
        <f>IFERROR(__xludf.DUMMYFUNCTION("XLOOKUP(C741, 
   IMPORTRANGE(""1RdEdgHYrZ33LJ7RUHj_h-qkAFL92bcVjtIdVa-UlsCw"", ""Interns!D:D""), 
   IMPORTRANGE(""1RdEdgHYrZ33LJ7RUHj_h-qkAFL92bcVjtIdVa-UlsCw"", ""Interns!N:N""), 
   ""Not Found"")"),"#Cheers4Careers")</f>
        <v>#Cheers4Careers</v>
      </c>
      <c r="AM741" s="23" t="str">
        <f>IFERROR(__xludf.DUMMYFUNCTION("XLOOKUP(C741, 
   IMPORTRANGE(""1RdEdgHYrZ33LJ7RUHj_h-qkAFL92bcVjtIdVa-UlsCw"", ""Interns!D:D""), 
   IMPORTRANGE(""1RdEdgHYrZ33LJ7RUHj_h-qkAFL92bcVjtIdVa-UlsCw"", ""Interns!O:O""), 
   ""Not Found"")"),"Hetal reached out by email 3/27 followed by text")</f>
        <v>Hetal reached out by email 3/27 followed by text</v>
      </c>
      <c r="AN741" s="23"/>
      <c r="AO741" s="23" t="s">
        <v>10029</v>
      </c>
      <c r="AP741" s="28" t="s">
        <v>5182</v>
      </c>
      <c r="AQ741" s="28" t="s">
        <v>10030</v>
      </c>
      <c r="AR741" s="23" t="s">
        <v>10031</v>
      </c>
      <c r="AS741" s="23"/>
      <c r="AT741" s="23"/>
      <c r="AU741" s="23"/>
      <c r="AV741" s="23"/>
    </row>
    <row r="742">
      <c r="A742" s="28" t="s">
        <v>5161</v>
      </c>
      <c r="B742" s="28" t="s">
        <v>5162</v>
      </c>
      <c r="C742" s="23" t="str">
        <f t="shared" si="1"/>
        <v>Alessandro Pineda</v>
      </c>
      <c r="D742" s="28" t="s">
        <v>8739</v>
      </c>
      <c r="E742" s="28" t="s">
        <v>10032</v>
      </c>
      <c r="F742" s="23">
        <f t="array" ref="F742">IFERROR(
    INDEX('Hub Interns 226'!A:A, MATCH(C742, 'Hub Interns 226'!B:B, 0)),"")</f>
        <v>181</v>
      </c>
      <c r="G742" s="23">
        <f t="array" ref="G742">IFERROR(
    INDEX('Hub Users 226'!A:A, MATCH(C742, 'Hub Users 226'!B:B, 0)),"")</f>
        <v>614</v>
      </c>
      <c r="H742" s="28">
        <v>744.0</v>
      </c>
      <c r="I742" s="28" t="s">
        <v>239</v>
      </c>
      <c r="J742" s="28" t="s">
        <v>9066</v>
      </c>
      <c r="K742" s="28" t="s">
        <v>5177</v>
      </c>
      <c r="L742" s="28" t="s">
        <v>5165</v>
      </c>
      <c r="M742" s="56" t="s">
        <v>10033</v>
      </c>
      <c r="N742" s="59">
        <v>44551.44930555556</v>
      </c>
      <c r="O742" s="58">
        <v>37425.0</v>
      </c>
      <c r="P742" s="28">
        <f t="shared" si="20"/>
        <v>23</v>
      </c>
      <c r="Q742" s="28" t="s">
        <v>240</v>
      </c>
      <c r="R742" s="28" t="s">
        <v>10034</v>
      </c>
      <c r="S742" s="28">
        <v>5.0</v>
      </c>
      <c r="T742" s="28">
        <v>14.0</v>
      </c>
      <c r="U742" s="28">
        <v>28.0</v>
      </c>
      <c r="V742" s="28">
        <v>29.0</v>
      </c>
      <c r="W742" s="28" t="s">
        <v>1173</v>
      </c>
      <c r="X742" s="28" t="s">
        <v>272</v>
      </c>
      <c r="Y742" s="28" t="s">
        <v>10035</v>
      </c>
      <c r="Z742" s="28" t="s">
        <v>5483</v>
      </c>
      <c r="AA742" s="28" t="s">
        <v>457</v>
      </c>
      <c r="AB742" s="28">
        <v>25.0</v>
      </c>
      <c r="AC742" s="28" t="s">
        <v>25</v>
      </c>
      <c r="AD742" s="23"/>
      <c r="AE742" s="28" t="s">
        <v>10</v>
      </c>
      <c r="AF742" s="23" t="str">
        <f>IFERROR(__xludf.DUMMYFUNCTION("TEXTJOIN("", "", TRUE,
  FILTER(Champions!C:C,
    ISNUMBER(SEARCH(C742, Champions!W:W))
  )
)"),"John ?Nico? Johnson, Prasanna Vijayanathan")</f>
        <v>John ?Nico? Johnson, Prasanna Vijayanathan</v>
      </c>
      <c r="AG742" s="23"/>
      <c r="AH742" s="23" t="str">
        <f>IFERROR(__xludf.DUMMYFUNCTION("IF(
ISNUMBER(MATCH(
C742,
IMPORTRANGE(""https://docs.google.com/spreadsheets/d/1yTh1ELC33JHYOeEdgIiEclxPRyh0zOKtlawDltfUay8"",""'Interns'!A:A""),
0
)),
""Outreach Conducted"",
"""")"),"")</f>
        <v/>
      </c>
      <c r="AI742" s="23"/>
      <c r="AJ742" s="23"/>
      <c r="AK742" s="23" t="str">
        <f>IFERROR(__xludf.DUMMYFUNCTION("XLOOKUP(C742, 
   IMPORTRANGE(""1RdEdgHYrZ33LJ7RUHj_h-qkAFL92bcVjtIdVa-UlsCw"", ""Interns!D:D""), 
   IMPORTRANGE(""1RdEdgHYrZ33LJ7RUHj_h-qkAFL92bcVjtIdVa-UlsCw"", ""Interns!M:M""), 
   ""Not Found"")"),"Contacted")</f>
        <v>Contacted</v>
      </c>
      <c r="AL742" s="23" t="str">
        <f>IFERROR(__xludf.DUMMYFUNCTION("XLOOKUP(C742, 
   IMPORTRANGE(""1RdEdgHYrZ33LJ7RUHj_h-qkAFL92bcVjtIdVa-UlsCw"", ""Interns!D:D""), 
   IMPORTRANGE(""1RdEdgHYrZ33LJ7RUHj_h-qkAFL92bcVjtIdVa-UlsCw"", ""Interns!N:N""), 
   ""Not Found"")"),"#Cheers4Careers")</f>
        <v>#Cheers4Careers</v>
      </c>
      <c r="AM742" s="23" t="str">
        <f>IFERROR(__xludf.DUMMYFUNCTION("XLOOKUP(C742, 
   IMPORTRANGE(""1RdEdgHYrZ33LJ7RUHj_h-qkAFL92bcVjtIdVa-UlsCw"", ""Interns!D:D""), 
   IMPORTRANGE(""1RdEdgHYrZ33LJ7RUHj_h-qkAFL92bcVjtIdVa-UlsCw"", ""Interns!O:O""), 
   ""Not Found"")"),"Hetal reached out by email 3/27")</f>
        <v>Hetal reached out by email 3/27</v>
      </c>
      <c r="AN742" s="23"/>
      <c r="AO742" s="23" t="s">
        <v>8444</v>
      </c>
      <c r="AP742" s="28" t="s">
        <v>5182</v>
      </c>
      <c r="AQ742" s="28" t="s">
        <v>10036</v>
      </c>
      <c r="AR742" s="23" t="s">
        <v>10037</v>
      </c>
      <c r="AS742" s="23"/>
      <c r="AT742" s="23"/>
      <c r="AU742" s="23"/>
      <c r="AV742" s="23"/>
    </row>
    <row r="743">
      <c r="A743" s="28" t="s">
        <v>5161</v>
      </c>
      <c r="B743" s="28" t="s">
        <v>5162</v>
      </c>
      <c r="C743" s="23" t="str">
        <f t="shared" si="1"/>
        <v>Jaritza Ortega</v>
      </c>
      <c r="D743" s="28" t="s">
        <v>10038</v>
      </c>
      <c r="E743" s="28" t="s">
        <v>8681</v>
      </c>
      <c r="F743" s="23">
        <f t="array" ref="F743">IFERROR(
    INDEX('Hub Interns 226'!A:A, MATCH(C743, 'Hub Interns 226'!B:B, 0)),"")</f>
        <v>625</v>
      </c>
      <c r="G743" s="23">
        <f t="array" ref="G743">IFERROR(
    INDEX('Hub Users 226'!A:A, MATCH(C743, 'Hub Users 226'!B:B, 0)),"")</f>
        <v>1058</v>
      </c>
      <c r="H743" s="28">
        <v>540.0</v>
      </c>
      <c r="I743" s="28" t="s">
        <v>290</v>
      </c>
      <c r="J743" s="28" t="s">
        <v>9066</v>
      </c>
      <c r="K743" s="28" t="s">
        <v>5177</v>
      </c>
      <c r="L743" s="28" t="s">
        <v>5196</v>
      </c>
      <c r="M743" s="56" t="s">
        <v>10039</v>
      </c>
      <c r="N743" s="57">
        <v>44477.544444444444</v>
      </c>
      <c r="O743" s="58">
        <v>37294.0</v>
      </c>
      <c r="P743" s="28">
        <f t="shared" si="20"/>
        <v>24</v>
      </c>
      <c r="Q743" s="28" t="s">
        <v>240</v>
      </c>
      <c r="R743" s="28" t="s">
        <v>10040</v>
      </c>
      <c r="S743" s="28">
        <v>6.0</v>
      </c>
      <c r="T743" s="28">
        <v>16.0</v>
      </c>
      <c r="U743" s="28">
        <v>40.0</v>
      </c>
      <c r="V743" s="28">
        <v>20.0</v>
      </c>
      <c r="W743" s="28" t="s">
        <v>1173</v>
      </c>
      <c r="X743" s="28" t="s">
        <v>272</v>
      </c>
      <c r="Y743" s="28" t="s">
        <v>10041</v>
      </c>
      <c r="Z743" s="28" t="s">
        <v>5189</v>
      </c>
      <c r="AA743" s="28" t="s">
        <v>619</v>
      </c>
      <c r="AB743" s="28">
        <v>20.0</v>
      </c>
      <c r="AC743" s="28" t="s">
        <v>25</v>
      </c>
      <c r="AD743" s="23"/>
      <c r="AE743" s="28" t="s">
        <v>10</v>
      </c>
      <c r="AF743" s="23" t="str">
        <f>IFERROR(__xludf.DUMMYFUNCTION("TEXTJOIN("", "", TRUE,
  FILTER(Champions!C:C,
    ISNUMBER(SEARCH(C743, Champions!W:W))
  )
)"),"Chetna Bail, Lata Murti")</f>
        <v>Chetna Bail, Lata Murti</v>
      </c>
      <c r="AG743" s="23"/>
      <c r="AH743" s="23" t="str">
        <f>IFERROR(__xludf.DUMMYFUNCTION("IF(
ISNUMBER(MATCH(
C743,
IMPORTRANGE(""https://docs.google.com/spreadsheets/d/1yTh1ELC33JHYOeEdgIiEclxPRyh0zOKtlawDltfUay8"",""'Interns'!A:A""),
0
)),
""Outreach Conducted"",
"""")"),"")</f>
        <v/>
      </c>
      <c r="AI743" s="23"/>
      <c r="AJ743" s="23"/>
      <c r="AK743" s="23" t="str">
        <f>IFERROR(__xludf.DUMMYFUNCTION("XLOOKUP(C743, 
   IMPORTRANGE(""1RdEdgHYrZ33LJ7RUHj_h-qkAFL92bcVjtIdVa-UlsCw"", ""Interns!D:D""), 
   IMPORTRANGE(""1RdEdgHYrZ33LJ7RUHj_h-qkAFL92bcVjtIdVa-UlsCw"", ""Interns!M:M""), 
   ""Not Found"")"),"Contacted")</f>
        <v>Contacted</v>
      </c>
      <c r="AL743" s="23" t="str">
        <f>IFERROR(__xludf.DUMMYFUNCTION("XLOOKUP(C743, 
   IMPORTRANGE(""1RdEdgHYrZ33LJ7RUHj_h-qkAFL92bcVjtIdVa-UlsCw"", ""Interns!D:D""), 
   IMPORTRANGE(""1RdEdgHYrZ33LJ7RUHj_h-qkAFL92bcVjtIdVa-UlsCw"", ""Interns!N:N""), 
   ""Not Found"")"),"#Cheers4Careers")</f>
        <v>#Cheers4Careers</v>
      </c>
      <c r="AM743" s="23" t="str">
        <f>IFERROR(__xludf.DUMMYFUNCTION("XLOOKUP(C743, 
   IMPORTRANGE(""1RdEdgHYrZ33LJ7RUHj_h-qkAFL92bcVjtIdVa-UlsCw"", ""Interns!D:D""), 
   IMPORTRANGE(""1RdEdgHYrZ33LJ7RUHj_h-qkAFL92bcVjtIdVa-UlsCw"", ""Interns!O:O""), 
   ""Not Found"")"),"Hetal reached out by email 3/27 followed by text")</f>
        <v>Hetal reached out by email 3/27 followed by text</v>
      </c>
      <c r="AN743" s="23"/>
      <c r="AO743" s="23" t="s">
        <v>10042</v>
      </c>
      <c r="AP743" s="28" t="s">
        <v>5182</v>
      </c>
      <c r="AQ743" s="28" t="s">
        <v>10043</v>
      </c>
      <c r="AR743" s="23" t="s">
        <v>10044</v>
      </c>
      <c r="AS743" s="23"/>
      <c r="AT743" s="23"/>
      <c r="AU743" s="23"/>
      <c r="AV743" s="23"/>
    </row>
    <row r="744">
      <c r="A744" s="28" t="s">
        <v>5202</v>
      </c>
      <c r="B744" s="28" t="s">
        <v>31</v>
      </c>
      <c r="C744" s="23" t="str">
        <f t="shared" si="1"/>
        <v>Takezo Fujita Ostman</v>
      </c>
      <c r="D744" s="28" t="s">
        <v>10045</v>
      </c>
      <c r="E744" s="28" t="s">
        <v>10046</v>
      </c>
      <c r="F744" s="23">
        <f t="array" ref="F744">IFERROR(
    INDEX('Hub Interns 226'!A:A, MATCH(C744, 'Hub Interns 226'!B:B, 0)),"")</f>
        <v>66</v>
      </c>
      <c r="G744" s="23">
        <f t="array" ref="G744">IFERROR(
    INDEX('Hub Users 226'!A:A, MATCH(C744, 'Hub Users 226'!B:B, 0)),"")</f>
        <v>499</v>
      </c>
      <c r="H744" s="28">
        <v>835.0</v>
      </c>
      <c r="I744" s="28" t="s">
        <v>785</v>
      </c>
      <c r="J744" s="28"/>
      <c r="K744" s="28"/>
      <c r="L744" s="28" t="s">
        <v>5165</v>
      </c>
      <c r="M744" s="56" t="s">
        <v>10047</v>
      </c>
      <c r="N744" s="57">
        <v>44575.61041666667</v>
      </c>
      <c r="O744" s="58">
        <v>38009.0</v>
      </c>
      <c r="P744" s="28">
        <f t="shared" si="20"/>
        <v>22</v>
      </c>
      <c r="Q744" s="28" t="s">
        <v>240</v>
      </c>
      <c r="R744" s="28" t="s">
        <v>10048</v>
      </c>
      <c r="S744" s="28"/>
      <c r="T744" s="28"/>
      <c r="U744" s="28"/>
      <c r="V744" s="28"/>
      <c r="W744" s="28" t="s">
        <v>271</v>
      </c>
      <c r="X744" s="28" t="s">
        <v>272</v>
      </c>
      <c r="Y744" s="28" t="s">
        <v>10049</v>
      </c>
      <c r="Z744" s="28" t="s">
        <v>5259</v>
      </c>
      <c r="AA744" s="28" t="s">
        <v>704</v>
      </c>
      <c r="AB744" s="28">
        <v>2.0</v>
      </c>
      <c r="AC744" s="28" t="s">
        <v>28</v>
      </c>
      <c r="AD744" s="23"/>
      <c r="AE744" s="28" t="s">
        <v>10</v>
      </c>
      <c r="AF744" s="23"/>
      <c r="AG744" s="23"/>
      <c r="AH744" s="23" t="str">
        <f>IFERROR(__xludf.DUMMYFUNCTION("IF(
ISNUMBER(MATCH(
C744,
IMPORTRANGE(""https://docs.google.com/spreadsheets/d/1yTh1ELC33JHYOeEdgIiEclxPRyh0zOKtlawDltfUay8"",""'Interns'!A:A""),
0
)),
""Outreach Conducted"",
"""")"),"")</f>
        <v/>
      </c>
      <c r="AI744" s="23"/>
      <c r="AJ744" s="23"/>
      <c r="AK744" s="23" t="str">
        <f>IFERROR(__xludf.DUMMYFUNCTION("XLOOKUP(C744, 
   IMPORTRANGE(""1RdEdgHYrZ33LJ7RUHj_h-qkAFL92bcVjtIdVa-UlsCw"", ""Interns!D:D""), 
   IMPORTRANGE(""1RdEdgHYrZ33LJ7RUHj_h-qkAFL92bcVjtIdVa-UlsCw"", ""Interns!M:M""), 
   ""Not Found"")"),"")</f>
        <v/>
      </c>
      <c r="AL744" s="23" t="str">
        <f>IFERROR(__xludf.DUMMYFUNCTION("XLOOKUP(C744, 
   IMPORTRANGE(""1RdEdgHYrZ33LJ7RUHj_h-qkAFL92bcVjtIdVa-UlsCw"", ""Interns!D:D""), 
   IMPORTRANGE(""1RdEdgHYrZ33LJ7RUHj_h-qkAFL92bcVjtIdVa-UlsCw"", ""Interns!N:N""), 
   ""Not Found"")"),"")</f>
        <v/>
      </c>
      <c r="AM744" s="23" t="str">
        <f>IFERROR(__xludf.DUMMYFUNCTION("XLOOKUP(C744, 
   IMPORTRANGE(""1RdEdgHYrZ33LJ7RUHj_h-qkAFL92bcVjtIdVa-UlsCw"", ""Interns!D:D""), 
   IMPORTRANGE(""1RdEdgHYrZ33LJ7RUHj_h-qkAFL92bcVjtIdVa-UlsCw"", ""Interns!O:O""), 
   ""Not Found"")"),"")</f>
        <v/>
      </c>
      <c r="AN744" s="23"/>
      <c r="AO744" s="23" t="s">
        <v>10050</v>
      </c>
      <c r="AP744" s="28" t="s">
        <v>5191</v>
      </c>
      <c r="AQ744" s="28" t="s">
        <v>10051</v>
      </c>
      <c r="AR744" s="23" t="s">
        <v>10052</v>
      </c>
      <c r="AS744" s="23"/>
      <c r="AT744" s="23"/>
      <c r="AU744" s="23"/>
      <c r="AV744" s="23"/>
    </row>
    <row r="745">
      <c r="A745" s="28" t="s">
        <v>5161</v>
      </c>
      <c r="B745" s="28" t="s">
        <v>5162</v>
      </c>
      <c r="C745" s="23" t="str">
        <f t="shared" si="1"/>
        <v>Yumeiry Mauricio</v>
      </c>
      <c r="D745" s="28" t="s">
        <v>10053</v>
      </c>
      <c r="E745" s="28" t="s">
        <v>9821</v>
      </c>
      <c r="F745" s="23">
        <f t="array" ref="F745">IFERROR(
    INDEX('Hub Interns 226'!A:A, MATCH(C745, 'Hub Interns 226'!B:B, 0)),"")</f>
        <v>1248</v>
      </c>
      <c r="G745" s="23">
        <f t="array" ref="G745">IFERROR(
    INDEX('Hub Users 226'!A:A, MATCH(C745, 'Hub Users 226'!B:B, 0)),"")</f>
        <v>1681</v>
      </c>
      <c r="H745" s="28">
        <v>1256.0</v>
      </c>
      <c r="I745" s="28" t="s">
        <v>260</v>
      </c>
      <c r="J745" s="28" t="s">
        <v>9066</v>
      </c>
      <c r="K745" s="28" t="s">
        <v>5177</v>
      </c>
      <c r="L745" s="28" t="s">
        <v>5196</v>
      </c>
      <c r="M745" s="56" t="s">
        <v>10054</v>
      </c>
      <c r="N745" s="57">
        <v>44841.65277777778</v>
      </c>
      <c r="O745" s="58">
        <v>38045.0</v>
      </c>
      <c r="P745" s="28">
        <f t="shared" si="20"/>
        <v>22</v>
      </c>
      <c r="Q745" s="28" t="s">
        <v>10055</v>
      </c>
      <c r="R745" s="28" t="s">
        <v>10056</v>
      </c>
      <c r="S745" s="28">
        <v>15.0</v>
      </c>
      <c r="T745" s="28">
        <v>32.0</v>
      </c>
      <c r="U745" s="28">
        <v>84.0</v>
      </c>
      <c r="V745" s="28">
        <v>16.0</v>
      </c>
      <c r="W745" s="28" t="s">
        <v>859</v>
      </c>
      <c r="X745" s="28" t="s">
        <v>272</v>
      </c>
      <c r="Y745" s="28" t="s">
        <v>10057</v>
      </c>
      <c r="Z745" s="28" t="s">
        <v>5435</v>
      </c>
      <c r="AA745" s="28" t="s">
        <v>5436</v>
      </c>
      <c r="AB745" s="28">
        <v>10.0</v>
      </c>
      <c r="AC745" s="28" t="s">
        <v>25</v>
      </c>
      <c r="AD745" s="23"/>
      <c r="AE745" s="28" t="s">
        <v>15</v>
      </c>
      <c r="AF745" s="23" t="str">
        <f>IFERROR(__xludf.DUMMYFUNCTION("TEXTJOIN("", "", TRUE,
  FILTER(Champions!C:C,
    ISNUMBER(SEARCH(C745, Champions!W:W))
  )
)"),"Carmen Maldonado-Bowling, Scotney Young")</f>
        <v>Carmen Maldonado-Bowling, Scotney Young</v>
      </c>
      <c r="AG745" s="23"/>
      <c r="AH745" s="23" t="str">
        <f>IFERROR(__xludf.DUMMYFUNCTION("IF(
ISNUMBER(MATCH(
C745,
IMPORTRANGE(""https://docs.google.com/spreadsheets/d/1yTh1ELC33JHYOeEdgIiEclxPRyh0zOKtlawDltfUay8"",""'Interns'!A:A""),
0
)),
""Outreach Conducted"",
"""")"),"")</f>
        <v/>
      </c>
      <c r="AI745" s="23"/>
      <c r="AJ745" s="23"/>
      <c r="AK745" s="23" t="str">
        <f>IFERROR(__xludf.DUMMYFUNCTION("XLOOKUP(C745, 
   IMPORTRANGE(""1RdEdgHYrZ33LJ7RUHj_h-qkAFL92bcVjtIdVa-UlsCw"", ""Interns!D:D""), 
   IMPORTRANGE(""1RdEdgHYrZ33LJ7RUHj_h-qkAFL92bcVjtIdVa-UlsCw"", ""Interns!M:M""), 
   ""Not Found"")"),"Contacted")</f>
        <v>Contacted</v>
      </c>
      <c r="AL745" s="23" t="str">
        <f>IFERROR(__xludf.DUMMYFUNCTION("XLOOKUP(C745, 
   IMPORTRANGE(""1RdEdgHYrZ33LJ7RUHj_h-qkAFL92bcVjtIdVa-UlsCw"", ""Interns!D:D""), 
   IMPORTRANGE(""1RdEdgHYrZ33LJ7RUHj_h-qkAFL92bcVjtIdVa-UlsCw"", ""Interns!N:N""), 
   ""Not Found"")"),"#Cheers4Careers")</f>
        <v>#Cheers4Careers</v>
      </c>
      <c r="AM745" s="23" t="str">
        <f>IFERROR(__xludf.DUMMYFUNCTION("XLOOKUP(C745, 
   IMPORTRANGE(""1RdEdgHYrZ33LJ7RUHj_h-qkAFL92bcVjtIdVa-UlsCw"", ""Interns!D:D""), 
   IMPORTRANGE(""1RdEdgHYrZ33LJ7RUHj_h-qkAFL92bcVjtIdVa-UlsCw"", ""Interns!O:O""), 
   ""Not Found"")"),"Hetal reached out by email 3/27")</f>
        <v>Hetal reached out by email 3/27</v>
      </c>
      <c r="AN745" s="23"/>
      <c r="AO745" s="23" t="s">
        <v>10058</v>
      </c>
      <c r="AP745" s="28" t="s">
        <v>5191</v>
      </c>
      <c r="AQ745" s="28" t="s">
        <v>10059</v>
      </c>
      <c r="AR745" s="23" t="s">
        <v>10060</v>
      </c>
      <c r="AS745" s="23"/>
      <c r="AT745" s="23"/>
      <c r="AU745" s="23"/>
      <c r="AV745" s="23"/>
    </row>
    <row r="746">
      <c r="A746" s="28" t="s">
        <v>5161</v>
      </c>
      <c r="B746" s="28" t="s">
        <v>5162</v>
      </c>
      <c r="C746" s="23" t="str">
        <f t="shared" si="1"/>
        <v>Johana Garcia</v>
      </c>
      <c r="D746" s="28" t="s">
        <v>8762</v>
      </c>
      <c r="E746" s="28" t="s">
        <v>1484</v>
      </c>
      <c r="F746" s="23">
        <f t="array" ref="F746">IFERROR(
    INDEX('Hub Interns 226'!A:A, MATCH(C746, 'Hub Interns 226'!B:B, 0)),"")</f>
        <v>530</v>
      </c>
      <c r="G746" s="23">
        <f t="array" ref="G746">IFERROR(
    INDEX('Hub Users 226'!A:A, MATCH(C746, 'Hub Users 226'!B:B, 0)),"")</f>
        <v>963</v>
      </c>
      <c r="H746" s="28">
        <v>911.0</v>
      </c>
      <c r="I746" s="28" t="s">
        <v>269</v>
      </c>
      <c r="J746" s="28" t="s">
        <v>9066</v>
      </c>
      <c r="K746" s="28" t="s">
        <v>5177</v>
      </c>
      <c r="L746" s="28" t="s">
        <v>5196</v>
      </c>
      <c r="M746" s="56" t="s">
        <v>10061</v>
      </c>
      <c r="N746" s="57">
        <v>44601.59375</v>
      </c>
      <c r="O746" s="58">
        <v>38565.0</v>
      </c>
      <c r="P746" s="28">
        <f t="shared" si="20"/>
        <v>20</v>
      </c>
      <c r="Q746" s="28" t="s">
        <v>240</v>
      </c>
      <c r="R746" s="28" t="s">
        <v>10062</v>
      </c>
      <c r="S746" s="28">
        <v>6.0</v>
      </c>
      <c r="T746" s="28">
        <v>16.0</v>
      </c>
      <c r="U746" s="28">
        <v>40.0</v>
      </c>
      <c r="V746" s="28">
        <v>20.0</v>
      </c>
      <c r="W746" s="28" t="s">
        <v>1173</v>
      </c>
      <c r="X746" s="28" t="s">
        <v>272</v>
      </c>
      <c r="Y746" s="28" t="s">
        <v>10063</v>
      </c>
      <c r="Z746" s="28" t="s">
        <v>5303</v>
      </c>
      <c r="AA746" s="28" t="s">
        <v>619</v>
      </c>
      <c r="AB746" s="28">
        <v>20.0</v>
      </c>
      <c r="AC746" s="28" t="s">
        <v>24</v>
      </c>
      <c r="AD746" s="23"/>
      <c r="AE746" s="28" t="s">
        <v>10</v>
      </c>
      <c r="AF746" s="23"/>
      <c r="AG746" s="23"/>
      <c r="AH746" s="23" t="str">
        <f>IFERROR(__xludf.DUMMYFUNCTION("IF(
ISNUMBER(MATCH(
C746,
IMPORTRANGE(""https://docs.google.com/spreadsheets/d/1yTh1ELC33JHYOeEdgIiEclxPRyh0zOKtlawDltfUay8"",""'Interns'!A:A""),
0
)),
""Outreach Conducted"",
"""")"),"")</f>
        <v/>
      </c>
      <c r="AI746" s="23"/>
      <c r="AJ746" s="23"/>
      <c r="AK746" s="23" t="str">
        <f>IFERROR(__xludf.DUMMYFUNCTION("XLOOKUP(C746, 
   IMPORTRANGE(""1RdEdgHYrZ33LJ7RUHj_h-qkAFL92bcVjtIdVa-UlsCw"", ""Interns!D:D""), 
   IMPORTRANGE(""1RdEdgHYrZ33LJ7RUHj_h-qkAFL92bcVjtIdVa-UlsCw"", ""Interns!M:M""), 
   ""Not Found"")"),"Contacted")</f>
        <v>Contacted</v>
      </c>
      <c r="AL746" s="23" t="str">
        <f>IFERROR(__xludf.DUMMYFUNCTION("XLOOKUP(C746, 
   IMPORTRANGE(""1RdEdgHYrZ33LJ7RUHj_h-qkAFL92bcVjtIdVa-UlsCw"", ""Interns!D:D""), 
   IMPORTRANGE(""1RdEdgHYrZ33LJ7RUHj_h-qkAFL92bcVjtIdVa-UlsCw"", ""Interns!N:N""), 
   ""Not Found"")"),"#Cheers4Careers")</f>
        <v>#Cheers4Careers</v>
      </c>
      <c r="AM746" s="23" t="str">
        <f>IFERROR(__xludf.DUMMYFUNCTION("XLOOKUP(C746, 
   IMPORTRANGE(""1RdEdgHYrZ33LJ7RUHj_h-qkAFL92bcVjtIdVa-UlsCw"", ""Interns!D:D""), 
   IMPORTRANGE(""1RdEdgHYrZ33LJ7RUHj_h-qkAFL92bcVjtIdVa-UlsCw"", ""Interns!O:O""), 
   ""Not Found"")"),"Hetal reached out by email 3/27 followed by text")</f>
        <v>Hetal reached out by email 3/27 followed by text</v>
      </c>
      <c r="AN746" s="23"/>
      <c r="AO746" s="23" t="s">
        <v>10064</v>
      </c>
      <c r="AP746" s="28" t="s">
        <v>5182</v>
      </c>
      <c r="AQ746" s="28"/>
      <c r="AR746" s="23"/>
      <c r="AS746" s="23"/>
      <c r="AT746" s="23"/>
      <c r="AU746" s="23"/>
      <c r="AV746" s="23"/>
    </row>
    <row r="747">
      <c r="A747" s="28" t="s">
        <v>5161</v>
      </c>
      <c r="B747" s="28" t="s">
        <v>5162</v>
      </c>
      <c r="C747" s="23" t="str">
        <f t="shared" si="1"/>
        <v>Bairon Villanueva</v>
      </c>
      <c r="D747" s="28" t="s">
        <v>10065</v>
      </c>
      <c r="E747" s="28" t="s">
        <v>10066</v>
      </c>
      <c r="F747" s="23">
        <f t="array" ref="F747">IFERROR(
    INDEX('Hub Interns 226'!A:A, MATCH(C747, 'Hub Interns 226'!B:B, 0)),"")</f>
        <v>286</v>
      </c>
      <c r="G747" s="23">
        <f t="array" ref="G747">IFERROR(
    INDEX('Hub Users 226'!A:A, MATCH(C747, 'Hub Users 226'!B:B, 0)),"")</f>
        <v>719</v>
      </c>
      <c r="H747" s="28">
        <v>584.0</v>
      </c>
      <c r="I747" s="28" t="s">
        <v>290</v>
      </c>
      <c r="J747" s="28" t="s">
        <v>9066</v>
      </c>
      <c r="K747" s="28" t="s">
        <v>5177</v>
      </c>
      <c r="L747" s="28" t="s">
        <v>5165</v>
      </c>
      <c r="M747" s="56" t="s">
        <v>10067</v>
      </c>
      <c r="N747" s="59">
        <v>44483.63125</v>
      </c>
      <c r="O747" s="58">
        <v>38103.0</v>
      </c>
      <c r="P747" s="28">
        <f t="shared" si="20"/>
        <v>22</v>
      </c>
      <c r="Q747" s="28" t="s">
        <v>240</v>
      </c>
      <c r="R747" s="28" t="s">
        <v>10068</v>
      </c>
      <c r="S747" s="28">
        <v>6.0</v>
      </c>
      <c r="T747" s="28">
        <v>16.0</v>
      </c>
      <c r="U747" s="28">
        <v>40.0</v>
      </c>
      <c r="V747" s="28">
        <v>20.0</v>
      </c>
      <c r="W747" s="28" t="s">
        <v>1173</v>
      </c>
      <c r="X747" s="28" t="s">
        <v>272</v>
      </c>
      <c r="Y747" s="28" t="s">
        <v>10069</v>
      </c>
      <c r="Z747" s="28" t="s">
        <v>5189</v>
      </c>
      <c r="AA747" s="28" t="s">
        <v>619</v>
      </c>
      <c r="AB747" s="28">
        <v>20.0</v>
      </c>
      <c r="AC747" s="28" t="s">
        <v>25</v>
      </c>
      <c r="AD747" s="23"/>
      <c r="AE747" s="28" t="s">
        <v>10</v>
      </c>
      <c r="AF747" s="23" t="str">
        <f>IFERROR(__xludf.DUMMYFUNCTION("TEXTJOIN("", "", TRUE,
  FILTER(Champions!C:C,
    ISNUMBER(SEARCH(C747, Champions!W:W))
  )
)"),"Arturo Paniagua, Vanessa Rodriguez")</f>
        <v>Arturo Paniagua, Vanessa Rodriguez</v>
      </c>
      <c r="AG747" s="23"/>
      <c r="AH747" s="23" t="str">
        <f>IFERROR(__xludf.DUMMYFUNCTION("IF(
ISNUMBER(MATCH(
C747,
IMPORTRANGE(""https://docs.google.com/spreadsheets/d/1yTh1ELC33JHYOeEdgIiEclxPRyh0zOKtlawDltfUay8"",""'Interns'!A:A""),
0
)),
""Outreach Conducted"",
"""")"),"")</f>
        <v/>
      </c>
      <c r="AI747" s="23"/>
      <c r="AJ747" s="23"/>
      <c r="AK747" s="23" t="str">
        <f>IFERROR(__xludf.DUMMYFUNCTION("XLOOKUP(C747, 
   IMPORTRANGE(""1RdEdgHYrZ33LJ7RUHj_h-qkAFL92bcVjtIdVa-UlsCw"", ""Interns!D:D""), 
   IMPORTRANGE(""1RdEdgHYrZ33LJ7RUHj_h-qkAFL92bcVjtIdVa-UlsCw"", ""Interns!M:M""), 
   ""Not Found"")"),"Contacted")</f>
        <v>Contacted</v>
      </c>
      <c r="AL747" s="23" t="str">
        <f>IFERROR(__xludf.DUMMYFUNCTION("XLOOKUP(C747, 
   IMPORTRANGE(""1RdEdgHYrZ33LJ7RUHj_h-qkAFL92bcVjtIdVa-UlsCw"", ""Interns!D:D""), 
   IMPORTRANGE(""1RdEdgHYrZ33LJ7RUHj_h-qkAFL92bcVjtIdVa-UlsCw"", ""Interns!N:N""), 
   ""Not Found"")"),"#Cheers4Careers")</f>
        <v>#Cheers4Careers</v>
      </c>
      <c r="AM747" s="23" t="str">
        <f>IFERROR(__xludf.DUMMYFUNCTION("XLOOKUP(C747, 
   IMPORTRANGE(""1RdEdgHYrZ33LJ7RUHj_h-qkAFL92bcVjtIdVa-UlsCw"", ""Interns!D:D""), 
   IMPORTRANGE(""1RdEdgHYrZ33LJ7RUHj_h-qkAFL92bcVjtIdVa-UlsCw"", ""Interns!O:O""), 
   ""Not Found"")"),"Hetal reached out by email 3/27 followed by text")</f>
        <v>Hetal reached out by email 3/27 followed by text</v>
      </c>
      <c r="AN747" s="23"/>
      <c r="AO747" s="23" t="s">
        <v>10070</v>
      </c>
      <c r="AP747" s="28" t="s">
        <v>5989</v>
      </c>
      <c r="AQ747" s="28" t="s">
        <v>10067</v>
      </c>
      <c r="AR747" s="23" t="s">
        <v>10071</v>
      </c>
      <c r="AS747" s="23"/>
      <c r="AT747" s="23"/>
      <c r="AU747" s="23"/>
      <c r="AV747" s="23"/>
    </row>
    <row r="748">
      <c r="A748" s="28" t="s">
        <v>5161</v>
      </c>
      <c r="B748" s="28" t="s">
        <v>5162</v>
      </c>
      <c r="C748" s="23" t="str">
        <f t="shared" si="1"/>
        <v>Nancy Giron</v>
      </c>
      <c r="D748" s="28" t="s">
        <v>8869</v>
      </c>
      <c r="E748" s="28" t="s">
        <v>10072</v>
      </c>
      <c r="F748" s="23">
        <f t="array" ref="F748">IFERROR(
    INDEX('Hub Interns 226'!A:A, MATCH(C748, 'Hub Interns 226'!B:B, 0)),"")</f>
        <v>916</v>
      </c>
      <c r="G748" s="23">
        <f t="array" ref="G748">IFERROR(
    INDEX('Hub Users 226'!A:A, MATCH(C748, 'Hub Users 226'!B:B, 0)),"")</f>
        <v>1349</v>
      </c>
      <c r="H748" s="28">
        <v>543.0</v>
      </c>
      <c r="I748" s="28" t="s">
        <v>290</v>
      </c>
      <c r="J748" s="28" t="s">
        <v>9066</v>
      </c>
      <c r="K748" s="28" t="s">
        <v>5177</v>
      </c>
      <c r="L748" s="28" t="s">
        <v>5196</v>
      </c>
      <c r="M748" s="56" t="s">
        <v>10073</v>
      </c>
      <c r="N748" s="57">
        <v>44477.54791666667</v>
      </c>
      <c r="O748" s="58">
        <v>37488.0</v>
      </c>
      <c r="P748" s="28">
        <f t="shared" si="20"/>
        <v>23</v>
      </c>
      <c r="Q748" s="28" t="s">
        <v>240</v>
      </c>
      <c r="R748" s="28" t="s">
        <v>10074</v>
      </c>
      <c r="S748" s="60">
        <v>6.0</v>
      </c>
      <c r="T748" s="60">
        <v>16.0</v>
      </c>
      <c r="U748" s="60">
        <v>40.0</v>
      </c>
      <c r="V748" s="28">
        <v>20.0</v>
      </c>
      <c r="W748" s="28" t="s">
        <v>1173</v>
      </c>
      <c r="X748" s="28" t="s">
        <v>272</v>
      </c>
      <c r="Y748" s="28" t="s">
        <v>10075</v>
      </c>
      <c r="Z748" s="28" t="s">
        <v>5189</v>
      </c>
      <c r="AA748" s="28" t="s">
        <v>619</v>
      </c>
      <c r="AB748" s="28">
        <v>20.0</v>
      </c>
      <c r="AC748" s="28" t="s">
        <v>25</v>
      </c>
      <c r="AD748" s="23"/>
      <c r="AE748" s="28" t="s">
        <v>10</v>
      </c>
      <c r="AF748" s="23" t="str">
        <f>IFERROR(__xludf.DUMMYFUNCTION("TEXTJOIN("", "", TRUE,
  FILTER(Champions!C:C,
    ISNUMBER(SEARCH(C748, Champions!W:W))
  )
)"),"Romina Tome, Lizbeth Álvarez")</f>
        <v>Romina Tome, Lizbeth Álvarez</v>
      </c>
      <c r="AG748" s="23"/>
      <c r="AH748" s="23" t="str">
        <f>IFERROR(__xludf.DUMMYFUNCTION("IF(
ISNUMBER(MATCH(
C748,
IMPORTRANGE(""https://docs.google.com/spreadsheets/d/1yTh1ELC33JHYOeEdgIiEclxPRyh0zOKtlawDltfUay8"",""'Interns'!A:A""),
0
)),
""Outreach Conducted"",
"""")"),"")</f>
        <v/>
      </c>
      <c r="AI748" s="23"/>
      <c r="AJ748" s="23"/>
      <c r="AK748" s="23" t="str">
        <f>IFERROR(__xludf.DUMMYFUNCTION("XLOOKUP(C748, 
   IMPORTRANGE(""1RdEdgHYrZ33LJ7RUHj_h-qkAFL92bcVjtIdVa-UlsCw"", ""Interns!D:D""), 
   IMPORTRANGE(""1RdEdgHYrZ33LJ7RUHj_h-qkAFL92bcVjtIdVa-UlsCw"", ""Interns!M:M""), 
   ""Not Found"")"),"Contacted")</f>
        <v>Contacted</v>
      </c>
      <c r="AL748" s="23" t="str">
        <f>IFERROR(__xludf.DUMMYFUNCTION("XLOOKUP(C748, 
   IMPORTRANGE(""1RdEdgHYrZ33LJ7RUHj_h-qkAFL92bcVjtIdVa-UlsCw"", ""Interns!D:D""), 
   IMPORTRANGE(""1RdEdgHYrZ33LJ7RUHj_h-qkAFL92bcVjtIdVa-UlsCw"", ""Interns!N:N""), 
   ""Not Found"")"),"#Cheers4Careers")</f>
        <v>#Cheers4Careers</v>
      </c>
      <c r="AM748" s="23" t="str">
        <f>IFERROR(__xludf.DUMMYFUNCTION("XLOOKUP(C748, 
   IMPORTRANGE(""1RdEdgHYrZ33LJ7RUHj_h-qkAFL92bcVjtIdVa-UlsCw"", ""Interns!D:D""), 
   IMPORTRANGE(""1RdEdgHYrZ33LJ7RUHj_h-qkAFL92bcVjtIdVa-UlsCw"", ""Interns!O:O""), 
   ""Not Found"")"),"Hetal reached out by email 3/27 followed by text")</f>
        <v>Hetal reached out by email 3/27 followed by text</v>
      </c>
      <c r="AN748" s="23"/>
      <c r="AO748" s="23" t="s">
        <v>10076</v>
      </c>
      <c r="AP748" s="28" t="s">
        <v>5182</v>
      </c>
      <c r="AQ748" s="28" t="s">
        <v>10077</v>
      </c>
      <c r="AR748" s="23" t="s">
        <v>10078</v>
      </c>
      <c r="AS748" s="23"/>
      <c r="AT748" s="23"/>
      <c r="AU748" s="23"/>
      <c r="AV748" s="23"/>
    </row>
    <row r="749">
      <c r="A749" s="28" t="s">
        <v>5161</v>
      </c>
      <c r="B749" s="28" t="s">
        <v>31</v>
      </c>
      <c r="C749" s="23" t="str">
        <f t="shared" si="1"/>
        <v>Vy Vo</v>
      </c>
      <c r="D749" s="28" t="s">
        <v>10079</v>
      </c>
      <c r="E749" s="28" t="s">
        <v>1986</v>
      </c>
      <c r="F749" s="23">
        <f t="array" ref="F749">IFERROR(
    INDEX('Hub Interns 226'!A:A, MATCH(C749, 'Hub Interns 226'!B:B, 0)),"")</f>
        <v>70</v>
      </c>
      <c r="G749" s="23">
        <f t="array" ref="G749">IFERROR(
    INDEX('Hub Users 226'!A:A, MATCH(C749, 'Hub Users 226'!B:B, 0)),"")</f>
        <v>503</v>
      </c>
      <c r="H749" s="28">
        <v>731.0</v>
      </c>
      <c r="I749" s="28" t="s">
        <v>407</v>
      </c>
      <c r="J749" s="28"/>
      <c r="K749" s="28"/>
      <c r="L749" s="28" t="s">
        <v>5196</v>
      </c>
      <c r="M749" s="56" t="s">
        <v>10080</v>
      </c>
      <c r="N749" s="59">
        <v>44550.54861111111</v>
      </c>
      <c r="O749" s="58">
        <v>37933.0</v>
      </c>
      <c r="P749" s="28">
        <f t="shared" si="20"/>
        <v>22</v>
      </c>
      <c r="Q749" s="28" t="s">
        <v>10081</v>
      </c>
      <c r="R749" s="28" t="s">
        <v>10082</v>
      </c>
      <c r="S749" s="28"/>
      <c r="T749" s="28"/>
      <c r="U749" s="28"/>
      <c r="V749" s="28"/>
      <c r="W749" s="28" t="s">
        <v>271</v>
      </c>
      <c r="X749" s="28" t="s">
        <v>272</v>
      </c>
      <c r="Y749" s="28" t="s">
        <v>10083</v>
      </c>
      <c r="Z749" s="28" t="s">
        <v>5259</v>
      </c>
      <c r="AA749" s="28" t="s">
        <v>704</v>
      </c>
      <c r="AB749" s="28">
        <v>2.0</v>
      </c>
      <c r="AC749" s="28" t="s">
        <v>28</v>
      </c>
      <c r="AD749" s="23"/>
      <c r="AE749" s="28" t="s">
        <v>10</v>
      </c>
      <c r="AF749" s="23"/>
      <c r="AG749" s="23"/>
      <c r="AH749" s="23" t="str">
        <f>IFERROR(__xludf.DUMMYFUNCTION("IF(
ISNUMBER(MATCH(
C749,
IMPORTRANGE(""https://docs.google.com/spreadsheets/d/1yTh1ELC33JHYOeEdgIiEclxPRyh0zOKtlawDltfUay8"",""'Interns'!A:A""),
0
)),
""Outreach Conducted"",
"""")"),"")</f>
        <v/>
      </c>
      <c r="AI749" s="23"/>
      <c r="AJ749" s="23"/>
      <c r="AK749" s="23" t="str">
        <f>IFERROR(__xludf.DUMMYFUNCTION("XLOOKUP(C749, 
   IMPORTRANGE(""1RdEdgHYrZ33LJ7RUHj_h-qkAFL92bcVjtIdVa-UlsCw"", ""Interns!D:D""), 
   IMPORTRANGE(""1RdEdgHYrZ33LJ7RUHj_h-qkAFL92bcVjtIdVa-UlsCw"", ""Interns!M:M""), 
   ""Not Found"")"),"")</f>
        <v/>
      </c>
      <c r="AL749" s="23" t="str">
        <f>IFERROR(__xludf.DUMMYFUNCTION("XLOOKUP(C749, 
   IMPORTRANGE(""1RdEdgHYrZ33LJ7RUHj_h-qkAFL92bcVjtIdVa-UlsCw"", ""Interns!D:D""), 
   IMPORTRANGE(""1RdEdgHYrZ33LJ7RUHj_h-qkAFL92bcVjtIdVa-UlsCw"", ""Interns!N:N""), 
   ""Not Found"")"),"")</f>
        <v/>
      </c>
      <c r="AM749" s="23" t="str">
        <f>IFERROR(__xludf.DUMMYFUNCTION("XLOOKUP(C749, 
   IMPORTRANGE(""1RdEdgHYrZ33LJ7RUHj_h-qkAFL92bcVjtIdVa-UlsCw"", ""Interns!D:D""), 
   IMPORTRANGE(""1RdEdgHYrZ33LJ7RUHj_h-qkAFL92bcVjtIdVa-UlsCw"", ""Interns!O:O""), 
   ""Not Found"")"),"")</f>
        <v/>
      </c>
      <c r="AN749" s="23"/>
      <c r="AO749" s="23" t="s">
        <v>10084</v>
      </c>
      <c r="AP749" s="28" t="s">
        <v>5191</v>
      </c>
      <c r="AQ749" s="28" t="s">
        <v>10085</v>
      </c>
      <c r="AR749" s="23" t="s">
        <v>10086</v>
      </c>
      <c r="AS749" s="23"/>
      <c r="AT749" s="23"/>
      <c r="AU749" s="23"/>
      <c r="AV749" s="23"/>
    </row>
    <row r="750">
      <c r="A750" s="28" t="s">
        <v>5161</v>
      </c>
      <c r="B750" s="28" t="s">
        <v>5162</v>
      </c>
      <c r="C750" s="23" t="str">
        <f t="shared" si="1"/>
        <v>Carlos Hernandez</v>
      </c>
      <c r="D750" s="28" t="s">
        <v>846</v>
      </c>
      <c r="E750" s="28" t="s">
        <v>2168</v>
      </c>
      <c r="F750" s="23">
        <f t="array" ref="F750">IFERROR(
    INDEX('Hub Interns 226'!A:A, MATCH(C750, 'Hub Interns 226'!B:B, 0)),"")</f>
        <v>336</v>
      </c>
      <c r="G750" s="23">
        <f t="array" ref="G750">IFERROR(
    INDEX('Hub Users 226'!A:A, MATCH(C750, 'Hub Users 226'!B:B, 0)),"")</f>
        <v>769</v>
      </c>
      <c r="H750" s="28">
        <v>549.0</v>
      </c>
      <c r="I750" s="28" t="s">
        <v>290</v>
      </c>
      <c r="J750" s="28" t="s">
        <v>9066</v>
      </c>
      <c r="K750" s="28" t="s">
        <v>5177</v>
      </c>
      <c r="L750" s="28" t="s">
        <v>5165</v>
      </c>
      <c r="M750" s="56" t="s">
        <v>10087</v>
      </c>
      <c r="N750" s="57">
        <v>44477.55416666667</v>
      </c>
      <c r="O750" s="58">
        <v>37853.0</v>
      </c>
      <c r="P750" s="28">
        <f t="shared" si="20"/>
        <v>22</v>
      </c>
      <c r="Q750" s="28" t="s">
        <v>10088</v>
      </c>
      <c r="R750" s="28" t="s">
        <v>10089</v>
      </c>
      <c r="S750" s="28">
        <v>6.0</v>
      </c>
      <c r="T750" s="28">
        <v>16.0</v>
      </c>
      <c r="U750" s="28">
        <v>40.0</v>
      </c>
      <c r="V750" s="28">
        <v>20.0</v>
      </c>
      <c r="W750" s="28" t="s">
        <v>1173</v>
      </c>
      <c r="X750" s="28" t="s">
        <v>272</v>
      </c>
      <c r="Y750" s="28" t="s">
        <v>10090</v>
      </c>
      <c r="Z750" s="28" t="s">
        <v>5189</v>
      </c>
      <c r="AA750" s="28" t="s">
        <v>619</v>
      </c>
      <c r="AB750" s="28">
        <v>20.0</v>
      </c>
      <c r="AC750" s="28" t="s">
        <v>25</v>
      </c>
      <c r="AD750" s="23"/>
      <c r="AE750" s="28" t="s">
        <v>10</v>
      </c>
      <c r="AF750" s="23" t="str">
        <f>IFERROR(__xludf.DUMMYFUNCTION("TEXTJOIN("", "", TRUE,
  FILTER(Champions!C:C,
    ISNUMBER(SEARCH(C750, Champions!W:W))
  )
)"),"Bryan Roberts, Tatiana Nechaeva")</f>
        <v>Bryan Roberts, Tatiana Nechaeva</v>
      </c>
      <c r="AG750" s="23"/>
      <c r="AH750" s="23" t="str">
        <f>IFERROR(__xludf.DUMMYFUNCTION("IF(
ISNUMBER(MATCH(
C750,
IMPORTRANGE(""https://docs.google.com/spreadsheets/d/1yTh1ELC33JHYOeEdgIiEclxPRyh0zOKtlawDltfUay8"",""'Interns'!A:A""),
0
)),
""Outreach Conducted"",
"""")"),"")</f>
        <v/>
      </c>
      <c r="AI750" s="23"/>
      <c r="AJ750" s="23"/>
      <c r="AK750" s="23" t="str">
        <f>IFERROR(__xludf.DUMMYFUNCTION("XLOOKUP(C750, 
   IMPORTRANGE(""1RdEdgHYrZ33LJ7RUHj_h-qkAFL92bcVjtIdVa-UlsCw"", ""Interns!D:D""), 
   IMPORTRANGE(""1RdEdgHYrZ33LJ7RUHj_h-qkAFL92bcVjtIdVa-UlsCw"", ""Interns!M:M""), 
   ""Not Found"")"),"Contacted")</f>
        <v>Contacted</v>
      </c>
      <c r="AL750" s="23" t="str">
        <f>IFERROR(__xludf.DUMMYFUNCTION("XLOOKUP(C750, 
   IMPORTRANGE(""1RdEdgHYrZ33LJ7RUHj_h-qkAFL92bcVjtIdVa-UlsCw"", ""Interns!D:D""), 
   IMPORTRANGE(""1RdEdgHYrZ33LJ7RUHj_h-qkAFL92bcVjtIdVa-UlsCw"", ""Interns!N:N""), 
   ""Not Found"")"),"#Cheers4Careers")</f>
        <v>#Cheers4Careers</v>
      </c>
      <c r="AM750" s="23" t="str">
        <f>IFERROR(__xludf.DUMMYFUNCTION("XLOOKUP(C750, 
   IMPORTRANGE(""1RdEdgHYrZ33LJ7RUHj_h-qkAFL92bcVjtIdVa-UlsCw"", ""Interns!D:D""), 
   IMPORTRANGE(""1RdEdgHYrZ33LJ7RUHj_h-qkAFL92bcVjtIdVa-UlsCw"", ""Interns!O:O""), 
   ""Not Found"")"),"Hetal reached out by email 3/27 followed by text")</f>
        <v>Hetal reached out by email 3/27 followed by text</v>
      </c>
      <c r="AN750" s="23"/>
      <c r="AO750" s="23" t="s">
        <v>10091</v>
      </c>
      <c r="AP750" s="28" t="s">
        <v>5641</v>
      </c>
      <c r="AQ750" s="28" t="s">
        <v>10087</v>
      </c>
      <c r="AR750" s="23" t="s">
        <v>10092</v>
      </c>
      <c r="AS750" s="23"/>
      <c r="AT750" s="23"/>
      <c r="AU750" s="23"/>
      <c r="AV750" s="23"/>
    </row>
    <row r="751">
      <c r="A751" s="28" t="s">
        <v>5161</v>
      </c>
      <c r="B751" s="28" t="s">
        <v>31</v>
      </c>
      <c r="C751" s="23" t="str">
        <f t="shared" si="1"/>
        <v>Wildainy Martinez</v>
      </c>
      <c r="D751" s="28" t="s">
        <v>8368</v>
      </c>
      <c r="E751" s="28" t="s">
        <v>2010</v>
      </c>
      <c r="F751" s="23">
        <f t="array" ref="F751">IFERROR(
    INDEX('Hub Interns 226'!A:A, MATCH(C751, 'Hub Interns 226'!B:B, 0)),"")</f>
        <v>71</v>
      </c>
      <c r="G751" s="23">
        <f t="array" ref="G751">IFERROR(
    INDEX('Hub Users 226'!A:A, MATCH(C751, 'Hub Users 226'!B:B, 0)),"")</f>
        <v>504</v>
      </c>
      <c r="H751" s="28">
        <v>711.0</v>
      </c>
      <c r="I751" s="28" t="s">
        <v>260</v>
      </c>
      <c r="J751" s="28"/>
      <c r="K751" s="28"/>
      <c r="L751" s="28" t="s">
        <v>5196</v>
      </c>
      <c r="M751" s="56" t="s">
        <v>8369</v>
      </c>
      <c r="N751" s="59">
        <v>44547.60208333333</v>
      </c>
      <c r="O751" s="58">
        <v>38602.0</v>
      </c>
      <c r="P751" s="28">
        <f t="shared" si="20"/>
        <v>20</v>
      </c>
      <c r="Q751" s="28" t="s">
        <v>240</v>
      </c>
      <c r="R751" s="28" t="s">
        <v>8370</v>
      </c>
      <c r="S751" s="28"/>
      <c r="T751" s="28"/>
      <c r="U751" s="28"/>
      <c r="V751" s="28"/>
      <c r="W751" s="28" t="s">
        <v>271</v>
      </c>
      <c r="X751" s="28" t="s">
        <v>272</v>
      </c>
      <c r="Y751" s="28" t="s">
        <v>8371</v>
      </c>
      <c r="Z751" s="28" t="s">
        <v>5259</v>
      </c>
      <c r="AA751" s="28" t="s">
        <v>704</v>
      </c>
      <c r="AB751" s="28">
        <v>2.0</v>
      </c>
      <c r="AC751" s="28" t="s">
        <v>28</v>
      </c>
      <c r="AD751" s="23"/>
      <c r="AE751" s="28" t="s">
        <v>10</v>
      </c>
      <c r="AF751" s="23"/>
      <c r="AG751" s="23"/>
      <c r="AH751" s="23" t="str">
        <f>IFERROR(__xludf.DUMMYFUNCTION("IF(
ISNUMBER(MATCH(
C751,
IMPORTRANGE(""https://docs.google.com/spreadsheets/d/1yTh1ELC33JHYOeEdgIiEclxPRyh0zOKtlawDltfUay8"",""'Interns'!A:A""),
0
)),
""Outreach Conducted"",
"""")"),"")</f>
        <v/>
      </c>
      <c r="AI751" s="23"/>
      <c r="AJ751" s="28" t="s">
        <v>10093</v>
      </c>
      <c r="AK751" s="23" t="str">
        <f>IFERROR(__xludf.DUMMYFUNCTION("XLOOKUP(C751, 
   IMPORTRANGE(""1RdEdgHYrZ33LJ7RUHj_h-qkAFL92bcVjtIdVa-UlsCw"", ""Interns!D:D""), 
   IMPORTRANGE(""1RdEdgHYrZ33LJ7RUHj_h-qkAFL92bcVjtIdVa-UlsCw"", ""Interns!M:M""), 
   ""Not Found"")"),"")</f>
        <v/>
      </c>
      <c r="AL751" s="23" t="str">
        <f>IFERROR(__xludf.DUMMYFUNCTION("XLOOKUP(C751, 
   IMPORTRANGE(""1RdEdgHYrZ33LJ7RUHj_h-qkAFL92bcVjtIdVa-UlsCw"", ""Interns!D:D""), 
   IMPORTRANGE(""1RdEdgHYrZ33LJ7RUHj_h-qkAFL92bcVjtIdVa-UlsCw"", ""Interns!N:N""), 
   ""Not Found"")"),"")</f>
        <v/>
      </c>
      <c r="AM751" s="23" t="str">
        <f>IFERROR(__xludf.DUMMYFUNCTION("XLOOKUP(C751, 
   IMPORTRANGE(""1RdEdgHYrZ33LJ7RUHj_h-qkAFL92bcVjtIdVa-UlsCw"", ""Interns!D:D""), 
   IMPORTRANGE(""1RdEdgHYrZ33LJ7RUHj_h-qkAFL92bcVjtIdVa-UlsCw"", ""Interns!O:O""), 
   ""Not Found"")"),"")</f>
        <v/>
      </c>
      <c r="AN751" s="23"/>
      <c r="AO751" s="23" t="s">
        <v>739</v>
      </c>
      <c r="AP751" s="28" t="s">
        <v>5182</v>
      </c>
      <c r="AQ751" s="28" t="s">
        <v>8372</v>
      </c>
      <c r="AR751" s="23" t="s">
        <v>8373</v>
      </c>
      <c r="AS751" s="23"/>
      <c r="AT751" s="23"/>
      <c r="AU751" s="23"/>
      <c r="AV751" s="23"/>
    </row>
    <row r="752">
      <c r="A752" s="28" t="s">
        <v>5161</v>
      </c>
      <c r="B752" s="28" t="s">
        <v>5162</v>
      </c>
      <c r="C752" s="23" t="str">
        <f t="shared" si="1"/>
        <v>Fredis Chavez Portillo</v>
      </c>
      <c r="D752" s="28" t="s">
        <v>10094</v>
      </c>
      <c r="E752" s="28" t="s">
        <v>10095</v>
      </c>
      <c r="F752" s="23">
        <f t="array" ref="F752">IFERROR(
    INDEX('Hub Interns 226'!A:A, MATCH(C752, 'Hub Interns 226'!B:B, 0)),"")</f>
        <v>324</v>
      </c>
      <c r="G752" s="23">
        <f t="array" ref="G752">IFERROR(
    INDEX('Hub Users 226'!A:A, MATCH(C752, 'Hub Users 226'!B:B, 0)),"")</f>
        <v>757</v>
      </c>
      <c r="H752" s="28">
        <v>567.0</v>
      </c>
      <c r="I752" s="28" t="s">
        <v>608</v>
      </c>
      <c r="J752" s="28" t="s">
        <v>9066</v>
      </c>
      <c r="K752" s="28" t="s">
        <v>5177</v>
      </c>
      <c r="L752" s="28" t="s">
        <v>5165</v>
      </c>
      <c r="M752" s="56" t="s">
        <v>10096</v>
      </c>
      <c r="N752" s="59">
        <v>44479.53611111111</v>
      </c>
      <c r="O752" s="58">
        <v>37999.0</v>
      </c>
      <c r="P752" s="28">
        <f t="shared" si="20"/>
        <v>22</v>
      </c>
      <c r="Q752" s="28" t="s">
        <v>240</v>
      </c>
      <c r="R752" s="28" t="s">
        <v>10097</v>
      </c>
      <c r="S752" s="28">
        <v>6.0</v>
      </c>
      <c r="T752" s="28">
        <v>16.0</v>
      </c>
      <c r="U752" s="28">
        <v>27.0</v>
      </c>
      <c r="V752" s="28">
        <v>24.0</v>
      </c>
      <c r="W752" s="28" t="s">
        <v>1173</v>
      </c>
      <c r="X752" s="28" t="s">
        <v>272</v>
      </c>
      <c r="Y752" s="28" t="s">
        <v>10098</v>
      </c>
      <c r="Z752" s="28" t="s">
        <v>5189</v>
      </c>
      <c r="AA752" s="28" t="s">
        <v>619</v>
      </c>
      <c r="AB752" s="28">
        <v>20.0</v>
      </c>
      <c r="AC752" s="28" t="s">
        <v>25</v>
      </c>
      <c r="AD752" s="23"/>
      <c r="AE752" s="28" t="s">
        <v>10</v>
      </c>
      <c r="AF752" s="23" t="str">
        <f>IFERROR(__xludf.DUMMYFUNCTION("TEXTJOIN("", "", TRUE,
  FILTER(Champions!C:C,
    ISNUMBER(SEARCH(C752, Champions!W:W))
  )
)"),"Benjamin Curtis, Romina Tome")</f>
        <v>Benjamin Curtis, Romina Tome</v>
      </c>
      <c r="AG752" s="23"/>
      <c r="AH752" s="23" t="str">
        <f>IFERROR(__xludf.DUMMYFUNCTION("IF(
ISNUMBER(MATCH(
C752,
IMPORTRANGE(""https://docs.google.com/spreadsheets/d/1yTh1ELC33JHYOeEdgIiEclxPRyh0zOKtlawDltfUay8"",""'Interns'!A:A""),
0
)),
""Outreach Conducted"",
"""")"),"")</f>
        <v/>
      </c>
      <c r="AI752" s="23"/>
      <c r="AJ752" s="23"/>
      <c r="AK752" s="23" t="str">
        <f>IFERROR(__xludf.DUMMYFUNCTION("XLOOKUP(C752, 
   IMPORTRANGE(""1RdEdgHYrZ33LJ7RUHj_h-qkAFL92bcVjtIdVa-UlsCw"", ""Interns!D:D""), 
   IMPORTRANGE(""1RdEdgHYrZ33LJ7RUHj_h-qkAFL92bcVjtIdVa-UlsCw"", ""Interns!M:M""), 
   ""Not Found"")"),"Contacted")</f>
        <v>Contacted</v>
      </c>
      <c r="AL752" s="23" t="str">
        <f>IFERROR(__xludf.DUMMYFUNCTION("XLOOKUP(C752, 
   IMPORTRANGE(""1RdEdgHYrZ33LJ7RUHj_h-qkAFL92bcVjtIdVa-UlsCw"", ""Interns!D:D""), 
   IMPORTRANGE(""1RdEdgHYrZ33LJ7RUHj_h-qkAFL92bcVjtIdVa-UlsCw"", ""Interns!N:N""), 
   ""Not Found"")"),"#Cheers4Careers")</f>
        <v>#Cheers4Careers</v>
      </c>
      <c r="AM752" s="23" t="str">
        <f>IFERROR(__xludf.DUMMYFUNCTION("XLOOKUP(C752, 
   IMPORTRANGE(""1RdEdgHYrZ33LJ7RUHj_h-qkAFL92bcVjtIdVa-UlsCw"", ""Interns!D:D""), 
   IMPORTRANGE(""1RdEdgHYrZ33LJ7RUHj_h-qkAFL92bcVjtIdVa-UlsCw"", ""Interns!O:O""), 
   ""Not Found"")"),"Hetal reached out by email 3/27 followed by text")</f>
        <v>Hetal reached out by email 3/27 followed by text</v>
      </c>
      <c r="AN752" s="23"/>
      <c r="AO752" s="23" t="s">
        <v>10099</v>
      </c>
      <c r="AP752" s="28" t="s">
        <v>5182</v>
      </c>
      <c r="AQ752" s="28" t="s">
        <v>10096</v>
      </c>
      <c r="AR752" s="23" t="s">
        <v>10100</v>
      </c>
      <c r="AS752" s="28" t="s">
        <v>10101</v>
      </c>
      <c r="AT752" s="23"/>
      <c r="AU752" s="23"/>
      <c r="AV752" s="23"/>
    </row>
    <row r="753">
      <c r="A753" s="28" t="s">
        <v>5161</v>
      </c>
      <c r="B753" s="28" t="s">
        <v>31</v>
      </c>
      <c r="C753" s="23" t="str">
        <f t="shared" si="1"/>
        <v>Xuyuan Zhao</v>
      </c>
      <c r="D753" s="28" t="s">
        <v>6138</v>
      </c>
      <c r="E753" s="28" t="s">
        <v>6139</v>
      </c>
      <c r="F753" s="23">
        <f t="array" ref="F753">IFERROR(
    INDEX('Hub Interns 226'!A:A, MATCH(C753, 'Hub Interns 226'!B:B, 0)),"")</f>
        <v>72</v>
      </c>
      <c r="G753" s="23">
        <f t="array" ref="G753">IFERROR(
    INDEX('Hub Users 226'!A:A, MATCH(C753, 'Hub Users 226'!B:B, 0)),"")</f>
        <v>505</v>
      </c>
      <c r="H753" s="28">
        <v>712.0</v>
      </c>
      <c r="I753" s="28" t="s">
        <v>239</v>
      </c>
      <c r="J753" s="28"/>
      <c r="K753" s="28"/>
      <c r="L753" s="28" t="s">
        <v>5165</v>
      </c>
      <c r="M753" s="56" t="s">
        <v>6140</v>
      </c>
      <c r="N753" s="59">
        <v>44547.60486111111</v>
      </c>
      <c r="O753" s="58">
        <v>38191.0</v>
      </c>
      <c r="P753" s="28">
        <f t="shared" si="20"/>
        <v>21</v>
      </c>
      <c r="Q753" s="28" t="s">
        <v>240</v>
      </c>
      <c r="R753" s="28" t="s">
        <v>6141</v>
      </c>
      <c r="S753" s="28"/>
      <c r="T753" s="28"/>
      <c r="U753" s="28"/>
      <c r="V753" s="28"/>
      <c r="W753" s="28" t="s">
        <v>271</v>
      </c>
      <c r="X753" s="28" t="s">
        <v>272</v>
      </c>
      <c r="Y753" s="28" t="s">
        <v>6142</v>
      </c>
      <c r="Z753" s="28" t="s">
        <v>5259</v>
      </c>
      <c r="AA753" s="28" t="s">
        <v>704</v>
      </c>
      <c r="AB753" s="28">
        <v>2.0</v>
      </c>
      <c r="AC753" s="28" t="s">
        <v>28</v>
      </c>
      <c r="AD753" s="23"/>
      <c r="AE753" s="28" t="s">
        <v>10</v>
      </c>
      <c r="AF753" s="23"/>
      <c r="AG753" s="23"/>
      <c r="AH753" s="23" t="str">
        <f>IFERROR(__xludf.DUMMYFUNCTION("IF(
ISNUMBER(MATCH(
C753,
IMPORTRANGE(""https://docs.google.com/spreadsheets/d/1yTh1ELC33JHYOeEdgIiEclxPRyh0zOKtlawDltfUay8"",""'Interns'!A:A""),
0
)),
""Outreach Conducted"",
"""")"),"")</f>
        <v/>
      </c>
      <c r="AI753" s="23"/>
      <c r="AJ753" s="23"/>
      <c r="AK753" s="23" t="str">
        <f>IFERROR(__xludf.DUMMYFUNCTION("XLOOKUP(C753, 
   IMPORTRANGE(""1RdEdgHYrZ33LJ7RUHj_h-qkAFL92bcVjtIdVa-UlsCw"", ""Interns!D:D""), 
   IMPORTRANGE(""1RdEdgHYrZ33LJ7RUHj_h-qkAFL92bcVjtIdVa-UlsCw"", ""Interns!M:M""), 
   ""Not Found"")"),"")</f>
        <v/>
      </c>
      <c r="AL753" s="23" t="str">
        <f>IFERROR(__xludf.DUMMYFUNCTION("XLOOKUP(C753, 
   IMPORTRANGE(""1RdEdgHYrZ33LJ7RUHj_h-qkAFL92bcVjtIdVa-UlsCw"", ""Interns!D:D""), 
   IMPORTRANGE(""1RdEdgHYrZ33LJ7RUHj_h-qkAFL92bcVjtIdVa-UlsCw"", ""Interns!N:N""), 
   ""Not Found"")"),"")</f>
        <v/>
      </c>
      <c r="AM753" s="23" t="str">
        <f>IFERROR(__xludf.DUMMYFUNCTION("XLOOKUP(C753, 
   IMPORTRANGE(""1RdEdgHYrZ33LJ7RUHj_h-qkAFL92bcVjtIdVa-UlsCw"", ""Interns!D:D""), 
   IMPORTRANGE(""1RdEdgHYrZ33LJ7RUHj_h-qkAFL92bcVjtIdVa-UlsCw"", ""Interns!O:O""), 
   ""Not Found"")"),"")</f>
        <v/>
      </c>
      <c r="AN753" s="23"/>
      <c r="AO753" s="23" t="s">
        <v>6143</v>
      </c>
      <c r="AP753" s="28" t="s">
        <v>5191</v>
      </c>
      <c r="AQ753" s="28" t="s">
        <v>6144</v>
      </c>
      <c r="AR753" s="23" t="s">
        <v>6145</v>
      </c>
      <c r="AS753" s="23"/>
      <c r="AT753" s="23"/>
      <c r="AU753" s="23"/>
      <c r="AV753" s="23"/>
    </row>
    <row r="754">
      <c r="A754" s="28" t="s">
        <v>5161</v>
      </c>
      <c r="B754" s="28" t="s">
        <v>5162</v>
      </c>
      <c r="C754" s="23" t="str">
        <f t="shared" si="1"/>
        <v>Nanci Garcia</v>
      </c>
      <c r="D754" s="28" t="s">
        <v>10102</v>
      </c>
      <c r="E754" s="28" t="s">
        <v>1484</v>
      </c>
      <c r="F754" s="23">
        <f t="array" ref="F754">IFERROR(
    INDEX('Hub Interns 226'!A:A, MATCH(C754, 'Hub Interns 226'!B:B, 0)),"")</f>
        <v>915</v>
      </c>
      <c r="G754" s="23">
        <f t="array" ref="G754">IFERROR(
    INDEX('Hub Users 226'!A:A, MATCH(C754, 'Hub Users 226'!B:B, 0)),"")</f>
        <v>1348</v>
      </c>
      <c r="H754" s="28">
        <v>634.0</v>
      </c>
      <c r="I754" s="28" t="s">
        <v>302</v>
      </c>
      <c r="J754" s="28" t="s">
        <v>9066</v>
      </c>
      <c r="K754" s="28" t="s">
        <v>5177</v>
      </c>
      <c r="L754" s="28" t="s">
        <v>5196</v>
      </c>
      <c r="M754" s="56" t="s">
        <v>10103</v>
      </c>
      <c r="N754" s="59">
        <v>44498.490277777775</v>
      </c>
      <c r="O754" s="58">
        <v>37911.0</v>
      </c>
      <c r="P754" s="28">
        <f t="shared" si="20"/>
        <v>22</v>
      </c>
      <c r="Q754" s="28" t="s">
        <v>240</v>
      </c>
      <c r="R754" s="28" t="s">
        <v>10104</v>
      </c>
      <c r="S754" s="28">
        <v>3.0</v>
      </c>
      <c r="T754" s="28">
        <v>16.0</v>
      </c>
      <c r="U754" s="28">
        <v>26.0</v>
      </c>
      <c r="V754" s="28">
        <v>19.0</v>
      </c>
      <c r="W754" s="28" t="s">
        <v>1173</v>
      </c>
      <c r="X754" s="28" t="s">
        <v>272</v>
      </c>
      <c r="Y754" s="28" t="s">
        <v>10105</v>
      </c>
      <c r="Z754" s="28" t="s">
        <v>5189</v>
      </c>
      <c r="AA754" s="28" t="s">
        <v>619</v>
      </c>
      <c r="AB754" s="28">
        <v>20.0</v>
      </c>
      <c r="AC754" s="28" t="s">
        <v>25</v>
      </c>
      <c r="AD754" s="23"/>
      <c r="AE754" s="28" t="s">
        <v>10</v>
      </c>
      <c r="AF754" s="23" t="str">
        <f>IFERROR(__xludf.DUMMYFUNCTION("TEXTJOIN("", "", TRUE,
  FILTER(Champions!C:C,
    ISNUMBER(SEARCH(C754, Champions!W:W))
  )
)"),"Romina Tome, Sandra Llontop, Andy Bolanos")</f>
        <v>Romina Tome, Sandra Llontop, Andy Bolanos</v>
      </c>
      <c r="AG754" s="23"/>
      <c r="AH754" s="23" t="str">
        <f>IFERROR(__xludf.DUMMYFUNCTION("IF(
ISNUMBER(MATCH(
C754,
IMPORTRANGE(""https://docs.google.com/spreadsheets/d/1yTh1ELC33JHYOeEdgIiEclxPRyh0zOKtlawDltfUay8"",""'Interns'!A:A""),
0
)),
""Outreach Conducted"",
"""")"),"")</f>
        <v/>
      </c>
      <c r="AI754" s="23"/>
      <c r="AJ754" s="23"/>
      <c r="AK754" s="23" t="str">
        <f>IFERROR(__xludf.DUMMYFUNCTION("XLOOKUP(C754, 
   IMPORTRANGE(""1RdEdgHYrZ33LJ7RUHj_h-qkAFL92bcVjtIdVa-UlsCw"", ""Interns!D:D""), 
   IMPORTRANGE(""1RdEdgHYrZ33LJ7RUHj_h-qkAFL92bcVjtIdVa-UlsCw"", ""Interns!M:M""), 
   ""Not Found"")"),"Contacted")</f>
        <v>Contacted</v>
      </c>
      <c r="AL754" s="23" t="str">
        <f>IFERROR(__xludf.DUMMYFUNCTION("XLOOKUP(C754, 
   IMPORTRANGE(""1RdEdgHYrZ33LJ7RUHj_h-qkAFL92bcVjtIdVa-UlsCw"", ""Interns!D:D""), 
   IMPORTRANGE(""1RdEdgHYrZ33LJ7RUHj_h-qkAFL92bcVjtIdVa-UlsCw"", ""Interns!N:N""), 
   ""Not Found"")"),"#Cheers4Careers")</f>
        <v>#Cheers4Careers</v>
      </c>
      <c r="AM754" s="23" t="str">
        <f>IFERROR(__xludf.DUMMYFUNCTION("XLOOKUP(C754, 
   IMPORTRANGE(""1RdEdgHYrZ33LJ7RUHj_h-qkAFL92bcVjtIdVa-UlsCw"", ""Interns!D:D""), 
   IMPORTRANGE(""1RdEdgHYrZ33LJ7RUHj_h-qkAFL92bcVjtIdVa-UlsCw"", ""Interns!O:O""), 
   ""Not Found"")"),"Hetal reached out by email 3/27 followed by text")</f>
        <v>Hetal reached out by email 3/27 followed by text</v>
      </c>
      <c r="AN754" s="23"/>
      <c r="AO754" s="23" t="s">
        <v>10106</v>
      </c>
      <c r="AP754" s="28" t="s">
        <v>5182</v>
      </c>
      <c r="AQ754" s="28" t="s">
        <v>10107</v>
      </c>
      <c r="AR754" s="23" t="s">
        <v>10108</v>
      </c>
      <c r="AS754" s="23"/>
      <c r="AT754" s="23"/>
      <c r="AU754" s="23"/>
      <c r="AV754" s="23"/>
    </row>
    <row r="755">
      <c r="A755" s="28" t="s">
        <v>5161</v>
      </c>
      <c r="B755" s="28" t="s">
        <v>5162</v>
      </c>
      <c r="C755" s="23" t="str">
        <f t="shared" si="1"/>
        <v>Stephanie Sosa</v>
      </c>
      <c r="D755" s="28" t="s">
        <v>3108</v>
      </c>
      <c r="E755" s="28" t="s">
        <v>7381</v>
      </c>
      <c r="F755" s="23">
        <f t="array" ref="F755">IFERROR(
    INDEX('Hub Interns 226'!A:A, MATCH(C755, 'Hub Interns 226'!B:B, 0)),"")</f>
        <v>988</v>
      </c>
      <c r="G755" s="23">
        <f t="array" ref="G755">IFERROR(
    INDEX('Hub Users 226'!A:A, MATCH(C755, 'Hub Users 226'!B:B, 0)),"")</f>
        <v>1421</v>
      </c>
      <c r="H755" s="28">
        <v>782.0</v>
      </c>
      <c r="I755" s="28" t="s">
        <v>608</v>
      </c>
      <c r="J755" s="28" t="s">
        <v>9066</v>
      </c>
      <c r="K755" s="28" t="s">
        <v>5177</v>
      </c>
      <c r="L755" s="28" t="s">
        <v>6647</v>
      </c>
      <c r="M755" s="56" t="s">
        <v>10109</v>
      </c>
      <c r="N755" s="59">
        <v>44553.538194444445</v>
      </c>
      <c r="O755" s="58">
        <v>38598.0</v>
      </c>
      <c r="P755" s="28">
        <f t="shared" si="20"/>
        <v>20</v>
      </c>
      <c r="Q755" s="28" t="s">
        <v>240</v>
      </c>
      <c r="R755" s="28" t="s">
        <v>10110</v>
      </c>
      <c r="S755" s="28">
        <v>5.0</v>
      </c>
      <c r="T755" s="28">
        <v>11.0</v>
      </c>
      <c r="U755" s="28">
        <v>29.0</v>
      </c>
      <c r="V755" s="28">
        <v>27.0</v>
      </c>
      <c r="W755" s="28" t="s">
        <v>1173</v>
      </c>
      <c r="X755" s="28" t="s">
        <v>272</v>
      </c>
      <c r="Y755" s="28" t="s">
        <v>10111</v>
      </c>
      <c r="Z755" s="28" t="s">
        <v>5483</v>
      </c>
      <c r="AA755" s="28" t="s">
        <v>457</v>
      </c>
      <c r="AB755" s="28">
        <v>25.0</v>
      </c>
      <c r="AC755" s="28" t="s">
        <v>25</v>
      </c>
      <c r="AD755" s="23"/>
      <c r="AE755" s="28" t="s">
        <v>10</v>
      </c>
      <c r="AF755" s="23" t="str">
        <f>IFERROR(__xludf.DUMMYFUNCTION("TEXTJOIN("", "", TRUE,
  FILTER(Champions!C:C,
    ISNUMBER(SEARCH(C755, Champions!W:W))
  )
)"),"Pritika Kumar, Romina Tome")</f>
        <v>Pritika Kumar, Romina Tome</v>
      </c>
      <c r="AG755" s="23"/>
      <c r="AH755" s="23" t="str">
        <f>IFERROR(__xludf.DUMMYFUNCTION("IF(
ISNUMBER(MATCH(
C755,
IMPORTRANGE(""https://docs.google.com/spreadsheets/d/1yTh1ELC33JHYOeEdgIiEclxPRyh0zOKtlawDltfUay8"",""'Interns'!A:A""),
0
)),
""Outreach Conducted"",
"""")"),"")</f>
        <v/>
      </c>
      <c r="AI755" s="23"/>
      <c r="AJ755" s="23"/>
      <c r="AK755" s="23" t="str">
        <f>IFERROR(__xludf.DUMMYFUNCTION("XLOOKUP(C755, 
   IMPORTRANGE(""1RdEdgHYrZ33LJ7RUHj_h-qkAFL92bcVjtIdVa-UlsCw"", ""Interns!D:D""), 
   IMPORTRANGE(""1RdEdgHYrZ33LJ7RUHj_h-qkAFL92bcVjtIdVa-UlsCw"", ""Interns!M:M""), 
   ""Not Found"")"),"Contacted")</f>
        <v>Contacted</v>
      </c>
      <c r="AL755" s="23" t="str">
        <f>IFERROR(__xludf.DUMMYFUNCTION("XLOOKUP(C755, 
   IMPORTRANGE(""1RdEdgHYrZ33LJ7RUHj_h-qkAFL92bcVjtIdVa-UlsCw"", ""Interns!D:D""), 
   IMPORTRANGE(""1RdEdgHYrZ33LJ7RUHj_h-qkAFL92bcVjtIdVa-UlsCw"", ""Interns!N:N""), 
   ""Not Found"")"),"#Cheers4Careers")</f>
        <v>#Cheers4Careers</v>
      </c>
      <c r="AM755" s="23" t="str">
        <f>IFERROR(__xludf.DUMMYFUNCTION("XLOOKUP(C755, 
   IMPORTRANGE(""1RdEdgHYrZ33LJ7RUHj_h-qkAFL92bcVjtIdVa-UlsCw"", ""Interns!D:D""), 
   IMPORTRANGE(""1RdEdgHYrZ33LJ7RUHj_h-qkAFL92bcVjtIdVa-UlsCw"", ""Interns!O:O""), 
   ""Not Found"")"),"Hetal reached out by email 3/27")</f>
        <v>Hetal reached out by email 3/27</v>
      </c>
      <c r="AN755" s="23"/>
      <c r="AO755" s="23" t="s">
        <v>10112</v>
      </c>
      <c r="AP755" s="28" t="s">
        <v>5182</v>
      </c>
      <c r="AQ755" s="28" t="s">
        <v>10109</v>
      </c>
      <c r="AR755" s="23" t="s">
        <v>10113</v>
      </c>
      <c r="AS755" s="23"/>
      <c r="AT755" s="23"/>
      <c r="AU755" s="23"/>
      <c r="AV755" s="23"/>
    </row>
    <row r="756">
      <c r="A756" s="28" t="s">
        <v>5161</v>
      </c>
      <c r="B756" s="28" t="s">
        <v>5162</v>
      </c>
      <c r="C756" s="23" t="str">
        <f t="shared" si="1"/>
        <v>Daniela Gonzalez</v>
      </c>
      <c r="D756" s="28" t="s">
        <v>1003</v>
      </c>
      <c r="E756" s="28" t="s">
        <v>1377</v>
      </c>
      <c r="F756" s="23">
        <f t="array" ref="F756">IFERROR(
    INDEX('Hub Interns 226'!A:A, MATCH(C756, 'Hub Interns 226'!B:B, 0)),"")</f>
        <v>455</v>
      </c>
      <c r="G756" s="23">
        <f t="array" ref="G756">IFERROR(
    INDEX('Hub Users 226'!A:A, MATCH(C756, 'Hub Users 226'!B:B, 0)),"")</f>
        <v>888</v>
      </c>
      <c r="H756" s="28">
        <v>506.0</v>
      </c>
      <c r="I756" s="28" t="s">
        <v>425</v>
      </c>
      <c r="J756" s="28" t="s">
        <v>9066</v>
      </c>
      <c r="K756" s="28" t="s">
        <v>5177</v>
      </c>
      <c r="L756" s="28" t="s">
        <v>5196</v>
      </c>
      <c r="M756" s="56" t="s">
        <v>10114</v>
      </c>
      <c r="N756" s="57">
        <v>44476.604166666664</v>
      </c>
      <c r="O756" s="58">
        <v>38421.0</v>
      </c>
      <c r="P756" s="28">
        <f t="shared" si="20"/>
        <v>21</v>
      </c>
      <c r="Q756" s="28" t="s">
        <v>240</v>
      </c>
      <c r="R756" s="28" t="s">
        <v>10115</v>
      </c>
      <c r="S756" s="28">
        <v>14.0</v>
      </c>
      <c r="T756" s="28">
        <v>34.0</v>
      </c>
      <c r="U756" s="28">
        <v>85.0</v>
      </c>
      <c r="V756" s="28">
        <v>18.0</v>
      </c>
      <c r="W756" s="28" t="s">
        <v>859</v>
      </c>
      <c r="X756" s="28" t="s">
        <v>272</v>
      </c>
      <c r="Y756" s="28" t="s">
        <v>10116</v>
      </c>
      <c r="Z756" s="28" t="s">
        <v>5310</v>
      </c>
      <c r="AA756" s="28" t="s">
        <v>477</v>
      </c>
      <c r="AB756" s="28">
        <v>15.0</v>
      </c>
      <c r="AC756" s="28" t="s">
        <v>25</v>
      </c>
      <c r="AD756" s="23"/>
      <c r="AE756" s="28" t="s">
        <v>10</v>
      </c>
      <c r="AF756" s="23" t="str">
        <f>IFERROR(__xludf.DUMMYFUNCTION("TEXTJOIN("", "", TRUE,
  FILTER(Champions!C:C,
    ISNUMBER(SEARCH(C756, Champions!W:W))
  )
)"),"Addy Michelle Jimenez Haga, AUGUSTO SALCEDO, Erycka Montoya, Michelle Castillo")</f>
        <v>Addy Michelle Jimenez Haga, AUGUSTO SALCEDO, Erycka Montoya, Michelle Castillo</v>
      </c>
      <c r="AG756" s="23"/>
      <c r="AH756" s="23" t="str">
        <f>IFERROR(__xludf.DUMMYFUNCTION("IF(
ISNUMBER(MATCH(
C756,
IMPORTRANGE(""https://docs.google.com/spreadsheets/d/1yTh1ELC33JHYOeEdgIiEclxPRyh0zOKtlawDltfUay8"",""'Interns'!A:A""),
0
)),
""Outreach Conducted"",
"""")"),"")</f>
        <v/>
      </c>
      <c r="AI756" s="23"/>
      <c r="AJ756" s="23"/>
      <c r="AK756" s="23" t="str">
        <f>IFERROR(__xludf.DUMMYFUNCTION("XLOOKUP(C756, 
   IMPORTRANGE(""1RdEdgHYrZ33LJ7RUHj_h-qkAFL92bcVjtIdVa-UlsCw"", ""Interns!D:D""), 
   IMPORTRANGE(""1RdEdgHYrZ33LJ7RUHj_h-qkAFL92bcVjtIdVa-UlsCw"", ""Interns!M:M""), 
   ""Not Found"")"),"")</f>
        <v/>
      </c>
      <c r="AL756" s="23" t="str">
        <f>IFERROR(__xludf.DUMMYFUNCTION("XLOOKUP(C756, 
   IMPORTRANGE(""1RdEdgHYrZ33LJ7RUHj_h-qkAFL92bcVjtIdVa-UlsCw"", ""Interns!D:D""), 
   IMPORTRANGE(""1RdEdgHYrZ33LJ7RUHj_h-qkAFL92bcVjtIdVa-UlsCw"", ""Interns!N:N""), 
   ""Not Found"")"),"")</f>
        <v/>
      </c>
      <c r="AM756" s="23" t="str">
        <f>IFERROR(__xludf.DUMMYFUNCTION("XLOOKUP(C756, 
   IMPORTRANGE(""1RdEdgHYrZ33LJ7RUHj_h-qkAFL92bcVjtIdVa-UlsCw"", ""Interns!D:D""), 
   IMPORTRANGE(""1RdEdgHYrZ33LJ7RUHj_h-qkAFL92bcVjtIdVa-UlsCw"", ""Interns!O:O""), 
   ""Not Found"")"),"")</f>
        <v/>
      </c>
      <c r="AN756" s="23"/>
      <c r="AO756" s="23" t="s">
        <v>10117</v>
      </c>
      <c r="AP756" s="28" t="s">
        <v>5182</v>
      </c>
      <c r="AQ756" s="28" t="s">
        <v>10114</v>
      </c>
      <c r="AR756" s="23" t="s">
        <v>10118</v>
      </c>
      <c r="AS756" s="23"/>
      <c r="AT756" s="23"/>
      <c r="AU756" s="23"/>
      <c r="AV756" s="23"/>
    </row>
    <row r="757">
      <c r="A757" s="28" t="s">
        <v>5161</v>
      </c>
      <c r="B757" s="28" t="s">
        <v>31</v>
      </c>
      <c r="C757" s="23" t="str">
        <f t="shared" si="1"/>
        <v>Mame Fatime Sarr</v>
      </c>
      <c r="D757" s="28" t="s">
        <v>10119</v>
      </c>
      <c r="E757" s="28" t="s">
        <v>10120</v>
      </c>
      <c r="F757" s="23">
        <f t="array" ref="F757">IFERROR(
    INDEX('Hub Interns 226'!A:A, MATCH(C757, 'Hub Interns 226'!B:B, 0)),"")</f>
        <v>830</v>
      </c>
      <c r="G757" s="23">
        <f t="array" ref="G757">IFERROR(
    INDEX('Hub Users 226'!A:A, MATCH(C757, 'Hub Users 226'!B:B, 0)),"")</f>
        <v>1263</v>
      </c>
      <c r="H757" s="28">
        <v>714.0</v>
      </c>
      <c r="I757" s="28" t="s">
        <v>290</v>
      </c>
      <c r="J757" s="28"/>
      <c r="K757" s="28"/>
      <c r="L757" s="28" t="s">
        <v>5196</v>
      </c>
      <c r="M757" s="56" t="s">
        <v>10121</v>
      </c>
      <c r="N757" s="59">
        <v>44547.62291666667</v>
      </c>
      <c r="O757" s="58">
        <v>38268.0</v>
      </c>
      <c r="P757" s="28">
        <f t="shared" si="20"/>
        <v>21</v>
      </c>
      <c r="Q757" s="28" t="s">
        <v>240</v>
      </c>
      <c r="R757" s="28" t="s">
        <v>10122</v>
      </c>
      <c r="S757" s="28"/>
      <c r="T757" s="28"/>
      <c r="U757" s="28"/>
      <c r="V757" s="28"/>
      <c r="W757" s="28" t="s">
        <v>271</v>
      </c>
      <c r="X757" s="28" t="s">
        <v>272</v>
      </c>
      <c r="Y757" s="28" t="s">
        <v>10123</v>
      </c>
      <c r="Z757" s="28" t="s">
        <v>5259</v>
      </c>
      <c r="AA757" s="28" t="s">
        <v>704</v>
      </c>
      <c r="AB757" s="28">
        <v>2.0</v>
      </c>
      <c r="AC757" s="28" t="s">
        <v>28</v>
      </c>
      <c r="AD757" s="23"/>
      <c r="AE757" s="28" t="s">
        <v>10</v>
      </c>
      <c r="AF757" s="23"/>
      <c r="AG757" s="23"/>
      <c r="AH757" s="23" t="str">
        <f>IFERROR(__xludf.DUMMYFUNCTION("IF(
ISNUMBER(MATCH(
C757,
IMPORTRANGE(""https://docs.google.com/spreadsheets/d/1yTh1ELC33JHYOeEdgIiEclxPRyh0zOKtlawDltfUay8"",""'Interns'!A:A""),
0
)),
""Outreach Conducted"",
"""")"),"")</f>
        <v/>
      </c>
      <c r="AI757" s="23"/>
      <c r="AJ757" s="23"/>
      <c r="AK757" s="23" t="str">
        <f>IFERROR(__xludf.DUMMYFUNCTION("XLOOKUP(C757, 
   IMPORTRANGE(""1RdEdgHYrZ33LJ7RUHj_h-qkAFL92bcVjtIdVa-UlsCw"", ""Interns!D:D""), 
   IMPORTRANGE(""1RdEdgHYrZ33LJ7RUHj_h-qkAFL92bcVjtIdVa-UlsCw"", ""Interns!M:M""), 
   ""Not Found"")"),"Contacted")</f>
        <v>Contacted</v>
      </c>
      <c r="AL757" s="23" t="str">
        <f>IFERROR(__xludf.DUMMYFUNCTION("XLOOKUP(C757, 
   IMPORTRANGE(""1RdEdgHYrZ33LJ7RUHj_h-qkAFL92bcVjtIdVa-UlsCw"", ""Interns!D:D""), 
   IMPORTRANGE(""1RdEdgHYrZ33LJ7RUHj_h-qkAFL92bcVjtIdVa-UlsCw"", ""Interns!N:N""), 
   ""Not Found"")"),"#Cheers4Careers")</f>
        <v>#Cheers4Careers</v>
      </c>
      <c r="AM757" s="23" t="str">
        <f>IFERROR(__xludf.DUMMYFUNCTION("XLOOKUP(C757, 
   IMPORTRANGE(""1RdEdgHYrZ33LJ7RUHj_h-qkAFL92bcVjtIdVa-UlsCw"", ""Interns!D:D""), 
   IMPORTRANGE(""1RdEdgHYrZ33LJ7RUHj_h-qkAFL92bcVjtIdVa-UlsCw"", ""Interns!O:O""), 
   ""Not Found"")"),"Ousmane reached out by email 3/26 ")</f>
        <v>Ousmane reached out by email 3/26 </v>
      </c>
      <c r="AN757" s="23"/>
      <c r="AO757" s="23" t="s">
        <v>10124</v>
      </c>
      <c r="AP757" s="28" t="s">
        <v>5191</v>
      </c>
      <c r="AQ757" s="28" t="s">
        <v>10125</v>
      </c>
      <c r="AR757" s="23" t="s">
        <v>10126</v>
      </c>
      <c r="AS757" s="23"/>
      <c r="AT757" s="23"/>
      <c r="AU757" s="23"/>
      <c r="AV757" s="23"/>
    </row>
    <row r="758">
      <c r="A758" s="28" t="s">
        <v>5161</v>
      </c>
      <c r="B758" s="28" t="s">
        <v>5162</v>
      </c>
      <c r="C758" s="23" t="str">
        <f t="shared" si="1"/>
        <v>Marco Antonio Lara</v>
      </c>
      <c r="D758" s="28" t="s">
        <v>10127</v>
      </c>
      <c r="E758" s="28" t="s">
        <v>6881</v>
      </c>
      <c r="F758" s="23">
        <f t="array" ref="F758">IFERROR(
    INDEX('Hub Interns 226'!A:A, MATCH(C758, 'Hub Interns 226'!B:B, 0)),"")</f>
        <v>894</v>
      </c>
      <c r="G758" s="23">
        <f t="array" ref="G758">IFERROR(
    INDEX('Hub Users 226'!A:A, MATCH(C758, 'Hub Users 226'!B:B, 0)),"")</f>
        <v>1327</v>
      </c>
      <c r="H758" s="28">
        <v>1312.0</v>
      </c>
      <c r="I758" s="28" t="s">
        <v>302</v>
      </c>
      <c r="J758" s="28" t="s">
        <v>9066</v>
      </c>
      <c r="K758" s="28" t="s">
        <v>5177</v>
      </c>
      <c r="L758" s="28" t="s">
        <v>5165</v>
      </c>
      <c r="M758" s="56" t="s">
        <v>10128</v>
      </c>
      <c r="N758" s="59">
        <v>44847.529861111114</v>
      </c>
      <c r="O758" s="58">
        <v>39252.0</v>
      </c>
      <c r="P758" s="28">
        <f t="shared" si="20"/>
        <v>18</v>
      </c>
      <c r="Q758" s="28" t="s">
        <v>240</v>
      </c>
      <c r="R758" s="28" t="s">
        <v>10129</v>
      </c>
      <c r="S758" s="28">
        <v>15.0</v>
      </c>
      <c r="T758" s="28">
        <v>32.0</v>
      </c>
      <c r="U758" s="28">
        <v>79.0</v>
      </c>
      <c r="V758" s="28">
        <v>15.0</v>
      </c>
      <c r="W758" s="28" t="s">
        <v>859</v>
      </c>
      <c r="X758" s="28" t="s">
        <v>272</v>
      </c>
      <c r="Y758" s="28" t="s">
        <v>10130</v>
      </c>
      <c r="Z758" s="28" t="s">
        <v>5918</v>
      </c>
      <c r="AA758" s="28" t="s">
        <v>477</v>
      </c>
      <c r="AB758" s="28">
        <v>15.0</v>
      </c>
      <c r="AC758" s="28" t="s">
        <v>23</v>
      </c>
      <c r="AD758" s="23"/>
      <c r="AE758" s="28" t="s">
        <v>15</v>
      </c>
      <c r="AF758" s="23"/>
      <c r="AG758" s="23"/>
      <c r="AH758" s="23" t="str">
        <f>IFERROR(__xludf.DUMMYFUNCTION("IF(
ISNUMBER(MATCH(
C758,
IMPORTRANGE(""https://docs.google.com/spreadsheets/d/1yTh1ELC33JHYOeEdgIiEclxPRyh0zOKtlawDltfUay8"",""'Interns'!A:A""),
0
)),
""Outreach Conducted"",
"""")"),"")</f>
        <v/>
      </c>
      <c r="AI758" s="23"/>
      <c r="AJ758" s="23"/>
      <c r="AK758" s="23" t="str">
        <f>IFERROR(__xludf.DUMMYFUNCTION("XLOOKUP(C758, 
   IMPORTRANGE(""1RdEdgHYrZ33LJ7RUHj_h-qkAFL92bcVjtIdVa-UlsCw"", ""Interns!D:D""), 
   IMPORTRANGE(""1RdEdgHYrZ33LJ7RUHj_h-qkAFL92bcVjtIdVa-UlsCw"", ""Interns!M:M""), 
   ""Not Found"")"),"")</f>
        <v/>
      </c>
      <c r="AL758" s="23" t="str">
        <f>IFERROR(__xludf.DUMMYFUNCTION("XLOOKUP(C758, 
   IMPORTRANGE(""1RdEdgHYrZ33LJ7RUHj_h-qkAFL92bcVjtIdVa-UlsCw"", ""Interns!D:D""), 
   IMPORTRANGE(""1RdEdgHYrZ33LJ7RUHj_h-qkAFL92bcVjtIdVa-UlsCw"", ""Interns!N:N""), 
   ""Not Found"")"),"")</f>
        <v/>
      </c>
      <c r="AM758" s="23" t="str">
        <f>IFERROR(__xludf.DUMMYFUNCTION("XLOOKUP(C758, 
   IMPORTRANGE(""1RdEdgHYrZ33LJ7RUHj_h-qkAFL92bcVjtIdVa-UlsCw"", ""Interns!D:D""), 
   IMPORTRANGE(""1RdEdgHYrZ33LJ7RUHj_h-qkAFL92bcVjtIdVa-UlsCw"", ""Interns!O:O""), 
   ""Not Found"")"),"")</f>
        <v/>
      </c>
      <c r="AN758" s="23"/>
      <c r="AO758" s="23" t="s">
        <v>10131</v>
      </c>
      <c r="AP758" s="28" t="s">
        <v>5173</v>
      </c>
      <c r="AQ758" s="28"/>
      <c r="AR758" s="23"/>
      <c r="AS758" s="23"/>
      <c r="AT758" s="23"/>
      <c r="AU758" s="23"/>
      <c r="AV758" s="23"/>
    </row>
    <row r="759">
      <c r="A759" s="28" t="s">
        <v>5161</v>
      </c>
      <c r="B759" s="28" t="s">
        <v>31</v>
      </c>
      <c r="C759" s="23" t="str">
        <f t="shared" si="1"/>
        <v>Osvaldo Rodriguez</v>
      </c>
      <c r="D759" s="28" t="s">
        <v>10132</v>
      </c>
      <c r="E759" s="28" t="s">
        <v>536</v>
      </c>
      <c r="F759" s="23">
        <f t="array" ref="F759">IFERROR(
    INDEX('Hub Interns 226'!A:A, MATCH(C759, 'Hub Interns 226'!B:B, 0)),"")</f>
        <v>962</v>
      </c>
      <c r="G759" s="23">
        <f t="array" ref="G759">IFERROR(
    INDEX('Hub Users 226'!A:A, MATCH(C759, 'Hub Users 226'!B:B, 0)),"")</f>
        <v>1395</v>
      </c>
      <c r="H759" s="28">
        <v>836.0</v>
      </c>
      <c r="I759" s="28" t="s">
        <v>260</v>
      </c>
      <c r="J759" s="28"/>
      <c r="K759" s="28"/>
      <c r="L759" s="28" t="s">
        <v>5165</v>
      </c>
      <c r="M759" s="56" t="s">
        <v>10133</v>
      </c>
      <c r="N759" s="57">
        <v>44575.611805555556</v>
      </c>
      <c r="O759" s="58">
        <v>38176.0</v>
      </c>
      <c r="P759" s="28">
        <f t="shared" si="20"/>
        <v>21</v>
      </c>
      <c r="Q759" s="28" t="s">
        <v>240</v>
      </c>
      <c r="R759" s="28" t="s">
        <v>10134</v>
      </c>
      <c r="S759" s="28"/>
      <c r="T759" s="28"/>
      <c r="U759" s="28"/>
      <c r="V759" s="28"/>
      <c r="W759" s="28" t="s">
        <v>859</v>
      </c>
      <c r="X759" s="28" t="s">
        <v>272</v>
      </c>
      <c r="Y759" s="28" t="s">
        <v>10135</v>
      </c>
      <c r="Z759" s="28" t="s">
        <v>5259</v>
      </c>
      <c r="AA759" s="28" t="s">
        <v>704</v>
      </c>
      <c r="AB759" s="28">
        <v>2.0</v>
      </c>
      <c r="AC759" s="28" t="s">
        <v>28</v>
      </c>
      <c r="AD759" s="23"/>
      <c r="AE759" s="28" t="s">
        <v>10</v>
      </c>
      <c r="AF759" s="23"/>
      <c r="AG759" s="23"/>
      <c r="AH759" s="23" t="str">
        <f>IFERROR(__xludf.DUMMYFUNCTION("IF(
ISNUMBER(MATCH(
C759,
IMPORTRANGE(""https://docs.google.com/spreadsheets/d/1yTh1ELC33JHYOeEdgIiEclxPRyh0zOKtlawDltfUay8"",""'Interns'!A:A""),
0
)),
""Outreach Conducted"",
"""")"),"")</f>
        <v/>
      </c>
      <c r="AI759" s="23"/>
      <c r="AJ759" s="23"/>
      <c r="AK759" s="23" t="str">
        <f>IFERROR(__xludf.DUMMYFUNCTION("XLOOKUP(C759, 
   IMPORTRANGE(""1RdEdgHYrZ33LJ7RUHj_h-qkAFL92bcVjtIdVa-UlsCw"", ""Interns!D:D""), 
   IMPORTRANGE(""1RdEdgHYrZ33LJ7RUHj_h-qkAFL92bcVjtIdVa-UlsCw"", ""Interns!M:M""), 
   ""Not Found"")"),"Contacted")</f>
        <v>Contacted</v>
      </c>
      <c r="AL759" s="23" t="str">
        <f>IFERROR(__xludf.DUMMYFUNCTION("XLOOKUP(C759, 
   IMPORTRANGE(""1RdEdgHYrZ33LJ7RUHj_h-qkAFL92bcVjtIdVa-UlsCw"", ""Interns!D:D""), 
   IMPORTRANGE(""1RdEdgHYrZ33LJ7RUHj_h-qkAFL92bcVjtIdVa-UlsCw"", ""Interns!N:N""), 
   ""Not Found"")"),"#Cheers4Careers")</f>
        <v>#Cheers4Careers</v>
      </c>
      <c r="AM759" s="23" t="str">
        <f>IFERROR(__xludf.DUMMYFUNCTION("XLOOKUP(C759, 
   IMPORTRANGE(""1RdEdgHYrZ33LJ7RUHj_h-qkAFL92bcVjtIdVa-UlsCw"", ""Interns!D:D""), 
   IMPORTRANGE(""1RdEdgHYrZ33LJ7RUHj_h-qkAFL92bcVjtIdVa-UlsCw"", ""Interns!O:O""), 
   ""Not Found"")"),"Ousmane reached out by email 3/26 ")</f>
        <v>Ousmane reached out by email 3/26 </v>
      </c>
      <c r="AN759" s="23"/>
      <c r="AO759" s="23" t="s">
        <v>10136</v>
      </c>
      <c r="AP759" s="28" t="s">
        <v>5191</v>
      </c>
      <c r="AQ759" s="28" t="s">
        <v>10137</v>
      </c>
      <c r="AR759" s="23" t="s">
        <v>10138</v>
      </c>
      <c r="AS759" s="23"/>
      <c r="AT759" s="23"/>
      <c r="AU759" s="23"/>
      <c r="AV759" s="23"/>
    </row>
    <row r="760">
      <c r="A760" s="28" t="s">
        <v>5161</v>
      </c>
      <c r="B760" s="28" t="s">
        <v>31</v>
      </c>
      <c r="C760" s="23" t="str">
        <f t="shared" si="1"/>
        <v>Samira Cuero Vivas</v>
      </c>
      <c r="D760" s="28" t="s">
        <v>6601</v>
      </c>
      <c r="E760" s="28" t="s">
        <v>10139</v>
      </c>
      <c r="F760" s="23">
        <f t="array" ref="F760">IFERROR(
    INDEX('Hub Interns 226'!A:A, MATCH(C760, 'Hub Interns 226'!B:B, 0)),"")</f>
        <v>1062</v>
      </c>
      <c r="G760" s="23">
        <f t="array" ref="G760">IFERROR(
    INDEX('Hub Users 226'!A:A, MATCH(C760, 'Hub Users 226'!B:B, 0)),"")</f>
        <v>1495</v>
      </c>
      <c r="H760" s="28">
        <v>1173.0</v>
      </c>
      <c r="I760" s="28" t="s">
        <v>608</v>
      </c>
      <c r="J760" s="28"/>
      <c r="K760" s="28"/>
      <c r="L760" s="28" t="s">
        <v>5165</v>
      </c>
      <c r="M760" s="56" t="s">
        <v>10140</v>
      </c>
      <c r="N760" s="57">
        <v>44760.42083333333</v>
      </c>
      <c r="O760" s="58">
        <v>38156.0</v>
      </c>
      <c r="P760" s="28">
        <f t="shared" si="20"/>
        <v>21</v>
      </c>
      <c r="Q760" s="28" t="s">
        <v>240</v>
      </c>
      <c r="R760" s="28" t="s">
        <v>10141</v>
      </c>
      <c r="S760" s="28"/>
      <c r="T760" s="28"/>
      <c r="U760" s="28"/>
      <c r="V760" s="28"/>
      <c r="W760" s="28" t="s">
        <v>271</v>
      </c>
      <c r="X760" s="28" t="s">
        <v>272</v>
      </c>
      <c r="Y760" s="28" t="s">
        <v>10142</v>
      </c>
      <c r="Z760" s="28" t="s">
        <v>5259</v>
      </c>
      <c r="AA760" s="28" t="s">
        <v>704</v>
      </c>
      <c r="AB760" s="28">
        <v>2.0</v>
      </c>
      <c r="AC760" s="28" t="s">
        <v>28</v>
      </c>
      <c r="AD760" s="23"/>
      <c r="AE760" s="28" t="s">
        <v>10</v>
      </c>
      <c r="AF760" s="23"/>
      <c r="AG760" s="23"/>
      <c r="AH760" s="23" t="str">
        <f>IFERROR(__xludf.DUMMYFUNCTION("IF(
ISNUMBER(MATCH(
C760,
IMPORTRANGE(""https://docs.google.com/spreadsheets/d/1yTh1ELC33JHYOeEdgIiEclxPRyh0zOKtlawDltfUay8"",""'Interns'!A:A""),
0
)),
""Outreach Conducted"",
"""")"),"")</f>
        <v/>
      </c>
      <c r="AI760" s="23"/>
      <c r="AJ760" s="23"/>
      <c r="AK760" s="23" t="str">
        <f>IFERROR(__xludf.DUMMYFUNCTION("XLOOKUP(C760, 
   IMPORTRANGE(""1RdEdgHYrZ33LJ7RUHj_h-qkAFL92bcVjtIdVa-UlsCw"", ""Interns!D:D""), 
   IMPORTRANGE(""1RdEdgHYrZ33LJ7RUHj_h-qkAFL92bcVjtIdVa-UlsCw"", ""Interns!M:M""), 
   ""Not Found"")"),"Contacted")</f>
        <v>Contacted</v>
      </c>
      <c r="AL760" s="23" t="str">
        <f>IFERROR(__xludf.DUMMYFUNCTION("XLOOKUP(C760, 
   IMPORTRANGE(""1RdEdgHYrZ33LJ7RUHj_h-qkAFL92bcVjtIdVa-UlsCw"", ""Interns!D:D""), 
   IMPORTRANGE(""1RdEdgHYrZ33LJ7RUHj_h-qkAFL92bcVjtIdVa-UlsCw"", ""Interns!N:N""), 
   ""Not Found"")"),"#Cheers4Careers")</f>
        <v>#Cheers4Careers</v>
      </c>
      <c r="AM760" s="23" t="str">
        <f>IFERROR(__xludf.DUMMYFUNCTION("XLOOKUP(C760, 
   IMPORTRANGE(""1RdEdgHYrZ33LJ7RUHj_h-qkAFL92bcVjtIdVa-UlsCw"", ""Interns!D:D""), 
   IMPORTRANGE(""1RdEdgHYrZ33LJ7RUHj_h-qkAFL92bcVjtIdVa-UlsCw"", ""Interns!O:O""), 
   ""Not Found"")"),"Ousmane reached out by email 3/26 ")</f>
        <v>Ousmane reached out by email 3/26 </v>
      </c>
      <c r="AN760" s="23"/>
      <c r="AO760" s="23" t="s">
        <v>10143</v>
      </c>
      <c r="AP760" s="28" t="s">
        <v>5191</v>
      </c>
      <c r="AQ760" s="28"/>
      <c r="AR760" s="23"/>
      <c r="AS760" s="23"/>
      <c r="AT760" s="23"/>
      <c r="AU760" s="23"/>
      <c r="AV760" s="23"/>
    </row>
    <row r="761">
      <c r="A761" s="28" t="s">
        <v>5161</v>
      </c>
      <c r="B761" s="28" t="s">
        <v>5162</v>
      </c>
      <c r="C761" s="23" t="str">
        <f t="shared" si="1"/>
        <v>Luis Chicas</v>
      </c>
      <c r="D761" s="28" t="s">
        <v>6689</v>
      </c>
      <c r="E761" s="28" t="s">
        <v>10144</v>
      </c>
      <c r="F761" s="23">
        <f t="array" ref="F761">IFERROR(
    INDEX('Hub Interns 226'!A:A, MATCH(C761, 'Hub Interns 226'!B:B, 0)),"")</f>
        <v>765</v>
      </c>
      <c r="G761" s="23">
        <f t="array" ref="G761">IFERROR(
    INDEX('Hub Users 226'!A:A, MATCH(C761, 'Hub Users 226'!B:B, 0)),"")</f>
        <v>1198</v>
      </c>
      <c r="H761" s="28">
        <v>501.0</v>
      </c>
      <c r="I761" s="28" t="s">
        <v>1235</v>
      </c>
      <c r="J761" s="28" t="s">
        <v>9066</v>
      </c>
      <c r="K761" s="28" t="s">
        <v>5177</v>
      </c>
      <c r="L761" s="28" t="s">
        <v>5165</v>
      </c>
      <c r="M761" s="56" t="s">
        <v>10145</v>
      </c>
      <c r="N761" s="57">
        <v>44475.6625</v>
      </c>
      <c r="O761" s="58">
        <v>38365.0</v>
      </c>
      <c r="P761" s="28">
        <f t="shared" si="20"/>
        <v>21</v>
      </c>
      <c r="Q761" s="28" t="s">
        <v>240</v>
      </c>
      <c r="R761" s="28" t="s">
        <v>10146</v>
      </c>
      <c r="S761" s="28">
        <v>15.0</v>
      </c>
      <c r="T761" s="28">
        <v>33.0</v>
      </c>
      <c r="U761" s="28">
        <v>78.0</v>
      </c>
      <c r="V761" s="28">
        <v>15.0</v>
      </c>
      <c r="W761" s="28" t="s">
        <v>859</v>
      </c>
      <c r="X761" s="28" t="s">
        <v>272</v>
      </c>
      <c r="Y761" s="28" t="s">
        <v>10147</v>
      </c>
      <c r="Z761" s="28" t="s">
        <v>5918</v>
      </c>
      <c r="AA761" s="28" t="s">
        <v>477</v>
      </c>
      <c r="AB761" s="28">
        <v>15.0</v>
      </c>
      <c r="AC761" s="28" t="s">
        <v>25</v>
      </c>
      <c r="AD761" s="23"/>
      <c r="AE761" s="28" t="s">
        <v>10</v>
      </c>
      <c r="AF761" s="23" t="str">
        <f>IFERROR(__xludf.DUMMYFUNCTION("TEXTJOIN("", "", TRUE,
  FILTER(Champions!C:C,
    ISNUMBER(SEARCH(C761, Champions!W:W))
  )
)"),"Karim Rajmohamed, Renata Lozano Giral, Esteban Proaño")</f>
        <v>Karim Rajmohamed, Renata Lozano Giral, Esteban Proaño</v>
      </c>
      <c r="AG761" s="23"/>
      <c r="AH761" s="23" t="str">
        <f>IFERROR(__xludf.DUMMYFUNCTION("IF(
ISNUMBER(MATCH(
C761,
IMPORTRANGE(""https://docs.google.com/spreadsheets/d/1yTh1ELC33JHYOeEdgIiEclxPRyh0zOKtlawDltfUay8"",""'Interns'!A:A""),
0
)),
""Outreach Conducted"",
"""")"),"")</f>
        <v/>
      </c>
      <c r="AI761" s="23"/>
      <c r="AJ761" s="23"/>
      <c r="AK761" s="23" t="str">
        <f>IFERROR(__xludf.DUMMYFUNCTION("XLOOKUP(C761, 
   IMPORTRANGE(""1RdEdgHYrZ33LJ7RUHj_h-qkAFL92bcVjtIdVa-UlsCw"", ""Interns!D:D""), 
   IMPORTRANGE(""1RdEdgHYrZ33LJ7RUHj_h-qkAFL92bcVjtIdVa-UlsCw"", ""Interns!M:M""), 
   ""Not Found"")"),"")</f>
        <v/>
      </c>
      <c r="AL761" s="23" t="str">
        <f>IFERROR(__xludf.DUMMYFUNCTION("XLOOKUP(C761, 
   IMPORTRANGE(""1RdEdgHYrZ33LJ7RUHj_h-qkAFL92bcVjtIdVa-UlsCw"", ""Interns!D:D""), 
   IMPORTRANGE(""1RdEdgHYrZ33LJ7RUHj_h-qkAFL92bcVjtIdVa-UlsCw"", ""Interns!N:N""), 
   ""Not Found"")"),"")</f>
        <v/>
      </c>
      <c r="AM761" s="23" t="str">
        <f>IFERROR(__xludf.DUMMYFUNCTION("XLOOKUP(C761, 
   IMPORTRANGE(""1RdEdgHYrZ33LJ7RUHj_h-qkAFL92bcVjtIdVa-UlsCw"", ""Interns!D:D""), 
   IMPORTRANGE(""1RdEdgHYrZ33LJ7RUHj_h-qkAFL92bcVjtIdVa-UlsCw"", ""Interns!O:O""), 
   ""Not Found"")"),"")</f>
        <v/>
      </c>
      <c r="AN761" s="23"/>
      <c r="AO761" s="23" t="s">
        <v>10148</v>
      </c>
      <c r="AP761" s="28" t="s">
        <v>5182</v>
      </c>
      <c r="AQ761" s="28" t="s">
        <v>10149</v>
      </c>
      <c r="AR761" s="23" t="s">
        <v>10150</v>
      </c>
      <c r="AS761" s="23"/>
      <c r="AT761" s="23"/>
      <c r="AU761" s="23"/>
      <c r="AV761" s="23"/>
    </row>
    <row r="762">
      <c r="A762" s="28" t="s">
        <v>5161</v>
      </c>
      <c r="B762" s="28" t="s">
        <v>31</v>
      </c>
      <c r="C762" s="23" t="str">
        <f t="shared" si="1"/>
        <v>Edison Vacacela</v>
      </c>
      <c r="D762" s="28" t="s">
        <v>6057</v>
      </c>
      <c r="E762" s="28" t="s">
        <v>8953</v>
      </c>
      <c r="F762" s="23">
        <f t="array" ref="F762">IFERROR(
    INDEX('Hub Interns 226'!A:A, MATCH(C762, 'Hub Interns 226'!B:B, 0)),"")</f>
        <v>1163</v>
      </c>
      <c r="G762" s="23">
        <f t="array" ref="G762">IFERROR(
    INDEX('Hub Users 226'!A:A, MATCH(C762, 'Hub Users 226'!B:B, 0)),"")</f>
        <v>1596</v>
      </c>
      <c r="H762" s="28">
        <v>725.0</v>
      </c>
      <c r="I762" s="28" t="s">
        <v>290</v>
      </c>
      <c r="J762" s="28"/>
      <c r="K762" s="28"/>
      <c r="L762" s="28" t="s">
        <v>5165</v>
      </c>
      <c r="M762" s="56" t="s">
        <v>8954</v>
      </c>
      <c r="N762" s="59">
        <v>44550.450694444444</v>
      </c>
      <c r="O762" s="58">
        <v>37681.0</v>
      </c>
      <c r="P762" s="28">
        <f t="shared" si="20"/>
        <v>23</v>
      </c>
      <c r="Q762" s="28" t="s">
        <v>8955</v>
      </c>
      <c r="R762" s="28" t="s">
        <v>8956</v>
      </c>
      <c r="S762" s="28"/>
      <c r="T762" s="28"/>
      <c r="U762" s="28"/>
      <c r="V762" s="28"/>
      <c r="W762" s="28" t="s">
        <v>271</v>
      </c>
      <c r="X762" s="28" t="s">
        <v>272</v>
      </c>
      <c r="Y762" s="28" t="s">
        <v>8957</v>
      </c>
      <c r="Z762" s="28" t="s">
        <v>5259</v>
      </c>
      <c r="AA762" s="28" t="s">
        <v>704</v>
      </c>
      <c r="AB762" s="28">
        <v>2.0</v>
      </c>
      <c r="AC762" s="28" t="s">
        <v>28</v>
      </c>
      <c r="AD762" s="23"/>
      <c r="AE762" s="28" t="s">
        <v>10</v>
      </c>
      <c r="AF762" s="23"/>
      <c r="AG762" s="23"/>
      <c r="AH762" s="23" t="str">
        <f>IFERROR(__xludf.DUMMYFUNCTION("IF(
ISNUMBER(MATCH(
C762,
IMPORTRANGE(""https://docs.google.com/spreadsheets/d/1yTh1ELC33JHYOeEdgIiEclxPRyh0zOKtlawDltfUay8"",""'Interns'!A:A""),
0
)),
""Outreach Conducted"",
"""")"),"")</f>
        <v/>
      </c>
      <c r="AI762" s="23"/>
      <c r="AJ762" s="23"/>
      <c r="AK762" s="23" t="str">
        <f>IFERROR(__xludf.DUMMYFUNCTION("XLOOKUP(C762, 
   IMPORTRANGE(""1RdEdgHYrZ33LJ7RUHj_h-qkAFL92bcVjtIdVa-UlsCw"", ""Interns!D:D""), 
   IMPORTRANGE(""1RdEdgHYrZ33LJ7RUHj_h-qkAFL92bcVjtIdVa-UlsCw"", ""Interns!M:M""), 
   ""Not Found"")"),"Contacted")</f>
        <v>Contacted</v>
      </c>
      <c r="AL762" s="23" t="str">
        <f>IFERROR(__xludf.DUMMYFUNCTION("XLOOKUP(C762, 
   IMPORTRANGE(""1RdEdgHYrZ33LJ7RUHj_h-qkAFL92bcVjtIdVa-UlsCw"", ""Interns!D:D""), 
   IMPORTRANGE(""1RdEdgHYrZ33LJ7RUHj_h-qkAFL92bcVjtIdVa-UlsCw"", ""Interns!N:N""), 
   ""Not Found"")"),"#Cheers4Careers")</f>
        <v>#Cheers4Careers</v>
      </c>
      <c r="AM762" s="23" t="str">
        <f>IFERROR(__xludf.DUMMYFUNCTION("XLOOKUP(C762, 
   IMPORTRANGE(""1RdEdgHYrZ33LJ7RUHj_h-qkAFL92bcVjtIdVa-UlsCw"", ""Interns!D:D""), 
   IMPORTRANGE(""1RdEdgHYrZ33LJ7RUHj_h-qkAFL92bcVjtIdVa-UlsCw"", ""Interns!O:O""), 
   ""Not Found"")"),"Ousmane reached out by email 3/26 ")</f>
        <v>Ousmane reached out by email 3/26 </v>
      </c>
      <c r="AN762" s="23"/>
      <c r="AO762" s="23" t="s">
        <v>8958</v>
      </c>
      <c r="AP762" s="28" t="s">
        <v>5182</v>
      </c>
      <c r="AQ762" s="28" t="s">
        <v>8959</v>
      </c>
      <c r="AR762" s="23" t="s">
        <v>8960</v>
      </c>
      <c r="AS762" s="23"/>
      <c r="AT762" s="23"/>
      <c r="AU762" s="23"/>
      <c r="AV762" s="23"/>
    </row>
    <row r="763">
      <c r="A763" s="28" t="s">
        <v>5161</v>
      </c>
      <c r="B763" s="28" t="s">
        <v>5162</v>
      </c>
      <c r="C763" s="23" t="str">
        <f t="shared" si="1"/>
        <v>Rocio Hernandez</v>
      </c>
      <c r="D763" s="28" t="s">
        <v>10151</v>
      </c>
      <c r="E763" s="28" t="s">
        <v>2168</v>
      </c>
      <c r="F763" s="23">
        <f t="array" ref="F763">IFERROR(
    INDEX('Hub Interns 226'!A:A, MATCH(C763, 'Hub Interns 226'!B:B, 0)),"")</f>
        <v>1032</v>
      </c>
      <c r="G763" s="23">
        <f t="array" ref="G763">IFERROR(
    INDEX('Hub Users 226'!A:A, MATCH(C763, 'Hub Users 226'!B:B, 0)),"")</f>
        <v>1465</v>
      </c>
      <c r="H763" s="28">
        <v>609.0</v>
      </c>
      <c r="I763" s="28" t="s">
        <v>107</v>
      </c>
      <c r="J763" s="28" t="s">
        <v>9066</v>
      </c>
      <c r="K763" s="28" t="s">
        <v>5177</v>
      </c>
      <c r="L763" s="28" t="s">
        <v>5196</v>
      </c>
      <c r="M763" s="56" t="s">
        <v>10152</v>
      </c>
      <c r="N763" s="59">
        <v>44490.65625</v>
      </c>
      <c r="O763" s="58">
        <v>38131.0</v>
      </c>
      <c r="P763" s="28">
        <f t="shared" si="20"/>
        <v>21</v>
      </c>
      <c r="Q763" s="28" t="s">
        <v>240</v>
      </c>
      <c r="R763" s="28" t="s">
        <v>10153</v>
      </c>
      <c r="S763" s="28">
        <v>6.0</v>
      </c>
      <c r="T763" s="28">
        <v>16.0</v>
      </c>
      <c r="U763" s="28">
        <v>40.0</v>
      </c>
      <c r="V763" s="28">
        <v>20.0</v>
      </c>
      <c r="W763" s="28" t="s">
        <v>1173</v>
      </c>
      <c r="X763" s="28" t="s">
        <v>272</v>
      </c>
      <c r="Y763" s="28" t="s">
        <v>10154</v>
      </c>
      <c r="Z763" s="28" t="s">
        <v>5189</v>
      </c>
      <c r="AA763" s="28" t="s">
        <v>619</v>
      </c>
      <c r="AB763" s="28">
        <v>20.0</v>
      </c>
      <c r="AC763" s="28" t="s">
        <v>25</v>
      </c>
      <c r="AD763" s="23"/>
      <c r="AE763" s="28" t="s">
        <v>10</v>
      </c>
      <c r="AF763" s="23" t="str">
        <f>IFERROR(__xludf.DUMMYFUNCTION("TEXTJOIN("", "", TRUE,
  FILTER(Champions!C:C,
    ISNUMBER(SEARCH(C763, Champions!W:W))
  )
)"),"Chiemela Okwandu, Victor Evans")</f>
        <v>Chiemela Okwandu, Victor Evans</v>
      </c>
      <c r="AG763" s="23"/>
      <c r="AH763" s="23" t="str">
        <f>IFERROR(__xludf.DUMMYFUNCTION("IF(
ISNUMBER(MATCH(
C763,
IMPORTRANGE(""https://docs.google.com/spreadsheets/d/1yTh1ELC33JHYOeEdgIiEclxPRyh0zOKtlawDltfUay8"",""'Interns'!A:A""),
0
)),
""Outreach Conducted"",
"""")"),"")</f>
        <v/>
      </c>
      <c r="AI763" s="23"/>
      <c r="AJ763" s="23"/>
      <c r="AK763" s="23" t="str">
        <f>IFERROR(__xludf.DUMMYFUNCTION("XLOOKUP(C763, 
   IMPORTRANGE(""1RdEdgHYrZ33LJ7RUHj_h-qkAFL92bcVjtIdVa-UlsCw"", ""Interns!D:D""), 
   IMPORTRANGE(""1RdEdgHYrZ33LJ7RUHj_h-qkAFL92bcVjtIdVa-UlsCw"", ""Interns!M:M""), 
   ""Not Found"")"),"Contacted")</f>
        <v>Contacted</v>
      </c>
      <c r="AL763" s="23" t="str">
        <f>IFERROR(__xludf.DUMMYFUNCTION("XLOOKUP(C763, 
   IMPORTRANGE(""1RdEdgHYrZ33LJ7RUHj_h-qkAFL92bcVjtIdVa-UlsCw"", ""Interns!D:D""), 
   IMPORTRANGE(""1RdEdgHYrZ33LJ7RUHj_h-qkAFL92bcVjtIdVa-UlsCw"", ""Interns!N:N""), 
   ""Not Found"")"),"#Cheers4Careers")</f>
        <v>#Cheers4Careers</v>
      </c>
      <c r="AM763" s="23" t="str">
        <f>IFERROR(__xludf.DUMMYFUNCTION("XLOOKUP(C763, 
   IMPORTRANGE(""1RdEdgHYrZ33LJ7RUHj_h-qkAFL92bcVjtIdVa-UlsCw"", ""Interns!D:D""), 
   IMPORTRANGE(""1RdEdgHYrZ33LJ7RUHj_h-qkAFL92bcVjtIdVa-UlsCw"", ""Interns!O:O""), 
   ""Not Found"")"),"Hetal reached out by email 3/27 followed by text")</f>
        <v>Hetal reached out by email 3/27 followed by text</v>
      </c>
      <c r="AN763" s="23"/>
      <c r="AO763" s="23" t="s">
        <v>10155</v>
      </c>
      <c r="AP763" s="28" t="s">
        <v>5182</v>
      </c>
      <c r="AQ763" s="28" t="s">
        <v>10156</v>
      </c>
      <c r="AR763" s="23" t="s">
        <v>10157</v>
      </c>
      <c r="AS763" s="23"/>
      <c r="AT763" s="23"/>
      <c r="AU763" s="23"/>
      <c r="AV763" s="23"/>
    </row>
    <row r="764">
      <c r="A764" s="28" t="s">
        <v>5161</v>
      </c>
      <c r="B764" s="28" t="s">
        <v>31</v>
      </c>
      <c r="C764" s="23" t="str">
        <f t="shared" si="1"/>
        <v>Wasin Shihab</v>
      </c>
      <c r="D764" s="28" t="s">
        <v>5440</v>
      </c>
      <c r="E764" s="28" t="s">
        <v>5441</v>
      </c>
      <c r="F764" s="23">
        <f t="array" ref="F764">IFERROR(
    INDEX('Hub Interns 226'!A:A, MATCH(C764, 'Hub Interns 226'!B:B, 0)),"")</f>
        <v>1182</v>
      </c>
      <c r="G764" s="23">
        <f t="array" ref="G764">IFERROR(
    INDEX('Hub Users 226'!A:A, MATCH(C764, 'Hub Users 226'!B:B, 0)),"")</f>
        <v>1615</v>
      </c>
      <c r="H764" s="28">
        <v>728.0</v>
      </c>
      <c r="I764" s="28" t="s">
        <v>260</v>
      </c>
      <c r="J764" s="28"/>
      <c r="K764" s="28"/>
      <c r="L764" s="28" t="s">
        <v>5165</v>
      </c>
      <c r="M764" s="56" t="s">
        <v>5442</v>
      </c>
      <c r="N764" s="59">
        <v>44550.54652777778</v>
      </c>
      <c r="O764" s="58">
        <v>38217.0</v>
      </c>
      <c r="P764" s="28">
        <f t="shared" si="20"/>
        <v>21</v>
      </c>
      <c r="Q764" s="28" t="s">
        <v>240</v>
      </c>
      <c r="R764" s="28" t="s">
        <v>5443</v>
      </c>
      <c r="S764" s="28"/>
      <c r="T764" s="28"/>
      <c r="U764" s="28"/>
      <c r="V764" s="28"/>
      <c r="W764" s="28" t="s">
        <v>859</v>
      </c>
      <c r="X764" s="28" t="s">
        <v>272</v>
      </c>
      <c r="Y764" s="28" t="s">
        <v>5444</v>
      </c>
      <c r="Z764" s="28" t="s">
        <v>5259</v>
      </c>
      <c r="AA764" s="28" t="s">
        <v>704</v>
      </c>
      <c r="AB764" s="28">
        <v>2.0</v>
      </c>
      <c r="AC764" s="28" t="s">
        <v>28</v>
      </c>
      <c r="AD764" s="23"/>
      <c r="AE764" s="28" t="s">
        <v>10</v>
      </c>
      <c r="AF764" s="23"/>
      <c r="AG764" s="23"/>
      <c r="AH764" s="23" t="str">
        <f>IFERROR(__xludf.DUMMYFUNCTION("IF(
ISNUMBER(MATCH(
C764,
IMPORTRANGE(""https://docs.google.com/spreadsheets/d/1yTh1ELC33JHYOeEdgIiEclxPRyh0zOKtlawDltfUay8"",""'Interns'!A:A""),
0
)),
""Outreach Conducted"",
"""")"),"")</f>
        <v/>
      </c>
      <c r="AI764" s="23"/>
      <c r="AJ764" s="28" t="s">
        <v>10158</v>
      </c>
      <c r="AK764" s="23" t="str">
        <f>IFERROR(__xludf.DUMMYFUNCTION("XLOOKUP(C764, 
   IMPORTRANGE(""1RdEdgHYrZ33LJ7RUHj_h-qkAFL92bcVjtIdVa-UlsCw"", ""Interns!D:D""), 
   IMPORTRANGE(""1RdEdgHYrZ33LJ7RUHj_h-qkAFL92bcVjtIdVa-UlsCw"", ""Interns!M:M""), 
   ""Not Found"")"),"Contacted")</f>
        <v>Contacted</v>
      </c>
      <c r="AL764" s="23" t="str">
        <f>IFERROR(__xludf.DUMMYFUNCTION("XLOOKUP(C764, 
   IMPORTRANGE(""1RdEdgHYrZ33LJ7RUHj_h-qkAFL92bcVjtIdVa-UlsCw"", ""Interns!D:D""), 
   IMPORTRANGE(""1RdEdgHYrZ33LJ7RUHj_h-qkAFL92bcVjtIdVa-UlsCw"", ""Interns!N:N""), 
   ""Not Found"")"),"#Cheers4Careers")</f>
        <v>#Cheers4Careers</v>
      </c>
      <c r="AM764" s="23" t="str">
        <f>IFERROR(__xludf.DUMMYFUNCTION("XLOOKUP(C764, 
   IMPORTRANGE(""1RdEdgHYrZ33LJ7RUHj_h-qkAFL92bcVjtIdVa-UlsCw"", ""Interns!D:D""), 
   IMPORTRANGE(""1RdEdgHYrZ33LJ7RUHj_h-qkAFL92bcVjtIdVa-UlsCw"", ""Interns!O:O""), 
   ""Not Found"")"),"Ousmane reached out by email 3/26 ")</f>
        <v>Ousmane reached out by email 3/26 </v>
      </c>
      <c r="AN764" s="23"/>
      <c r="AO764" s="23" t="s">
        <v>5445</v>
      </c>
      <c r="AP764" s="28" t="s">
        <v>5240</v>
      </c>
      <c r="AQ764" s="28" t="s">
        <v>5446</v>
      </c>
      <c r="AR764" s="23" t="s">
        <v>5447</v>
      </c>
      <c r="AS764" s="23"/>
      <c r="AT764" s="23"/>
      <c r="AU764" s="23"/>
      <c r="AV764" s="23"/>
    </row>
    <row r="765">
      <c r="A765" s="28" t="s">
        <v>5161</v>
      </c>
      <c r="B765" s="28" t="s">
        <v>5162</v>
      </c>
      <c r="C765" s="23" t="str">
        <f t="shared" si="1"/>
        <v>Marlin Rodriguez</v>
      </c>
      <c r="D765" s="28" t="s">
        <v>10159</v>
      </c>
      <c r="E765" s="28" t="s">
        <v>536</v>
      </c>
      <c r="F765" s="23">
        <f t="array" ref="F765">IFERROR(
    INDEX('Hub Interns 226'!A:A, MATCH(C765, 'Hub Interns 226'!B:B, 0)),"")</f>
        <v>1219</v>
      </c>
      <c r="G765" s="23">
        <f t="array" ref="G765">IFERROR(
    INDEX('Hub Users 226'!A:A, MATCH(C765, 'Hub Users 226'!B:B, 0)),"")</f>
        <v>1652</v>
      </c>
      <c r="H765" s="28">
        <v>545.0</v>
      </c>
      <c r="I765" s="28" t="s">
        <v>417</v>
      </c>
      <c r="J765" s="28" t="s">
        <v>9066</v>
      </c>
      <c r="K765" s="28" t="s">
        <v>5177</v>
      </c>
      <c r="L765" s="28" t="s">
        <v>8087</v>
      </c>
      <c r="M765" s="56" t="s">
        <v>10160</v>
      </c>
      <c r="N765" s="57">
        <v>44477.55069444444</v>
      </c>
      <c r="O765" s="58">
        <v>38155.0</v>
      </c>
      <c r="P765" s="28">
        <f t="shared" si="20"/>
        <v>21</v>
      </c>
      <c r="Q765" s="28" t="s">
        <v>10161</v>
      </c>
      <c r="R765" s="28" t="s">
        <v>10162</v>
      </c>
      <c r="S765" s="28">
        <v>6.0</v>
      </c>
      <c r="T765" s="28">
        <v>16.0</v>
      </c>
      <c r="U765" s="28">
        <v>40.0</v>
      </c>
      <c r="V765" s="28">
        <v>20.0</v>
      </c>
      <c r="W765" s="28" t="s">
        <v>1173</v>
      </c>
      <c r="X765" s="28" t="s">
        <v>272</v>
      </c>
      <c r="Y765" s="28" t="s">
        <v>10163</v>
      </c>
      <c r="Z765" s="28" t="s">
        <v>5189</v>
      </c>
      <c r="AA765" s="28" t="s">
        <v>619</v>
      </c>
      <c r="AB765" s="28">
        <v>20.0</v>
      </c>
      <c r="AC765" s="28" t="s">
        <v>25</v>
      </c>
      <c r="AD765" s="23"/>
      <c r="AE765" s="28" t="s">
        <v>10</v>
      </c>
      <c r="AF765" s="23" t="str">
        <f>IFERROR(__xludf.DUMMYFUNCTION("TEXTJOIN("", "", TRUE,
  FILTER(Champions!C:C,
    ISNUMBER(SEARCH(C765, Champions!W:W))
  )
)"),"Luisa Castro")</f>
        <v>Luisa Castro</v>
      </c>
      <c r="AG765" s="23"/>
      <c r="AH765" s="23" t="str">
        <f>IFERROR(__xludf.DUMMYFUNCTION("IF(
ISNUMBER(MATCH(
C765,
IMPORTRANGE(""https://docs.google.com/spreadsheets/d/1yTh1ELC33JHYOeEdgIiEclxPRyh0zOKtlawDltfUay8"",""'Interns'!A:A""),
0
)),
""Outreach Conducted"",
"""")"),"")</f>
        <v/>
      </c>
      <c r="AI765" s="23"/>
      <c r="AJ765" s="23"/>
      <c r="AK765" s="23" t="str">
        <f>IFERROR(__xludf.DUMMYFUNCTION("XLOOKUP(C765, 
   IMPORTRANGE(""1RdEdgHYrZ33LJ7RUHj_h-qkAFL92bcVjtIdVa-UlsCw"", ""Interns!D:D""), 
   IMPORTRANGE(""1RdEdgHYrZ33LJ7RUHj_h-qkAFL92bcVjtIdVa-UlsCw"", ""Interns!M:M""), 
   ""Not Found"")"),"Contacted")</f>
        <v>Contacted</v>
      </c>
      <c r="AL765" s="23" t="str">
        <f>IFERROR(__xludf.DUMMYFUNCTION("XLOOKUP(C765, 
   IMPORTRANGE(""1RdEdgHYrZ33LJ7RUHj_h-qkAFL92bcVjtIdVa-UlsCw"", ""Interns!D:D""), 
   IMPORTRANGE(""1RdEdgHYrZ33LJ7RUHj_h-qkAFL92bcVjtIdVa-UlsCw"", ""Interns!N:N""), 
   ""Not Found"")"),"#Cheers4Careers")</f>
        <v>#Cheers4Careers</v>
      </c>
      <c r="AM765" s="23" t="str">
        <f>IFERROR(__xludf.DUMMYFUNCTION("XLOOKUP(C765, 
   IMPORTRANGE(""1RdEdgHYrZ33LJ7RUHj_h-qkAFL92bcVjtIdVa-UlsCw"", ""Interns!D:D""), 
   IMPORTRANGE(""1RdEdgHYrZ33LJ7RUHj_h-qkAFL92bcVjtIdVa-UlsCw"", ""Interns!O:O""), 
   ""Not Found"")"),"Hetal reached out by email 3/27 followed by text")</f>
        <v>Hetal reached out by email 3/27 followed by text</v>
      </c>
      <c r="AN765" s="23"/>
      <c r="AO765" s="23" t="s">
        <v>10164</v>
      </c>
      <c r="AP765" s="28" t="s">
        <v>5641</v>
      </c>
      <c r="AQ765" s="28" t="s">
        <v>10165</v>
      </c>
      <c r="AR765" s="23" t="s">
        <v>10166</v>
      </c>
      <c r="AS765" s="23"/>
      <c r="AT765" s="23"/>
      <c r="AU765" s="23"/>
      <c r="AV765" s="23"/>
    </row>
    <row r="766">
      <c r="A766" s="28" t="s">
        <v>5202</v>
      </c>
      <c r="B766" s="28" t="s">
        <v>5162</v>
      </c>
      <c r="C766" s="23" t="str">
        <f t="shared" si="1"/>
        <v>Sebastien Paillant</v>
      </c>
      <c r="D766" s="28" t="s">
        <v>6971</v>
      </c>
      <c r="E766" s="28" t="s">
        <v>10167</v>
      </c>
      <c r="F766" s="23">
        <f t="array" ref="F766">IFERROR(
    INDEX('Hub Interns 226'!A:A, MATCH(C766, 'Hub Interns 226'!B:B, 0)),"")</f>
        <v>1086</v>
      </c>
      <c r="G766" s="23">
        <f t="array" ref="G766">IFERROR(
    INDEX('Hub Users 226'!A:A, MATCH(C766, 'Hub Users 226'!B:B, 0)),"")</f>
        <v>1519</v>
      </c>
      <c r="H766" s="28">
        <v>973.0</v>
      </c>
      <c r="I766" s="28" t="s">
        <v>260</v>
      </c>
      <c r="J766" s="28" t="s">
        <v>10019</v>
      </c>
      <c r="K766" s="28" t="s">
        <v>5177</v>
      </c>
      <c r="L766" s="28" t="s">
        <v>5165</v>
      </c>
      <c r="M766" s="56" t="s">
        <v>10168</v>
      </c>
      <c r="N766" s="57">
        <v>44642.55486111111</v>
      </c>
      <c r="O766" s="58">
        <v>38264.0</v>
      </c>
      <c r="P766" s="28">
        <f t="shared" si="20"/>
        <v>21</v>
      </c>
      <c r="Q766" s="28" t="s">
        <v>240</v>
      </c>
      <c r="R766" s="28" t="s">
        <v>10169</v>
      </c>
      <c r="S766" s="28">
        <v>8.0</v>
      </c>
      <c r="T766" s="28">
        <v>19.0</v>
      </c>
      <c r="U766" s="28">
        <v>59.0</v>
      </c>
      <c r="V766" s="28">
        <v>46.0</v>
      </c>
      <c r="W766" s="28" t="s">
        <v>294</v>
      </c>
      <c r="X766" s="28" t="s">
        <v>272</v>
      </c>
      <c r="Y766" s="28" t="s">
        <v>10170</v>
      </c>
      <c r="Z766" s="28" t="s">
        <v>5589</v>
      </c>
      <c r="AA766" s="28" t="s">
        <v>5590</v>
      </c>
      <c r="AB766" s="28">
        <v>35.0</v>
      </c>
      <c r="AC766" s="28" t="s">
        <v>24</v>
      </c>
      <c r="AD766" s="23"/>
      <c r="AE766" s="28" t="s">
        <v>10</v>
      </c>
      <c r="AF766" s="23"/>
      <c r="AG766" s="23"/>
      <c r="AH766" s="23" t="str">
        <f>IFERROR(__xludf.DUMMYFUNCTION("IF(
ISNUMBER(MATCH(
C766,
IMPORTRANGE(""https://docs.google.com/spreadsheets/d/1yTh1ELC33JHYOeEdgIiEclxPRyh0zOKtlawDltfUay8"",""'Interns'!A:A""),
0
)),
""Outreach Conducted"",
"""")"),"")</f>
        <v/>
      </c>
      <c r="AI766" s="23"/>
      <c r="AJ766" s="23"/>
      <c r="AK766" s="23" t="str">
        <f>IFERROR(__xludf.DUMMYFUNCTION("XLOOKUP(C766, 
   IMPORTRANGE(""1RdEdgHYrZ33LJ7RUHj_h-qkAFL92bcVjtIdVa-UlsCw"", ""Interns!D:D""), 
   IMPORTRANGE(""1RdEdgHYrZ33LJ7RUHj_h-qkAFL92bcVjtIdVa-UlsCw"", ""Interns!M:M""), 
   ""Not Found"")"),"")</f>
        <v/>
      </c>
      <c r="AL766" s="23" t="str">
        <f>IFERROR(__xludf.DUMMYFUNCTION("XLOOKUP(C766, 
   IMPORTRANGE(""1RdEdgHYrZ33LJ7RUHj_h-qkAFL92bcVjtIdVa-UlsCw"", ""Interns!D:D""), 
   IMPORTRANGE(""1RdEdgHYrZ33LJ7RUHj_h-qkAFL92bcVjtIdVa-UlsCw"", ""Interns!N:N""), 
   ""Not Found"")"),"")</f>
        <v/>
      </c>
      <c r="AM766" s="23" t="str">
        <f>IFERROR(__xludf.DUMMYFUNCTION("XLOOKUP(C766, 
   IMPORTRANGE(""1RdEdgHYrZ33LJ7RUHj_h-qkAFL92bcVjtIdVa-UlsCw"", ""Interns!D:D""), 
   IMPORTRANGE(""1RdEdgHYrZ33LJ7RUHj_h-qkAFL92bcVjtIdVa-UlsCw"", ""Interns!O:O""), 
   ""Not Found"")"),"")</f>
        <v/>
      </c>
      <c r="AN766" s="23"/>
      <c r="AO766" s="23" t="s">
        <v>10171</v>
      </c>
      <c r="AP766" s="28" t="s">
        <v>5191</v>
      </c>
      <c r="AQ766" s="28"/>
      <c r="AR766" s="23"/>
      <c r="AS766" s="23"/>
      <c r="AT766" s="23"/>
      <c r="AU766" s="23"/>
      <c r="AV766" s="23"/>
    </row>
    <row r="767">
      <c r="A767" s="28" t="s">
        <v>5161</v>
      </c>
      <c r="B767" s="28" t="s">
        <v>5162</v>
      </c>
      <c r="C767" s="23" t="str">
        <f t="shared" si="1"/>
        <v>Claribel Escobar</v>
      </c>
      <c r="D767" s="28" t="s">
        <v>10172</v>
      </c>
      <c r="E767" s="28" t="s">
        <v>10173</v>
      </c>
      <c r="F767" s="23">
        <f t="array" ref="F767">IFERROR(
    INDEX('Hub Interns 226'!A:A, MATCH(C767, 'Hub Interns 226'!B:B, 0)),"")</f>
        <v>379</v>
      </c>
      <c r="G767" s="23">
        <f t="array" ref="G767">IFERROR(
    INDEX('Hub Users 226'!A:A, MATCH(C767, 'Hub Users 226'!B:B, 0)),"")</f>
        <v>812</v>
      </c>
      <c r="H767" s="28">
        <v>536.0</v>
      </c>
      <c r="I767" s="28" t="s">
        <v>107</v>
      </c>
      <c r="J767" s="28" t="s">
        <v>9066</v>
      </c>
      <c r="K767" s="28" t="s">
        <v>5177</v>
      </c>
      <c r="L767" s="28" t="s">
        <v>5196</v>
      </c>
      <c r="M767" s="56" t="s">
        <v>10174</v>
      </c>
      <c r="N767" s="57">
        <v>44477.53888888889</v>
      </c>
      <c r="O767" s="58">
        <v>37090.0</v>
      </c>
      <c r="P767" s="28">
        <f t="shared" si="20"/>
        <v>24</v>
      </c>
      <c r="Q767" s="28" t="s">
        <v>240</v>
      </c>
      <c r="R767" s="28" t="s">
        <v>10175</v>
      </c>
      <c r="S767" s="28">
        <v>6.0</v>
      </c>
      <c r="T767" s="28">
        <v>16.0</v>
      </c>
      <c r="U767" s="28">
        <v>40.0</v>
      </c>
      <c r="V767" s="28">
        <v>20.0</v>
      </c>
      <c r="W767" s="28" t="s">
        <v>1173</v>
      </c>
      <c r="X767" s="28" t="s">
        <v>272</v>
      </c>
      <c r="Y767" s="28" t="s">
        <v>10176</v>
      </c>
      <c r="Z767" s="28" t="s">
        <v>5189</v>
      </c>
      <c r="AA767" s="28" t="s">
        <v>619</v>
      </c>
      <c r="AB767" s="28">
        <v>20.0</v>
      </c>
      <c r="AC767" s="28" t="s">
        <v>25</v>
      </c>
      <c r="AD767" s="23"/>
      <c r="AE767" s="28" t="s">
        <v>10</v>
      </c>
      <c r="AF767" s="23" t="str">
        <f>IFERROR(__xludf.DUMMYFUNCTION("TEXTJOIN("", "", TRUE,
  FILTER(Champions!C:C,
    ISNUMBER(SEARCH(C767, Champions!W:W))
  )
)"),"Luisa Castro, Carolina Parra")</f>
        <v>Luisa Castro, Carolina Parra</v>
      </c>
      <c r="AG767" s="23"/>
      <c r="AH767" s="23" t="str">
        <f>IFERROR(__xludf.DUMMYFUNCTION("IF(
ISNUMBER(MATCH(
C767,
IMPORTRANGE(""https://docs.google.com/spreadsheets/d/1yTh1ELC33JHYOeEdgIiEclxPRyh0zOKtlawDltfUay8"",""'Interns'!A:A""),
0
)),
""Outreach Conducted"",
"""")"),"")</f>
        <v/>
      </c>
      <c r="AI767" s="23"/>
      <c r="AJ767" s="23"/>
      <c r="AK767" s="23" t="str">
        <f>IFERROR(__xludf.DUMMYFUNCTION("XLOOKUP(C767, 
   IMPORTRANGE(""1RdEdgHYrZ33LJ7RUHj_h-qkAFL92bcVjtIdVa-UlsCw"", ""Interns!D:D""), 
   IMPORTRANGE(""1RdEdgHYrZ33LJ7RUHj_h-qkAFL92bcVjtIdVa-UlsCw"", ""Interns!M:M""), 
   ""Not Found"")"),"Contacted")</f>
        <v>Contacted</v>
      </c>
      <c r="AL767" s="23" t="str">
        <f>IFERROR(__xludf.DUMMYFUNCTION("XLOOKUP(C767, 
   IMPORTRANGE(""1RdEdgHYrZ33LJ7RUHj_h-qkAFL92bcVjtIdVa-UlsCw"", ""Interns!D:D""), 
   IMPORTRANGE(""1RdEdgHYrZ33LJ7RUHj_h-qkAFL92bcVjtIdVa-UlsCw"", ""Interns!N:N""), 
   ""Not Found"")"),"#Cheers4Careers")</f>
        <v>#Cheers4Careers</v>
      </c>
      <c r="AM767" s="23" t="str">
        <f>IFERROR(__xludf.DUMMYFUNCTION("XLOOKUP(C767, 
   IMPORTRANGE(""1RdEdgHYrZ33LJ7RUHj_h-qkAFL92bcVjtIdVa-UlsCw"", ""Interns!D:D""), 
   IMPORTRANGE(""1RdEdgHYrZ33LJ7RUHj_h-qkAFL92bcVjtIdVa-UlsCw"", ""Interns!O:O""), 
   ""Not Found"")"),"Hetal reached out by email 3/27 followed by text")</f>
        <v>Hetal reached out by email 3/27 followed by text</v>
      </c>
      <c r="AN767" s="23"/>
      <c r="AO767" s="23" t="s">
        <v>10177</v>
      </c>
      <c r="AP767" s="28" t="s">
        <v>5908</v>
      </c>
      <c r="AQ767" s="28" t="s">
        <v>10174</v>
      </c>
      <c r="AR767" s="23" t="s">
        <v>10178</v>
      </c>
      <c r="AS767" s="23"/>
      <c r="AT767" s="23"/>
      <c r="AU767" s="23"/>
      <c r="AV767" s="23"/>
    </row>
    <row r="768">
      <c r="A768" s="28" t="s">
        <v>5161</v>
      </c>
      <c r="B768" s="28" t="s">
        <v>5162</v>
      </c>
      <c r="C768" s="23" t="str">
        <f t="shared" si="1"/>
        <v>Andersson Ramos Mejia</v>
      </c>
      <c r="D768" s="28" t="s">
        <v>10179</v>
      </c>
      <c r="E768" s="28" t="s">
        <v>10180</v>
      </c>
      <c r="F768" s="23">
        <f t="array" ref="F768">IFERROR(
    INDEX('Hub Interns 226'!A:A, MATCH(C768, 'Hub Interns 226'!B:B, 0)),"")</f>
        <v>228</v>
      </c>
      <c r="G768" s="23">
        <f t="array" ref="G768">IFERROR(
    INDEX('Hub Users 226'!A:A, MATCH(C768, 'Hub Users 226'!B:B, 0)),"")</f>
        <v>661</v>
      </c>
      <c r="H768" s="28">
        <v>617.0</v>
      </c>
      <c r="I768" s="28" t="s">
        <v>107</v>
      </c>
      <c r="J768" s="28" t="s">
        <v>9066</v>
      </c>
      <c r="K768" s="28" t="s">
        <v>5177</v>
      </c>
      <c r="L768" s="28" t="s">
        <v>5165</v>
      </c>
      <c r="M768" s="56" t="s">
        <v>10181</v>
      </c>
      <c r="N768" s="59">
        <v>44492.64097222222</v>
      </c>
      <c r="O768" s="58">
        <v>38630.0</v>
      </c>
      <c r="P768" s="28">
        <f t="shared" si="20"/>
        <v>20</v>
      </c>
      <c r="Q768" s="28" t="s">
        <v>240</v>
      </c>
      <c r="R768" s="28" t="s">
        <v>10182</v>
      </c>
      <c r="S768" s="28">
        <v>6.0</v>
      </c>
      <c r="T768" s="28">
        <v>16.0</v>
      </c>
      <c r="U768" s="28">
        <v>40.0</v>
      </c>
      <c r="V768" s="28">
        <v>20.0</v>
      </c>
      <c r="W768" s="28" t="s">
        <v>1173</v>
      </c>
      <c r="X768" s="28" t="s">
        <v>272</v>
      </c>
      <c r="Y768" s="28" t="s">
        <v>10183</v>
      </c>
      <c r="Z768" s="28" t="s">
        <v>5189</v>
      </c>
      <c r="AA768" s="28" t="s">
        <v>619</v>
      </c>
      <c r="AB768" s="28">
        <v>20.0</v>
      </c>
      <c r="AC768" s="28" t="s">
        <v>25</v>
      </c>
      <c r="AD768" s="23"/>
      <c r="AE768" s="28" t="s">
        <v>10</v>
      </c>
      <c r="AF768" s="23" t="str">
        <f>IFERROR(__xludf.DUMMYFUNCTION("TEXTJOIN("", "", TRUE,
  FILTER(Champions!C:C,
    ISNUMBER(SEARCH(C768, Champions!W:W))
  )
)"),"Enrique Linan, Estrella Mestres")</f>
        <v>Enrique Linan, Estrella Mestres</v>
      </c>
      <c r="AG768" s="23"/>
      <c r="AH768" s="23" t="str">
        <f>IFERROR(__xludf.DUMMYFUNCTION("IF(
ISNUMBER(MATCH(
C768,
IMPORTRANGE(""https://docs.google.com/spreadsheets/d/1yTh1ELC33JHYOeEdgIiEclxPRyh0zOKtlawDltfUay8"",""'Interns'!A:A""),
0
)),
""Outreach Conducted"",
"""")"),"")</f>
        <v/>
      </c>
      <c r="AI768" s="23"/>
      <c r="AJ768" s="23"/>
      <c r="AK768" s="23" t="str">
        <f>IFERROR(__xludf.DUMMYFUNCTION("XLOOKUP(C768, 
   IMPORTRANGE(""1RdEdgHYrZ33LJ7RUHj_h-qkAFL92bcVjtIdVa-UlsCw"", ""Interns!D:D""), 
   IMPORTRANGE(""1RdEdgHYrZ33LJ7RUHj_h-qkAFL92bcVjtIdVa-UlsCw"", ""Interns!M:M""), 
   ""Not Found"")"),"Contacted")</f>
        <v>Contacted</v>
      </c>
      <c r="AL768" s="23" t="str">
        <f>IFERROR(__xludf.DUMMYFUNCTION("XLOOKUP(C768, 
   IMPORTRANGE(""1RdEdgHYrZ33LJ7RUHj_h-qkAFL92bcVjtIdVa-UlsCw"", ""Interns!D:D""), 
   IMPORTRANGE(""1RdEdgHYrZ33LJ7RUHj_h-qkAFL92bcVjtIdVa-UlsCw"", ""Interns!N:N""), 
   ""Not Found"")"),"#Cheers4Careers")</f>
        <v>#Cheers4Careers</v>
      </c>
      <c r="AM768" s="23" t="str">
        <f>IFERROR(__xludf.DUMMYFUNCTION("XLOOKUP(C768, 
   IMPORTRANGE(""1RdEdgHYrZ33LJ7RUHj_h-qkAFL92bcVjtIdVa-UlsCw"", ""Interns!D:D""), 
   IMPORTRANGE(""1RdEdgHYrZ33LJ7RUHj_h-qkAFL92bcVjtIdVa-UlsCw"", ""Interns!O:O""), 
   ""Not Found"")"),"Hetal reached out by email 3/27 followed by text")</f>
        <v>Hetal reached out by email 3/27 followed by text</v>
      </c>
      <c r="AN768" s="23"/>
      <c r="AO768" s="23" t="s">
        <v>10184</v>
      </c>
      <c r="AP768" s="28" t="s">
        <v>5182</v>
      </c>
      <c r="AQ768" s="28" t="s">
        <v>10185</v>
      </c>
      <c r="AR768" s="23" t="s">
        <v>10186</v>
      </c>
      <c r="AS768" s="23"/>
      <c r="AT768" s="23"/>
      <c r="AU768" s="23"/>
      <c r="AV768" s="23"/>
    </row>
    <row r="769">
      <c r="A769" s="28" t="s">
        <v>5161</v>
      </c>
      <c r="B769" s="28" t="s">
        <v>5162</v>
      </c>
      <c r="C769" s="23" t="str">
        <f t="shared" si="1"/>
        <v>Yesly Reyes</v>
      </c>
      <c r="D769" s="28" t="s">
        <v>10187</v>
      </c>
      <c r="E769" s="28" t="s">
        <v>4325</v>
      </c>
      <c r="F769" s="23" t="str">
        <f t="array" ref="F769">IFERROR(
    INDEX('Hub Interns 226'!A:A, MATCH(C769, 'Hub Interns 226'!B:B, 0)),"")</f>
        <v/>
      </c>
      <c r="G769" s="23">
        <f t="array" ref="G769">IFERROR(
    INDEX('Hub Users 226'!A:A, MATCH(C769, 'Hub Users 226'!B:B, 0)),"")</f>
        <v>1823</v>
      </c>
      <c r="H769" s="28">
        <v>1710.0</v>
      </c>
      <c r="I769" s="28" t="s">
        <v>260</v>
      </c>
      <c r="J769" s="28" t="s">
        <v>9066</v>
      </c>
      <c r="K769" s="28" t="s">
        <v>5177</v>
      </c>
      <c r="L769" s="28" t="s">
        <v>5196</v>
      </c>
      <c r="M769" s="56" t="s">
        <v>10188</v>
      </c>
      <c r="N769" s="59">
        <v>45250.99444444444</v>
      </c>
      <c r="O769" s="58">
        <v>40470.0</v>
      </c>
      <c r="P769" s="28">
        <f t="shared" si="20"/>
        <v>15</v>
      </c>
      <c r="Q769" s="28" t="s">
        <v>240</v>
      </c>
      <c r="R769" s="28" t="s">
        <v>10189</v>
      </c>
      <c r="S769" s="60">
        <v>6.0</v>
      </c>
      <c r="T769" s="60">
        <v>12.0</v>
      </c>
      <c r="U769" s="60">
        <v>30.0</v>
      </c>
      <c r="V769" s="28">
        <v>30.0</v>
      </c>
      <c r="W769" s="28" t="s">
        <v>1173</v>
      </c>
      <c r="X769" s="28" t="s">
        <v>272</v>
      </c>
      <c r="Y769" s="28" t="s">
        <v>8135</v>
      </c>
      <c r="Z769" s="28" t="s">
        <v>5170</v>
      </c>
      <c r="AA769" s="28" t="s">
        <v>5171</v>
      </c>
      <c r="AB769" s="28">
        <v>30.0</v>
      </c>
      <c r="AC769" s="28" t="s">
        <v>23</v>
      </c>
      <c r="AD769" s="28" t="s">
        <v>101</v>
      </c>
      <c r="AE769" s="28" t="s">
        <v>18</v>
      </c>
      <c r="AF769" s="23"/>
      <c r="AG769" s="23"/>
      <c r="AH769" s="23" t="str">
        <f>IFERROR(__xludf.DUMMYFUNCTION("IF(
ISNUMBER(MATCH(
C769,
IMPORTRANGE(""https://docs.google.com/spreadsheets/d/1yTh1ELC33JHYOeEdgIiEclxPRyh0zOKtlawDltfUay8"",""'Interns'!A:A""),
0
)),
""Outreach Conducted"",
"""")"),"")</f>
        <v/>
      </c>
      <c r="AI769" s="23"/>
      <c r="AJ769" s="23"/>
      <c r="AK769" s="23" t="str">
        <f>IFERROR(__xludf.DUMMYFUNCTION("XLOOKUP(C769, 
   IMPORTRANGE(""1RdEdgHYrZ33LJ7RUHj_h-qkAFL92bcVjtIdVa-UlsCw"", ""Interns!D:D""), 
   IMPORTRANGE(""1RdEdgHYrZ33LJ7RUHj_h-qkAFL92bcVjtIdVa-UlsCw"", ""Interns!M:M""), 
   ""Not Found"")"),"Contacted")</f>
        <v>Contacted</v>
      </c>
      <c r="AL769" s="23" t="str">
        <f>IFERROR(__xludf.DUMMYFUNCTION("XLOOKUP(C769, 
   IMPORTRANGE(""1RdEdgHYrZ33LJ7RUHj_h-qkAFL92bcVjtIdVa-UlsCw"", ""Interns!D:D""), 
   IMPORTRANGE(""1RdEdgHYrZ33LJ7RUHj_h-qkAFL92bcVjtIdVa-UlsCw"", ""Interns!N:N""), 
   ""Not Found"")"),"#Cheers4Careers")</f>
        <v>#Cheers4Careers</v>
      </c>
      <c r="AM769" s="23" t="str">
        <f>IFERROR(__xludf.DUMMYFUNCTION("XLOOKUP(C769, 
   IMPORTRANGE(""1RdEdgHYrZ33LJ7RUHj_h-qkAFL92bcVjtIdVa-UlsCw"", ""Interns!D:D""), 
   IMPORTRANGE(""1RdEdgHYrZ33LJ7RUHj_h-qkAFL92bcVjtIdVa-UlsCw"", ""Interns!O:O""), 
   ""Not Found"")"),"Hetal reached out March 27 for March #Cheers4 Careers ")</f>
        <v>Hetal reached out March 27 for March #Cheers4 Careers </v>
      </c>
      <c r="AN769" s="23"/>
      <c r="AO769" s="23" t="s">
        <v>10190</v>
      </c>
      <c r="AP769" s="28" t="s">
        <v>5182</v>
      </c>
      <c r="AQ769" s="28" t="s">
        <v>10188</v>
      </c>
      <c r="AR769" s="23" t="s">
        <v>8135</v>
      </c>
      <c r="AS769" s="23"/>
      <c r="AT769" s="23"/>
      <c r="AU769" s="23"/>
      <c r="AV769" s="23"/>
    </row>
    <row r="770">
      <c r="A770" s="28" t="s">
        <v>5161</v>
      </c>
      <c r="B770" s="28" t="s">
        <v>5162</v>
      </c>
      <c r="C770" s="23" t="str">
        <f t="shared" si="1"/>
        <v>Stephanie Leonzo</v>
      </c>
      <c r="D770" s="28" t="s">
        <v>3108</v>
      </c>
      <c r="E770" s="28" t="s">
        <v>10191</v>
      </c>
      <c r="F770" s="23">
        <f t="array" ref="F770">IFERROR(
    INDEX('Hub Interns 226'!A:A, MATCH(C770, 'Hub Interns 226'!B:B, 0)),"")</f>
        <v>1121</v>
      </c>
      <c r="G770" s="23">
        <f t="array" ref="G770">IFERROR(
    INDEX('Hub Users 226'!A:A, MATCH(C770, 'Hub Users 226'!B:B, 0)),"")</f>
        <v>1554</v>
      </c>
      <c r="H770" s="28">
        <v>1267.0</v>
      </c>
      <c r="I770" s="28" t="s">
        <v>608</v>
      </c>
      <c r="J770" s="28" t="s">
        <v>9066</v>
      </c>
      <c r="K770" s="28" t="s">
        <v>5177</v>
      </c>
      <c r="L770" s="28" t="s">
        <v>5196</v>
      </c>
      <c r="M770" s="56" t="s">
        <v>10192</v>
      </c>
      <c r="N770" s="59">
        <v>44845.450694444444</v>
      </c>
      <c r="O770" s="58">
        <v>38856.0</v>
      </c>
      <c r="P770" s="28">
        <f t="shared" si="20"/>
        <v>20</v>
      </c>
      <c r="Q770" s="28" t="s">
        <v>10193</v>
      </c>
      <c r="R770" s="28" t="s">
        <v>10194</v>
      </c>
      <c r="S770" s="28">
        <v>13.0</v>
      </c>
      <c r="T770" s="28">
        <v>31.0</v>
      </c>
      <c r="U770" s="28">
        <v>72.0</v>
      </c>
      <c r="V770" s="28">
        <v>49.0</v>
      </c>
      <c r="W770" s="28" t="s">
        <v>271</v>
      </c>
      <c r="X770" s="28" t="s">
        <v>272</v>
      </c>
      <c r="Y770" s="28" t="s">
        <v>10195</v>
      </c>
      <c r="Z770" s="28" t="s">
        <v>5341</v>
      </c>
      <c r="AA770" s="28" t="s">
        <v>1085</v>
      </c>
      <c r="AB770" s="28">
        <v>10.0</v>
      </c>
      <c r="AC770" s="28" t="s">
        <v>25</v>
      </c>
      <c r="AD770" s="23"/>
      <c r="AE770" s="28" t="s">
        <v>15</v>
      </c>
      <c r="AF770" s="23" t="str">
        <f>IFERROR(__xludf.DUMMYFUNCTION("TEXTJOIN("", "", TRUE,
  FILTER(Champions!C:C,
    ISNUMBER(SEARCH(C770, Champions!W:W))
  )
)"),"Joanne Hsu, Frank Weber, Jimena Montane Azpiri, Jimena Montane Azpiri (D)")</f>
        <v>Joanne Hsu, Frank Weber, Jimena Montane Azpiri, Jimena Montane Azpiri (D)</v>
      </c>
      <c r="AG770" s="26" t="s">
        <v>5342</v>
      </c>
      <c r="AH770" s="23" t="str">
        <f>IFERROR(__xludf.DUMMYFUNCTION("IF(
ISNUMBER(MATCH(
C770,
IMPORTRANGE(""https://docs.google.com/spreadsheets/d/1yTh1ELC33JHYOeEdgIiEclxPRyh0zOKtlawDltfUay8"",""'Interns'!A:A""),
0
)),
""Outreach Conducted"",
"""")"),"")</f>
        <v/>
      </c>
      <c r="AI770" s="23"/>
      <c r="AJ770" s="23"/>
      <c r="AK770" s="23" t="str">
        <f>IFERROR(__xludf.DUMMYFUNCTION("XLOOKUP(C770, 
   IMPORTRANGE(""1RdEdgHYrZ33LJ7RUHj_h-qkAFL92bcVjtIdVa-UlsCw"", ""Interns!D:D""), 
   IMPORTRANGE(""1RdEdgHYrZ33LJ7RUHj_h-qkAFL92bcVjtIdVa-UlsCw"", ""Interns!M:M""), 
   ""Not Found"")"),"In Communication")</f>
        <v>In Communication</v>
      </c>
      <c r="AL770" s="23" t="str">
        <f>IFERROR(__xludf.DUMMYFUNCTION("XLOOKUP(C770, 
   IMPORTRANGE(""1RdEdgHYrZ33LJ7RUHj_h-qkAFL92bcVjtIdVa-UlsCw"", ""Interns!D:D""), 
   IMPORTRANGE(""1RdEdgHYrZ33LJ7RUHj_h-qkAFL92bcVjtIdVa-UlsCw"", ""Interns!N:N""), 
   ""Not Found"")"),"#Cheers4Careers")</f>
        <v>#Cheers4Careers</v>
      </c>
      <c r="AM770" s="23" t="str">
        <f>IFERROR(__xludf.DUMMYFUNCTION("XLOOKUP(C770, 
   IMPORTRANGE(""1RdEdgHYrZ33LJ7RUHj_h-qkAFL92bcVjtIdVa-UlsCw"", ""Interns!D:D""), 
   IMPORTRANGE(""1RdEdgHYrZ33LJ7RUHj_h-qkAFL92bcVjtIdVa-UlsCw"", ""Interns!O:O""), 
   ""Not Found"")"),"Texted on April 11 for #Cheers4Careers event")</f>
        <v>Texted on April 11 for #Cheers4Careers event</v>
      </c>
      <c r="AN770" s="23"/>
      <c r="AO770" s="23" t="s">
        <v>10196</v>
      </c>
      <c r="AP770" s="28" t="s">
        <v>5191</v>
      </c>
      <c r="AQ770" s="28" t="s">
        <v>10192</v>
      </c>
      <c r="AR770" s="23" t="s">
        <v>10197</v>
      </c>
      <c r="AS770" s="23"/>
      <c r="AT770" s="23"/>
      <c r="AU770" s="23"/>
      <c r="AV770" s="23"/>
    </row>
    <row r="771">
      <c r="A771" s="28" t="s">
        <v>5161</v>
      </c>
      <c r="B771" s="28" t="s">
        <v>5162</v>
      </c>
      <c r="C771" s="23" t="str">
        <f t="shared" si="1"/>
        <v>Yonathan Martinez</v>
      </c>
      <c r="D771" s="28" t="s">
        <v>10198</v>
      </c>
      <c r="E771" s="28" t="s">
        <v>2010</v>
      </c>
      <c r="F771" s="23">
        <f t="array" ref="F771">IFERROR(
    INDEX('Hub Interns 226'!A:A, MATCH(C771, 'Hub Interns 226'!B:B, 0)),"")</f>
        <v>681</v>
      </c>
      <c r="G771" s="23">
        <f t="array" ref="G771">IFERROR(
    INDEX('Hub Users 226'!A:A, MATCH(C771, 'Hub Users 226'!B:B, 0)),"")</f>
        <v>1114</v>
      </c>
      <c r="H771" s="28">
        <v>780.0</v>
      </c>
      <c r="I771" s="28" t="s">
        <v>107</v>
      </c>
      <c r="J771" s="28" t="s">
        <v>9066</v>
      </c>
      <c r="K771" s="28" t="s">
        <v>5177</v>
      </c>
      <c r="L771" s="28" t="s">
        <v>5165</v>
      </c>
      <c r="M771" s="56" t="s">
        <v>10199</v>
      </c>
      <c r="N771" s="59">
        <v>44553.51944444444</v>
      </c>
      <c r="O771" s="58">
        <v>37684.0</v>
      </c>
      <c r="P771" s="28">
        <f t="shared" si="20"/>
        <v>23</v>
      </c>
      <c r="Q771" s="28" t="s">
        <v>240</v>
      </c>
      <c r="R771" s="28" t="s">
        <v>10200</v>
      </c>
      <c r="S771" s="28">
        <v>5.0</v>
      </c>
      <c r="T771" s="28">
        <v>15.0</v>
      </c>
      <c r="U771" s="28">
        <v>38.0</v>
      </c>
      <c r="V771" s="28">
        <v>29.0</v>
      </c>
      <c r="W771" s="28" t="s">
        <v>1173</v>
      </c>
      <c r="X771" s="28" t="s">
        <v>272</v>
      </c>
      <c r="Y771" s="28" t="s">
        <v>10201</v>
      </c>
      <c r="Z771" s="28" t="s">
        <v>5483</v>
      </c>
      <c r="AA771" s="28" t="s">
        <v>457</v>
      </c>
      <c r="AB771" s="28">
        <v>25.0</v>
      </c>
      <c r="AC771" s="28" t="s">
        <v>25</v>
      </c>
      <c r="AD771" s="23"/>
      <c r="AE771" s="28" t="s">
        <v>10</v>
      </c>
      <c r="AF771" s="23" t="str">
        <f>IFERROR(__xludf.DUMMYFUNCTION("TEXTJOIN("", "", TRUE,
  FILTER(Champions!C:C,
    ISNUMBER(SEARCH(C771, Champions!W:W))
  )
)"),"Ahmed Imam, Jennifer Rosen")</f>
        <v>Ahmed Imam, Jennifer Rosen</v>
      </c>
      <c r="AG771" s="23"/>
      <c r="AH771" s="23" t="str">
        <f>IFERROR(__xludf.DUMMYFUNCTION("IF(
ISNUMBER(MATCH(
C771,
IMPORTRANGE(""https://docs.google.com/spreadsheets/d/1yTh1ELC33JHYOeEdgIiEclxPRyh0zOKtlawDltfUay8"",""'Interns'!A:A""),
0
)),
""Outreach Conducted"",
"""")"),"")</f>
        <v/>
      </c>
      <c r="AI771" s="23"/>
      <c r="AJ771" s="23"/>
      <c r="AK771" s="23" t="str">
        <f>IFERROR(__xludf.DUMMYFUNCTION("XLOOKUP(C771, 
   IMPORTRANGE(""1RdEdgHYrZ33LJ7RUHj_h-qkAFL92bcVjtIdVa-UlsCw"", ""Interns!D:D""), 
   IMPORTRANGE(""1RdEdgHYrZ33LJ7RUHj_h-qkAFL92bcVjtIdVa-UlsCw"", ""Interns!M:M""), 
   ""Not Found"")"),"Contacted")</f>
        <v>Contacted</v>
      </c>
      <c r="AL771" s="23" t="str">
        <f>IFERROR(__xludf.DUMMYFUNCTION("XLOOKUP(C771, 
   IMPORTRANGE(""1RdEdgHYrZ33LJ7RUHj_h-qkAFL92bcVjtIdVa-UlsCw"", ""Interns!D:D""), 
   IMPORTRANGE(""1RdEdgHYrZ33LJ7RUHj_h-qkAFL92bcVjtIdVa-UlsCw"", ""Interns!N:N""), 
   ""Not Found"")"),"#Cheers4Careers")</f>
        <v>#Cheers4Careers</v>
      </c>
      <c r="AM771" s="23" t="str">
        <f>IFERROR(__xludf.DUMMYFUNCTION("XLOOKUP(C771, 
   IMPORTRANGE(""1RdEdgHYrZ33LJ7RUHj_h-qkAFL92bcVjtIdVa-UlsCw"", ""Interns!D:D""), 
   IMPORTRANGE(""1RdEdgHYrZ33LJ7RUHj_h-qkAFL92bcVjtIdVa-UlsCw"", ""Interns!O:O""), 
   ""Not Found"")"),"Hetal reached out by email 3/27")</f>
        <v>Hetal reached out by email 3/27</v>
      </c>
      <c r="AN771" s="23"/>
      <c r="AO771" s="23" t="s">
        <v>10202</v>
      </c>
      <c r="AP771" s="28" t="s">
        <v>5182</v>
      </c>
      <c r="AQ771" s="28" t="s">
        <v>7524</v>
      </c>
      <c r="AR771" s="23" t="s">
        <v>10203</v>
      </c>
      <c r="AS771" s="23"/>
      <c r="AT771" s="23"/>
      <c r="AU771" s="23"/>
      <c r="AV771" s="23"/>
    </row>
    <row r="772">
      <c r="A772" s="28" t="s">
        <v>5161</v>
      </c>
      <c r="B772" s="28" t="s">
        <v>5162</v>
      </c>
      <c r="C772" s="23" t="str">
        <f t="shared" si="1"/>
        <v>Carlos Salgado</v>
      </c>
      <c r="D772" s="28" t="s">
        <v>846</v>
      </c>
      <c r="E772" s="28" t="s">
        <v>10204</v>
      </c>
      <c r="F772" s="23">
        <f t="array" ref="F772">IFERROR(
    INDEX('Hub Interns 226'!A:A, MATCH(C772, 'Hub Interns 226'!B:B, 0)),"")</f>
        <v>384</v>
      </c>
      <c r="G772" s="23">
        <f t="array" ref="G772">IFERROR(
    INDEX('Hub Users 226'!A:A, MATCH(C772, 'Hub Users 226'!B:B, 0)),"")</f>
        <v>817</v>
      </c>
      <c r="H772" s="28">
        <v>831.0</v>
      </c>
      <c r="I772" s="28" t="s">
        <v>538</v>
      </c>
      <c r="J772" s="28" t="s">
        <v>9066</v>
      </c>
      <c r="K772" s="28" t="s">
        <v>5177</v>
      </c>
      <c r="L772" s="28" t="s">
        <v>5165</v>
      </c>
      <c r="M772" s="56" t="s">
        <v>10205</v>
      </c>
      <c r="N772" s="57">
        <v>44574.72777777778</v>
      </c>
      <c r="O772" s="58">
        <v>38654.0</v>
      </c>
      <c r="P772" s="28">
        <f t="shared" si="20"/>
        <v>20</v>
      </c>
      <c r="Q772" s="28" t="s">
        <v>240</v>
      </c>
      <c r="R772" s="28" t="s">
        <v>10206</v>
      </c>
      <c r="S772" s="28">
        <v>11.0</v>
      </c>
      <c r="T772" s="28">
        <v>17.0</v>
      </c>
      <c r="U772" s="28">
        <v>47.0</v>
      </c>
      <c r="V772" s="28">
        <v>47.0</v>
      </c>
      <c r="W772" s="28" t="s">
        <v>294</v>
      </c>
      <c r="X772" s="28" t="s">
        <v>272</v>
      </c>
      <c r="Y772" s="28" t="s">
        <v>10207</v>
      </c>
      <c r="Z772" s="28" t="s">
        <v>5386</v>
      </c>
      <c r="AA772" s="28" t="s">
        <v>1887</v>
      </c>
      <c r="AB772" s="28">
        <v>47.0</v>
      </c>
      <c r="AC772" s="28" t="s">
        <v>25</v>
      </c>
      <c r="AD772" s="23"/>
      <c r="AE772" s="28" t="s">
        <v>10</v>
      </c>
      <c r="AF772" s="23" t="str">
        <f>IFERROR(__xludf.DUMMYFUNCTION("TEXTJOIN("", "", TRUE,
  FILTER(Champions!C:C,
    ISNUMBER(SEARCH(C772, Champions!W:W))
  )
)"),"Vatsala Sarathy, Wendy Velasquez Ebanks")</f>
        <v>Vatsala Sarathy, Wendy Velasquez Ebanks</v>
      </c>
      <c r="AG772" s="23"/>
      <c r="AH772" s="23" t="str">
        <f>IFERROR(__xludf.DUMMYFUNCTION("IF(
ISNUMBER(MATCH(
C772,
IMPORTRANGE(""https://docs.google.com/spreadsheets/d/1yTh1ELC33JHYOeEdgIiEclxPRyh0zOKtlawDltfUay8"",""'Interns'!A:A""),
0
)),
""Outreach Conducted"",
"""")"),"")</f>
        <v/>
      </c>
      <c r="AI772" s="23"/>
      <c r="AJ772" s="23"/>
      <c r="AK772" s="23" t="str">
        <f>IFERROR(__xludf.DUMMYFUNCTION("XLOOKUP(C772, 
   IMPORTRANGE(""1RdEdgHYrZ33LJ7RUHj_h-qkAFL92bcVjtIdVa-UlsCw"", ""Interns!D:D""), 
   IMPORTRANGE(""1RdEdgHYrZ33LJ7RUHj_h-qkAFL92bcVjtIdVa-UlsCw"", ""Interns!M:M""), 
   ""Not Found"")"),"Contacted")</f>
        <v>Contacted</v>
      </c>
      <c r="AL772" s="23" t="str">
        <f>IFERROR(__xludf.DUMMYFUNCTION("XLOOKUP(C772, 
   IMPORTRANGE(""1RdEdgHYrZ33LJ7RUHj_h-qkAFL92bcVjtIdVa-UlsCw"", ""Interns!D:D""), 
   IMPORTRANGE(""1RdEdgHYrZ33LJ7RUHj_h-qkAFL92bcVjtIdVa-UlsCw"", ""Interns!N:N""), 
   ""Not Found"")"),"#Cheers4Careers")</f>
        <v>#Cheers4Careers</v>
      </c>
      <c r="AM772" s="23" t="str">
        <f>IFERROR(__xludf.DUMMYFUNCTION("XLOOKUP(C772, 
   IMPORTRANGE(""1RdEdgHYrZ33LJ7RUHj_h-qkAFL92bcVjtIdVa-UlsCw"", ""Interns!D:D""), 
   IMPORTRANGE(""1RdEdgHYrZ33LJ7RUHj_h-qkAFL92bcVjtIdVa-UlsCw"", ""Interns!O:O""), 
   ""Not Found"")"),"Hetal reached out by email 3/27 and Hetal reached out by Whatsapp on 3/28
Hetal reached out on 4/10 by whatsapp for April 18th #Cheers4Careers")</f>
        <v>Hetal reached out by email 3/27 and Hetal reached out by Whatsapp on 3/28
Hetal reached out on 4/10 by whatsapp for April 18th #Cheers4Careers</v>
      </c>
      <c r="AN772" s="23"/>
      <c r="AO772" s="23" t="s">
        <v>10208</v>
      </c>
      <c r="AP772" s="28" t="s">
        <v>5191</v>
      </c>
      <c r="AQ772" s="28" t="s">
        <v>10209</v>
      </c>
      <c r="AR772" s="23" t="s">
        <v>10210</v>
      </c>
      <c r="AS772" s="23"/>
      <c r="AT772" s="23"/>
      <c r="AU772" s="23"/>
      <c r="AV772" s="23"/>
    </row>
    <row r="773">
      <c r="A773" s="28" t="s">
        <v>5161</v>
      </c>
      <c r="B773" s="28" t="s">
        <v>5162</v>
      </c>
      <c r="C773" s="23" t="str">
        <f t="shared" si="1"/>
        <v>Anderson Berrios</v>
      </c>
      <c r="D773" s="28" t="s">
        <v>9749</v>
      </c>
      <c r="E773" s="28" t="s">
        <v>10211</v>
      </c>
      <c r="F773" s="23">
        <f t="array" ref="F773">IFERROR(
    INDEX('Hub Interns 226'!A:A, MATCH(C773, 'Hub Interns 226'!B:B, 0)),"")</f>
        <v>226</v>
      </c>
      <c r="G773" s="23">
        <f t="array" ref="G773">IFERROR(
    INDEX('Hub Users 226'!A:A, MATCH(C773, 'Hub Users 226'!B:B, 0)),"")</f>
        <v>659</v>
      </c>
      <c r="H773" s="28">
        <v>637.0</v>
      </c>
      <c r="I773" s="28" t="s">
        <v>260</v>
      </c>
      <c r="J773" s="28" t="s">
        <v>9066</v>
      </c>
      <c r="K773" s="28" t="s">
        <v>5177</v>
      </c>
      <c r="L773" s="28" t="s">
        <v>5165</v>
      </c>
      <c r="M773" s="56" t="s">
        <v>10212</v>
      </c>
      <c r="N773" s="59">
        <v>44498.49722222222</v>
      </c>
      <c r="O773" s="58">
        <v>38360.0</v>
      </c>
      <c r="P773" s="28">
        <f t="shared" si="20"/>
        <v>21</v>
      </c>
      <c r="Q773" s="28" t="s">
        <v>240</v>
      </c>
      <c r="R773" s="28" t="s">
        <v>10213</v>
      </c>
      <c r="S773" s="28">
        <v>6.0</v>
      </c>
      <c r="T773" s="28">
        <v>13.0</v>
      </c>
      <c r="U773" s="28">
        <v>39.0</v>
      </c>
      <c r="V773" s="28">
        <v>25.0</v>
      </c>
      <c r="W773" s="28" t="s">
        <v>1173</v>
      </c>
      <c r="X773" s="28" t="s">
        <v>272</v>
      </c>
      <c r="Y773" s="28" t="s">
        <v>10214</v>
      </c>
      <c r="Z773" s="28" t="s">
        <v>5189</v>
      </c>
      <c r="AA773" s="28" t="s">
        <v>619</v>
      </c>
      <c r="AB773" s="28">
        <v>20.0</v>
      </c>
      <c r="AC773" s="28" t="s">
        <v>25</v>
      </c>
      <c r="AD773" s="23"/>
      <c r="AE773" s="28" t="s">
        <v>10</v>
      </c>
      <c r="AF773" s="23" t="str">
        <f>IFERROR(__xludf.DUMMYFUNCTION("TEXTJOIN("", "", TRUE,
  FILTER(Champions!C:C,
    ISNUMBER(SEARCH(C773, Champions!W:W))
  )
)"),"Elizabeth Padilla-Crespo, Kenya Medina")</f>
        <v>Elizabeth Padilla-Crespo, Kenya Medina</v>
      </c>
      <c r="AG773" s="23"/>
      <c r="AH773" s="23" t="str">
        <f>IFERROR(__xludf.DUMMYFUNCTION("IF(
ISNUMBER(MATCH(
C773,
IMPORTRANGE(""https://docs.google.com/spreadsheets/d/1yTh1ELC33JHYOeEdgIiEclxPRyh0zOKtlawDltfUay8"",""'Interns'!A:A""),
0
)),
""Outreach Conducted"",
"""")"),"")</f>
        <v/>
      </c>
      <c r="AI773" s="23"/>
      <c r="AJ773" s="23"/>
      <c r="AK773" s="23" t="str">
        <f>IFERROR(__xludf.DUMMYFUNCTION("XLOOKUP(C773, 
   IMPORTRANGE(""1RdEdgHYrZ33LJ7RUHj_h-qkAFL92bcVjtIdVa-UlsCw"", ""Interns!D:D""), 
   IMPORTRANGE(""1RdEdgHYrZ33LJ7RUHj_h-qkAFL92bcVjtIdVa-UlsCw"", ""Interns!M:M""), 
   ""Not Found"")"),"Contacted")</f>
        <v>Contacted</v>
      </c>
      <c r="AL773" s="23" t="str">
        <f>IFERROR(__xludf.DUMMYFUNCTION("XLOOKUP(C773, 
   IMPORTRANGE(""1RdEdgHYrZ33LJ7RUHj_h-qkAFL92bcVjtIdVa-UlsCw"", ""Interns!D:D""), 
   IMPORTRANGE(""1RdEdgHYrZ33LJ7RUHj_h-qkAFL92bcVjtIdVa-UlsCw"", ""Interns!N:N""), 
   ""Not Found"")"),"#Cheers4Careers")</f>
        <v>#Cheers4Careers</v>
      </c>
      <c r="AM773" s="23" t="str">
        <f>IFERROR(__xludf.DUMMYFUNCTION("XLOOKUP(C773, 
   IMPORTRANGE(""1RdEdgHYrZ33LJ7RUHj_h-qkAFL92bcVjtIdVa-UlsCw"", ""Interns!D:D""), 
   IMPORTRANGE(""1RdEdgHYrZ33LJ7RUHj_h-qkAFL92bcVjtIdVa-UlsCw"", ""Interns!O:O""), 
   ""Not Found"")"),"Hetal reached out by email 3/27")</f>
        <v>Hetal reached out by email 3/27</v>
      </c>
      <c r="AN773" s="23"/>
      <c r="AO773" s="23" t="s">
        <v>10215</v>
      </c>
      <c r="AP773" s="28" t="s">
        <v>5182</v>
      </c>
      <c r="AQ773" s="28" t="s">
        <v>10212</v>
      </c>
      <c r="AR773" s="23" t="s">
        <v>10216</v>
      </c>
      <c r="AS773" s="23"/>
      <c r="AT773" s="23"/>
      <c r="AU773" s="23"/>
      <c r="AV773" s="23"/>
    </row>
    <row r="774">
      <c r="A774" s="28" t="s">
        <v>5161</v>
      </c>
      <c r="B774" s="28" t="s">
        <v>5162</v>
      </c>
      <c r="C774" s="23" t="str">
        <f t="shared" si="1"/>
        <v>Maria Ventura</v>
      </c>
      <c r="D774" s="28" t="s">
        <v>2308</v>
      </c>
      <c r="E774" s="28" t="s">
        <v>10217</v>
      </c>
      <c r="F774" s="23">
        <f t="array" ref="F774">IFERROR(
    INDEX('Hub Interns 226'!A:A, MATCH(C774, 'Hub Interns 226'!B:B, 0)),"")</f>
        <v>814</v>
      </c>
      <c r="G774" s="23">
        <f t="array" ref="G774">IFERROR(
    INDEX('Hub Users 226'!A:A, MATCH(C774, 'Hub Users 226'!B:B, 0)),"")</f>
        <v>1247</v>
      </c>
      <c r="H774" s="28">
        <v>603.0</v>
      </c>
      <c r="I774" s="28" t="s">
        <v>302</v>
      </c>
      <c r="J774" s="28" t="s">
        <v>9066</v>
      </c>
      <c r="K774" s="28" t="s">
        <v>5177</v>
      </c>
      <c r="L774" s="28" t="s">
        <v>5196</v>
      </c>
      <c r="M774" s="56" t="s">
        <v>10218</v>
      </c>
      <c r="N774" s="59">
        <v>44490.646527777775</v>
      </c>
      <c r="O774" s="58">
        <v>38202.0</v>
      </c>
      <c r="P774" s="28">
        <f t="shared" si="20"/>
        <v>21</v>
      </c>
      <c r="Q774" s="28" t="s">
        <v>10219</v>
      </c>
      <c r="R774" s="28" t="s">
        <v>10220</v>
      </c>
      <c r="S774" s="28"/>
      <c r="T774" s="28"/>
      <c r="U774" s="28"/>
      <c r="V774" s="28"/>
      <c r="W774" s="28" t="s">
        <v>1173</v>
      </c>
      <c r="X774" s="28" t="s">
        <v>272</v>
      </c>
      <c r="Y774" s="28" t="s">
        <v>10221</v>
      </c>
      <c r="Z774" s="28" t="s">
        <v>5189</v>
      </c>
      <c r="AA774" s="28" t="s">
        <v>619</v>
      </c>
      <c r="AB774" s="28">
        <v>20.0</v>
      </c>
      <c r="AC774" s="28" t="s">
        <v>25</v>
      </c>
      <c r="AD774" s="23"/>
      <c r="AE774" s="28" t="s">
        <v>10</v>
      </c>
      <c r="AF774" s="23" t="str">
        <f>IFERROR(__xludf.DUMMYFUNCTION("TEXTJOIN("", "", TRUE,
  FILTER(Champions!C:C,
    ISNUMBER(SEARCH(C774, Champions!W:W))
  )
)"),"John ?Nico? Johnson, Elizabeth Padilla-Crespo")</f>
        <v>John ?Nico? Johnson, Elizabeth Padilla-Crespo</v>
      </c>
      <c r="AG774" s="23"/>
      <c r="AH774" s="23" t="str">
        <f>IFERROR(__xludf.DUMMYFUNCTION("IF(
ISNUMBER(MATCH(
C774,
IMPORTRANGE(""https://docs.google.com/spreadsheets/d/1yTh1ELC33JHYOeEdgIiEclxPRyh0zOKtlawDltfUay8"",""'Interns'!A:A""),
0
)),
""Outreach Conducted"",
"""")"),"")</f>
        <v/>
      </c>
      <c r="AI774" s="23"/>
      <c r="AJ774" s="23"/>
      <c r="AK774" s="23" t="str">
        <f>IFERROR(__xludf.DUMMYFUNCTION("XLOOKUP(C774, 
   IMPORTRANGE(""1RdEdgHYrZ33LJ7RUHj_h-qkAFL92bcVjtIdVa-UlsCw"", ""Interns!D:D""), 
   IMPORTRANGE(""1RdEdgHYrZ33LJ7RUHj_h-qkAFL92bcVjtIdVa-UlsCw"", ""Interns!M:M""), 
   ""Not Found"")"),"Contacted")</f>
        <v>Contacted</v>
      </c>
      <c r="AL774" s="23" t="str">
        <f>IFERROR(__xludf.DUMMYFUNCTION("XLOOKUP(C774, 
   IMPORTRANGE(""1RdEdgHYrZ33LJ7RUHj_h-qkAFL92bcVjtIdVa-UlsCw"", ""Interns!D:D""), 
   IMPORTRANGE(""1RdEdgHYrZ33LJ7RUHj_h-qkAFL92bcVjtIdVa-UlsCw"", ""Interns!N:N""), 
   ""Not Found"")"),"#Cheers4Careers")</f>
        <v>#Cheers4Careers</v>
      </c>
      <c r="AM774" s="23" t="str">
        <f>IFERROR(__xludf.DUMMYFUNCTION("XLOOKUP(C774, 
   IMPORTRANGE(""1RdEdgHYrZ33LJ7RUHj_h-qkAFL92bcVjtIdVa-UlsCw"", ""Interns!D:D""), 
   IMPORTRANGE(""1RdEdgHYrZ33LJ7RUHj_h-qkAFL92bcVjtIdVa-UlsCw"", ""Interns!O:O""), 
   ""Not Found"")"),"Hetal reached out by email 3/27 followed by text")</f>
        <v>Hetal reached out by email 3/27 followed by text</v>
      </c>
      <c r="AN774" s="23"/>
      <c r="AO774" s="23" t="s">
        <v>10220</v>
      </c>
      <c r="AP774" s="28" t="s">
        <v>5240</v>
      </c>
      <c r="AQ774" s="28" t="s">
        <v>10218</v>
      </c>
      <c r="AR774" s="23" t="s">
        <v>10221</v>
      </c>
      <c r="AS774" s="23"/>
      <c r="AT774" s="23"/>
      <c r="AU774" s="23"/>
      <c r="AV774" s="23"/>
    </row>
    <row r="775">
      <c r="A775" s="28" t="s">
        <v>5202</v>
      </c>
      <c r="B775" s="28" t="s">
        <v>5162</v>
      </c>
      <c r="C775" s="23" t="str">
        <f t="shared" si="1"/>
        <v>Ben Junior Polynice</v>
      </c>
      <c r="D775" s="28" t="s">
        <v>10222</v>
      </c>
      <c r="E775" s="28" t="s">
        <v>10223</v>
      </c>
      <c r="F775" s="23">
        <f t="array" ref="F775">IFERROR(
    INDEX('Hub Interns 226'!A:A, MATCH(C775, 'Hub Interns 226'!B:B, 0)),"")</f>
        <v>996</v>
      </c>
      <c r="G775" s="23">
        <f t="array" ref="G775">IFERROR(
    INDEX('Hub Users 226'!A:A, MATCH(C775, 'Hub Users 226'!B:B, 0)),"")</f>
        <v>1429</v>
      </c>
      <c r="H775" s="28">
        <v>390.0</v>
      </c>
      <c r="I775" s="28" t="s">
        <v>290</v>
      </c>
      <c r="J775" s="28" t="s">
        <v>10019</v>
      </c>
      <c r="K775" s="28" t="s">
        <v>5177</v>
      </c>
      <c r="L775" s="28" t="s">
        <v>5165</v>
      </c>
      <c r="M775" s="56" t="s">
        <v>10224</v>
      </c>
      <c r="N775" s="57">
        <v>44263.68472222222</v>
      </c>
      <c r="O775" s="58">
        <v>37939.0</v>
      </c>
      <c r="P775" s="28">
        <f t="shared" si="20"/>
        <v>22</v>
      </c>
      <c r="Q775" s="28" t="s">
        <v>240</v>
      </c>
      <c r="R775" s="28" t="s">
        <v>10225</v>
      </c>
      <c r="S775" s="28">
        <v>5.0</v>
      </c>
      <c r="T775" s="28">
        <v>14.0</v>
      </c>
      <c r="U775" s="28">
        <v>29.0</v>
      </c>
      <c r="V775" s="28">
        <v>27.0</v>
      </c>
      <c r="W775" s="28" t="s">
        <v>1173</v>
      </c>
      <c r="X775" s="28" t="s">
        <v>272</v>
      </c>
      <c r="Y775" s="28" t="s">
        <v>10226</v>
      </c>
      <c r="Z775" s="28" t="s">
        <v>5332</v>
      </c>
      <c r="AA775" s="28" t="s">
        <v>421</v>
      </c>
      <c r="AB775" s="28">
        <v>31.0</v>
      </c>
      <c r="AC775" s="28" t="s">
        <v>25</v>
      </c>
      <c r="AD775" s="23"/>
      <c r="AE775" s="28" t="s">
        <v>8</v>
      </c>
      <c r="AF775" s="23" t="str">
        <f>IFERROR(__xludf.DUMMYFUNCTION("TEXTJOIN("", "", TRUE,
  FILTER(Champions!C:C,
    ISNUMBER(SEARCH(C775, Champions!W:W))
  )
)"),"Dominique Kagele")</f>
        <v>Dominique Kagele</v>
      </c>
      <c r="AG775" s="23"/>
      <c r="AH775" s="23" t="str">
        <f>IFERROR(__xludf.DUMMYFUNCTION("IF(
ISNUMBER(MATCH(
C775,
IMPORTRANGE(""https://docs.google.com/spreadsheets/d/1yTh1ELC33JHYOeEdgIiEclxPRyh0zOKtlawDltfUay8"",""'Interns'!A:A""),
0
)),
""Outreach Conducted"",
"""")"),"")</f>
        <v/>
      </c>
      <c r="AI775" s="23"/>
      <c r="AJ775" s="23"/>
      <c r="AK775" s="23" t="str">
        <f>IFERROR(__xludf.DUMMYFUNCTION("XLOOKUP(C775, 
   IMPORTRANGE(""1RdEdgHYrZ33LJ7RUHj_h-qkAFL92bcVjtIdVa-UlsCw"", ""Interns!D:D""), 
   IMPORTRANGE(""1RdEdgHYrZ33LJ7RUHj_h-qkAFL92bcVjtIdVa-UlsCw"", ""Interns!M:M""), 
   ""Not Found"")"),"")</f>
        <v/>
      </c>
      <c r="AL775" s="23" t="str">
        <f>IFERROR(__xludf.DUMMYFUNCTION("XLOOKUP(C775, 
   IMPORTRANGE(""1RdEdgHYrZ33LJ7RUHj_h-qkAFL92bcVjtIdVa-UlsCw"", ""Interns!D:D""), 
   IMPORTRANGE(""1RdEdgHYrZ33LJ7RUHj_h-qkAFL92bcVjtIdVa-UlsCw"", ""Interns!N:N""), 
   ""Not Found"")"),"")</f>
        <v/>
      </c>
      <c r="AM775" s="23" t="str">
        <f>IFERROR(__xludf.DUMMYFUNCTION("XLOOKUP(C775, 
   IMPORTRANGE(""1RdEdgHYrZ33LJ7RUHj_h-qkAFL92bcVjtIdVa-UlsCw"", ""Interns!D:D""), 
   IMPORTRANGE(""1RdEdgHYrZ33LJ7RUHj_h-qkAFL92bcVjtIdVa-UlsCw"", ""Interns!O:O""), 
   ""Not Found"")"),"")</f>
        <v/>
      </c>
      <c r="AN775" s="23"/>
      <c r="AO775" s="23" t="s">
        <v>10227</v>
      </c>
      <c r="AP775" s="28" t="s">
        <v>5191</v>
      </c>
      <c r="AQ775" s="28" t="s">
        <v>10228</v>
      </c>
      <c r="AR775" s="23" t="s">
        <v>10229</v>
      </c>
      <c r="AS775" s="23"/>
      <c r="AT775" s="23"/>
      <c r="AU775" s="23"/>
      <c r="AV775" s="23"/>
    </row>
    <row r="776">
      <c r="A776" s="28" t="s">
        <v>5161</v>
      </c>
      <c r="B776" s="28" t="s">
        <v>5162</v>
      </c>
      <c r="C776" s="23" t="str">
        <f t="shared" si="1"/>
        <v>Walter Ramos</v>
      </c>
      <c r="D776" s="28" t="s">
        <v>10230</v>
      </c>
      <c r="E776" s="28" t="s">
        <v>7937</v>
      </c>
      <c r="F776" s="23">
        <f t="array" ref="F776">IFERROR(
    INDEX('Hub Interns 226'!A:A, MATCH(C776, 'Hub Interns 226'!B:B, 0)),"")</f>
        <v>1014</v>
      </c>
      <c r="G776" s="23">
        <f t="array" ref="G776">IFERROR(
    INDEX('Hub Users 226'!A:A, MATCH(C776, 'Hub Users 226'!B:B, 0)),"")</f>
        <v>1447</v>
      </c>
      <c r="H776" s="28">
        <v>548.0</v>
      </c>
      <c r="I776" s="28" t="s">
        <v>1235</v>
      </c>
      <c r="J776" s="28" t="s">
        <v>9066</v>
      </c>
      <c r="K776" s="28" t="s">
        <v>5177</v>
      </c>
      <c r="L776" s="28" t="s">
        <v>5165</v>
      </c>
      <c r="M776" s="56" t="s">
        <v>10231</v>
      </c>
      <c r="N776" s="57">
        <v>44477.55138888889</v>
      </c>
      <c r="O776" s="58">
        <v>38184.0</v>
      </c>
      <c r="P776" s="28">
        <f t="shared" si="20"/>
        <v>21</v>
      </c>
      <c r="Q776" s="28" t="s">
        <v>240</v>
      </c>
      <c r="R776" s="28" t="s">
        <v>10232</v>
      </c>
      <c r="S776" s="28">
        <v>14.0</v>
      </c>
      <c r="T776" s="28">
        <v>11.0</v>
      </c>
      <c r="U776" s="28">
        <v>27.0</v>
      </c>
      <c r="V776" s="28">
        <v>19.0</v>
      </c>
      <c r="W776" s="28" t="s">
        <v>1173</v>
      </c>
      <c r="X776" s="28" t="s">
        <v>272</v>
      </c>
      <c r="Y776" s="28" t="s">
        <v>10233</v>
      </c>
      <c r="Z776" s="28" t="s">
        <v>5189</v>
      </c>
      <c r="AA776" s="28" t="s">
        <v>619</v>
      </c>
      <c r="AB776" s="28">
        <v>20.0</v>
      </c>
      <c r="AC776" s="28" t="s">
        <v>25</v>
      </c>
      <c r="AD776" s="23"/>
      <c r="AE776" s="28" t="s">
        <v>10</v>
      </c>
      <c r="AF776" s="23" t="str">
        <f>IFERROR(__xludf.DUMMYFUNCTION("TEXTJOIN("", "", TRUE,
  FILTER(Champions!C:C,
    ISNUMBER(SEARCH(C776, Champions!W:W))
  )
)"),"Christian Espinoza, Sunaina Mehta")</f>
        <v>Christian Espinoza, Sunaina Mehta</v>
      </c>
      <c r="AG776" s="23"/>
      <c r="AH776" s="23" t="str">
        <f>IFERROR(__xludf.DUMMYFUNCTION("IF(
ISNUMBER(MATCH(
C776,
IMPORTRANGE(""https://docs.google.com/spreadsheets/d/1yTh1ELC33JHYOeEdgIiEclxPRyh0zOKtlawDltfUay8"",""'Interns'!A:A""),
0
)),
""Outreach Conducted"",
"""")"),"")</f>
        <v/>
      </c>
      <c r="AI776" s="23"/>
      <c r="AJ776" s="23"/>
      <c r="AK776" s="23" t="str">
        <f>IFERROR(__xludf.DUMMYFUNCTION("XLOOKUP(C776, 
   IMPORTRANGE(""1RdEdgHYrZ33LJ7RUHj_h-qkAFL92bcVjtIdVa-UlsCw"", ""Interns!D:D""), 
   IMPORTRANGE(""1RdEdgHYrZ33LJ7RUHj_h-qkAFL92bcVjtIdVa-UlsCw"", ""Interns!M:M""), 
   ""Not Found"")"),"Contacted")</f>
        <v>Contacted</v>
      </c>
      <c r="AL776" s="23" t="str">
        <f>IFERROR(__xludf.DUMMYFUNCTION("XLOOKUP(C776, 
   IMPORTRANGE(""1RdEdgHYrZ33LJ7RUHj_h-qkAFL92bcVjtIdVa-UlsCw"", ""Interns!D:D""), 
   IMPORTRANGE(""1RdEdgHYrZ33LJ7RUHj_h-qkAFL92bcVjtIdVa-UlsCw"", ""Interns!N:N""), 
   ""Not Found"")"),"#Cheers4Careers")</f>
        <v>#Cheers4Careers</v>
      </c>
      <c r="AM776" s="23" t="str">
        <f>IFERROR(__xludf.DUMMYFUNCTION("XLOOKUP(C776, 
   IMPORTRANGE(""1RdEdgHYrZ33LJ7RUHj_h-qkAFL92bcVjtIdVa-UlsCw"", ""Interns!D:D""), 
   IMPORTRANGE(""1RdEdgHYrZ33LJ7RUHj_h-qkAFL92bcVjtIdVa-UlsCw"", ""Interns!O:O""), 
   ""Not Found"")"),"Hetal reached out by email 3/27 followed by text")</f>
        <v>Hetal reached out by email 3/27 followed by text</v>
      </c>
      <c r="AN776" s="23"/>
      <c r="AO776" s="23" t="s">
        <v>10234</v>
      </c>
      <c r="AP776" s="28" t="s">
        <v>5191</v>
      </c>
      <c r="AQ776" s="28" t="s">
        <v>10231</v>
      </c>
      <c r="AR776" s="23" t="s">
        <v>10235</v>
      </c>
      <c r="AS776" s="23"/>
      <c r="AT776" s="23"/>
      <c r="AU776" s="23"/>
      <c r="AV776" s="23"/>
    </row>
    <row r="777">
      <c r="A777" s="28" t="s">
        <v>5161</v>
      </c>
      <c r="B777" s="28" t="s">
        <v>5162</v>
      </c>
      <c r="C777" s="23" t="str">
        <f t="shared" si="1"/>
        <v>Lucas Rocano</v>
      </c>
      <c r="D777" s="28" t="s">
        <v>10236</v>
      </c>
      <c r="E777" s="28" t="s">
        <v>10237</v>
      </c>
      <c r="F777" s="23">
        <f t="array" ref="F777">IFERROR(
    INDEX('Hub Interns 226'!A:A, MATCH(C777, 'Hub Interns 226'!B:B, 0)),"")</f>
        <v>1760</v>
      </c>
      <c r="G777" s="23">
        <f t="array" ref="G777">IFERROR(
    INDEX('Hub Users 226'!A:A, MATCH(C777, 'Hub Users 226'!B:B, 0)),"")</f>
        <v>2590</v>
      </c>
      <c r="H777" s="28">
        <v>1735.0</v>
      </c>
      <c r="I777" s="28" t="s">
        <v>269</v>
      </c>
      <c r="J777" s="28" t="s">
        <v>2388</v>
      </c>
      <c r="K777" s="28" t="s">
        <v>5463</v>
      </c>
      <c r="L777" s="28" t="s">
        <v>5165</v>
      </c>
      <c r="M777" s="56" t="s">
        <v>10238</v>
      </c>
      <c r="N777" s="57">
        <v>45266.59027777778</v>
      </c>
      <c r="O777" s="58">
        <v>40327.0</v>
      </c>
      <c r="P777" s="28">
        <f t="shared" si="20"/>
        <v>15</v>
      </c>
      <c r="Q777" s="28" t="s">
        <v>240</v>
      </c>
      <c r="R777" s="28" t="s">
        <v>10239</v>
      </c>
      <c r="S777" s="28"/>
      <c r="T777" s="28"/>
      <c r="U777" s="28"/>
      <c r="V777" s="28"/>
      <c r="W777" s="23"/>
      <c r="X777" s="23"/>
      <c r="Y777" s="28" t="s">
        <v>10240</v>
      </c>
      <c r="Z777" s="28" t="s">
        <v>5352</v>
      </c>
      <c r="AA777" s="28" t="s">
        <v>5287</v>
      </c>
      <c r="AB777" s="28">
        <v>26.0</v>
      </c>
      <c r="AC777" s="28" t="s">
        <v>27</v>
      </c>
      <c r="AD777" s="23"/>
      <c r="AE777" s="28" t="s">
        <v>18</v>
      </c>
      <c r="AF777" s="23"/>
      <c r="AG777" s="23"/>
      <c r="AH777" s="23" t="str">
        <f>IFERROR(__xludf.DUMMYFUNCTION("IF(
ISNUMBER(MATCH(
C777,
IMPORTRANGE(""https://docs.google.com/spreadsheets/d/1yTh1ELC33JHYOeEdgIiEclxPRyh0zOKtlawDltfUay8"",""'Interns'!A:A""),
0
)),
""Outreach Conducted"",
"""")"),"")</f>
        <v/>
      </c>
      <c r="AI777" s="23"/>
      <c r="AJ777" s="23"/>
      <c r="AK777" s="23" t="str">
        <f>IFERROR(__xludf.DUMMYFUNCTION("XLOOKUP(C777, 
   IMPORTRANGE(""1RdEdgHYrZ33LJ7RUHj_h-qkAFL92bcVjtIdVa-UlsCw"", ""Interns!D:D""), 
   IMPORTRANGE(""1RdEdgHYrZ33LJ7RUHj_h-qkAFL92bcVjtIdVa-UlsCw"", ""Interns!M:M""), 
   ""Not Found"")"),"Contacted")</f>
        <v>Contacted</v>
      </c>
      <c r="AL777" s="23" t="str">
        <f>IFERROR(__xludf.DUMMYFUNCTION("XLOOKUP(C777, 
   IMPORTRANGE(""1RdEdgHYrZ33LJ7RUHj_h-qkAFL92bcVjtIdVa-UlsCw"", ""Interns!D:D""), 
   IMPORTRANGE(""1RdEdgHYrZ33LJ7RUHj_h-qkAFL92bcVjtIdVa-UlsCw"", ""Interns!N:N""), 
   ""Not Found"")"),"#Cheers4Careers")</f>
        <v>#Cheers4Careers</v>
      </c>
      <c r="AM777" s="23" t="str">
        <f>IFERROR(__xludf.DUMMYFUNCTION("XLOOKUP(C777, 
   IMPORTRANGE(""1RdEdgHYrZ33LJ7RUHj_h-qkAFL92bcVjtIdVa-UlsCw"", ""Interns!D:D""), 
   IMPORTRANGE(""1RdEdgHYrZ33LJ7RUHj_h-qkAFL92bcVjtIdVa-UlsCw"", ""Interns!O:O""), 
   ""Not Found"")"),"Hetal reached out by email 3/27")</f>
        <v>Hetal reached out by email 3/27</v>
      </c>
      <c r="AN777" s="23"/>
      <c r="AO777" s="23" t="s">
        <v>10241</v>
      </c>
      <c r="AP777" s="28" t="s">
        <v>5182</v>
      </c>
      <c r="AQ777" s="28"/>
      <c r="AR777" s="23"/>
      <c r="AS777" s="23"/>
      <c r="AT777" s="23"/>
      <c r="AU777" s="23"/>
      <c r="AV777" s="23"/>
    </row>
    <row r="778">
      <c r="A778" s="28" t="s">
        <v>5202</v>
      </c>
      <c r="B778" s="28" t="s">
        <v>5162</v>
      </c>
      <c r="C778" s="23" t="str">
        <f t="shared" si="1"/>
        <v>Josie Joseph</v>
      </c>
      <c r="D778" s="28" t="s">
        <v>10242</v>
      </c>
      <c r="E778" s="28" t="s">
        <v>363</v>
      </c>
      <c r="F778" s="23">
        <f t="array" ref="F778">IFERROR(
    INDEX('Hub Interns 226'!A:A, MATCH(C778, 'Hub Interns 226'!B:B, 0)),"")</f>
        <v>633</v>
      </c>
      <c r="G778" s="23">
        <f t="array" ref="G778">IFERROR(
    INDEX('Hub Users 226'!A:A, MATCH(C778, 'Hub Users 226'!B:B, 0)),"")</f>
        <v>1066</v>
      </c>
      <c r="H778" s="28">
        <v>252.0</v>
      </c>
      <c r="I778" s="28" t="s">
        <v>260</v>
      </c>
      <c r="J778" s="28" t="s">
        <v>10019</v>
      </c>
      <c r="K778" s="28" t="s">
        <v>5177</v>
      </c>
      <c r="L778" s="28" t="s">
        <v>5196</v>
      </c>
      <c r="M778" s="56" t="s">
        <v>10243</v>
      </c>
      <c r="N778" s="59">
        <v>44151.59097222222</v>
      </c>
      <c r="O778" s="58">
        <v>37225.0</v>
      </c>
      <c r="P778" s="28">
        <f t="shared" si="20"/>
        <v>24</v>
      </c>
      <c r="Q778" s="28" t="s">
        <v>10244</v>
      </c>
      <c r="R778" s="28" t="s">
        <v>10245</v>
      </c>
      <c r="S778" s="28"/>
      <c r="T778" s="28"/>
      <c r="U778" s="28"/>
      <c r="V778" s="28"/>
      <c r="W778" s="28" t="s">
        <v>380</v>
      </c>
      <c r="X778" s="28" t="s">
        <v>381</v>
      </c>
      <c r="Y778" s="28">
        <v>2.152010704E9</v>
      </c>
      <c r="Z778" s="28" t="s">
        <v>5272</v>
      </c>
      <c r="AA778" s="28" t="s">
        <v>629</v>
      </c>
      <c r="AB778" s="28" t="s">
        <v>5221</v>
      </c>
      <c r="AC778" s="28" t="s">
        <v>25</v>
      </c>
      <c r="AD778" s="23"/>
      <c r="AE778" s="28" t="s">
        <v>8</v>
      </c>
      <c r="AF778" s="23" t="str">
        <f>IFERROR(__xludf.DUMMYFUNCTION("TEXTJOIN("", "", TRUE,
  FILTER(Champions!C:C,
    ISNUMBER(SEARCH(C778, Champions!W:W))
  )
)"),"Leanna Kieran Carroll, Soraya Senosier, Bertha deLanda")</f>
        <v>Leanna Kieran Carroll, Soraya Senosier, Bertha deLanda</v>
      </c>
      <c r="AG778" s="23"/>
      <c r="AH778" s="23" t="str">
        <f>IFERROR(__xludf.DUMMYFUNCTION("IF(
ISNUMBER(MATCH(
C778,
IMPORTRANGE(""https://docs.google.com/spreadsheets/d/1yTh1ELC33JHYOeEdgIiEclxPRyh0zOKtlawDltfUay8"",""'Interns'!A:A""),
0
)),
""Outreach Conducted"",
"""")"),"")</f>
        <v/>
      </c>
      <c r="AI778" s="23"/>
      <c r="AJ778" s="23"/>
      <c r="AK778" s="23" t="str">
        <f>IFERROR(__xludf.DUMMYFUNCTION("XLOOKUP(C778, 
   IMPORTRANGE(""1RdEdgHYrZ33LJ7RUHj_h-qkAFL92bcVjtIdVa-UlsCw"", ""Interns!D:D""), 
   IMPORTRANGE(""1RdEdgHYrZ33LJ7RUHj_h-qkAFL92bcVjtIdVa-UlsCw"", ""Interns!M:M""), 
   ""Not Found"")"),"")</f>
        <v/>
      </c>
      <c r="AL778" s="23" t="str">
        <f>IFERROR(__xludf.DUMMYFUNCTION("XLOOKUP(C778, 
   IMPORTRANGE(""1RdEdgHYrZ33LJ7RUHj_h-qkAFL92bcVjtIdVa-UlsCw"", ""Interns!D:D""), 
   IMPORTRANGE(""1RdEdgHYrZ33LJ7RUHj_h-qkAFL92bcVjtIdVa-UlsCw"", ""Interns!N:N""), 
   ""Not Found"")"),"")</f>
        <v/>
      </c>
      <c r="AM778" s="23" t="str">
        <f>IFERROR(__xludf.DUMMYFUNCTION("XLOOKUP(C778, 
   IMPORTRANGE(""1RdEdgHYrZ33LJ7RUHj_h-qkAFL92bcVjtIdVa-UlsCw"", ""Interns!D:D""), 
   IMPORTRANGE(""1RdEdgHYrZ33LJ7RUHj_h-qkAFL92bcVjtIdVa-UlsCw"", ""Interns!O:O""), 
   ""Not Found"")"),"")</f>
        <v/>
      </c>
      <c r="AN778" s="23"/>
      <c r="AO778" s="23" t="s">
        <v>10246</v>
      </c>
      <c r="AP778" s="28" t="s">
        <v>5989</v>
      </c>
      <c r="AQ778" s="28" t="s">
        <v>10247</v>
      </c>
      <c r="AR778" s="23">
        <v>2.678473509E9</v>
      </c>
      <c r="AS778" s="23"/>
      <c r="AT778" s="23"/>
      <c r="AU778" s="23"/>
      <c r="AV778" s="23"/>
    </row>
    <row r="779">
      <c r="A779" s="28" t="s">
        <v>5161</v>
      </c>
      <c r="B779" s="28" t="s">
        <v>5162</v>
      </c>
      <c r="C779" s="23" t="str">
        <f t="shared" si="1"/>
        <v>Ashley Infante</v>
      </c>
      <c r="D779" s="28" t="s">
        <v>4281</v>
      </c>
      <c r="E779" s="28" t="s">
        <v>8554</v>
      </c>
      <c r="F779" s="23">
        <f t="array" ref="F779">IFERROR(
    INDEX('Hub Interns 226'!A:A, MATCH(C779, 'Hub Interns 226'!B:B, 0)),"")</f>
        <v>1758</v>
      </c>
      <c r="G779" s="23">
        <f t="array" ref="G779">IFERROR(
    INDEX('Hub Users 226'!A:A, MATCH(C779, 'Hub Users 226'!B:B, 0)),"")</f>
        <v>2588</v>
      </c>
      <c r="H779" s="28">
        <v>1737.0</v>
      </c>
      <c r="I779" s="28" t="s">
        <v>260</v>
      </c>
      <c r="J779" s="28" t="s">
        <v>6002</v>
      </c>
      <c r="K779" s="28" t="s">
        <v>5463</v>
      </c>
      <c r="L779" s="28" t="s">
        <v>5196</v>
      </c>
      <c r="M779" s="56" t="s">
        <v>10248</v>
      </c>
      <c r="N779" s="57">
        <v>45266.59166666667</v>
      </c>
      <c r="O779" s="58">
        <v>40322.0</v>
      </c>
      <c r="P779" s="28">
        <f t="shared" si="20"/>
        <v>15</v>
      </c>
      <c r="Q779" s="28" t="s">
        <v>240</v>
      </c>
      <c r="R779" s="28" t="s">
        <v>10249</v>
      </c>
      <c r="S779" s="28">
        <v>7.0</v>
      </c>
      <c r="T779" s="28">
        <v>12.0</v>
      </c>
      <c r="U779" s="28">
        <v>37.0</v>
      </c>
      <c r="V779" s="28">
        <v>26.0</v>
      </c>
      <c r="W779" s="28" t="s">
        <v>1173</v>
      </c>
      <c r="X779" s="28" t="s">
        <v>272</v>
      </c>
      <c r="Y779" s="28" t="s">
        <v>10250</v>
      </c>
      <c r="Z779" s="28" t="s">
        <v>5352</v>
      </c>
      <c r="AA779" s="28" t="s">
        <v>5287</v>
      </c>
      <c r="AB779" s="28">
        <v>26.0</v>
      </c>
      <c r="AC779" s="28" t="s">
        <v>27</v>
      </c>
      <c r="AD779" s="23"/>
      <c r="AE779" s="28" t="s">
        <v>18</v>
      </c>
      <c r="AF779" s="23"/>
      <c r="AG779" s="23"/>
      <c r="AH779" s="23" t="str">
        <f>IFERROR(__xludf.DUMMYFUNCTION("IF(
ISNUMBER(MATCH(
C779,
IMPORTRANGE(""https://docs.google.com/spreadsheets/d/1yTh1ELC33JHYOeEdgIiEclxPRyh0zOKtlawDltfUay8"",""'Interns'!A:A""),
0
)),
""Outreach Conducted"",
"""")"),"")</f>
        <v/>
      </c>
      <c r="AI779" s="23"/>
      <c r="AJ779" s="23"/>
      <c r="AK779" s="23" t="str">
        <f>IFERROR(__xludf.DUMMYFUNCTION("XLOOKUP(C779, 
   IMPORTRANGE(""1RdEdgHYrZ33LJ7RUHj_h-qkAFL92bcVjtIdVa-UlsCw"", ""Interns!D:D""), 
   IMPORTRANGE(""1RdEdgHYrZ33LJ7RUHj_h-qkAFL92bcVjtIdVa-UlsCw"", ""Interns!M:M""), 
   ""Not Found"")"),"Contacted")</f>
        <v>Contacted</v>
      </c>
      <c r="AL779" s="23" t="str">
        <f>IFERROR(__xludf.DUMMYFUNCTION("XLOOKUP(C779, 
   IMPORTRANGE(""1RdEdgHYrZ33LJ7RUHj_h-qkAFL92bcVjtIdVa-UlsCw"", ""Interns!D:D""), 
   IMPORTRANGE(""1RdEdgHYrZ33LJ7RUHj_h-qkAFL92bcVjtIdVa-UlsCw"", ""Interns!N:N""), 
   ""Not Found"")"),"#Cheers4Careers")</f>
        <v>#Cheers4Careers</v>
      </c>
      <c r="AM779" s="23" t="str">
        <f>IFERROR(__xludf.DUMMYFUNCTION("XLOOKUP(C779, 
   IMPORTRANGE(""1RdEdgHYrZ33LJ7RUHj_h-qkAFL92bcVjtIdVa-UlsCw"", ""Interns!D:D""), 
   IMPORTRANGE(""1RdEdgHYrZ33LJ7RUHj_h-qkAFL92bcVjtIdVa-UlsCw"", ""Interns!O:O""), 
   ""Not Found"")"),"Hetal reached out by email 3/27")</f>
        <v>Hetal reached out by email 3/27</v>
      </c>
      <c r="AN779" s="23"/>
      <c r="AO779" s="23" t="s">
        <v>10251</v>
      </c>
      <c r="AP779" s="28" t="s">
        <v>5182</v>
      </c>
      <c r="AQ779" s="28"/>
      <c r="AR779" s="23"/>
      <c r="AS779" s="23"/>
      <c r="AT779" s="23"/>
      <c r="AU779" s="23"/>
      <c r="AV779" s="23"/>
    </row>
    <row r="780">
      <c r="A780" s="28" t="s">
        <v>5202</v>
      </c>
      <c r="B780" s="28" t="s">
        <v>5162</v>
      </c>
      <c r="C780" s="23" t="str">
        <f t="shared" si="1"/>
        <v>Alisha Guillaume</v>
      </c>
      <c r="D780" s="28" t="s">
        <v>7936</v>
      </c>
      <c r="E780" s="28" t="s">
        <v>10252</v>
      </c>
      <c r="F780" s="23">
        <f t="array" ref="F780">IFERROR(
    INDEX('Hub Interns 226'!A:A, MATCH(C780, 'Hub Interns 226'!B:B, 0)),"")</f>
        <v>192</v>
      </c>
      <c r="G780" s="23">
        <f t="array" ref="G780">IFERROR(
    INDEX('Hub Users 226'!A:A, MATCH(C780, 'Hub Users 226'!B:B, 0)),"")</f>
        <v>625</v>
      </c>
      <c r="H780" s="28">
        <v>657.0</v>
      </c>
      <c r="I780" s="28" t="s">
        <v>290</v>
      </c>
      <c r="J780" s="28" t="s">
        <v>10019</v>
      </c>
      <c r="K780" s="28" t="s">
        <v>5177</v>
      </c>
      <c r="L780" s="28" t="s">
        <v>5196</v>
      </c>
      <c r="M780" s="56" t="s">
        <v>10253</v>
      </c>
      <c r="N780" s="59">
        <v>44540.478472222225</v>
      </c>
      <c r="O780" s="58">
        <v>38240.0</v>
      </c>
      <c r="P780" s="28">
        <f t="shared" si="20"/>
        <v>21</v>
      </c>
      <c r="Q780" s="28" t="s">
        <v>10254</v>
      </c>
      <c r="R780" s="28" t="s">
        <v>10255</v>
      </c>
      <c r="S780" s="28"/>
      <c r="T780" s="28"/>
      <c r="U780" s="28"/>
      <c r="V780" s="28"/>
      <c r="W780" s="28" t="s">
        <v>380</v>
      </c>
      <c r="X780" s="28" t="s">
        <v>381</v>
      </c>
      <c r="Y780" s="28" t="s">
        <v>10256</v>
      </c>
      <c r="Z780" s="28" t="s">
        <v>5272</v>
      </c>
      <c r="AA780" s="28" t="s">
        <v>629</v>
      </c>
      <c r="AB780" s="28" t="s">
        <v>5221</v>
      </c>
      <c r="AC780" s="28" t="s">
        <v>25</v>
      </c>
      <c r="AD780" s="28" t="s">
        <v>101</v>
      </c>
      <c r="AE780" s="28" t="s">
        <v>10</v>
      </c>
      <c r="AF780" s="23" t="str">
        <f>IFERROR(__xludf.DUMMYFUNCTION("TEXTJOIN("", "", TRUE,
  FILTER(Champions!C:C,
    ISNUMBER(SEARCH(C780, Champions!W:W))
  )
)"),"Joan Marie Cadenhead, Loic Uriel Nguoghia")</f>
        <v>Joan Marie Cadenhead, Loic Uriel Nguoghia</v>
      </c>
      <c r="AG780" s="23"/>
      <c r="AH780" s="23" t="str">
        <f>IFERROR(__xludf.DUMMYFUNCTION("IF(
ISNUMBER(MATCH(
C780,
IMPORTRANGE(""https://docs.google.com/spreadsheets/d/1yTh1ELC33JHYOeEdgIiEclxPRyh0zOKtlawDltfUay8"",""'Interns'!A:A""),
0
)),
""Outreach Conducted"",
"""")"),"")</f>
        <v/>
      </c>
      <c r="AI780" s="23"/>
      <c r="AJ780" s="23"/>
      <c r="AK780" s="23" t="str">
        <f>IFERROR(__xludf.DUMMYFUNCTION("XLOOKUP(C780, 
   IMPORTRANGE(""1RdEdgHYrZ33LJ7RUHj_h-qkAFL92bcVjtIdVa-UlsCw"", ""Interns!D:D""), 
   IMPORTRANGE(""1RdEdgHYrZ33LJ7RUHj_h-qkAFL92bcVjtIdVa-UlsCw"", ""Interns!M:M""), 
   ""Not Found"")"),"")</f>
        <v/>
      </c>
      <c r="AL780" s="23" t="str">
        <f>IFERROR(__xludf.DUMMYFUNCTION("XLOOKUP(C780, 
   IMPORTRANGE(""1RdEdgHYrZ33LJ7RUHj_h-qkAFL92bcVjtIdVa-UlsCw"", ""Interns!D:D""), 
   IMPORTRANGE(""1RdEdgHYrZ33LJ7RUHj_h-qkAFL92bcVjtIdVa-UlsCw"", ""Interns!N:N""), 
   ""Not Found"")"),"")</f>
        <v/>
      </c>
      <c r="AM780" s="23" t="str">
        <f>IFERROR(__xludf.DUMMYFUNCTION("XLOOKUP(C780, 
   IMPORTRANGE(""1RdEdgHYrZ33LJ7RUHj_h-qkAFL92bcVjtIdVa-UlsCw"", ""Interns!D:D""), 
   IMPORTRANGE(""1RdEdgHYrZ33LJ7RUHj_h-qkAFL92bcVjtIdVa-UlsCw"", ""Interns!O:O""), 
   ""Not Found"")"),"")</f>
        <v/>
      </c>
      <c r="AN780" s="23"/>
      <c r="AO780" s="23" t="s">
        <v>10257</v>
      </c>
      <c r="AP780" s="28" t="s">
        <v>5182</v>
      </c>
      <c r="AQ780" s="28" t="s">
        <v>10258</v>
      </c>
      <c r="AR780" s="23" t="s">
        <v>10259</v>
      </c>
      <c r="AS780" s="23"/>
      <c r="AT780" s="23"/>
      <c r="AU780" s="23"/>
      <c r="AV780" s="23"/>
    </row>
    <row r="781">
      <c r="A781" s="28" t="s">
        <v>5161</v>
      </c>
      <c r="B781" s="28" t="s">
        <v>5162</v>
      </c>
      <c r="C781" s="23" t="str">
        <f t="shared" si="1"/>
        <v>Yasmin Abdulla</v>
      </c>
      <c r="D781" s="28" t="s">
        <v>10260</v>
      </c>
      <c r="E781" s="28" t="s">
        <v>10261</v>
      </c>
      <c r="F781" s="23">
        <f t="array" ref="F781">IFERROR(
    INDEX('Hub Interns 226'!A:A, MATCH(C781, 'Hub Interns 226'!B:B, 0)),"")</f>
        <v>1223</v>
      </c>
      <c r="G781" s="23">
        <f t="array" ref="G781">IFERROR(
    INDEX('Hub Users 226'!A:A, MATCH(C781, 'Hub Users 226'!B:B, 0)),"")</f>
        <v>1656</v>
      </c>
      <c r="H781" s="28">
        <v>1334.0</v>
      </c>
      <c r="I781" s="28" t="s">
        <v>239</v>
      </c>
      <c r="J781" s="28" t="s">
        <v>9487</v>
      </c>
      <c r="K781" s="28" t="s">
        <v>5186</v>
      </c>
      <c r="L781" s="28" t="s">
        <v>5196</v>
      </c>
      <c r="M781" s="56" t="s">
        <v>10262</v>
      </c>
      <c r="N781" s="59">
        <v>44854.68819444445</v>
      </c>
      <c r="O781" s="58">
        <v>38535.0</v>
      </c>
      <c r="P781" s="28">
        <f t="shared" si="20"/>
        <v>20</v>
      </c>
      <c r="Q781" s="28" t="s">
        <v>10263</v>
      </c>
      <c r="R781" s="28" t="s">
        <v>10264</v>
      </c>
      <c r="S781" s="28">
        <v>15.0</v>
      </c>
      <c r="T781" s="28">
        <v>33.0</v>
      </c>
      <c r="U781" s="28">
        <v>81.0</v>
      </c>
      <c r="V781" s="28">
        <v>11.0</v>
      </c>
      <c r="W781" s="28" t="s">
        <v>859</v>
      </c>
      <c r="X781" s="28" t="s">
        <v>272</v>
      </c>
      <c r="Y781" s="23"/>
      <c r="Z781" s="28" t="s">
        <v>5435</v>
      </c>
      <c r="AA781" s="28" t="s">
        <v>5436</v>
      </c>
      <c r="AB781" s="28">
        <v>10.0</v>
      </c>
      <c r="AC781" s="28" t="s">
        <v>25</v>
      </c>
      <c r="AD781" s="23"/>
      <c r="AE781" s="28" t="s">
        <v>15</v>
      </c>
      <c r="AF781" s="23" t="str">
        <f>IFERROR(__xludf.DUMMYFUNCTION("TEXTJOIN("", "", TRUE,
  FILTER(Champions!C:C,
    ISNUMBER(SEARCH(C781, Champions!W:W))
  )
)"),"Joseph Temowo, Neeti Nayak")</f>
        <v>Joseph Temowo, Neeti Nayak</v>
      </c>
      <c r="AG781" s="23"/>
      <c r="AH781" s="23" t="str">
        <f>IFERROR(__xludf.DUMMYFUNCTION("IF(
ISNUMBER(MATCH(
C781,
IMPORTRANGE(""https://docs.google.com/spreadsheets/d/1yTh1ELC33JHYOeEdgIiEclxPRyh0zOKtlawDltfUay8"",""'Interns'!A:A""),
0
)),
""Outreach Conducted"",
"""")"),"")</f>
        <v/>
      </c>
      <c r="AI781" s="23"/>
      <c r="AJ781" s="23"/>
      <c r="AK781" s="23" t="str">
        <f>IFERROR(__xludf.DUMMYFUNCTION("XLOOKUP(C781, 
   IMPORTRANGE(""1RdEdgHYrZ33LJ7RUHj_h-qkAFL92bcVjtIdVa-UlsCw"", ""Interns!D:D""), 
   IMPORTRANGE(""1RdEdgHYrZ33LJ7RUHj_h-qkAFL92bcVjtIdVa-UlsCw"", ""Interns!M:M""), 
   ""Not Found"")"),"Contacted")</f>
        <v>Contacted</v>
      </c>
      <c r="AL781" s="23" t="str">
        <f>IFERROR(__xludf.DUMMYFUNCTION("XLOOKUP(C781, 
   IMPORTRANGE(""1RdEdgHYrZ33LJ7RUHj_h-qkAFL92bcVjtIdVa-UlsCw"", ""Interns!D:D""), 
   IMPORTRANGE(""1RdEdgHYrZ33LJ7RUHj_h-qkAFL92bcVjtIdVa-UlsCw"", ""Interns!N:N""), 
   ""Not Found"")"),"#Cheers4Careers")</f>
        <v>#Cheers4Careers</v>
      </c>
      <c r="AM781" s="23" t="str">
        <f>IFERROR(__xludf.DUMMYFUNCTION("XLOOKUP(C781, 
   IMPORTRANGE(""1RdEdgHYrZ33LJ7RUHj_h-qkAFL92bcVjtIdVa-UlsCw"", ""Interns!D:D""), 
   IMPORTRANGE(""1RdEdgHYrZ33LJ7RUHj_h-qkAFL92bcVjtIdVa-UlsCw"", ""Interns!O:O""), 
   ""Not Found"")"),"Hetal reached out by email 3/27")</f>
        <v>Hetal reached out by email 3/27</v>
      </c>
      <c r="AN781" s="23"/>
      <c r="AO781" s="23" t="s">
        <v>10265</v>
      </c>
      <c r="AP781" s="28" t="s">
        <v>5191</v>
      </c>
      <c r="AQ781" s="28" t="s">
        <v>10266</v>
      </c>
      <c r="AR781" s="23" t="s">
        <v>10267</v>
      </c>
      <c r="AS781" s="23"/>
      <c r="AT781" s="23"/>
      <c r="AU781" s="23"/>
      <c r="AV781" s="23"/>
    </row>
    <row r="782">
      <c r="A782" s="28" t="s">
        <v>5161</v>
      </c>
      <c r="B782" s="28" t="s">
        <v>31</v>
      </c>
      <c r="C782" s="23" t="str">
        <f t="shared" si="1"/>
        <v>Cristian Bravo</v>
      </c>
      <c r="D782" s="28" t="s">
        <v>8211</v>
      </c>
      <c r="E782" s="28" t="s">
        <v>9434</v>
      </c>
      <c r="F782" s="23">
        <f t="array" ref="F782">IFERROR(
    INDEX('Hub Interns 226'!A:A, MATCH(C782, 'Hub Interns 226'!B:B, 0)),"")</f>
        <v>391</v>
      </c>
      <c r="G782" s="23">
        <f t="array" ref="G782">IFERROR(
    INDEX('Hub Users 226'!A:A, MATCH(C782, 'Hub Users 226'!B:B, 0)),"")</f>
        <v>824</v>
      </c>
      <c r="H782" s="28">
        <v>1756.0</v>
      </c>
      <c r="I782" s="28" t="s">
        <v>239</v>
      </c>
      <c r="J782" s="28"/>
      <c r="K782" s="28"/>
      <c r="L782" s="28" t="s">
        <v>5165</v>
      </c>
      <c r="M782" s="56" t="s">
        <v>9435</v>
      </c>
      <c r="N782" s="59">
        <v>45273.57916666667</v>
      </c>
      <c r="O782" s="58">
        <v>40432.0</v>
      </c>
      <c r="P782" s="28">
        <f t="shared" si="20"/>
        <v>15</v>
      </c>
      <c r="Q782" s="28" t="s">
        <v>240</v>
      </c>
      <c r="R782" s="28" t="s">
        <v>10268</v>
      </c>
      <c r="S782" s="28"/>
      <c r="T782" s="28"/>
      <c r="U782" s="28"/>
      <c r="V782" s="28"/>
      <c r="W782" s="28" t="s">
        <v>1173</v>
      </c>
      <c r="X782" s="28" t="s">
        <v>272</v>
      </c>
      <c r="Y782" s="28" t="s">
        <v>10269</v>
      </c>
      <c r="Z782" s="28" t="s">
        <v>5352</v>
      </c>
      <c r="AA782" s="28" t="s">
        <v>5287</v>
      </c>
      <c r="AB782" s="28">
        <v>26.0</v>
      </c>
      <c r="AC782" s="28" t="s">
        <v>27</v>
      </c>
      <c r="AD782" s="23"/>
      <c r="AE782" s="28" t="s">
        <v>18</v>
      </c>
      <c r="AF782" s="23"/>
      <c r="AG782" s="23"/>
      <c r="AH782" s="23" t="str">
        <f>IFERROR(__xludf.DUMMYFUNCTION("IF(
ISNUMBER(MATCH(
C782,
IMPORTRANGE(""https://docs.google.com/spreadsheets/d/1yTh1ELC33JHYOeEdgIiEclxPRyh0zOKtlawDltfUay8"",""'Interns'!A:A""),
0
)),
""Outreach Conducted"",
"""")"),"")</f>
        <v/>
      </c>
      <c r="AI782" s="23"/>
      <c r="AJ782" s="23"/>
      <c r="AK782" s="23" t="str">
        <f>IFERROR(__xludf.DUMMYFUNCTION("XLOOKUP(C782, 
   IMPORTRANGE(""1RdEdgHYrZ33LJ7RUHj_h-qkAFL92bcVjtIdVa-UlsCw"", ""Interns!D:D""), 
   IMPORTRANGE(""1RdEdgHYrZ33LJ7RUHj_h-qkAFL92bcVjtIdVa-UlsCw"", ""Interns!M:M""), 
   ""Not Found"")"),"")</f>
        <v/>
      </c>
      <c r="AL782" s="23" t="str">
        <f>IFERROR(__xludf.DUMMYFUNCTION("XLOOKUP(C782, 
   IMPORTRANGE(""1RdEdgHYrZ33LJ7RUHj_h-qkAFL92bcVjtIdVa-UlsCw"", ""Interns!D:D""), 
   IMPORTRANGE(""1RdEdgHYrZ33LJ7RUHj_h-qkAFL92bcVjtIdVa-UlsCw"", ""Interns!N:N""), 
   ""Not Found"")"),"")</f>
        <v/>
      </c>
      <c r="AM782" s="23" t="str">
        <f>IFERROR(__xludf.DUMMYFUNCTION("XLOOKUP(C782, 
   IMPORTRANGE(""1RdEdgHYrZ33LJ7RUHj_h-qkAFL92bcVjtIdVa-UlsCw"", ""Interns!D:D""), 
   IMPORTRANGE(""1RdEdgHYrZ33LJ7RUHj_h-qkAFL92bcVjtIdVa-UlsCw"", ""Interns!O:O""), 
   ""Not Found"")"),"")</f>
        <v/>
      </c>
      <c r="AN782" s="23"/>
      <c r="AO782" s="23" t="s">
        <v>10270</v>
      </c>
      <c r="AP782" s="28" t="s">
        <v>5173</v>
      </c>
      <c r="AQ782" s="28"/>
      <c r="AR782" s="23"/>
      <c r="AS782" s="23"/>
      <c r="AT782" s="23"/>
      <c r="AU782" s="23"/>
      <c r="AV782" s="23"/>
    </row>
    <row r="783">
      <c r="A783" s="28" t="s">
        <v>5161</v>
      </c>
      <c r="B783" s="28" t="s">
        <v>5162</v>
      </c>
      <c r="C783" s="23" t="str">
        <f t="shared" si="1"/>
        <v>Mohamed Danso</v>
      </c>
      <c r="D783" s="28" t="s">
        <v>9486</v>
      </c>
      <c r="E783" s="28" t="s">
        <v>10271</v>
      </c>
      <c r="F783" s="23">
        <f t="array" ref="F783">IFERROR(
    INDEX('Hub Interns 226'!A:A, MATCH(C783, 'Hub Interns 226'!B:B, 0)),"")</f>
        <v>823</v>
      </c>
      <c r="G783" s="23">
        <f t="array" ref="G783">IFERROR(
    INDEX('Hub Users 226'!A:A, MATCH(C783, 'Hub Users 226'!B:B, 0)),"")</f>
        <v>1256</v>
      </c>
      <c r="H783" s="28">
        <v>654.0</v>
      </c>
      <c r="I783" s="28" t="s">
        <v>239</v>
      </c>
      <c r="J783" s="28" t="s">
        <v>9516</v>
      </c>
      <c r="K783" s="28" t="s">
        <v>5245</v>
      </c>
      <c r="L783" s="28" t="s">
        <v>5165</v>
      </c>
      <c r="M783" s="56" t="s">
        <v>10272</v>
      </c>
      <c r="N783" s="59">
        <v>44522.53611111111</v>
      </c>
      <c r="O783" s="58">
        <v>37096.0</v>
      </c>
      <c r="P783" s="28">
        <f t="shared" si="20"/>
        <v>24</v>
      </c>
      <c r="Q783" s="28" t="s">
        <v>10273</v>
      </c>
      <c r="R783" s="28" t="s">
        <v>10274</v>
      </c>
      <c r="S783" s="28">
        <v>15.0</v>
      </c>
      <c r="T783" s="28">
        <v>32.0</v>
      </c>
      <c r="U783" s="28">
        <v>77.0</v>
      </c>
      <c r="V783" s="28">
        <v>16.0</v>
      </c>
      <c r="W783" s="28" t="s">
        <v>859</v>
      </c>
      <c r="X783" s="28" t="s">
        <v>272</v>
      </c>
      <c r="Y783" s="28" t="s">
        <v>10275</v>
      </c>
      <c r="Z783" s="28" t="s">
        <v>5435</v>
      </c>
      <c r="AA783" s="28" t="s">
        <v>5436</v>
      </c>
      <c r="AB783" s="28">
        <v>10.0</v>
      </c>
      <c r="AC783" s="28" t="s">
        <v>25</v>
      </c>
      <c r="AD783" s="28" t="s">
        <v>101</v>
      </c>
      <c r="AE783" s="26" t="s">
        <v>12</v>
      </c>
      <c r="AF783" s="23" t="str">
        <f>IFERROR(__xludf.DUMMYFUNCTION("TEXTJOIN("", "", TRUE,
  FILTER(Champions!C:C,
    ISNUMBER(SEARCH(C783, Champions!W:W))
  )
)"),"Alina Ispas Montbriand, Mariana Silva Aranha, Sunaina Mehta, Tanya Toko")</f>
        <v>Alina Ispas Montbriand, Mariana Silva Aranha, Sunaina Mehta, Tanya Toko</v>
      </c>
      <c r="AG783" s="23"/>
      <c r="AH783" s="23" t="str">
        <f>IFERROR(__xludf.DUMMYFUNCTION("IF(
ISNUMBER(MATCH(
C783,
IMPORTRANGE(""https://docs.google.com/spreadsheets/d/1yTh1ELC33JHYOeEdgIiEclxPRyh0zOKtlawDltfUay8"",""'Interns'!A:A""),
0
)),
""Outreach Conducted"",
"""")"),"")</f>
        <v/>
      </c>
      <c r="AI783" s="23"/>
      <c r="AJ783" s="23"/>
      <c r="AK783" s="23" t="str">
        <f>IFERROR(__xludf.DUMMYFUNCTION("XLOOKUP(C783, 
   IMPORTRANGE(""1RdEdgHYrZ33LJ7RUHj_h-qkAFL92bcVjtIdVa-UlsCw"", ""Interns!D:D""), 
   IMPORTRANGE(""1RdEdgHYrZ33LJ7RUHj_h-qkAFL92bcVjtIdVa-UlsCw"", ""Interns!M:M""), 
   ""Not Found"")"),"Contacted")</f>
        <v>Contacted</v>
      </c>
      <c r="AL783" s="23" t="str">
        <f>IFERROR(__xludf.DUMMYFUNCTION("XLOOKUP(C783, 
   IMPORTRANGE(""1RdEdgHYrZ33LJ7RUHj_h-qkAFL92bcVjtIdVa-UlsCw"", ""Interns!D:D""), 
   IMPORTRANGE(""1RdEdgHYrZ33LJ7RUHj_h-qkAFL92bcVjtIdVa-UlsCw"", ""Interns!N:N""), 
   ""Not Found"")"),"#Cheers4Careers")</f>
        <v>#Cheers4Careers</v>
      </c>
      <c r="AM783" s="23" t="str">
        <f>IFERROR(__xludf.DUMMYFUNCTION("XLOOKUP(C783, 
   IMPORTRANGE(""1RdEdgHYrZ33LJ7RUHj_h-qkAFL92bcVjtIdVa-UlsCw"", ""Interns!D:D""), 
   IMPORTRANGE(""1RdEdgHYrZ33LJ7RUHj_h-qkAFL92bcVjtIdVa-UlsCw"", ""Interns!O:O""), 
   ""Not Found"")"),"Hetal reached out by email 3/27")</f>
        <v>Hetal reached out by email 3/27</v>
      </c>
      <c r="AN783" s="23"/>
      <c r="AO783" s="23" t="s">
        <v>10276</v>
      </c>
      <c r="AP783" s="28" t="s">
        <v>5182</v>
      </c>
      <c r="AQ783" s="28" t="s">
        <v>10277</v>
      </c>
      <c r="AR783" s="23" t="s">
        <v>10278</v>
      </c>
      <c r="AS783" s="23"/>
      <c r="AT783" s="23"/>
      <c r="AU783" s="23"/>
      <c r="AV783" s="23"/>
    </row>
    <row r="784">
      <c r="A784" s="28" t="s">
        <v>5161</v>
      </c>
      <c r="B784" s="28" t="s">
        <v>5162</v>
      </c>
      <c r="C784" s="23" t="str">
        <f t="shared" si="1"/>
        <v>Ketevan Antidze</v>
      </c>
      <c r="D784" s="28" t="s">
        <v>10279</v>
      </c>
      <c r="E784" s="28" t="s">
        <v>10280</v>
      </c>
      <c r="F784" s="23">
        <f t="array" ref="F784">IFERROR(
    INDEX('Hub Interns 226'!A:A, MATCH(C784, 'Hub Interns 226'!B:B, 0)),"")</f>
        <v>721</v>
      </c>
      <c r="G784" s="23">
        <f t="array" ref="G784">IFERROR(
    INDEX('Hub Users 226'!A:A, MATCH(C784, 'Hub Users 226'!B:B, 0)),"")</f>
        <v>1154</v>
      </c>
      <c r="H784" s="28">
        <v>695.0</v>
      </c>
      <c r="I784" s="28" t="s">
        <v>239</v>
      </c>
      <c r="J784" s="28" t="s">
        <v>10281</v>
      </c>
      <c r="K784" s="28" t="s">
        <v>5186</v>
      </c>
      <c r="L784" s="28" t="s">
        <v>5196</v>
      </c>
      <c r="M784" s="56" t="s">
        <v>10282</v>
      </c>
      <c r="N784" s="59">
        <v>44546.55902777778</v>
      </c>
      <c r="O784" s="58">
        <v>38800.0</v>
      </c>
      <c r="P784" s="28">
        <f t="shared" si="20"/>
        <v>20</v>
      </c>
      <c r="Q784" s="28" t="s">
        <v>10283</v>
      </c>
      <c r="R784" s="28" t="s">
        <v>10284</v>
      </c>
      <c r="S784" s="28">
        <v>11.0</v>
      </c>
      <c r="T784" s="28">
        <v>17.0</v>
      </c>
      <c r="U784" s="28">
        <v>47.0</v>
      </c>
      <c r="V784" s="28">
        <v>43.0</v>
      </c>
      <c r="W784" s="28" t="s">
        <v>294</v>
      </c>
      <c r="X784" s="28" t="s">
        <v>272</v>
      </c>
      <c r="Y784" s="28" t="s">
        <v>10285</v>
      </c>
      <c r="Z784" s="28" t="s">
        <v>5386</v>
      </c>
      <c r="AA784" s="28" t="s">
        <v>1887</v>
      </c>
      <c r="AB784" s="28">
        <v>47.0</v>
      </c>
      <c r="AC784" s="28" t="s">
        <v>25</v>
      </c>
      <c r="AD784" s="28" t="s">
        <v>101</v>
      </c>
      <c r="AE784" s="28" t="s">
        <v>10</v>
      </c>
      <c r="AF784" s="23" t="str">
        <f>IFERROR(__xludf.DUMMYFUNCTION("TEXTJOIN("", "", TRUE,
  FILTER(Champions!C:C,
    ISNUMBER(SEARCH(C784, Champions!W:W))
  )
)"),"Weina Chen, Wendy Velasquez Ebanks")</f>
        <v>Weina Chen, Wendy Velasquez Ebanks</v>
      </c>
      <c r="AG784" s="23"/>
      <c r="AH784" s="23" t="str">
        <f>IFERROR(__xludf.DUMMYFUNCTION("IF(
ISNUMBER(MATCH(
C784,
IMPORTRANGE(""https://docs.google.com/spreadsheets/d/1yTh1ELC33JHYOeEdgIiEclxPRyh0zOKtlawDltfUay8"",""'Interns'!A:A""),
0
)),
""Outreach Conducted"",
"""")"),"")</f>
        <v/>
      </c>
      <c r="AI784" s="23"/>
      <c r="AJ784" s="23"/>
      <c r="AK784" s="23" t="str">
        <f>IFERROR(__xludf.DUMMYFUNCTION("XLOOKUP(C784, 
   IMPORTRANGE(""1RdEdgHYrZ33LJ7RUHj_h-qkAFL92bcVjtIdVa-UlsCw"", ""Interns!D:D""), 
   IMPORTRANGE(""1RdEdgHYrZ33LJ7RUHj_h-qkAFL92bcVjtIdVa-UlsCw"", ""Interns!M:M""), 
   ""Not Found"")"),"Contacted")</f>
        <v>Contacted</v>
      </c>
      <c r="AL784" s="23" t="str">
        <f>IFERROR(__xludf.DUMMYFUNCTION("XLOOKUP(C784, 
   IMPORTRANGE(""1RdEdgHYrZ33LJ7RUHj_h-qkAFL92bcVjtIdVa-UlsCw"", ""Interns!D:D""), 
   IMPORTRANGE(""1RdEdgHYrZ33LJ7RUHj_h-qkAFL92bcVjtIdVa-UlsCw"", ""Interns!N:N""), 
   ""Not Found"")"),"#Cheers4Careers")</f>
        <v>#Cheers4Careers</v>
      </c>
      <c r="AM784" s="23" t="str">
        <f>IFERROR(__xludf.DUMMYFUNCTION("XLOOKUP(C784, 
   IMPORTRANGE(""1RdEdgHYrZ33LJ7RUHj_h-qkAFL92bcVjtIdVa-UlsCw"", ""Interns!D:D""), 
   IMPORTRANGE(""1RdEdgHYrZ33LJ7RUHj_h-qkAFL92bcVjtIdVa-UlsCw"", ""Interns!O:O""), 
   ""Not Found"")"),"Hetal reached out by email 3/27
Hetal reached out on 4/10 by whatsapp for April 18th #Cheers4Careers")</f>
        <v>Hetal reached out by email 3/27
Hetal reached out on 4/10 by whatsapp for April 18th #Cheers4Careers</v>
      </c>
      <c r="AN784" s="23"/>
      <c r="AO784" s="23" t="s">
        <v>10286</v>
      </c>
      <c r="AP784" s="28" t="s">
        <v>5182</v>
      </c>
      <c r="AQ784" s="28" t="s">
        <v>10287</v>
      </c>
      <c r="AR784" s="23" t="s">
        <v>10288</v>
      </c>
      <c r="AS784" s="23"/>
      <c r="AT784" s="23"/>
      <c r="AU784" s="23"/>
      <c r="AV784" s="23"/>
    </row>
    <row r="785">
      <c r="A785" s="28" t="s">
        <v>5161</v>
      </c>
      <c r="B785" s="28" t="s">
        <v>31</v>
      </c>
      <c r="C785" s="23" t="str">
        <f t="shared" si="1"/>
        <v>Julia Pontes</v>
      </c>
      <c r="D785" s="28" t="s">
        <v>1864</v>
      </c>
      <c r="E785" s="28" t="s">
        <v>5841</v>
      </c>
      <c r="F785" s="23">
        <f t="array" ref="F785">IFERROR(
    INDEX('Hub Interns 226'!A:A, MATCH(C785, 'Hub Interns 226'!B:B, 0)),"")</f>
        <v>47</v>
      </c>
      <c r="G785" s="23">
        <f t="array" ref="G785">IFERROR(
    INDEX('Hub Users 226'!A:A, MATCH(C785, 'Hub Users 226'!B:B, 0)),"")</f>
        <v>480</v>
      </c>
      <c r="H785" s="28">
        <v>834.0</v>
      </c>
      <c r="I785" s="28" t="s">
        <v>239</v>
      </c>
      <c r="J785" s="28"/>
      <c r="K785" s="28"/>
      <c r="L785" s="28" t="s">
        <v>5196</v>
      </c>
      <c r="M785" s="56" t="s">
        <v>5843</v>
      </c>
      <c r="N785" s="57">
        <v>44575.603472222225</v>
      </c>
      <c r="O785" s="58">
        <v>38496.0</v>
      </c>
      <c r="P785" s="28">
        <f t="shared" si="20"/>
        <v>20</v>
      </c>
      <c r="Q785" s="28" t="s">
        <v>240</v>
      </c>
      <c r="R785" s="28" t="s">
        <v>5844</v>
      </c>
      <c r="S785" s="28"/>
      <c r="T785" s="28"/>
      <c r="U785" s="28"/>
      <c r="V785" s="28"/>
      <c r="W785" s="28" t="s">
        <v>271</v>
      </c>
      <c r="X785" s="28" t="s">
        <v>272</v>
      </c>
      <c r="Y785" s="28" t="s">
        <v>5845</v>
      </c>
      <c r="Z785" s="28" t="s">
        <v>5259</v>
      </c>
      <c r="AA785" s="28" t="s">
        <v>704</v>
      </c>
      <c r="AB785" s="28">
        <v>2.0</v>
      </c>
      <c r="AC785" s="28" t="s">
        <v>23</v>
      </c>
      <c r="AD785" s="28" t="s">
        <v>101</v>
      </c>
      <c r="AE785" s="28" t="s">
        <v>15</v>
      </c>
      <c r="AF785" s="23"/>
      <c r="AG785" s="23"/>
      <c r="AH785" s="23" t="str">
        <f>IFERROR(__xludf.DUMMYFUNCTION("IF(
ISNUMBER(MATCH(
C785,
IMPORTRANGE(""https://docs.google.com/spreadsheets/d/1yTh1ELC33JHYOeEdgIiEclxPRyh0zOKtlawDltfUay8"",""'Interns'!A:A""),
0
)),
""Outreach Conducted"",
"""")"),"")</f>
        <v/>
      </c>
      <c r="AI785" s="23"/>
      <c r="AJ785" s="28" t="s">
        <v>9910</v>
      </c>
      <c r="AK785" s="23" t="str">
        <f>IFERROR(__xludf.DUMMYFUNCTION("XLOOKUP(C785, 
   IMPORTRANGE(""1RdEdgHYrZ33LJ7RUHj_h-qkAFL92bcVjtIdVa-UlsCw"", ""Interns!D:D""), 
   IMPORTRANGE(""1RdEdgHYrZ33LJ7RUHj_h-qkAFL92bcVjtIdVa-UlsCw"", ""Interns!M:M""), 
   ""Not Found"")"),"")</f>
        <v/>
      </c>
      <c r="AL785" s="23" t="str">
        <f>IFERROR(__xludf.DUMMYFUNCTION("XLOOKUP(C785, 
   IMPORTRANGE(""1RdEdgHYrZ33LJ7RUHj_h-qkAFL92bcVjtIdVa-UlsCw"", ""Interns!D:D""), 
   IMPORTRANGE(""1RdEdgHYrZ33LJ7RUHj_h-qkAFL92bcVjtIdVa-UlsCw"", ""Interns!N:N""), 
   ""Not Found"")"),"")</f>
        <v/>
      </c>
      <c r="AM785" s="23" t="str">
        <f>IFERROR(__xludf.DUMMYFUNCTION("XLOOKUP(C785, 
   IMPORTRANGE(""1RdEdgHYrZ33LJ7RUHj_h-qkAFL92bcVjtIdVa-UlsCw"", ""Interns!D:D""), 
   IMPORTRANGE(""1RdEdgHYrZ33LJ7RUHj_h-qkAFL92bcVjtIdVa-UlsCw"", ""Interns!O:O""), 
   ""Not Found"")"),"")</f>
        <v/>
      </c>
      <c r="AN785" s="23"/>
      <c r="AO785" s="23" t="s">
        <v>5846</v>
      </c>
      <c r="AP785" s="28" t="s">
        <v>5191</v>
      </c>
      <c r="AQ785" s="28" t="s">
        <v>5843</v>
      </c>
      <c r="AR785" s="23" t="s">
        <v>5847</v>
      </c>
      <c r="AS785" s="23"/>
      <c r="AT785" s="23"/>
      <c r="AU785" s="23"/>
      <c r="AV785" s="23"/>
    </row>
    <row r="786">
      <c r="A786" s="28" t="s">
        <v>5161</v>
      </c>
      <c r="B786" s="28" t="s">
        <v>5162</v>
      </c>
      <c r="C786" s="23" t="str">
        <f t="shared" si="1"/>
        <v>Olga Duro</v>
      </c>
      <c r="D786" s="22" t="s">
        <v>2755</v>
      </c>
      <c r="E786" s="22" t="s">
        <v>10289</v>
      </c>
      <c r="F786" s="23"/>
      <c r="G786" s="23"/>
      <c r="H786" s="22">
        <v>1888.0</v>
      </c>
      <c r="I786" s="28"/>
      <c r="J786" s="28" t="s">
        <v>10290</v>
      </c>
      <c r="K786" s="28" t="s">
        <v>5255</v>
      </c>
      <c r="L786" s="28" t="s">
        <v>5196</v>
      </c>
      <c r="M786" s="29" t="s">
        <v>10291</v>
      </c>
      <c r="N786" s="22"/>
      <c r="O786" s="25">
        <v>39378.0</v>
      </c>
      <c r="P786" s="28">
        <f t="shared" si="20"/>
        <v>18</v>
      </c>
      <c r="Q786" s="62" t="s">
        <v>240</v>
      </c>
      <c r="R786" s="22" t="s">
        <v>10292</v>
      </c>
      <c r="S786" s="28">
        <v>14.0</v>
      </c>
      <c r="T786" s="28">
        <v>34.0</v>
      </c>
      <c r="U786" s="28">
        <v>82.0</v>
      </c>
      <c r="V786" s="28">
        <v>13.0</v>
      </c>
      <c r="W786" s="23"/>
      <c r="X786" s="23"/>
      <c r="Y786" s="22" t="s">
        <v>10293</v>
      </c>
      <c r="Z786" s="24"/>
      <c r="AA786" s="28" t="s">
        <v>5822</v>
      </c>
      <c r="AB786" s="28">
        <v>30.0</v>
      </c>
      <c r="AC786" s="28" t="s">
        <v>27</v>
      </c>
      <c r="AD786" s="23"/>
      <c r="AE786" s="28" t="s">
        <v>20</v>
      </c>
      <c r="AF786" s="23"/>
      <c r="AG786" s="23"/>
      <c r="AH786" s="23" t="str">
        <f>IFERROR(__xludf.DUMMYFUNCTION("IF(
ISNUMBER(MATCH(
C786,
IMPORTRANGE(""https://docs.google.com/spreadsheets/d/1yTh1ELC33JHYOeEdgIiEclxPRyh0zOKtlawDltfUay8"",""'Interns'!A:A""),
0
)),
""Outreach Conducted"",
"""")"),"")</f>
        <v/>
      </c>
      <c r="AI786" s="23"/>
      <c r="AJ786" s="23"/>
      <c r="AK786" s="23"/>
      <c r="AL786" s="23" t="str">
        <f>IFERROR(__xludf.DUMMYFUNCTION("XLOOKUP(C786, 
   IMPORTRANGE(""1RdEdgHYrZ33LJ7RUHj_h-qkAFL92bcVjtIdVa-UlsCw"", ""Interns!D:D""), 
   IMPORTRANGE(""1RdEdgHYrZ33LJ7RUHj_h-qkAFL92bcVjtIdVa-UlsCw"", ""Interns!N:N""), 
   ""Not Found"")"),"#Cheers4Careers")</f>
        <v>#Cheers4Careers</v>
      </c>
      <c r="AM786" s="23" t="str">
        <f>IFERROR(__xludf.DUMMYFUNCTION("XLOOKUP(C786, 
   IMPORTRANGE(""1RdEdgHYrZ33LJ7RUHj_h-qkAFL92bcVjtIdVa-UlsCw"", ""Interns!D:D""), 
   IMPORTRANGE(""1RdEdgHYrZ33LJ7RUHj_h-qkAFL92bcVjtIdVa-UlsCw"", ""Interns!O:O""), 
   ""Not Found"")"),"Hetal reached out March 27 for March #Cheers4 Careers ")</f>
        <v>Hetal reached out March 27 for March #Cheers4 Careers </v>
      </c>
      <c r="AN786" s="23"/>
      <c r="AO786" s="23" t="s">
        <v>10294</v>
      </c>
      <c r="AP786" s="28" t="s">
        <v>5182</v>
      </c>
      <c r="AQ786" s="28" t="s">
        <v>10295</v>
      </c>
      <c r="AR786" s="23" t="s">
        <v>10296</v>
      </c>
      <c r="AS786" s="23"/>
      <c r="AT786" s="23"/>
      <c r="AU786" s="23"/>
      <c r="AV786" s="23"/>
    </row>
    <row r="787">
      <c r="A787" s="28" t="s">
        <v>5161</v>
      </c>
      <c r="B787" s="28" t="s">
        <v>5162</v>
      </c>
      <c r="C787" s="23" t="str">
        <f t="shared" si="1"/>
        <v>Katerin Vasquez</v>
      </c>
      <c r="D787" s="28" t="s">
        <v>10297</v>
      </c>
      <c r="E787" s="28" t="s">
        <v>7764</v>
      </c>
      <c r="F787" s="23">
        <f t="array" ref="F787">IFERROR(
    INDEX('Hub Interns 226'!A:A, MATCH(C787, 'Hub Interns 226'!B:B, 0)),"")</f>
        <v>730</v>
      </c>
      <c r="G787" s="23">
        <f t="array" ref="G787">IFERROR(
    INDEX('Hub Users 226'!A:A, MATCH(C787, 'Hub Users 226'!B:B, 0)),"")</f>
        <v>1163</v>
      </c>
      <c r="H787" s="28">
        <v>1135.0</v>
      </c>
      <c r="I787" s="28" t="s">
        <v>407</v>
      </c>
      <c r="J787" s="28" t="s">
        <v>9536</v>
      </c>
      <c r="K787" s="28" t="s">
        <v>5177</v>
      </c>
      <c r="L787" s="28" t="s">
        <v>5196</v>
      </c>
      <c r="M787" s="56" t="s">
        <v>10298</v>
      </c>
      <c r="N787" s="57">
        <v>44739.62152777778</v>
      </c>
      <c r="O787" s="58">
        <v>38528.0</v>
      </c>
      <c r="P787" s="28">
        <f t="shared" si="20"/>
        <v>20</v>
      </c>
      <c r="Q787" s="28" t="s">
        <v>10299</v>
      </c>
      <c r="R787" s="28" t="s">
        <v>10300</v>
      </c>
      <c r="S787" s="28">
        <v>14.0</v>
      </c>
      <c r="T787" s="28">
        <v>32.0</v>
      </c>
      <c r="U787" s="28">
        <v>85.0</v>
      </c>
      <c r="V787" s="28">
        <v>18.0</v>
      </c>
      <c r="W787" s="28" t="s">
        <v>859</v>
      </c>
      <c r="X787" s="28" t="s">
        <v>272</v>
      </c>
      <c r="Y787" s="28" t="s">
        <v>10301</v>
      </c>
      <c r="Z787" s="28" t="s">
        <v>5208</v>
      </c>
      <c r="AA787" s="28" t="s">
        <v>2141</v>
      </c>
      <c r="AB787" s="28">
        <v>8.0</v>
      </c>
      <c r="AC787" s="28" t="s">
        <v>25</v>
      </c>
      <c r="AD787" s="23"/>
      <c r="AE787" s="28" t="s">
        <v>15</v>
      </c>
      <c r="AF787" s="23" t="str">
        <f>IFERROR(__xludf.DUMMYFUNCTION("TEXTJOIN("", "", TRUE,
  FILTER(Champions!C:C,
    ISNUMBER(SEARCH(C787, Champions!W:W))
  )
)"),"Lata Murti, Esteban Proaño")</f>
        <v>Lata Murti, Esteban Proaño</v>
      </c>
      <c r="AG787" s="23"/>
      <c r="AH787" s="23" t="str">
        <f>IFERROR(__xludf.DUMMYFUNCTION("IF(
ISNUMBER(MATCH(
C787,
IMPORTRANGE(""https://docs.google.com/spreadsheets/d/1yTh1ELC33JHYOeEdgIiEclxPRyh0zOKtlawDltfUay8"",""'Interns'!A:A""),
0
)),
""Outreach Conducted"",
"""")"),"")</f>
        <v/>
      </c>
      <c r="AI787" s="23"/>
      <c r="AJ787" s="23"/>
      <c r="AK787" s="23" t="str">
        <f>IFERROR(__xludf.DUMMYFUNCTION("XLOOKUP(C787, 
   IMPORTRANGE(""1RdEdgHYrZ33LJ7RUHj_h-qkAFL92bcVjtIdVa-UlsCw"", ""Interns!D:D""), 
   IMPORTRANGE(""1RdEdgHYrZ33LJ7RUHj_h-qkAFL92bcVjtIdVa-UlsCw"", ""Interns!M:M""), 
   ""Not Found"")"),"Contacted")</f>
        <v>Contacted</v>
      </c>
      <c r="AL787" s="23" t="str">
        <f>IFERROR(__xludf.DUMMYFUNCTION("XLOOKUP(C787, 
   IMPORTRANGE(""1RdEdgHYrZ33LJ7RUHj_h-qkAFL92bcVjtIdVa-UlsCw"", ""Interns!D:D""), 
   IMPORTRANGE(""1RdEdgHYrZ33LJ7RUHj_h-qkAFL92bcVjtIdVa-UlsCw"", ""Interns!N:N""), 
   ""Not Found"")"),"#Cheers4Careers")</f>
        <v>#Cheers4Careers</v>
      </c>
      <c r="AM787" s="23" t="str">
        <f>IFERROR(__xludf.DUMMYFUNCTION("XLOOKUP(C787, 
   IMPORTRANGE(""1RdEdgHYrZ33LJ7RUHj_h-qkAFL92bcVjtIdVa-UlsCw"", ""Interns!D:D""), 
   IMPORTRANGE(""1RdEdgHYrZ33LJ7RUHj_h-qkAFL92bcVjtIdVa-UlsCw"", ""Interns!O:O""), 
   ""Not Found"")"),"Hetal reached out by email 3/27 and text")</f>
        <v>Hetal reached out by email 3/27 and text</v>
      </c>
      <c r="AN787" s="23"/>
      <c r="AO787" s="23" t="s">
        <v>10302</v>
      </c>
      <c r="AP787" s="28" t="s">
        <v>5182</v>
      </c>
      <c r="AQ787" s="28" t="s">
        <v>10303</v>
      </c>
      <c r="AR787" s="23" t="s">
        <v>10304</v>
      </c>
      <c r="AS787" s="23"/>
      <c r="AT787" s="23"/>
      <c r="AU787" s="23"/>
      <c r="AV787" s="23"/>
    </row>
    <row r="788">
      <c r="A788" s="28" t="s">
        <v>5161</v>
      </c>
      <c r="B788" s="28" t="s">
        <v>5162</v>
      </c>
      <c r="C788" s="23" t="str">
        <f t="shared" si="1"/>
        <v>Kimberlin Ruiz</v>
      </c>
      <c r="D788" s="28" t="s">
        <v>10305</v>
      </c>
      <c r="E788" s="28" t="s">
        <v>10306</v>
      </c>
      <c r="F788" s="23">
        <f t="array" ref="F788">IFERROR(
    INDEX('Hub Interns 226'!A:A, MATCH(C788, 'Hub Interns 226'!B:B, 0)),"")</f>
        <v>754</v>
      </c>
      <c r="G788" s="23">
        <f t="array" ref="G788">IFERROR(
    INDEX('Hub Users 226'!A:A, MATCH(C788, 'Hub Users 226'!B:B, 0)),"")</f>
        <v>1187</v>
      </c>
      <c r="H788" s="28">
        <v>533.0</v>
      </c>
      <c r="I788" s="28" t="s">
        <v>260</v>
      </c>
      <c r="J788" s="28" t="s">
        <v>9536</v>
      </c>
      <c r="K788" s="28" t="s">
        <v>5177</v>
      </c>
      <c r="L788" s="28" t="s">
        <v>5196</v>
      </c>
      <c r="M788" s="56" t="s">
        <v>10307</v>
      </c>
      <c r="N788" s="57">
        <v>44477.53194444445</v>
      </c>
      <c r="O788" s="58">
        <v>37980.0</v>
      </c>
      <c r="P788" s="28">
        <f t="shared" si="20"/>
        <v>22</v>
      </c>
      <c r="Q788" s="28" t="s">
        <v>240</v>
      </c>
      <c r="R788" s="28" t="s">
        <v>10308</v>
      </c>
      <c r="S788" s="28">
        <v>14.0</v>
      </c>
      <c r="T788" s="28">
        <v>32.0</v>
      </c>
      <c r="U788" s="28">
        <v>87.0</v>
      </c>
      <c r="V788" s="28">
        <v>15.0</v>
      </c>
      <c r="W788" s="28" t="s">
        <v>859</v>
      </c>
      <c r="X788" s="28" t="s">
        <v>272</v>
      </c>
      <c r="Y788" s="28" t="s">
        <v>10309</v>
      </c>
      <c r="Z788" s="28" t="s">
        <v>5918</v>
      </c>
      <c r="AA788" s="28" t="s">
        <v>477</v>
      </c>
      <c r="AB788" s="28">
        <v>15.0</v>
      </c>
      <c r="AC788" s="28" t="s">
        <v>25</v>
      </c>
      <c r="AD788" s="23"/>
      <c r="AE788" s="28" t="s">
        <v>10</v>
      </c>
      <c r="AF788" s="23" t="str">
        <f>IFERROR(__xludf.DUMMYFUNCTION("TEXTJOIN("", "", TRUE,
  FILTER(Champions!C:C,
    ISNUMBER(SEARCH(C788, Champions!W:W))
  )
)"),"Jannet Figueroa Gallardo, Linda Ramirez, Renata Lozano Giral")</f>
        <v>Jannet Figueroa Gallardo, Linda Ramirez, Renata Lozano Giral</v>
      </c>
      <c r="AG788" s="23"/>
      <c r="AH788" s="23" t="str">
        <f>IFERROR(__xludf.DUMMYFUNCTION("IF(
ISNUMBER(MATCH(
C788,
IMPORTRANGE(""https://docs.google.com/spreadsheets/d/1yTh1ELC33JHYOeEdgIiEclxPRyh0zOKtlawDltfUay8"",""'Interns'!A:A""),
0
)),
""Outreach Conducted"",
"""")"),"")</f>
        <v/>
      </c>
      <c r="AI788" s="23"/>
      <c r="AJ788" s="23"/>
      <c r="AK788" s="23" t="str">
        <f>IFERROR(__xludf.DUMMYFUNCTION("XLOOKUP(C788, 
   IMPORTRANGE(""1RdEdgHYrZ33LJ7RUHj_h-qkAFL92bcVjtIdVa-UlsCw"", ""Interns!D:D""), 
   IMPORTRANGE(""1RdEdgHYrZ33LJ7RUHj_h-qkAFL92bcVjtIdVa-UlsCw"", ""Interns!M:M""), 
   ""Not Found"")"),"")</f>
        <v/>
      </c>
      <c r="AL788" s="23" t="str">
        <f>IFERROR(__xludf.DUMMYFUNCTION("XLOOKUP(C788, 
   IMPORTRANGE(""1RdEdgHYrZ33LJ7RUHj_h-qkAFL92bcVjtIdVa-UlsCw"", ""Interns!D:D""), 
   IMPORTRANGE(""1RdEdgHYrZ33LJ7RUHj_h-qkAFL92bcVjtIdVa-UlsCw"", ""Interns!N:N""), 
   ""Not Found"")"),"")</f>
        <v/>
      </c>
      <c r="AM788" s="23" t="str">
        <f>IFERROR(__xludf.DUMMYFUNCTION("XLOOKUP(C788, 
   IMPORTRANGE(""1RdEdgHYrZ33LJ7RUHj_h-qkAFL92bcVjtIdVa-UlsCw"", ""Interns!D:D""), 
   IMPORTRANGE(""1RdEdgHYrZ33LJ7RUHj_h-qkAFL92bcVjtIdVa-UlsCw"", ""Interns!O:O""), 
   ""Not Found"")"),"")</f>
        <v/>
      </c>
      <c r="AN788" s="23"/>
      <c r="AO788" s="23" t="s">
        <v>10310</v>
      </c>
      <c r="AP788" s="28" t="s">
        <v>5182</v>
      </c>
      <c r="AQ788" s="28" t="s">
        <v>10311</v>
      </c>
      <c r="AR788" s="23" t="s">
        <v>10312</v>
      </c>
      <c r="AS788" s="23"/>
      <c r="AT788" s="23"/>
      <c r="AU788" s="23"/>
      <c r="AV788" s="23"/>
    </row>
    <row r="789">
      <c r="A789" s="28" t="s">
        <v>5161</v>
      </c>
      <c r="B789" s="28" t="s">
        <v>5162</v>
      </c>
      <c r="C789" s="23" t="str">
        <f t="shared" si="1"/>
        <v>Juan Miranda</v>
      </c>
      <c r="D789" s="28" t="s">
        <v>5764</v>
      </c>
      <c r="E789" s="28" t="s">
        <v>1510</v>
      </c>
      <c r="F789" s="23">
        <f t="array" ref="F789">IFERROR(
    INDEX('Hub Interns 226'!A:A, MATCH(C789, 'Hub Interns 226'!B:B, 0)),"")</f>
        <v>208</v>
      </c>
      <c r="G789" s="23">
        <f t="array" ref="G789">IFERROR(
    INDEX('Hub Users 226'!A:A, MATCH(C789, 'Hub Users 226'!B:B, 0)),"")</f>
        <v>641</v>
      </c>
      <c r="H789" s="28">
        <v>1292.0</v>
      </c>
      <c r="I789" s="28"/>
      <c r="J789" s="28" t="s">
        <v>9536</v>
      </c>
      <c r="K789" s="28" t="s">
        <v>5177</v>
      </c>
      <c r="L789" s="28" t="s">
        <v>5165</v>
      </c>
      <c r="M789" s="56" t="s">
        <v>10313</v>
      </c>
      <c r="N789" s="59">
        <v>44846.47638888889</v>
      </c>
      <c r="O789" s="58">
        <v>38648.0</v>
      </c>
      <c r="P789" s="28">
        <f t="shared" si="20"/>
        <v>20</v>
      </c>
      <c r="Q789" s="28" t="s">
        <v>240</v>
      </c>
      <c r="R789" s="28" t="s">
        <v>10314</v>
      </c>
      <c r="S789" s="28">
        <v>14.0</v>
      </c>
      <c r="T789" s="28">
        <v>33.0</v>
      </c>
      <c r="U789" s="28">
        <v>87.0</v>
      </c>
      <c r="V789" s="28">
        <v>15.0</v>
      </c>
      <c r="W789" s="28" t="s">
        <v>859</v>
      </c>
      <c r="X789" s="28" t="s">
        <v>272</v>
      </c>
      <c r="Y789" s="28" t="s">
        <v>10315</v>
      </c>
      <c r="Z789" s="28" t="s">
        <v>5918</v>
      </c>
      <c r="AA789" s="28" t="s">
        <v>477</v>
      </c>
      <c r="AB789" s="28">
        <v>15.0</v>
      </c>
      <c r="AC789" s="28" t="s">
        <v>23</v>
      </c>
      <c r="AD789" s="23"/>
      <c r="AE789" s="28" t="s">
        <v>15</v>
      </c>
      <c r="AF789" s="23"/>
      <c r="AG789" s="23"/>
      <c r="AH789" s="23" t="str">
        <f>IFERROR(__xludf.DUMMYFUNCTION("IF(
ISNUMBER(MATCH(
C789,
IMPORTRANGE(""https://docs.google.com/spreadsheets/d/1yTh1ELC33JHYOeEdgIiEclxPRyh0zOKtlawDltfUay8"",""'Interns'!A:A""),
0
)),
""Outreach Conducted"",
"""")"),"")</f>
        <v/>
      </c>
      <c r="AI789" s="23"/>
      <c r="AJ789" s="23"/>
      <c r="AK789" s="23" t="str">
        <f>IFERROR(__xludf.DUMMYFUNCTION("XLOOKUP(C789, 
   IMPORTRANGE(""1RdEdgHYrZ33LJ7RUHj_h-qkAFL92bcVjtIdVa-UlsCw"", ""Interns!D:D""), 
   IMPORTRANGE(""1RdEdgHYrZ33LJ7RUHj_h-qkAFL92bcVjtIdVa-UlsCw"", ""Interns!M:M""), 
   ""Not Found"")"),"")</f>
        <v/>
      </c>
      <c r="AL789" s="23" t="str">
        <f>IFERROR(__xludf.DUMMYFUNCTION("XLOOKUP(C789, 
   IMPORTRANGE(""1RdEdgHYrZ33LJ7RUHj_h-qkAFL92bcVjtIdVa-UlsCw"", ""Interns!D:D""), 
   IMPORTRANGE(""1RdEdgHYrZ33LJ7RUHj_h-qkAFL92bcVjtIdVa-UlsCw"", ""Interns!N:N""), 
   ""Not Found"")"),"")</f>
        <v/>
      </c>
      <c r="AM789" s="23" t="str">
        <f>IFERROR(__xludf.DUMMYFUNCTION("XLOOKUP(C789, 
   IMPORTRANGE(""1RdEdgHYrZ33LJ7RUHj_h-qkAFL92bcVjtIdVa-UlsCw"", ""Interns!D:D""), 
   IMPORTRANGE(""1RdEdgHYrZ33LJ7RUHj_h-qkAFL92bcVjtIdVa-UlsCw"", ""Interns!O:O""), 
   ""Not Found"")"),"")</f>
        <v/>
      </c>
      <c r="AN789" s="23"/>
      <c r="AO789" s="23" t="s">
        <v>10316</v>
      </c>
      <c r="AP789" s="28" t="s">
        <v>5173</v>
      </c>
      <c r="AQ789" s="28"/>
      <c r="AR789" s="23"/>
      <c r="AS789" s="23"/>
      <c r="AT789" s="23"/>
      <c r="AU789" s="23"/>
      <c r="AV789" s="23"/>
    </row>
    <row r="790">
      <c r="A790" s="28" t="s">
        <v>5161</v>
      </c>
      <c r="B790" s="28" t="s">
        <v>5162</v>
      </c>
      <c r="C790" s="23" t="str">
        <f t="shared" si="1"/>
        <v>Celso Velasquez</v>
      </c>
      <c r="D790" s="28" t="s">
        <v>10317</v>
      </c>
      <c r="E790" s="28" t="s">
        <v>7349</v>
      </c>
      <c r="F790" s="23">
        <f t="array" ref="F790">IFERROR(
    INDEX('Hub Interns 226'!A:A, MATCH(C790, 'Hub Interns 226'!B:B, 0)),"")</f>
        <v>398</v>
      </c>
      <c r="G790" s="23">
        <f t="array" ref="G790">IFERROR(
    INDEX('Hub Users 226'!A:A, MATCH(C790, 'Hub Users 226'!B:B, 0)),"")</f>
        <v>831</v>
      </c>
      <c r="H790" s="28">
        <v>1279.0</v>
      </c>
      <c r="I790" s="28" t="s">
        <v>239</v>
      </c>
      <c r="J790" s="28" t="s">
        <v>9536</v>
      </c>
      <c r="K790" s="28" t="s">
        <v>5177</v>
      </c>
      <c r="L790" s="28" t="s">
        <v>5165</v>
      </c>
      <c r="M790" s="56" t="s">
        <v>10318</v>
      </c>
      <c r="N790" s="59">
        <v>44845.60833333333</v>
      </c>
      <c r="O790" s="58">
        <v>39228.0</v>
      </c>
      <c r="P790" s="28">
        <f t="shared" si="20"/>
        <v>18</v>
      </c>
      <c r="Q790" s="28" t="s">
        <v>240</v>
      </c>
      <c r="R790" s="28" t="s">
        <v>10319</v>
      </c>
      <c r="S790" s="28">
        <v>14.0</v>
      </c>
      <c r="T790" s="28">
        <v>34.0</v>
      </c>
      <c r="U790" s="28">
        <v>85.0</v>
      </c>
      <c r="V790" s="28">
        <v>18.0</v>
      </c>
      <c r="W790" s="28" t="s">
        <v>859</v>
      </c>
      <c r="X790" s="28" t="s">
        <v>272</v>
      </c>
      <c r="Y790" s="28" t="s">
        <v>10320</v>
      </c>
      <c r="Z790" s="28" t="s">
        <v>5918</v>
      </c>
      <c r="AA790" s="28" t="s">
        <v>477</v>
      </c>
      <c r="AB790" s="28">
        <v>15.0</v>
      </c>
      <c r="AC790" s="28" t="s">
        <v>23</v>
      </c>
      <c r="AD790" s="23"/>
      <c r="AE790" s="28" t="s">
        <v>15</v>
      </c>
      <c r="AF790" s="23"/>
      <c r="AG790" s="23"/>
      <c r="AH790" s="23" t="str">
        <f>IFERROR(__xludf.DUMMYFUNCTION("IF(
ISNUMBER(MATCH(
C790,
IMPORTRANGE(""https://docs.google.com/spreadsheets/d/1yTh1ELC33JHYOeEdgIiEclxPRyh0zOKtlawDltfUay8"",""'Interns'!A:A""),
0
)),
""Outreach Conducted"",
"""")"),"")</f>
        <v/>
      </c>
      <c r="AI790" s="23"/>
      <c r="AJ790" s="23"/>
      <c r="AK790" s="23" t="str">
        <f>IFERROR(__xludf.DUMMYFUNCTION("XLOOKUP(C790, 
   IMPORTRANGE(""1RdEdgHYrZ33LJ7RUHj_h-qkAFL92bcVjtIdVa-UlsCw"", ""Interns!D:D""), 
   IMPORTRANGE(""1RdEdgHYrZ33LJ7RUHj_h-qkAFL92bcVjtIdVa-UlsCw"", ""Interns!M:M""), 
   ""Not Found"")"),"")</f>
        <v/>
      </c>
      <c r="AL790" s="23" t="str">
        <f>IFERROR(__xludf.DUMMYFUNCTION("XLOOKUP(C790, 
   IMPORTRANGE(""1RdEdgHYrZ33LJ7RUHj_h-qkAFL92bcVjtIdVa-UlsCw"", ""Interns!D:D""), 
   IMPORTRANGE(""1RdEdgHYrZ33LJ7RUHj_h-qkAFL92bcVjtIdVa-UlsCw"", ""Interns!N:N""), 
   ""Not Found"")"),"")</f>
        <v/>
      </c>
      <c r="AM790" s="23" t="str">
        <f>IFERROR(__xludf.DUMMYFUNCTION("XLOOKUP(C790, 
   IMPORTRANGE(""1RdEdgHYrZ33LJ7RUHj_h-qkAFL92bcVjtIdVa-UlsCw"", ""Interns!D:D""), 
   IMPORTRANGE(""1RdEdgHYrZ33LJ7RUHj_h-qkAFL92bcVjtIdVa-UlsCw"", ""Interns!O:O""), 
   ""Not Found"")"),"")</f>
        <v/>
      </c>
      <c r="AN790" s="23"/>
      <c r="AO790" s="23" t="s">
        <v>10316</v>
      </c>
      <c r="AP790" s="28" t="s">
        <v>5908</v>
      </c>
      <c r="AQ790" s="28"/>
      <c r="AR790" s="23"/>
      <c r="AS790" s="23"/>
      <c r="AT790" s="23"/>
      <c r="AU790" s="23"/>
      <c r="AV790" s="23"/>
    </row>
    <row r="791">
      <c r="A791" s="28" t="s">
        <v>5161</v>
      </c>
      <c r="B791" s="28" t="s">
        <v>5162</v>
      </c>
      <c r="C791" s="23" t="str">
        <f t="shared" si="1"/>
        <v>Wendy Choc Coc</v>
      </c>
      <c r="D791" s="28" t="s">
        <v>3577</v>
      </c>
      <c r="E791" s="28" t="s">
        <v>10321</v>
      </c>
      <c r="F791" s="23">
        <f t="array" ref="F791">IFERROR(
    INDEX('Hub Interns 226'!A:A, MATCH(C791, 'Hub Interns 226'!B:B, 0)),"")</f>
        <v>1186</v>
      </c>
      <c r="G791" s="23">
        <f t="array" ref="G791">IFERROR(
    INDEX('Hub Users 226'!A:A, MATCH(C791, 'Hub Users 226'!B:B, 0)),"")</f>
        <v>1619</v>
      </c>
      <c r="H791" s="28">
        <v>640.0</v>
      </c>
      <c r="I791" s="28" t="s">
        <v>302</v>
      </c>
      <c r="J791" s="28" t="s">
        <v>9536</v>
      </c>
      <c r="K791" s="28" t="s">
        <v>5177</v>
      </c>
      <c r="L791" s="28" t="s">
        <v>5196</v>
      </c>
      <c r="M791" s="56" t="s">
        <v>10322</v>
      </c>
      <c r="N791" s="59">
        <v>44498.544444444444</v>
      </c>
      <c r="O791" s="58">
        <v>38589.0</v>
      </c>
      <c r="P791" s="28">
        <f t="shared" si="20"/>
        <v>20</v>
      </c>
      <c r="Q791" s="28" t="s">
        <v>240</v>
      </c>
      <c r="R791" s="28" t="s">
        <v>10323</v>
      </c>
      <c r="S791" s="28">
        <v>6.0</v>
      </c>
      <c r="T791" s="28">
        <v>16.0</v>
      </c>
      <c r="U791" s="28">
        <v>40.0</v>
      </c>
      <c r="V791" s="28">
        <v>20.0</v>
      </c>
      <c r="W791" s="28" t="s">
        <v>1173</v>
      </c>
      <c r="X791" s="28" t="s">
        <v>272</v>
      </c>
      <c r="Y791" s="28" t="s">
        <v>10324</v>
      </c>
      <c r="Z791" s="28" t="s">
        <v>5189</v>
      </c>
      <c r="AA791" s="28" t="s">
        <v>619</v>
      </c>
      <c r="AB791" s="28">
        <v>20.0</v>
      </c>
      <c r="AC791" s="28" t="s">
        <v>25</v>
      </c>
      <c r="AD791" s="23"/>
      <c r="AE791" s="28" t="s">
        <v>10</v>
      </c>
      <c r="AF791" s="23" t="str">
        <f>IFERROR(__xludf.DUMMYFUNCTION("TEXTJOIN("", "", TRUE,
  FILTER(Champions!C:C,
    ISNUMBER(SEARCH(C791, Champions!W:W))
  )
)"),"Sandra Llontop, XIONG XIONG, Jan Panchalingam")</f>
        <v>Sandra Llontop, XIONG XIONG, Jan Panchalingam</v>
      </c>
      <c r="AG791" s="23"/>
      <c r="AH791" s="23" t="str">
        <f>IFERROR(__xludf.DUMMYFUNCTION("IF(
ISNUMBER(MATCH(
C791,
IMPORTRANGE(""https://docs.google.com/spreadsheets/d/1yTh1ELC33JHYOeEdgIiEclxPRyh0zOKtlawDltfUay8"",""'Interns'!A:A""),
0
)),
""Outreach Conducted"",
"""")"),"")</f>
        <v/>
      </c>
      <c r="AI791" s="23"/>
      <c r="AJ791" s="23"/>
      <c r="AK791" s="23" t="str">
        <f>IFERROR(__xludf.DUMMYFUNCTION("XLOOKUP(C791, 
   IMPORTRANGE(""1RdEdgHYrZ33LJ7RUHj_h-qkAFL92bcVjtIdVa-UlsCw"", ""Interns!D:D""), 
   IMPORTRANGE(""1RdEdgHYrZ33LJ7RUHj_h-qkAFL92bcVjtIdVa-UlsCw"", ""Interns!M:M""), 
   ""Not Found"")"),"Contacted")</f>
        <v>Contacted</v>
      </c>
      <c r="AL791" s="23" t="str">
        <f>IFERROR(__xludf.DUMMYFUNCTION("XLOOKUP(C791, 
   IMPORTRANGE(""1RdEdgHYrZ33LJ7RUHj_h-qkAFL92bcVjtIdVa-UlsCw"", ""Interns!D:D""), 
   IMPORTRANGE(""1RdEdgHYrZ33LJ7RUHj_h-qkAFL92bcVjtIdVa-UlsCw"", ""Interns!N:N""), 
   ""Not Found"")"),"#Cheers4Careers")</f>
        <v>#Cheers4Careers</v>
      </c>
      <c r="AM791" s="23" t="str">
        <f>IFERROR(__xludf.DUMMYFUNCTION("XLOOKUP(C791, 
   IMPORTRANGE(""1RdEdgHYrZ33LJ7RUHj_h-qkAFL92bcVjtIdVa-UlsCw"", ""Interns!D:D""), 
   IMPORTRANGE(""1RdEdgHYrZ33LJ7RUHj_h-qkAFL92bcVjtIdVa-UlsCw"", ""Interns!O:O""), 
   ""Not Found"")"),"Hetal reached out by email 3/27 followed by text")</f>
        <v>Hetal reached out by email 3/27 followed by text</v>
      </c>
      <c r="AN791" s="23"/>
      <c r="AO791" s="23" t="s">
        <v>10325</v>
      </c>
      <c r="AP791" s="28" t="s">
        <v>5182</v>
      </c>
      <c r="AQ791" s="28" t="s">
        <v>10322</v>
      </c>
      <c r="AR791" s="23" t="s">
        <v>10326</v>
      </c>
      <c r="AS791" s="23"/>
      <c r="AT791" s="23"/>
      <c r="AU791" s="23"/>
      <c r="AV791" s="23"/>
    </row>
    <row r="792">
      <c r="A792" s="28" t="s">
        <v>5161</v>
      </c>
      <c r="B792" s="28" t="s">
        <v>5162</v>
      </c>
      <c r="C792" s="23" t="str">
        <f t="shared" si="1"/>
        <v>Indira Yamileth Nunez Mateo</v>
      </c>
      <c r="D792" s="28" t="s">
        <v>10327</v>
      </c>
      <c r="E792" s="28" t="s">
        <v>10328</v>
      </c>
      <c r="F792" s="23">
        <f t="array" ref="F792">IFERROR(
    INDEX('Hub Interns 226'!A:A, MATCH(C792, 'Hub Interns 226'!B:B, 0)),"")</f>
        <v>593</v>
      </c>
      <c r="G792" s="23">
        <f t="array" ref="G792">IFERROR(
    INDEX('Hub Users 226'!A:A, MATCH(C792, 'Hub Users 226'!B:B, 0)),"")</f>
        <v>1026</v>
      </c>
      <c r="H792" s="28">
        <v>507.0</v>
      </c>
      <c r="I792" s="28" t="s">
        <v>260</v>
      </c>
      <c r="J792" s="28" t="s">
        <v>9536</v>
      </c>
      <c r="K792" s="28" t="s">
        <v>5177</v>
      </c>
      <c r="L792" s="28" t="s">
        <v>5196</v>
      </c>
      <c r="M792" s="56" t="s">
        <v>10329</v>
      </c>
      <c r="N792" s="57">
        <v>44476.634722222225</v>
      </c>
      <c r="O792" s="58">
        <v>38136.0</v>
      </c>
      <c r="P792" s="28">
        <f t="shared" si="20"/>
        <v>21</v>
      </c>
      <c r="Q792" s="28" t="s">
        <v>10330</v>
      </c>
      <c r="R792" s="28" t="s">
        <v>10331</v>
      </c>
      <c r="S792" s="28">
        <v>15.0</v>
      </c>
      <c r="T792" s="28">
        <v>32.0</v>
      </c>
      <c r="U792" s="28">
        <v>77.0</v>
      </c>
      <c r="V792" s="28">
        <v>16.0</v>
      </c>
      <c r="W792" s="28" t="s">
        <v>859</v>
      </c>
      <c r="X792" s="28" t="s">
        <v>272</v>
      </c>
      <c r="Y792" s="28" t="s">
        <v>10332</v>
      </c>
      <c r="Z792" s="28" t="s">
        <v>5918</v>
      </c>
      <c r="AA792" s="28" t="s">
        <v>477</v>
      </c>
      <c r="AB792" s="28">
        <v>15.0</v>
      </c>
      <c r="AC792" s="28" t="s">
        <v>25</v>
      </c>
      <c r="AD792" s="28" t="s">
        <v>101</v>
      </c>
      <c r="AE792" s="26" t="s">
        <v>12</v>
      </c>
      <c r="AF792" s="23" t="str">
        <f>IFERROR(__xludf.DUMMYFUNCTION("TEXTJOIN("", "", TRUE,
  FILTER(Champions!C:C,
    ISNUMBER(SEARCH(C792, Champions!W:W))
  )
)"),"Divya Padgaonkar, Jannet Figueroa Gallardo, Linda Ramirez, Esteban Proaño")</f>
        <v>Divya Padgaonkar, Jannet Figueroa Gallardo, Linda Ramirez, Esteban Proaño</v>
      </c>
      <c r="AG792" s="23"/>
      <c r="AH792" s="23" t="str">
        <f>IFERROR(__xludf.DUMMYFUNCTION("IF(
ISNUMBER(MATCH(
C792,
IMPORTRANGE(""https://docs.google.com/spreadsheets/d/1yTh1ELC33JHYOeEdgIiEclxPRyh0zOKtlawDltfUay8"",""'Interns'!A:A""),
0
)),
""Outreach Conducted"",
"""")"),"")</f>
        <v/>
      </c>
      <c r="AI792" s="23"/>
      <c r="AJ792" s="23"/>
      <c r="AK792" s="23" t="str">
        <f>IFERROR(__xludf.DUMMYFUNCTION("XLOOKUP(C792, 
   IMPORTRANGE(""1RdEdgHYrZ33LJ7RUHj_h-qkAFL92bcVjtIdVa-UlsCw"", ""Interns!D:D""), 
   IMPORTRANGE(""1RdEdgHYrZ33LJ7RUHj_h-qkAFL92bcVjtIdVa-UlsCw"", ""Interns!M:M""), 
   ""Not Found"")"),"")</f>
        <v/>
      </c>
      <c r="AL792" s="23" t="str">
        <f>IFERROR(__xludf.DUMMYFUNCTION("XLOOKUP(C792, 
   IMPORTRANGE(""1RdEdgHYrZ33LJ7RUHj_h-qkAFL92bcVjtIdVa-UlsCw"", ""Interns!D:D""), 
   IMPORTRANGE(""1RdEdgHYrZ33LJ7RUHj_h-qkAFL92bcVjtIdVa-UlsCw"", ""Interns!N:N""), 
   ""Not Found"")"),"")</f>
        <v/>
      </c>
      <c r="AM792" s="23" t="str">
        <f>IFERROR(__xludf.DUMMYFUNCTION("XLOOKUP(C792, 
   IMPORTRANGE(""1RdEdgHYrZ33LJ7RUHj_h-qkAFL92bcVjtIdVa-UlsCw"", ""Interns!D:D""), 
   IMPORTRANGE(""1RdEdgHYrZ33LJ7RUHj_h-qkAFL92bcVjtIdVa-UlsCw"", ""Interns!O:O""), 
   ""Not Found"")"),"")</f>
        <v/>
      </c>
      <c r="AN792" s="23"/>
      <c r="AO792" s="23" t="s">
        <v>10333</v>
      </c>
      <c r="AP792" s="28" t="s">
        <v>5989</v>
      </c>
      <c r="AQ792" s="28" t="s">
        <v>10334</v>
      </c>
      <c r="AR792" s="23" t="s">
        <v>10335</v>
      </c>
      <c r="AS792" s="23"/>
      <c r="AT792" s="23"/>
      <c r="AU792" s="23"/>
      <c r="AV792" s="23"/>
    </row>
    <row r="793">
      <c r="A793" s="28" t="s">
        <v>5161</v>
      </c>
      <c r="B793" s="28" t="s">
        <v>5162</v>
      </c>
      <c r="C793" s="23" t="str">
        <f t="shared" si="1"/>
        <v>Ilsy Hernandez</v>
      </c>
      <c r="D793" s="28" t="s">
        <v>10336</v>
      </c>
      <c r="E793" s="28" t="s">
        <v>2168</v>
      </c>
      <c r="F793" s="23">
        <f t="array" ref="F793">IFERROR(
    INDEX('Hub Interns 226'!A:A, MATCH(C793, 'Hub Interns 226'!B:B, 0)),"")</f>
        <v>590</v>
      </c>
      <c r="G793" s="23">
        <f t="array" ref="G793">IFERROR(
    INDEX('Hub Users 226'!A:A, MATCH(C793, 'Hub Users 226'!B:B, 0)),"")</f>
        <v>1023</v>
      </c>
      <c r="H793" s="28">
        <v>740.0</v>
      </c>
      <c r="I793" s="28" t="s">
        <v>260</v>
      </c>
      <c r="J793" s="28" t="s">
        <v>9536</v>
      </c>
      <c r="K793" s="28" t="s">
        <v>5177</v>
      </c>
      <c r="L793" s="28" t="s">
        <v>5196</v>
      </c>
      <c r="M793" s="56" t="s">
        <v>10337</v>
      </c>
      <c r="N793" s="59">
        <v>44551.404861111114</v>
      </c>
      <c r="O793" s="58">
        <v>38249.0</v>
      </c>
      <c r="P793" s="28">
        <f t="shared" si="20"/>
        <v>21</v>
      </c>
      <c r="Q793" s="28" t="s">
        <v>240</v>
      </c>
      <c r="R793" s="28" t="s">
        <v>10338</v>
      </c>
      <c r="S793" s="28">
        <v>5.0</v>
      </c>
      <c r="T793" s="28">
        <v>14.0</v>
      </c>
      <c r="U793" s="28">
        <v>32.0</v>
      </c>
      <c r="V793" s="28">
        <v>27.0</v>
      </c>
      <c r="W793" s="28" t="s">
        <v>1173</v>
      </c>
      <c r="X793" s="28" t="s">
        <v>272</v>
      </c>
      <c r="Y793" s="28" t="s">
        <v>10339</v>
      </c>
      <c r="Z793" s="28" t="s">
        <v>5483</v>
      </c>
      <c r="AA793" s="28" t="s">
        <v>457</v>
      </c>
      <c r="AB793" s="28">
        <v>25.0</v>
      </c>
      <c r="AC793" s="28" t="s">
        <v>25</v>
      </c>
      <c r="AD793" s="23"/>
      <c r="AE793" s="28" t="s">
        <v>10</v>
      </c>
      <c r="AF793" s="23" t="str">
        <f>IFERROR(__xludf.DUMMYFUNCTION("TEXTJOIN("", "", TRUE,
  FILTER(Champions!C:C,
    ISNUMBER(SEARCH(C793, Champions!W:W))
  )
)"),"Bhavna Mohan Agnihotri, Oishee Dasgupta Dasgupta")</f>
        <v>Bhavna Mohan Agnihotri, Oishee Dasgupta Dasgupta</v>
      </c>
      <c r="AG793" s="23"/>
      <c r="AH793" s="23" t="str">
        <f>IFERROR(__xludf.DUMMYFUNCTION("IF(
ISNUMBER(MATCH(
C793,
IMPORTRANGE(""https://docs.google.com/spreadsheets/d/1yTh1ELC33JHYOeEdgIiEclxPRyh0zOKtlawDltfUay8"",""'Interns'!A:A""),
0
)),
""Outreach Conducted"",
"""")"),"")</f>
        <v/>
      </c>
      <c r="AI793" s="23"/>
      <c r="AJ793" s="23"/>
      <c r="AK793" s="23" t="str">
        <f>IFERROR(__xludf.DUMMYFUNCTION("XLOOKUP(C793, 
   IMPORTRANGE(""1RdEdgHYrZ33LJ7RUHj_h-qkAFL92bcVjtIdVa-UlsCw"", ""Interns!D:D""), 
   IMPORTRANGE(""1RdEdgHYrZ33LJ7RUHj_h-qkAFL92bcVjtIdVa-UlsCw"", ""Interns!M:M""), 
   ""Not Found"")"),"Contacted")</f>
        <v>Contacted</v>
      </c>
      <c r="AL793" s="23" t="str">
        <f>IFERROR(__xludf.DUMMYFUNCTION("XLOOKUP(C793, 
   IMPORTRANGE(""1RdEdgHYrZ33LJ7RUHj_h-qkAFL92bcVjtIdVa-UlsCw"", ""Interns!D:D""), 
   IMPORTRANGE(""1RdEdgHYrZ33LJ7RUHj_h-qkAFL92bcVjtIdVa-UlsCw"", ""Interns!N:N""), 
   ""Not Found"")"),"#Cheers4Careers")</f>
        <v>#Cheers4Careers</v>
      </c>
      <c r="AM793" s="23" t="str">
        <f>IFERROR(__xludf.DUMMYFUNCTION("XLOOKUP(C793, 
   IMPORTRANGE(""1RdEdgHYrZ33LJ7RUHj_h-qkAFL92bcVjtIdVa-UlsCw"", ""Interns!D:D""), 
   IMPORTRANGE(""1RdEdgHYrZ33LJ7RUHj_h-qkAFL92bcVjtIdVa-UlsCw"", ""Interns!O:O""), 
   ""Not Found"")"),"Hetal reached out by email 3/27")</f>
        <v>Hetal reached out by email 3/27</v>
      </c>
      <c r="AN793" s="23"/>
      <c r="AO793" s="23" t="s">
        <v>10340</v>
      </c>
      <c r="AP793" s="28" t="s">
        <v>5182</v>
      </c>
      <c r="AQ793" s="28" t="s">
        <v>10337</v>
      </c>
      <c r="AR793" s="23" t="s">
        <v>10341</v>
      </c>
      <c r="AS793" s="23"/>
      <c r="AT793" s="23"/>
      <c r="AU793" s="23"/>
      <c r="AV793" s="23"/>
    </row>
    <row r="794">
      <c r="A794" s="28" t="s">
        <v>5202</v>
      </c>
      <c r="B794" s="28" t="s">
        <v>5162</v>
      </c>
      <c r="C794" s="23" t="str">
        <f t="shared" si="1"/>
        <v>Fredline Calixte</v>
      </c>
      <c r="D794" s="28" t="s">
        <v>10342</v>
      </c>
      <c r="E794" s="28" t="s">
        <v>10343</v>
      </c>
      <c r="F794" s="23">
        <f t="array" ref="F794">IFERROR(
    INDEX('Hub Interns 226'!A:A, MATCH(C794, 'Hub Interns 226'!B:B, 0)),"")</f>
        <v>329</v>
      </c>
      <c r="G794" s="23">
        <f t="array" ref="G794">IFERROR(
    INDEX('Hub Users 226'!A:A, MATCH(C794, 'Hub Users 226'!B:B, 0)),"")</f>
        <v>762</v>
      </c>
      <c r="H794" s="28">
        <v>921.0</v>
      </c>
      <c r="I794" s="28" t="s">
        <v>260</v>
      </c>
      <c r="J794" s="28" t="s">
        <v>10019</v>
      </c>
      <c r="K794" s="28" t="s">
        <v>5177</v>
      </c>
      <c r="L794" s="28" t="s">
        <v>5196</v>
      </c>
      <c r="M794" s="56" t="s">
        <v>10344</v>
      </c>
      <c r="N794" s="57">
        <v>44603.444444444445</v>
      </c>
      <c r="O794" s="58">
        <v>38682.0</v>
      </c>
      <c r="P794" s="28">
        <f t="shared" si="20"/>
        <v>20</v>
      </c>
      <c r="Q794" s="28" t="s">
        <v>240</v>
      </c>
      <c r="R794" s="28" t="s">
        <v>10345</v>
      </c>
      <c r="S794" s="28">
        <v>13.0</v>
      </c>
      <c r="T794" s="28">
        <v>31.0</v>
      </c>
      <c r="U794" s="28">
        <v>71.0</v>
      </c>
      <c r="V794" s="28">
        <v>10.0</v>
      </c>
      <c r="W794" s="28" t="s">
        <v>271</v>
      </c>
      <c r="X794" s="28" t="s">
        <v>272</v>
      </c>
      <c r="Y794" s="28" t="s">
        <v>10346</v>
      </c>
      <c r="Z794" s="28" t="s">
        <v>5259</v>
      </c>
      <c r="AA794" s="28" t="s">
        <v>704</v>
      </c>
      <c r="AB794" s="28">
        <v>2.0</v>
      </c>
      <c r="AC794" s="28" t="s">
        <v>24</v>
      </c>
      <c r="AD794" s="23"/>
      <c r="AE794" s="28" t="s">
        <v>10</v>
      </c>
      <c r="AF794" s="23"/>
      <c r="AG794" s="23"/>
      <c r="AH794" s="23" t="str">
        <f>IFERROR(__xludf.DUMMYFUNCTION("IF(
ISNUMBER(MATCH(
C794,
IMPORTRANGE(""https://docs.google.com/spreadsheets/d/1yTh1ELC33JHYOeEdgIiEclxPRyh0zOKtlawDltfUay8"",""'Interns'!A:A""),
0
)),
""Outreach Conducted"",
"""")"),"")</f>
        <v/>
      </c>
      <c r="AI794" s="23"/>
      <c r="AJ794" s="23"/>
      <c r="AK794" s="23" t="str">
        <f>IFERROR(__xludf.DUMMYFUNCTION("XLOOKUP(C794, 
   IMPORTRANGE(""1RdEdgHYrZ33LJ7RUHj_h-qkAFL92bcVjtIdVa-UlsCw"", ""Interns!D:D""), 
   IMPORTRANGE(""1RdEdgHYrZ33LJ7RUHj_h-qkAFL92bcVjtIdVa-UlsCw"", ""Interns!M:M""), 
   ""Not Found"")"),"")</f>
        <v/>
      </c>
      <c r="AL794" s="23" t="str">
        <f>IFERROR(__xludf.DUMMYFUNCTION("XLOOKUP(C794, 
   IMPORTRANGE(""1RdEdgHYrZ33LJ7RUHj_h-qkAFL92bcVjtIdVa-UlsCw"", ""Interns!D:D""), 
   IMPORTRANGE(""1RdEdgHYrZ33LJ7RUHj_h-qkAFL92bcVjtIdVa-UlsCw"", ""Interns!N:N""), 
   ""Not Found"")"),"")</f>
        <v/>
      </c>
      <c r="AM794" s="23" t="str">
        <f>IFERROR(__xludf.DUMMYFUNCTION("XLOOKUP(C794, 
   IMPORTRANGE(""1RdEdgHYrZ33LJ7RUHj_h-qkAFL92bcVjtIdVa-UlsCw"", ""Interns!D:D""), 
   IMPORTRANGE(""1RdEdgHYrZ33LJ7RUHj_h-qkAFL92bcVjtIdVa-UlsCw"", ""Interns!O:O""), 
   ""Not Found"")"),"")</f>
        <v/>
      </c>
      <c r="AN794" s="23"/>
      <c r="AO794" s="23" t="s">
        <v>10347</v>
      </c>
      <c r="AP794" s="28" t="s">
        <v>5173</v>
      </c>
      <c r="AQ794" s="28"/>
      <c r="AR794" s="23"/>
      <c r="AS794" s="23"/>
      <c r="AT794" s="23"/>
      <c r="AU794" s="23"/>
      <c r="AV794" s="23"/>
    </row>
    <row r="795">
      <c r="A795" s="28" t="s">
        <v>5161</v>
      </c>
      <c r="B795" s="28" t="s">
        <v>5162</v>
      </c>
      <c r="C795" s="23" t="str">
        <f t="shared" si="1"/>
        <v>Hairys (pronounces 'Iris') Leiva</v>
      </c>
      <c r="D795" s="28" t="s">
        <v>10348</v>
      </c>
      <c r="E795" s="28" t="s">
        <v>10349</v>
      </c>
      <c r="F795" s="23">
        <f t="array" ref="F795">IFERROR(
    INDEX('Hub Interns 226'!A:A, MATCH(C795, 'Hub Interns 226'!B:B, 0)),"")</f>
        <v>560</v>
      </c>
      <c r="G795" s="23">
        <f t="array" ref="G795">IFERROR(
    INDEX('Hub Users 226'!A:A, MATCH(C795, 'Hub Users 226'!B:B, 0)),"")</f>
        <v>993</v>
      </c>
      <c r="H795" s="28">
        <v>417.0</v>
      </c>
      <c r="I795" s="28" t="s">
        <v>107</v>
      </c>
      <c r="J795" s="28" t="s">
        <v>9536</v>
      </c>
      <c r="K795" s="28" t="s">
        <v>5177</v>
      </c>
      <c r="L795" s="28" t="s">
        <v>5196</v>
      </c>
      <c r="M795" s="56" t="s">
        <v>10350</v>
      </c>
      <c r="N795" s="57">
        <v>44313.618055555555</v>
      </c>
      <c r="O795" s="58">
        <v>37514.0</v>
      </c>
      <c r="P795" s="28">
        <f t="shared" si="20"/>
        <v>23</v>
      </c>
      <c r="Q795" s="28" t="s">
        <v>10351</v>
      </c>
      <c r="R795" s="28" t="s">
        <v>10352</v>
      </c>
      <c r="S795" s="28">
        <v>14.0</v>
      </c>
      <c r="T795" s="28">
        <v>34.0</v>
      </c>
      <c r="U795" s="28">
        <v>85.0</v>
      </c>
      <c r="V795" s="28">
        <v>18.0</v>
      </c>
      <c r="W795" s="28" t="s">
        <v>859</v>
      </c>
      <c r="X795" s="28" t="s">
        <v>272</v>
      </c>
      <c r="Y795" s="28" t="s">
        <v>10353</v>
      </c>
      <c r="Z795" s="28" t="s">
        <v>5558</v>
      </c>
      <c r="AA795" s="28" t="s">
        <v>5559</v>
      </c>
      <c r="AB795" s="28">
        <v>10.0</v>
      </c>
      <c r="AC795" s="28" t="s">
        <v>24</v>
      </c>
      <c r="AD795" s="23"/>
      <c r="AE795" s="28" t="s">
        <v>8</v>
      </c>
      <c r="AF795" s="23"/>
      <c r="AG795" s="23"/>
      <c r="AH795" s="23" t="str">
        <f>IFERROR(__xludf.DUMMYFUNCTION("IF(
ISNUMBER(MATCH(
C795,
IMPORTRANGE(""https://docs.google.com/spreadsheets/d/1yTh1ELC33JHYOeEdgIiEclxPRyh0zOKtlawDltfUay8"",""'Interns'!A:A""),
0
)),
""Outreach Conducted"",
"""")"),"")</f>
        <v/>
      </c>
      <c r="AI795" s="23"/>
      <c r="AJ795" s="23"/>
      <c r="AK795" s="23" t="str">
        <f>IFERROR(__xludf.DUMMYFUNCTION("XLOOKUP(C795, 
   IMPORTRANGE(""1RdEdgHYrZ33LJ7RUHj_h-qkAFL92bcVjtIdVa-UlsCw"", ""Interns!D:D""), 
   IMPORTRANGE(""1RdEdgHYrZ33LJ7RUHj_h-qkAFL92bcVjtIdVa-UlsCw"", ""Interns!M:M""), 
   ""Not Found"")"),"Contacted")</f>
        <v>Contacted</v>
      </c>
      <c r="AL795" s="23" t="str">
        <f>IFERROR(__xludf.DUMMYFUNCTION("XLOOKUP(C795, 
   IMPORTRANGE(""1RdEdgHYrZ33LJ7RUHj_h-qkAFL92bcVjtIdVa-UlsCw"", ""Interns!D:D""), 
   IMPORTRANGE(""1RdEdgHYrZ33LJ7RUHj_h-qkAFL92bcVjtIdVa-UlsCw"", ""Interns!N:N""), 
   ""Not Found"")"),"#Cheers4Careers")</f>
        <v>#Cheers4Careers</v>
      </c>
      <c r="AM795" s="23" t="str">
        <f>IFERROR(__xludf.DUMMYFUNCTION("XLOOKUP(C795, 
   IMPORTRANGE(""1RdEdgHYrZ33LJ7RUHj_h-qkAFL92bcVjtIdVa-UlsCw"", ""Interns!D:D""), 
   IMPORTRANGE(""1RdEdgHYrZ33LJ7RUHj_h-qkAFL92bcVjtIdVa-UlsCw"", ""Interns!O:O""), 
   ""Not Found"")"),"Hetal reached out by email 3/27 and text")</f>
        <v>Hetal reached out by email 3/27 and text</v>
      </c>
      <c r="AN795" s="23"/>
      <c r="AO795" s="23" t="s">
        <v>10354</v>
      </c>
      <c r="AP795" s="28" t="s">
        <v>5182</v>
      </c>
      <c r="AQ795" s="28"/>
      <c r="AR795" s="23"/>
      <c r="AS795" s="23"/>
      <c r="AT795" s="23"/>
      <c r="AU795" s="23"/>
      <c r="AV795" s="23"/>
    </row>
    <row r="796">
      <c r="A796" s="28" t="s">
        <v>5202</v>
      </c>
      <c r="B796" s="28" t="s">
        <v>5162</v>
      </c>
      <c r="C796" s="23" t="str">
        <f t="shared" si="1"/>
        <v>Fedjina Voltaire</v>
      </c>
      <c r="D796" s="28" t="s">
        <v>10355</v>
      </c>
      <c r="E796" s="28" t="s">
        <v>10356</v>
      </c>
      <c r="F796" s="23">
        <f t="array" ref="F796">IFERROR(
    INDEX('Hub Interns 226'!A:A, MATCH(C796, 'Hub Interns 226'!B:B, 0)),"")</f>
        <v>521</v>
      </c>
      <c r="G796" s="23">
        <f t="array" ref="G796">IFERROR(
    INDEX('Hub Users 226'!A:A, MATCH(C796, 'Hub Users 226'!B:B, 0)),"")</f>
        <v>954</v>
      </c>
      <c r="H796" s="28">
        <v>823.0</v>
      </c>
      <c r="I796" s="28"/>
      <c r="J796" s="28" t="s">
        <v>10019</v>
      </c>
      <c r="K796" s="28" t="s">
        <v>5177</v>
      </c>
      <c r="L796" s="28" t="s">
        <v>5196</v>
      </c>
      <c r="M796" s="56" t="s">
        <v>10357</v>
      </c>
      <c r="N796" s="57">
        <v>44572.402083333334</v>
      </c>
      <c r="O796" s="58">
        <v>38404.0</v>
      </c>
      <c r="P796" s="28">
        <f t="shared" si="20"/>
        <v>21</v>
      </c>
      <c r="Q796" s="28" t="s">
        <v>240</v>
      </c>
      <c r="R796" s="28" t="s">
        <v>3306</v>
      </c>
      <c r="S796" s="28"/>
      <c r="T796" s="28"/>
      <c r="U796" s="28"/>
      <c r="V796" s="28"/>
      <c r="W796" s="28" t="s">
        <v>1173</v>
      </c>
      <c r="X796" s="28" t="s">
        <v>272</v>
      </c>
      <c r="Y796" s="28" t="s">
        <v>10358</v>
      </c>
      <c r="Z796" s="28" t="s">
        <v>5332</v>
      </c>
      <c r="AA796" s="28" t="s">
        <v>421</v>
      </c>
      <c r="AB796" s="28">
        <v>31.0</v>
      </c>
      <c r="AC796" s="28" t="s">
        <v>24</v>
      </c>
      <c r="AD796" s="23"/>
      <c r="AE796" s="28" t="s">
        <v>10</v>
      </c>
      <c r="AF796" s="23"/>
      <c r="AG796" s="23"/>
      <c r="AH796" s="23" t="str">
        <f>IFERROR(__xludf.DUMMYFUNCTION("IF(
ISNUMBER(MATCH(
C796,
IMPORTRANGE(""https://docs.google.com/spreadsheets/d/1yTh1ELC33JHYOeEdgIiEclxPRyh0zOKtlawDltfUay8"",""'Interns'!A:A""),
0
)),
""Outreach Conducted"",
"""")"),"")</f>
        <v/>
      </c>
      <c r="AI796" s="23"/>
      <c r="AJ796" s="23"/>
      <c r="AK796" s="23" t="str">
        <f>IFERROR(__xludf.DUMMYFUNCTION("XLOOKUP(C796, 
   IMPORTRANGE(""1RdEdgHYrZ33LJ7RUHj_h-qkAFL92bcVjtIdVa-UlsCw"", ""Interns!D:D""), 
   IMPORTRANGE(""1RdEdgHYrZ33LJ7RUHj_h-qkAFL92bcVjtIdVa-UlsCw"", ""Interns!M:M""), 
   ""Not Found"")"),"")</f>
        <v/>
      </c>
      <c r="AL796" s="23" t="str">
        <f>IFERROR(__xludf.DUMMYFUNCTION("XLOOKUP(C796, 
   IMPORTRANGE(""1RdEdgHYrZ33LJ7RUHj_h-qkAFL92bcVjtIdVa-UlsCw"", ""Interns!D:D""), 
   IMPORTRANGE(""1RdEdgHYrZ33LJ7RUHj_h-qkAFL92bcVjtIdVa-UlsCw"", ""Interns!N:N""), 
   ""Not Found"")"),"")</f>
        <v/>
      </c>
      <c r="AM796" s="23" t="str">
        <f>IFERROR(__xludf.DUMMYFUNCTION("XLOOKUP(C796, 
   IMPORTRANGE(""1RdEdgHYrZ33LJ7RUHj_h-qkAFL92bcVjtIdVa-UlsCw"", ""Interns!D:D""), 
   IMPORTRANGE(""1RdEdgHYrZ33LJ7RUHj_h-qkAFL92bcVjtIdVa-UlsCw"", ""Interns!O:O""), 
   ""Not Found"")"),"")</f>
        <v/>
      </c>
      <c r="AN796" s="23"/>
      <c r="AO796" s="23" t="s">
        <v>10359</v>
      </c>
      <c r="AP796" s="28" t="s">
        <v>5191</v>
      </c>
      <c r="AQ796" s="28"/>
      <c r="AR796" s="23"/>
      <c r="AS796" s="23"/>
      <c r="AT796" s="23"/>
      <c r="AU796" s="23"/>
      <c r="AV796" s="23"/>
    </row>
    <row r="797">
      <c r="A797" s="28" t="s">
        <v>5161</v>
      </c>
      <c r="B797" s="28" t="s">
        <v>5162</v>
      </c>
      <c r="C797" s="23" t="str">
        <f t="shared" si="1"/>
        <v>Gelber Garcia</v>
      </c>
      <c r="D797" s="28" t="s">
        <v>10360</v>
      </c>
      <c r="E797" s="28" t="s">
        <v>1484</v>
      </c>
      <c r="F797" s="23">
        <f t="array" ref="F797">IFERROR(
    INDEX('Hub Interns 226'!A:A, MATCH(C797, 'Hub Interns 226'!B:B, 0)),"")</f>
        <v>547</v>
      </c>
      <c r="G797" s="23">
        <f t="array" ref="G797">IFERROR(
    INDEX('Hub Users 226'!A:A, MATCH(C797, 'Hub Users 226'!B:B, 0)),"")</f>
        <v>980</v>
      </c>
      <c r="H797" s="28">
        <v>786.0</v>
      </c>
      <c r="I797" s="28" t="s">
        <v>407</v>
      </c>
      <c r="J797" s="28" t="s">
        <v>9536</v>
      </c>
      <c r="K797" s="28" t="s">
        <v>5177</v>
      </c>
      <c r="L797" s="28" t="s">
        <v>5165</v>
      </c>
      <c r="M797" s="56" t="s">
        <v>10361</v>
      </c>
      <c r="N797" s="59">
        <v>44553.60625</v>
      </c>
      <c r="O797" s="58">
        <v>37449.0</v>
      </c>
      <c r="P797" s="28">
        <f t="shared" si="20"/>
        <v>23</v>
      </c>
      <c r="Q797" s="28" t="s">
        <v>240</v>
      </c>
      <c r="R797" s="28" t="s">
        <v>10362</v>
      </c>
      <c r="S797" s="28">
        <v>11.0</v>
      </c>
      <c r="T797" s="28">
        <v>17.0</v>
      </c>
      <c r="U797" s="28">
        <v>46.0</v>
      </c>
      <c r="V797" s="28">
        <v>47.0</v>
      </c>
      <c r="W797" s="28" t="s">
        <v>294</v>
      </c>
      <c r="X797" s="28" t="s">
        <v>272</v>
      </c>
      <c r="Y797" s="28" t="s">
        <v>10363</v>
      </c>
      <c r="Z797" s="28" t="s">
        <v>5386</v>
      </c>
      <c r="AA797" s="28" t="s">
        <v>1887</v>
      </c>
      <c r="AB797" s="28">
        <v>47.0</v>
      </c>
      <c r="AC797" s="28" t="s">
        <v>25</v>
      </c>
      <c r="AD797" s="23"/>
      <c r="AE797" s="28" t="s">
        <v>10</v>
      </c>
      <c r="AF797" s="23" t="str">
        <f>IFERROR(__xludf.DUMMYFUNCTION("TEXTJOIN("", "", TRUE,
  FILTER(Champions!C:C,
    ISNUMBER(SEARCH(C797, Champions!W:W))
  )
)"),"Wendy Velasquez Ebanks")</f>
        <v>Wendy Velasquez Ebanks</v>
      </c>
      <c r="AG797" s="23"/>
      <c r="AH797" s="23" t="str">
        <f>IFERROR(__xludf.DUMMYFUNCTION("IF(
ISNUMBER(MATCH(
C797,
IMPORTRANGE(""https://docs.google.com/spreadsheets/d/1yTh1ELC33JHYOeEdgIiEclxPRyh0zOKtlawDltfUay8"",""'Interns'!A:A""),
0
)),
""Outreach Conducted"",
"""")"),"")</f>
        <v/>
      </c>
      <c r="AI797" s="23"/>
      <c r="AJ797" s="23"/>
      <c r="AK797" s="23" t="str">
        <f>IFERROR(__xludf.DUMMYFUNCTION("XLOOKUP(C797, 
   IMPORTRANGE(""1RdEdgHYrZ33LJ7RUHj_h-qkAFL92bcVjtIdVa-UlsCw"", ""Interns!D:D""), 
   IMPORTRANGE(""1RdEdgHYrZ33LJ7RUHj_h-qkAFL92bcVjtIdVa-UlsCw"", ""Interns!M:M""), 
   ""Not Found"")"),"Contacted")</f>
        <v>Contacted</v>
      </c>
      <c r="AL797" s="23" t="str">
        <f>IFERROR(__xludf.DUMMYFUNCTION("XLOOKUP(C797, 
   IMPORTRANGE(""1RdEdgHYrZ33LJ7RUHj_h-qkAFL92bcVjtIdVa-UlsCw"", ""Interns!D:D""), 
   IMPORTRANGE(""1RdEdgHYrZ33LJ7RUHj_h-qkAFL92bcVjtIdVa-UlsCw"", ""Interns!N:N""), 
   ""Not Found"")"),"#Cheers4Careers")</f>
        <v>#Cheers4Careers</v>
      </c>
      <c r="AM797" s="23" t="str">
        <f>IFERROR(__xludf.DUMMYFUNCTION("XLOOKUP(C797, 
   IMPORTRANGE(""1RdEdgHYrZ33LJ7RUHj_h-qkAFL92bcVjtIdVa-UlsCw"", ""Interns!D:D""), 
   IMPORTRANGE(""1RdEdgHYrZ33LJ7RUHj_h-qkAFL92bcVjtIdVa-UlsCw"", ""Interns!O:O""), 
   ""Not Found"")"),"Hetal reached out by email 3/27")</f>
        <v>Hetal reached out by email 3/27</v>
      </c>
      <c r="AN797" s="23"/>
      <c r="AO797" s="23" t="s">
        <v>10364</v>
      </c>
      <c r="AP797" s="28" t="s">
        <v>5182</v>
      </c>
      <c r="AQ797" s="28" t="s">
        <v>10365</v>
      </c>
      <c r="AR797" s="23" t="s">
        <v>10366</v>
      </c>
      <c r="AS797" s="23"/>
      <c r="AT797" s="23"/>
      <c r="AU797" s="23"/>
      <c r="AV797" s="23"/>
    </row>
    <row r="798">
      <c r="A798" s="28" t="s">
        <v>5202</v>
      </c>
      <c r="B798" s="28" t="s">
        <v>5162</v>
      </c>
      <c r="C798" s="23" t="str">
        <f t="shared" si="1"/>
        <v>Wayne Desvarieux</v>
      </c>
      <c r="D798" s="28" t="s">
        <v>10367</v>
      </c>
      <c r="E798" s="28" t="s">
        <v>10368</v>
      </c>
      <c r="F798" s="23">
        <f t="array" ref="F798">IFERROR(
    INDEX('Hub Interns 226'!A:A, MATCH(C798, 'Hub Interns 226'!B:B, 0)),"")</f>
        <v>1183</v>
      </c>
      <c r="G798" s="23">
        <f t="array" ref="G798">IFERROR(
    INDEX('Hub Users 226'!A:A, MATCH(C798, 'Hub Users 226'!B:B, 0)),"")</f>
        <v>1616</v>
      </c>
      <c r="H798" s="28">
        <v>824.0</v>
      </c>
      <c r="I798" s="28" t="s">
        <v>239</v>
      </c>
      <c r="J798" s="28" t="s">
        <v>10019</v>
      </c>
      <c r="K798" s="28" t="s">
        <v>5177</v>
      </c>
      <c r="L798" s="28" t="s">
        <v>5165</v>
      </c>
      <c r="M798" s="56" t="s">
        <v>10369</v>
      </c>
      <c r="N798" s="57">
        <v>44572.40277777778</v>
      </c>
      <c r="O798" s="58">
        <v>38254.0</v>
      </c>
      <c r="P798" s="28">
        <f t="shared" si="20"/>
        <v>21</v>
      </c>
      <c r="Q798" s="28" t="s">
        <v>240</v>
      </c>
      <c r="R798" s="28" t="s">
        <v>3306</v>
      </c>
      <c r="S798" s="28"/>
      <c r="T798" s="28"/>
      <c r="U798" s="28"/>
      <c r="V798" s="28"/>
      <c r="W798" s="28" t="s">
        <v>1173</v>
      </c>
      <c r="X798" s="28" t="s">
        <v>272</v>
      </c>
      <c r="Y798" s="28" t="s">
        <v>10370</v>
      </c>
      <c r="Z798" s="28" t="s">
        <v>5332</v>
      </c>
      <c r="AA798" s="28" t="s">
        <v>421</v>
      </c>
      <c r="AB798" s="28">
        <v>31.0</v>
      </c>
      <c r="AC798" s="28" t="s">
        <v>24</v>
      </c>
      <c r="AD798" s="23"/>
      <c r="AE798" s="28" t="s">
        <v>10</v>
      </c>
      <c r="AF798" s="23"/>
      <c r="AG798" s="23"/>
      <c r="AH798" s="23" t="str">
        <f>IFERROR(__xludf.DUMMYFUNCTION("IF(
ISNUMBER(MATCH(
C798,
IMPORTRANGE(""https://docs.google.com/spreadsheets/d/1yTh1ELC33JHYOeEdgIiEclxPRyh0zOKtlawDltfUay8"",""'Interns'!A:A""),
0
)),
""Outreach Conducted"",
"""")"),"")</f>
        <v/>
      </c>
      <c r="AI798" s="23"/>
      <c r="AJ798" s="23"/>
      <c r="AK798" s="23" t="str">
        <f>IFERROR(__xludf.DUMMYFUNCTION("XLOOKUP(C798, 
   IMPORTRANGE(""1RdEdgHYrZ33LJ7RUHj_h-qkAFL92bcVjtIdVa-UlsCw"", ""Interns!D:D""), 
   IMPORTRANGE(""1RdEdgHYrZ33LJ7RUHj_h-qkAFL92bcVjtIdVa-UlsCw"", ""Interns!M:M""), 
   ""Not Found"")"),"")</f>
        <v/>
      </c>
      <c r="AL798" s="23" t="str">
        <f>IFERROR(__xludf.DUMMYFUNCTION("XLOOKUP(C798, 
   IMPORTRANGE(""1RdEdgHYrZ33LJ7RUHj_h-qkAFL92bcVjtIdVa-UlsCw"", ""Interns!D:D""), 
   IMPORTRANGE(""1RdEdgHYrZ33LJ7RUHj_h-qkAFL92bcVjtIdVa-UlsCw"", ""Interns!N:N""), 
   ""Not Found"")"),"")</f>
        <v/>
      </c>
      <c r="AM798" s="23" t="str">
        <f>IFERROR(__xludf.DUMMYFUNCTION("XLOOKUP(C798, 
   IMPORTRANGE(""1RdEdgHYrZ33LJ7RUHj_h-qkAFL92bcVjtIdVa-UlsCw"", ""Interns!D:D""), 
   IMPORTRANGE(""1RdEdgHYrZ33LJ7RUHj_h-qkAFL92bcVjtIdVa-UlsCw"", ""Interns!O:O""), 
   ""Not Found"")"),"")</f>
        <v/>
      </c>
      <c r="AN798" s="23"/>
      <c r="AO798" s="23" t="s">
        <v>10371</v>
      </c>
      <c r="AP798" s="28" t="s">
        <v>5182</v>
      </c>
      <c r="AQ798" s="28"/>
      <c r="AR798" s="23"/>
      <c r="AS798" s="23"/>
      <c r="AT798" s="23"/>
      <c r="AU798" s="23"/>
      <c r="AV798" s="23"/>
    </row>
    <row r="799">
      <c r="A799" s="28" t="s">
        <v>5161</v>
      </c>
      <c r="B799" s="28" t="s">
        <v>5162</v>
      </c>
      <c r="C799" s="23" t="str">
        <f t="shared" si="1"/>
        <v>Jefry García Par</v>
      </c>
      <c r="D799" s="28" t="s">
        <v>10372</v>
      </c>
      <c r="E799" s="28" t="s">
        <v>10373</v>
      </c>
      <c r="F799" s="23">
        <f t="array" ref="F799">IFERROR(
    INDEX('Hub Interns 226'!A:A, MATCH(C799, 'Hub Interns 226'!B:B, 0)),"")</f>
        <v>648</v>
      </c>
      <c r="G799" s="28">
        <v>1081.0</v>
      </c>
      <c r="H799" s="28">
        <v>1333.0</v>
      </c>
      <c r="I799" s="28" t="s">
        <v>260</v>
      </c>
      <c r="J799" s="28" t="s">
        <v>9536</v>
      </c>
      <c r="K799" s="28" t="s">
        <v>5177</v>
      </c>
      <c r="L799" s="28" t="s">
        <v>5165</v>
      </c>
      <c r="M799" s="56" t="s">
        <v>10374</v>
      </c>
      <c r="N799" s="59">
        <v>44852.944444444445</v>
      </c>
      <c r="O799" s="58">
        <v>38605.0</v>
      </c>
      <c r="P799" s="28">
        <f t="shared" si="20"/>
        <v>20</v>
      </c>
      <c r="Q799" s="28" t="s">
        <v>240</v>
      </c>
      <c r="R799" s="28" t="s">
        <v>10375</v>
      </c>
      <c r="S799" s="28">
        <v>6.0</v>
      </c>
      <c r="T799" s="28">
        <v>11.0</v>
      </c>
      <c r="U799" s="28">
        <v>24.0</v>
      </c>
      <c r="V799" s="28">
        <v>23.0</v>
      </c>
      <c r="W799" s="28" t="s">
        <v>1173</v>
      </c>
      <c r="X799" s="28" t="s">
        <v>272</v>
      </c>
      <c r="Y799" s="28" t="s">
        <v>10376</v>
      </c>
      <c r="Z799" s="28" t="s">
        <v>5332</v>
      </c>
      <c r="AA799" s="28" t="s">
        <v>421</v>
      </c>
      <c r="AB799" s="28">
        <v>31.0</v>
      </c>
      <c r="AC799" s="28" t="s">
        <v>23</v>
      </c>
      <c r="AD799" s="23"/>
      <c r="AE799" s="28" t="s">
        <v>15</v>
      </c>
      <c r="AF799" s="23"/>
      <c r="AG799" s="23"/>
      <c r="AH799" s="23" t="str">
        <f>IFERROR(__xludf.DUMMYFUNCTION("IF(
ISNUMBER(MATCH(
C799,
IMPORTRANGE(""https://docs.google.com/spreadsheets/d/1yTh1ELC33JHYOeEdgIiEclxPRyh0zOKtlawDltfUay8"",""'Interns'!A:A""),
0
)),
""Outreach Conducted"",
"""")"),"")</f>
        <v/>
      </c>
      <c r="AI799" s="23"/>
      <c r="AJ799" s="23"/>
      <c r="AK799" s="23" t="str">
        <f>IFERROR(__xludf.DUMMYFUNCTION("XLOOKUP(C799, 
   IMPORTRANGE(""1RdEdgHYrZ33LJ7RUHj_h-qkAFL92bcVjtIdVa-UlsCw"", ""Interns!D:D""), 
   IMPORTRANGE(""1RdEdgHYrZ33LJ7RUHj_h-qkAFL92bcVjtIdVa-UlsCw"", ""Interns!M:M""), 
   ""Not Found"")"),"Contacted")</f>
        <v>Contacted</v>
      </c>
      <c r="AL799" s="23" t="str">
        <f>IFERROR(__xludf.DUMMYFUNCTION("XLOOKUP(C799, 
   IMPORTRANGE(""1RdEdgHYrZ33LJ7RUHj_h-qkAFL92bcVjtIdVa-UlsCw"", ""Interns!D:D""), 
   IMPORTRANGE(""1RdEdgHYrZ33LJ7RUHj_h-qkAFL92bcVjtIdVa-UlsCw"", ""Interns!N:N""), 
   ""Not Found"")"),"#Cheers4Careers")</f>
        <v>#Cheers4Careers</v>
      </c>
      <c r="AM799" s="23" t="str">
        <f>IFERROR(__xludf.DUMMYFUNCTION("XLOOKUP(C799, 
   IMPORTRANGE(""1RdEdgHYrZ33LJ7RUHj_h-qkAFL92bcVjtIdVa-UlsCw"", ""Interns!D:D""), 
   IMPORTRANGE(""1RdEdgHYrZ33LJ7RUHj_h-qkAFL92bcVjtIdVa-UlsCw"", ""Interns!O:O""), 
   ""Not Found"")"),"Hetal reached out March 27 for March #Cheers4 Careers ")</f>
        <v>Hetal reached out March 27 for March #Cheers4 Careers </v>
      </c>
      <c r="AN799" s="23"/>
      <c r="AO799" s="23" t="s">
        <v>10377</v>
      </c>
      <c r="AP799" s="28" t="s">
        <v>5182</v>
      </c>
      <c r="AQ799" s="28"/>
      <c r="AR799" s="23"/>
      <c r="AS799" s="23"/>
      <c r="AT799" s="23"/>
      <c r="AU799" s="23"/>
      <c r="AV799" s="23"/>
    </row>
    <row r="800">
      <c r="A800" s="28" t="s">
        <v>5161</v>
      </c>
      <c r="B800" s="28" t="s">
        <v>5162</v>
      </c>
      <c r="C800" s="23" t="str">
        <f t="shared" si="1"/>
        <v>Brayan Orozco</v>
      </c>
      <c r="D800" s="28" t="s">
        <v>10378</v>
      </c>
      <c r="E800" s="28" t="s">
        <v>10379</v>
      </c>
      <c r="F800" s="23">
        <f t="array" ref="F800">IFERROR(
    INDEX('Hub Interns 226'!A:A, MATCH(C800, 'Hub Interns 226'!B:B, 0)),"")</f>
        <v>308</v>
      </c>
      <c r="G800" s="23">
        <f t="array" ref="G800">IFERROR(
    INDEX('Hub Users 226'!A:A, MATCH(C800, 'Hub Users 226'!B:B, 0)),"")</f>
        <v>741</v>
      </c>
      <c r="H800" s="28">
        <v>1280.0</v>
      </c>
      <c r="I800" s="28"/>
      <c r="J800" s="28" t="s">
        <v>9536</v>
      </c>
      <c r="K800" s="28" t="s">
        <v>5177</v>
      </c>
      <c r="L800" s="28" t="s">
        <v>5165</v>
      </c>
      <c r="M800" s="56" t="s">
        <v>10380</v>
      </c>
      <c r="N800" s="59">
        <v>44845.60902777778</v>
      </c>
      <c r="O800" s="58">
        <v>39176.0</v>
      </c>
      <c r="P800" s="28">
        <f t="shared" si="20"/>
        <v>19</v>
      </c>
      <c r="Q800" s="28" t="s">
        <v>240</v>
      </c>
      <c r="R800" s="28" t="s">
        <v>10381</v>
      </c>
      <c r="S800" s="28">
        <v>13.0</v>
      </c>
      <c r="T800" s="28">
        <v>33.0</v>
      </c>
      <c r="U800" s="28">
        <v>78.0</v>
      </c>
      <c r="V800" s="28">
        <v>15.0</v>
      </c>
      <c r="W800" s="28" t="s">
        <v>859</v>
      </c>
      <c r="X800" s="28" t="s">
        <v>272</v>
      </c>
      <c r="Y800" s="28" t="s">
        <v>10382</v>
      </c>
      <c r="Z800" s="28" t="s">
        <v>5918</v>
      </c>
      <c r="AA800" s="28" t="s">
        <v>477</v>
      </c>
      <c r="AB800" s="28">
        <v>15.0</v>
      </c>
      <c r="AC800" s="28" t="s">
        <v>23</v>
      </c>
      <c r="AD800" s="23"/>
      <c r="AE800" s="28" t="s">
        <v>15</v>
      </c>
      <c r="AF800" s="23"/>
      <c r="AG800" s="23"/>
      <c r="AH800" s="23" t="str">
        <f>IFERROR(__xludf.DUMMYFUNCTION("IF(
ISNUMBER(MATCH(
C800,
IMPORTRANGE(""https://docs.google.com/spreadsheets/d/1yTh1ELC33JHYOeEdgIiEclxPRyh0zOKtlawDltfUay8"",""'Interns'!A:A""),
0
)),
""Outreach Conducted"",
"""")"),"")</f>
        <v/>
      </c>
      <c r="AI800" s="23"/>
      <c r="AJ800" s="23"/>
      <c r="AK800" s="23" t="str">
        <f>IFERROR(__xludf.DUMMYFUNCTION("XLOOKUP(C800, 
   IMPORTRANGE(""1RdEdgHYrZ33LJ7RUHj_h-qkAFL92bcVjtIdVa-UlsCw"", ""Interns!D:D""), 
   IMPORTRANGE(""1RdEdgHYrZ33LJ7RUHj_h-qkAFL92bcVjtIdVa-UlsCw"", ""Interns!M:M""), 
   ""Not Found"")"),"")</f>
        <v/>
      </c>
      <c r="AL800" s="23" t="str">
        <f>IFERROR(__xludf.DUMMYFUNCTION("XLOOKUP(C800, 
   IMPORTRANGE(""1RdEdgHYrZ33LJ7RUHj_h-qkAFL92bcVjtIdVa-UlsCw"", ""Interns!D:D""), 
   IMPORTRANGE(""1RdEdgHYrZ33LJ7RUHj_h-qkAFL92bcVjtIdVa-UlsCw"", ""Interns!N:N""), 
   ""Not Found"")"),"")</f>
        <v/>
      </c>
      <c r="AM800" s="23" t="str">
        <f>IFERROR(__xludf.DUMMYFUNCTION("XLOOKUP(C800, 
   IMPORTRANGE(""1RdEdgHYrZ33LJ7RUHj_h-qkAFL92bcVjtIdVa-UlsCw"", ""Interns!D:D""), 
   IMPORTRANGE(""1RdEdgHYrZ33LJ7RUHj_h-qkAFL92bcVjtIdVa-UlsCw"", ""Interns!O:O""), 
   ""Not Found"")"),"")</f>
        <v/>
      </c>
      <c r="AN800" s="23"/>
      <c r="AO800" s="23" t="s">
        <v>10383</v>
      </c>
      <c r="AP800" s="28" t="s">
        <v>5182</v>
      </c>
      <c r="AQ800" s="28"/>
      <c r="AR800" s="23"/>
      <c r="AS800" s="23"/>
      <c r="AT800" s="23"/>
      <c r="AU800" s="23"/>
      <c r="AV800" s="23"/>
    </row>
    <row r="801">
      <c r="A801" s="28" t="s">
        <v>5161</v>
      </c>
      <c r="B801" s="28" t="s">
        <v>5162</v>
      </c>
      <c r="C801" s="23" t="str">
        <f t="shared" si="1"/>
        <v>Kevin Orozco Miranda</v>
      </c>
      <c r="D801" s="28" t="s">
        <v>3690</v>
      </c>
      <c r="E801" s="28" t="s">
        <v>10384</v>
      </c>
      <c r="F801" s="23">
        <f t="array" ref="F801">IFERROR(
    INDEX('Hub Interns 226'!A:A, MATCH(C801, 'Hub Interns 226'!B:B, 0)),"")</f>
        <v>751</v>
      </c>
      <c r="G801" s="23">
        <f t="array" ref="G801">IFERROR(
    INDEX('Hub Users 226'!A:A, MATCH(C801, 'Hub Users 226'!B:B, 0)),"")</f>
        <v>1184</v>
      </c>
      <c r="H801" s="28">
        <v>1329.0</v>
      </c>
      <c r="I801" s="28"/>
      <c r="J801" s="28" t="s">
        <v>9536</v>
      </c>
      <c r="K801" s="28" t="s">
        <v>5177</v>
      </c>
      <c r="L801" s="28" t="s">
        <v>5165</v>
      </c>
      <c r="M801" s="56" t="s">
        <v>10385</v>
      </c>
      <c r="N801" s="59">
        <v>44852.59166666667</v>
      </c>
      <c r="O801" s="58">
        <v>38741.0</v>
      </c>
      <c r="P801" s="28">
        <f t="shared" si="20"/>
        <v>20</v>
      </c>
      <c r="Q801" s="28" t="s">
        <v>240</v>
      </c>
      <c r="R801" s="28" t="s">
        <v>10386</v>
      </c>
      <c r="S801" s="28">
        <v>13.0</v>
      </c>
      <c r="T801" s="28">
        <v>33.0</v>
      </c>
      <c r="U801" s="28">
        <v>78.0</v>
      </c>
      <c r="V801" s="28">
        <v>15.0</v>
      </c>
      <c r="W801" s="28" t="s">
        <v>859</v>
      </c>
      <c r="X801" s="28" t="s">
        <v>272</v>
      </c>
      <c r="Y801" s="28" t="s">
        <v>10387</v>
      </c>
      <c r="Z801" s="28" t="s">
        <v>5918</v>
      </c>
      <c r="AA801" s="28" t="s">
        <v>477</v>
      </c>
      <c r="AB801" s="28">
        <v>15.0</v>
      </c>
      <c r="AC801" s="28" t="s">
        <v>23</v>
      </c>
      <c r="AD801" s="23"/>
      <c r="AE801" s="28" t="s">
        <v>15</v>
      </c>
      <c r="AF801" s="23"/>
      <c r="AG801" s="23"/>
      <c r="AH801" s="23" t="str">
        <f>IFERROR(__xludf.DUMMYFUNCTION("IF(
ISNUMBER(MATCH(
C801,
IMPORTRANGE(""https://docs.google.com/spreadsheets/d/1yTh1ELC33JHYOeEdgIiEclxPRyh0zOKtlawDltfUay8"",""'Interns'!A:A""),
0
)),
""Outreach Conducted"",
"""")"),"")</f>
        <v/>
      </c>
      <c r="AI801" s="23"/>
      <c r="AJ801" s="23"/>
      <c r="AK801" s="23" t="str">
        <f>IFERROR(__xludf.DUMMYFUNCTION("XLOOKUP(C801, 
   IMPORTRANGE(""1RdEdgHYrZ33LJ7RUHj_h-qkAFL92bcVjtIdVa-UlsCw"", ""Interns!D:D""), 
   IMPORTRANGE(""1RdEdgHYrZ33LJ7RUHj_h-qkAFL92bcVjtIdVa-UlsCw"", ""Interns!M:M""), 
   ""Not Found"")"),"")</f>
        <v/>
      </c>
      <c r="AL801" s="23" t="str">
        <f>IFERROR(__xludf.DUMMYFUNCTION("XLOOKUP(C801, 
   IMPORTRANGE(""1RdEdgHYrZ33LJ7RUHj_h-qkAFL92bcVjtIdVa-UlsCw"", ""Interns!D:D""), 
   IMPORTRANGE(""1RdEdgHYrZ33LJ7RUHj_h-qkAFL92bcVjtIdVa-UlsCw"", ""Interns!N:N""), 
   ""Not Found"")"),"")</f>
        <v/>
      </c>
      <c r="AM801" s="23" t="str">
        <f>IFERROR(__xludf.DUMMYFUNCTION("XLOOKUP(C801, 
   IMPORTRANGE(""1RdEdgHYrZ33LJ7RUHj_h-qkAFL92bcVjtIdVa-UlsCw"", ""Interns!D:D""), 
   IMPORTRANGE(""1RdEdgHYrZ33LJ7RUHj_h-qkAFL92bcVjtIdVa-UlsCw"", ""Interns!O:O""), 
   ""Not Found"")"),"")</f>
        <v/>
      </c>
      <c r="AN801" s="23"/>
      <c r="AO801" s="23" t="s">
        <v>10383</v>
      </c>
      <c r="AP801" s="28" t="s">
        <v>5182</v>
      </c>
      <c r="AQ801" s="28"/>
      <c r="AR801" s="23"/>
      <c r="AS801" s="23"/>
      <c r="AT801" s="23"/>
      <c r="AU801" s="23"/>
      <c r="AV801" s="23"/>
    </row>
    <row r="802">
      <c r="A802" s="28" t="s">
        <v>5161</v>
      </c>
      <c r="B802" s="28" t="s">
        <v>5162</v>
      </c>
      <c r="C802" s="23" t="str">
        <f t="shared" si="1"/>
        <v>Maria Larias</v>
      </c>
      <c r="D802" s="28" t="s">
        <v>2308</v>
      </c>
      <c r="E802" s="28" t="s">
        <v>9583</v>
      </c>
      <c r="F802" s="23">
        <f t="array" ref="F802">IFERROR(
    INDEX('Hub Interns 226'!A:A, MATCH(C802, 'Hub Interns 226'!B:B, 0)),"")</f>
        <v>895</v>
      </c>
      <c r="G802" s="23">
        <f t="array" ref="G802">IFERROR(
    INDEX('Hub Users 226'!A:A, MATCH(C802, 'Hub Users 226'!B:B, 0)),"")</f>
        <v>1328</v>
      </c>
      <c r="H802" s="28">
        <v>1297.0</v>
      </c>
      <c r="I802" s="28"/>
      <c r="J802" s="28" t="s">
        <v>9536</v>
      </c>
      <c r="K802" s="28" t="s">
        <v>5177</v>
      </c>
      <c r="L802" s="28" t="s">
        <v>5196</v>
      </c>
      <c r="M802" s="56" t="s">
        <v>10388</v>
      </c>
      <c r="N802" s="59">
        <v>44846.54513888889</v>
      </c>
      <c r="O802" s="58">
        <v>38497.0</v>
      </c>
      <c r="P802" s="28">
        <f t="shared" si="20"/>
        <v>20</v>
      </c>
      <c r="Q802" s="28" t="s">
        <v>240</v>
      </c>
      <c r="R802" s="28" t="s">
        <v>10389</v>
      </c>
      <c r="S802" s="28">
        <v>14.0</v>
      </c>
      <c r="T802" s="28">
        <v>34.0</v>
      </c>
      <c r="U802" s="28">
        <v>82.0</v>
      </c>
      <c r="V802" s="28">
        <v>13.0</v>
      </c>
      <c r="W802" s="28" t="s">
        <v>859</v>
      </c>
      <c r="X802" s="28" t="s">
        <v>272</v>
      </c>
      <c r="Y802" s="28" t="s">
        <v>10390</v>
      </c>
      <c r="Z802" s="28" t="s">
        <v>5918</v>
      </c>
      <c r="AA802" s="28" t="s">
        <v>477</v>
      </c>
      <c r="AB802" s="28">
        <v>15.0</v>
      </c>
      <c r="AC802" s="28" t="s">
        <v>23</v>
      </c>
      <c r="AD802" s="23"/>
      <c r="AE802" s="28" t="s">
        <v>15</v>
      </c>
      <c r="AF802" s="23"/>
      <c r="AG802" s="23"/>
      <c r="AH802" s="23" t="str">
        <f>IFERROR(__xludf.DUMMYFUNCTION("IF(
ISNUMBER(MATCH(
C802,
IMPORTRANGE(""https://docs.google.com/spreadsheets/d/1yTh1ELC33JHYOeEdgIiEclxPRyh0zOKtlawDltfUay8"",""'Interns'!A:A""),
0
)),
""Outreach Conducted"",
"""")"),"")</f>
        <v/>
      </c>
      <c r="AI802" s="23"/>
      <c r="AJ802" s="23"/>
      <c r="AK802" s="23" t="str">
        <f>IFERROR(__xludf.DUMMYFUNCTION("XLOOKUP(C802, 
   IMPORTRANGE(""1RdEdgHYrZ33LJ7RUHj_h-qkAFL92bcVjtIdVa-UlsCw"", ""Interns!D:D""), 
   IMPORTRANGE(""1RdEdgHYrZ33LJ7RUHj_h-qkAFL92bcVjtIdVa-UlsCw"", ""Interns!M:M""), 
   ""Not Found"")"),"")</f>
        <v/>
      </c>
      <c r="AL802" s="23" t="str">
        <f>IFERROR(__xludf.DUMMYFUNCTION("XLOOKUP(C802, 
   IMPORTRANGE(""1RdEdgHYrZ33LJ7RUHj_h-qkAFL92bcVjtIdVa-UlsCw"", ""Interns!D:D""), 
   IMPORTRANGE(""1RdEdgHYrZ33LJ7RUHj_h-qkAFL92bcVjtIdVa-UlsCw"", ""Interns!N:N""), 
   ""Not Found"")"),"")</f>
        <v/>
      </c>
      <c r="AM802" s="23" t="str">
        <f>IFERROR(__xludf.DUMMYFUNCTION("XLOOKUP(C802, 
   IMPORTRANGE(""1RdEdgHYrZ33LJ7RUHj_h-qkAFL92bcVjtIdVa-UlsCw"", ""Interns!D:D""), 
   IMPORTRANGE(""1RdEdgHYrZ33LJ7RUHj_h-qkAFL92bcVjtIdVa-UlsCw"", ""Interns!O:O""), 
   ""Not Found"")"),"")</f>
        <v/>
      </c>
      <c r="AN802" s="23"/>
      <c r="AO802" s="23" t="s">
        <v>10391</v>
      </c>
      <c r="AP802" s="28" t="s">
        <v>5908</v>
      </c>
      <c r="AQ802" s="28"/>
      <c r="AR802" s="23"/>
      <c r="AS802" s="23"/>
      <c r="AT802" s="23"/>
      <c r="AU802" s="23"/>
      <c r="AV802" s="23"/>
    </row>
    <row r="803">
      <c r="A803" s="28" t="s">
        <v>5202</v>
      </c>
      <c r="B803" s="28" t="s">
        <v>31</v>
      </c>
      <c r="C803" s="23" t="str">
        <f t="shared" si="1"/>
        <v>Dante. Matthews</v>
      </c>
      <c r="D803" s="28" t="s">
        <v>10392</v>
      </c>
      <c r="E803" s="28" t="s">
        <v>10393</v>
      </c>
      <c r="F803" s="23" t="str">
        <f t="array" ref="F803">IFERROR(
    INDEX('Hub Interns 226'!A:A, MATCH(C803, 'Hub Interns 226'!B:B, 0)),"")</f>
        <v/>
      </c>
      <c r="G803" s="23" t="str">
        <f t="array" ref="G803">IFERROR(
    INDEX('Hub Users 226'!A:A, MATCH(C803, 'Hub Users 226'!B:B, 0)),"")</f>
        <v/>
      </c>
      <c r="H803" s="28">
        <v>957.0</v>
      </c>
      <c r="I803" s="28" t="s">
        <v>239</v>
      </c>
      <c r="J803" s="28"/>
      <c r="K803" s="28"/>
      <c r="L803" s="28" t="s">
        <v>5165</v>
      </c>
      <c r="M803" s="56" t="s">
        <v>10394</v>
      </c>
      <c r="N803" s="57">
        <v>44628.39861111111</v>
      </c>
      <c r="O803" s="58">
        <v>38385.0</v>
      </c>
      <c r="P803" s="28">
        <f t="shared" si="20"/>
        <v>21</v>
      </c>
      <c r="Q803" s="28" t="s">
        <v>240</v>
      </c>
      <c r="R803" s="28" t="s">
        <v>10395</v>
      </c>
      <c r="S803" s="28"/>
      <c r="T803" s="28"/>
      <c r="U803" s="28"/>
      <c r="V803" s="28"/>
      <c r="W803" s="28" t="s">
        <v>1173</v>
      </c>
      <c r="X803" s="28" t="s">
        <v>272</v>
      </c>
      <c r="Y803" s="28" t="s">
        <v>10396</v>
      </c>
      <c r="Z803" s="28" t="s">
        <v>5332</v>
      </c>
      <c r="AA803" s="28" t="s">
        <v>421</v>
      </c>
      <c r="AB803" s="28">
        <v>31.0</v>
      </c>
      <c r="AC803" s="28" t="s">
        <v>24</v>
      </c>
      <c r="AD803" s="23"/>
      <c r="AE803" s="28" t="s">
        <v>10</v>
      </c>
      <c r="AF803" s="23"/>
      <c r="AG803" s="23"/>
      <c r="AH803" s="23" t="str">
        <f>IFERROR(__xludf.DUMMYFUNCTION("IF(
ISNUMBER(MATCH(
C803,
IMPORTRANGE(""https://docs.google.com/spreadsheets/d/1yTh1ELC33JHYOeEdgIiEclxPRyh0zOKtlawDltfUay8"",""'Interns'!A:A""),
0
)),
""Outreach Conducted"",
"""")"),"")</f>
        <v/>
      </c>
      <c r="AI803" s="23"/>
      <c r="AJ803" s="23"/>
      <c r="AK803" s="23" t="str">
        <f>IFERROR(__xludf.DUMMYFUNCTION("XLOOKUP(C803, 
   IMPORTRANGE(""1RdEdgHYrZ33LJ7RUHj_h-qkAFL92bcVjtIdVa-UlsCw"", ""Interns!D:D""), 
   IMPORTRANGE(""1RdEdgHYrZ33LJ7RUHj_h-qkAFL92bcVjtIdVa-UlsCw"", ""Interns!M:M""), 
   ""Not Found"")"),"")</f>
        <v/>
      </c>
      <c r="AL803" s="23" t="str">
        <f>IFERROR(__xludf.DUMMYFUNCTION("XLOOKUP(C803, 
   IMPORTRANGE(""1RdEdgHYrZ33LJ7RUHj_h-qkAFL92bcVjtIdVa-UlsCw"", ""Interns!D:D""), 
   IMPORTRANGE(""1RdEdgHYrZ33LJ7RUHj_h-qkAFL92bcVjtIdVa-UlsCw"", ""Interns!N:N""), 
   ""Not Found"")"),"")</f>
        <v/>
      </c>
      <c r="AM803" s="23" t="str">
        <f>IFERROR(__xludf.DUMMYFUNCTION("XLOOKUP(C803, 
   IMPORTRANGE(""1RdEdgHYrZ33LJ7RUHj_h-qkAFL92bcVjtIdVa-UlsCw"", ""Interns!D:D""), 
   IMPORTRANGE(""1RdEdgHYrZ33LJ7RUHj_h-qkAFL92bcVjtIdVa-UlsCw"", ""Interns!O:O""), 
   ""Not Found"")"),"")</f>
        <v/>
      </c>
      <c r="AN803" s="23"/>
      <c r="AO803" s="23" t="s">
        <v>10397</v>
      </c>
      <c r="AP803" s="28" t="s">
        <v>5182</v>
      </c>
      <c r="AQ803" s="28"/>
      <c r="AR803" s="23"/>
      <c r="AS803" s="23"/>
      <c r="AT803" s="23"/>
      <c r="AU803" s="23"/>
      <c r="AV803" s="23"/>
    </row>
    <row r="804">
      <c r="A804" s="28" t="s">
        <v>5161</v>
      </c>
      <c r="B804" s="28" t="s">
        <v>5162</v>
      </c>
      <c r="C804" s="23" t="str">
        <f t="shared" si="1"/>
        <v>Roci Claudia Miranda</v>
      </c>
      <c r="D804" s="28" t="s">
        <v>10398</v>
      </c>
      <c r="E804" s="28" t="s">
        <v>1510</v>
      </c>
      <c r="F804" s="23" t="str">
        <f t="array" ref="F804">IFERROR(
    INDEX('Hub Interns 226'!A:A, MATCH(C804, 'Hub Interns 226'!B:B, 0)),"")</f>
        <v/>
      </c>
      <c r="G804" s="28">
        <v>1849.0</v>
      </c>
      <c r="H804" s="28">
        <v>1760.0</v>
      </c>
      <c r="I804" s="28"/>
      <c r="J804" s="28" t="s">
        <v>9536</v>
      </c>
      <c r="K804" s="28" t="s">
        <v>5177</v>
      </c>
      <c r="L804" s="28" t="s">
        <v>5196</v>
      </c>
      <c r="M804" s="56" t="s">
        <v>10399</v>
      </c>
      <c r="N804" s="59">
        <v>45280.40138888889</v>
      </c>
      <c r="O804" s="58">
        <v>41065.0</v>
      </c>
      <c r="P804" s="28">
        <f t="shared" si="20"/>
        <v>13</v>
      </c>
      <c r="Q804" s="28" t="s">
        <v>240</v>
      </c>
      <c r="R804" s="28" t="s">
        <v>10400</v>
      </c>
      <c r="S804" s="28">
        <v>6.0</v>
      </c>
      <c r="T804" s="28">
        <v>12.0</v>
      </c>
      <c r="U804" s="28">
        <v>30.0</v>
      </c>
      <c r="V804" s="28">
        <v>30.0</v>
      </c>
      <c r="W804" s="23"/>
      <c r="X804" s="23"/>
      <c r="Y804" s="28" t="s">
        <v>10401</v>
      </c>
      <c r="Z804" s="28" t="s">
        <v>5170</v>
      </c>
      <c r="AA804" s="28" t="s">
        <v>5171</v>
      </c>
      <c r="AB804" s="28">
        <v>30.0</v>
      </c>
      <c r="AC804" s="28" t="s">
        <v>23</v>
      </c>
      <c r="AD804" s="23"/>
      <c r="AE804" s="28" t="s">
        <v>18</v>
      </c>
      <c r="AF804" s="23"/>
      <c r="AG804" s="23"/>
      <c r="AH804" s="23" t="str">
        <f>IFERROR(__xludf.DUMMYFUNCTION("IF(
ISNUMBER(MATCH(
C804,
IMPORTRANGE(""https://docs.google.com/spreadsheets/d/1yTh1ELC33JHYOeEdgIiEclxPRyh0zOKtlawDltfUay8"",""'Interns'!A:A""),
0
)),
""Outreach Conducted"",
"""")"),"")</f>
        <v/>
      </c>
      <c r="AI804" s="23"/>
      <c r="AJ804" s="23"/>
      <c r="AK804" s="23" t="str">
        <f>IFERROR(__xludf.DUMMYFUNCTION("XLOOKUP(C804, 
   IMPORTRANGE(""1RdEdgHYrZ33LJ7RUHj_h-qkAFL92bcVjtIdVa-UlsCw"", ""Interns!D:D""), 
   IMPORTRANGE(""1RdEdgHYrZ33LJ7RUHj_h-qkAFL92bcVjtIdVa-UlsCw"", ""Interns!M:M""), 
   ""Not Found"")"),"Contacted")</f>
        <v>Contacted</v>
      </c>
      <c r="AL804" s="23" t="str">
        <f>IFERROR(__xludf.DUMMYFUNCTION("XLOOKUP(C804, 
   IMPORTRANGE(""1RdEdgHYrZ33LJ7RUHj_h-qkAFL92bcVjtIdVa-UlsCw"", ""Interns!D:D""), 
   IMPORTRANGE(""1RdEdgHYrZ33LJ7RUHj_h-qkAFL92bcVjtIdVa-UlsCw"", ""Interns!N:N""), 
   ""Not Found"")"),"#Cheers4Careers")</f>
        <v>#Cheers4Careers</v>
      </c>
      <c r="AM804" s="23" t="str">
        <f>IFERROR(__xludf.DUMMYFUNCTION("XLOOKUP(C804, 
   IMPORTRANGE(""1RdEdgHYrZ33LJ7RUHj_h-qkAFL92bcVjtIdVa-UlsCw"", ""Interns!D:D""), 
   IMPORTRANGE(""1RdEdgHYrZ33LJ7RUHj_h-qkAFL92bcVjtIdVa-UlsCw"", ""Interns!O:O""), 
   ""Not Found"")"),"Hetal reached out March 27 for March #Cheers4 Careers, email blocked")</f>
        <v>Hetal reached out March 27 for March #Cheers4 Careers, email blocked</v>
      </c>
      <c r="AN804" s="23"/>
      <c r="AO804" s="23" t="s">
        <v>10402</v>
      </c>
      <c r="AP804" s="28" t="s">
        <v>5182</v>
      </c>
      <c r="AQ804" s="28"/>
      <c r="AR804" s="23"/>
      <c r="AS804" s="23"/>
      <c r="AT804" s="23"/>
      <c r="AU804" s="23"/>
      <c r="AV804" s="23"/>
    </row>
    <row r="805">
      <c r="A805" s="28" t="s">
        <v>5161</v>
      </c>
      <c r="B805" s="28" t="s">
        <v>5162</v>
      </c>
      <c r="C805" s="23" t="str">
        <f t="shared" si="1"/>
        <v>Fredy Botzoc</v>
      </c>
      <c r="D805" s="28" t="s">
        <v>9327</v>
      </c>
      <c r="E805" s="28" t="s">
        <v>10403</v>
      </c>
      <c r="F805" s="23">
        <f t="array" ref="F805">IFERROR(
    INDEX('Hub Interns 226'!A:A, MATCH(C805, 'Hub Interns 226'!B:B, 0)),"")</f>
        <v>519</v>
      </c>
      <c r="G805" s="23">
        <f t="array" ref="G805">IFERROR(
    INDEX('Hub Users 226'!A:A, MATCH(C805, 'Hub Users 226'!B:B, 0)),"")</f>
        <v>952</v>
      </c>
      <c r="H805" s="28">
        <v>1291.0</v>
      </c>
      <c r="I805" s="28"/>
      <c r="J805" s="28" t="s">
        <v>9536</v>
      </c>
      <c r="K805" s="28" t="s">
        <v>5177</v>
      </c>
      <c r="L805" s="28" t="s">
        <v>5165</v>
      </c>
      <c r="M805" s="56" t="s">
        <v>10404</v>
      </c>
      <c r="N805" s="59">
        <v>44846.475694444445</v>
      </c>
      <c r="O805" s="58">
        <v>38543.0</v>
      </c>
      <c r="P805" s="28">
        <f t="shared" si="20"/>
        <v>20</v>
      </c>
      <c r="Q805" s="28" t="s">
        <v>240</v>
      </c>
      <c r="R805" s="28" t="s">
        <v>10405</v>
      </c>
      <c r="S805" s="28">
        <v>13.0</v>
      </c>
      <c r="T805" s="28">
        <v>33.0</v>
      </c>
      <c r="U805" s="28">
        <v>86.0</v>
      </c>
      <c r="V805" s="28">
        <v>15.0</v>
      </c>
      <c r="W805" s="28" t="s">
        <v>859</v>
      </c>
      <c r="X805" s="28" t="s">
        <v>272</v>
      </c>
      <c r="Y805" s="28" t="s">
        <v>10406</v>
      </c>
      <c r="Z805" s="28" t="s">
        <v>5918</v>
      </c>
      <c r="AA805" s="28" t="s">
        <v>477</v>
      </c>
      <c r="AB805" s="28">
        <v>15.0</v>
      </c>
      <c r="AC805" s="28" t="s">
        <v>23</v>
      </c>
      <c r="AD805" s="23"/>
      <c r="AE805" s="28" t="s">
        <v>15</v>
      </c>
      <c r="AF805" s="23"/>
      <c r="AG805" s="23"/>
      <c r="AH805" s="23" t="str">
        <f>IFERROR(__xludf.DUMMYFUNCTION("IF(
ISNUMBER(MATCH(
C805,
IMPORTRANGE(""https://docs.google.com/spreadsheets/d/1yTh1ELC33JHYOeEdgIiEclxPRyh0zOKtlawDltfUay8"",""'Interns'!A:A""),
0
)),
""Outreach Conducted"",
"""")"),"")</f>
        <v/>
      </c>
      <c r="AI805" s="23"/>
      <c r="AJ805" s="23"/>
      <c r="AK805" s="23" t="str">
        <f>IFERROR(__xludf.DUMMYFUNCTION("XLOOKUP(C805, 
   IMPORTRANGE(""1RdEdgHYrZ33LJ7RUHj_h-qkAFL92bcVjtIdVa-UlsCw"", ""Interns!D:D""), 
   IMPORTRANGE(""1RdEdgHYrZ33LJ7RUHj_h-qkAFL92bcVjtIdVa-UlsCw"", ""Interns!M:M""), 
   ""Not Found"")"),"")</f>
        <v/>
      </c>
      <c r="AL805" s="23" t="str">
        <f>IFERROR(__xludf.DUMMYFUNCTION("XLOOKUP(C805, 
   IMPORTRANGE(""1RdEdgHYrZ33LJ7RUHj_h-qkAFL92bcVjtIdVa-UlsCw"", ""Interns!D:D""), 
   IMPORTRANGE(""1RdEdgHYrZ33LJ7RUHj_h-qkAFL92bcVjtIdVa-UlsCw"", ""Interns!N:N""), 
   ""Not Found"")"),"")</f>
        <v/>
      </c>
      <c r="AM805" s="23" t="str">
        <f>IFERROR(__xludf.DUMMYFUNCTION("XLOOKUP(C805, 
   IMPORTRANGE(""1RdEdgHYrZ33LJ7RUHj_h-qkAFL92bcVjtIdVa-UlsCw"", ""Interns!D:D""), 
   IMPORTRANGE(""1RdEdgHYrZ33LJ7RUHj_h-qkAFL92bcVjtIdVa-UlsCw"", ""Interns!O:O""), 
   ""Not Found"")"),"")</f>
        <v/>
      </c>
      <c r="AN805" s="23"/>
      <c r="AO805" s="23" t="s">
        <v>10407</v>
      </c>
      <c r="AP805" s="28" t="s">
        <v>5173</v>
      </c>
      <c r="AQ805" s="28"/>
      <c r="AR805" s="23"/>
      <c r="AS805" s="23"/>
      <c r="AT805" s="23"/>
      <c r="AU805" s="23"/>
      <c r="AV805" s="23"/>
    </row>
    <row r="806">
      <c r="A806" s="28" t="s">
        <v>5161</v>
      </c>
      <c r="B806" s="28" t="s">
        <v>5162</v>
      </c>
      <c r="C806" s="23" t="str">
        <f t="shared" si="1"/>
        <v>Allan Gonzalez</v>
      </c>
      <c r="D806" s="28" t="s">
        <v>8851</v>
      </c>
      <c r="E806" s="28" t="s">
        <v>1377</v>
      </c>
      <c r="F806" s="23">
        <f t="array" ref="F806">IFERROR(
    INDEX('Hub Interns 226'!A:A, MATCH(C806, 'Hub Interns 226'!B:B, 0)),"")</f>
        <v>553</v>
      </c>
      <c r="G806" s="23">
        <f t="array" ref="G806">IFERROR(
    INDEX('Hub Users 226'!A:A, MATCH(C806, 'Hub Users 226'!B:B, 0)),"")</f>
        <v>986</v>
      </c>
      <c r="H806" s="28">
        <v>377.0</v>
      </c>
      <c r="I806" s="28" t="s">
        <v>107</v>
      </c>
      <c r="J806" s="28" t="s">
        <v>9536</v>
      </c>
      <c r="K806" s="28" t="s">
        <v>5177</v>
      </c>
      <c r="L806" s="28" t="s">
        <v>5165</v>
      </c>
      <c r="M806" s="56" t="s">
        <v>10408</v>
      </c>
      <c r="N806" s="57">
        <v>44252.83541666667</v>
      </c>
      <c r="O806" s="58">
        <v>38109.0</v>
      </c>
      <c r="P806" s="28">
        <f t="shared" si="20"/>
        <v>22</v>
      </c>
      <c r="Q806" s="28" t="s">
        <v>240</v>
      </c>
      <c r="R806" s="28" t="s">
        <v>10409</v>
      </c>
      <c r="S806" s="28">
        <v>6.0</v>
      </c>
      <c r="T806" s="28">
        <v>16.0</v>
      </c>
      <c r="U806" s="28">
        <v>40.0</v>
      </c>
      <c r="V806" s="28">
        <v>20.0</v>
      </c>
      <c r="W806" s="28" t="s">
        <v>1173</v>
      </c>
      <c r="X806" s="28" t="s">
        <v>272</v>
      </c>
      <c r="Y806" s="28" t="s">
        <v>10410</v>
      </c>
      <c r="Z806" s="28" t="s">
        <v>5189</v>
      </c>
      <c r="AA806" s="28" t="s">
        <v>619</v>
      </c>
      <c r="AB806" s="28">
        <v>20.0</v>
      </c>
      <c r="AC806" s="28" t="s">
        <v>25</v>
      </c>
      <c r="AD806" s="23"/>
      <c r="AE806" s="28" t="s">
        <v>8</v>
      </c>
      <c r="AF806" s="23" t="str">
        <f>IFERROR(__xludf.DUMMYFUNCTION("TEXTJOIN("", "", TRUE,
  FILTER(Champions!C:C,
    ISNUMBER(SEARCH(C806, Champions!W:W))
  )
)"),"Ankur Jaluria, Dragana Glumac")</f>
        <v>Ankur Jaluria, Dragana Glumac</v>
      </c>
      <c r="AG806" s="23"/>
      <c r="AH806" s="23" t="str">
        <f>IFERROR(__xludf.DUMMYFUNCTION("IF(
ISNUMBER(MATCH(
C806,
IMPORTRANGE(""https://docs.google.com/spreadsheets/d/1yTh1ELC33JHYOeEdgIiEclxPRyh0zOKtlawDltfUay8"",""'Interns'!A:A""),
0
)),
""Outreach Conducted"",
"""")"),"")</f>
        <v/>
      </c>
      <c r="AI806" s="23"/>
      <c r="AJ806" s="23"/>
      <c r="AK806" s="23" t="str">
        <f>IFERROR(__xludf.DUMMYFUNCTION("XLOOKUP(C806, 
   IMPORTRANGE(""1RdEdgHYrZ33LJ7RUHj_h-qkAFL92bcVjtIdVa-UlsCw"", ""Interns!D:D""), 
   IMPORTRANGE(""1RdEdgHYrZ33LJ7RUHj_h-qkAFL92bcVjtIdVa-UlsCw"", ""Interns!M:M""), 
   ""Not Found"")"),"Contacted")</f>
        <v>Contacted</v>
      </c>
      <c r="AL806" s="23" t="str">
        <f>IFERROR(__xludf.DUMMYFUNCTION("XLOOKUP(C806, 
   IMPORTRANGE(""1RdEdgHYrZ33LJ7RUHj_h-qkAFL92bcVjtIdVa-UlsCw"", ""Interns!D:D""), 
   IMPORTRANGE(""1RdEdgHYrZ33LJ7RUHj_h-qkAFL92bcVjtIdVa-UlsCw"", ""Interns!N:N""), 
   ""Not Found"")"),"#Cheers4Careers")</f>
        <v>#Cheers4Careers</v>
      </c>
      <c r="AM806" s="23" t="str">
        <f>IFERROR(__xludf.DUMMYFUNCTION("XLOOKUP(C806, 
   IMPORTRANGE(""1RdEdgHYrZ33LJ7RUHj_h-qkAFL92bcVjtIdVa-UlsCw"", ""Interns!D:D""), 
   IMPORTRANGE(""1RdEdgHYrZ33LJ7RUHj_h-qkAFL92bcVjtIdVa-UlsCw"", ""Interns!O:O""), 
   ""Not Found"")"),"Hetal reached out by email 3/27 followed by text")</f>
        <v>Hetal reached out by email 3/27 followed by text</v>
      </c>
      <c r="AN806" s="23"/>
      <c r="AO806" s="23" t="s">
        <v>10411</v>
      </c>
      <c r="AP806" s="28" t="s">
        <v>5182</v>
      </c>
      <c r="AQ806" s="28" t="s">
        <v>10412</v>
      </c>
      <c r="AR806" s="23" t="s">
        <v>10413</v>
      </c>
      <c r="AS806" s="23"/>
      <c r="AT806" s="23"/>
      <c r="AU806" s="23"/>
      <c r="AV806" s="23"/>
    </row>
    <row r="807">
      <c r="A807" s="28" t="s">
        <v>5202</v>
      </c>
      <c r="B807" s="28" t="s">
        <v>5162</v>
      </c>
      <c r="C807" s="23" t="str">
        <f t="shared" si="1"/>
        <v>Jaymarcus Desir</v>
      </c>
      <c r="D807" s="28" t="s">
        <v>10414</v>
      </c>
      <c r="E807" s="28" t="s">
        <v>10415</v>
      </c>
      <c r="F807" s="23">
        <f t="array" ref="F807">IFERROR(
    INDEX('Hub Interns 226'!A:A, MATCH(C807, 'Hub Interns 226'!B:B, 0)),"")</f>
        <v>435</v>
      </c>
      <c r="G807" s="23">
        <f t="array" ref="G807">IFERROR(
    INDEX('Hub Users 226'!A:A, MATCH(C807, 'Hub Users 226'!B:B, 0)),"")</f>
        <v>868</v>
      </c>
      <c r="H807" s="28">
        <v>1364.0</v>
      </c>
      <c r="I807" s="28" t="s">
        <v>1963</v>
      </c>
      <c r="J807" s="28" t="s">
        <v>10019</v>
      </c>
      <c r="K807" s="28" t="s">
        <v>5177</v>
      </c>
      <c r="L807" s="28" t="s">
        <v>5165</v>
      </c>
      <c r="M807" s="56" t="s">
        <v>10416</v>
      </c>
      <c r="N807" s="59">
        <v>44859.62152777778</v>
      </c>
      <c r="O807" s="58">
        <v>39298.0</v>
      </c>
      <c r="P807" s="28">
        <f t="shared" si="20"/>
        <v>18</v>
      </c>
      <c r="Q807" s="28" t="s">
        <v>10417</v>
      </c>
      <c r="R807" s="28" t="s">
        <v>10418</v>
      </c>
      <c r="S807" s="28"/>
      <c r="T807" s="28"/>
      <c r="U807" s="28"/>
      <c r="V807" s="28"/>
      <c r="W807" s="28" t="s">
        <v>1173</v>
      </c>
      <c r="X807" s="28" t="s">
        <v>272</v>
      </c>
      <c r="Y807" s="23"/>
      <c r="Z807" s="28" t="s">
        <v>5332</v>
      </c>
      <c r="AA807" s="28" t="s">
        <v>421</v>
      </c>
      <c r="AB807" s="28">
        <v>31.0</v>
      </c>
      <c r="AC807" s="28" t="s">
        <v>25</v>
      </c>
      <c r="AD807" s="23"/>
      <c r="AE807" s="28" t="s">
        <v>15</v>
      </c>
      <c r="AF807" s="23" t="str">
        <f>IFERROR(__xludf.DUMMYFUNCTION("TEXTJOIN("", "", TRUE,
  FILTER(Champions!C:C,
    ISNUMBER(SEARCH(C807, Champions!W:W))
  )
)"),"Mark Swift, Neha Singla, Prasanna Vijayanathan")</f>
        <v>Mark Swift, Neha Singla, Prasanna Vijayanathan</v>
      </c>
      <c r="AG807" s="23"/>
      <c r="AH807" s="23" t="str">
        <f>IFERROR(__xludf.DUMMYFUNCTION("IF(
ISNUMBER(MATCH(
C807,
IMPORTRANGE(""https://docs.google.com/spreadsheets/d/1yTh1ELC33JHYOeEdgIiEclxPRyh0zOKtlawDltfUay8"",""'Interns'!A:A""),
0
)),
""Outreach Conducted"",
"""")"),"")</f>
        <v/>
      </c>
      <c r="AI807" s="23"/>
      <c r="AJ807" s="23"/>
      <c r="AK807" s="23" t="str">
        <f>IFERROR(__xludf.DUMMYFUNCTION("XLOOKUP(C807, 
   IMPORTRANGE(""1RdEdgHYrZ33LJ7RUHj_h-qkAFL92bcVjtIdVa-UlsCw"", ""Interns!D:D""), 
   IMPORTRANGE(""1RdEdgHYrZ33LJ7RUHj_h-qkAFL92bcVjtIdVa-UlsCw"", ""Interns!M:M""), 
   ""Not Found"")"),"")</f>
        <v/>
      </c>
      <c r="AL807" s="23" t="str">
        <f>IFERROR(__xludf.DUMMYFUNCTION("XLOOKUP(C807, 
   IMPORTRANGE(""1RdEdgHYrZ33LJ7RUHj_h-qkAFL92bcVjtIdVa-UlsCw"", ""Interns!D:D""), 
   IMPORTRANGE(""1RdEdgHYrZ33LJ7RUHj_h-qkAFL92bcVjtIdVa-UlsCw"", ""Interns!N:N""), 
   ""Not Found"")"),"")</f>
        <v/>
      </c>
      <c r="AM807" s="23" t="str">
        <f>IFERROR(__xludf.DUMMYFUNCTION("XLOOKUP(C807, 
   IMPORTRANGE(""1RdEdgHYrZ33LJ7RUHj_h-qkAFL92bcVjtIdVa-UlsCw"", ""Interns!D:D""), 
   IMPORTRANGE(""1RdEdgHYrZ33LJ7RUHj_h-qkAFL92bcVjtIdVa-UlsCw"", ""Interns!O:O""), 
   ""Not Found"")"),"")</f>
        <v/>
      </c>
      <c r="AN807" s="23"/>
      <c r="AO807" s="23" t="s">
        <v>10419</v>
      </c>
      <c r="AP807" s="28" t="s">
        <v>5989</v>
      </c>
      <c r="AQ807" s="28" t="s">
        <v>10420</v>
      </c>
      <c r="AR807" s="23" t="s">
        <v>10421</v>
      </c>
      <c r="AS807" s="23"/>
      <c r="AT807" s="23"/>
      <c r="AU807" s="23"/>
      <c r="AV807" s="23"/>
    </row>
    <row r="808">
      <c r="A808" s="28" t="s">
        <v>5161</v>
      </c>
      <c r="B808" s="28" t="s">
        <v>31</v>
      </c>
      <c r="C808" s="23" t="str">
        <f t="shared" si="1"/>
        <v>Darwin Chimborazo.</v>
      </c>
      <c r="D808" s="28" t="s">
        <v>8502</v>
      </c>
      <c r="E808" s="28" t="s">
        <v>10422</v>
      </c>
      <c r="F808" s="23">
        <f t="array" ref="F808">IFERROR(
    INDEX('Hub Interns 226'!A:A, MATCH("Darwin Chimborazo", 'Hub Interns 226'!B:B, 0)),"")</f>
        <v>414</v>
      </c>
      <c r="G808" s="23">
        <f t="array" ref="G808">IFERROR(
    INDEX('Hub Users 226'!A:A, MATCH("Darwin Chimborazo", 'Hub Users 226'!B:B, 0)),"")</f>
        <v>847</v>
      </c>
      <c r="H808" s="28">
        <v>1731.0</v>
      </c>
      <c r="I808" s="28" t="s">
        <v>260</v>
      </c>
      <c r="J808" s="28"/>
      <c r="K808" s="28"/>
      <c r="L808" s="28" t="s">
        <v>5165</v>
      </c>
      <c r="M808" s="56" t="s">
        <v>9416</v>
      </c>
      <c r="N808" s="57">
        <v>45266.58819444444</v>
      </c>
      <c r="O808" s="58">
        <v>40218.0</v>
      </c>
      <c r="P808" s="28">
        <f t="shared" si="20"/>
        <v>16</v>
      </c>
      <c r="Q808" s="28" t="s">
        <v>240</v>
      </c>
      <c r="R808" s="28" t="s">
        <v>1173</v>
      </c>
      <c r="S808" s="28"/>
      <c r="T808" s="28"/>
      <c r="U808" s="28"/>
      <c r="V808" s="28"/>
      <c r="W808" s="28" t="s">
        <v>1173</v>
      </c>
      <c r="X808" s="28" t="s">
        <v>272</v>
      </c>
      <c r="Y808" s="28" t="s">
        <v>10423</v>
      </c>
      <c r="Z808" s="28" t="s">
        <v>5352</v>
      </c>
      <c r="AA808" s="28" t="s">
        <v>5287</v>
      </c>
      <c r="AB808" s="28">
        <v>26.0</v>
      </c>
      <c r="AC808" s="28" t="s">
        <v>27</v>
      </c>
      <c r="AD808" s="23"/>
      <c r="AE808" s="28" t="s">
        <v>18</v>
      </c>
      <c r="AF808" s="23"/>
      <c r="AG808" s="23"/>
      <c r="AH808" s="23" t="str">
        <f>IFERROR(__xludf.DUMMYFUNCTION("IF(
ISNUMBER(MATCH(
C808,
IMPORTRANGE(""https://docs.google.com/spreadsheets/d/1yTh1ELC33JHYOeEdgIiEclxPRyh0zOKtlawDltfUay8"",""'Interns'!A:A""),
0
)),
""Outreach Conducted"",
"""")"),"")</f>
        <v/>
      </c>
      <c r="AI808" s="23"/>
      <c r="AJ808" s="23"/>
      <c r="AK808" s="23" t="str">
        <f>IFERROR(__xludf.DUMMYFUNCTION("XLOOKUP(C808, 
   IMPORTRANGE(""1RdEdgHYrZ33LJ7RUHj_h-qkAFL92bcVjtIdVa-UlsCw"", ""Interns!D:D""), 
   IMPORTRANGE(""1RdEdgHYrZ33LJ7RUHj_h-qkAFL92bcVjtIdVa-UlsCw"", ""Interns!M:M""), 
   ""Not Found"")"),"")</f>
        <v/>
      </c>
      <c r="AL808" s="23" t="str">
        <f>IFERROR(__xludf.DUMMYFUNCTION("XLOOKUP(C808, 
   IMPORTRANGE(""1RdEdgHYrZ33LJ7RUHj_h-qkAFL92bcVjtIdVa-UlsCw"", ""Interns!D:D""), 
   IMPORTRANGE(""1RdEdgHYrZ33LJ7RUHj_h-qkAFL92bcVjtIdVa-UlsCw"", ""Interns!N:N""), 
   ""Not Found"")"),"")</f>
        <v/>
      </c>
      <c r="AM808" s="23" t="str">
        <f>IFERROR(__xludf.DUMMYFUNCTION("XLOOKUP(C808, 
   IMPORTRANGE(""1RdEdgHYrZ33LJ7RUHj_h-qkAFL92bcVjtIdVa-UlsCw"", ""Interns!D:D""), 
   IMPORTRANGE(""1RdEdgHYrZ33LJ7RUHj_h-qkAFL92bcVjtIdVa-UlsCw"", ""Interns!O:O""), 
   ""Not Found"")"),"")</f>
        <v/>
      </c>
      <c r="AN808" s="23"/>
      <c r="AO808" s="23" t="s">
        <v>10424</v>
      </c>
      <c r="AP808" s="28" t="s">
        <v>5182</v>
      </c>
      <c r="AQ808" s="28"/>
      <c r="AR808" s="23"/>
      <c r="AS808" s="23"/>
      <c r="AT808" s="23"/>
      <c r="AU808" s="23"/>
      <c r="AV808" s="23"/>
    </row>
    <row r="809">
      <c r="A809" s="28" t="s">
        <v>5161</v>
      </c>
      <c r="B809" s="28" t="s">
        <v>5162</v>
      </c>
      <c r="C809" s="23" t="str">
        <f t="shared" si="1"/>
        <v>Anthony Mazariegos</v>
      </c>
      <c r="D809" s="28" t="s">
        <v>9001</v>
      </c>
      <c r="E809" s="28" t="s">
        <v>10425</v>
      </c>
      <c r="F809" s="23">
        <f t="array" ref="F809">IFERROR(
    INDEX('Hub Interns 226'!A:A, MATCH(C809, 'Hub Interns 226'!B:B, 0)),"")</f>
        <v>249</v>
      </c>
      <c r="G809" s="23">
        <f t="array" ref="G809">IFERROR(
    INDEX('Hub Users 226'!A:A, MATCH(C809, 'Hub Users 226'!B:B, 0)),"")</f>
        <v>682</v>
      </c>
      <c r="H809" s="28">
        <v>667.0</v>
      </c>
      <c r="I809" s="28" t="s">
        <v>425</v>
      </c>
      <c r="J809" s="28" t="s">
        <v>9536</v>
      </c>
      <c r="K809" s="28" t="s">
        <v>5177</v>
      </c>
      <c r="L809" s="28" t="s">
        <v>5165</v>
      </c>
      <c r="M809" s="56" t="s">
        <v>10426</v>
      </c>
      <c r="N809" s="59">
        <v>44544.638194444444</v>
      </c>
      <c r="O809" s="58">
        <v>37807.0</v>
      </c>
      <c r="P809" s="28">
        <f t="shared" si="20"/>
        <v>22</v>
      </c>
      <c r="Q809" s="28" t="s">
        <v>240</v>
      </c>
      <c r="R809" s="28" t="s">
        <v>10427</v>
      </c>
      <c r="S809" s="28">
        <v>15.0</v>
      </c>
      <c r="T809" s="28">
        <v>29.0</v>
      </c>
      <c r="U809" s="28">
        <v>79.0</v>
      </c>
      <c r="V809" s="28">
        <v>17.0</v>
      </c>
      <c r="W809" s="28" t="s">
        <v>859</v>
      </c>
      <c r="X809" s="28" t="s">
        <v>272</v>
      </c>
      <c r="Y809" s="28" t="s">
        <v>10428</v>
      </c>
      <c r="Z809" s="28" t="s">
        <v>5779</v>
      </c>
      <c r="AA809" s="28" t="s">
        <v>3931</v>
      </c>
      <c r="AB809" s="28">
        <v>2.0</v>
      </c>
      <c r="AC809" s="28" t="s">
        <v>25</v>
      </c>
      <c r="AD809" s="23"/>
      <c r="AE809" s="28" t="s">
        <v>10</v>
      </c>
      <c r="AF809" s="23" t="str">
        <f>IFERROR(__xludf.DUMMYFUNCTION("TEXTJOIN("", "", TRUE,
  FILTER(Champions!C:C,
    ISNUMBER(SEARCH(C809, Champions!W:W))
  )
)"),"Luna Martinez, Carolina Parra")</f>
        <v>Luna Martinez, Carolina Parra</v>
      </c>
      <c r="AG809" s="23"/>
      <c r="AH809" s="23" t="str">
        <f>IFERROR(__xludf.DUMMYFUNCTION("IF(
ISNUMBER(MATCH(
C809,
IMPORTRANGE(""https://docs.google.com/spreadsheets/d/1yTh1ELC33JHYOeEdgIiEclxPRyh0zOKtlawDltfUay8"",""'Interns'!A:A""),
0
)),
""Outreach Conducted"",
"""")"),"")</f>
        <v/>
      </c>
      <c r="AI809" s="23"/>
      <c r="AJ809" s="23"/>
      <c r="AK809" s="23" t="str">
        <f>IFERROR(__xludf.DUMMYFUNCTION("XLOOKUP(C809, 
   IMPORTRANGE(""1RdEdgHYrZ33LJ7RUHj_h-qkAFL92bcVjtIdVa-UlsCw"", ""Interns!D:D""), 
   IMPORTRANGE(""1RdEdgHYrZ33LJ7RUHj_h-qkAFL92bcVjtIdVa-UlsCw"", ""Interns!M:M""), 
   ""Not Found"")"),"Contacted")</f>
        <v>Contacted</v>
      </c>
      <c r="AL809" s="23" t="str">
        <f>IFERROR(__xludf.DUMMYFUNCTION("XLOOKUP(C809, 
   IMPORTRANGE(""1RdEdgHYrZ33LJ7RUHj_h-qkAFL92bcVjtIdVa-UlsCw"", ""Interns!D:D""), 
   IMPORTRANGE(""1RdEdgHYrZ33LJ7RUHj_h-qkAFL92bcVjtIdVa-UlsCw"", ""Interns!N:N""), 
   ""Not Found"")"),"#Cheers4Careers")</f>
        <v>#Cheers4Careers</v>
      </c>
      <c r="AM809" s="23" t="str">
        <f>IFERROR(__xludf.DUMMYFUNCTION("XLOOKUP(C809,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809" s="23"/>
      <c r="AO809" s="23" t="s">
        <v>10429</v>
      </c>
      <c r="AP809" s="28" t="s">
        <v>5182</v>
      </c>
      <c r="AQ809" s="28" t="s">
        <v>10430</v>
      </c>
      <c r="AR809" s="23" t="s">
        <v>10431</v>
      </c>
      <c r="AS809" s="23"/>
      <c r="AT809" s="23"/>
      <c r="AU809" s="23"/>
      <c r="AV809" s="23"/>
    </row>
    <row r="810">
      <c r="A810" s="28" t="s">
        <v>5202</v>
      </c>
      <c r="B810" s="28" t="s">
        <v>5162</v>
      </c>
      <c r="C810" s="23" t="str">
        <f t="shared" si="1"/>
        <v>Jefferson Perez</v>
      </c>
      <c r="D810" s="28" t="s">
        <v>5334</v>
      </c>
      <c r="E810" s="28" t="s">
        <v>5175</v>
      </c>
      <c r="F810" s="23">
        <f t="array" ref="F810">IFERROR(
    INDEX('Hub Interns 226'!A:A, MATCH(C810, 'Hub Interns 226'!B:B, 0)),"")</f>
        <v>981</v>
      </c>
      <c r="G810" s="23">
        <f t="array" ref="G810">IFERROR(
    INDEX('Hub Users 226'!A:A, MATCH(C810, 'Hub Users 226'!B:B, 0)),"")</f>
        <v>1414</v>
      </c>
      <c r="H810" s="28">
        <v>883.0</v>
      </c>
      <c r="I810" s="28"/>
      <c r="J810" s="28" t="s">
        <v>5176</v>
      </c>
      <c r="K810" s="28" t="s">
        <v>5177</v>
      </c>
      <c r="L810" s="28" t="s">
        <v>5165</v>
      </c>
      <c r="M810" s="56" t="s">
        <v>10432</v>
      </c>
      <c r="N810" s="57">
        <v>44601.52638888889</v>
      </c>
      <c r="O810" s="58">
        <v>38635.0</v>
      </c>
      <c r="P810" s="28">
        <f t="shared" si="20"/>
        <v>20</v>
      </c>
      <c r="Q810" s="28" t="s">
        <v>240</v>
      </c>
      <c r="R810" s="28">
        <v>2.43684214E8</v>
      </c>
      <c r="S810" s="28"/>
      <c r="T810" s="28"/>
      <c r="U810" s="28"/>
      <c r="V810" s="28"/>
      <c r="W810" s="28" t="s">
        <v>1173</v>
      </c>
      <c r="X810" s="28" t="s">
        <v>272</v>
      </c>
      <c r="Y810" s="28" t="s">
        <v>10433</v>
      </c>
      <c r="Z810" s="28" t="s">
        <v>5189</v>
      </c>
      <c r="AA810" s="28" t="s">
        <v>619</v>
      </c>
      <c r="AB810" s="28">
        <v>20.0</v>
      </c>
      <c r="AC810" s="28" t="s">
        <v>24</v>
      </c>
      <c r="AD810" s="23"/>
      <c r="AE810" s="28" t="s">
        <v>10</v>
      </c>
      <c r="AF810" s="23"/>
      <c r="AG810" s="23"/>
      <c r="AH810" s="23" t="str">
        <f>IFERROR(__xludf.DUMMYFUNCTION("IF(
ISNUMBER(MATCH(
C810,
IMPORTRANGE(""https://docs.google.com/spreadsheets/d/1yTh1ELC33JHYOeEdgIiEclxPRyh0zOKtlawDltfUay8"",""'Interns'!A:A""),
0
)),
""Outreach Conducted"",
"""")"),"")</f>
        <v/>
      </c>
      <c r="AI810" s="23"/>
      <c r="AJ810" s="23"/>
      <c r="AK810" s="23" t="str">
        <f>IFERROR(__xludf.DUMMYFUNCTION("XLOOKUP(C810, 
   IMPORTRANGE(""1RdEdgHYrZ33LJ7RUHj_h-qkAFL92bcVjtIdVa-UlsCw"", ""Interns!D:D""), 
   IMPORTRANGE(""1RdEdgHYrZ33LJ7RUHj_h-qkAFL92bcVjtIdVa-UlsCw"", ""Interns!M:M""), 
   ""Not Found"")"),"")</f>
        <v/>
      </c>
      <c r="AL810" s="23" t="str">
        <f>IFERROR(__xludf.DUMMYFUNCTION("XLOOKUP(C810, 
   IMPORTRANGE(""1RdEdgHYrZ33LJ7RUHj_h-qkAFL92bcVjtIdVa-UlsCw"", ""Interns!D:D""), 
   IMPORTRANGE(""1RdEdgHYrZ33LJ7RUHj_h-qkAFL92bcVjtIdVa-UlsCw"", ""Interns!N:N""), 
   ""Not Found"")"),"")</f>
        <v/>
      </c>
      <c r="AM810" s="23" t="str">
        <f>IFERROR(__xludf.DUMMYFUNCTION("XLOOKUP(C810, 
   IMPORTRANGE(""1RdEdgHYrZ33LJ7RUHj_h-qkAFL92bcVjtIdVa-UlsCw"", ""Interns!D:D""), 
   IMPORTRANGE(""1RdEdgHYrZ33LJ7RUHj_h-qkAFL92bcVjtIdVa-UlsCw"", ""Interns!O:O""), 
   ""Not Found"")"),"")</f>
        <v/>
      </c>
      <c r="AN810" s="23"/>
      <c r="AO810" s="23" t="s">
        <v>10434</v>
      </c>
      <c r="AP810" s="28" t="s">
        <v>5908</v>
      </c>
      <c r="AQ810" s="28"/>
      <c r="AR810" s="23"/>
      <c r="AS810" s="23"/>
      <c r="AT810" s="23"/>
      <c r="AU810" s="23"/>
      <c r="AV810" s="23"/>
    </row>
    <row r="811">
      <c r="A811" s="28" t="s">
        <v>5161</v>
      </c>
      <c r="B811" s="28" t="s">
        <v>5162</v>
      </c>
      <c r="C811" s="23" t="str">
        <f t="shared" si="1"/>
        <v>Elsa Pop</v>
      </c>
      <c r="D811" s="28" t="s">
        <v>10435</v>
      </c>
      <c r="E811" s="28" t="s">
        <v>10436</v>
      </c>
      <c r="F811" s="23">
        <f t="array" ref="F811">IFERROR(
    INDEX('Hub Interns 226'!A:A, MATCH(C811, 'Hub Interns 226'!B:B, 0)),"")</f>
        <v>482</v>
      </c>
      <c r="G811" s="23">
        <f t="array" ref="G811">IFERROR(
    INDEX('Hub Users 226'!A:A, MATCH(C811, 'Hub Users 226'!B:B, 0)),"")</f>
        <v>915</v>
      </c>
      <c r="H811" s="28">
        <v>615.0</v>
      </c>
      <c r="I811" s="28" t="s">
        <v>269</v>
      </c>
      <c r="J811" s="28" t="s">
        <v>9536</v>
      </c>
      <c r="K811" s="28" t="s">
        <v>5177</v>
      </c>
      <c r="L811" s="28" t="s">
        <v>5196</v>
      </c>
      <c r="M811" s="56" t="s">
        <v>10437</v>
      </c>
      <c r="N811" s="59">
        <v>44491.54861111111</v>
      </c>
      <c r="O811" s="58">
        <v>37970.0</v>
      </c>
      <c r="P811" s="28">
        <f t="shared" si="20"/>
        <v>22</v>
      </c>
      <c r="Q811" s="28" t="s">
        <v>240</v>
      </c>
      <c r="R811" s="28" t="s">
        <v>10438</v>
      </c>
      <c r="S811" s="28">
        <v>7.0</v>
      </c>
      <c r="T811" s="28">
        <v>12.0</v>
      </c>
      <c r="U811" s="28">
        <v>38.0</v>
      </c>
      <c r="V811" s="28">
        <v>30.0</v>
      </c>
      <c r="W811" s="28" t="s">
        <v>1173</v>
      </c>
      <c r="X811" s="28" t="s">
        <v>272</v>
      </c>
      <c r="Y811" s="28" t="s">
        <v>10439</v>
      </c>
      <c r="Z811" s="28" t="s">
        <v>5189</v>
      </c>
      <c r="AA811" s="28" t="s">
        <v>619</v>
      </c>
      <c r="AB811" s="28">
        <v>20.0</v>
      </c>
      <c r="AC811" s="28" t="s">
        <v>25</v>
      </c>
      <c r="AD811" s="23"/>
      <c r="AE811" s="28" t="s">
        <v>10</v>
      </c>
      <c r="AF811" s="23" t="str">
        <f>IFERROR(__xludf.DUMMYFUNCTION("TEXTJOIN("", "", TRUE,
  FILTER(Champions!C:C,
    ISNUMBER(SEARCH(C811, Champions!W:W))
  )
)"),"Missie Miranda, Carolina Parra")</f>
        <v>Missie Miranda, Carolina Parra</v>
      </c>
      <c r="AG811" s="23"/>
      <c r="AH811" s="23" t="str">
        <f>IFERROR(__xludf.DUMMYFUNCTION("IF(
ISNUMBER(MATCH(
C811,
IMPORTRANGE(""https://docs.google.com/spreadsheets/d/1yTh1ELC33JHYOeEdgIiEclxPRyh0zOKtlawDltfUay8"",""'Interns'!A:A""),
0
)),
""Outreach Conducted"",
"""")"),"")</f>
        <v/>
      </c>
      <c r="AI811" s="23"/>
      <c r="AJ811" s="23"/>
      <c r="AK811" s="23" t="str">
        <f>IFERROR(__xludf.DUMMYFUNCTION("XLOOKUP(C811, 
   IMPORTRANGE(""1RdEdgHYrZ33LJ7RUHj_h-qkAFL92bcVjtIdVa-UlsCw"", ""Interns!D:D""), 
   IMPORTRANGE(""1RdEdgHYrZ33LJ7RUHj_h-qkAFL92bcVjtIdVa-UlsCw"", ""Interns!M:M""), 
   ""Not Found"")"),"In Communication")</f>
        <v>In Communication</v>
      </c>
      <c r="AL811" s="23" t="str">
        <f>IFERROR(__xludf.DUMMYFUNCTION("XLOOKUP(C811, 
   IMPORTRANGE(""1RdEdgHYrZ33LJ7RUHj_h-qkAFL92bcVjtIdVa-UlsCw"", ""Interns!D:D""), 
   IMPORTRANGE(""1RdEdgHYrZ33LJ7RUHj_h-qkAFL92bcVjtIdVa-UlsCw"", ""Interns!N:N""), 
   ""Not Found"")"),"#Cheers4Careers")</f>
        <v>#Cheers4Careers</v>
      </c>
      <c r="AM811" s="23" t="str">
        <f>IFERROR(__xludf.DUMMYFUNCTION("XLOOKUP(C811, 
   IMPORTRANGE(""1RdEdgHYrZ33LJ7RUHj_h-qkAFL92bcVjtIdVa-UlsCw"", ""Interns!D:D""), 
   IMPORTRANGE(""1RdEdgHYrZ33LJ7RUHj_h-qkAFL92bcVjtIdVa-UlsCw"", ""Interns!O:O""), 
   ""Not Found"")"),"Hetal reached out by email 3/27 followed by text and Elsa replied OKAY")</f>
        <v>Hetal reached out by email 3/27 followed by text and Elsa replied OKAY</v>
      </c>
      <c r="AN811" s="23"/>
      <c r="AO811" s="23" t="s">
        <v>10440</v>
      </c>
      <c r="AP811" s="28" t="s">
        <v>5182</v>
      </c>
      <c r="AQ811" s="28" t="s">
        <v>10441</v>
      </c>
      <c r="AR811" s="23" t="s">
        <v>10442</v>
      </c>
      <c r="AS811" s="23"/>
      <c r="AT811" s="23"/>
      <c r="AU811" s="23"/>
      <c r="AV811" s="23"/>
    </row>
    <row r="812">
      <c r="A812" s="28" t="s">
        <v>5161</v>
      </c>
      <c r="B812" s="28" t="s">
        <v>5162</v>
      </c>
      <c r="C812" s="23" t="str">
        <f t="shared" si="1"/>
        <v>Vilma Coc pop</v>
      </c>
      <c r="D812" s="28" t="s">
        <v>10443</v>
      </c>
      <c r="E812" s="28" t="s">
        <v>10444</v>
      </c>
      <c r="F812" s="23">
        <f t="array" ref="F812">IFERROR(
    INDEX('Hub Interns 226'!A:A, MATCH(C812, 'Hub Interns 226'!B:B, 0)),"")</f>
        <v>1178</v>
      </c>
      <c r="G812" s="23">
        <f t="array" ref="G812">IFERROR(
    INDEX('Hub Users 226'!A:A, MATCH(C812, 'Hub Users 226'!B:B, 0)),"")</f>
        <v>1611</v>
      </c>
      <c r="H812" s="28">
        <v>557.0</v>
      </c>
      <c r="I812" s="28" t="s">
        <v>407</v>
      </c>
      <c r="J812" s="28" t="s">
        <v>9536</v>
      </c>
      <c r="K812" s="28" t="s">
        <v>5177</v>
      </c>
      <c r="L812" s="28" t="s">
        <v>5196</v>
      </c>
      <c r="M812" s="56" t="s">
        <v>10445</v>
      </c>
      <c r="N812" s="57">
        <v>44477.60763888889</v>
      </c>
      <c r="O812" s="58">
        <v>44521.0</v>
      </c>
      <c r="P812" s="28">
        <f t="shared" si="20"/>
        <v>4</v>
      </c>
      <c r="Q812" s="28" t="s">
        <v>240</v>
      </c>
      <c r="R812" s="28" t="s">
        <v>10446</v>
      </c>
      <c r="S812" s="28">
        <v>6.0</v>
      </c>
      <c r="T812" s="28">
        <v>16.0</v>
      </c>
      <c r="U812" s="28">
        <v>40.0</v>
      </c>
      <c r="V812" s="28">
        <v>20.0</v>
      </c>
      <c r="W812" s="28" t="s">
        <v>1173</v>
      </c>
      <c r="X812" s="28" t="s">
        <v>272</v>
      </c>
      <c r="Y812" s="28" t="s">
        <v>10447</v>
      </c>
      <c r="Z812" s="28" t="s">
        <v>5189</v>
      </c>
      <c r="AA812" s="28" t="s">
        <v>619</v>
      </c>
      <c r="AB812" s="28">
        <v>20.0</v>
      </c>
      <c r="AC812" s="28" t="s">
        <v>25</v>
      </c>
      <c r="AD812" s="23"/>
      <c r="AE812" s="28" t="s">
        <v>10</v>
      </c>
      <c r="AF812" s="23" t="str">
        <f>IFERROR(__xludf.DUMMYFUNCTION("TEXTJOIN("", "", TRUE,
  FILTER(Champions!C:C,
    ISNUMBER(SEARCH(C812, Champions!W:W))
  )
)"),"AUGUSTO SALCEDO, Keylin Rivera")</f>
        <v>AUGUSTO SALCEDO, Keylin Rivera</v>
      </c>
      <c r="AG812" s="23"/>
      <c r="AH812" s="23" t="str">
        <f>IFERROR(__xludf.DUMMYFUNCTION("IF(
ISNUMBER(MATCH(
C812,
IMPORTRANGE(""https://docs.google.com/spreadsheets/d/1yTh1ELC33JHYOeEdgIiEclxPRyh0zOKtlawDltfUay8"",""'Interns'!A:A""),
0
)),
""Outreach Conducted"",
"""")"),"")</f>
        <v/>
      </c>
      <c r="AI812" s="23"/>
      <c r="AJ812" s="23"/>
      <c r="AK812" s="23" t="str">
        <f>IFERROR(__xludf.DUMMYFUNCTION("XLOOKUP(C812, 
   IMPORTRANGE(""1RdEdgHYrZ33LJ7RUHj_h-qkAFL92bcVjtIdVa-UlsCw"", ""Interns!D:D""), 
   IMPORTRANGE(""1RdEdgHYrZ33LJ7RUHj_h-qkAFL92bcVjtIdVa-UlsCw"", ""Interns!M:M""), 
   ""Not Found"")"),"In Communication")</f>
        <v>In Communication</v>
      </c>
      <c r="AL812" s="23" t="str">
        <f>IFERROR(__xludf.DUMMYFUNCTION("XLOOKUP(C812, 
   IMPORTRANGE(""1RdEdgHYrZ33LJ7RUHj_h-qkAFL92bcVjtIdVa-UlsCw"", ""Interns!D:D""), 
   IMPORTRANGE(""1RdEdgHYrZ33LJ7RUHj_h-qkAFL92bcVjtIdVa-UlsCw"", ""Interns!N:N""), 
   ""Not Found"")"),"#Cheers4Careers")</f>
        <v>#Cheers4Careers</v>
      </c>
      <c r="AM812" s="23" t="str">
        <f>IFERROR(__xludf.DUMMYFUNCTION("XLOOKUP(C812, 
   IMPORTRANGE(""1RdEdgHYrZ33LJ7RUHj_h-qkAFL92bcVjtIdVa-UlsCw"", ""Interns!D:D""), 
   IMPORTRANGE(""1RdEdgHYrZ33LJ7RUHj_h-qkAFL92bcVjtIdVa-UlsCw"", ""Interns!O:O""), 
   ""Not Found"")"),"Hetal reached out by email 3/27 followed by text and Vilma replied asking to move it to Monday (in Spanish); confused if she's coming")</f>
        <v>Hetal reached out by email 3/27 followed by text and Vilma replied asking to move it to Monday (in Spanish); confused if she's coming</v>
      </c>
      <c r="AN812" s="23"/>
      <c r="AO812" s="23" t="s">
        <v>10448</v>
      </c>
      <c r="AP812" s="28" t="s">
        <v>5182</v>
      </c>
      <c r="AQ812" s="28" t="s">
        <v>10449</v>
      </c>
      <c r="AR812" s="23" t="s">
        <v>10442</v>
      </c>
      <c r="AS812" s="23"/>
      <c r="AT812" s="23"/>
      <c r="AU812" s="23"/>
      <c r="AV812" s="23"/>
    </row>
    <row r="813">
      <c r="A813" s="28" t="s">
        <v>5161</v>
      </c>
      <c r="B813" s="28" t="s">
        <v>5162</v>
      </c>
      <c r="C813" s="23" t="str">
        <f t="shared" si="1"/>
        <v>Mirza Tarax</v>
      </c>
      <c r="D813" s="22" t="s">
        <v>10450</v>
      </c>
      <c r="E813" s="22" t="s">
        <v>10451</v>
      </c>
      <c r="F813" s="23"/>
      <c r="G813" s="23"/>
      <c r="H813" s="22">
        <v>1973.0</v>
      </c>
      <c r="I813" s="28"/>
      <c r="J813" s="28" t="s">
        <v>9536</v>
      </c>
      <c r="K813" s="28" t="s">
        <v>5177</v>
      </c>
      <c r="L813" s="28" t="s">
        <v>5196</v>
      </c>
      <c r="M813" s="29" t="s">
        <v>10452</v>
      </c>
      <c r="N813" s="61">
        <v>45632.52291666667</v>
      </c>
      <c r="O813" s="25">
        <v>38911.0</v>
      </c>
      <c r="P813" s="28">
        <f t="shared" si="20"/>
        <v>19</v>
      </c>
      <c r="Q813" s="62" t="s">
        <v>240</v>
      </c>
      <c r="R813" s="22" t="s">
        <v>10453</v>
      </c>
      <c r="S813" s="28">
        <v>13.0</v>
      </c>
      <c r="T813" s="28">
        <v>30.0</v>
      </c>
      <c r="U813" s="28">
        <v>70.0</v>
      </c>
      <c r="V813" s="28">
        <v>9.0</v>
      </c>
      <c r="W813" s="28" t="s">
        <v>271</v>
      </c>
      <c r="X813" s="28" t="s">
        <v>272</v>
      </c>
      <c r="Y813" s="22">
        <v>3.477053863E9</v>
      </c>
      <c r="Z813" s="22" t="s">
        <v>9625</v>
      </c>
      <c r="AA813" s="28" t="s">
        <v>6863</v>
      </c>
      <c r="AB813" s="28">
        <v>9.0</v>
      </c>
      <c r="AC813" s="28" t="s">
        <v>27</v>
      </c>
      <c r="AD813" s="23"/>
      <c r="AE813" s="28" t="s">
        <v>19</v>
      </c>
      <c r="AF813" s="23"/>
      <c r="AG813" s="23"/>
      <c r="AH813" s="23" t="str">
        <f>IFERROR(__xludf.DUMMYFUNCTION("IF(
ISNUMBER(MATCH(
C813,
IMPORTRANGE(""https://docs.google.com/spreadsheets/d/1yTh1ELC33JHYOeEdgIiEclxPRyh0zOKtlawDltfUay8"",""'Interns'!A:A""),
0
)),
""Outreach Conducted"",
"""")"),"")</f>
        <v/>
      </c>
      <c r="AI813" s="23"/>
      <c r="AJ813" s="23"/>
      <c r="AK813" s="23"/>
      <c r="AL813" s="23" t="str">
        <f>IFERROR(__xludf.DUMMYFUNCTION("XLOOKUP(C813, 
   IMPORTRANGE(""1RdEdgHYrZ33LJ7RUHj_h-qkAFL92bcVjtIdVa-UlsCw"", ""Interns!D:D""), 
   IMPORTRANGE(""1RdEdgHYrZ33LJ7RUHj_h-qkAFL92bcVjtIdVa-UlsCw"", ""Interns!N:N""), 
   ""Not Found"")"),"Not Found")</f>
        <v>Not Found</v>
      </c>
      <c r="AM813" s="23" t="str">
        <f>IFERROR(__xludf.DUMMYFUNCTION("XLOOKUP(C813, 
   IMPORTRANGE(""1RdEdgHYrZ33LJ7RUHj_h-qkAFL92bcVjtIdVa-UlsCw"", ""Interns!D:D""), 
   IMPORTRANGE(""1RdEdgHYrZ33LJ7RUHj_h-qkAFL92bcVjtIdVa-UlsCw"", ""Interns!O:O""), 
   ""Not Found"")"),"Not Found")</f>
        <v>Not Found</v>
      </c>
      <c r="AN813" s="23"/>
      <c r="AO813" s="23" t="s">
        <v>10454</v>
      </c>
      <c r="AP813" s="28" t="s">
        <v>5191</v>
      </c>
      <c r="AQ813" s="28" t="s">
        <v>10455</v>
      </c>
      <c r="AR813" s="23">
        <v>9.175350262E9</v>
      </c>
      <c r="AS813" s="23"/>
      <c r="AT813" s="23"/>
      <c r="AU813" s="23"/>
      <c r="AV813" s="23"/>
    </row>
    <row r="814">
      <c r="A814" s="28" t="s">
        <v>5161</v>
      </c>
      <c r="B814" s="28" t="s">
        <v>5162</v>
      </c>
      <c r="C814" s="23" t="str">
        <f t="shared" si="1"/>
        <v>Deneira Thomas</v>
      </c>
      <c r="D814" s="22" t="s">
        <v>10456</v>
      </c>
      <c r="E814" s="22" t="s">
        <v>3672</v>
      </c>
      <c r="F814" s="23"/>
      <c r="G814" s="23"/>
      <c r="H814" s="22">
        <v>1980.0</v>
      </c>
      <c r="I814" s="28"/>
      <c r="J814" s="28" t="s">
        <v>9536</v>
      </c>
      <c r="K814" s="28" t="s">
        <v>5177</v>
      </c>
      <c r="L814" s="28" t="s">
        <v>5196</v>
      </c>
      <c r="M814" s="29" t="s">
        <v>10457</v>
      </c>
      <c r="N814" s="61">
        <v>45632.50555555556</v>
      </c>
      <c r="O814" s="25">
        <v>39585.0</v>
      </c>
      <c r="P814" s="28">
        <f t="shared" si="20"/>
        <v>18</v>
      </c>
      <c r="Q814" s="62" t="s">
        <v>240</v>
      </c>
      <c r="R814" s="22" t="s">
        <v>10458</v>
      </c>
      <c r="S814" s="28">
        <v>13.0</v>
      </c>
      <c r="T814" s="28">
        <v>30.0</v>
      </c>
      <c r="U814" s="28">
        <v>70.0</v>
      </c>
      <c r="V814" s="28">
        <v>9.0</v>
      </c>
      <c r="W814" s="28" t="s">
        <v>271</v>
      </c>
      <c r="X814" s="28" t="s">
        <v>272</v>
      </c>
      <c r="Y814" s="24"/>
      <c r="Z814" s="22" t="s">
        <v>9625</v>
      </c>
      <c r="AA814" s="28" t="s">
        <v>6863</v>
      </c>
      <c r="AB814" s="28">
        <v>9.0</v>
      </c>
      <c r="AC814" s="28" t="s">
        <v>27</v>
      </c>
      <c r="AD814" s="28" t="s">
        <v>101</v>
      </c>
      <c r="AE814" s="28" t="s">
        <v>19</v>
      </c>
      <c r="AF814" s="23"/>
      <c r="AG814" s="23"/>
      <c r="AH814" s="23" t="str">
        <f>IFERROR(__xludf.DUMMYFUNCTION("IF(
ISNUMBER(MATCH(
C814,
IMPORTRANGE(""https://docs.google.com/spreadsheets/d/1yTh1ELC33JHYOeEdgIiEclxPRyh0zOKtlawDltfUay8"",""'Interns'!A:A""),
0
)),
""Outreach Conducted"",
"""")"),"")</f>
        <v/>
      </c>
      <c r="AI814" s="23"/>
      <c r="AJ814" s="23"/>
      <c r="AK814" s="23"/>
      <c r="AL814" s="23" t="str">
        <f>IFERROR(__xludf.DUMMYFUNCTION("XLOOKUP(C814, 
   IMPORTRANGE(""1RdEdgHYrZ33LJ7RUHj_h-qkAFL92bcVjtIdVa-UlsCw"", ""Interns!D:D""), 
   IMPORTRANGE(""1RdEdgHYrZ33LJ7RUHj_h-qkAFL92bcVjtIdVa-UlsCw"", ""Interns!N:N""), 
   ""Not Found"")"),"Not Found")</f>
        <v>Not Found</v>
      </c>
      <c r="AM814" s="23" t="str">
        <f>IFERROR(__xludf.DUMMYFUNCTION("XLOOKUP(C814, 
   IMPORTRANGE(""1RdEdgHYrZ33LJ7RUHj_h-qkAFL92bcVjtIdVa-UlsCw"", ""Interns!D:D""), 
   IMPORTRANGE(""1RdEdgHYrZ33LJ7RUHj_h-qkAFL92bcVjtIdVa-UlsCw"", ""Interns!O:O""), 
   ""Not Found"")"),"Not Found")</f>
        <v>Not Found</v>
      </c>
      <c r="AN814" s="23"/>
      <c r="AO814" s="23" t="s">
        <v>10459</v>
      </c>
      <c r="AP814" s="28" t="s">
        <v>5641</v>
      </c>
      <c r="AQ814" s="28" t="s">
        <v>10455</v>
      </c>
      <c r="AR814" s="23">
        <v>6.463214947E9</v>
      </c>
      <c r="AS814" s="23"/>
      <c r="AT814" s="23"/>
      <c r="AU814" s="23"/>
      <c r="AV814" s="23"/>
    </row>
    <row r="815">
      <c r="A815" s="28" t="s">
        <v>5161</v>
      </c>
      <c r="B815" s="28" t="s">
        <v>5162</v>
      </c>
      <c r="C815" s="23" t="str">
        <f t="shared" si="1"/>
        <v>Valerio Ramos</v>
      </c>
      <c r="D815" s="28" t="s">
        <v>10460</v>
      </c>
      <c r="E815" s="28" t="s">
        <v>7937</v>
      </c>
      <c r="F815" s="23">
        <f t="array" ref="F815">IFERROR(
    INDEX('Hub Interns 226'!A:A, MATCH(C815, 'Hub Interns 226'!B:B, 0)),"")</f>
        <v>1403</v>
      </c>
      <c r="G815" s="23">
        <f t="array" ref="G815">IFERROR(
    INDEX('Hub Users 226'!A:A, MATCH(C815, 'Hub Users 226'!B:B, 0)),"")</f>
        <v>2184</v>
      </c>
      <c r="H815" s="28">
        <v>1817.0</v>
      </c>
      <c r="I815" s="28"/>
      <c r="J815" s="28" t="s">
        <v>9536</v>
      </c>
      <c r="K815" s="28" t="s">
        <v>5177</v>
      </c>
      <c r="L815" s="28" t="s">
        <v>5165</v>
      </c>
      <c r="M815" s="56" t="s">
        <v>10461</v>
      </c>
      <c r="N815" s="57">
        <v>45386.67152777778</v>
      </c>
      <c r="O815" s="58">
        <v>39530.0</v>
      </c>
      <c r="P815" s="28">
        <f t="shared" si="20"/>
        <v>18</v>
      </c>
      <c r="Q815" s="28" t="s">
        <v>10462</v>
      </c>
      <c r="R815" s="28" t="s">
        <v>10458</v>
      </c>
      <c r="S815" s="28">
        <v>13.0</v>
      </c>
      <c r="T815" s="28">
        <v>30.0</v>
      </c>
      <c r="U815" s="28">
        <v>70.0</v>
      </c>
      <c r="V815" s="28">
        <v>9.0</v>
      </c>
      <c r="W815" s="28" t="s">
        <v>271</v>
      </c>
      <c r="X815" s="28" t="s">
        <v>272</v>
      </c>
      <c r="Y815" s="23"/>
      <c r="Z815" s="28" t="s">
        <v>6876</v>
      </c>
      <c r="AA815" s="28" t="s">
        <v>6863</v>
      </c>
      <c r="AB815" s="28">
        <v>9.0</v>
      </c>
      <c r="AC815" s="28" t="s">
        <v>27</v>
      </c>
      <c r="AD815" s="28" t="s">
        <v>101</v>
      </c>
      <c r="AE815" s="28" t="s">
        <v>18</v>
      </c>
      <c r="AF815" s="23"/>
      <c r="AG815" s="26" t="s">
        <v>5615</v>
      </c>
      <c r="AH815" s="23" t="str">
        <f>IFERROR(__xludf.DUMMYFUNCTION("IF(
ISNUMBER(MATCH(
C815,
IMPORTRANGE(""https://docs.google.com/spreadsheets/d/1yTh1ELC33JHYOeEdgIiEclxPRyh0zOKtlawDltfUay8"",""'Interns'!A:A""),
0
)),
""Outreach Conducted"",
"""")"),"")</f>
        <v/>
      </c>
      <c r="AI815" s="23"/>
      <c r="AJ815" s="23"/>
      <c r="AK815" s="23" t="str">
        <f>IFERROR(__xludf.DUMMYFUNCTION("XLOOKUP(C815, 
   IMPORTRANGE(""1RdEdgHYrZ33LJ7RUHj_h-qkAFL92bcVjtIdVa-UlsCw"", ""Interns!D:D""), 
   IMPORTRANGE(""1RdEdgHYrZ33LJ7RUHj_h-qkAFL92bcVjtIdVa-UlsCw"", ""Interns!M:M""), 
   ""Not Found"")"),"Contacted")</f>
        <v>Contacted</v>
      </c>
      <c r="AL815" s="23" t="str">
        <f>IFERROR(__xludf.DUMMYFUNCTION("XLOOKUP(C815, 
   IMPORTRANGE(""1RdEdgHYrZ33LJ7RUHj_h-qkAFL92bcVjtIdVa-UlsCw"", ""Interns!D:D""), 
   IMPORTRANGE(""1RdEdgHYrZ33LJ7RUHj_h-qkAFL92bcVjtIdVa-UlsCw"", ""Interns!N:N""), 
   ""Not Found"")"),"#Cheers4Careers")</f>
        <v>#Cheers4Careers</v>
      </c>
      <c r="AM815" s="23" t="str">
        <f>IFERROR(__xludf.DUMMYFUNCTION("XLOOKUP(C815, 
   IMPORTRANGE(""1RdEdgHYrZ33LJ7RUHj_h-qkAFL92bcVjtIdVa-UlsCw"", ""Interns!D:D""), 
   IMPORTRANGE(""1RdEdgHYrZ33LJ7RUHj_h-qkAFL92bcVjtIdVa-UlsCw"", ""Interns!O:O""), 
   ""Not Found"")"),"Hetal reached out March 27 for March #Cheers4 Careers")</f>
        <v>Hetal reached out March 27 for March #Cheers4 Careers</v>
      </c>
      <c r="AN815" s="23"/>
      <c r="AO815" s="23" t="s">
        <v>9685</v>
      </c>
      <c r="AP815" s="28" t="s">
        <v>10463</v>
      </c>
      <c r="AQ815" s="28" t="s">
        <v>9687</v>
      </c>
      <c r="AR815" s="23">
        <v>2.12694602E9</v>
      </c>
      <c r="AS815" s="23"/>
      <c r="AT815" s="23"/>
      <c r="AU815" s="23"/>
      <c r="AV815" s="23"/>
    </row>
    <row r="816">
      <c r="A816" s="28" t="s">
        <v>5161</v>
      </c>
      <c r="B816" s="28" t="s">
        <v>5162</v>
      </c>
      <c r="C816" s="23" t="str">
        <f t="shared" si="1"/>
        <v>Victor Quino</v>
      </c>
      <c r="D816" s="28" t="s">
        <v>1322</v>
      </c>
      <c r="E816" s="28" t="s">
        <v>10464</v>
      </c>
      <c r="F816" s="23">
        <f t="array" ref="F816">IFERROR(
    INDEX('Hub Interns 226'!A:A, MATCH(C816, 'Hub Interns 226'!B:B, 0)),"")</f>
        <v>1407</v>
      </c>
      <c r="G816" s="23">
        <f t="array" ref="G816">IFERROR(
    INDEX('Hub Users 226'!A:A, MATCH(C816, 'Hub Users 226'!B:B, 0)),"")</f>
        <v>1965</v>
      </c>
      <c r="H816" s="28">
        <v>1811.0</v>
      </c>
      <c r="I816" s="28"/>
      <c r="J816" s="28" t="s">
        <v>9536</v>
      </c>
      <c r="K816" s="28" t="s">
        <v>5177</v>
      </c>
      <c r="L816" s="28" t="s">
        <v>5165</v>
      </c>
      <c r="M816" s="56" t="s">
        <v>10465</v>
      </c>
      <c r="N816" s="57">
        <v>45379.72430555556</v>
      </c>
      <c r="O816" s="58">
        <v>38894.0</v>
      </c>
      <c r="P816" s="28">
        <f t="shared" si="20"/>
        <v>19</v>
      </c>
      <c r="Q816" s="28" t="s">
        <v>10466</v>
      </c>
      <c r="R816" s="28" t="s">
        <v>10458</v>
      </c>
      <c r="S816" s="28">
        <v>13.0</v>
      </c>
      <c r="T816" s="28">
        <v>30.0</v>
      </c>
      <c r="U816" s="28">
        <v>70.0</v>
      </c>
      <c r="V816" s="28">
        <v>9.0</v>
      </c>
      <c r="W816" s="28" t="s">
        <v>271</v>
      </c>
      <c r="X816" s="28" t="s">
        <v>272</v>
      </c>
      <c r="Y816" s="28">
        <v>6.486574792E9</v>
      </c>
      <c r="Z816" s="28" t="s">
        <v>6876</v>
      </c>
      <c r="AA816" s="28" t="s">
        <v>6863</v>
      </c>
      <c r="AB816" s="28">
        <v>9.0</v>
      </c>
      <c r="AC816" s="28" t="s">
        <v>27</v>
      </c>
      <c r="AD816" s="28" t="s">
        <v>101</v>
      </c>
      <c r="AE816" s="28" t="s">
        <v>18</v>
      </c>
      <c r="AF816" s="23"/>
      <c r="AG816" s="23"/>
      <c r="AH816" s="23" t="str">
        <f>IFERROR(__xludf.DUMMYFUNCTION("IF(
ISNUMBER(MATCH(
C816,
IMPORTRANGE(""https://docs.google.com/spreadsheets/d/1yTh1ELC33JHYOeEdgIiEclxPRyh0zOKtlawDltfUay8"",""'Interns'!A:A""),
0
)),
""Outreach Conducted"",
"""")"),"")</f>
        <v/>
      </c>
      <c r="AI816" s="23"/>
      <c r="AJ816" s="23"/>
      <c r="AK816" s="23" t="str">
        <f>IFERROR(__xludf.DUMMYFUNCTION("XLOOKUP(C816, 
   IMPORTRANGE(""1RdEdgHYrZ33LJ7RUHj_h-qkAFL92bcVjtIdVa-UlsCw"", ""Interns!D:D""), 
   IMPORTRANGE(""1RdEdgHYrZ33LJ7RUHj_h-qkAFL92bcVjtIdVa-UlsCw"", ""Interns!M:M""), 
   ""Not Found"")"),"Contacted")</f>
        <v>Contacted</v>
      </c>
      <c r="AL816" s="23" t="str">
        <f>IFERROR(__xludf.DUMMYFUNCTION("XLOOKUP(C816, 
   IMPORTRANGE(""1RdEdgHYrZ33LJ7RUHj_h-qkAFL92bcVjtIdVa-UlsCw"", ""Interns!D:D""), 
   IMPORTRANGE(""1RdEdgHYrZ33LJ7RUHj_h-qkAFL92bcVjtIdVa-UlsCw"", ""Interns!N:N""), 
   ""Not Found"")"),"#Cheers4Careers")</f>
        <v>#Cheers4Careers</v>
      </c>
      <c r="AM816" s="23" t="str">
        <f>IFERROR(__xludf.DUMMYFUNCTION("XLOOKUP(C816, 
   IMPORTRANGE(""1RdEdgHYrZ33LJ7RUHj_h-qkAFL92bcVjtIdVa-UlsCw"", ""Interns!D:D""), 
   IMPORTRANGE(""1RdEdgHYrZ33LJ7RUHj_h-qkAFL92bcVjtIdVa-UlsCw"", ""Interns!O:O""), 
   ""Not Found"")"),"Hetal reached out March 27 for March #Cheers4 Careers")</f>
        <v>Hetal reached out March 27 for March #Cheers4 Careers</v>
      </c>
      <c r="AN816" s="23"/>
      <c r="AO816" s="23" t="s">
        <v>9685</v>
      </c>
      <c r="AP816" s="28" t="s">
        <v>9686</v>
      </c>
      <c r="AQ816" s="28" t="s">
        <v>9687</v>
      </c>
      <c r="AR816" s="23">
        <v>2.12694602E9</v>
      </c>
      <c r="AS816" s="23"/>
      <c r="AT816" s="23"/>
      <c r="AU816" s="23"/>
      <c r="AV816" s="23"/>
    </row>
    <row r="817">
      <c r="A817" s="28" t="s">
        <v>5161</v>
      </c>
      <c r="B817" s="28" t="s">
        <v>5162</v>
      </c>
      <c r="C817" s="23" t="str">
        <f t="shared" si="1"/>
        <v>Suigly Gomez</v>
      </c>
      <c r="D817" s="28" t="s">
        <v>9039</v>
      </c>
      <c r="E817" s="28" t="s">
        <v>6277</v>
      </c>
      <c r="F817" s="23">
        <f t="array" ref="F817">IFERROR(
    INDEX('Hub Interns 226'!A:A, MATCH(C817, 'Hub Interns 226'!B:B, 0)),"")</f>
        <v>1131</v>
      </c>
      <c r="G817" s="23">
        <f t="array" ref="G817">IFERROR(
    INDEX('Hub Users 226'!A:A, MATCH(C817, 'Hub Users 226'!B:B, 0)),"")</f>
        <v>1564</v>
      </c>
      <c r="H817" s="28">
        <v>930.0</v>
      </c>
      <c r="I817" s="28" t="s">
        <v>407</v>
      </c>
      <c r="J817" s="28" t="s">
        <v>9536</v>
      </c>
      <c r="K817" s="28" t="s">
        <v>5177</v>
      </c>
      <c r="L817" s="28" t="s">
        <v>5196</v>
      </c>
      <c r="M817" s="56" t="s">
        <v>9040</v>
      </c>
      <c r="N817" s="57">
        <v>44603.47986111111</v>
      </c>
      <c r="O817" s="58">
        <v>38580.0</v>
      </c>
      <c r="P817" s="28">
        <f t="shared" si="20"/>
        <v>20</v>
      </c>
      <c r="Q817" s="28" t="s">
        <v>9041</v>
      </c>
      <c r="R817" s="28" t="s">
        <v>9042</v>
      </c>
      <c r="S817" s="28">
        <v>14.0</v>
      </c>
      <c r="T817" s="28">
        <v>29.0</v>
      </c>
      <c r="U817" s="28">
        <v>84.0</v>
      </c>
      <c r="V817" s="28">
        <v>8.0</v>
      </c>
      <c r="W817" s="28" t="s">
        <v>859</v>
      </c>
      <c r="X817" s="28" t="s">
        <v>272</v>
      </c>
      <c r="Y817" s="28" t="s">
        <v>9043</v>
      </c>
      <c r="Z817" s="28" t="s">
        <v>5208</v>
      </c>
      <c r="AA817" s="28" t="s">
        <v>2141</v>
      </c>
      <c r="AB817" s="28">
        <v>8.0</v>
      </c>
      <c r="AC817" s="28" t="s">
        <v>24</v>
      </c>
      <c r="AD817" s="23"/>
      <c r="AE817" s="28" t="s">
        <v>10</v>
      </c>
      <c r="AF817" s="23"/>
      <c r="AG817" s="23"/>
      <c r="AH817" s="23" t="str">
        <f>IFERROR(__xludf.DUMMYFUNCTION("IF(
ISNUMBER(MATCH(
C817,
IMPORTRANGE(""https://docs.google.com/spreadsheets/d/1yTh1ELC33JHYOeEdgIiEclxPRyh0zOKtlawDltfUay8"",""'Interns'!A:A""),
0
)),
""Outreach Conducted"",
"""")"),"")</f>
        <v/>
      </c>
      <c r="AI817" s="23"/>
      <c r="AJ817" s="23"/>
      <c r="AK817" s="23" t="str">
        <f>IFERROR(__xludf.DUMMYFUNCTION("XLOOKUP(C817, 
   IMPORTRANGE(""1RdEdgHYrZ33LJ7RUHj_h-qkAFL92bcVjtIdVa-UlsCw"", ""Interns!D:D""), 
   IMPORTRANGE(""1RdEdgHYrZ33LJ7RUHj_h-qkAFL92bcVjtIdVa-UlsCw"", ""Interns!M:M""), 
   ""Not Found"")"),"Contacted")</f>
        <v>Contacted</v>
      </c>
      <c r="AL817" s="23" t="str">
        <f>IFERROR(__xludf.DUMMYFUNCTION("XLOOKUP(C817, 
   IMPORTRANGE(""1RdEdgHYrZ33LJ7RUHj_h-qkAFL92bcVjtIdVa-UlsCw"", ""Interns!D:D""), 
   IMPORTRANGE(""1RdEdgHYrZ33LJ7RUHj_h-qkAFL92bcVjtIdVa-UlsCw"", ""Interns!N:N""), 
   ""Not Found"")"),"#Cheers4Careers")</f>
        <v>#Cheers4Careers</v>
      </c>
      <c r="AM817" s="23" t="str">
        <f>IFERROR(__xludf.DUMMYFUNCTION("XLOOKUP(C817, 
   IMPORTRANGE(""1RdEdgHYrZ33LJ7RUHj_h-qkAFL92bcVjtIdVa-UlsCw"", ""Interns!D:D""), 
   IMPORTRANGE(""1RdEdgHYrZ33LJ7RUHj_h-qkAFL92bcVjtIdVa-UlsCw"", ""Interns!O:O""), 
   ""Not Found"")"),"Hetal reached out by email 3/27")</f>
        <v>Hetal reached out by email 3/27</v>
      </c>
      <c r="AN817" s="23"/>
      <c r="AO817" s="23" t="s">
        <v>9044</v>
      </c>
      <c r="AP817" s="28" t="s">
        <v>5240</v>
      </c>
      <c r="AQ817" s="28"/>
      <c r="AR817" s="23"/>
      <c r="AS817" s="28" t="s">
        <v>10467</v>
      </c>
      <c r="AT817" s="23"/>
      <c r="AU817" s="23"/>
      <c r="AV817" s="23"/>
    </row>
    <row r="818">
      <c r="A818" s="28" t="s">
        <v>5202</v>
      </c>
      <c r="B818" s="28" t="s">
        <v>5162</v>
      </c>
      <c r="C818" s="23" t="str">
        <f t="shared" si="1"/>
        <v>Ashley Martínez</v>
      </c>
      <c r="D818" s="28" t="s">
        <v>4281</v>
      </c>
      <c r="E818" s="28" t="s">
        <v>10468</v>
      </c>
      <c r="F818" s="23">
        <f t="array" ref="F818">IFERROR(
    INDEX('Hub Interns 226'!A:A, MATCH(C818, 'Hub Interns 226'!B:B, 0)),"")</f>
        <v>268</v>
      </c>
      <c r="G818" s="28">
        <v>701.0</v>
      </c>
      <c r="H818" s="28">
        <v>1295.0</v>
      </c>
      <c r="I818" s="28" t="s">
        <v>260</v>
      </c>
      <c r="J818" s="28" t="s">
        <v>5176</v>
      </c>
      <c r="K818" s="28" t="s">
        <v>5177</v>
      </c>
      <c r="L818" s="28" t="s">
        <v>5196</v>
      </c>
      <c r="M818" s="56" t="s">
        <v>10469</v>
      </c>
      <c r="N818" s="59">
        <v>44846.53888888889</v>
      </c>
      <c r="O818" s="58">
        <v>39279.0</v>
      </c>
      <c r="P818" s="28">
        <f t="shared" si="20"/>
        <v>18</v>
      </c>
      <c r="Q818" s="28" t="s">
        <v>240</v>
      </c>
      <c r="R818" s="28" t="s">
        <v>10470</v>
      </c>
      <c r="S818" s="28">
        <v>15.0</v>
      </c>
      <c r="T818" s="28">
        <v>29.0</v>
      </c>
      <c r="U818" s="28">
        <v>77.0</v>
      </c>
      <c r="V818" s="28">
        <v>16.0</v>
      </c>
      <c r="W818" s="28" t="s">
        <v>859</v>
      </c>
      <c r="X818" s="28" t="s">
        <v>272</v>
      </c>
      <c r="Y818" s="28" t="s">
        <v>10471</v>
      </c>
      <c r="Z818" s="28" t="s">
        <v>5918</v>
      </c>
      <c r="AA818" s="28" t="s">
        <v>477</v>
      </c>
      <c r="AB818" s="28">
        <v>15.0</v>
      </c>
      <c r="AC818" s="28" t="s">
        <v>23</v>
      </c>
      <c r="AD818" s="23"/>
      <c r="AE818" s="28" t="s">
        <v>15</v>
      </c>
      <c r="AF818" s="23"/>
      <c r="AG818" s="23"/>
      <c r="AH818" s="23" t="str">
        <f>IFERROR(__xludf.DUMMYFUNCTION("IF(
ISNUMBER(MATCH(
C818,
IMPORTRANGE(""https://docs.google.com/spreadsheets/d/1yTh1ELC33JHYOeEdgIiEclxPRyh0zOKtlawDltfUay8"",""'Interns'!A:A""),
0
)),
""Outreach Conducted"",
"""")"),"")</f>
        <v/>
      </c>
      <c r="AI818" s="23"/>
      <c r="AJ818" s="23"/>
      <c r="AK818" s="23" t="str">
        <f>IFERROR(__xludf.DUMMYFUNCTION("XLOOKUP(C818, 
   IMPORTRANGE(""1RdEdgHYrZ33LJ7RUHj_h-qkAFL92bcVjtIdVa-UlsCw"", ""Interns!D:D""), 
   IMPORTRANGE(""1RdEdgHYrZ33LJ7RUHj_h-qkAFL92bcVjtIdVa-UlsCw"", ""Interns!M:M""), 
   ""Not Found"")"),"")</f>
        <v/>
      </c>
      <c r="AL818" s="23" t="str">
        <f>IFERROR(__xludf.DUMMYFUNCTION("XLOOKUP(C818, 
   IMPORTRANGE(""1RdEdgHYrZ33LJ7RUHj_h-qkAFL92bcVjtIdVa-UlsCw"", ""Interns!D:D""), 
   IMPORTRANGE(""1RdEdgHYrZ33LJ7RUHj_h-qkAFL92bcVjtIdVa-UlsCw"", ""Interns!N:N""), 
   ""Not Found"")"),"")</f>
        <v/>
      </c>
      <c r="AM818" s="23" t="str">
        <f>IFERROR(__xludf.DUMMYFUNCTION("XLOOKUP(C818, 
   IMPORTRANGE(""1RdEdgHYrZ33LJ7RUHj_h-qkAFL92bcVjtIdVa-UlsCw"", ""Interns!D:D""), 
   IMPORTRANGE(""1RdEdgHYrZ33LJ7RUHj_h-qkAFL92bcVjtIdVa-UlsCw"", ""Interns!O:O""), 
   ""Not Found"")"),"")</f>
        <v/>
      </c>
      <c r="AN818" s="23"/>
      <c r="AO818" s="23" t="s">
        <v>10472</v>
      </c>
      <c r="AP818" s="28" t="s">
        <v>5240</v>
      </c>
      <c r="AQ818" s="28"/>
      <c r="AR818" s="23"/>
      <c r="AS818" s="23"/>
      <c r="AT818" s="23"/>
      <c r="AU818" s="23"/>
      <c r="AV818" s="23"/>
    </row>
    <row r="819">
      <c r="A819" s="28" t="s">
        <v>5161</v>
      </c>
      <c r="B819" s="28" t="s">
        <v>5162</v>
      </c>
      <c r="C819" s="23" t="str">
        <f t="shared" si="1"/>
        <v>Estuardo Lopez</v>
      </c>
      <c r="D819" s="28" t="s">
        <v>10473</v>
      </c>
      <c r="E819" s="28" t="s">
        <v>2778</v>
      </c>
      <c r="F819" s="23" t="str">
        <f t="array" ref="F819">IFERROR(
    INDEX('Hub Interns 226'!A:A, MATCH(C819, 'Hub Interns 226'!B:B, 0)),"")</f>
        <v/>
      </c>
      <c r="G819" s="23">
        <f t="array" ref="G819">IFERROR(
    INDEX('Hub Users 226'!A:A, MATCH(C819, 'Hub Users 226'!B:B, 0)),"")</f>
        <v>932</v>
      </c>
      <c r="H819" s="28">
        <v>271.0</v>
      </c>
      <c r="I819" s="28" t="s">
        <v>407</v>
      </c>
      <c r="J819" s="28" t="s">
        <v>9536</v>
      </c>
      <c r="K819" s="28" t="s">
        <v>5177</v>
      </c>
      <c r="L819" s="28" t="s">
        <v>5165</v>
      </c>
      <c r="M819" s="56" t="s">
        <v>10474</v>
      </c>
      <c r="N819" s="57">
        <v>44211.40138888889</v>
      </c>
      <c r="O819" s="58">
        <v>37944.0</v>
      </c>
      <c r="P819" s="28">
        <f t="shared" si="20"/>
        <v>22</v>
      </c>
      <c r="Q819" s="28" t="s">
        <v>10475</v>
      </c>
      <c r="R819" s="28" t="s">
        <v>10476</v>
      </c>
      <c r="S819" s="28">
        <v>14.0</v>
      </c>
      <c r="T819" s="28">
        <v>29.0</v>
      </c>
      <c r="U819" s="28">
        <v>84.0</v>
      </c>
      <c r="V819" s="28">
        <v>8.0</v>
      </c>
      <c r="W819" s="28" t="s">
        <v>859</v>
      </c>
      <c r="X819" s="28" t="s">
        <v>272</v>
      </c>
      <c r="Y819" s="28">
        <v>3.472716696E9</v>
      </c>
      <c r="Z819" s="28" t="s">
        <v>5918</v>
      </c>
      <c r="AA819" s="28" t="s">
        <v>477</v>
      </c>
      <c r="AB819" s="28">
        <v>15.0</v>
      </c>
      <c r="AC819" s="28" t="s">
        <v>25</v>
      </c>
      <c r="AD819" s="23"/>
      <c r="AE819" s="28" t="s">
        <v>8</v>
      </c>
      <c r="AF819" s="23" t="str">
        <f>IFERROR(__xludf.DUMMYFUNCTION("TEXTJOIN("", "", TRUE,
  FILTER(Champions!C:C,
    ISNUMBER(SEARCH(C819, Champions!W:W))
  )
)"),"Cathy Zubiate Whealon, Jayne Gonzalez")</f>
        <v>Cathy Zubiate Whealon, Jayne Gonzalez</v>
      </c>
      <c r="AG819" s="23"/>
      <c r="AH819" s="23" t="str">
        <f>IFERROR(__xludf.DUMMYFUNCTION("IF(
ISNUMBER(MATCH(
C819,
IMPORTRANGE(""https://docs.google.com/spreadsheets/d/1yTh1ELC33JHYOeEdgIiEclxPRyh0zOKtlawDltfUay8"",""'Interns'!A:A""),
0
)),
""Outreach Conducted"",
"""")"),"")</f>
        <v/>
      </c>
      <c r="AI819" s="23"/>
      <c r="AJ819" s="23"/>
      <c r="AK819" s="23" t="str">
        <f>IFERROR(__xludf.DUMMYFUNCTION("XLOOKUP(C819, 
   IMPORTRANGE(""1RdEdgHYrZ33LJ7RUHj_h-qkAFL92bcVjtIdVa-UlsCw"", ""Interns!D:D""), 
   IMPORTRANGE(""1RdEdgHYrZ33LJ7RUHj_h-qkAFL92bcVjtIdVa-UlsCw"", ""Interns!M:M""), 
   ""Not Found"")"),"")</f>
        <v/>
      </c>
      <c r="AL819" s="23" t="str">
        <f>IFERROR(__xludf.DUMMYFUNCTION("XLOOKUP(C819, 
   IMPORTRANGE(""1RdEdgHYrZ33LJ7RUHj_h-qkAFL92bcVjtIdVa-UlsCw"", ""Interns!D:D""), 
   IMPORTRANGE(""1RdEdgHYrZ33LJ7RUHj_h-qkAFL92bcVjtIdVa-UlsCw"", ""Interns!N:N""), 
   ""Not Found"")"),"")</f>
        <v/>
      </c>
      <c r="AM819" s="23" t="str">
        <f>IFERROR(__xludf.DUMMYFUNCTION("XLOOKUP(C819, 
   IMPORTRANGE(""1RdEdgHYrZ33LJ7RUHj_h-qkAFL92bcVjtIdVa-UlsCw"", ""Interns!D:D""), 
   IMPORTRANGE(""1RdEdgHYrZ33LJ7RUHj_h-qkAFL92bcVjtIdVa-UlsCw"", ""Interns!O:O""), 
   ""Not Found"")"),"")</f>
        <v/>
      </c>
      <c r="AN819" s="23"/>
      <c r="AO819" s="23" t="s">
        <v>10477</v>
      </c>
      <c r="AP819" s="28" t="s">
        <v>5173</v>
      </c>
      <c r="AQ819" s="28" t="s">
        <v>10478</v>
      </c>
      <c r="AR819" s="23">
        <v>3.473202622E9</v>
      </c>
      <c r="AS819" s="23"/>
      <c r="AT819" s="23"/>
      <c r="AU819" s="23"/>
      <c r="AV819" s="23"/>
    </row>
    <row r="820">
      <c r="A820" s="28" t="s">
        <v>5161</v>
      </c>
      <c r="B820" s="28" t="s">
        <v>5162</v>
      </c>
      <c r="C820" s="23" t="str">
        <f t="shared" si="1"/>
        <v>Kenia Cholom</v>
      </c>
      <c r="D820" s="28" t="s">
        <v>1949</v>
      </c>
      <c r="E820" s="28" t="s">
        <v>10479</v>
      </c>
      <c r="F820" s="23">
        <f t="array" ref="F820">IFERROR(
    INDEX('Hub Interns 226'!A:A, MATCH(C820, 'Hub Interns 226'!B:B, 0)),"")</f>
        <v>739</v>
      </c>
      <c r="G820" s="23">
        <f t="array" ref="G820">IFERROR(
    INDEX('Hub Users 226'!A:A, MATCH(C820, 'Hub Users 226'!B:B, 0)),"")</f>
        <v>1172</v>
      </c>
      <c r="H820" s="28">
        <v>756.0</v>
      </c>
      <c r="I820" s="28" t="s">
        <v>107</v>
      </c>
      <c r="J820" s="28" t="s">
        <v>9536</v>
      </c>
      <c r="K820" s="28" t="s">
        <v>5177</v>
      </c>
      <c r="L820" s="28" t="s">
        <v>5196</v>
      </c>
      <c r="M820" s="56" t="s">
        <v>10480</v>
      </c>
      <c r="N820" s="59">
        <v>44551.58472222222</v>
      </c>
      <c r="O820" s="58">
        <v>38102.0</v>
      </c>
      <c r="P820" s="28">
        <f t="shared" si="20"/>
        <v>22</v>
      </c>
      <c r="Q820" s="28" t="s">
        <v>240</v>
      </c>
      <c r="R820" s="28" t="s">
        <v>10481</v>
      </c>
      <c r="S820" s="28">
        <v>7.0</v>
      </c>
      <c r="T820" s="28">
        <v>15.0</v>
      </c>
      <c r="U820" s="28">
        <v>38.0</v>
      </c>
      <c r="V820" s="28">
        <v>32.0</v>
      </c>
      <c r="W820" s="28" t="s">
        <v>1173</v>
      </c>
      <c r="X820" s="28" t="s">
        <v>272</v>
      </c>
      <c r="Y820" s="28" t="s">
        <v>10482</v>
      </c>
      <c r="Z820" s="28" t="s">
        <v>5483</v>
      </c>
      <c r="AA820" s="28" t="s">
        <v>457</v>
      </c>
      <c r="AB820" s="28">
        <v>25.0</v>
      </c>
      <c r="AC820" s="28" t="s">
        <v>25</v>
      </c>
      <c r="AD820" s="23"/>
      <c r="AE820" s="28" t="s">
        <v>10</v>
      </c>
      <c r="AF820" s="23" t="str">
        <f>IFERROR(__xludf.DUMMYFUNCTION("TEXTJOIN("", "", TRUE,
  FILTER(Champions!C:C,
    ISNUMBER(SEARCH(C820, Champions!W:W))
  )
)"),"Ahmed Imam, Jennifer Rosen")</f>
        <v>Ahmed Imam, Jennifer Rosen</v>
      </c>
      <c r="AG820" s="23"/>
      <c r="AH820" s="23" t="str">
        <f>IFERROR(__xludf.DUMMYFUNCTION("IF(
ISNUMBER(MATCH(
C820,
IMPORTRANGE(""https://docs.google.com/spreadsheets/d/1yTh1ELC33JHYOeEdgIiEclxPRyh0zOKtlawDltfUay8"",""'Interns'!A:A""),
0
)),
""Outreach Conducted"",
"""")"),"")</f>
        <v/>
      </c>
      <c r="AI820" s="23"/>
      <c r="AJ820" s="23"/>
      <c r="AK820" s="23" t="str">
        <f>IFERROR(__xludf.DUMMYFUNCTION("XLOOKUP(C820, 
   IMPORTRANGE(""1RdEdgHYrZ33LJ7RUHj_h-qkAFL92bcVjtIdVa-UlsCw"", ""Interns!D:D""), 
   IMPORTRANGE(""1RdEdgHYrZ33LJ7RUHj_h-qkAFL92bcVjtIdVa-UlsCw"", ""Interns!M:M""), 
   ""Not Found"")"),"Contacted")</f>
        <v>Contacted</v>
      </c>
      <c r="AL820" s="23" t="str">
        <f>IFERROR(__xludf.DUMMYFUNCTION("XLOOKUP(C820, 
   IMPORTRANGE(""1RdEdgHYrZ33LJ7RUHj_h-qkAFL92bcVjtIdVa-UlsCw"", ""Interns!D:D""), 
   IMPORTRANGE(""1RdEdgHYrZ33LJ7RUHj_h-qkAFL92bcVjtIdVa-UlsCw"", ""Interns!N:N""), 
   ""Not Found"")"),"#Cheers4Careers")</f>
        <v>#Cheers4Careers</v>
      </c>
      <c r="AM820" s="23" t="str">
        <f>IFERROR(__xludf.DUMMYFUNCTION("XLOOKUP(C820, 
   IMPORTRANGE(""1RdEdgHYrZ33LJ7RUHj_h-qkAFL92bcVjtIdVa-UlsCw"", ""Interns!D:D""), 
   IMPORTRANGE(""1RdEdgHYrZ33LJ7RUHj_h-qkAFL92bcVjtIdVa-UlsCw"", ""Interns!O:O""), 
   ""Not Found"")"),"Hetal reached out by email 3/27")</f>
        <v>Hetal reached out by email 3/27</v>
      </c>
      <c r="AN820" s="23"/>
      <c r="AO820" s="23" t="s">
        <v>10483</v>
      </c>
      <c r="AP820" s="28" t="s">
        <v>5191</v>
      </c>
      <c r="AQ820" s="28" t="s">
        <v>10484</v>
      </c>
      <c r="AR820" s="23" t="s">
        <v>10485</v>
      </c>
      <c r="AS820" s="23"/>
      <c r="AT820" s="23"/>
      <c r="AU820" s="23"/>
      <c r="AV820" s="23"/>
    </row>
    <row r="821">
      <c r="A821" s="28" t="s">
        <v>5161</v>
      </c>
      <c r="B821" s="28" t="s">
        <v>5162</v>
      </c>
      <c r="C821" s="23" t="str">
        <f t="shared" si="1"/>
        <v>Justin Martinez</v>
      </c>
      <c r="D821" s="28" t="s">
        <v>6724</v>
      </c>
      <c r="E821" s="28" t="s">
        <v>2010</v>
      </c>
      <c r="F821" s="23">
        <f t="array" ref="F821">IFERROR(
    INDEX('Hub Interns 226'!A:A, MATCH(C821, 'Hub Interns 226'!B:B, 0)),"")</f>
        <v>708</v>
      </c>
      <c r="G821" s="23">
        <f t="array" ref="G821">IFERROR(
    INDEX('Hub Users 226'!A:A, MATCH(C821, 'Hub Users 226'!B:B, 0)),"")</f>
        <v>1141</v>
      </c>
      <c r="H821" s="28">
        <v>517.0</v>
      </c>
      <c r="I821" s="28" t="s">
        <v>407</v>
      </c>
      <c r="J821" s="28" t="s">
        <v>10486</v>
      </c>
      <c r="K821" s="28" t="s">
        <v>5952</v>
      </c>
      <c r="L821" s="28" t="s">
        <v>5165</v>
      </c>
      <c r="M821" s="56" t="s">
        <v>10487</v>
      </c>
      <c r="N821" s="57">
        <v>44476.65625</v>
      </c>
      <c r="O821" s="58">
        <v>37882.0</v>
      </c>
      <c r="P821" s="28">
        <f t="shared" si="20"/>
        <v>22</v>
      </c>
      <c r="Q821" s="28" t="s">
        <v>240</v>
      </c>
      <c r="R821" s="28" t="s">
        <v>10488</v>
      </c>
      <c r="S821" s="28">
        <v>15.0</v>
      </c>
      <c r="T821" s="28">
        <v>29.0</v>
      </c>
      <c r="U821" s="28">
        <v>84.0</v>
      </c>
      <c r="V821" s="28">
        <v>17.0</v>
      </c>
      <c r="W821" s="28" t="s">
        <v>859</v>
      </c>
      <c r="X821" s="28" t="s">
        <v>272</v>
      </c>
      <c r="Y821" s="28" t="s">
        <v>10489</v>
      </c>
      <c r="Z821" s="28" t="s">
        <v>5918</v>
      </c>
      <c r="AA821" s="28" t="s">
        <v>477</v>
      </c>
      <c r="AB821" s="28">
        <v>15.0</v>
      </c>
      <c r="AC821" s="28" t="s">
        <v>25</v>
      </c>
      <c r="AD821" s="23"/>
      <c r="AE821" s="28" t="s">
        <v>10</v>
      </c>
      <c r="AF821" s="23" t="str">
        <f>IFERROR(__xludf.DUMMYFUNCTION("TEXTJOIN("", "", TRUE,
  FILTER(Champions!C:C,
    ISNUMBER(SEARCH(C821, Champions!W:W))
  )
)"),"Casey Burry, Daniela Alarcon, Natsumi Komatani")</f>
        <v>Casey Burry, Daniela Alarcon, Natsumi Komatani</v>
      </c>
      <c r="AG821" s="23"/>
      <c r="AH821" s="23" t="str">
        <f>IFERROR(__xludf.DUMMYFUNCTION("IF(
ISNUMBER(MATCH(
C821,
IMPORTRANGE(""https://docs.google.com/spreadsheets/d/1yTh1ELC33JHYOeEdgIiEclxPRyh0zOKtlawDltfUay8"",""'Interns'!A:A""),
0
)),
""Outreach Conducted"",
"""")"),"")</f>
        <v/>
      </c>
      <c r="AI821" s="23"/>
      <c r="AJ821" s="23"/>
      <c r="AK821" s="23" t="str">
        <f>IFERROR(__xludf.DUMMYFUNCTION("XLOOKUP(C821, 
   IMPORTRANGE(""1RdEdgHYrZ33LJ7RUHj_h-qkAFL92bcVjtIdVa-UlsCw"", ""Interns!D:D""), 
   IMPORTRANGE(""1RdEdgHYrZ33LJ7RUHj_h-qkAFL92bcVjtIdVa-UlsCw"", ""Interns!M:M""), 
   ""Not Found"")"),"")</f>
        <v/>
      </c>
      <c r="AL821" s="23" t="str">
        <f>IFERROR(__xludf.DUMMYFUNCTION("XLOOKUP(C821, 
   IMPORTRANGE(""1RdEdgHYrZ33LJ7RUHj_h-qkAFL92bcVjtIdVa-UlsCw"", ""Interns!D:D""), 
   IMPORTRANGE(""1RdEdgHYrZ33LJ7RUHj_h-qkAFL92bcVjtIdVa-UlsCw"", ""Interns!N:N""), 
   ""Not Found"")"),"")</f>
        <v/>
      </c>
      <c r="AM821" s="23" t="str">
        <f>IFERROR(__xludf.DUMMYFUNCTION("XLOOKUP(C821, 
   IMPORTRANGE(""1RdEdgHYrZ33LJ7RUHj_h-qkAFL92bcVjtIdVa-UlsCw"", ""Interns!D:D""), 
   IMPORTRANGE(""1RdEdgHYrZ33LJ7RUHj_h-qkAFL92bcVjtIdVa-UlsCw"", ""Interns!O:O""), 
   ""Not Found"")"),"")</f>
        <v/>
      </c>
      <c r="AN821" s="23"/>
      <c r="AO821" s="23" t="s">
        <v>10490</v>
      </c>
      <c r="AP821" s="28" t="s">
        <v>5191</v>
      </c>
      <c r="AQ821" s="28" t="s">
        <v>10491</v>
      </c>
      <c r="AR821" s="23" t="s">
        <v>10492</v>
      </c>
      <c r="AS821" s="28" t="s">
        <v>10493</v>
      </c>
      <c r="AT821" s="23"/>
      <c r="AU821" s="23"/>
      <c r="AV821" s="23"/>
    </row>
    <row r="822">
      <c r="A822" s="28" t="s">
        <v>5202</v>
      </c>
      <c r="B822" s="28" t="s">
        <v>5162</v>
      </c>
      <c r="C822" s="23" t="str">
        <f t="shared" si="1"/>
        <v>Wilberto Velasquez</v>
      </c>
      <c r="D822" s="28" t="s">
        <v>10494</v>
      </c>
      <c r="E822" s="28" t="s">
        <v>7349</v>
      </c>
      <c r="F822" s="23">
        <f t="array" ref="F822">IFERROR(
    INDEX('Hub Interns 226'!A:A, MATCH(C822, 'Hub Interns 226'!B:B, 0)),"")</f>
        <v>1200</v>
      </c>
      <c r="G822" s="23">
        <f t="array" ref="G822">IFERROR(
    INDEX('Hub Users 226'!A:A, MATCH(C822, 'Hub Users 226'!B:B, 0)),"")</f>
        <v>1633</v>
      </c>
      <c r="H822" s="28">
        <v>522.0</v>
      </c>
      <c r="I822" s="28" t="s">
        <v>425</v>
      </c>
      <c r="J822" s="28" t="s">
        <v>5176</v>
      </c>
      <c r="K822" s="28" t="s">
        <v>5177</v>
      </c>
      <c r="L822" s="28" t="s">
        <v>5165</v>
      </c>
      <c r="M822" s="56" t="s">
        <v>10495</v>
      </c>
      <c r="N822" s="57">
        <v>44476.663194444445</v>
      </c>
      <c r="O822" s="58">
        <v>37344.0</v>
      </c>
      <c r="P822" s="28">
        <f t="shared" si="20"/>
        <v>24</v>
      </c>
      <c r="Q822" s="28" t="s">
        <v>240</v>
      </c>
      <c r="R822" s="28" t="s">
        <v>10496</v>
      </c>
      <c r="S822" s="28">
        <v>15.0</v>
      </c>
      <c r="T822" s="28">
        <v>32.0</v>
      </c>
      <c r="U822" s="28">
        <v>77.0</v>
      </c>
      <c r="V822" s="28">
        <v>16.0</v>
      </c>
      <c r="W822" s="28" t="s">
        <v>859</v>
      </c>
      <c r="X822" s="28" t="s">
        <v>272</v>
      </c>
      <c r="Y822" s="23"/>
      <c r="Z822" s="28" t="s">
        <v>5918</v>
      </c>
      <c r="AA822" s="28" t="s">
        <v>477</v>
      </c>
      <c r="AB822" s="28">
        <v>15.0</v>
      </c>
      <c r="AC822" s="28" t="s">
        <v>25</v>
      </c>
      <c r="AD822" s="23"/>
      <c r="AE822" s="28" t="s">
        <v>10</v>
      </c>
      <c r="AF822" s="23" t="str">
        <f>IFERROR(__xludf.DUMMYFUNCTION("TEXTJOIN("", "", TRUE,
  FILTER(Champions!C:C,
    ISNUMBER(SEARCH(C822, Champions!W:W))
  )
)"),"AUGUSTO SALCEDO, Michelle Castillo")</f>
        <v>AUGUSTO SALCEDO, Michelle Castillo</v>
      </c>
      <c r="AG822" s="23"/>
      <c r="AH822" s="23" t="str">
        <f>IFERROR(__xludf.DUMMYFUNCTION("IF(
ISNUMBER(MATCH(
C822,
IMPORTRANGE(""https://docs.google.com/spreadsheets/d/1yTh1ELC33JHYOeEdgIiEclxPRyh0zOKtlawDltfUay8"",""'Interns'!A:A""),
0
)),
""Outreach Conducted"",
"""")"),"")</f>
        <v/>
      </c>
      <c r="AI822" s="23"/>
      <c r="AJ822" s="23"/>
      <c r="AK822" s="23" t="str">
        <f>IFERROR(__xludf.DUMMYFUNCTION("XLOOKUP(C822, 
   IMPORTRANGE(""1RdEdgHYrZ33LJ7RUHj_h-qkAFL92bcVjtIdVa-UlsCw"", ""Interns!D:D""), 
   IMPORTRANGE(""1RdEdgHYrZ33LJ7RUHj_h-qkAFL92bcVjtIdVa-UlsCw"", ""Interns!M:M""), 
   ""Not Found"")"),"")</f>
        <v/>
      </c>
      <c r="AL822" s="23" t="str">
        <f>IFERROR(__xludf.DUMMYFUNCTION("XLOOKUP(C822, 
   IMPORTRANGE(""1RdEdgHYrZ33LJ7RUHj_h-qkAFL92bcVjtIdVa-UlsCw"", ""Interns!D:D""), 
   IMPORTRANGE(""1RdEdgHYrZ33LJ7RUHj_h-qkAFL92bcVjtIdVa-UlsCw"", ""Interns!N:N""), 
   ""Not Found"")"),"")</f>
        <v/>
      </c>
      <c r="AM822" s="23" t="str">
        <f>IFERROR(__xludf.DUMMYFUNCTION("XLOOKUP(C822, 
   IMPORTRANGE(""1RdEdgHYrZ33LJ7RUHj_h-qkAFL92bcVjtIdVa-UlsCw"", ""Interns!D:D""), 
   IMPORTRANGE(""1RdEdgHYrZ33LJ7RUHj_h-qkAFL92bcVjtIdVa-UlsCw"", ""Interns!O:O""), 
   ""Not Found"")"),"")</f>
        <v/>
      </c>
      <c r="AN822" s="23"/>
      <c r="AO822" s="23" t="s">
        <v>10497</v>
      </c>
      <c r="AP822" s="28" t="s">
        <v>5182</v>
      </c>
      <c r="AQ822" s="28" t="s">
        <v>10498</v>
      </c>
      <c r="AR822" s="23" t="s">
        <v>10499</v>
      </c>
      <c r="AS822" s="23"/>
      <c r="AT822" s="23"/>
      <c r="AU822" s="23"/>
      <c r="AV822" s="23"/>
    </row>
    <row r="823">
      <c r="A823" s="28" t="s">
        <v>5161</v>
      </c>
      <c r="B823" s="28" t="s">
        <v>5162</v>
      </c>
      <c r="C823" s="23" t="str">
        <f t="shared" si="1"/>
        <v>Mamadu Drame</v>
      </c>
      <c r="D823" s="28" t="s">
        <v>10500</v>
      </c>
      <c r="E823" s="28" t="s">
        <v>10501</v>
      </c>
      <c r="F823" s="23">
        <f t="array" ref="F823">IFERROR(
    INDEX('Hub Interns 226'!A:A, MATCH(C823, 'Hub Interns 226'!B:B, 0)),"")</f>
        <v>828</v>
      </c>
      <c r="G823" s="23">
        <f t="array" ref="G823">IFERROR(
    INDEX('Hub Users 226'!A:A, MATCH(C823, 'Hub Users 226'!B:B, 0)),"")</f>
        <v>1261</v>
      </c>
      <c r="H823" s="28">
        <v>321.0</v>
      </c>
      <c r="I823" s="28" t="s">
        <v>425</v>
      </c>
      <c r="J823" s="28" t="s">
        <v>9893</v>
      </c>
      <c r="K823" s="28" t="s">
        <v>5245</v>
      </c>
      <c r="L823" s="28" t="s">
        <v>5165</v>
      </c>
      <c r="M823" s="56" t="s">
        <v>10502</v>
      </c>
      <c r="N823" s="57">
        <v>44236.51944444444</v>
      </c>
      <c r="O823" s="58">
        <v>37595.0</v>
      </c>
      <c r="P823" s="28">
        <f t="shared" si="20"/>
        <v>23</v>
      </c>
      <c r="Q823" s="28" t="s">
        <v>10503</v>
      </c>
      <c r="R823" s="28" t="s">
        <v>10504</v>
      </c>
      <c r="S823" s="28">
        <v>15.0</v>
      </c>
      <c r="T823" s="28">
        <v>32.0</v>
      </c>
      <c r="U823" s="28">
        <v>77.0</v>
      </c>
      <c r="V823" s="28">
        <v>16.0</v>
      </c>
      <c r="W823" s="28" t="s">
        <v>859</v>
      </c>
      <c r="X823" s="28" t="s">
        <v>272</v>
      </c>
      <c r="Y823" s="28" t="s">
        <v>10505</v>
      </c>
      <c r="Z823" s="28" t="s">
        <v>5310</v>
      </c>
      <c r="AA823" s="28" t="s">
        <v>362</v>
      </c>
      <c r="AB823" s="28">
        <v>16.0</v>
      </c>
      <c r="AC823" s="28" t="s">
        <v>25</v>
      </c>
      <c r="AD823" s="23"/>
      <c r="AE823" s="28" t="s">
        <v>8</v>
      </c>
      <c r="AF823" s="23" t="str">
        <f>IFERROR(__xludf.DUMMYFUNCTION("TEXTJOIN("", "", TRUE,
  FILTER(Champions!C:C,
    ISNUMBER(SEARCH(C823, Champions!W:W))
  )
)"),"Ellerie Vaughn, Soraya Senosier")</f>
        <v>Ellerie Vaughn, Soraya Senosier</v>
      </c>
      <c r="AG823" s="23"/>
      <c r="AH823" s="23" t="str">
        <f>IFERROR(__xludf.DUMMYFUNCTION("IF(
ISNUMBER(MATCH(
C823,
IMPORTRANGE(""https://docs.google.com/spreadsheets/d/1yTh1ELC33JHYOeEdgIiEclxPRyh0zOKtlawDltfUay8"",""'Interns'!A:A""),
0
)),
""Outreach Conducted"",
"""")"),"")</f>
        <v/>
      </c>
      <c r="AI823" s="23"/>
      <c r="AJ823" s="23"/>
      <c r="AK823" s="23" t="str">
        <f>IFERROR(__xludf.DUMMYFUNCTION("XLOOKUP(C823, 
   IMPORTRANGE(""1RdEdgHYrZ33LJ7RUHj_h-qkAFL92bcVjtIdVa-UlsCw"", ""Interns!D:D""), 
   IMPORTRANGE(""1RdEdgHYrZ33LJ7RUHj_h-qkAFL92bcVjtIdVa-UlsCw"", ""Interns!M:M""), 
   ""Not Found"")"),"Contacted")</f>
        <v>Contacted</v>
      </c>
      <c r="AL823" s="23" t="str">
        <f>IFERROR(__xludf.DUMMYFUNCTION("XLOOKUP(C823, 
   IMPORTRANGE(""1RdEdgHYrZ33LJ7RUHj_h-qkAFL92bcVjtIdVa-UlsCw"", ""Interns!D:D""), 
   IMPORTRANGE(""1RdEdgHYrZ33LJ7RUHj_h-qkAFL92bcVjtIdVa-UlsCw"", ""Interns!N:N""), 
   ""Not Found"")"),"#Cheers4Careers, #SpeakingMyName")</f>
        <v>#Cheers4Careers, #SpeakingMyName</v>
      </c>
      <c r="AM823" s="23" t="str">
        <f>IFERROR(__xludf.DUMMYFUNCTION("XLOOKUP(C823, 
   IMPORTRANGE(""1RdEdgHYrZ33LJ7RUHj_h-qkAFL92bcVjtIdVa-UlsCw"", ""Interns!D:D""), 
   IMPORTRANGE(""1RdEdgHYrZ33LJ7RUHj_h-qkAFL92bcVjtIdVa-UlsCw"", ""Interns!O:O""), 
   ""Not Found"")"),"Hetal reached out by whatsapp on 3/28
Hetal reached out on 4/10 by whatsapp for April 18th #Cheers4Careers
Alicia reached out by email on 5/15 for #SpeakingMyName")</f>
        <v>Hetal reached out by whatsapp on 3/28
Hetal reached out on 4/10 by whatsapp for April 18th #Cheers4Careers
Alicia reached out by email on 5/15 for #SpeakingMyName</v>
      </c>
      <c r="AN823" s="23"/>
      <c r="AO823" s="23" t="s">
        <v>10506</v>
      </c>
      <c r="AP823" s="28" t="s">
        <v>5908</v>
      </c>
      <c r="AQ823" s="28" t="s">
        <v>10507</v>
      </c>
      <c r="AR823" s="23" t="s">
        <v>10508</v>
      </c>
      <c r="AS823" s="23"/>
      <c r="AT823" s="23"/>
      <c r="AU823" s="23"/>
      <c r="AV823" s="23"/>
    </row>
    <row r="824">
      <c r="A824" s="28" t="s">
        <v>5161</v>
      </c>
      <c r="B824" s="28" t="s">
        <v>5162</v>
      </c>
      <c r="C824" s="23" t="str">
        <f t="shared" si="1"/>
        <v>Thierno Diallo</v>
      </c>
      <c r="D824" s="28" t="s">
        <v>10509</v>
      </c>
      <c r="E824" s="28" t="s">
        <v>7818</v>
      </c>
      <c r="F824" s="23">
        <f t="array" ref="F824">IFERROR(
    INDEX('Hub Interns 226'!A:A, MATCH(C824, 'Hub Interns 226'!B:B, 0)),"")</f>
        <v>1148</v>
      </c>
      <c r="G824" s="23">
        <f t="array" ref="G824">IFERROR(
    INDEX('Hub Users 226'!A:A, MATCH(C824, 'Hub Users 226'!B:B, 0)),"")</f>
        <v>1581</v>
      </c>
      <c r="H824" s="28">
        <v>349.0</v>
      </c>
      <c r="I824" s="28" t="s">
        <v>239</v>
      </c>
      <c r="J824" s="28" t="s">
        <v>9893</v>
      </c>
      <c r="K824" s="28" t="s">
        <v>5245</v>
      </c>
      <c r="L824" s="28" t="s">
        <v>5165</v>
      </c>
      <c r="M824" s="56" t="s">
        <v>10510</v>
      </c>
      <c r="N824" s="57">
        <v>44245.60833333333</v>
      </c>
      <c r="O824" s="58">
        <v>37724.0</v>
      </c>
      <c r="P824" s="28">
        <f t="shared" si="20"/>
        <v>23</v>
      </c>
      <c r="Q824" s="28" t="s">
        <v>10511</v>
      </c>
      <c r="R824" s="28" t="s">
        <v>10512</v>
      </c>
      <c r="S824" s="28">
        <v>14.0</v>
      </c>
      <c r="T824" s="28">
        <v>29.0</v>
      </c>
      <c r="U824" s="28">
        <v>85.0</v>
      </c>
      <c r="V824" s="28">
        <v>18.0</v>
      </c>
      <c r="W824" s="28" t="s">
        <v>859</v>
      </c>
      <c r="X824" s="28" t="s">
        <v>272</v>
      </c>
      <c r="Y824" s="28" t="s">
        <v>10513</v>
      </c>
      <c r="Z824" s="28" t="s">
        <v>5208</v>
      </c>
      <c r="AA824" s="28" t="s">
        <v>2141</v>
      </c>
      <c r="AB824" s="28">
        <v>8.0</v>
      </c>
      <c r="AC824" s="28" t="s">
        <v>24</v>
      </c>
      <c r="AD824" s="23"/>
      <c r="AE824" s="28" t="s">
        <v>8</v>
      </c>
      <c r="AF824" s="23"/>
      <c r="AG824" s="23"/>
      <c r="AH824" s="23" t="str">
        <f>IFERROR(__xludf.DUMMYFUNCTION("IF(
ISNUMBER(MATCH(
C824,
IMPORTRANGE(""https://docs.google.com/spreadsheets/d/1yTh1ELC33JHYOeEdgIiEclxPRyh0zOKtlawDltfUay8"",""'Interns'!A:A""),
0
)),
""Outreach Conducted"",
"""")"),"")</f>
        <v/>
      </c>
      <c r="AI824" s="23"/>
      <c r="AJ824" s="23"/>
      <c r="AK824" s="23" t="str">
        <f>IFERROR(__xludf.DUMMYFUNCTION("XLOOKUP(C824, 
   IMPORTRANGE(""1RdEdgHYrZ33LJ7RUHj_h-qkAFL92bcVjtIdVa-UlsCw"", ""Interns!D:D""), 
   IMPORTRANGE(""1RdEdgHYrZ33LJ7RUHj_h-qkAFL92bcVjtIdVa-UlsCw"", ""Interns!M:M""), 
   ""Not Found"")"),"Contacted")</f>
        <v>Contacted</v>
      </c>
      <c r="AL824" s="23" t="str">
        <f>IFERROR(__xludf.DUMMYFUNCTION("XLOOKUP(C824, 
   IMPORTRANGE(""1RdEdgHYrZ33LJ7RUHj_h-qkAFL92bcVjtIdVa-UlsCw"", ""Interns!D:D""), 
   IMPORTRANGE(""1RdEdgHYrZ33LJ7RUHj_h-qkAFL92bcVjtIdVa-UlsCw"", ""Interns!N:N""), 
   ""Not Found"")"),"#Cheers4Careers")</f>
        <v>#Cheers4Careers</v>
      </c>
      <c r="AM824" s="23" t="str">
        <f>IFERROR(__xludf.DUMMYFUNCTION("XLOOKUP(C824, 
   IMPORTRANGE(""1RdEdgHYrZ33LJ7RUHj_h-qkAFL92bcVjtIdVa-UlsCw"", ""Interns!D:D""), 
   IMPORTRANGE(""1RdEdgHYrZ33LJ7RUHj_h-qkAFL92bcVjtIdVa-UlsCw"", ""Interns!O:O""), 
   ""Not Found"")"),"Hetal reached out by email 3/27")</f>
        <v>Hetal reached out by email 3/27</v>
      </c>
      <c r="AN824" s="23"/>
      <c r="AO824" s="23" t="s">
        <v>10514</v>
      </c>
      <c r="AP824" s="28" t="s">
        <v>5240</v>
      </c>
      <c r="AQ824" s="28"/>
      <c r="AR824" s="23"/>
      <c r="AS824" s="23"/>
      <c r="AT824" s="23"/>
      <c r="AU824" s="23"/>
      <c r="AV824" s="23"/>
    </row>
    <row r="825">
      <c r="A825" s="28" t="s">
        <v>5202</v>
      </c>
      <c r="B825" s="28" t="s">
        <v>5162</v>
      </c>
      <c r="C825" s="23" t="str">
        <f t="shared" si="1"/>
        <v>Edwin Leiva</v>
      </c>
      <c r="D825" s="28" t="s">
        <v>9094</v>
      </c>
      <c r="E825" s="28" t="s">
        <v>10349</v>
      </c>
      <c r="F825" s="23">
        <f t="array" ref="F825">IFERROR(
    INDEX('Hub Interns 226'!A:A, MATCH(C825, 'Hub Interns 226'!B:B, 0)),"")</f>
        <v>1286</v>
      </c>
      <c r="G825" s="23">
        <f t="array" ref="G825">IFERROR(
    INDEX('Hub Users 226'!A:A, MATCH(C825, 'Hub Users 226'!B:B, 0)),"")</f>
        <v>1778</v>
      </c>
      <c r="H825" s="28">
        <v>1658.0</v>
      </c>
      <c r="I825" s="28" t="s">
        <v>425</v>
      </c>
      <c r="J825" s="28" t="s">
        <v>5176</v>
      </c>
      <c r="K825" s="28" t="s">
        <v>5177</v>
      </c>
      <c r="L825" s="28" t="s">
        <v>5165</v>
      </c>
      <c r="M825" s="56" t="s">
        <v>10515</v>
      </c>
      <c r="N825" s="59">
        <v>45212.975694444445</v>
      </c>
      <c r="O825" s="58">
        <v>39725.0</v>
      </c>
      <c r="P825" s="28">
        <f t="shared" si="20"/>
        <v>17</v>
      </c>
      <c r="Q825" s="28" t="s">
        <v>240</v>
      </c>
      <c r="R825" s="28" t="s">
        <v>10516</v>
      </c>
      <c r="S825" s="28">
        <v>14.0</v>
      </c>
      <c r="T825" s="28">
        <v>32.0</v>
      </c>
      <c r="U825" s="28">
        <v>85.0</v>
      </c>
      <c r="V825" s="28">
        <v>17.0</v>
      </c>
      <c r="W825" s="28" t="s">
        <v>859</v>
      </c>
      <c r="X825" s="28" t="s">
        <v>272</v>
      </c>
      <c r="Y825" s="28">
        <v>9.177952061E9</v>
      </c>
      <c r="Z825" s="28" t="s">
        <v>5918</v>
      </c>
      <c r="AA825" s="28" t="s">
        <v>477</v>
      </c>
      <c r="AB825" s="28">
        <v>15.0</v>
      </c>
      <c r="AC825" s="28" t="s">
        <v>25</v>
      </c>
      <c r="AD825" s="23"/>
      <c r="AE825" s="28" t="s">
        <v>18</v>
      </c>
      <c r="AF825" s="23" t="str">
        <f>IFERROR(__xludf.DUMMYFUNCTION("TEXTJOIN("", "", TRUE,
  FILTER(Champions!C:C,
    ISNUMBER(SEARCH(C825, Champions!W:W))
  )
)"),"Lata Murti")</f>
        <v>Lata Murti</v>
      </c>
      <c r="AG825" s="23"/>
      <c r="AH825" s="23" t="str">
        <f>IFERROR(__xludf.DUMMYFUNCTION("IF(
ISNUMBER(MATCH(
C825,
IMPORTRANGE(""https://docs.google.com/spreadsheets/d/1yTh1ELC33JHYOeEdgIiEclxPRyh0zOKtlawDltfUay8"",""'Interns'!A:A""),
0
)),
""Outreach Conducted"",
"""")"),"")</f>
        <v/>
      </c>
      <c r="AI825" s="23"/>
      <c r="AJ825" s="23"/>
      <c r="AK825" s="23" t="str">
        <f>IFERROR(__xludf.DUMMYFUNCTION("XLOOKUP(C825, 
   IMPORTRANGE(""1RdEdgHYrZ33LJ7RUHj_h-qkAFL92bcVjtIdVa-UlsCw"", ""Interns!D:D""), 
   IMPORTRANGE(""1RdEdgHYrZ33LJ7RUHj_h-qkAFL92bcVjtIdVa-UlsCw"", ""Interns!M:M""), 
   ""Not Found"")"),"")</f>
        <v/>
      </c>
      <c r="AL825" s="23" t="str">
        <f>IFERROR(__xludf.DUMMYFUNCTION("XLOOKUP(C825, 
   IMPORTRANGE(""1RdEdgHYrZ33LJ7RUHj_h-qkAFL92bcVjtIdVa-UlsCw"", ""Interns!D:D""), 
   IMPORTRANGE(""1RdEdgHYrZ33LJ7RUHj_h-qkAFL92bcVjtIdVa-UlsCw"", ""Interns!N:N""), 
   ""Not Found"")"),"")</f>
        <v/>
      </c>
      <c r="AM825" s="23" t="str">
        <f>IFERROR(__xludf.DUMMYFUNCTION("XLOOKUP(C825, 
   IMPORTRANGE(""1RdEdgHYrZ33LJ7RUHj_h-qkAFL92bcVjtIdVa-UlsCw"", ""Interns!D:D""), 
   IMPORTRANGE(""1RdEdgHYrZ33LJ7RUHj_h-qkAFL92bcVjtIdVa-UlsCw"", ""Interns!O:O""), 
   ""Not Found"")"),"")</f>
        <v/>
      </c>
      <c r="AN825" s="23"/>
      <c r="AO825" s="23" t="s">
        <v>10517</v>
      </c>
      <c r="AP825" s="28" t="s">
        <v>5182</v>
      </c>
      <c r="AQ825" s="28" t="s">
        <v>10515</v>
      </c>
      <c r="AR825" s="23">
        <v>9.294058646E9</v>
      </c>
      <c r="AS825" s="23"/>
      <c r="AT825" s="23"/>
      <c r="AU825" s="23"/>
      <c r="AV825" s="23"/>
    </row>
    <row r="826">
      <c r="A826" s="28" t="s">
        <v>5161</v>
      </c>
      <c r="B826" s="28" t="s">
        <v>5162</v>
      </c>
      <c r="C826" s="23" t="str">
        <f t="shared" si="1"/>
        <v>Oumou Barry</v>
      </c>
      <c r="D826" s="28" t="s">
        <v>7817</v>
      </c>
      <c r="E826" s="28" t="s">
        <v>10518</v>
      </c>
      <c r="F826" s="23">
        <f t="array" ref="F826">IFERROR(
    INDEX('Hub Interns 226'!A:A, MATCH(C826, 'Hub Interns 226'!B:B, 0)),"")</f>
        <v>959</v>
      </c>
      <c r="G826" s="23">
        <f t="array" ref="G826">IFERROR(
    INDEX('Hub Users 226'!A:A, MATCH(C826, 'Hub Users 226'!B:B, 0)),"")</f>
        <v>1392</v>
      </c>
      <c r="H826" s="28">
        <v>969.0</v>
      </c>
      <c r="I826" s="28" t="s">
        <v>260</v>
      </c>
      <c r="J826" s="28" t="s">
        <v>9893</v>
      </c>
      <c r="K826" s="28" t="s">
        <v>5245</v>
      </c>
      <c r="L826" s="28" t="s">
        <v>5196</v>
      </c>
      <c r="M826" s="56" t="s">
        <v>10519</v>
      </c>
      <c r="N826" s="57">
        <v>44642.54305555556</v>
      </c>
      <c r="O826" s="58">
        <v>36921.0</v>
      </c>
      <c r="P826" s="28">
        <f t="shared" si="20"/>
        <v>25</v>
      </c>
      <c r="Q826" s="28" t="s">
        <v>240</v>
      </c>
      <c r="R826" s="28" t="s">
        <v>10520</v>
      </c>
      <c r="S826" s="28">
        <v>9.0</v>
      </c>
      <c r="T826" s="28">
        <v>20.0</v>
      </c>
      <c r="U826" s="28">
        <v>57.0</v>
      </c>
      <c r="V826" s="28">
        <v>35.0</v>
      </c>
      <c r="W826" s="28" t="s">
        <v>294</v>
      </c>
      <c r="X826" s="28" t="s">
        <v>272</v>
      </c>
      <c r="Y826" s="28" t="s">
        <v>10521</v>
      </c>
      <c r="Z826" s="28" t="s">
        <v>5589</v>
      </c>
      <c r="AA826" s="28" t="s">
        <v>5590</v>
      </c>
      <c r="AB826" s="28">
        <v>35.0</v>
      </c>
      <c r="AC826" s="28" t="s">
        <v>24</v>
      </c>
      <c r="AD826" s="23"/>
      <c r="AE826" s="28" t="s">
        <v>10</v>
      </c>
      <c r="AF826" s="23"/>
      <c r="AG826" s="23"/>
      <c r="AH826" s="23" t="str">
        <f>IFERROR(__xludf.DUMMYFUNCTION("IF(
ISNUMBER(MATCH(
C826,
IMPORTRANGE(""https://docs.google.com/spreadsheets/d/1yTh1ELC33JHYOeEdgIiEclxPRyh0zOKtlawDltfUay8"",""'Interns'!A:A""),
0
)),
""Outreach Conducted"",
"""")"),"")</f>
        <v/>
      </c>
      <c r="AI826" s="23"/>
      <c r="AJ826" s="23"/>
      <c r="AK826" s="23" t="str">
        <f>IFERROR(__xludf.DUMMYFUNCTION("XLOOKUP(C826, 
   IMPORTRANGE(""1RdEdgHYrZ33LJ7RUHj_h-qkAFL92bcVjtIdVa-UlsCw"", ""Interns!D:D""), 
   IMPORTRANGE(""1RdEdgHYrZ33LJ7RUHj_h-qkAFL92bcVjtIdVa-UlsCw"", ""Interns!M:M""), 
   ""Not Found"")"),"Contacted")</f>
        <v>Contacted</v>
      </c>
      <c r="AL826" s="23" t="str">
        <f>IFERROR(__xludf.DUMMYFUNCTION("XLOOKUP(C826, 
   IMPORTRANGE(""1RdEdgHYrZ33LJ7RUHj_h-qkAFL92bcVjtIdVa-UlsCw"", ""Interns!D:D""), 
   IMPORTRANGE(""1RdEdgHYrZ33LJ7RUHj_h-qkAFL92bcVjtIdVa-UlsCw"", ""Interns!N:N""), 
   ""Not Found"")"),"#Cheers4Careers")</f>
        <v>#Cheers4Careers</v>
      </c>
      <c r="AM826" s="23" t="str">
        <f>IFERROR(__xludf.DUMMYFUNCTION("XLOOKUP(C826, 
   IMPORTRANGE(""1RdEdgHYrZ33LJ7RUHj_h-qkAFL92bcVjtIdVa-UlsCw"", ""Interns!D:D""), 
   IMPORTRANGE(""1RdEdgHYrZ33LJ7RUHj_h-qkAFL92bcVjtIdVa-UlsCw"", ""Interns!O:O""), 
   ""Not Found"")"),"Hetal reached out by email 3/27")</f>
        <v>Hetal reached out by email 3/27</v>
      </c>
      <c r="AN826" s="23"/>
      <c r="AO826" s="23" t="s">
        <v>10522</v>
      </c>
      <c r="AP826" s="28" t="s">
        <v>5191</v>
      </c>
      <c r="AQ826" s="28"/>
      <c r="AR826" s="23"/>
      <c r="AS826" s="23"/>
      <c r="AT826" s="23"/>
      <c r="AU826" s="23"/>
      <c r="AV826" s="23"/>
    </row>
    <row r="827">
      <c r="A827" s="28" t="s">
        <v>5161</v>
      </c>
      <c r="B827" s="28" t="s">
        <v>31</v>
      </c>
      <c r="C827" s="23" t="str">
        <f t="shared" si="1"/>
        <v>Denzel. Velasquez</v>
      </c>
      <c r="D827" s="28" t="s">
        <v>10523</v>
      </c>
      <c r="E827" s="28" t="s">
        <v>7349</v>
      </c>
      <c r="F827" s="28">
        <v>433.0</v>
      </c>
      <c r="G827" s="28">
        <v>866.0</v>
      </c>
      <c r="H827" s="28">
        <v>874.0</v>
      </c>
      <c r="I827" s="28" t="s">
        <v>538</v>
      </c>
      <c r="J827" s="28"/>
      <c r="K827" s="28"/>
      <c r="L827" s="28" t="s">
        <v>5165</v>
      </c>
      <c r="M827" s="56" t="s">
        <v>10524</v>
      </c>
      <c r="N827" s="57">
        <v>44596.53611111111</v>
      </c>
      <c r="O827" s="58">
        <v>37892.0</v>
      </c>
      <c r="P827" s="28">
        <f t="shared" si="20"/>
        <v>22</v>
      </c>
      <c r="Q827" s="28" t="s">
        <v>240</v>
      </c>
      <c r="R827" s="28" t="s">
        <v>10525</v>
      </c>
      <c r="S827" s="28"/>
      <c r="T827" s="28"/>
      <c r="U827" s="28"/>
      <c r="V827" s="28"/>
      <c r="W827" s="28" t="s">
        <v>859</v>
      </c>
      <c r="X827" s="28" t="s">
        <v>272</v>
      </c>
      <c r="Y827" s="28" t="s">
        <v>10526</v>
      </c>
      <c r="Z827" s="28" t="s">
        <v>5310</v>
      </c>
      <c r="AA827" s="28" t="s">
        <v>362</v>
      </c>
      <c r="AB827" s="28">
        <v>16.0</v>
      </c>
      <c r="AC827" s="28" t="s">
        <v>24</v>
      </c>
      <c r="AD827" s="23"/>
      <c r="AE827" s="28" t="s">
        <v>8</v>
      </c>
      <c r="AF827" s="23"/>
      <c r="AG827" s="23"/>
      <c r="AH827" s="23" t="str">
        <f>IFERROR(__xludf.DUMMYFUNCTION("IF(
ISNUMBER(MATCH(
C827,
IMPORTRANGE(""https://docs.google.com/spreadsheets/d/1yTh1ELC33JHYOeEdgIiEclxPRyh0zOKtlawDltfUay8"",""'Interns'!A:A""),
0
)),
""Outreach Conducted"",
"""")"),"")</f>
        <v/>
      </c>
      <c r="AI827" s="23"/>
      <c r="AJ827" s="23"/>
      <c r="AK827" s="23" t="str">
        <f>IFERROR(__xludf.DUMMYFUNCTION("XLOOKUP(C827, 
   IMPORTRANGE(""1RdEdgHYrZ33LJ7RUHj_h-qkAFL92bcVjtIdVa-UlsCw"", ""Interns!D:D""), 
   IMPORTRANGE(""1RdEdgHYrZ33LJ7RUHj_h-qkAFL92bcVjtIdVa-UlsCw"", ""Interns!M:M""), 
   ""Not Found"")"),"")</f>
        <v/>
      </c>
      <c r="AL827" s="23" t="str">
        <f>IFERROR(__xludf.DUMMYFUNCTION("XLOOKUP(C827, 
   IMPORTRANGE(""1RdEdgHYrZ33LJ7RUHj_h-qkAFL92bcVjtIdVa-UlsCw"", ""Interns!D:D""), 
   IMPORTRANGE(""1RdEdgHYrZ33LJ7RUHj_h-qkAFL92bcVjtIdVa-UlsCw"", ""Interns!N:N""), 
   ""Not Found"")"),"")</f>
        <v/>
      </c>
      <c r="AM827" s="23" t="str">
        <f>IFERROR(__xludf.DUMMYFUNCTION("XLOOKUP(C827, 
   IMPORTRANGE(""1RdEdgHYrZ33LJ7RUHj_h-qkAFL92bcVjtIdVa-UlsCw"", ""Interns!D:D""), 
   IMPORTRANGE(""1RdEdgHYrZ33LJ7RUHj_h-qkAFL92bcVjtIdVa-UlsCw"", ""Interns!O:O""), 
   ""Not Found"")"),"")</f>
        <v/>
      </c>
      <c r="AN827" s="23"/>
      <c r="AO827" s="23" t="s">
        <v>10527</v>
      </c>
      <c r="AP827" s="28" t="s">
        <v>5182</v>
      </c>
      <c r="AQ827" s="28" t="s">
        <v>10528</v>
      </c>
      <c r="AR827" s="23" t="s">
        <v>10529</v>
      </c>
      <c r="AS827" s="23"/>
      <c r="AT827" s="23"/>
      <c r="AU827" s="23"/>
      <c r="AV827" s="23"/>
    </row>
    <row r="828">
      <c r="A828" s="28" t="s">
        <v>5161</v>
      </c>
      <c r="B828" s="28" t="s">
        <v>5162</v>
      </c>
      <c r="C828" s="23" t="str">
        <f t="shared" si="1"/>
        <v>Habi Kane</v>
      </c>
      <c r="D828" s="28" t="s">
        <v>10530</v>
      </c>
      <c r="E828" s="28" t="s">
        <v>10531</v>
      </c>
      <c r="F828" s="23">
        <f t="array" ref="F828">IFERROR(
    INDEX('Hub Interns 226'!A:A, MATCH(C828, 'Hub Interns 226'!B:B, 0)),"")</f>
        <v>559</v>
      </c>
      <c r="G828" s="23">
        <f t="array" ref="G828">IFERROR(
    INDEX('Hub Users 226'!A:A, MATCH(C828, 'Hub Users 226'!B:B, 0)),"")</f>
        <v>992</v>
      </c>
      <c r="H828" s="28">
        <v>319.0</v>
      </c>
      <c r="I828" s="28"/>
      <c r="J828" s="28" t="s">
        <v>9893</v>
      </c>
      <c r="K828" s="28" t="s">
        <v>5245</v>
      </c>
      <c r="L828" s="28" t="s">
        <v>5196</v>
      </c>
      <c r="M828" s="56" t="s">
        <v>10532</v>
      </c>
      <c r="N828" s="57">
        <v>44236.49166666667</v>
      </c>
      <c r="O828" s="58">
        <v>38176.0</v>
      </c>
      <c r="P828" s="28">
        <f t="shared" si="20"/>
        <v>21</v>
      </c>
      <c r="Q828" s="28" t="s">
        <v>240</v>
      </c>
      <c r="R828" s="28" t="s">
        <v>10533</v>
      </c>
      <c r="S828" s="28">
        <v>14.0</v>
      </c>
      <c r="T828" s="28">
        <v>34.0</v>
      </c>
      <c r="U828" s="28">
        <v>87.0</v>
      </c>
      <c r="V828" s="28">
        <v>18.0</v>
      </c>
      <c r="W828" s="28" t="s">
        <v>859</v>
      </c>
      <c r="X828" s="28" t="s">
        <v>272</v>
      </c>
      <c r="Y828" s="28" t="s">
        <v>10534</v>
      </c>
      <c r="Z828" s="28" t="s">
        <v>5208</v>
      </c>
      <c r="AA828" s="28" t="s">
        <v>2141</v>
      </c>
      <c r="AB828" s="28">
        <v>8.0</v>
      </c>
      <c r="AC828" s="28" t="s">
        <v>24</v>
      </c>
      <c r="AD828" s="23"/>
      <c r="AE828" s="28" t="s">
        <v>8</v>
      </c>
      <c r="AF828" s="23"/>
      <c r="AG828" s="23"/>
      <c r="AH828" s="23" t="str">
        <f>IFERROR(__xludf.DUMMYFUNCTION("IF(
ISNUMBER(MATCH(
C828,
IMPORTRANGE(""https://docs.google.com/spreadsheets/d/1yTh1ELC33JHYOeEdgIiEclxPRyh0zOKtlawDltfUay8"",""'Interns'!A:A""),
0
)),
""Outreach Conducted"",
"""")"),"")</f>
        <v/>
      </c>
      <c r="AI828" s="23"/>
      <c r="AJ828" s="23"/>
      <c r="AK828" s="23" t="str">
        <f>IFERROR(__xludf.DUMMYFUNCTION("XLOOKUP(C828, 
   IMPORTRANGE(""1RdEdgHYrZ33LJ7RUHj_h-qkAFL92bcVjtIdVa-UlsCw"", ""Interns!D:D""), 
   IMPORTRANGE(""1RdEdgHYrZ33LJ7RUHj_h-qkAFL92bcVjtIdVa-UlsCw"", ""Interns!M:M""), 
   ""Not Found"")"),"Contacted")</f>
        <v>Contacted</v>
      </c>
      <c r="AL828" s="23" t="str">
        <f>IFERROR(__xludf.DUMMYFUNCTION("XLOOKUP(C828, 
   IMPORTRANGE(""1RdEdgHYrZ33LJ7RUHj_h-qkAFL92bcVjtIdVa-UlsCw"", ""Interns!D:D""), 
   IMPORTRANGE(""1RdEdgHYrZ33LJ7RUHj_h-qkAFL92bcVjtIdVa-UlsCw"", ""Interns!N:N""), 
   ""Not Found"")"),"#Cheers4Careers")</f>
        <v>#Cheers4Careers</v>
      </c>
      <c r="AM828" s="23" t="str">
        <f>IFERROR(__xludf.DUMMYFUNCTION("XLOOKUP(C828, 
   IMPORTRANGE(""1RdEdgHYrZ33LJ7RUHj_h-qkAFL92bcVjtIdVa-UlsCw"", ""Interns!D:D""), 
   IMPORTRANGE(""1RdEdgHYrZ33LJ7RUHj_h-qkAFL92bcVjtIdVa-UlsCw"", ""Interns!O:O""), 
   ""Not Found"")"),"Hetal reached out by email 3/27")</f>
        <v>Hetal reached out by email 3/27</v>
      </c>
      <c r="AN828" s="23"/>
      <c r="AO828" s="23" t="s">
        <v>10535</v>
      </c>
      <c r="AP828" s="28" t="s">
        <v>5182</v>
      </c>
      <c r="AQ828" s="28"/>
      <c r="AR828" s="23"/>
      <c r="AS828" s="23"/>
      <c r="AT828" s="23"/>
      <c r="AU828" s="23"/>
      <c r="AV828" s="23"/>
    </row>
    <row r="829">
      <c r="A829" s="28" t="s">
        <v>5202</v>
      </c>
      <c r="B829" s="28" t="s">
        <v>5162</v>
      </c>
      <c r="C829" s="23" t="str">
        <f t="shared" si="1"/>
        <v>Douglas Carrasco Carcamo</v>
      </c>
      <c r="D829" s="28" t="s">
        <v>10536</v>
      </c>
      <c r="E829" s="28" t="s">
        <v>10537</v>
      </c>
      <c r="F829" s="23">
        <f t="array" ref="F829">IFERROR(
    INDEX('Hub Interns 226'!A:A, MATCH(C829, 'Hub Interns 226'!B:B, 0)),"")</f>
        <v>460</v>
      </c>
      <c r="G829" s="23">
        <f t="array" ref="G829">IFERROR(
    INDEX('Hub Users 226'!A:A, MATCH(C829, 'Hub Users 226'!B:B, 0)),"")</f>
        <v>893</v>
      </c>
      <c r="H829" s="28">
        <v>618.0</v>
      </c>
      <c r="I829" s="28" t="s">
        <v>107</v>
      </c>
      <c r="J829" s="28" t="s">
        <v>5176</v>
      </c>
      <c r="K829" s="28" t="s">
        <v>5177</v>
      </c>
      <c r="L829" s="28" t="s">
        <v>5165</v>
      </c>
      <c r="M829" s="56" t="s">
        <v>10538</v>
      </c>
      <c r="N829" s="59">
        <v>44494.54375</v>
      </c>
      <c r="O829" s="58">
        <v>37421.0</v>
      </c>
      <c r="P829" s="28">
        <f t="shared" si="20"/>
        <v>23</v>
      </c>
      <c r="Q829" s="28" t="s">
        <v>240</v>
      </c>
      <c r="R829" s="28" t="s">
        <v>10539</v>
      </c>
      <c r="S829" s="28">
        <v>15.0</v>
      </c>
      <c r="T829" s="28">
        <v>29.0</v>
      </c>
      <c r="U829" s="28">
        <v>77.0</v>
      </c>
      <c r="V829" s="28">
        <v>16.0</v>
      </c>
      <c r="W829" s="28" t="s">
        <v>859</v>
      </c>
      <c r="X829" s="28" t="s">
        <v>272</v>
      </c>
      <c r="Y829" s="28" t="s">
        <v>10540</v>
      </c>
      <c r="Z829" s="28" t="s">
        <v>7670</v>
      </c>
      <c r="AA829" s="28" t="s">
        <v>7671</v>
      </c>
      <c r="AB829" s="28">
        <v>10.0</v>
      </c>
      <c r="AC829" s="28" t="s">
        <v>25</v>
      </c>
      <c r="AD829" s="23"/>
      <c r="AE829" s="28" t="s">
        <v>10</v>
      </c>
      <c r="AF829" s="23" t="str">
        <f>IFERROR(__xludf.DUMMYFUNCTION("TEXTJOIN("", "", TRUE,
  FILTER(Champions!C:C,
    ISNUMBER(SEARCH(C829, Champions!W:W))
  )
)"),"Enrique Linan, Romina Tome")</f>
        <v>Enrique Linan, Romina Tome</v>
      </c>
      <c r="AG829" s="23"/>
      <c r="AH829" s="23" t="str">
        <f>IFERROR(__xludf.DUMMYFUNCTION("IF(
ISNUMBER(MATCH(
C829,
IMPORTRANGE(""https://docs.google.com/spreadsheets/d/1yTh1ELC33JHYOeEdgIiEclxPRyh0zOKtlawDltfUay8"",""'Interns'!A:A""),
0
)),
""Outreach Conducted"",
"""")"),"")</f>
        <v/>
      </c>
      <c r="AI829" s="23"/>
      <c r="AJ829" s="23"/>
      <c r="AK829" s="23" t="str">
        <f>IFERROR(__xludf.DUMMYFUNCTION("XLOOKUP(C829, 
   IMPORTRANGE(""1RdEdgHYrZ33LJ7RUHj_h-qkAFL92bcVjtIdVa-UlsCw"", ""Interns!D:D""), 
   IMPORTRANGE(""1RdEdgHYrZ33LJ7RUHj_h-qkAFL92bcVjtIdVa-UlsCw"", ""Interns!M:M""), 
   ""Not Found"")"),"")</f>
        <v/>
      </c>
      <c r="AL829" s="23" t="str">
        <f>IFERROR(__xludf.DUMMYFUNCTION("XLOOKUP(C829, 
   IMPORTRANGE(""1RdEdgHYrZ33LJ7RUHj_h-qkAFL92bcVjtIdVa-UlsCw"", ""Interns!D:D""), 
   IMPORTRANGE(""1RdEdgHYrZ33LJ7RUHj_h-qkAFL92bcVjtIdVa-UlsCw"", ""Interns!N:N""), 
   ""Not Found"")"),"")</f>
        <v/>
      </c>
      <c r="AM829" s="23" t="str">
        <f>IFERROR(__xludf.DUMMYFUNCTION("XLOOKUP(C829, 
   IMPORTRANGE(""1RdEdgHYrZ33LJ7RUHj_h-qkAFL92bcVjtIdVa-UlsCw"", ""Interns!D:D""), 
   IMPORTRANGE(""1RdEdgHYrZ33LJ7RUHj_h-qkAFL92bcVjtIdVa-UlsCw"", ""Interns!O:O""), 
   ""Not Found"")"),"")</f>
        <v/>
      </c>
      <c r="AN829" s="23"/>
      <c r="AO829" s="23" t="s">
        <v>10541</v>
      </c>
      <c r="AP829" s="28" t="s">
        <v>5182</v>
      </c>
      <c r="AQ829" s="28" t="s">
        <v>10542</v>
      </c>
      <c r="AR829" s="23" t="s">
        <v>10543</v>
      </c>
      <c r="AS829" s="23"/>
      <c r="AT829" s="23"/>
      <c r="AU829" s="23"/>
      <c r="AV829" s="23"/>
    </row>
    <row r="830">
      <c r="A830" s="28" t="s">
        <v>5161</v>
      </c>
      <c r="B830" s="28" t="s">
        <v>5162</v>
      </c>
      <c r="C830" s="23" t="str">
        <f t="shared" si="1"/>
        <v>Aboubacar Barry</v>
      </c>
      <c r="D830" s="28" t="s">
        <v>10544</v>
      </c>
      <c r="E830" s="28" t="s">
        <v>10518</v>
      </c>
      <c r="F830" s="23">
        <f t="array" ref="F830">IFERROR(
    INDEX('Hub Interns 226'!A:A, MATCH(C830, 'Hub Interns 226'!B:B, 0)),"")</f>
        <v>136</v>
      </c>
      <c r="G830" s="23">
        <f t="array" ref="G830">IFERROR(
    INDEX('Hub Users 226'!A:A, MATCH(C830, 'Hub Users 226'!B:B, 0)),"")</f>
        <v>569</v>
      </c>
      <c r="H830" s="28">
        <v>1248.0</v>
      </c>
      <c r="I830" s="28" t="s">
        <v>239</v>
      </c>
      <c r="J830" s="28" t="s">
        <v>9893</v>
      </c>
      <c r="K830" s="28" t="s">
        <v>5245</v>
      </c>
      <c r="L830" s="28" t="s">
        <v>5165</v>
      </c>
      <c r="M830" s="56" t="s">
        <v>10545</v>
      </c>
      <c r="N830" s="57">
        <v>44840.504166666666</v>
      </c>
      <c r="O830" s="58">
        <v>38043.0</v>
      </c>
      <c r="P830" s="28">
        <f t="shared" si="20"/>
        <v>22</v>
      </c>
      <c r="Q830" s="28" t="s">
        <v>10546</v>
      </c>
      <c r="R830" s="28" t="s">
        <v>10547</v>
      </c>
      <c r="S830" s="28">
        <v>15.0</v>
      </c>
      <c r="T830" s="28">
        <v>32.0</v>
      </c>
      <c r="U830" s="28">
        <v>86.0</v>
      </c>
      <c r="V830" s="28">
        <v>15.0</v>
      </c>
      <c r="W830" s="28" t="s">
        <v>859</v>
      </c>
      <c r="X830" s="28" t="s">
        <v>272</v>
      </c>
      <c r="Y830" s="28" t="s">
        <v>10548</v>
      </c>
      <c r="Z830" s="28" t="s">
        <v>5435</v>
      </c>
      <c r="AA830" s="28" t="s">
        <v>5436</v>
      </c>
      <c r="AB830" s="28">
        <v>10.0</v>
      </c>
      <c r="AC830" s="28" t="s">
        <v>25</v>
      </c>
      <c r="AD830" s="23"/>
      <c r="AE830" s="28" t="s">
        <v>15</v>
      </c>
      <c r="AF830" s="23" t="str">
        <f>IFERROR(__xludf.DUMMYFUNCTION("TEXTJOIN("", "", TRUE,
  FILTER(Champions!C:C,
    ISNUMBER(SEARCH(C830, Champions!W:W))
  )
)"),"Neeti Nayak, Sunaina Mehta")</f>
        <v>Neeti Nayak, Sunaina Mehta</v>
      </c>
      <c r="AG830" s="23"/>
      <c r="AH830" s="23" t="str">
        <f>IFERROR(__xludf.DUMMYFUNCTION("IF(
ISNUMBER(MATCH(
C830,
IMPORTRANGE(""https://docs.google.com/spreadsheets/d/1yTh1ELC33JHYOeEdgIiEclxPRyh0zOKtlawDltfUay8"",""'Interns'!A:A""),
0
)),
""Outreach Conducted"",
"""")"),"")</f>
        <v/>
      </c>
      <c r="AI830" s="23"/>
      <c r="AJ830" s="23"/>
      <c r="AK830" s="23" t="str">
        <f>IFERROR(__xludf.DUMMYFUNCTION("XLOOKUP(C830, 
   IMPORTRANGE(""1RdEdgHYrZ33LJ7RUHj_h-qkAFL92bcVjtIdVa-UlsCw"", ""Interns!D:D""), 
   IMPORTRANGE(""1RdEdgHYrZ33LJ7RUHj_h-qkAFL92bcVjtIdVa-UlsCw"", ""Interns!M:M""), 
   ""Not Found"")"),"Contacted")</f>
        <v>Contacted</v>
      </c>
      <c r="AL830" s="23" t="str">
        <f>IFERROR(__xludf.DUMMYFUNCTION("XLOOKUP(C830, 
   IMPORTRANGE(""1RdEdgHYrZ33LJ7RUHj_h-qkAFL92bcVjtIdVa-UlsCw"", ""Interns!D:D""), 
   IMPORTRANGE(""1RdEdgHYrZ33LJ7RUHj_h-qkAFL92bcVjtIdVa-UlsCw"", ""Interns!N:N""), 
   ""Not Found"")"),"#Cheers4Careers")</f>
        <v>#Cheers4Careers</v>
      </c>
      <c r="AM830" s="23" t="str">
        <f>IFERROR(__xludf.DUMMYFUNCTION("XLOOKUP(C830, 
   IMPORTRANGE(""1RdEdgHYrZ33LJ7RUHj_h-qkAFL92bcVjtIdVa-UlsCw"", ""Interns!D:D""), 
   IMPORTRANGE(""1RdEdgHYrZ33LJ7RUHj_h-qkAFL92bcVjtIdVa-UlsCw"", ""Interns!O:O""), 
   ""Not Found"")"),"Hetal reached out by email 3/27")</f>
        <v>Hetal reached out by email 3/27</v>
      </c>
      <c r="AN830" s="23"/>
      <c r="AO830" s="23" t="s">
        <v>10549</v>
      </c>
      <c r="AP830" s="28" t="s">
        <v>5191</v>
      </c>
      <c r="AQ830" s="28" t="s">
        <v>10550</v>
      </c>
      <c r="AR830" s="23" t="s">
        <v>10551</v>
      </c>
      <c r="AS830" s="28" t="s">
        <v>10552</v>
      </c>
      <c r="AT830" s="23"/>
      <c r="AU830" s="23"/>
      <c r="AV830" s="23"/>
    </row>
    <row r="831">
      <c r="A831" s="28" t="s">
        <v>5161</v>
      </c>
      <c r="B831" s="28" t="s">
        <v>5162</v>
      </c>
      <c r="C831" s="23" t="str">
        <f t="shared" si="1"/>
        <v>Umu Jalloh</v>
      </c>
      <c r="D831" s="28" t="s">
        <v>10553</v>
      </c>
      <c r="E831" s="28" t="s">
        <v>10554</v>
      </c>
      <c r="F831" s="23">
        <f t="array" ref="F831">IFERROR(
    INDEX('Hub Interns 226'!A:A, MATCH(C831, 'Hub Interns 226'!B:B, 0)),"")</f>
        <v>1162</v>
      </c>
      <c r="G831" s="23">
        <f t="array" ref="G831">IFERROR(
    INDEX('Hub Users 226'!A:A, MATCH(C831, 'Hub Users 226'!B:B, 0)),"")</f>
        <v>1595</v>
      </c>
      <c r="H831" s="28">
        <v>1449.0</v>
      </c>
      <c r="I831" s="28" t="s">
        <v>269</v>
      </c>
      <c r="J831" s="28" t="s">
        <v>9893</v>
      </c>
      <c r="K831" s="28" t="s">
        <v>5245</v>
      </c>
      <c r="L831" s="28" t="s">
        <v>5196</v>
      </c>
      <c r="M831" s="56" t="s">
        <v>10555</v>
      </c>
      <c r="N831" s="59">
        <v>44924.58611111111</v>
      </c>
      <c r="O831" s="58">
        <v>38835.0</v>
      </c>
      <c r="P831" s="28">
        <f t="shared" si="20"/>
        <v>20</v>
      </c>
      <c r="Q831" s="28" t="s">
        <v>240</v>
      </c>
      <c r="R831" s="28" t="s">
        <v>10556</v>
      </c>
      <c r="S831" s="28">
        <v>13.0</v>
      </c>
      <c r="T831" s="28">
        <v>33.0</v>
      </c>
      <c r="U831" s="28">
        <v>86.0</v>
      </c>
      <c r="V831" s="28">
        <v>14.0</v>
      </c>
      <c r="W831" s="28" t="s">
        <v>859</v>
      </c>
      <c r="X831" s="28" t="s">
        <v>272</v>
      </c>
      <c r="Y831" s="28" t="s">
        <v>10557</v>
      </c>
      <c r="Z831" s="28" t="s">
        <v>5870</v>
      </c>
      <c r="AA831" s="28" t="s">
        <v>5871</v>
      </c>
      <c r="AB831" s="28">
        <v>31.0</v>
      </c>
      <c r="AC831" s="28" t="s">
        <v>23</v>
      </c>
      <c r="AD831" s="23"/>
      <c r="AE831" s="28" t="s">
        <v>15</v>
      </c>
      <c r="AF831" s="23"/>
      <c r="AG831" s="23"/>
      <c r="AH831" s="23" t="str">
        <f>IFERROR(__xludf.DUMMYFUNCTION("IF(
ISNUMBER(MATCH(
C831,
IMPORTRANGE(""https://docs.google.com/spreadsheets/d/1yTh1ELC33JHYOeEdgIiEclxPRyh0zOKtlawDltfUay8"",""'Interns'!A:A""),
0
)),
""Outreach Conducted"",
"""")"),"")</f>
        <v/>
      </c>
      <c r="AI831" s="23"/>
      <c r="AJ831" s="23"/>
      <c r="AK831" s="23" t="str">
        <f>IFERROR(__xludf.DUMMYFUNCTION("XLOOKUP(C831, 
   IMPORTRANGE(""1RdEdgHYrZ33LJ7RUHj_h-qkAFL92bcVjtIdVa-UlsCw"", ""Interns!D:D""), 
   IMPORTRANGE(""1RdEdgHYrZ33LJ7RUHj_h-qkAFL92bcVjtIdVa-UlsCw"", ""Interns!M:M""), 
   ""Not Found"")"),"Contacted")</f>
        <v>Contacted</v>
      </c>
      <c r="AL831" s="23" t="str">
        <f>IFERROR(__xludf.DUMMYFUNCTION("XLOOKUP(C831, 
   IMPORTRANGE(""1RdEdgHYrZ33LJ7RUHj_h-qkAFL92bcVjtIdVa-UlsCw"", ""Interns!D:D""), 
   IMPORTRANGE(""1RdEdgHYrZ33LJ7RUHj_h-qkAFL92bcVjtIdVa-UlsCw"", ""Interns!N:N""), 
   ""Not Found"")"),"#Cheers4Careers")</f>
        <v>#Cheers4Careers</v>
      </c>
      <c r="AM831" s="23" t="str">
        <f>IFERROR(__xludf.DUMMYFUNCTION("XLOOKUP(C831, 
   IMPORTRANGE(""1RdEdgHYrZ33LJ7RUHj_h-qkAFL92bcVjtIdVa-UlsCw"", ""Interns!D:D""), 
   IMPORTRANGE(""1RdEdgHYrZ33LJ7RUHj_h-qkAFL92bcVjtIdVa-UlsCw"", ""Interns!O:O""), 
   ""Not Found"")"),"Hetal reached out March 27 for March #Cheers4 Careers ")</f>
        <v>Hetal reached out March 27 for March #Cheers4 Careers </v>
      </c>
      <c r="AN831" s="23"/>
      <c r="AO831" s="23" t="s">
        <v>10558</v>
      </c>
      <c r="AP831" s="28" t="s">
        <v>5182</v>
      </c>
      <c r="AQ831" s="28"/>
      <c r="AR831" s="23"/>
      <c r="AS831" s="23"/>
      <c r="AT831" s="23"/>
      <c r="AU831" s="23"/>
      <c r="AV831" s="23"/>
    </row>
    <row r="832">
      <c r="A832" s="28" t="s">
        <v>5161</v>
      </c>
      <c r="B832" s="28" t="s">
        <v>5162</v>
      </c>
      <c r="C832" s="23" t="str">
        <f t="shared" si="1"/>
        <v>Fatima Traore</v>
      </c>
      <c r="D832" s="28" t="s">
        <v>3045</v>
      </c>
      <c r="E832" s="28" t="s">
        <v>5902</v>
      </c>
      <c r="F832" s="23">
        <f t="array" ref="F832">IFERROR(
    INDEX('Hub Interns 226'!A:A, MATCH(C832, 'Hub Interns 226'!B:B, 0)),"")</f>
        <v>511</v>
      </c>
      <c r="G832" s="23">
        <f t="array" ref="G832">IFERROR(
    INDEX('Hub Users 226'!A:A, MATCH(C832, 'Hub Users 226'!B:B, 0)),"")</f>
        <v>944</v>
      </c>
      <c r="H832" s="28">
        <v>1250.0</v>
      </c>
      <c r="I832" s="28" t="s">
        <v>260</v>
      </c>
      <c r="J832" s="28" t="s">
        <v>9893</v>
      </c>
      <c r="K832" s="28" t="s">
        <v>5245</v>
      </c>
      <c r="L832" s="28" t="s">
        <v>5196</v>
      </c>
      <c r="M832" s="56" t="s">
        <v>10559</v>
      </c>
      <c r="N832" s="57">
        <v>44840.549305555556</v>
      </c>
      <c r="O832" s="58">
        <v>37049.0</v>
      </c>
      <c r="P832" s="28">
        <f t="shared" si="20"/>
        <v>24</v>
      </c>
      <c r="Q832" s="28" t="s">
        <v>10560</v>
      </c>
      <c r="R832" s="28" t="s">
        <v>10561</v>
      </c>
      <c r="S832" s="28">
        <v>15.0</v>
      </c>
      <c r="T832" s="28">
        <v>32.0</v>
      </c>
      <c r="U832" s="28">
        <v>77.0</v>
      </c>
      <c r="V832" s="28">
        <v>16.0</v>
      </c>
      <c r="W832" s="28" t="s">
        <v>859</v>
      </c>
      <c r="X832" s="28" t="s">
        <v>272</v>
      </c>
      <c r="Y832" s="28" t="s">
        <v>10562</v>
      </c>
      <c r="Z832" s="28" t="s">
        <v>5435</v>
      </c>
      <c r="AA832" s="28" t="s">
        <v>5436</v>
      </c>
      <c r="AB832" s="28">
        <v>10.0</v>
      </c>
      <c r="AC832" s="28" t="s">
        <v>25</v>
      </c>
      <c r="AD832" s="23"/>
      <c r="AE832" s="28" t="s">
        <v>15</v>
      </c>
      <c r="AF832" s="23" t="str">
        <f>IFERROR(__xludf.DUMMYFUNCTION("TEXTJOIN("", "", TRUE,
  FILTER(Champions!C:C,
    ISNUMBER(SEARCH(C832, Champions!W:W))
  )
)"),"Sharon Shi")</f>
        <v>Sharon Shi</v>
      </c>
      <c r="AG832" s="23"/>
      <c r="AH832" s="23" t="str">
        <f>IFERROR(__xludf.DUMMYFUNCTION("IF(
ISNUMBER(MATCH(
C832,
IMPORTRANGE(""https://docs.google.com/spreadsheets/d/1yTh1ELC33JHYOeEdgIiEclxPRyh0zOKtlawDltfUay8"",""'Interns'!A:A""),
0
)),
""Outreach Conducted"",
"""")"),"")</f>
        <v/>
      </c>
      <c r="AI832" s="23"/>
      <c r="AJ832" s="23"/>
      <c r="AK832" s="23" t="str">
        <f>IFERROR(__xludf.DUMMYFUNCTION("XLOOKUP(C832, 
   IMPORTRANGE(""1RdEdgHYrZ33LJ7RUHj_h-qkAFL92bcVjtIdVa-UlsCw"", ""Interns!D:D""), 
   IMPORTRANGE(""1RdEdgHYrZ33LJ7RUHj_h-qkAFL92bcVjtIdVa-UlsCw"", ""Interns!M:M""), 
   ""Not Found"")"),"Contacted")</f>
        <v>Contacted</v>
      </c>
      <c r="AL832" s="23" t="str">
        <f>IFERROR(__xludf.DUMMYFUNCTION("XLOOKUP(C832, 
   IMPORTRANGE(""1RdEdgHYrZ33LJ7RUHj_h-qkAFL92bcVjtIdVa-UlsCw"", ""Interns!D:D""), 
   IMPORTRANGE(""1RdEdgHYrZ33LJ7RUHj_h-qkAFL92bcVjtIdVa-UlsCw"", ""Interns!N:N""), 
   ""Not Found"")"),"#Cheers4Careers")</f>
        <v>#Cheers4Careers</v>
      </c>
      <c r="AM832" s="23" t="str">
        <f>IFERROR(__xludf.DUMMYFUNCTION("XLOOKUP(C832, 
   IMPORTRANGE(""1RdEdgHYrZ33LJ7RUHj_h-qkAFL92bcVjtIdVa-UlsCw"", ""Interns!D:D""), 
   IMPORTRANGE(""1RdEdgHYrZ33LJ7RUHj_h-qkAFL92bcVjtIdVa-UlsCw"", ""Interns!O:O""), 
   ""Not Found"")"),"Hetal reached out by email 3/27")</f>
        <v>Hetal reached out by email 3/27</v>
      </c>
      <c r="AN832" s="23"/>
      <c r="AO832" s="23" t="s">
        <v>10563</v>
      </c>
      <c r="AP832" s="28" t="s">
        <v>5191</v>
      </c>
      <c r="AQ832" s="28" t="s">
        <v>10564</v>
      </c>
      <c r="AR832" s="23" t="s">
        <v>10565</v>
      </c>
      <c r="AS832" s="23"/>
      <c r="AT832" s="23"/>
      <c r="AU832" s="23"/>
      <c r="AV832" s="23"/>
    </row>
    <row r="833">
      <c r="A833" s="28" t="s">
        <v>5161</v>
      </c>
      <c r="B833" s="28" t="s">
        <v>5162</v>
      </c>
      <c r="C833" s="23" t="str">
        <f t="shared" si="1"/>
        <v>Alpha Sylla</v>
      </c>
      <c r="D833" s="28" t="s">
        <v>10566</v>
      </c>
      <c r="E833" s="28" t="s">
        <v>1881</v>
      </c>
      <c r="F833" s="23">
        <f t="array" ref="F833">IFERROR(
    INDEX('Hub Interns 226'!A:A, MATCH(C833, 'Hub Interns 226'!B:B, 0)),"")</f>
        <v>198</v>
      </c>
      <c r="G833" s="23">
        <f t="array" ref="G833">IFERROR(
    INDEX('Hub Users 226'!A:A, MATCH(C833, 'Hub Users 226'!B:B, 0)),"")</f>
        <v>631</v>
      </c>
      <c r="H833" s="28">
        <v>251.0</v>
      </c>
      <c r="I833" s="28" t="s">
        <v>239</v>
      </c>
      <c r="J833" s="28" t="s">
        <v>9893</v>
      </c>
      <c r="K833" s="28" t="s">
        <v>5245</v>
      </c>
      <c r="L833" s="28" t="s">
        <v>5165</v>
      </c>
      <c r="M833" s="56" t="s">
        <v>10567</v>
      </c>
      <c r="N833" s="59">
        <v>44148.5</v>
      </c>
      <c r="O833" s="58">
        <v>37033.0</v>
      </c>
      <c r="P833" s="28">
        <f t="shared" si="20"/>
        <v>24</v>
      </c>
      <c r="Q833" s="28" t="s">
        <v>240</v>
      </c>
      <c r="R833" s="28" t="s">
        <v>10568</v>
      </c>
      <c r="S833" s="28">
        <v>13.0</v>
      </c>
      <c r="T833" s="28">
        <v>33.0</v>
      </c>
      <c r="U833" s="28">
        <v>78.0</v>
      </c>
      <c r="V833" s="28">
        <v>14.0</v>
      </c>
      <c r="W833" s="28" t="s">
        <v>859</v>
      </c>
      <c r="X833" s="28" t="s">
        <v>272</v>
      </c>
      <c r="Y833" s="28">
        <v>1.9292636924E10</v>
      </c>
      <c r="Z833" s="28" t="s">
        <v>5435</v>
      </c>
      <c r="AA833" s="28" t="s">
        <v>5436</v>
      </c>
      <c r="AB833" s="28">
        <v>10.0</v>
      </c>
      <c r="AC833" s="28" t="s">
        <v>25</v>
      </c>
      <c r="AD833" s="23"/>
      <c r="AE833" s="28" t="s">
        <v>8</v>
      </c>
      <c r="AF833" s="23" t="str">
        <f>IFERROR(__xludf.DUMMYFUNCTION("TEXTJOIN("", "", TRUE,
  FILTER(Champions!C:C,
    ISNUMBER(SEARCH(C833, Champions!W:W))
  )
)"),"Ankur Jaluria, Demi Ajayi, Jaisri Chety, Tatiana Nechaeva")</f>
        <v>Ankur Jaluria, Demi Ajayi, Jaisri Chety, Tatiana Nechaeva</v>
      </c>
      <c r="AG833" s="23"/>
      <c r="AH833" s="23" t="str">
        <f>IFERROR(__xludf.DUMMYFUNCTION("IF(
ISNUMBER(MATCH(
C833,
IMPORTRANGE(""https://docs.google.com/spreadsheets/d/1yTh1ELC33JHYOeEdgIiEclxPRyh0zOKtlawDltfUay8"",""'Interns'!A:A""),
0
)),
""Outreach Conducted"",
"""")"),"")</f>
        <v/>
      </c>
      <c r="AI833" s="23"/>
      <c r="AJ833" s="28" t="s">
        <v>10569</v>
      </c>
      <c r="AK833" s="23" t="str">
        <f>IFERROR(__xludf.DUMMYFUNCTION("XLOOKUP(C833, 
   IMPORTRANGE(""1RdEdgHYrZ33LJ7RUHj_h-qkAFL92bcVjtIdVa-UlsCw"", ""Interns!D:D""), 
   IMPORTRANGE(""1RdEdgHYrZ33LJ7RUHj_h-qkAFL92bcVjtIdVa-UlsCw"", ""Interns!M:M""), 
   ""Not Found"")"),"Contacted")</f>
        <v>Contacted</v>
      </c>
      <c r="AL833" s="23" t="str">
        <f>IFERROR(__xludf.DUMMYFUNCTION("XLOOKUP(C833, 
   IMPORTRANGE(""1RdEdgHYrZ33LJ7RUHj_h-qkAFL92bcVjtIdVa-UlsCw"", ""Interns!D:D""), 
   IMPORTRANGE(""1RdEdgHYrZ33LJ7RUHj_h-qkAFL92bcVjtIdVa-UlsCw"", ""Interns!N:N""), 
   ""Not Found"")"),"#Cheers4Careers")</f>
        <v>#Cheers4Careers</v>
      </c>
      <c r="AM833" s="23" t="str">
        <f>IFERROR(__xludf.DUMMYFUNCTION("XLOOKUP(C833, 
   IMPORTRANGE(""1RdEdgHYrZ33LJ7RUHj_h-qkAFL92bcVjtIdVa-UlsCw"", ""Interns!D:D""), 
   IMPORTRANGE(""1RdEdgHYrZ33LJ7RUHj_h-qkAFL92bcVjtIdVa-UlsCw"", ""Interns!O:O""), 
   ""Not Found"")"),"Hetal reached out by email 3/27")</f>
        <v>Hetal reached out by email 3/27</v>
      </c>
      <c r="AN833" s="23"/>
      <c r="AO833" s="23" t="s">
        <v>10570</v>
      </c>
      <c r="AP833" s="28" t="s">
        <v>5173</v>
      </c>
      <c r="AQ833" s="28" t="s">
        <v>10571</v>
      </c>
      <c r="AR833" s="23"/>
      <c r="AS833" s="23"/>
      <c r="AT833" s="23"/>
      <c r="AU833" s="23"/>
      <c r="AV833" s="23"/>
    </row>
    <row r="834">
      <c r="A834" s="28" t="s">
        <v>5161</v>
      </c>
      <c r="B834" s="28" t="s">
        <v>5162</v>
      </c>
      <c r="C834" s="23" t="str">
        <f t="shared" si="1"/>
        <v>Souleymane Bah</v>
      </c>
      <c r="D834" s="28" t="s">
        <v>10572</v>
      </c>
      <c r="E834" s="28" t="s">
        <v>10573</v>
      </c>
      <c r="F834" s="23">
        <f t="array" ref="F834">IFERROR(
    INDEX('Hub Interns 226'!A:A, MATCH(C834, 'Hub Interns 226'!B:B, 0)),"")</f>
        <v>1077</v>
      </c>
      <c r="G834" s="23">
        <f t="array" ref="G834">IFERROR(
    INDEX('Hub Users 226'!A:A, MATCH(C834, 'Hub Users 226'!B:B, 0)),"")</f>
        <v>1510</v>
      </c>
      <c r="H834" s="28">
        <v>232.0</v>
      </c>
      <c r="I834" s="28" t="s">
        <v>290</v>
      </c>
      <c r="J834" s="28" t="s">
        <v>9893</v>
      </c>
      <c r="K834" s="28" t="s">
        <v>5245</v>
      </c>
      <c r="L834" s="28" t="s">
        <v>5165</v>
      </c>
      <c r="M834" s="56" t="s">
        <v>10574</v>
      </c>
      <c r="N834" s="59">
        <v>44127.427083333336</v>
      </c>
      <c r="O834" s="58">
        <v>37657.0</v>
      </c>
      <c r="P834" s="28">
        <f t="shared" si="20"/>
        <v>23</v>
      </c>
      <c r="Q834" s="28" t="s">
        <v>10575</v>
      </c>
      <c r="R834" s="28" t="s">
        <v>10576</v>
      </c>
      <c r="S834" s="28">
        <v>13.0</v>
      </c>
      <c r="T834" s="28">
        <v>30.0</v>
      </c>
      <c r="U834" s="28">
        <v>70.0</v>
      </c>
      <c r="V834" s="28">
        <v>9.0</v>
      </c>
      <c r="W834" s="28" t="s">
        <v>271</v>
      </c>
      <c r="X834" s="28" t="s">
        <v>272</v>
      </c>
      <c r="Y834" s="28">
        <v>6.468041825E9</v>
      </c>
      <c r="Z834" s="28" t="s">
        <v>5963</v>
      </c>
      <c r="AA834" s="28" t="s">
        <v>1923</v>
      </c>
      <c r="AB834" s="28">
        <v>1.0</v>
      </c>
      <c r="AC834" s="28" t="s">
        <v>25</v>
      </c>
      <c r="AD834" s="23"/>
      <c r="AE834" s="28" t="s">
        <v>8</v>
      </c>
      <c r="AF834" s="23" t="str">
        <f>IFERROR(__xludf.DUMMYFUNCTION("TEXTJOIN("", "", TRUE,
  FILTER(Champions!C:C,
    ISNUMBER(SEARCH(C834, Champions!W:W))
  )
)"),"Cathy Zubiate Whealon, Dragana Glumac, Susan Boxman")</f>
        <v>Cathy Zubiate Whealon, Dragana Glumac, Susan Boxman</v>
      </c>
      <c r="AG834" s="23"/>
      <c r="AH834" s="23" t="str">
        <f>IFERROR(__xludf.DUMMYFUNCTION("IF(
ISNUMBER(MATCH(
C834,
IMPORTRANGE(""https://docs.google.com/spreadsheets/d/1yTh1ELC33JHYOeEdgIiEclxPRyh0zOKtlawDltfUay8"",""'Interns'!A:A""),
0
)),
""Outreach Conducted"",
"""")"),"")</f>
        <v/>
      </c>
      <c r="AI834" s="23"/>
      <c r="AJ834" s="23"/>
      <c r="AK834" s="23" t="str">
        <f>IFERROR(__xludf.DUMMYFUNCTION("XLOOKUP(C834, 
   IMPORTRANGE(""1RdEdgHYrZ33LJ7RUHj_h-qkAFL92bcVjtIdVa-UlsCw"", ""Interns!D:D""), 
   IMPORTRANGE(""1RdEdgHYrZ33LJ7RUHj_h-qkAFL92bcVjtIdVa-UlsCw"", ""Interns!M:M""), 
   ""Not Found"")"),"")</f>
        <v/>
      </c>
      <c r="AL834" s="23" t="str">
        <f>IFERROR(__xludf.DUMMYFUNCTION("XLOOKUP(C834, 
   IMPORTRANGE(""1RdEdgHYrZ33LJ7RUHj_h-qkAFL92bcVjtIdVa-UlsCw"", ""Interns!D:D""), 
   IMPORTRANGE(""1RdEdgHYrZ33LJ7RUHj_h-qkAFL92bcVjtIdVa-UlsCw"", ""Interns!N:N""), 
   ""Not Found"")"),"")</f>
        <v/>
      </c>
      <c r="AM834" s="23" t="str">
        <f>IFERROR(__xludf.DUMMYFUNCTION("XLOOKUP(C834, 
   IMPORTRANGE(""1RdEdgHYrZ33LJ7RUHj_h-qkAFL92bcVjtIdVa-UlsCw"", ""Interns!D:D""), 
   IMPORTRANGE(""1RdEdgHYrZ33LJ7RUHj_h-qkAFL92bcVjtIdVa-UlsCw"", ""Interns!O:O""), 
   ""Not Found"")"),"")</f>
        <v/>
      </c>
      <c r="AN834" s="23"/>
      <c r="AO834" s="23" t="s">
        <v>10577</v>
      </c>
      <c r="AP834" s="28" t="s">
        <v>10578</v>
      </c>
      <c r="AQ834" s="28" t="s">
        <v>10579</v>
      </c>
      <c r="AR834" s="23">
        <v>6.46387029E9</v>
      </c>
      <c r="AS834" s="28" t="s">
        <v>10580</v>
      </c>
      <c r="AT834" s="23"/>
      <c r="AU834" s="23"/>
      <c r="AV834" s="23"/>
    </row>
    <row r="835">
      <c r="A835" s="28" t="s">
        <v>5161</v>
      </c>
      <c r="B835" s="28" t="s">
        <v>5162</v>
      </c>
      <c r="C835" s="23" t="str">
        <f t="shared" si="1"/>
        <v>Sarata Cisse</v>
      </c>
      <c r="D835" s="28" t="s">
        <v>10581</v>
      </c>
      <c r="E835" s="28" t="s">
        <v>10582</v>
      </c>
      <c r="F835" s="23" t="str">
        <f t="array" ref="F835">IFERROR(
    INDEX('Hub Interns 226'!A:A, MATCH(C835, 'Hub Interns 226'!B:B, 0)),"")</f>
        <v/>
      </c>
      <c r="G835" s="23">
        <f t="array" ref="G835">IFERROR(
    INDEX('Hub Users 226'!A:A, MATCH(C835, 'Hub Users 226'!B:B, 0)),"")</f>
        <v>21</v>
      </c>
      <c r="H835" s="28">
        <v>1628.0</v>
      </c>
      <c r="I835" s="28" t="s">
        <v>260</v>
      </c>
      <c r="J835" s="28" t="s">
        <v>9893</v>
      </c>
      <c r="K835" s="28" t="s">
        <v>5245</v>
      </c>
      <c r="L835" s="28" t="s">
        <v>5196</v>
      </c>
      <c r="M835" s="56" t="s">
        <v>10583</v>
      </c>
      <c r="N835" s="57">
        <v>45106.56597222222</v>
      </c>
      <c r="O835" s="58">
        <v>38757.0</v>
      </c>
      <c r="P835" s="28">
        <f t="shared" si="20"/>
        <v>20</v>
      </c>
      <c r="Q835" s="28" t="s">
        <v>10584</v>
      </c>
      <c r="R835" s="28" t="s">
        <v>10585</v>
      </c>
      <c r="S835" s="28">
        <v>14.0</v>
      </c>
      <c r="T835" s="28">
        <v>29.0</v>
      </c>
      <c r="U835" s="28">
        <v>84.0</v>
      </c>
      <c r="V835" s="28">
        <v>8.0</v>
      </c>
      <c r="W835" s="28" t="s">
        <v>859</v>
      </c>
      <c r="X835" s="28" t="s">
        <v>272</v>
      </c>
      <c r="Y835" s="28" t="s">
        <v>10586</v>
      </c>
      <c r="Z835" s="28" t="s">
        <v>5208</v>
      </c>
      <c r="AA835" s="28" t="s">
        <v>2141</v>
      </c>
      <c r="AB835" s="28">
        <v>8.0</v>
      </c>
      <c r="AC835" s="28" t="s">
        <v>25</v>
      </c>
      <c r="AD835" s="23"/>
      <c r="AE835" s="28" t="s">
        <v>18</v>
      </c>
      <c r="AF835" s="23" t="str">
        <f>IFERROR(__xludf.DUMMYFUNCTION("TEXTJOIN("", "", TRUE,
  FILTER(Champions!C:C,
    ISNUMBER(SEARCH(C835, Champions!W:W))
  )
)"),"Diane French, Keylin Rivera")</f>
        <v>Diane French, Keylin Rivera</v>
      </c>
      <c r="AG835" s="23"/>
      <c r="AH835" s="23" t="str">
        <f>IFERROR(__xludf.DUMMYFUNCTION("IF(
ISNUMBER(MATCH(
C835,
IMPORTRANGE(""https://docs.google.com/spreadsheets/d/1yTh1ELC33JHYOeEdgIiEclxPRyh0zOKtlawDltfUay8"",""'Interns'!A:A""),
0
)),
""Outreach Conducted"",
"""")"),"")</f>
        <v/>
      </c>
      <c r="AI835" s="23"/>
      <c r="AJ835" s="23"/>
      <c r="AK835" s="23" t="str">
        <f>IFERROR(__xludf.DUMMYFUNCTION("XLOOKUP(C835, 
   IMPORTRANGE(""1RdEdgHYrZ33LJ7RUHj_h-qkAFL92bcVjtIdVa-UlsCw"", ""Interns!D:D""), 
   IMPORTRANGE(""1RdEdgHYrZ33LJ7RUHj_h-qkAFL92bcVjtIdVa-UlsCw"", ""Interns!M:M""), 
   ""Not Found"")"),"Contacted")</f>
        <v>Contacted</v>
      </c>
      <c r="AL835" s="23" t="str">
        <f>IFERROR(__xludf.DUMMYFUNCTION("XLOOKUP(C835, 
   IMPORTRANGE(""1RdEdgHYrZ33LJ7RUHj_h-qkAFL92bcVjtIdVa-UlsCw"", ""Interns!D:D""), 
   IMPORTRANGE(""1RdEdgHYrZ33LJ7RUHj_h-qkAFL92bcVjtIdVa-UlsCw"", ""Interns!N:N""), 
   ""Not Found"")"),"#Cheers4Careers")</f>
        <v>#Cheers4Careers</v>
      </c>
      <c r="AM835" s="23" t="str">
        <f>IFERROR(__xludf.DUMMYFUNCTION("XLOOKUP(C835, 
   IMPORTRANGE(""1RdEdgHYrZ33LJ7RUHj_h-qkAFL92bcVjtIdVa-UlsCw"", ""Interns!D:D""), 
   IMPORTRANGE(""1RdEdgHYrZ33LJ7RUHj_h-qkAFL92bcVjtIdVa-UlsCw"", ""Interns!O:O""), 
   ""Not Found"")"),"Hetal reached out by email 3/27")</f>
        <v>Hetal reached out by email 3/27</v>
      </c>
      <c r="AN835" s="23"/>
      <c r="AO835" s="23" t="s">
        <v>10587</v>
      </c>
      <c r="AP835" s="28" t="s">
        <v>5880</v>
      </c>
      <c r="AQ835" s="28" t="s">
        <v>10588</v>
      </c>
      <c r="AR835" s="23" t="s">
        <v>10589</v>
      </c>
      <c r="AS835" s="23"/>
      <c r="AT835" s="23"/>
      <c r="AU835" s="23"/>
      <c r="AV835" s="23"/>
    </row>
    <row r="836">
      <c r="A836" s="28" t="s">
        <v>5161</v>
      </c>
      <c r="B836" s="28" t="s">
        <v>5162</v>
      </c>
      <c r="C836" s="23" t="str">
        <f t="shared" si="1"/>
        <v>Mariama Diallo</v>
      </c>
      <c r="D836" s="28" t="s">
        <v>5305</v>
      </c>
      <c r="E836" s="28" t="s">
        <v>7818</v>
      </c>
      <c r="F836" s="23">
        <f t="array" ref="F836">IFERROR(
    INDEX('Hub Interns 226'!A:A, MATCH(C836, 'Hub Interns 226'!B:B, 0)),"")</f>
        <v>842</v>
      </c>
      <c r="G836" s="23">
        <f t="array" ref="G836">IFERROR(
    INDEX('Hub Users 226'!A:A, MATCH(C836, 'Hub Users 226'!B:B, 0)),"")</f>
        <v>877</v>
      </c>
      <c r="H836" s="28">
        <v>790.0</v>
      </c>
      <c r="I836" s="28" t="s">
        <v>239</v>
      </c>
      <c r="J836" s="28" t="s">
        <v>9893</v>
      </c>
      <c r="K836" s="28" t="s">
        <v>5245</v>
      </c>
      <c r="L836" s="28" t="s">
        <v>5196</v>
      </c>
      <c r="M836" s="56" t="s">
        <v>10590</v>
      </c>
      <c r="N836" s="57">
        <v>44564.82777777778</v>
      </c>
      <c r="O836" s="58">
        <v>37210.0</v>
      </c>
      <c r="P836" s="28">
        <f t="shared" si="20"/>
        <v>24</v>
      </c>
      <c r="Q836" s="28" t="s">
        <v>10591</v>
      </c>
      <c r="R836" s="28" t="s">
        <v>10592</v>
      </c>
      <c r="S836" s="28">
        <v>15.0</v>
      </c>
      <c r="T836" s="28">
        <v>29.0</v>
      </c>
      <c r="U836" s="28">
        <v>84.0</v>
      </c>
      <c r="V836" s="28">
        <v>8.0</v>
      </c>
      <c r="W836" s="28" t="s">
        <v>859</v>
      </c>
      <c r="X836" s="28" t="s">
        <v>272</v>
      </c>
      <c r="Y836" s="28" t="s">
        <v>10593</v>
      </c>
      <c r="Z836" s="28" t="s">
        <v>5341</v>
      </c>
      <c r="AA836" s="28" t="s">
        <v>1085</v>
      </c>
      <c r="AB836" s="28">
        <v>10.0</v>
      </c>
      <c r="AC836" s="28" t="s">
        <v>25</v>
      </c>
      <c r="AD836" s="28" t="s">
        <v>101</v>
      </c>
      <c r="AE836" s="28" t="s">
        <v>10</v>
      </c>
      <c r="AF836" s="23" t="str">
        <f>IFERROR(__xludf.DUMMYFUNCTION("TEXTJOIN("", "", TRUE,
  FILTER(Champions!C:C,
    ISNUMBER(SEARCH(C836, Champions!W:W))
  )
)"),"Alina Ispas Montbriand, Cathy Zubiate Whealon, Lena K Dandy, Kate Cory, Louise Malone, Sunkyung Park, Lena K Dandy (D)")</f>
        <v>Alina Ispas Montbriand, Cathy Zubiate Whealon, Lena K Dandy, Kate Cory, Louise Malone, Sunkyung Park, Lena K Dandy (D)</v>
      </c>
      <c r="AG836" s="23"/>
      <c r="AH836" s="23" t="str">
        <f>IFERROR(__xludf.DUMMYFUNCTION("IF(
ISNUMBER(MATCH(
C836,
IMPORTRANGE(""https://docs.google.com/spreadsheets/d/1yTh1ELC33JHYOeEdgIiEclxPRyh0zOKtlawDltfUay8"",""'Interns'!A:A""),
0
)),
""Outreach Conducted"",
"""")"),"")</f>
        <v/>
      </c>
      <c r="AI836" s="23"/>
      <c r="AJ836" s="23"/>
      <c r="AK836" s="23" t="str">
        <f>IFERROR(__xludf.DUMMYFUNCTION("XLOOKUP(C836, 
   IMPORTRANGE(""1RdEdgHYrZ33LJ7RUHj_h-qkAFL92bcVjtIdVa-UlsCw"", ""Interns!D:D""), 
   IMPORTRANGE(""1RdEdgHYrZ33LJ7RUHj_h-qkAFL92bcVjtIdVa-UlsCw"", ""Interns!M:M""), 
   ""Not Found"")"),"")</f>
        <v/>
      </c>
      <c r="AL836" s="23" t="str">
        <f>IFERROR(__xludf.DUMMYFUNCTION("XLOOKUP(C836, 
   IMPORTRANGE(""1RdEdgHYrZ33LJ7RUHj_h-qkAFL92bcVjtIdVa-UlsCw"", ""Interns!D:D""), 
   IMPORTRANGE(""1RdEdgHYrZ33LJ7RUHj_h-qkAFL92bcVjtIdVa-UlsCw"", ""Interns!N:N""), 
   ""Not Found"")"),"")</f>
        <v/>
      </c>
      <c r="AM836" s="23" t="str">
        <f>IFERROR(__xludf.DUMMYFUNCTION("XLOOKUP(C836, 
   IMPORTRANGE(""1RdEdgHYrZ33LJ7RUHj_h-qkAFL92bcVjtIdVa-UlsCw"", ""Interns!D:D""), 
   IMPORTRANGE(""1RdEdgHYrZ33LJ7RUHj_h-qkAFL92bcVjtIdVa-UlsCw"", ""Interns!O:O""), 
   ""Not Found"")"),"
Hetal reached out on 4/10 by whatsapp for April 18th #Cheers4Careers")</f>
        <v>
Hetal reached out on 4/10 by whatsapp for April 18th #Cheers4Careers</v>
      </c>
      <c r="AN836" s="23"/>
      <c r="AO836" s="23" t="s">
        <v>10594</v>
      </c>
      <c r="AP836" s="28" t="s">
        <v>10595</v>
      </c>
      <c r="AQ836" s="28" t="s">
        <v>10596</v>
      </c>
      <c r="AR836" s="23" t="s">
        <v>10593</v>
      </c>
      <c r="AS836" s="28" t="s">
        <v>10597</v>
      </c>
      <c r="AT836" s="23"/>
      <c r="AU836" s="23"/>
      <c r="AV836" s="23"/>
    </row>
    <row r="837">
      <c r="A837" s="28" t="s">
        <v>5202</v>
      </c>
      <c r="B837" s="28" t="s">
        <v>5162</v>
      </c>
      <c r="C837" s="23" t="str">
        <f t="shared" si="1"/>
        <v>Jonathan Martinez</v>
      </c>
      <c r="D837" s="28" t="s">
        <v>3728</v>
      </c>
      <c r="E837" s="28" t="s">
        <v>2010</v>
      </c>
      <c r="F837" s="23">
        <f t="array" ref="F837">IFERROR(
    INDEX('Hub Interns 226'!A:A, MATCH(C837, 'Hub Interns 226'!B:B, 0)),"")</f>
        <v>30</v>
      </c>
      <c r="G837" s="23">
        <f t="array" ref="G837">IFERROR(
    INDEX('Hub Users 226'!A:A, MATCH(C837, 'Hub Users 226'!B:B, 0)),"")</f>
        <v>463</v>
      </c>
      <c r="H837" s="28">
        <v>796.0</v>
      </c>
      <c r="I837" s="28" t="s">
        <v>239</v>
      </c>
      <c r="J837" s="28" t="s">
        <v>5176</v>
      </c>
      <c r="K837" s="28" t="s">
        <v>5177</v>
      </c>
      <c r="L837" s="28" t="s">
        <v>5165</v>
      </c>
      <c r="M837" s="56" t="s">
        <v>10598</v>
      </c>
      <c r="N837" s="57">
        <v>44565.638194444444</v>
      </c>
      <c r="O837" s="58">
        <v>38002.0</v>
      </c>
      <c r="P837" s="28">
        <f t="shared" si="20"/>
        <v>22</v>
      </c>
      <c r="Q837" s="28" t="s">
        <v>240</v>
      </c>
      <c r="R837" s="28" t="s">
        <v>10599</v>
      </c>
      <c r="S837" s="28">
        <v>15.0</v>
      </c>
      <c r="T837" s="28">
        <v>32.0</v>
      </c>
      <c r="U837" s="28">
        <v>86.0</v>
      </c>
      <c r="V837" s="28">
        <v>15.0</v>
      </c>
      <c r="W837" s="28" t="s">
        <v>859</v>
      </c>
      <c r="X837" s="28" t="s">
        <v>272</v>
      </c>
      <c r="Y837" s="28" t="s">
        <v>10600</v>
      </c>
      <c r="Z837" s="28" t="s">
        <v>5259</v>
      </c>
      <c r="AA837" s="28" t="s">
        <v>704</v>
      </c>
      <c r="AB837" s="28">
        <v>2.0</v>
      </c>
      <c r="AC837" s="28" t="s">
        <v>24</v>
      </c>
      <c r="AD837" s="23"/>
      <c r="AE837" s="28" t="s">
        <v>10</v>
      </c>
      <c r="AF837" s="23"/>
      <c r="AG837" s="23"/>
      <c r="AH837" s="23" t="str">
        <f>IFERROR(__xludf.DUMMYFUNCTION("IF(
ISNUMBER(MATCH(
C837,
IMPORTRANGE(""https://docs.google.com/spreadsheets/d/1yTh1ELC33JHYOeEdgIiEclxPRyh0zOKtlawDltfUay8"",""'Interns'!A:A""),
0
)),
""Outreach Conducted"",
"""")"),"")</f>
        <v/>
      </c>
      <c r="AI837" s="23"/>
      <c r="AJ837" s="23"/>
      <c r="AK837" s="23" t="str">
        <f>IFERROR(__xludf.DUMMYFUNCTION("XLOOKUP(C837, 
   IMPORTRANGE(""1RdEdgHYrZ33LJ7RUHj_h-qkAFL92bcVjtIdVa-UlsCw"", ""Interns!D:D""), 
   IMPORTRANGE(""1RdEdgHYrZ33LJ7RUHj_h-qkAFL92bcVjtIdVa-UlsCw"", ""Interns!M:M""), 
   ""Not Found"")"),"")</f>
        <v/>
      </c>
      <c r="AL837" s="23" t="str">
        <f>IFERROR(__xludf.DUMMYFUNCTION("XLOOKUP(C837, 
   IMPORTRANGE(""1RdEdgHYrZ33LJ7RUHj_h-qkAFL92bcVjtIdVa-UlsCw"", ""Interns!D:D""), 
   IMPORTRANGE(""1RdEdgHYrZ33LJ7RUHj_h-qkAFL92bcVjtIdVa-UlsCw"", ""Interns!N:N""), 
   ""Not Found"")"),"")</f>
        <v/>
      </c>
      <c r="AM837" s="23" t="str">
        <f>IFERROR(__xludf.DUMMYFUNCTION("XLOOKUP(C837, 
   IMPORTRANGE(""1RdEdgHYrZ33LJ7RUHj_h-qkAFL92bcVjtIdVa-UlsCw"", ""Interns!D:D""), 
   IMPORTRANGE(""1RdEdgHYrZ33LJ7RUHj_h-qkAFL92bcVjtIdVa-UlsCw"", ""Interns!O:O""), 
   ""Not Found"")"),"")</f>
        <v/>
      </c>
      <c r="AN837" s="23"/>
      <c r="AO837" s="23" t="s">
        <v>10601</v>
      </c>
      <c r="AP837" s="28" t="s">
        <v>5182</v>
      </c>
      <c r="AQ837" s="28"/>
      <c r="AR837" s="23"/>
      <c r="AS837" s="23"/>
      <c r="AT837" s="23"/>
      <c r="AU837" s="23"/>
      <c r="AV837" s="23"/>
    </row>
    <row r="838">
      <c r="A838" s="28" t="s">
        <v>5161</v>
      </c>
      <c r="B838" s="28" t="s">
        <v>5162</v>
      </c>
      <c r="C838" s="23" t="str">
        <f t="shared" si="1"/>
        <v>Ismatu Barry</v>
      </c>
      <c r="D838" s="28" t="s">
        <v>10602</v>
      </c>
      <c r="E838" s="28" t="s">
        <v>10518</v>
      </c>
      <c r="F838" s="23">
        <f t="array" ref="F838">IFERROR(
    INDEX('Hub Interns 226'!A:A, MATCH(C838, 'Hub Interns 226'!B:B, 0)),"")</f>
        <v>601</v>
      </c>
      <c r="G838" s="23">
        <f t="array" ref="G838">IFERROR(
    INDEX('Hub Users 226'!A:A, MATCH(C838, 'Hub Users 226'!B:B, 0)),"")</f>
        <v>1034</v>
      </c>
      <c r="H838" s="28">
        <v>485.0</v>
      </c>
      <c r="I838" s="28" t="s">
        <v>260</v>
      </c>
      <c r="J838" s="28" t="s">
        <v>9893</v>
      </c>
      <c r="K838" s="28" t="s">
        <v>5245</v>
      </c>
      <c r="L838" s="28" t="s">
        <v>5196</v>
      </c>
      <c r="M838" s="56" t="s">
        <v>10603</v>
      </c>
      <c r="N838" s="57">
        <v>44390.40277777778</v>
      </c>
      <c r="O838" s="58">
        <v>37564.0</v>
      </c>
      <c r="P838" s="28">
        <f t="shared" si="20"/>
        <v>23</v>
      </c>
      <c r="Q838" s="28" t="s">
        <v>10604</v>
      </c>
      <c r="R838" s="28" t="s">
        <v>10605</v>
      </c>
      <c r="S838" s="28">
        <v>15.0</v>
      </c>
      <c r="T838" s="28">
        <v>32.0</v>
      </c>
      <c r="U838" s="28">
        <v>79.0</v>
      </c>
      <c r="V838" s="28">
        <v>17.0</v>
      </c>
      <c r="W838" s="28" t="s">
        <v>859</v>
      </c>
      <c r="X838" s="28" t="s">
        <v>272</v>
      </c>
      <c r="Y838" s="28" t="s">
        <v>10606</v>
      </c>
      <c r="Z838" s="28" t="s">
        <v>5208</v>
      </c>
      <c r="AA838" s="28" t="s">
        <v>2141</v>
      </c>
      <c r="AB838" s="28">
        <v>8.0</v>
      </c>
      <c r="AC838" s="28" t="s">
        <v>25</v>
      </c>
      <c r="AD838" s="28" t="s">
        <v>101</v>
      </c>
      <c r="AE838" s="26" t="s">
        <v>12</v>
      </c>
      <c r="AF838" s="23" t="str">
        <f>IFERROR(__xludf.DUMMYFUNCTION("TEXTJOIN("", "", TRUE,
  FILTER(Champions!C:C,
    ISNUMBER(SEARCH(C838, Champions!W:W))
  )
)"),"Anne Tam, Bindu Krishna, Linda Guerrero, Luz Santana, Nilesh Murthy, Prasanna Vijayanathan, Bindu Krishna (D)")</f>
        <v>Anne Tam, Bindu Krishna, Linda Guerrero, Luz Santana, Nilesh Murthy, Prasanna Vijayanathan, Bindu Krishna (D)</v>
      </c>
      <c r="AG838" s="26" t="s">
        <v>10607</v>
      </c>
      <c r="AH838" s="23" t="str">
        <f>IFERROR(__xludf.DUMMYFUNCTION("IF(
ISNUMBER(MATCH(
C838,
IMPORTRANGE(""https://docs.google.com/spreadsheets/d/1yTh1ELC33JHYOeEdgIiEclxPRyh0zOKtlawDltfUay8"",""'Interns'!A:A""),
0
)),
""Outreach Conducted"",
"""")"),"")</f>
        <v/>
      </c>
      <c r="AI838" s="23"/>
      <c r="AJ838" s="28" t="s">
        <v>10608</v>
      </c>
      <c r="AK838" s="23" t="str">
        <f>IFERROR(__xludf.DUMMYFUNCTION("XLOOKUP(C838, 
   IMPORTRANGE(""1RdEdgHYrZ33LJ7RUHj_h-qkAFL92bcVjtIdVa-UlsCw"", ""Interns!D:D""), 
   IMPORTRANGE(""1RdEdgHYrZ33LJ7RUHj_h-qkAFL92bcVjtIdVa-UlsCw"", ""Interns!M:M""), 
   ""Not Found"")"),"Contacted")</f>
        <v>Contacted</v>
      </c>
      <c r="AL838" s="23" t="str">
        <f>IFERROR(__xludf.DUMMYFUNCTION("XLOOKUP(C838, 
   IMPORTRANGE(""1RdEdgHYrZ33LJ7RUHj_h-qkAFL92bcVjtIdVa-UlsCw"", ""Interns!D:D""), 
   IMPORTRANGE(""1RdEdgHYrZ33LJ7RUHj_h-qkAFL92bcVjtIdVa-UlsCw"", ""Interns!N:N""), 
   ""Not Found"")"),"#Cheers4Careers")</f>
        <v>#Cheers4Careers</v>
      </c>
      <c r="AM838" s="23" t="str">
        <f>IFERROR(__xludf.DUMMYFUNCTION("XLOOKUP(C838, 
   IMPORTRANGE(""1RdEdgHYrZ33LJ7RUHj_h-qkAFL92bcVjtIdVa-UlsCw"", ""Interns!D:D""), 
   IMPORTRANGE(""1RdEdgHYrZ33LJ7RUHj_h-qkAFL92bcVjtIdVa-UlsCw"", ""Interns!O:O""), 
   ""Not Found"")"),"Hetal reached out by email 3/27 and text and Hetal reached out by Whatsapp on 3/28
Hetal reached out on 4/10 by whatsapp for April 18th #Cheers4Careers")</f>
        <v>Hetal reached out by email 3/27 and text and Hetal reached out by Whatsapp on 3/28
Hetal reached out on 4/10 by whatsapp for April 18th #Cheers4Careers</v>
      </c>
      <c r="AN838" s="23"/>
      <c r="AO838" s="23" t="s">
        <v>10522</v>
      </c>
      <c r="AP838" s="28" t="s">
        <v>5191</v>
      </c>
      <c r="AQ838" s="28" t="s">
        <v>10609</v>
      </c>
      <c r="AR838" s="23" t="s">
        <v>10610</v>
      </c>
      <c r="AS838" s="28" t="s">
        <v>7361</v>
      </c>
      <c r="AT838" s="23"/>
      <c r="AU838" s="23"/>
      <c r="AV838" s="23"/>
    </row>
    <row r="839">
      <c r="A839" s="28" t="s">
        <v>5161</v>
      </c>
      <c r="B839" s="28" t="s">
        <v>5162</v>
      </c>
      <c r="C839" s="23" t="str">
        <f t="shared" si="1"/>
        <v>Adama Bah</v>
      </c>
      <c r="D839" s="28" t="s">
        <v>10611</v>
      </c>
      <c r="E839" s="28" t="s">
        <v>10573</v>
      </c>
      <c r="F839" s="23">
        <f t="array" ref="F839">IFERROR(
    INDEX('Hub Interns 226'!A:A, MATCH(C839, 'Hub Interns 226'!B:B, 0)),"")</f>
        <v>147</v>
      </c>
      <c r="G839" s="23">
        <f t="array" ref="G839">IFERROR(
    INDEX('Hub Users 226'!A:A, MATCH(C839, 'Hub Users 226'!B:B, 0)),"")</f>
        <v>580</v>
      </c>
      <c r="H839" s="28">
        <v>315.0</v>
      </c>
      <c r="I839" s="28" t="s">
        <v>260</v>
      </c>
      <c r="J839" s="28" t="s">
        <v>9893</v>
      </c>
      <c r="K839" s="28" t="s">
        <v>5245</v>
      </c>
      <c r="L839" s="28" t="s">
        <v>5196</v>
      </c>
      <c r="M839" s="56" t="s">
        <v>10612</v>
      </c>
      <c r="N839" s="57">
        <v>44235.45208333333</v>
      </c>
      <c r="O839" s="58">
        <v>38366.0</v>
      </c>
      <c r="P839" s="28">
        <f t="shared" si="20"/>
        <v>21</v>
      </c>
      <c r="Q839" s="28" t="s">
        <v>10613</v>
      </c>
      <c r="R839" s="28" t="s">
        <v>10614</v>
      </c>
      <c r="S839" s="28">
        <v>14.0</v>
      </c>
      <c r="T839" s="28">
        <v>29.0</v>
      </c>
      <c r="U839" s="28">
        <v>84.0</v>
      </c>
      <c r="V839" s="28">
        <v>8.0</v>
      </c>
      <c r="W839" s="28" t="s">
        <v>859</v>
      </c>
      <c r="X839" s="28" t="s">
        <v>272</v>
      </c>
      <c r="Y839" s="28" t="s">
        <v>10615</v>
      </c>
      <c r="Z839" s="28" t="s">
        <v>5208</v>
      </c>
      <c r="AA839" s="28" t="s">
        <v>2141</v>
      </c>
      <c r="AB839" s="28">
        <v>8.0</v>
      </c>
      <c r="AC839" s="28" t="s">
        <v>25</v>
      </c>
      <c r="AD839" s="28" t="s">
        <v>101</v>
      </c>
      <c r="AE839" s="28" t="s">
        <v>11</v>
      </c>
      <c r="AF839" s="23" t="str">
        <f>IFERROR(__xludf.DUMMYFUNCTION("TEXTJOIN("", "", TRUE,
  FILTER(Champions!C:C,
    ISNUMBER(SEARCH(C839, Champions!W:W))
  )
)"),"Chetana Manjunath Kaushik, Lynda Nwabuobi, Missie Miranda, Soraya Senosier, Ammarah Shaikh")</f>
        <v>Chetana Manjunath Kaushik, Lynda Nwabuobi, Missie Miranda, Soraya Senosier, Ammarah Shaikh</v>
      </c>
      <c r="AG839" s="26" t="s">
        <v>5273</v>
      </c>
      <c r="AH839" s="23" t="str">
        <f>IFERROR(__xludf.DUMMYFUNCTION("IF(
ISNUMBER(MATCH(
C839,
IMPORTRANGE(""https://docs.google.com/spreadsheets/d/1yTh1ELC33JHYOeEdgIiEclxPRyh0zOKtlawDltfUay8"",""'Interns'!A:A""),
0
)),
""Outreach Conducted"",
"""")"),"")</f>
        <v/>
      </c>
      <c r="AI839" s="23"/>
      <c r="AJ839" s="28" t="s">
        <v>10616</v>
      </c>
      <c r="AK839" s="23" t="str">
        <f>IFERROR(__xludf.DUMMYFUNCTION("XLOOKUP(C839, 
   IMPORTRANGE(""1RdEdgHYrZ33LJ7RUHj_h-qkAFL92bcVjtIdVa-UlsCw"", ""Interns!D:D""), 
   IMPORTRANGE(""1RdEdgHYrZ33LJ7RUHj_h-qkAFL92bcVjtIdVa-UlsCw"", ""Interns!M:M""), 
   ""Not Found"")"),"Contacted")</f>
        <v>Contacted</v>
      </c>
      <c r="AL839" s="23" t="str">
        <f>IFERROR(__xludf.DUMMYFUNCTION("XLOOKUP(C839, 
   IMPORTRANGE(""1RdEdgHYrZ33LJ7RUHj_h-qkAFL92bcVjtIdVa-UlsCw"", ""Interns!D:D""), 
   IMPORTRANGE(""1RdEdgHYrZ33LJ7RUHj_h-qkAFL92bcVjtIdVa-UlsCw"", ""Interns!N:N""), 
   ""Not Found"")"),"#Cheers4Careers")</f>
        <v>#Cheers4Careers</v>
      </c>
      <c r="AM839" s="23" t="str">
        <f>IFERROR(__xludf.DUMMYFUNCTION("XLOOKUP(C839, 
   IMPORTRANGE(""1RdEdgHYrZ33LJ7RUHj_h-qkAFL92bcVjtIdVa-UlsCw"", ""Interns!D:D""), 
   IMPORTRANGE(""1RdEdgHYrZ33LJ7RUHj_h-qkAFL92bcVjtIdVa-UlsCw"", ""Interns!O:O""), 
   ""Not Found"")"),"Hetal reached out by email 3/27 and text")</f>
        <v>Hetal reached out by email 3/27 and text</v>
      </c>
      <c r="AN839" s="23"/>
      <c r="AO839" s="23" t="s">
        <v>10617</v>
      </c>
      <c r="AP839" s="28" t="s">
        <v>5989</v>
      </c>
      <c r="AQ839" s="28" t="s">
        <v>10618</v>
      </c>
      <c r="AR839" s="23" t="s">
        <v>10619</v>
      </c>
      <c r="AS839" s="28" t="s">
        <v>10620</v>
      </c>
      <c r="AT839" s="23"/>
      <c r="AU839" s="23"/>
      <c r="AV839" s="23"/>
    </row>
    <row r="840">
      <c r="A840" s="28" t="s">
        <v>5202</v>
      </c>
      <c r="B840" s="28" t="s">
        <v>5162</v>
      </c>
      <c r="C840" s="23" t="str">
        <f t="shared" si="1"/>
        <v>Lorna Bonilla</v>
      </c>
      <c r="D840" s="28" t="s">
        <v>10621</v>
      </c>
      <c r="E840" s="28" t="s">
        <v>10622</v>
      </c>
      <c r="F840" s="23">
        <f t="array" ref="F840">IFERROR(
    INDEX('Hub Interns 226'!A:A, MATCH(C840, 'Hub Interns 226'!B:B, 0)),"")</f>
        <v>758</v>
      </c>
      <c r="G840" s="23">
        <f t="array" ref="G840">IFERROR(
    INDEX('Hub Users 226'!A:A, MATCH(C840, 'Hub Users 226'!B:B, 0)),"")</f>
        <v>1191</v>
      </c>
      <c r="H840" s="28">
        <v>965.0</v>
      </c>
      <c r="I840" s="28" t="s">
        <v>260</v>
      </c>
      <c r="J840" s="28" t="s">
        <v>5176</v>
      </c>
      <c r="K840" s="28" t="s">
        <v>5177</v>
      </c>
      <c r="L840" s="28" t="s">
        <v>5196</v>
      </c>
      <c r="M840" s="56" t="s">
        <v>10623</v>
      </c>
      <c r="N840" s="57">
        <v>44628.563888888886</v>
      </c>
      <c r="O840" s="58">
        <v>44793.0</v>
      </c>
      <c r="P840" s="28">
        <f t="shared" si="20"/>
        <v>3</v>
      </c>
      <c r="Q840" s="28" t="s">
        <v>240</v>
      </c>
      <c r="R840" s="28" t="s">
        <v>10624</v>
      </c>
      <c r="S840" s="28">
        <v>8.0</v>
      </c>
      <c r="T840" s="28">
        <v>23.0</v>
      </c>
      <c r="U840" s="28">
        <v>46.0</v>
      </c>
      <c r="V840" s="28">
        <v>47.0</v>
      </c>
      <c r="W840" s="28" t="s">
        <v>294</v>
      </c>
      <c r="X840" s="28" t="s">
        <v>272</v>
      </c>
      <c r="Y840" s="28" t="s">
        <v>10625</v>
      </c>
      <c r="Z840" s="28" t="s">
        <v>5589</v>
      </c>
      <c r="AA840" s="28" t="s">
        <v>5590</v>
      </c>
      <c r="AB840" s="28">
        <v>35.0</v>
      </c>
      <c r="AC840" s="28" t="s">
        <v>24</v>
      </c>
      <c r="AD840" s="23"/>
      <c r="AE840" s="28" t="s">
        <v>10</v>
      </c>
      <c r="AF840" s="23"/>
      <c r="AG840" s="23"/>
      <c r="AH840" s="23" t="str">
        <f>IFERROR(__xludf.DUMMYFUNCTION("IF(
ISNUMBER(MATCH(
C840,
IMPORTRANGE(""https://docs.google.com/spreadsheets/d/1yTh1ELC33JHYOeEdgIiEclxPRyh0zOKtlawDltfUay8"",""'Interns'!A:A""),
0
)),
""Outreach Conducted"",
"""")"),"")</f>
        <v/>
      </c>
      <c r="AI840" s="23"/>
      <c r="AJ840" s="23"/>
      <c r="AK840" s="23" t="str">
        <f>IFERROR(__xludf.DUMMYFUNCTION("XLOOKUP(C840, 
   IMPORTRANGE(""1RdEdgHYrZ33LJ7RUHj_h-qkAFL92bcVjtIdVa-UlsCw"", ""Interns!D:D""), 
   IMPORTRANGE(""1RdEdgHYrZ33LJ7RUHj_h-qkAFL92bcVjtIdVa-UlsCw"", ""Interns!M:M""), 
   ""Not Found"")"),"")</f>
        <v/>
      </c>
      <c r="AL840" s="23" t="str">
        <f>IFERROR(__xludf.DUMMYFUNCTION("XLOOKUP(C840, 
   IMPORTRANGE(""1RdEdgHYrZ33LJ7RUHj_h-qkAFL92bcVjtIdVa-UlsCw"", ""Interns!D:D""), 
   IMPORTRANGE(""1RdEdgHYrZ33LJ7RUHj_h-qkAFL92bcVjtIdVa-UlsCw"", ""Interns!N:N""), 
   ""Not Found"")"),"")</f>
        <v/>
      </c>
      <c r="AM840" s="23" t="str">
        <f>IFERROR(__xludf.DUMMYFUNCTION("XLOOKUP(C840, 
   IMPORTRANGE(""1RdEdgHYrZ33LJ7RUHj_h-qkAFL92bcVjtIdVa-UlsCw"", ""Interns!D:D""), 
   IMPORTRANGE(""1RdEdgHYrZ33LJ7RUHj_h-qkAFL92bcVjtIdVa-UlsCw"", ""Interns!O:O""), 
   ""Not Found"")"),"")</f>
        <v/>
      </c>
      <c r="AN840" s="23"/>
      <c r="AO840" s="23" t="s">
        <v>10626</v>
      </c>
      <c r="AP840" s="28" t="s">
        <v>5182</v>
      </c>
      <c r="AQ840" s="28"/>
      <c r="AR840" s="23"/>
      <c r="AS840" s="23"/>
      <c r="AT840" s="23"/>
      <c r="AU840" s="23"/>
      <c r="AV840" s="23"/>
    </row>
    <row r="841">
      <c r="A841" s="28" t="s">
        <v>5161</v>
      </c>
      <c r="B841" s="28" t="s">
        <v>5162</v>
      </c>
      <c r="C841" s="23" t="str">
        <f t="shared" si="1"/>
        <v>Nassira Cisse</v>
      </c>
      <c r="D841" s="28" t="s">
        <v>10627</v>
      </c>
      <c r="E841" s="28" t="s">
        <v>10582</v>
      </c>
      <c r="F841" s="23">
        <f t="array" ref="F841">IFERROR(
    INDEX('Hub Interns 226'!A:A, MATCH(C841, 'Hub Interns 226'!B:B, 0)),"")</f>
        <v>920</v>
      </c>
      <c r="G841" s="23">
        <f t="array" ref="G841">IFERROR(
    INDEX('Hub Users 226'!A:A, MATCH(C841, 'Hub Users 226'!B:B, 0)),"")</f>
        <v>1353</v>
      </c>
      <c r="H841" s="28">
        <v>10.0</v>
      </c>
      <c r="I841" s="28" t="s">
        <v>1153</v>
      </c>
      <c r="J841" s="28" t="s">
        <v>9893</v>
      </c>
      <c r="K841" s="28" t="s">
        <v>5245</v>
      </c>
      <c r="L841" s="28" t="s">
        <v>5196</v>
      </c>
      <c r="M841" s="56" t="s">
        <v>10628</v>
      </c>
      <c r="N841" s="57">
        <v>43733.870833333334</v>
      </c>
      <c r="O841" s="58"/>
      <c r="P841" s="28"/>
      <c r="Q841" s="28" t="s">
        <v>240</v>
      </c>
      <c r="R841" s="23"/>
      <c r="S841" s="28"/>
      <c r="T841" s="28"/>
      <c r="U841" s="28"/>
      <c r="V841" s="28"/>
      <c r="W841" s="28" t="s">
        <v>859</v>
      </c>
      <c r="X841" s="28" t="s">
        <v>272</v>
      </c>
      <c r="Y841" s="28" t="s">
        <v>10629</v>
      </c>
      <c r="Z841" s="28" t="s">
        <v>5435</v>
      </c>
      <c r="AA841" s="28" t="s">
        <v>5436</v>
      </c>
      <c r="AB841" s="28">
        <v>10.0</v>
      </c>
      <c r="AC841" s="28" t="s">
        <v>25</v>
      </c>
      <c r="AD841" s="23"/>
      <c r="AE841" s="28" t="s">
        <v>7</v>
      </c>
      <c r="AF841" s="23" t="str">
        <f>IFERROR(__xludf.DUMMYFUNCTION("TEXTJOIN("", "", TRUE,
  FILTER(Champions!C:C,
    ISNUMBER(SEARCH(C841, Champions!W:W))
  )
)"),"Anastasia Maria Savelyeva, Dima Al Ayderous")</f>
        <v>Anastasia Maria Savelyeva, Dima Al Ayderous</v>
      </c>
      <c r="AG841" s="23"/>
      <c r="AH841" s="23" t="str">
        <f>IFERROR(__xludf.DUMMYFUNCTION("IF(
ISNUMBER(MATCH(
C841,
IMPORTRANGE(""https://docs.google.com/spreadsheets/d/1yTh1ELC33JHYOeEdgIiEclxPRyh0zOKtlawDltfUay8"",""'Interns'!A:A""),
0
)),
""Outreach Conducted"",
"""")"),"")</f>
        <v/>
      </c>
      <c r="AI841" s="23"/>
      <c r="AJ841" s="23"/>
      <c r="AK841" s="23" t="str">
        <f>IFERROR(__xludf.DUMMYFUNCTION("XLOOKUP(C841, 
   IMPORTRANGE(""1RdEdgHYrZ33LJ7RUHj_h-qkAFL92bcVjtIdVa-UlsCw"", ""Interns!D:D""), 
   IMPORTRANGE(""1RdEdgHYrZ33LJ7RUHj_h-qkAFL92bcVjtIdVa-UlsCw"", ""Interns!M:M""), 
   ""Not Found"")"),"Contacted")</f>
        <v>Contacted</v>
      </c>
      <c r="AL841" s="23" t="str">
        <f>IFERROR(__xludf.DUMMYFUNCTION("XLOOKUP(C841, 
   IMPORTRANGE(""1RdEdgHYrZ33LJ7RUHj_h-qkAFL92bcVjtIdVa-UlsCw"", ""Interns!D:D""), 
   IMPORTRANGE(""1RdEdgHYrZ33LJ7RUHj_h-qkAFL92bcVjtIdVa-UlsCw"", ""Interns!N:N""), 
   ""Not Found"")"),"#Cheers4Careers")</f>
        <v>#Cheers4Careers</v>
      </c>
      <c r="AM841" s="23" t="str">
        <f>IFERROR(__xludf.DUMMYFUNCTION("XLOOKUP(C841, 
   IMPORTRANGE(""1RdEdgHYrZ33LJ7RUHj_h-qkAFL92bcVjtIdVa-UlsCw"", ""Interns!D:D""), 
   IMPORTRANGE(""1RdEdgHYrZ33LJ7RUHj_h-qkAFL92bcVjtIdVa-UlsCw"", ""Interns!O:O""), 
   ""Not Found"")"),"Hetal reached out by email 3/27")</f>
        <v>Hetal reached out by email 3/27</v>
      </c>
      <c r="AN841" s="23"/>
      <c r="AO841" s="23" t="s">
        <v>10630</v>
      </c>
      <c r="AP841" s="28" t="s">
        <v>5182</v>
      </c>
      <c r="AQ841" s="28" t="s">
        <v>10631</v>
      </c>
      <c r="AR841" s="23" t="s">
        <v>10632</v>
      </c>
      <c r="AS841" s="23"/>
      <c r="AT841" s="23"/>
      <c r="AU841" s="23"/>
      <c r="AV841" s="23"/>
    </row>
    <row r="842">
      <c r="A842" s="28" t="s">
        <v>5161</v>
      </c>
      <c r="B842" s="28" t="s">
        <v>5162</v>
      </c>
      <c r="C842" s="23" t="str">
        <f t="shared" si="1"/>
        <v>Mariama Diallo</v>
      </c>
      <c r="D842" s="28" t="s">
        <v>5305</v>
      </c>
      <c r="E842" s="28" t="s">
        <v>7818</v>
      </c>
      <c r="F842" s="23">
        <f t="array" ref="F842">IFERROR(
    INDEX('Hub Interns 226'!A:A, MATCH(C842, 'Hub Interns 226'!B:B, 0)),"")</f>
        <v>842</v>
      </c>
      <c r="G842" s="23">
        <f t="array" ref="G842">IFERROR(
    INDEX('Hub Users 226'!A:A, MATCH(C842, 'Hub Users 226'!B:B, 0)),"")</f>
        <v>877</v>
      </c>
      <c r="H842" s="28">
        <v>233.0</v>
      </c>
      <c r="I842" s="28" t="s">
        <v>269</v>
      </c>
      <c r="J842" s="28" t="s">
        <v>9893</v>
      </c>
      <c r="K842" s="28" t="s">
        <v>5245</v>
      </c>
      <c r="L842" s="28" t="s">
        <v>5196</v>
      </c>
      <c r="M842" s="56" t="s">
        <v>10633</v>
      </c>
      <c r="N842" s="59">
        <v>44127.43194444444</v>
      </c>
      <c r="O842" s="58">
        <v>36764.0</v>
      </c>
      <c r="P842" s="28">
        <f t="shared" ref="P842:P855" si="21">DATEDIF(O842, TODAY(), "Y")</f>
        <v>25</v>
      </c>
      <c r="Q842" s="28" t="s">
        <v>10634</v>
      </c>
      <c r="R842" s="23"/>
      <c r="S842" s="28"/>
      <c r="T842" s="28"/>
      <c r="U842" s="28"/>
      <c r="V842" s="28"/>
      <c r="W842" s="28" t="s">
        <v>271</v>
      </c>
      <c r="X842" s="28" t="s">
        <v>272</v>
      </c>
      <c r="Y842" s="28" t="s">
        <v>10635</v>
      </c>
      <c r="Z842" s="28" t="s">
        <v>5963</v>
      </c>
      <c r="AA842" s="28" t="s">
        <v>1923</v>
      </c>
      <c r="AB842" s="28">
        <v>1.0</v>
      </c>
      <c r="AC842" s="28" t="s">
        <v>25</v>
      </c>
      <c r="AD842" s="23"/>
      <c r="AE842" s="28" t="s">
        <v>8</v>
      </c>
      <c r="AF842" s="23" t="str">
        <f>IFERROR(__xludf.DUMMYFUNCTION("TEXTJOIN("", "", TRUE,
  FILTER(Champions!C:C,
    ISNUMBER(SEARCH(C842, Champions!W:W))
  )
)"),"Alina Ispas Montbriand, Cathy Zubiate Whealon, Lena K Dandy, Kate Cory, Louise Malone, Sunkyung Park, Lena K Dandy (D)")</f>
        <v>Alina Ispas Montbriand, Cathy Zubiate Whealon, Lena K Dandy, Kate Cory, Louise Malone, Sunkyung Park, Lena K Dandy (D)</v>
      </c>
      <c r="AG842" s="23"/>
      <c r="AH842" s="23" t="str">
        <f>IFERROR(__xludf.DUMMYFUNCTION("IF(
ISNUMBER(MATCH(
C842,
IMPORTRANGE(""https://docs.google.com/spreadsheets/d/1yTh1ELC33JHYOeEdgIiEclxPRyh0zOKtlawDltfUay8"",""'Interns'!A:A""),
0
)),
""Outreach Conducted"",
"""")"),"")</f>
        <v/>
      </c>
      <c r="AI842" s="23"/>
      <c r="AJ842" s="28" t="s">
        <v>10636</v>
      </c>
      <c r="AK842" s="23" t="str">
        <f>IFERROR(__xludf.DUMMYFUNCTION("XLOOKUP(C842, 
   IMPORTRANGE(""1RdEdgHYrZ33LJ7RUHj_h-qkAFL92bcVjtIdVa-UlsCw"", ""Interns!D:D""), 
   IMPORTRANGE(""1RdEdgHYrZ33LJ7RUHj_h-qkAFL92bcVjtIdVa-UlsCw"", ""Interns!M:M""), 
   ""Not Found"")"),"")</f>
        <v/>
      </c>
      <c r="AL842" s="23" t="str">
        <f>IFERROR(__xludf.DUMMYFUNCTION("XLOOKUP(C842, 
   IMPORTRANGE(""1RdEdgHYrZ33LJ7RUHj_h-qkAFL92bcVjtIdVa-UlsCw"", ""Interns!D:D""), 
   IMPORTRANGE(""1RdEdgHYrZ33LJ7RUHj_h-qkAFL92bcVjtIdVa-UlsCw"", ""Interns!N:N""), 
   ""Not Found"")"),"")</f>
        <v/>
      </c>
      <c r="AM842" s="23" t="str">
        <f>IFERROR(__xludf.DUMMYFUNCTION("XLOOKUP(C842, 
   IMPORTRANGE(""1RdEdgHYrZ33LJ7RUHj_h-qkAFL92bcVjtIdVa-UlsCw"", ""Interns!D:D""), 
   IMPORTRANGE(""1RdEdgHYrZ33LJ7RUHj_h-qkAFL92bcVjtIdVa-UlsCw"", ""Interns!O:O""), 
   ""Not Found"")"),"
Hetal reached out on 4/10 by whatsapp for April 18th #Cheers4Careers")</f>
        <v>
Hetal reached out on 4/10 by whatsapp for April 18th #Cheers4Careers</v>
      </c>
      <c r="AN842" s="23"/>
      <c r="AO842" s="23" t="s">
        <v>10637</v>
      </c>
      <c r="AP842" s="28" t="s">
        <v>5191</v>
      </c>
      <c r="AQ842" s="28"/>
      <c r="AR842" s="23" t="s">
        <v>10638</v>
      </c>
      <c r="AS842" s="23"/>
      <c r="AT842" s="23"/>
      <c r="AU842" s="23"/>
      <c r="AV842" s="23"/>
    </row>
    <row r="843">
      <c r="A843" s="28" t="s">
        <v>5161</v>
      </c>
      <c r="B843" s="28" t="s">
        <v>5162</v>
      </c>
      <c r="C843" s="23" t="str">
        <f t="shared" si="1"/>
        <v>Ayele Dounou</v>
      </c>
      <c r="D843" s="28" t="s">
        <v>10639</v>
      </c>
      <c r="E843" s="28" t="s">
        <v>10640</v>
      </c>
      <c r="F843" s="23" t="str">
        <f t="array" ref="F843">IFERROR(
    INDEX('Hub Interns 226'!A:A, MATCH(C843, 'Hub Interns 226'!B:B, 0)),"")</f>
        <v/>
      </c>
      <c r="G843" s="23">
        <f t="array" ref="G843">IFERROR(
    INDEX('Hub Users 226'!A:A, MATCH(C843, 'Hub Users 226'!B:B, 0)),"")</f>
        <v>18</v>
      </c>
      <c r="H843" s="28">
        <v>1115.0</v>
      </c>
      <c r="I843" s="28" t="s">
        <v>260</v>
      </c>
      <c r="J843" s="28" t="s">
        <v>10641</v>
      </c>
      <c r="K843" s="28" t="s">
        <v>5245</v>
      </c>
      <c r="L843" s="28" t="s">
        <v>5196</v>
      </c>
      <c r="M843" s="56" t="s">
        <v>10642</v>
      </c>
      <c r="N843" s="57">
        <v>44726.63958333333</v>
      </c>
      <c r="O843" s="58">
        <v>38630.0</v>
      </c>
      <c r="P843" s="28">
        <f t="shared" si="21"/>
        <v>20</v>
      </c>
      <c r="Q843" s="28" t="s">
        <v>10643</v>
      </c>
      <c r="R843" s="28" t="s">
        <v>10644</v>
      </c>
      <c r="S843" s="28">
        <v>15.0</v>
      </c>
      <c r="T843" s="28">
        <v>32.0</v>
      </c>
      <c r="U843" s="28">
        <v>79.0</v>
      </c>
      <c r="V843" s="28">
        <v>17.0</v>
      </c>
      <c r="W843" s="28" t="s">
        <v>859</v>
      </c>
      <c r="X843" s="28" t="s">
        <v>272</v>
      </c>
      <c r="Y843" s="28" t="s">
        <v>10645</v>
      </c>
      <c r="Z843" s="28" t="s">
        <v>5208</v>
      </c>
      <c r="AA843" s="28" t="s">
        <v>2141</v>
      </c>
      <c r="AB843" s="28">
        <v>8.0</v>
      </c>
      <c r="AC843" s="28" t="s">
        <v>25</v>
      </c>
      <c r="AD843" s="28" t="s">
        <v>101</v>
      </c>
      <c r="AE843" s="28" t="s">
        <v>17</v>
      </c>
      <c r="AF843" s="23" t="str">
        <f>IFERROR(__xludf.DUMMYFUNCTION("TEXTJOIN("", "", TRUE,
  FILTER(Champions!C:C,
    ISNUMBER(SEARCH(C843, Champions!W:W))
  )
)"),"Anne Tam, Keylin Rivera, Natsumi Komatani, Vatsala Sarathy")</f>
        <v>Anne Tam, Keylin Rivera, Natsumi Komatani, Vatsala Sarathy</v>
      </c>
      <c r="AG843" s="26" t="s">
        <v>7320</v>
      </c>
      <c r="AH843" s="23" t="str">
        <f>IFERROR(__xludf.DUMMYFUNCTION("IF(
ISNUMBER(MATCH(
C843,
IMPORTRANGE(""https://docs.google.com/spreadsheets/d/1yTh1ELC33JHYOeEdgIiEclxPRyh0zOKtlawDltfUay8"",""'Interns'!A:A""),
0
)),
""Outreach Conducted"",
"""")"),"")</f>
        <v/>
      </c>
      <c r="AI843" s="23"/>
      <c r="AJ843" s="28" t="s">
        <v>10646</v>
      </c>
      <c r="AK843" s="23" t="str">
        <f>IFERROR(__xludf.DUMMYFUNCTION("XLOOKUP(C843, 
   IMPORTRANGE(""1RdEdgHYrZ33LJ7RUHj_h-qkAFL92bcVjtIdVa-UlsCw"", ""Interns!D:D""), 
   IMPORTRANGE(""1RdEdgHYrZ33LJ7RUHj_h-qkAFL92bcVjtIdVa-UlsCw"", ""Interns!M:M""), 
   ""Not Found"")"),"In Communication")</f>
        <v>In Communication</v>
      </c>
      <c r="AL843" s="23" t="str">
        <f>IFERROR(__xludf.DUMMYFUNCTION("XLOOKUP(C843, 
   IMPORTRANGE(""1RdEdgHYrZ33LJ7RUHj_h-qkAFL92bcVjtIdVa-UlsCw"", ""Interns!D:D""), 
   IMPORTRANGE(""1RdEdgHYrZ33LJ7RUHj_h-qkAFL92bcVjtIdVa-UlsCw"", ""Interns!N:N""), 
   ""Not Found"")"),"#Cheers4Careers")</f>
        <v>#Cheers4Careers</v>
      </c>
      <c r="AM843" s="23" t="str">
        <f>IFERROR(__xludf.DUMMYFUNCTION("XLOOKUP(C843, 
   IMPORTRANGE(""1RdEdgHYrZ33LJ7RUHj_h-qkAFL92bcVjtIdVa-UlsCw"", ""Interns!D:D""), 
   IMPORTRANGE(""1RdEdgHYrZ33LJ7RUHj_h-qkAFL92bcVjtIdVa-UlsCw"", ""Interns!O:O""), 
   ""Not Found"")"),"Hetal reached out by email 3/27  and text and Hetal reached out by Whatsapp on 3/28
Hetal reached out on 4/10 by whatsapp -- Ayele has plans but wants to come to a future one")</f>
        <v>Hetal reached out by email 3/27  and text and Hetal reached out by Whatsapp on 3/28
Hetal reached out on 4/10 by whatsapp -- Ayele has plans but wants to come to a future one</v>
      </c>
      <c r="AN843" s="23"/>
      <c r="AO843" s="23" t="s">
        <v>10647</v>
      </c>
      <c r="AP843" s="28" t="s">
        <v>5182</v>
      </c>
      <c r="AQ843" s="28" t="s">
        <v>10648</v>
      </c>
      <c r="AR843" s="23" t="s">
        <v>10649</v>
      </c>
      <c r="AS843" s="23"/>
      <c r="AT843" s="23"/>
      <c r="AU843" s="23"/>
      <c r="AV843" s="23"/>
    </row>
    <row r="844">
      <c r="A844" s="28" t="s">
        <v>5202</v>
      </c>
      <c r="B844" s="28" t="s">
        <v>5162</v>
      </c>
      <c r="C844" s="23" t="str">
        <f t="shared" si="1"/>
        <v>Katherin Dubón</v>
      </c>
      <c r="D844" s="28" t="s">
        <v>10650</v>
      </c>
      <c r="E844" s="28" t="s">
        <v>10651</v>
      </c>
      <c r="F844" s="23">
        <f t="array" ref="F844">IFERROR(
    INDEX('Hub Interns 226'!A:A, MATCH(C844, 'Hub Interns 226'!B:B, 0)),"")</f>
        <v>731</v>
      </c>
      <c r="G844" s="28">
        <v>1164.0</v>
      </c>
      <c r="H844" s="28">
        <v>653.0</v>
      </c>
      <c r="I844" s="28" t="s">
        <v>302</v>
      </c>
      <c r="J844" s="28" t="s">
        <v>5176</v>
      </c>
      <c r="K844" s="28" t="s">
        <v>5177</v>
      </c>
      <c r="L844" s="28" t="s">
        <v>5196</v>
      </c>
      <c r="M844" s="56" t="s">
        <v>10652</v>
      </c>
      <c r="N844" s="59">
        <v>44518.643055555556</v>
      </c>
      <c r="O844" s="58">
        <v>37912.0</v>
      </c>
      <c r="P844" s="28">
        <f t="shared" si="21"/>
        <v>22</v>
      </c>
      <c r="Q844" s="28" t="s">
        <v>10653</v>
      </c>
      <c r="R844" s="28" t="s">
        <v>10654</v>
      </c>
      <c r="S844" s="28">
        <v>3.0</v>
      </c>
      <c r="T844" s="28">
        <v>16.0</v>
      </c>
      <c r="U844" s="28">
        <v>40.0</v>
      </c>
      <c r="V844" s="28">
        <v>19.0</v>
      </c>
      <c r="W844" s="28" t="s">
        <v>1173</v>
      </c>
      <c r="X844" s="28" t="s">
        <v>272</v>
      </c>
      <c r="Y844" s="23"/>
      <c r="Z844" s="28" t="s">
        <v>5189</v>
      </c>
      <c r="AA844" s="28" t="s">
        <v>619</v>
      </c>
      <c r="AB844" s="28">
        <v>20.0</v>
      </c>
      <c r="AC844" s="28" t="s">
        <v>25</v>
      </c>
      <c r="AD844" s="23"/>
      <c r="AE844" s="28" t="s">
        <v>10</v>
      </c>
      <c r="AF844" s="23" t="str">
        <f>IFERROR(__xludf.DUMMYFUNCTION("TEXTJOIN("", "", TRUE,
  FILTER(Champions!C:C,
    ISNUMBER(SEARCH(C844, Champions!W:W))
  )
)"),"Estrella Mestres")</f>
        <v>Estrella Mestres</v>
      </c>
      <c r="AG844" s="23"/>
      <c r="AH844" s="23" t="str">
        <f>IFERROR(__xludf.DUMMYFUNCTION("IF(
ISNUMBER(MATCH(
C844,
IMPORTRANGE(""https://docs.google.com/spreadsheets/d/1yTh1ELC33JHYOeEdgIiEclxPRyh0zOKtlawDltfUay8"",""'Interns'!A:A""),
0
)),
""Outreach Conducted"",
"""")"),"")</f>
        <v/>
      </c>
      <c r="AI844" s="23"/>
      <c r="AJ844" s="23"/>
      <c r="AK844" s="23" t="str">
        <f>IFERROR(__xludf.DUMMYFUNCTION("XLOOKUP(C844, 
   IMPORTRANGE(""1RdEdgHYrZ33LJ7RUHj_h-qkAFL92bcVjtIdVa-UlsCw"", ""Interns!D:D""), 
   IMPORTRANGE(""1RdEdgHYrZ33LJ7RUHj_h-qkAFL92bcVjtIdVa-UlsCw"", ""Interns!M:M""), 
   ""Not Found"")"),"")</f>
        <v/>
      </c>
      <c r="AL844" s="23" t="str">
        <f>IFERROR(__xludf.DUMMYFUNCTION("XLOOKUP(C844, 
   IMPORTRANGE(""1RdEdgHYrZ33LJ7RUHj_h-qkAFL92bcVjtIdVa-UlsCw"", ""Interns!D:D""), 
   IMPORTRANGE(""1RdEdgHYrZ33LJ7RUHj_h-qkAFL92bcVjtIdVa-UlsCw"", ""Interns!N:N""), 
   ""Not Found"")"),"")</f>
        <v/>
      </c>
      <c r="AM844" s="23" t="str">
        <f>IFERROR(__xludf.DUMMYFUNCTION("XLOOKUP(C844, 
   IMPORTRANGE(""1RdEdgHYrZ33LJ7RUHj_h-qkAFL92bcVjtIdVa-UlsCw"", ""Interns!D:D""), 
   IMPORTRANGE(""1RdEdgHYrZ33LJ7RUHj_h-qkAFL92bcVjtIdVa-UlsCw"", ""Interns!O:O""), 
   ""Not Found"")"),"")</f>
        <v/>
      </c>
      <c r="AN844" s="23"/>
      <c r="AO844" s="23" t="s">
        <v>10655</v>
      </c>
      <c r="AP844" s="28" t="s">
        <v>5182</v>
      </c>
      <c r="AQ844" s="28" t="s">
        <v>10656</v>
      </c>
      <c r="AR844" s="23" t="s">
        <v>10657</v>
      </c>
      <c r="AS844" s="23"/>
      <c r="AT844" s="23"/>
      <c r="AU844" s="23"/>
      <c r="AV844" s="23"/>
    </row>
    <row r="845">
      <c r="A845" s="28" t="s">
        <v>5161</v>
      </c>
      <c r="B845" s="28" t="s">
        <v>5162</v>
      </c>
      <c r="C845" s="23" t="str">
        <f t="shared" si="1"/>
        <v>Fatoumata Barry</v>
      </c>
      <c r="D845" s="28" t="s">
        <v>10658</v>
      </c>
      <c r="E845" s="28" t="s">
        <v>10518</v>
      </c>
      <c r="F845" s="23">
        <f t="array" ref="F845">IFERROR(
    INDEX('Hub Interns 226'!A:A, MATCH(C845, 'Hub Interns 226'!B:B, 0)),"")</f>
        <v>514</v>
      </c>
      <c r="G845" s="23">
        <f t="array" ref="G845">IFERROR(
    INDEX('Hub Users 226'!A:A, MATCH(C845, 'Hub Users 226'!B:B, 0)),"")</f>
        <v>947</v>
      </c>
      <c r="H845" s="28">
        <v>479.0</v>
      </c>
      <c r="I845" s="28" t="s">
        <v>260</v>
      </c>
      <c r="J845" s="28" t="s">
        <v>9893</v>
      </c>
      <c r="K845" s="28" t="s">
        <v>5245</v>
      </c>
      <c r="L845" s="28" t="s">
        <v>5196</v>
      </c>
      <c r="M845" s="56" t="s">
        <v>10659</v>
      </c>
      <c r="N845" s="57">
        <v>44365.46319444444</v>
      </c>
      <c r="O845" s="58">
        <v>38101.0</v>
      </c>
      <c r="P845" s="28">
        <f t="shared" si="21"/>
        <v>22</v>
      </c>
      <c r="Q845" s="28" t="s">
        <v>5247</v>
      </c>
      <c r="R845" s="28" t="s">
        <v>10660</v>
      </c>
      <c r="S845" s="28">
        <v>14.0</v>
      </c>
      <c r="T845" s="28">
        <v>29.0</v>
      </c>
      <c r="U845" s="28">
        <v>84.0</v>
      </c>
      <c r="V845" s="28">
        <v>8.0</v>
      </c>
      <c r="W845" s="28" t="s">
        <v>859</v>
      </c>
      <c r="X845" s="28" t="s">
        <v>272</v>
      </c>
      <c r="Y845" s="28" t="s">
        <v>10661</v>
      </c>
      <c r="Z845" s="28" t="s">
        <v>5208</v>
      </c>
      <c r="AA845" s="28" t="s">
        <v>2141</v>
      </c>
      <c r="AB845" s="28">
        <v>8.0</v>
      </c>
      <c r="AC845" s="28" t="s">
        <v>25</v>
      </c>
      <c r="AD845" s="23"/>
      <c r="AE845" s="28" t="s">
        <v>10</v>
      </c>
      <c r="AF845" s="23" t="str">
        <f>IFERROR(__xludf.DUMMYFUNCTION("TEXTJOIN("", "", TRUE,
  FILTER(Champions!C:C,
    ISNUMBER(SEARCH(C845, Champions!W:W))
  )
)"),"Anne Tam, Jannet Figueroa Gallardo, Missie Miranda")</f>
        <v>Anne Tam, Jannet Figueroa Gallardo, Missie Miranda</v>
      </c>
      <c r="AG845" s="23"/>
      <c r="AH845" s="23" t="str">
        <f>IFERROR(__xludf.DUMMYFUNCTION("IF(
ISNUMBER(MATCH(
C845,
IMPORTRANGE(""https://docs.google.com/spreadsheets/d/1yTh1ELC33JHYOeEdgIiEclxPRyh0zOKtlawDltfUay8"",""'Interns'!A:A""),
0
)),
""Outreach Conducted"",
"""")"),"")</f>
        <v/>
      </c>
      <c r="AI845" s="23"/>
      <c r="AJ845" s="23"/>
      <c r="AK845" s="23" t="str">
        <f>IFERROR(__xludf.DUMMYFUNCTION("XLOOKUP(C845, 
   IMPORTRANGE(""1RdEdgHYrZ33LJ7RUHj_h-qkAFL92bcVjtIdVa-UlsCw"", ""Interns!D:D""), 
   IMPORTRANGE(""1RdEdgHYrZ33LJ7RUHj_h-qkAFL92bcVjtIdVa-UlsCw"", ""Interns!M:M""), 
   ""Not Found"")"),"Contacted")</f>
        <v>Contacted</v>
      </c>
      <c r="AL845" s="23" t="str">
        <f>IFERROR(__xludf.DUMMYFUNCTION("XLOOKUP(C845, 
   IMPORTRANGE(""1RdEdgHYrZ33LJ7RUHj_h-qkAFL92bcVjtIdVa-UlsCw"", ""Interns!D:D""), 
   IMPORTRANGE(""1RdEdgHYrZ33LJ7RUHj_h-qkAFL92bcVjtIdVa-UlsCw"", ""Interns!N:N""), 
   ""Not Found"")"),"#Cheers4Careers")</f>
        <v>#Cheers4Careers</v>
      </c>
      <c r="AM845" s="23" t="str">
        <f>IFERROR(__xludf.DUMMYFUNCTION("XLOOKUP(C845, 
   IMPORTRANGE(""1RdEdgHYrZ33LJ7RUHj_h-qkAFL92bcVjtIdVa-UlsCw"", ""Interns!D:D""), 
   IMPORTRANGE(""1RdEdgHYrZ33LJ7RUHj_h-qkAFL92bcVjtIdVa-UlsCw"", ""Interns!O:O""), 
   ""Not Found"")"),"Hetal reached out by email 3/27")</f>
        <v>Hetal reached out by email 3/27</v>
      </c>
      <c r="AN845" s="23"/>
      <c r="AO845" s="23" t="s">
        <v>10662</v>
      </c>
      <c r="AP845" s="28" t="s">
        <v>5182</v>
      </c>
      <c r="AQ845" s="28" t="s">
        <v>10659</v>
      </c>
      <c r="AR845" s="23" t="s">
        <v>10663</v>
      </c>
      <c r="AS845" s="28" t="s">
        <v>10664</v>
      </c>
      <c r="AT845" s="23"/>
      <c r="AU845" s="23"/>
      <c r="AV845" s="23"/>
    </row>
    <row r="846">
      <c r="A846" s="28" t="s">
        <v>5161</v>
      </c>
      <c r="B846" s="28" t="s">
        <v>5162</v>
      </c>
      <c r="C846" s="23" t="str">
        <f t="shared" si="1"/>
        <v>Chitra Srikishun</v>
      </c>
      <c r="D846" s="28" t="s">
        <v>10665</v>
      </c>
      <c r="E846" s="28" t="s">
        <v>10666</v>
      </c>
      <c r="F846" s="23">
        <f t="array" ref="F846">IFERROR(
    INDEX('Hub Interns 226'!A:A, MATCH(C846, 'Hub Interns 226'!B:B, 0)),"")</f>
        <v>360</v>
      </c>
      <c r="G846" s="23">
        <f t="array" ref="G846">IFERROR(
    INDEX('Hub Users 226'!A:A, MATCH(C846, 'Hub Users 226'!B:B, 0)),"")</f>
        <v>793</v>
      </c>
      <c r="H846" s="28">
        <v>104.0</v>
      </c>
      <c r="I846" s="28" t="s">
        <v>260</v>
      </c>
      <c r="J846" s="28" t="s">
        <v>9985</v>
      </c>
      <c r="K846" s="28" t="s">
        <v>5463</v>
      </c>
      <c r="L846" s="28" t="s">
        <v>5196</v>
      </c>
      <c r="M846" s="56" t="s">
        <v>10667</v>
      </c>
      <c r="N846" s="59">
        <v>43763.83194444444</v>
      </c>
      <c r="O846" s="58"/>
      <c r="P846" s="28">
        <f t="shared" si="21"/>
        <v>126</v>
      </c>
      <c r="Q846" s="28" t="s">
        <v>240</v>
      </c>
      <c r="R846" s="28" t="s">
        <v>10668</v>
      </c>
      <c r="S846" s="28">
        <v>5.0</v>
      </c>
      <c r="T846" s="28">
        <v>15.0</v>
      </c>
      <c r="U846" s="28">
        <v>24.0</v>
      </c>
      <c r="V846" s="28">
        <v>29.0</v>
      </c>
      <c r="W846" s="28" t="s">
        <v>1173</v>
      </c>
      <c r="X846" s="28" t="s">
        <v>272</v>
      </c>
      <c r="Y846" s="28">
        <v>9.175733397E9</v>
      </c>
      <c r="Z846" s="28" t="s">
        <v>5319</v>
      </c>
      <c r="AA846" s="28" t="s">
        <v>781</v>
      </c>
      <c r="AB846" s="28">
        <v>31.0</v>
      </c>
      <c r="AC846" s="28" t="s">
        <v>25</v>
      </c>
      <c r="AD846" s="28" t="s">
        <v>101</v>
      </c>
      <c r="AE846" s="28" t="s">
        <v>6</v>
      </c>
      <c r="AF846" s="23" t="str">
        <f>IFERROR(__xludf.DUMMYFUNCTION("TEXTJOIN("", "", TRUE,
  FILTER(Champions!C:C,
    ISNUMBER(SEARCH(C846, Champions!W:W))
  )
)"),"Casey Burry, Jaskiran Ghuman, Priyanka Dixit")</f>
        <v>Casey Burry, Jaskiran Ghuman, Priyanka Dixit</v>
      </c>
      <c r="AG846" s="23"/>
      <c r="AH846" s="23" t="str">
        <f>IFERROR(__xludf.DUMMYFUNCTION("IF(
ISNUMBER(MATCH(
C846,
IMPORTRANGE(""https://docs.google.com/spreadsheets/d/1yTh1ELC33JHYOeEdgIiEclxPRyh0zOKtlawDltfUay8"",""'Interns'!A:A""),
0
)),
""Outreach Conducted"",
"""")"),"")</f>
        <v/>
      </c>
      <c r="AI846" s="23"/>
      <c r="AJ846" s="23"/>
      <c r="AK846" s="23" t="str">
        <f>IFERROR(__xludf.DUMMYFUNCTION("XLOOKUP(C846, 
   IMPORTRANGE(""1RdEdgHYrZ33LJ7RUHj_h-qkAFL92bcVjtIdVa-UlsCw"", ""Interns!D:D""), 
   IMPORTRANGE(""1RdEdgHYrZ33LJ7RUHj_h-qkAFL92bcVjtIdVa-UlsCw"", ""Interns!M:M""), 
   ""Not Found"")"),"")</f>
        <v/>
      </c>
      <c r="AL846" s="23" t="str">
        <f>IFERROR(__xludf.DUMMYFUNCTION("XLOOKUP(C846, 
   IMPORTRANGE(""1RdEdgHYrZ33LJ7RUHj_h-qkAFL92bcVjtIdVa-UlsCw"", ""Interns!D:D""), 
   IMPORTRANGE(""1RdEdgHYrZ33LJ7RUHj_h-qkAFL92bcVjtIdVa-UlsCw"", ""Interns!N:N""), 
   ""Not Found"")"),"")</f>
        <v/>
      </c>
      <c r="AM846" s="23" t="str">
        <f>IFERROR(__xludf.DUMMYFUNCTION("XLOOKUP(C846, 
   IMPORTRANGE(""1RdEdgHYrZ33LJ7RUHj_h-qkAFL92bcVjtIdVa-UlsCw"", ""Interns!D:D""), 
   IMPORTRANGE(""1RdEdgHYrZ33LJ7RUHj_h-qkAFL92bcVjtIdVa-UlsCw"", ""Interns!O:O""), 
   ""Not Found"")"),"")</f>
        <v/>
      </c>
      <c r="AN846" s="23"/>
      <c r="AO846" s="23" t="s">
        <v>10669</v>
      </c>
      <c r="AP846" s="28" t="s">
        <v>5182</v>
      </c>
      <c r="AQ846" s="28" t="s">
        <v>10670</v>
      </c>
      <c r="AR846" s="23" t="s">
        <v>10671</v>
      </c>
      <c r="AS846" s="23"/>
      <c r="AT846" s="23"/>
      <c r="AU846" s="23"/>
      <c r="AV846" s="23"/>
    </row>
    <row r="847">
      <c r="A847" s="28" t="s">
        <v>5161</v>
      </c>
      <c r="B847" s="28" t="s">
        <v>5162</v>
      </c>
      <c r="C847" s="23" t="str">
        <f t="shared" si="1"/>
        <v>Tameerah Sutherland</v>
      </c>
      <c r="D847" s="28" t="s">
        <v>10672</v>
      </c>
      <c r="E847" s="28" t="s">
        <v>10673</v>
      </c>
      <c r="F847" s="23">
        <f t="array" ref="F847">IFERROR(
    INDEX('Hub Interns 226'!A:A, MATCH(C847, 'Hub Interns 226'!B:B, 0)),"")</f>
        <v>1139</v>
      </c>
      <c r="G847" s="23">
        <f t="array" ref="G847">IFERROR(
    INDEX('Hub Users 226'!A:A, MATCH(C847, 'Hub Users 226'!B:B, 0)),"")</f>
        <v>1572</v>
      </c>
      <c r="H847" s="28">
        <v>1411.0</v>
      </c>
      <c r="I847" s="28" t="s">
        <v>269</v>
      </c>
      <c r="J847" s="28" t="s">
        <v>9985</v>
      </c>
      <c r="K847" s="28" t="s">
        <v>5463</v>
      </c>
      <c r="L847" s="28" t="s">
        <v>5196</v>
      </c>
      <c r="M847" s="56" t="s">
        <v>10674</v>
      </c>
      <c r="N847" s="59">
        <v>44865.48055555556</v>
      </c>
      <c r="O847" s="58">
        <v>39793.0</v>
      </c>
      <c r="P847" s="28">
        <f t="shared" si="21"/>
        <v>17</v>
      </c>
      <c r="Q847" s="28" t="s">
        <v>10675</v>
      </c>
      <c r="R847" s="28" t="s">
        <v>10676</v>
      </c>
      <c r="S847" s="28">
        <v>5.0</v>
      </c>
      <c r="T847" s="28">
        <v>10.0</v>
      </c>
      <c r="U847" s="28">
        <v>32.0</v>
      </c>
      <c r="V847" s="28">
        <v>28.0</v>
      </c>
      <c r="W847" s="28" t="s">
        <v>1173</v>
      </c>
      <c r="X847" s="28" t="s">
        <v>272</v>
      </c>
      <c r="Y847" s="23"/>
      <c r="Z847" s="28" t="s">
        <v>5332</v>
      </c>
      <c r="AA847" s="28" t="s">
        <v>421</v>
      </c>
      <c r="AB847" s="28">
        <v>31.0</v>
      </c>
      <c r="AC847" s="28" t="s">
        <v>23</v>
      </c>
      <c r="AD847" s="23"/>
      <c r="AE847" s="28" t="s">
        <v>15</v>
      </c>
      <c r="AF847" s="23"/>
      <c r="AG847" s="23"/>
      <c r="AH847" s="23" t="str">
        <f>IFERROR(__xludf.DUMMYFUNCTION("IF(
ISNUMBER(MATCH(
C847,
IMPORTRANGE(""https://docs.google.com/spreadsheets/d/1yTh1ELC33JHYOeEdgIiEclxPRyh0zOKtlawDltfUay8"",""'Interns'!A:A""),
0
)),
""Outreach Conducted"",
"""")"),"")</f>
        <v/>
      </c>
      <c r="AI847" s="23"/>
      <c r="AJ847" s="23"/>
      <c r="AK847" s="23" t="str">
        <f>IFERROR(__xludf.DUMMYFUNCTION("XLOOKUP(C847, 
   IMPORTRANGE(""1RdEdgHYrZ33LJ7RUHj_h-qkAFL92bcVjtIdVa-UlsCw"", ""Interns!D:D""), 
   IMPORTRANGE(""1RdEdgHYrZ33LJ7RUHj_h-qkAFL92bcVjtIdVa-UlsCw"", ""Interns!M:M""), 
   ""Not Found"")"),"Contacted")</f>
        <v>Contacted</v>
      </c>
      <c r="AL847" s="23" t="str">
        <f>IFERROR(__xludf.DUMMYFUNCTION("XLOOKUP(C847, 
   IMPORTRANGE(""1RdEdgHYrZ33LJ7RUHj_h-qkAFL92bcVjtIdVa-UlsCw"", ""Interns!D:D""), 
   IMPORTRANGE(""1RdEdgHYrZ33LJ7RUHj_h-qkAFL92bcVjtIdVa-UlsCw"", ""Interns!N:N""), 
   ""Not Found"")"),"#Cheers4Careers")</f>
        <v>#Cheers4Careers</v>
      </c>
      <c r="AM847" s="23" t="str">
        <f>IFERROR(__xludf.DUMMYFUNCTION("XLOOKUP(C847, 
   IMPORTRANGE(""1RdEdgHYrZ33LJ7RUHj_h-qkAFL92bcVjtIdVa-UlsCw"", ""Interns!D:D""), 
   IMPORTRANGE(""1RdEdgHYrZ33LJ7RUHj_h-qkAFL92bcVjtIdVa-UlsCw"", ""Interns!O:O""), 
   ""Not Found"")"),"Hetal reached out March 27 for March #Cheers4 Careers  ")</f>
        <v>Hetal reached out March 27 for March #Cheers4 Careers  </v>
      </c>
      <c r="AN847" s="23"/>
      <c r="AO847" s="23" t="s">
        <v>10677</v>
      </c>
      <c r="AP847" s="28" t="s">
        <v>5191</v>
      </c>
      <c r="AQ847" s="28"/>
      <c r="AR847" s="23"/>
      <c r="AS847" s="23"/>
      <c r="AT847" s="23"/>
      <c r="AU847" s="23"/>
      <c r="AV847" s="23"/>
    </row>
    <row r="848">
      <c r="A848" s="28" t="s">
        <v>5161</v>
      </c>
      <c r="B848" s="28" t="s">
        <v>5162</v>
      </c>
      <c r="C848" s="23" t="str">
        <f t="shared" si="1"/>
        <v>Romina Sulaimonova</v>
      </c>
      <c r="D848" s="28" t="s">
        <v>2943</v>
      </c>
      <c r="E848" s="28" t="s">
        <v>10678</v>
      </c>
      <c r="F848" s="23" t="str">
        <f t="array" ref="F848">IFERROR(
    INDEX('Hub Interns 226'!A:A, MATCH(C848, 'Hub Interns 226'!B:B, 0)),"")</f>
        <v/>
      </c>
      <c r="G848" s="23">
        <f t="array" ref="G848">IFERROR(
    INDEX('Hub Users 226'!A:A, MATCH(C848, 'Hub Users 226'!B:B, 0)),"")</f>
        <v>1565</v>
      </c>
      <c r="H848" s="28">
        <v>528.0</v>
      </c>
      <c r="I848" s="28" t="s">
        <v>425</v>
      </c>
      <c r="J848" s="28"/>
      <c r="K848" s="28"/>
      <c r="L848" s="28" t="s">
        <v>5196</v>
      </c>
      <c r="M848" s="56" t="s">
        <v>10679</v>
      </c>
      <c r="N848" s="57">
        <v>44476.8125</v>
      </c>
      <c r="O848" s="58">
        <v>37838.0</v>
      </c>
      <c r="P848" s="28">
        <f t="shared" si="21"/>
        <v>22</v>
      </c>
      <c r="Q848" s="28" t="s">
        <v>10680</v>
      </c>
      <c r="R848" s="28" t="s">
        <v>10681</v>
      </c>
      <c r="S848" s="28">
        <v>8.0</v>
      </c>
      <c r="T848" s="28">
        <v>23.0</v>
      </c>
      <c r="U848" s="28">
        <v>46.0</v>
      </c>
      <c r="V848" s="28">
        <v>48.0</v>
      </c>
      <c r="W848" s="28" t="s">
        <v>294</v>
      </c>
      <c r="X848" s="28" t="s">
        <v>272</v>
      </c>
      <c r="Y848" s="28" t="s">
        <v>10682</v>
      </c>
      <c r="Z848" s="28" t="s">
        <v>5963</v>
      </c>
      <c r="AA848" s="28" t="s">
        <v>1923</v>
      </c>
      <c r="AB848" s="28">
        <v>1.0</v>
      </c>
      <c r="AC848" s="28" t="s">
        <v>25</v>
      </c>
      <c r="AD848" s="23"/>
      <c r="AE848" s="28" t="s">
        <v>10</v>
      </c>
      <c r="AF848" s="23" t="str">
        <f>IFERROR(__xludf.DUMMYFUNCTION("TEXTJOIN("", "", TRUE,
  FILTER(Champions!C:C,
    ISNUMBER(SEARCH(C848, Champions!W:W))
  )
)"),"Anna Butuzova, Debaleena Majumdar, Princess Scott")</f>
        <v>Anna Butuzova, Debaleena Majumdar, Princess Scott</v>
      </c>
      <c r="AG848" s="23"/>
      <c r="AH848" s="23" t="str">
        <f>IFERROR(__xludf.DUMMYFUNCTION("IF(
ISNUMBER(MATCH(
C848,
IMPORTRANGE(""https://docs.google.com/spreadsheets/d/1yTh1ELC33JHYOeEdgIiEclxPRyh0zOKtlawDltfUay8"",""'Interns'!A:A""),
0
)),
""Outreach Conducted"",
"""")"),"")</f>
        <v/>
      </c>
      <c r="AI848" s="23"/>
      <c r="AJ848" s="23"/>
      <c r="AK848" s="23" t="str">
        <f>IFERROR(__xludf.DUMMYFUNCTION("XLOOKUP(C848, 
   IMPORTRANGE(""1RdEdgHYrZ33LJ7RUHj_h-qkAFL92bcVjtIdVa-UlsCw"", ""Interns!D:D""), 
   IMPORTRANGE(""1RdEdgHYrZ33LJ7RUHj_h-qkAFL92bcVjtIdVa-UlsCw"", ""Interns!M:M""), 
   ""Not Found"")"),"Contacted")</f>
        <v>Contacted</v>
      </c>
      <c r="AL848" s="23" t="str">
        <f>IFERROR(__xludf.DUMMYFUNCTION("XLOOKUP(C848, 
   IMPORTRANGE(""1RdEdgHYrZ33LJ7RUHj_h-qkAFL92bcVjtIdVa-UlsCw"", ""Interns!D:D""), 
   IMPORTRANGE(""1RdEdgHYrZ33LJ7RUHj_h-qkAFL92bcVjtIdVa-UlsCw"", ""Interns!N:N""), 
   ""Not Found"")"),"#Cheers4Careers")</f>
        <v>#Cheers4Careers</v>
      </c>
      <c r="AM848" s="23" t="str">
        <f>IFERROR(__xludf.DUMMYFUNCTION("XLOOKUP(C848, 
   IMPORTRANGE(""1RdEdgHYrZ33LJ7RUHj_h-qkAFL92bcVjtIdVa-UlsCw"", ""Interns!D:D""), 
   IMPORTRANGE(""1RdEdgHYrZ33LJ7RUHj_h-qkAFL92bcVjtIdVa-UlsCw"", ""Interns!O:O""), 
   ""Not Found"")"),"
Hetal reached out on 4/10 by whatsapp for April 18th #Cheers4Careers")</f>
        <v>
Hetal reached out on 4/10 by whatsapp for April 18th #Cheers4Careers</v>
      </c>
      <c r="AN848" s="23"/>
      <c r="AO848" s="23" t="s">
        <v>10683</v>
      </c>
      <c r="AP848" s="28" t="s">
        <v>5191</v>
      </c>
      <c r="AQ848" s="28" t="s">
        <v>10684</v>
      </c>
      <c r="AR848" s="23" t="s">
        <v>10685</v>
      </c>
      <c r="AS848" s="28" t="s">
        <v>10686</v>
      </c>
      <c r="AT848" s="23"/>
      <c r="AU848" s="23"/>
      <c r="AV848" s="23"/>
    </row>
    <row r="849">
      <c r="A849" s="28" t="s">
        <v>5202</v>
      </c>
      <c r="B849" s="28" t="s">
        <v>5162</v>
      </c>
      <c r="C849" s="23" t="str">
        <f t="shared" si="1"/>
        <v>Anny Garcia</v>
      </c>
      <c r="D849" s="28" t="s">
        <v>10687</v>
      </c>
      <c r="E849" s="28" t="s">
        <v>1484</v>
      </c>
      <c r="F849" s="23">
        <f t="array" ref="F849">IFERROR(
    INDEX('Hub Interns 226'!A:A, MATCH(C849, 'Hub Interns 226'!B:B, 0)),"")</f>
        <v>246</v>
      </c>
      <c r="G849" s="23">
        <f t="array" ref="G849">IFERROR(
    INDEX('Hub Users 226'!A:A, MATCH(C849, 'Hub Users 226'!B:B, 0)),"")</f>
        <v>679</v>
      </c>
      <c r="H849" s="28">
        <v>1116.0</v>
      </c>
      <c r="I849" s="28" t="s">
        <v>260</v>
      </c>
      <c r="J849" s="28" t="s">
        <v>5176</v>
      </c>
      <c r="K849" s="28" t="s">
        <v>5177</v>
      </c>
      <c r="L849" s="28" t="s">
        <v>5196</v>
      </c>
      <c r="M849" s="56" t="s">
        <v>10688</v>
      </c>
      <c r="N849" s="57">
        <v>44726.64375</v>
      </c>
      <c r="O849" s="58">
        <v>38275.0</v>
      </c>
      <c r="P849" s="28">
        <f t="shared" si="21"/>
        <v>21</v>
      </c>
      <c r="Q849" s="28" t="s">
        <v>240</v>
      </c>
      <c r="R849" s="28" t="s">
        <v>10689</v>
      </c>
      <c r="S849" s="28">
        <v>15.0</v>
      </c>
      <c r="T849" s="28">
        <v>32.0</v>
      </c>
      <c r="U849" s="28">
        <v>79.0</v>
      </c>
      <c r="V849" s="28">
        <v>17.0</v>
      </c>
      <c r="W849" s="28" t="s">
        <v>859</v>
      </c>
      <c r="X849" s="28" t="s">
        <v>272</v>
      </c>
      <c r="Y849" s="28" t="s">
        <v>10690</v>
      </c>
      <c r="Z849" s="28" t="s">
        <v>5208</v>
      </c>
      <c r="AA849" s="28" t="s">
        <v>2141</v>
      </c>
      <c r="AB849" s="28">
        <v>8.0</v>
      </c>
      <c r="AC849" s="28" t="s">
        <v>25</v>
      </c>
      <c r="AD849" s="23"/>
      <c r="AE849" s="28" t="s">
        <v>15</v>
      </c>
      <c r="AF849" s="23" t="str">
        <f>IFERROR(__xludf.DUMMYFUNCTION("TEXTJOIN("", "", TRUE,
  FILTER(Champions!C:C,
    ISNUMBER(SEARCH(C849, Champions!W:W))
  )
)"),"Daniela Fernandez Espinosa, Lata Murti, Vatsala Sarathy")</f>
        <v>Daniela Fernandez Espinosa, Lata Murti, Vatsala Sarathy</v>
      </c>
      <c r="AG849" s="23"/>
      <c r="AH849" s="23" t="str">
        <f>IFERROR(__xludf.DUMMYFUNCTION("IF(
ISNUMBER(MATCH(
C849,
IMPORTRANGE(""https://docs.google.com/spreadsheets/d/1yTh1ELC33JHYOeEdgIiEclxPRyh0zOKtlawDltfUay8"",""'Interns'!A:A""),
0
)),
""Outreach Conducted"",
"""")"),"")</f>
        <v/>
      </c>
      <c r="AI849" s="23"/>
      <c r="AJ849" s="23"/>
      <c r="AK849" s="23" t="str">
        <f>IFERROR(__xludf.DUMMYFUNCTION("XLOOKUP(C849, 
   IMPORTRANGE(""1RdEdgHYrZ33LJ7RUHj_h-qkAFL92bcVjtIdVa-UlsCw"", ""Interns!D:D""), 
   IMPORTRANGE(""1RdEdgHYrZ33LJ7RUHj_h-qkAFL92bcVjtIdVa-UlsCw"", ""Interns!M:M""), 
   ""Not Found"")"),"")</f>
        <v/>
      </c>
      <c r="AL849" s="23" t="str">
        <f>IFERROR(__xludf.DUMMYFUNCTION("XLOOKUP(C849, 
   IMPORTRANGE(""1RdEdgHYrZ33LJ7RUHj_h-qkAFL92bcVjtIdVa-UlsCw"", ""Interns!D:D""), 
   IMPORTRANGE(""1RdEdgHYrZ33LJ7RUHj_h-qkAFL92bcVjtIdVa-UlsCw"", ""Interns!N:N""), 
   ""Not Found"")"),"")</f>
        <v/>
      </c>
      <c r="AM849" s="23" t="str">
        <f>IFERROR(__xludf.DUMMYFUNCTION("XLOOKUP(C849, 
   IMPORTRANGE(""1RdEdgHYrZ33LJ7RUHj_h-qkAFL92bcVjtIdVa-UlsCw"", ""Interns!D:D""), 
   IMPORTRANGE(""1RdEdgHYrZ33LJ7RUHj_h-qkAFL92bcVjtIdVa-UlsCw"", ""Interns!O:O""), 
   ""Not Found"")"),"")</f>
        <v/>
      </c>
      <c r="AN849" s="23"/>
      <c r="AO849" s="23" t="s">
        <v>10691</v>
      </c>
      <c r="AP849" s="28" t="s">
        <v>5182</v>
      </c>
      <c r="AQ849" s="28" t="s">
        <v>10692</v>
      </c>
      <c r="AR849" s="23" t="s">
        <v>10693</v>
      </c>
      <c r="AS849" s="23"/>
      <c r="AT849" s="23"/>
      <c r="AU849" s="23"/>
      <c r="AV849" s="23"/>
    </row>
    <row r="850">
      <c r="A850" s="28" t="s">
        <v>5161</v>
      </c>
      <c r="B850" s="28" t="s">
        <v>5162</v>
      </c>
      <c r="C850" s="23" t="str">
        <f t="shared" si="1"/>
        <v>Naveer Ramsarran</v>
      </c>
      <c r="D850" s="28" t="s">
        <v>10694</v>
      </c>
      <c r="E850" s="28" t="s">
        <v>10695</v>
      </c>
      <c r="F850" s="23">
        <f t="array" ref="F850">IFERROR(
    INDEX('Hub Interns 226'!A:A, MATCH(C850, 'Hub Interns 226'!B:B, 0)),"")</f>
        <v>949</v>
      </c>
      <c r="G850" s="23">
        <f t="array" ref="G850">IFERROR(
    INDEX('Hub Users 226'!A:A, MATCH(C850, 'Hub Users 226'!B:B, 0)),"")</f>
        <v>1382</v>
      </c>
      <c r="H850" s="28">
        <v>579.0</v>
      </c>
      <c r="I850" s="28" t="s">
        <v>608</v>
      </c>
      <c r="J850" s="28" t="s">
        <v>9985</v>
      </c>
      <c r="K850" s="28" t="s">
        <v>5463</v>
      </c>
      <c r="L850" s="28" t="s">
        <v>5165</v>
      </c>
      <c r="M850" s="56" t="s">
        <v>10696</v>
      </c>
      <c r="N850" s="59">
        <v>44481.56041666667</v>
      </c>
      <c r="O850" s="58">
        <v>38535.0</v>
      </c>
      <c r="P850" s="28">
        <f t="shared" si="21"/>
        <v>20</v>
      </c>
      <c r="Q850" s="28" t="s">
        <v>240</v>
      </c>
      <c r="R850" s="28" t="s">
        <v>10697</v>
      </c>
      <c r="S850" s="28">
        <v>5.0</v>
      </c>
      <c r="T850" s="28">
        <v>10.0</v>
      </c>
      <c r="U850" s="28">
        <v>32.0</v>
      </c>
      <c r="V850" s="28">
        <v>28.0</v>
      </c>
      <c r="W850" s="28" t="s">
        <v>1173</v>
      </c>
      <c r="X850" s="28" t="s">
        <v>272</v>
      </c>
      <c r="Y850" s="28" t="s">
        <v>10698</v>
      </c>
      <c r="Z850" s="28" t="s">
        <v>5332</v>
      </c>
      <c r="AA850" s="28" t="s">
        <v>421</v>
      </c>
      <c r="AB850" s="28">
        <v>31.0</v>
      </c>
      <c r="AC850" s="28" t="s">
        <v>25</v>
      </c>
      <c r="AD850" s="23"/>
      <c r="AE850" s="28" t="s">
        <v>10</v>
      </c>
      <c r="AF850" s="23" t="str">
        <f>IFERROR(__xludf.DUMMYFUNCTION("TEXTJOIN("", "", TRUE,
  FILTER(Champions!C:C,
    ISNUMBER(SEARCH(C850, Champions!W:W))
  )
)"),"CHRISTINA BROOMES, Nishika Vidanage-Lulejian, Vicki Teman")</f>
        <v>CHRISTINA BROOMES, Nishika Vidanage-Lulejian, Vicki Teman</v>
      </c>
      <c r="AG850" s="23"/>
      <c r="AH850" s="23" t="str">
        <f>IFERROR(__xludf.DUMMYFUNCTION("IF(
ISNUMBER(MATCH(
C850,
IMPORTRANGE(""https://docs.google.com/spreadsheets/d/1yTh1ELC33JHYOeEdgIiEclxPRyh0zOKtlawDltfUay8"",""'Interns'!A:A""),
0
)),
""Outreach Conducted"",
"""")"),"")</f>
        <v/>
      </c>
      <c r="AI850" s="23"/>
      <c r="AJ850" s="23"/>
      <c r="AK850" s="23" t="str">
        <f>IFERROR(__xludf.DUMMYFUNCTION("XLOOKUP(C850, 
   IMPORTRANGE(""1RdEdgHYrZ33LJ7RUHj_h-qkAFL92bcVjtIdVa-UlsCw"", ""Interns!D:D""), 
   IMPORTRANGE(""1RdEdgHYrZ33LJ7RUHj_h-qkAFL92bcVjtIdVa-UlsCw"", ""Interns!M:M""), 
   ""Not Found"")"),"Contacted")</f>
        <v>Contacted</v>
      </c>
      <c r="AL850" s="23" t="str">
        <f>IFERROR(__xludf.DUMMYFUNCTION("XLOOKUP(C850, 
   IMPORTRANGE(""1RdEdgHYrZ33LJ7RUHj_h-qkAFL92bcVjtIdVa-UlsCw"", ""Interns!D:D""), 
   IMPORTRANGE(""1RdEdgHYrZ33LJ7RUHj_h-qkAFL92bcVjtIdVa-UlsCw"", ""Interns!N:N""), 
   ""Not Found"")"),"#Cheers4Careers")</f>
        <v>#Cheers4Careers</v>
      </c>
      <c r="AM850" s="23" t="str">
        <f>IFERROR(__xludf.DUMMYFUNCTION("XLOOKUP(C850, 
   IMPORTRANGE(""1RdEdgHYrZ33LJ7RUHj_h-qkAFL92bcVjtIdVa-UlsCw"", ""Interns!D:D""), 
   IMPORTRANGE(""1RdEdgHYrZ33LJ7RUHj_h-qkAFL92bcVjtIdVa-UlsCw"", ""Interns!O:O""), 
   ""Not Found"")"),"Hetal reached out March 27 for March #Cheers4 Careers  and texted and Hetal reached out by Whatsapp on 3/28
Hetal reached out on 4/10 by whatsapp for April 18th #Cheers4Careers")</f>
        <v>Hetal reached out March 27 for March #Cheers4 Careers  and texted and Hetal reached out by Whatsapp on 3/28
Hetal reached out on 4/10 by whatsapp for April 18th #Cheers4Careers</v>
      </c>
      <c r="AN850" s="23"/>
      <c r="AO850" s="23" t="s">
        <v>10699</v>
      </c>
      <c r="AP850" s="28" t="s">
        <v>5182</v>
      </c>
      <c r="AQ850" s="28" t="s">
        <v>10700</v>
      </c>
      <c r="AR850" s="23" t="s">
        <v>10701</v>
      </c>
      <c r="AS850" s="28" t="s">
        <v>10702</v>
      </c>
      <c r="AT850" s="23"/>
      <c r="AU850" s="23"/>
      <c r="AV850" s="23"/>
    </row>
    <row r="851">
      <c r="A851" s="28" t="s">
        <v>5161</v>
      </c>
      <c r="B851" s="28" t="s">
        <v>5162</v>
      </c>
      <c r="C851" s="23" t="str">
        <f t="shared" si="1"/>
        <v>Fazil Mohamed</v>
      </c>
      <c r="D851" s="28" t="s">
        <v>10703</v>
      </c>
      <c r="E851" s="28" t="s">
        <v>9486</v>
      </c>
      <c r="F851" s="23">
        <f t="array" ref="F851">IFERROR(
    INDEX('Hub Interns 226'!A:A, MATCH(C851, 'Hub Interns 226'!B:B, 0)),"")</f>
        <v>517</v>
      </c>
      <c r="G851" s="23">
        <f t="array" ref="G851">IFERROR(
    INDEX('Hub Users 226'!A:A, MATCH(C851, 'Hub Users 226'!B:B, 0)),"")</f>
        <v>950</v>
      </c>
      <c r="H851" s="28">
        <v>1562.0</v>
      </c>
      <c r="I851" s="28" t="s">
        <v>239</v>
      </c>
      <c r="J851" s="28" t="s">
        <v>9985</v>
      </c>
      <c r="K851" s="28" t="s">
        <v>5463</v>
      </c>
      <c r="L851" s="28" t="s">
        <v>5165</v>
      </c>
      <c r="M851" s="56" t="s">
        <v>10704</v>
      </c>
      <c r="N851" s="57">
        <v>45006.47222222222</v>
      </c>
      <c r="O851" s="58">
        <v>39524.0</v>
      </c>
      <c r="P851" s="28">
        <f t="shared" si="21"/>
        <v>18</v>
      </c>
      <c r="Q851" s="28" t="s">
        <v>240</v>
      </c>
      <c r="R851" s="28" t="s">
        <v>10705</v>
      </c>
      <c r="S851" s="28">
        <v>5.0</v>
      </c>
      <c r="T851" s="28">
        <v>14.0</v>
      </c>
      <c r="U851" s="28">
        <v>29.0</v>
      </c>
      <c r="V851" s="28">
        <v>27.0</v>
      </c>
      <c r="W851" s="28" t="s">
        <v>1173</v>
      </c>
      <c r="X851" s="28" t="s">
        <v>272</v>
      </c>
      <c r="Y851" s="28" t="s">
        <v>10706</v>
      </c>
      <c r="Z851" s="28" t="s">
        <v>5332</v>
      </c>
      <c r="AA851" s="28" t="s">
        <v>421</v>
      </c>
      <c r="AB851" s="28">
        <v>31.0</v>
      </c>
      <c r="AC851" s="28" t="s">
        <v>23</v>
      </c>
      <c r="AD851" s="23"/>
      <c r="AE851" s="28" t="s">
        <v>15</v>
      </c>
      <c r="AF851" s="23"/>
      <c r="AG851" s="23"/>
      <c r="AH851" s="23" t="str">
        <f>IFERROR(__xludf.DUMMYFUNCTION("IF(
ISNUMBER(MATCH(
C851,
IMPORTRANGE(""https://docs.google.com/spreadsheets/d/1yTh1ELC33JHYOeEdgIiEclxPRyh0zOKtlawDltfUay8"",""'Interns'!A:A""),
0
)),
""Outreach Conducted"",
"""")"),"")</f>
        <v/>
      </c>
      <c r="AI851" s="23"/>
      <c r="AJ851" s="23"/>
      <c r="AK851" s="23" t="str">
        <f>IFERROR(__xludf.DUMMYFUNCTION("XLOOKUP(C851, 
   IMPORTRANGE(""1RdEdgHYrZ33LJ7RUHj_h-qkAFL92bcVjtIdVa-UlsCw"", ""Interns!D:D""), 
   IMPORTRANGE(""1RdEdgHYrZ33LJ7RUHj_h-qkAFL92bcVjtIdVa-UlsCw"", ""Interns!M:M""), 
   ""Not Found"")"),"Contacted")</f>
        <v>Contacted</v>
      </c>
      <c r="AL851" s="23" t="str">
        <f>IFERROR(__xludf.DUMMYFUNCTION("XLOOKUP(C851, 
   IMPORTRANGE(""1RdEdgHYrZ33LJ7RUHj_h-qkAFL92bcVjtIdVa-UlsCw"", ""Interns!D:D""), 
   IMPORTRANGE(""1RdEdgHYrZ33LJ7RUHj_h-qkAFL92bcVjtIdVa-UlsCw"", ""Interns!N:N""), 
   ""Not Found"")"),"#Cheers4Careers")</f>
        <v>#Cheers4Careers</v>
      </c>
      <c r="AM851" s="23" t="str">
        <f>IFERROR(__xludf.DUMMYFUNCTION("XLOOKUP(C851, 
   IMPORTRANGE(""1RdEdgHYrZ33LJ7RUHj_h-qkAFL92bcVjtIdVa-UlsCw"", ""Interns!D:D""), 
   IMPORTRANGE(""1RdEdgHYrZ33LJ7RUHj_h-qkAFL92bcVjtIdVa-UlsCw"", ""Interns!O:O""), 
   ""Not Found"")"),"Hetal reached out March 27 for March #Cheers4 Careers ")</f>
        <v>Hetal reached out March 27 for March #Cheers4 Careers </v>
      </c>
      <c r="AN851" s="23"/>
      <c r="AO851" s="23" t="s">
        <v>10707</v>
      </c>
      <c r="AP851" s="28" t="s">
        <v>5182</v>
      </c>
      <c r="AQ851" s="28"/>
      <c r="AR851" s="23"/>
      <c r="AS851" s="23"/>
      <c r="AT851" s="23"/>
      <c r="AU851" s="23"/>
      <c r="AV851" s="23"/>
    </row>
    <row r="852">
      <c r="A852" s="28" t="s">
        <v>5202</v>
      </c>
      <c r="B852" s="28" t="s">
        <v>5162</v>
      </c>
      <c r="C852" s="23" t="str">
        <f t="shared" si="1"/>
        <v>Victor Reyes Avila</v>
      </c>
      <c r="D852" s="28" t="s">
        <v>1322</v>
      </c>
      <c r="E852" s="28" t="s">
        <v>10708</v>
      </c>
      <c r="F852" s="23">
        <f t="array" ref="F852">IFERROR(
    INDEX('Hub Interns 226'!A:A, MATCH(C852, 'Hub Interns 226'!B:B, 0)),"")</f>
        <v>69</v>
      </c>
      <c r="G852" s="23">
        <f t="array" ref="G852">IFERROR(
    INDEX('Hub Users 226'!A:A, MATCH(C852, 'Hub Users 226'!B:B, 0)),"")</f>
        <v>502</v>
      </c>
      <c r="H852" s="28">
        <v>865.0</v>
      </c>
      <c r="I852" s="28"/>
      <c r="J852" s="28" t="s">
        <v>5176</v>
      </c>
      <c r="K852" s="28" t="s">
        <v>5177</v>
      </c>
      <c r="L852" s="28" t="s">
        <v>5165</v>
      </c>
      <c r="M852" s="56" t="s">
        <v>10709</v>
      </c>
      <c r="N852" s="57">
        <v>44595.82916666667</v>
      </c>
      <c r="O852" s="58">
        <v>38556.0</v>
      </c>
      <c r="P852" s="28">
        <f t="shared" si="21"/>
        <v>20</v>
      </c>
      <c r="Q852" s="28" t="s">
        <v>240</v>
      </c>
      <c r="R852" s="28" t="s">
        <v>10710</v>
      </c>
      <c r="S852" s="28">
        <v>15.0</v>
      </c>
      <c r="T852" s="28">
        <v>32.0</v>
      </c>
      <c r="U852" s="28">
        <v>86.0</v>
      </c>
      <c r="V852" s="28">
        <v>15.0</v>
      </c>
      <c r="W852" s="28" t="s">
        <v>859</v>
      </c>
      <c r="X852" s="28" t="s">
        <v>272</v>
      </c>
      <c r="Y852" s="28" t="s">
        <v>10711</v>
      </c>
      <c r="Z852" s="28" t="s">
        <v>5259</v>
      </c>
      <c r="AA852" s="28" t="s">
        <v>704</v>
      </c>
      <c r="AB852" s="28">
        <v>2.0</v>
      </c>
      <c r="AC852" s="28" t="s">
        <v>24</v>
      </c>
      <c r="AD852" s="23"/>
      <c r="AE852" s="28" t="s">
        <v>10</v>
      </c>
      <c r="AF852" s="23"/>
      <c r="AG852" s="23"/>
      <c r="AH852" s="23" t="str">
        <f>IFERROR(__xludf.DUMMYFUNCTION("IF(
ISNUMBER(MATCH(
C852,
IMPORTRANGE(""https://docs.google.com/spreadsheets/d/1yTh1ELC33JHYOeEdgIiEclxPRyh0zOKtlawDltfUay8"",""'Interns'!A:A""),
0
)),
""Outreach Conducted"",
"""")"),"")</f>
        <v/>
      </c>
      <c r="AI852" s="23"/>
      <c r="AJ852" s="23"/>
      <c r="AK852" s="23" t="str">
        <f>IFERROR(__xludf.DUMMYFUNCTION("XLOOKUP(C852, 
   IMPORTRANGE(""1RdEdgHYrZ33LJ7RUHj_h-qkAFL92bcVjtIdVa-UlsCw"", ""Interns!D:D""), 
   IMPORTRANGE(""1RdEdgHYrZ33LJ7RUHj_h-qkAFL92bcVjtIdVa-UlsCw"", ""Interns!M:M""), 
   ""Not Found"")"),"")</f>
        <v/>
      </c>
      <c r="AL852" s="23" t="str">
        <f>IFERROR(__xludf.DUMMYFUNCTION("XLOOKUP(C852, 
   IMPORTRANGE(""1RdEdgHYrZ33LJ7RUHj_h-qkAFL92bcVjtIdVa-UlsCw"", ""Interns!D:D""), 
   IMPORTRANGE(""1RdEdgHYrZ33LJ7RUHj_h-qkAFL92bcVjtIdVa-UlsCw"", ""Interns!N:N""), 
   ""Not Found"")"),"")</f>
        <v/>
      </c>
      <c r="AM852" s="23" t="str">
        <f>IFERROR(__xludf.DUMMYFUNCTION("XLOOKUP(C852, 
   IMPORTRANGE(""1RdEdgHYrZ33LJ7RUHj_h-qkAFL92bcVjtIdVa-UlsCw"", ""Interns!D:D""), 
   IMPORTRANGE(""1RdEdgHYrZ33LJ7RUHj_h-qkAFL92bcVjtIdVa-UlsCw"", ""Interns!O:O""), 
   ""Not Found"")"),"")</f>
        <v/>
      </c>
      <c r="AN852" s="23"/>
      <c r="AO852" s="23" t="s">
        <v>10712</v>
      </c>
      <c r="AP852" s="28" t="s">
        <v>5182</v>
      </c>
      <c r="AQ852" s="28"/>
      <c r="AR852" s="23"/>
      <c r="AS852" s="23"/>
      <c r="AT852" s="23"/>
      <c r="AU852" s="23"/>
      <c r="AV852" s="23"/>
    </row>
    <row r="853">
      <c r="A853" s="28" t="s">
        <v>5161</v>
      </c>
      <c r="B853" s="28" t="s">
        <v>5162</v>
      </c>
      <c r="C853" s="23" t="str">
        <f t="shared" si="1"/>
        <v>Bindadevi Sukhandan</v>
      </c>
      <c r="D853" s="28" t="s">
        <v>10713</v>
      </c>
      <c r="E853" s="28" t="s">
        <v>10013</v>
      </c>
      <c r="F853" s="23">
        <f t="array" ref="F853">IFERROR(
    INDEX('Hub Interns 226'!A:A, MATCH(C853, 'Hub Interns 226'!B:B, 0)),"")</f>
        <v>299</v>
      </c>
      <c r="G853" s="23">
        <f t="array" ref="G853">IFERROR(
    INDEX('Hub Users 226'!A:A, MATCH(C853, 'Hub Users 226'!B:B, 0)),"")</f>
        <v>732</v>
      </c>
      <c r="H853" s="28">
        <v>372.0</v>
      </c>
      <c r="I853" s="28" t="s">
        <v>425</v>
      </c>
      <c r="J853" s="28" t="s">
        <v>9985</v>
      </c>
      <c r="K853" s="28" t="s">
        <v>5463</v>
      </c>
      <c r="L853" s="28" t="s">
        <v>5196</v>
      </c>
      <c r="M853" s="56" t="s">
        <v>10014</v>
      </c>
      <c r="N853" s="57">
        <v>44252.66736111111</v>
      </c>
      <c r="O853" s="58">
        <v>38490.0</v>
      </c>
      <c r="P853" s="28">
        <f t="shared" si="21"/>
        <v>21</v>
      </c>
      <c r="Q853" s="28" t="s">
        <v>240</v>
      </c>
      <c r="R853" s="28" t="s">
        <v>10714</v>
      </c>
      <c r="S853" s="28">
        <v>5.0</v>
      </c>
      <c r="T853" s="28">
        <v>11.0</v>
      </c>
      <c r="U853" s="28">
        <v>33.0</v>
      </c>
      <c r="V853" s="28">
        <v>23.0</v>
      </c>
      <c r="W853" s="28" t="s">
        <v>1173</v>
      </c>
      <c r="X853" s="28" t="s">
        <v>272</v>
      </c>
      <c r="Y853" s="23"/>
      <c r="Z853" s="28" t="s">
        <v>5332</v>
      </c>
      <c r="AA853" s="28" t="s">
        <v>421</v>
      </c>
      <c r="AB853" s="28">
        <v>31.0</v>
      </c>
      <c r="AC853" s="28" t="s">
        <v>25</v>
      </c>
      <c r="AD853" s="23"/>
      <c r="AE853" s="28" t="s">
        <v>8</v>
      </c>
      <c r="AF853" s="23" t="str">
        <f>IFERROR(__xludf.DUMMYFUNCTION("TEXTJOIN("", "", TRUE,
  FILTER(Champions!C:C,
    ISNUMBER(SEARCH(C853, Champions!W:W))
  )
)"),"Amanda Morgan Mackler, Behraam Baqai")</f>
        <v>Amanda Morgan Mackler, Behraam Baqai</v>
      </c>
      <c r="AG853" s="23"/>
      <c r="AH853" s="23" t="str">
        <f>IFERROR(__xludf.DUMMYFUNCTION("IF(
ISNUMBER(MATCH(
C853,
IMPORTRANGE(""https://docs.google.com/spreadsheets/d/1yTh1ELC33JHYOeEdgIiEclxPRyh0zOKtlawDltfUay8"",""'Interns'!A:A""),
0
)),
""Outreach Conducted"",
"""")"),"")</f>
        <v/>
      </c>
      <c r="AI853" s="23"/>
      <c r="AJ853" s="23"/>
      <c r="AK853" s="23" t="str">
        <f>IFERROR(__xludf.DUMMYFUNCTION("XLOOKUP(C853, 
   IMPORTRANGE(""1RdEdgHYrZ33LJ7RUHj_h-qkAFL92bcVjtIdVa-UlsCw"", ""Interns!D:D""), 
   IMPORTRANGE(""1RdEdgHYrZ33LJ7RUHj_h-qkAFL92bcVjtIdVa-UlsCw"", ""Interns!M:M""), 
   ""Not Found"")"),"Contacted")</f>
        <v>Contacted</v>
      </c>
      <c r="AL853" s="23" t="str">
        <f>IFERROR(__xludf.DUMMYFUNCTION("XLOOKUP(C853, 
   IMPORTRANGE(""1RdEdgHYrZ33LJ7RUHj_h-qkAFL92bcVjtIdVa-UlsCw"", ""Interns!D:D""), 
   IMPORTRANGE(""1RdEdgHYrZ33LJ7RUHj_h-qkAFL92bcVjtIdVa-UlsCw"", ""Interns!N:N""), 
   ""Not Found"")"),"#Cheers4Careers")</f>
        <v>#Cheers4Careers</v>
      </c>
      <c r="AM853" s="23" t="str">
        <f>IFERROR(__xludf.DUMMYFUNCTION("XLOOKUP(C853, 
   IMPORTRANGE(""1RdEdgHYrZ33LJ7RUHj_h-qkAFL92bcVjtIdVa-UlsCw"", ""Interns!D:D""), 
   IMPORTRANGE(""1RdEdgHYrZ33LJ7RUHj_h-qkAFL92bcVjtIdVa-UlsCw"", ""Interns!O:O""), 
   ""Not Found"")"),"Hetal reached out March 27 for March #Cheers4 Careers ")</f>
        <v>Hetal reached out March 27 for March #Cheers4 Careers </v>
      </c>
      <c r="AN853" s="23"/>
      <c r="AO853" s="23" t="s">
        <v>10715</v>
      </c>
      <c r="AP853" s="28" t="s">
        <v>5182</v>
      </c>
      <c r="AQ853" s="28" t="s">
        <v>10014</v>
      </c>
      <c r="AR853" s="23" t="s">
        <v>10716</v>
      </c>
      <c r="AS853" s="23"/>
      <c r="AT853" s="23"/>
      <c r="AU853" s="23"/>
      <c r="AV853" s="23"/>
    </row>
    <row r="854">
      <c r="A854" s="28" t="s">
        <v>5161</v>
      </c>
      <c r="B854" s="28" t="s">
        <v>5162</v>
      </c>
      <c r="C854" s="23" t="str">
        <f t="shared" si="1"/>
        <v>Cristal Davidson</v>
      </c>
      <c r="D854" s="28" t="s">
        <v>10717</v>
      </c>
      <c r="E854" s="28" t="s">
        <v>10718</v>
      </c>
      <c r="F854" s="23">
        <f t="array" ref="F854">IFERROR(
    INDEX('Hub Interns 226'!A:A, MATCH(C854, 'Hub Interns 226'!B:B, 0)),"")</f>
        <v>389</v>
      </c>
      <c r="G854" s="23">
        <f t="array" ref="G854">IFERROR(
    INDEX('Hub Users 226'!A:A, MATCH(C854, 'Hub Users 226'!B:B, 0)),"")</f>
        <v>822</v>
      </c>
      <c r="H854" s="28">
        <v>7.0</v>
      </c>
      <c r="I854" s="28"/>
      <c r="J854" s="28" t="s">
        <v>9985</v>
      </c>
      <c r="K854" s="28" t="s">
        <v>5463</v>
      </c>
      <c r="L854" s="28" t="s">
        <v>5196</v>
      </c>
      <c r="M854" s="56" t="s">
        <v>10719</v>
      </c>
      <c r="N854" s="57">
        <v>43542.09097222222</v>
      </c>
      <c r="O854" s="58">
        <v>37257.0</v>
      </c>
      <c r="P854" s="28">
        <f t="shared" si="21"/>
        <v>24</v>
      </c>
      <c r="Q854" s="28" t="s">
        <v>10720</v>
      </c>
      <c r="R854" s="28" t="s">
        <v>10721</v>
      </c>
      <c r="S854" s="28"/>
      <c r="T854" s="28"/>
      <c r="U854" s="28"/>
      <c r="V854" s="28"/>
      <c r="W854" s="28" t="s">
        <v>2633</v>
      </c>
      <c r="X854" s="28" t="s">
        <v>241</v>
      </c>
      <c r="Y854" s="28" t="s">
        <v>10722</v>
      </c>
      <c r="Z854" s="28" t="s">
        <v>5294</v>
      </c>
      <c r="AA854" s="28" t="s">
        <v>5294</v>
      </c>
      <c r="AB854" s="28" t="s">
        <v>5295</v>
      </c>
      <c r="AC854" s="28" t="s">
        <v>26</v>
      </c>
      <c r="AD854" s="28" t="s">
        <v>101</v>
      </c>
      <c r="AE854" s="28" t="s">
        <v>5</v>
      </c>
      <c r="AF854" s="23" t="str">
        <f>IFERROR(__xludf.DUMMYFUNCTION("TEXTJOIN("", "", TRUE,
  FILTER(Champions!C:C,
    ISNUMBER(SEARCH(C854, Champions!W:W))
  )
)"),"Astha Rajvanshi, Lauren Amelia Varga")</f>
        <v>Astha Rajvanshi, Lauren Amelia Varga</v>
      </c>
      <c r="AG854" s="26" t="s">
        <v>10723</v>
      </c>
      <c r="AH854" s="23" t="str">
        <f>IFERROR(__xludf.DUMMYFUNCTION("IF(
ISNUMBER(MATCH(
C854,
IMPORTRANGE(""https://docs.google.com/spreadsheets/d/1yTh1ELC33JHYOeEdgIiEclxPRyh0zOKtlawDltfUay8"",""'Interns'!A:A""),
0
)),
""Outreach Conducted"",
"""")"),"Outreach Conducted")</f>
        <v>Outreach Conducted</v>
      </c>
      <c r="AI854" s="23"/>
      <c r="AJ854" s="23"/>
      <c r="AK854" s="23" t="str">
        <f>IFERROR(__xludf.DUMMYFUNCTION("XLOOKUP(C854, 
   IMPORTRANGE(""1RdEdgHYrZ33LJ7RUHj_h-qkAFL92bcVjtIdVa-UlsCw"", ""Interns!D:D""), 
   IMPORTRANGE(""1RdEdgHYrZ33LJ7RUHj_h-qkAFL92bcVjtIdVa-UlsCw"", ""Interns!M:M""), 
   ""Not Found"")"),"")</f>
        <v/>
      </c>
      <c r="AL854" s="23" t="str">
        <f>IFERROR(__xludf.DUMMYFUNCTION("XLOOKUP(C854, 
   IMPORTRANGE(""1RdEdgHYrZ33LJ7RUHj_h-qkAFL92bcVjtIdVa-UlsCw"", ""Interns!D:D""), 
   IMPORTRANGE(""1RdEdgHYrZ33LJ7RUHj_h-qkAFL92bcVjtIdVa-UlsCw"", ""Interns!N:N""), 
   ""Not Found"")"),"")</f>
        <v/>
      </c>
      <c r="AM854" s="23" t="str">
        <f>IFERROR(__xludf.DUMMYFUNCTION("XLOOKUP(C854, 
   IMPORTRANGE(""1RdEdgHYrZ33LJ7RUHj_h-qkAFL92bcVjtIdVa-UlsCw"", ""Interns!D:D""), 
   IMPORTRANGE(""1RdEdgHYrZ33LJ7RUHj_h-qkAFL92bcVjtIdVa-UlsCw"", ""Interns!O:O""), 
   ""Not Found"")"),"")</f>
        <v/>
      </c>
      <c r="AN854" s="23"/>
      <c r="AO854" s="23" t="s">
        <v>10724</v>
      </c>
      <c r="AP854" s="28" t="s">
        <v>5191</v>
      </c>
      <c r="AQ854" s="28" t="s">
        <v>10725</v>
      </c>
      <c r="AR854" s="23" t="s">
        <v>10726</v>
      </c>
      <c r="AS854" s="28" t="s">
        <v>10727</v>
      </c>
      <c r="AT854" s="23"/>
      <c r="AU854" s="23"/>
      <c r="AV854" s="23"/>
    </row>
    <row r="855">
      <c r="A855" s="28" t="s">
        <v>5161</v>
      </c>
      <c r="B855" s="28" t="s">
        <v>5162</v>
      </c>
      <c r="C855" s="23" t="str">
        <f t="shared" si="1"/>
        <v>Isaac Elexey</v>
      </c>
      <c r="D855" s="28" t="s">
        <v>10728</v>
      </c>
      <c r="E855" s="28" t="s">
        <v>10729</v>
      </c>
      <c r="F855" s="23">
        <f t="array" ref="F855">IFERROR(
    INDEX('Hub Interns 226'!A:A, MATCH(C855, 'Hub Interns 226'!B:B, 0)),"")</f>
        <v>596</v>
      </c>
      <c r="G855" s="23">
        <f t="array" ref="G855">IFERROR(
    INDEX('Hub Users 226'!A:A, MATCH(C855, 'Hub Users 226'!B:B, 0)),"")</f>
        <v>1029</v>
      </c>
      <c r="H855" s="28">
        <v>1603.0</v>
      </c>
      <c r="I855" s="28" t="s">
        <v>290</v>
      </c>
      <c r="J855" s="28" t="s">
        <v>9985</v>
      </c>
      <c r="K855" s="28" t="s">
        <v>5463</v>
      </c>
      <c r="L855" s="28" t="s">
        <v>5165</v>
      </c>
      <c r="M855" s="56" t="s">
        <v>10730</v>
      </c>
      <c r="N855" s="57">
        <v>45021.45416666667</v>
      </c>
      <c r="O855" s="58">
        <v>38964.0</v>
      </c>
      <c r="P855" s="28">
        <f t="shared" si="21"/>
        <v>19</v>
      </c>
      <c r="Q855" s="28" t="s">
        <v>240</v>
      </c>
      <c r="R855" s="28" t="s">
        <v>6912</v>
      </c>
      <c r="S855" s="28"/>
      <c r="T855" s="28"/>
      <c r="U855" s="28"/>
      <c r="V855" s="28"/>
      <c r="W855" s="28" t="s">
        <v>1173</v>
      </c>
      <c r="X855" s="28" t="s">
        <v>272</v>
      </c>
      <c r="Y855" s="28" t="s">
        <v>10731</v>
      </c>
      <c r="Z855" s="28" t="s">
        <v>5332</v>
      </c>
      <c r="AA855" s="28" t="s">
        <v>421</v>
      </c>
      <c r="AB855" s="28">
        <v>31.0</v>
      </c>
      <c r="AC855" s="28" t="s">
        <v>23</v>
      </c>
      <c r="AD855" s="23"/>
      <c r="AE855" s="28" t="s">
        <v>15</v>
      </c>
      <c r="AF855" s="23"/>
      <c r="AG855" s="23"/>
      <c r="AH855" s="23" t="str">
        <f>IFERROR(__xludf.DUMMYFUNCTION("IF(
ISNUMBER(MATCH(
C855,
IMPORTRANGE(""https://docs.google.com/spreadsheets/d/1yTh1ELC33JHYOeEdgIiEclxPRyh0zOKtlawDltfUay8"",""'Interns'!A:A""),
0
)),
""Outreach Conducted"",
"""")"),"")</f>
        <v/>
      </c>
      <c r="AI855" s="23"/>
      <c r="AJ855" s="23"/>
      <c r="AK855" s="23" t="str">
        <f>IFERROR(__xludf.DUMMYFUNCTION("XLOOKUP(C855, 
   IMPORTRANGE(""1RdEdgHYrZ33LJ7RUHj_h-qkAFL92bcVjtIdVa-UlsCw"", ""Interns!D:D""), 
   IMPORTRANGE(""1RdEdgHYrZ33LJ7RUHj_h-qkAFL92bcVjtIdVa-UlsCw"", ""Interns!M:M""), 
   ""Not Found"")"),"Contacted")</f>
        <v>Contacted</v>
      </c>
      <c r="AL855" s="23" t="str">
        <f>IFERROR(__xludf.DUMMYFUNCTION("XLOOKUP(C855, 
   IMPORTRANGE(""1RdEdgHYrZ33LJ7RUHj_h-qkAFL92bcVjtIdVa-UlsCw"", ""Interns!D:D""), 
   IMPORTRANGE(""1RdEdgHYrZ33LJ7RUHj_h-qkAFL92bcVjtIdVa-UlsCw"", ""Interns!N:N""), 
   ""Not Found"")"),"#Cheers4Careers")</f>
        <v>#Cheers4Careers</v>
      </c>
      <c r="AM855" s="23" t="str">
        <f>IFERROR(__xludf.DUMMYFUNCTION("XLOOKUP(C855, 
   IMPORTRANGE(""1RdEdgHYrZ33LJ7RUHj_h-qkAFL92bcVjtIdVa-UlsCw"", ""Interns!D:D""), 
   IMPORTRANGE(""1RdEdgHYrZ33LJ7RUHj_h-qkAFL92bcVjtIdVa-UlsCw"", ""Interns!O:O""), 
   ""Not Found"")"),"Hetal reached out March 27 for March #Cheers4 Careers ")</f>
        <v>Hetal reached out March 27 for March #Cheers4 Careers </v>
      </c>
      <c r="AN855" s="23"/>
      <c r="AO855" s="23" t="s">
        <v>10732</v>
      </c>
      <c r="AP855" s="28" t="s">
        <v>5191</v>
      </c>
      <c r="AQ855" s="28"/>
      <c r="AR855" s="23"/>
      <c r="AS855" s="23"/>
      <c r="AT855" s="23"/>
      <c r="AU855" s="23"/>
      <c r="AV855" s="23"/>
    </row>
    <row r="856">
      <c r="A856" s="28" t="s">
        <v>5161</v>
      </c>
      <c r="B856" s="28" t="s">
        <v>5162</v>
      </c>
      <c r="C856" s="23" t="str">
        <f t="shared" si="1"/>
        <v>Monique Melanie Rose Lawrence</v>
      </c>
      <c r="D856" s="28" t="s">
        <v>10733</v>
      </c>
      <c r="E856" s="28" t="s">
        <v>10734</v>
      </c>
      <c r="F856" s="23" t="str">
        <f t="array" ref="F856">IFERROR(
    INDEX('Hub Interns 226'!A:A, MATCH(C856, 'Hub Interns 226'!B:B, 0)),"")</f>
        <v/>
      </c>
      <c r="G856" s="23" t="str">
        <f t="array" ref="G856">IFERROR(
    INDEX('Hub Users 226'!A:A, MATCH(C856, 'Hub Users 226'!B:B, 0)),"")</f>
        <v/>
      </c>
      <c r="H856" s="28">
        <v>16.0</v>
      </c>
      <c r="I856" s="28" t="s">
        <v>290</v>
      </c>
      <c r="J856" s="28" t="s">
        <v>9985</v>
      </c>
      <c r="K856" s="28" t="s">
        <v>5463</v>
      </c>
      <c r="L856" s="28"/>
      <c r="M856" s="56" t="s">
        <v>10735</v>
      </c>
      <c r="N856" s="57">
        <v>43741.63055555556</v>
      </c>
      <c r="O856" s="28">
        <v>15.0</v>
      </c>
      <c r="P856" s="28">
        <f>YEAR(TODAY())-2018+O856</f>
        <v>23</v>
      </c>
      <c r="Q856" s="28" t="s">
        <v>240</v>
      </c>
      <c r="R856" s="23"/>
      <c r="S856" s="28"/>
      <c r="T856" s="28"/>
      <c r="U856" s="28"/>
      <c r="V856" s="28"/>
      <c r="W856" s="28" t="s">
        <v>294</v>
      </c>
      <c r="X856" s="28" t="s">
        <v>272</v>
      </c>
      <c r="Y856" s="28">
        <v>9.293668766E9</v>
      </c>
      <c r="Z856" s="28" t="s">
        <v>10736</v>
      </c>
      <c r="AA856" s="28" t="s">
        <v>10736</v>
      </c>
      <c r="AB856" s="28">
        <v>35.0</v>
      </c>
      <c r="AC856" s="28" t="s">
        <v>25</v>
      </c>
      <c r="AD856" s="28" t="s">
        <v>101</v>
      </c>
      <c r="AE856" s="28" t="s">
        <v>4</v>
      </c>
      <c r="AF856" s="23" t="str">
        <f>IFERROR(__xludf.DUMMYFUNCTION("TEXTJOIN("", "", TRUE,
  FILTER(Champions!C:C,
    ISNUMBER(SEARCH(C856, Champions!W:W))
  )
)"),"Chevon Drew")</f>
        <v>Chevon Drew</v>
      </c>
      <c r="AG856" s="26" t="s">
        <v>10607</v>
      </c>
      <c r="AH856" s="23" t="str">
        <f>IFERROR(__xludf.DUMMYFUNCTION("IF(
ISNUMBER(MATCH(
C856,
IMPORTRANGE(""https://docs.google.com/spreadsheets/d/1yTh1ELC33JHYOeEdgIiEclxPRyh0zOKtlawDltfUay8"",""'Interns'!A:A""),
0
)),
""Outreach Conducted"",
"""")"),"")</f>
        <v/>
      </c>
      <c r="AI856" s="23"/>
      <c r="AJ856" s="23"/>
      <c r="AK856" s="23" t="str">
        <f>IFERROR(__xludf.DUMMYFUNCTION("XLOOKUP(C856, 
   IMPORTRANGE(""1RdEdgHYrZ33LJ7RUHj_h-qkAFL92bcVjtIdVa-UlsCw"", ""Interns!D:D""), 
   IMPORTRANGE(""1RdEdgHYrZ33LJ7RUHj_h-qkAFL92bcVjtIdVa-UlsCw"", ""Interns!M:M""), 
   ""Not Found"")"),"Contacted")</f>
        <v>Contacted</v>
      </c>
      <c r="AL856" s="23" t="str">
        <f>IFERROR(__xludf.DUMMYFUNCTION("XLOOKUP(C856, 
   IMPORTRANGE(""1RdEdgHYrZ33LJ7RUHj_h-qkAFL92bcVjtIdVa-UlsCw"", ""Interns!D:D""), 
   IMPORTRANGE(""1RdEdgHYrZ33LJ7RUHj_h-qkAFL92bcVjtIdVa-UlsCw"", ""Interns!N:N""), 
   ""Not Found"")"),"#Cheers4Careers")</f>
        <v>#Cheers4Careers</v>
      </c>
      <c r="AM856" s="23" t="str">
        <f>IFERROR(__xludf.DUMMYFUNCTION("XLOOKUP(C856, 
   IMPORTRANGE(""1RdEdgHYrZ33LJ7RUHj_h-qkAFL92bcVjtIdVa-UlsCw"", ""Interns!D:D""), 
   IMPORTRANGE(""1RdEdgHYrZ33LJ7RUHj_h-qkAFL92bcVjtIdVa-UlsCw"", ""Interns!O:O""), 
   ""Not Found"")"),"Hetal reached out by email 3/27")</f>
        <v>Hetal reached out by email 3/27</v>
      </c>
      <c r="AN856" s="23"/>
      <c r="AO856" s="23" t="s">
        <v>10737</v>
      </c>
      <c r="AP856" s="28" t="s">
        <v>5191</v>
      </c>
      <c r="AQ856" s="28" t="s">
        <v>10737</v>
      </c>
      <c r="AR856" s="23">
        <v>9.293668766E9</v>
      </c>
      <c r="AS856" s="23"/>
      <c r="AT856" s="23"/>
      <c r="AU856" s="23"/>
      <c r="AV856" s="23"/>
    </row>
    <row r="857">
      <c r="A857" s="28" t="s">
        <v>5161</v>
      </c>
      <c r="B857" s="28" t="s">
        <v>31</v>
      </c>
      <c r="C857" s="23" t="str">
        <f t="shared" si="1"/>
        <v>Dmarjia. Rankine</v>
      </c>
      <c r="D857" s="28" t="s">
        <v>10738</v>
      </c>
      <c r="E857" s="28" t="s">
        <v>10739</v>
      </c>
      <c r="F857" s="23" t="str">
        <f t="array" ref="F857">IFERROR(
    INDEX('Hub Interns 226'!A:A, MATCH(C857, 'Hub Interns 226'!B:B, 0)),"")</f>
        <v/>
      </c>
      <c r="G857" s="23" t="str">
        <f t="array" ref="G857">IFERROR(
    INDEX('Hub Users 226'!A:A, MATCH(C857, 'Hub Users 226'!B:B, 0)),"")</f>
        <v/>
      </c>
      <c r="H857" s="28">
        <v>944.0</v>
      </c>
      <c r="I857" s="28" t="s">
        <v>260</v>
      </c>
      <c r="J857" s="28"/>
      <c r="K857" s="28"/>
      <c r="L857" s="28" t="s">
        <v>5196</v>
      </c>
      <c r="M857" s="56" t="s">
        <v>10740</v>
      </c>
      <c r="N857" s="57">
        <v>44608.416666666664</v>
      </c>
      <c r="O857" s="58">
        <v>38583.0</v>
      </c>
      <c r="P857" s="28">
        <f t="shared" ref="P857:P869" si="22">DATEDIF(O857, TODAY(), "Y")</f>
        <v>20</v>
      </c>
      <c r="Q857" s="28" t="s">
        <v>240</v>
      </c>
      <c r="R857" s="28" t="s">
        <v>10741</v>
      </c>
      <c r="S857" s="28"/>
      <c r="T857" s="28"/>
      <c r="U857" s="28"/>
      <c r="V857" s="28"/>
      <c r="W857" s="28" t="s">
        <v>1173</v>
      </c>
      <c r="X857" s="28" t="s">
        <v>272</v>
      </c>
      <c r="Y857" s="28" t="s">
        <v>10742</v>
      </c>
      <c r="Z857" s="28" t="s">
        <v>5332</v>
      </c>
      <c r="AA857" s="28" t="s">
        <v>421</v>
      </c>
      <c r="AB857" s="28">
        <v>31.0</v>
      </c>
      <c r="AC857" s="28" t="s">
        <v>24</v>
      </c>
      <c r="AD857" s="23"/>
      <c r="AE857" s="28" t="s">
        <v>10</v>
      </c>
      <c r="AF857" s="23"/>
      <c r="AG857" s="23"/>
      <c r="AH857" s="23" t="str">
        <f>IFERROR(__xludf.DUMMYFUNCTION("IF(
ISNUMBER(MATCH(
C857,
IMPORTRANGE(""https://docs.google.com/spreadsheets/d/1yTh1ELC33JHYOeEdgIiEclxPRyh0zOKtlawDltfUay8"",""'Interns'!A:A""),
0
)),
""Outreach Conducted"",
"""")"),"")</f>
        <v/>
      </c>
      <c r="AI857" s="23"/>
      <c r="AJ857" s="23"/>
      <c r="AK857" s="23" t="str">
        <f>IFERROR(__xludf.DUMMYFUNCTION("XLOOKUP(C857, 
   IMPORTRANGE(""1RdEdgHYrZ33LJ7RUHj_h-qkAFL92bcVjtIdVa-UlsCw"", ""Interns!D:D""), 
   IMPORTRANGE(""1RdEdgHYrZ33LJ7RUHj_h-qkAFL92bcVjtIdVa-UlsCw"", ""Interns!M:M""), 
   ""Not Found"")"),"")</f>
        <v/>
      </c>
      <c r="AL857" s="23" t="str">
        <f>IFERROR(__xludf.DUMMYFUNCTION("XLOOKUP(C857, 
   IMPORTRANGE(""1RdEdgHYrZ33LJ7RUHj_h-qkAFL92bcVjtIdVa-UlsCw"", ""Interns!D:D""), 
   IMPORTRANGE(""1RdEdgHYrZ33LJ7RUHj_h-qkAFL92bcVjtIdVa-UlsCw"", ""Interns!N:N""), 
   ""Not Found"")"),"")</f>
        <v/>
      </c>
      <c r="AM857" s="23" t="str">
        <f>IFERROR(__xludf.DUMMYFUNCTION("XLOOKUP(C857, 
   IMPORTRANGE(""1RdEdgHYrZ33LJ7RUHj_h-qkAFL92bcVjtIdVa-UlsCw"", ""Interns!D:D""), 
   IMPORTRANGE(""1RdEdgHYrZ33LJ7RUHj_h-qkAFL92bcVjtIdVa-UlsCw"", ""Interns!O:O""), 
   ""Not Found"")"),"")</f>
        <v/>
      </c>
      <c r="AN857" s="23"/>
      <c r="AO857" s="23" t="s">
        <v>10743</v>
      </c>
      <c r="AP857" s="28" t="s">
        <v>5191</v>
      </c>
      <c r="AQ857" s="28"/>
      <c r="AR857" s="23"/>
      <c r="AS857" s="23"/>
      <c r="AT857" s="23"/>
      <c r="AU857" s="23"/>
      <c r="AV857" s="23"/>
    </row>
    <row r="858">
      <c r="A858" s="28" t="s">
        <v>5161</v>
      </c>
      <c r="B858" s="28" t="s">
        <v>5162</v>
      </c>
      <c r="C858" s="23" t="str">
        <f t="shared" si="1"/>
        <v>Ronelson Philippeau</v>
      </c>
      <c r="D858" s="28" t="s">
        <v>10744</v>
      </c>
      <c r="E858" s="28" t="s">
        <v>10745</v>
      </c>
      <c r="F858" s="23">
        <f t="array" ref="F858">IFERROR(
    INDEX('Hub Interns 226'!A:A, MATCH(C858, 'Hub Interns 226'!B:B, 0)),"")</f>
        <v>1772</v>
      </c>
      <c r="G858" s="23">
        <f t="array" ref="G858">IFERROR(
    INDEX('Hub Users 226'!A:A, MATCH(C858, 'Hub Users 226'!B:B, 0)),"")</f>
        <v>2602</v>
      </c>
      <c r="H858" s="28">
        <v>1651.0</v>
      </c>
      <c r="I858" s="28"/>
      <c r="J858" s="28" t="s">
        <v>10019</v>
      </c>
      <c r="K858" s="28" t="s">
        <v>5177</v>
      </c>
      <c r="L858" s="28" t="s">
        <v>5165</v>
      </c>
      <c r="M858" s="56" t="s">
        <v>10746</v>
      </c>
      <c r="N858" s="57">
        <v>45119.74166666667</v>
      </c>
      <c r="O858" s="58">
        <v>38299.0</v>
      </c>
      <c r="P858" s="28">
        <f t="shared" si="22"/>
        <v>21</v>
      </c>
      <c r="Q858" s="28" t="s">
        <v>240</v>
      </c>
      <c r="R858" s="28" t="s">
        <v>10747</v>
      </c>
      <c r="S858" s="28">
        <v>9.0</v>
      </c>
      <c r="T858" s="28">
        <v>19.0</v>
      </c>
      <c r="U858" s="28">
        <v>58.0</v>
      </c>
      <c r="V858" s="28">
        <v>41.0</v>
      </c>
      <c r="W858" s="28" t="s">
        <v>294</v>
      </c>
      <c r="X858" s="28" t="s">
        <v>272</v>
      </c>
      <c r="Y858" s="28" t="s">
        <v>10748</v>
      </c>
      <c r="Z858" s="28" t="s">
        <v>10749</v>
      </c>
      <c r="AA858" s="28" t="s">
        <v>5639</v>
      </c>
      <c r="AB858" s="28">
        <v>46.0</v>
      </c>
      <c r="AC858" s="28" t="s">
        <v>27</v>
      </c>
      <c r="AD858" s="23"/>
      <c r="AE858" s="28" t="s">
        <v>18</v>
      </c>
      <c r="AF858" s="23"/>
      <c r="AG858" s="23"/>
      <c r="AH858" s="23" t="str">
        <f>IFERROR(__xludf.DUMMYFUNCTION("IF(
ISNUMBER(MATCH(
C858,
IMPORTRANGE(""https://docs.google.com/spreadsheets/d/1yTh1ELC33JHYOeEdgIiEclxPRyh0zOKtlawDltfUay8"",""'Interns'!A:A""),
0
)),
""Outreach Conducted"",
"""")"),"")</f>
        <v/>
      </c>
      <c r="AI858" s="23"/>
      <c r="AJ858" s="23"/>
      <c r="AK858" s="23" t="str">
        <f>IFERROR(__xludf.DUMMYFUNCTION("XLOOKUP(C858, 
   IMPORTRANGE(""1RdEdgHYrZ33LJ7RUHj_h-qkAFL92bcVjtIdVa-UlsCw"", ""Interns!D:D""), 
   IMPORTRANGE(""1RdEdgHYrZ33LJ7RUHj_h-qkAFL92bcVjtIdVa-UlsCw"", ""Interns!M:M""), 
   ""Not Found"")"),"Contacted")</f>
        <v>Contacted</v>
      </c>
      <c r="AL858" s="23" t="str">
        <f>IFERROR(__xludf.DUMMYFUNCTION("XLOOKUP(C858, 
   IMPORTRANGE(""1RdEdgHYrZ33LJ7RUHj_h-qkAFL92bcVjtIdVa-UlsCw"", ""Interns!D:D""), 
   IMPORTRANGE(""1RdEdgHYrZ33LJ7RUHj_h-qkAFL92bcVjtIdVa-UlsCw"", ""Interns!N:N""), 
   ""Not Found"")"),"#Cheers4Careers")</f>
        <v>#Cheers4Careers</v>
      </c>
      <c r="AM858" s="23" t="str">
        <f>IFERROR(__xludf.DUMMYFUNCTION("XLOOKUP(C858, 
   IMPORTRANGE(""1RdEdgHYrZ33LJ7RUHj_h-qkAFL92bcVjtIdVa-UlsCw"", ""Interns!D:D""), 
   IMPORTRANGE(""1RdEdgHYrZ33LJ7RUHj_h-qkAFL92bcVjtIdVa-UlsCw"", ""Interns!O:O""), 
   ""Not Found"")"),"Hetal reached out by text 3/27 for #Cheers4Careers")</f>
        <v>Hetal reached out by text 3/27 for #Cheers4Careers</v>
      </c>
      <c r="AN858" s="23"/>
      <c r="AO858" s="23" t="s">
        <v>10750</v>
      </c>
      <c r="AP858" s="28" t="s">
        <v>5240</v>
      </c>
      <c r="AQ858" s="28" t="s">
        <v>10751</v>
      </c>
      <c r="AR858" s="23" t="s">
        <v>10752</v>
      </c>
      <c r="AS858" s="23"/>
      <c r="AT858" s="23"/>
      <c r="AU858" s="23"/>
      <c r="AV858" s="23"/>
    </row>
    <row r="859">
      <c r="A859" s="28" t="s">
        <v>5161</v>
      </c>
      <c r="B859" s="28" t="s">
        <v>5162</v>
      </c>
      <c r="C859" s="23" t="str">
        <f t="shared" si="1"/>
        <v>Daina Charles</v>
      </c>
      <c r="D859" s="28" t="s">
        <v>10753</v>
      </c>
      <c r="E859" s="28" t="s">
        <v>10754</v>
      </c>
      <c r="F859" s="23">
        <f t="array" ref="F859">IFERROR(
    INDEX('Hub Interns 226'!A:A, MATCH(C859, 'Hub Interns 226'!B:B, 0)),"")</f>
        <v>354</v>
      </c>
      <c r="G859" s="23">
        <f t="array" ref="G859">IFERROR(
    INDEX('Hub Users 226'!A:A, MATCH(C859, 'Hub Users 226'!B:B, 0)),"")</f>
        <v>787</v>
      </c>
      <c r="H859" s="28">
        <v>244.0</v>
      </c>
      <c r="I859" s="28" t="s">
        <v>260</v>
      </c>
      <c r="J859" s="28" t="s">
        <v>10019</v>
      </c>
      <c r="K859" s="28" t="s">
        <v>5177</v>
      </c>
      <c r="L859" s="28" t="s">
        <v>5196</v>
      </c>
      <c r="M859" s="56" t="s">
        <v>10755</v>
      </c>
      <c r="N859" s="59">
        <v>44133.79583333333</v>
      </c>
      <c r="O859" s="58">
        <v>36466.0</v>
      </c>
      <c r="P859" s="28">
        <f t="shared" si="22"/>
        <v>26</v>
      </c>
      <c r="Q859" s="28" t="s">
        <v>240</v>
      </c>
      <c r="R859" s="28" t="s">
        <v>10756</v>
      </c>
      <c r="S859" s="28">
        <v>9.0</v>
      </c>
      <c r="T859" s="28">
        <v>20.0</v>
      </c>
      <c r="U859" s="28">
        <v>43.0</v>
      </c>
      <c r="V859" s="28">
        <v>35.0</v>
      </c>
      <c r="W859" s="28" t="s">
        <v>294</v>
      </c>
      <c r="X859" s="28" t="s">
        <v>272</v>
      </c>
      <c r="Y859" s="28" t="s">
        <v>10757</v>
      </c>
      <c r="Z859" s="28" t="s">
        <v>5963</v>
      </c>
      <c r="AA859" s="28" t="s">
        <v>1923</v>
      </c>
      <c r="AB859" s="28">
        <v>1.0</v>
      </c>
      <c r="AC859" s="28" t="s">
        <v>25</v>
      </c>
      <c r="AD859" s="23"/>
      <c r="AE859" s="28" t="s">
        <v>8</v>
      </c>
      <c r="AF859" s="23" t="str">
        <f>IFERROR(__xludf.DUMMYFUNCTION("TEXTJOIN("", "", TRUE,
  FILTER(Champions!C:C,
    ISNUMBER(SEARCH(C859, Champions!W:W))
  )
)"),"Neeti Nayak, Nilesh Murthy, Yada Treesukosol")</f>
        <v>Neeti Nayak, Nilesh Murthy, Yada Treesukosol</v>
      </c>
      <c r="AG859" s="23"/>
      <c r="AH859" s="23" t="str">
        <f>IFERROR(__xludf.DUMMYFUNCTION("IF(
ISNUMBER(MATCH(
C859,
IMPORTRANGE(""https://docs.google.com/spreadsheets/d/1yTh1ELC33JHYOeEdgIiEclxPRyh0zOKtlawDltfUay8"",""'Interns'!A:A""),
0
)),
""Outreach Conducted"",
"""")"),"")</f>
        <v/>
      </c>
      <c r="AI859" s="23"/>
      <c r="AJ859" s="23"/>
      <c r="AK859" s="23" t="str">
        <f>IFERROR(__xludf.DUMMYFUNCTION("XLOOKUP(C859, 
   IMPORTRANGE(""1RdEdgHYrZ33LJ7RUHj_h-qkAFL92bcVjtIdVa-UlsCw"", ""Interns!D:D""), 
   IMPORTRANGE(""1RdEdgHYrZ33LJ7RUHj_h-qkAFL92bcVjtIdVa-UlsCw"", ""Interns!M:M""), 
   ""Not Found"")"),"")</f>
        <v/>
      </c>
      <c r="AL859" s="23" t="str">
        <f>IFERROR(__xludf.DUMMYFUNCTION("XLOOKUP(C859, 
   IMPORTRANGE(""1RdEdgHYrZ33LJ7RUHj_h-qkAFL92bcVjtIdVa-UlsCw"", ""Interns!D:D""), 
   IMPORTRANGE(""1RdEdgHYrZ33LJ7RUHj_h-qkAFL92bcVjtIdVa-UlsCw"", ""Interns!N:N""), 
   ""Not Found"")"),"")</f>
        <v/>
      </c>
      <c r="AM859" s="23" t="str">
        <f>IFERROR(__xludf.DUMMYFUNCTION("XLOOKUP(C859, 
   IMPORTRANGE(""1RdEdgHYrZ33LJ7RUHj_h-qkAFL92bcVjtIdVa-UlsCw"", ""Interns!D:D""), 
   IMPORTRANGE(""1RdEdgHYrZ33LJ7RUHj_h-qkAFL92bcVjtIdVa-UlsCw"", ""Interns!O:O""), 
   ""Not Found"")"),"")</f>
        <v/>
      </c>
      <c r="AN859" s="23"/>
      <c r="AO859" s="23" t="s">
        <v>10758</v>
      </c>
      <c r="AP859" s="28" t="s">
        <v>5191</v>
      </c>
      <c r="AQ859" s="28" t="s">
        <v>10759</v>
      </c>
      <c r="AR859" s="23" t="s">
        <v>10760</v>
      </c>
      <c r="AS859" s="28" t="s">
        <v>10761</v>
      </c>
      <c r="AT859" s="23"/>
      <c r="AU859" s="23"/>
      <c r="AV859" s="23"/>
    </row>
    <row r="860">
      <c r="A860" s="28" t="s">
        <v>5161</v>
      </c>
      <c r="B860" s="28" t="s">
        <v>5162</v>
      </c>
      <c r="C860" s="23" t="str">
        <f t="shared" si="1"/>
        <v>Sébastien Jeannot</v>
      </c>
      <c r="D860" s="28" t="s">
        <v>10762</v>
      </c>
      <c r="E860" s="28" t="s">
        <v>10763</v>
      </c>
      <c r="F860" s="23">
        <f t="array" ref="F860">IFERROR(
    INDEX('Hub Interns 226'!A:A, MATCH(C860, 'Hub Interns 226'!B:B, 0)),"")</f>
        <v>285</v>
      </c>
      <c r="G860" s="28">
        <v>718.0</v>
      </c>
      <c r="H860" s="28">
        <v>1431.0</v>
      </c>
      <c r="I860" s="28" t="s">
        <v>107</v>
      </c>
      <c r="J860" s="28" t="s">
        <v>10019</v>
      </c>
      <c r="K860" s="28" t="s">
        <v>5177</v>
      </c>
      <c r="L860" s="28" t="s">
        <v>5165</v>
      </c>
      <c r="M860" s="56" t="s">
        <v>10764</v>
      </c>
      <c r="N860" s="57">
        <v>44869.60138888889</v>
      </c>
      <c r="O860" s="58">
        <v>37935.0</v>
      </c>
      <c r="P860" s="28">
        <f t="shared" si="22"/>
        <v>22</v>
      </c>
      <c r="Q860" s="28" t="s">
        <v>240</v>
      </c>
      <c r="R860" s="28" t="s">
        <v>10765</v>
      </c>
      <c r="S860" s="28">
        <v>5.0</v>
      </c>
      <c r="T860" s="28">
        <v>14.0</v>
      </c>
      <c r="U860" s="28">
        <v>29.0</v>
      </c>
      <c r="V860" s="28">
        <v>31.0</v>
      </c>
      <c r="W860" s="28" t="s">
        <v>1173</v>
      </c>
      <c r="X860" s="28" t="s">
        <v>272</v>
      </c>
      <c r="Y860" s="28" t="s">
        <v>10766</v>
      </c>
      <c r="Z860" s="28" t="s">
        <v>5332</v>
      </c>
      <c r="AA860" s="28" t="s">
        <v>421</v>
      </c>
      <c r="AB860" s="28">
        <v>31.0</v>
      </c>
      <c r="AC860" s="28" t="s">
        <v>23</v>
      </c>
      <c r="AD860" s="23"/>
      <c r="AE860" s="28" t="s">
        <v>15</v>
      </c>
      <c r="AF860" s="23"/>
      <c r="AG860" s="23"/>
      <c r="AH860" s="23" t="str">
        <f>IFERROR(__xludf.DUMMYFUNCTION("IF(
ISNUMBER(MATCH(
C860,
IMPORTRANGE(""https://docs.google.com/spreadsheets/d/1yTh1ELC33JHYOeEdgIiEclxPRyh0zOKtlawDltfUay8"",""'Interns'!A:A""),
0
)),
""Outreach Conducted"",
"""")"),"")</f>
        <v/>
      </c>
      <c r="AI860" s="23"/>
      <c r="AJ860" s="23"/>
      <c r="AK860" s="23" t="str">
        <f>IFERROR(__xludf.DUMMYFUNCTION("XLOOKUP(C860, 
   IMPORTRANGE(""1RdEdgHYrZ33LJ7RUHj_h-qkAFL92bcVjtIdVa-UlsCw"", ""Interns!D:D""), 
   IMPORTRANGE(""1RdEdgHYrZ33LJ7RUHj_h-qkAFL92bcVjtIdVa-UlsCw"", ""Interns!M:M""), 
   ""Not Found"")"),"Contacted")</f>
        <v>Contacted</v>
      </c>
      <c r="AL860" s="23" t="str">
        <f>IFERROR(__xludf.DUMMYFUNCTION("XLOOKUP(C860, 
   IMPORTRANGE(""1RdEdgHYrZ33LJ7RUHj_h-qkAFL92bcVjtIdVa-UlsCw"", ""Interns!D:D""), 
   IMPORTRANGE(""1RdEdgHYrZ33LJ7RUHj_h-qkAFL92bcVjtIdVa-UlsCw"", ""Interns!N:N""), 
   ""Not Found"")"),"#Cheers4Careers")</f>
        <v>#Cheers4Careers</v>
      </c>
      <c r="AM860" s="23" t="str">
        <f>IFERROR(__xludf.DUMMYFUNCTION("XLOOKUP(C860, 
   IMPORTRANGE(""1RdEdgHYrZ33LJ7RUHj_h-qkAFL92bcVjtIdVa-UlsCw"", ""Interns!D:D""), 
   IMPORTRANGE(""1RdEdgHYrZ33LJ7RUHj_h-qkAFL92bcVjtIdVa-UlsCw"", ""Interns!O:O""), 
   ""Not Found"")"),"Hetal reached out March 27 for March #Cheers4 Careers and texted")</f>
        <v>Hetal reached out March 27 for March #Cheers4 Careers and texted</v>
      </c>
      <c r="AN860" s="23"/>
      <c r="AO860" s="23" t="s">
        <v>6433</v>
      </c>
      <c r="AP860" s="28" t="s">
        <v>5182</v>
      </c>
      <c r="AQ860" s="28"/>
      <c r="AR860" s="23"/>
      <c r="AS860" s="23"/>
      <c r="AT860" s="23"/>
      <c r="AU860" s="23"/>
      <c r="AV860" s="23"/>
    </row>
    <row r="861">
      <c r="A861" s="28" t="s">
        <v>5161</v>
      </c>
      <c r="B861" s="28" t="s">
        <v>5162</v>
      </c>
      <c r="C861" s="23" t="str">
        <f t="shared" si="1"/>
        <v>Blair Vales</v>
      </c>
      <c r="D861" s="28" t="s">
        <v>10767</v>
      </c>
      <c r="E861" s="28" t="s">
        <v>9079</v>
      </c>
      <c r="F861" s="23">
        <f t="array" ref="F861">IFERROR(
    INDEX('Hub Interns 226'!A:A, MATCH(C861, 'Hub Interns 226'!B:B, 0)),"")</f>
        <v>1170</v>
      </c>
      <c r="G861" s="23">
        <f t="array" ref="G861">IFERROR(
    INDEX('Hub Users 226'!A:A, MATCH(C861, 'Hub Users 226'!B:B, 0)),"")</f>
        <v>2059</v>
      </c>
      <c r="H861" s="28">
        <v>341.0</v>
      </c>
      <c r="I861" s="28" t="s">
        <v>260</v>
      </c>
      <c r="J861" s="28" t="s">
        <v>10019</v>
      </c>
      <c r="K861" s="28" t="s">
        <v>5177</v>
      </c>
      <c r="L861" s="28" t="s">
        <v>5165</v>
      </c>
      <c r="M861" s="56" t="s">
        <v>9080</v>
      </c>
      <c r="N861" s="57">
        <v>44244.50833333333</v>
      </c>
      <c r="O861" s="58">
        <v>38387.0</v>
      </c>
      <c r="P861" s="28">
        <f t="shared" si="22"/>
        <v>21</v>
      </c>
      <c r="Q861" s="28" t="s">
        <v>10768</v>
      </c>
      <c r="R861" s="28" t="s">
        <v>10769</v>
      </c>
      <c r="S861" s="28">
        <v>5.0</v>
      </c>
      <c r="T861" s="28">
        <v>10.0</v>
      </c>
      <c r="U861" s="28">
        <v>31.0</v>
      </c>
      <c r="V861" s="28">
        <v>31.0</v>
      </c>
      <c r="W861" s="28" t="s">
        <v>1173</v>
      </c>
      <c r="X861" s="28" t="s">
        <v>272</v>
      </c>
      <c r="Y861" s="28" t="s">
        <v>9083</v>
      </c>
      <c r="Z861" s="28" t="s">
        <v>5332</v>
      </c>
      <c r="AA861" s="28" t="s">
        <v>421</v>
      </c>
      <c r="AB861" s="28">
        <v>31.0</v>
      </c>
      <c r="AC861" s="28" t="s">
        <v>25</v>
      </c>
      <c r="AD861" s="28" t="s">
        <v>101</v>
      </c>
      <c r="AE861" s="28" t="s">
        <v>11</v>
      </c>
      <c r="AF861" s="23" t="str">
        <f>IFERROR(__xludf.DUMMYFUNCTION("TEXTJOIN("", "", TRUE,
  FILTER(Champions!C:C,
    ISNUMBER(SEARCH(C861, Champions!W:W))
  )
)"),"Adela Cimic, CHRISTINA BROOMES, Joan Marie Cadenhead, Mary Anne Maples, Niki Pham")</f>
        <v>Adela Cimic, CHRISTINA BROOMES, Joan Marie Cadenhead, Mary Anne Maples, Niki Pham</v>
      </c>
      <c r="AG861" s="26" t="s">
        <v>10770</v>
      </c>
      <c r="AH861" s="23" t="str">
        <f>IFERROR(__xludf.DUMMYFUNCTION("IF(
ISNUMBER(MATCH(
C861,
IMPORTRANGE(""https://docs.google.com/spreadsheets/d/1yTh1ELC33JHYOeEdgIiEclxPRyh0zOKtlawDltfUay8"",""'Interns'!A:A""),
0
)),
""Outreach Conducted"",
"""")"),"Outreach Conducted")</f>
        <v>Outreach Conducted</v>
      </c>
      <c r="AI861" s="23"/>
      <c r="AJ861" s="23"/>
      <c r="AK861" s="23" t="str">
        <f>IFERROR(__xludf.DUMMYFUNCTION("XLOOKUP(C861, 
   IMPORTRANGE(""1RdEdgHYrZ33LJ7RUHj_h-qkAFL92bcVjtIdVa-UlsCw"", ""Interns!D:D""), 
   IMPORTRANGE(""1RdEdgHYrZ33LJ7RUHj_h-qkAFL92bcVjtIdVa-UlsCw"", ""Interns!M:M""), 
   ""Not Found"")"),"Contacted")</f>
        <v>Contacted</v>
      </c>
      <c r="AL861" s="23" t="str">
        <f>IFERROR(__xludf.DUMMYFUNCTION("XLOOKUP(C861, 
   IMPORTRANGE(""1RdEdgHYrZ33LJ7RUHj_h-qkAFL92bcVjtIdVa-UlsCw"", ""Interns!D:D""), 
   IMPORTRANGE(""1RdEdgHYrZ33LJ7RUHj_h-qkAFL92bcVjtIdVa-UlsCw"", ""Interns!N:N""), 
   ""Not Found"")"),"#Cheers4Careers")</f>
        <v>#Cheers4Careers</v>
      </c>
      <c r="AM861" s="23" t="str">
        <f>IFERROR(__xludf.DUMMYFUNCTION("XLOOKUP(C861, 
   IMPORTRANGE(""1RdEdgHYrZ33LJ7RUHj_h-qkAFL92bcVjtIdVa-UlsCw"", ""Interns!D:D""), 
   IMPORTRANGE(""1RdEdgHYrZ33LJ7RUHj_h-qkAFL92bcVjtIdVa-UlsCw"", ""Interns!O:O""), 
   ""Not Found"")"),"Hetal reached out March 27 for March #Cheers4 Careers  and texted")</f>
        <v>Hetal reached out March 27 for March #Cheers4 Careers  and texted</v>
      </c>
      <c r="AN861" s="23"/>
      <c r="AO861" s="23" t="s">
        <v>9084</v>
      </c>
      <c r="AP861" s="28" t="s">
        <v>5182</v>
      </c>
      <c r="AQ861" s="28" t="s">
        <v>10771</v>
      </c>
      <c r="AR861" s="23" t="s">
        <v>10772</v>
      </c>
      <c r="AS861" s="28" t="s">
        <v>75</v>
      </c>
      <c r="AT861" s="23"/>
      <c r="AU861" s="23"/>
      <c r="AV861" s="23"/>
    </row>
    <row r="862">
      <c r="A862" s="28" t="s">
        <v>5161</v>
      </c>
      <c r="B862" s="28" t="s">
        <v>5162</v>
      </c>
      <c r="C862" s="23" t="str">
        <f t="shared" si="1"/>
        <v>Olivia Richmyr Paul Joseph</v>
      </c>
      <c r="D862" s="28" t="s">
        <v>10773</v>
      </c>
      <c r="E862" s="28" t="s">
        <v>10774</v>
      </c>
      <c r="F862" s="23">
        <f t="array" ref="F862">IFERROR(
    INDEX('Hub Interns 226'!A:A, MATCH(C862, 'Hub Interns 226'!B:B, 0)),"")</f>
        <v>991</v>
      </c>
      <c r="G862" s="23">
        <f t="array" ref="G862">IFERROR(
    INDEX('Hub Users 226'!A:A, MATCH(C862, 'Hub Users 226'!B:B, 0)),"")</f>
        <v>1424</v>
      </c>
      <c r="H862" s="28">
        <v>1489.0</v>
      </c>
      <c r="I862" s="28" t="s">
        <v>260</v>
      </c>
      <c r="J862" s="28" t="s">
        <v>10019</v>
      </c>
      <c r="K862" s="28" t="s">
        <v>5177</v>
      </c>
      <c r="L862" s="28" t="s">
        <v>5196</v>
      </c>
      <c r="M862" s="56" t="s">
        <v>10775</v>
      </c>
      <c r="N862" s="57">
        <v>44947.55069444444</v>
      </c>
      <c r="O862" s="58">
        <v>38583.0</v>
      </c>
      <c r="P862" s="28">
        <f t="shared" si="22"/>
        <v>20</v>
      </c>
      <c r="Q862" s="28" t="s">
        <v>10776</v>
      </c>
      <c r="R862" s="28" t="s">
        <v>10777</v>
      </c>
      <c r="S862" s="28">
        <v>5.0</v>
      </c>
      <c r="T862" s="28">
        <v>14.0</v>
      </c>
      <c r="U862" s="28">
        <v>33.0</v>
      </c>
      <c r="V862" s="28">
        <v>27.0</v>
      </c>
      <c r="W862" s="28" t="s">
        <v>1173</v>
      </c>
      <c r="X862" s="28" t="s">
        <v>272</v>
      </c>
      <c r="Y862" s="28" t="s">
        <v>10778</v>
      </c>
      <c r="Z862" s="28" t="s">
        <v>5332</v>
      </c>
      <c r="AA862" s="28" t="s">
        <v>421</v>
      </c>
      <c r="AB862" s="28">
        <v>31.0</v>
      </c>
      <c r="AC862" s="28" t="s">
        <v>25</v>
      </c>
      <c r="AD862" s="23"/>
      <c r="AE862" s="28" t="s">
        <v>15</v>
      </c>
      <c r="AF862" s="23" t="str">
        <f>IFERROR(__xludf.DUMMYFUNCTION("TEXTJOIN("", "", TRUE,
  FILTER(Champions!C:C,
    ISNUMBER(SEARCH(C862, Champions!W:W))
  )
)"),"Gisela Castaneda, Neha Singla")</f>
        <v>Gisela Castaneda, Neha Singla</v>
      </c>
      <c r="AG862" s="23"/>
      <c r="AH862" s="23" t="str">
        <f>IFERROR(__xludf.DUMMYFUNCTION("IF(
ISNUMBER(MATCH(
C862,
IMPORTRANGE(""https://docs.google.com/spreadsheets/d/1yTh1ELC33JHYOeEdgIiEclxPRyh0zOKtlawDltfUay8"",""'Interns'!A:A""),
0
)),
""Outreach Conducted"",
"""")"),"")</f>
        <v/>
      </c>
      <c r="AI862" s="23"/>
      <c r="AJ862" s="23"/>
      <c r="AK862" s="23" t="str">
        <f>IFERROR(__xludf.DUMMYFUNCTION("XLOOKUP(C862, 
   IMPORTRANGE(""1RdEdgHYrZ33LJ7RUHj_h-qkAFL92bcVjtIdVa-UlsCw"", ""Interns!D:D""), 
   IMPORTRANGE(""1RdEdgHYrZ33LJ7RUHj_h-qkAFL92bcVjtIdVa-UlsCw"", ""Interns!M:M""), 
   ""Not Found"")"),"Contacted")</f>
        <v>Contacted</v>
      </c>
      <c r="AL862" s="23" t="str">
        <f>IFERROR(__xludf.DUMMYFUNCTION("XLOOKUP(C862, 
   IMPORTRANGE(""1RdEdgHYrZ33LJ7RUHj_h-qkAFL92bcVjtIdVa-UlsCw"", ""Interns!D:D""), 
   IMPORTRANGE(""1RdEdgHYrZ33LJ7RUHj_h-qkAFL92bcVjtIdVa-UlsCw"", ""Interns!N:N""), 
   ""Not Found"")"),"#Cheers4Careers")</f>
        <v>#Cheers4Careers</v>
      </c>
      <c r="AM862" s="23" t="str">
        <f>IFERROR(__xludf.DUMMYFUNCTION("XLOOKUP(C862, 
   IMPORTRANGE(""1RdEdgHYrZ33LJ7RUHj_h-qkAFL92bcVjtIdVa-UlsCw"", ""Interns!D:D""), 
   IMPORTRANGE(""1RdEdgHYrZ33LJ7RUHj_h-qkAFL92bcVjtIdVa-UlsCw"", ""Interns!O:O""), 
   ""Not Found"")"),"Hetal reached out March 27 for March #Cheers4 Careers  and texted")</f>
        <v>Hetal reached out March 27 for March #Cheers4 Careers  and texted</v>
      </c>
      <c r="AN862" s="23"/>
      <c r="AO862" s="23" t="s">
        <v>10779</v>
      </c>
      <c r="AP862" s="28" t="s">
        <v>5989</v>
      </c>
      <c r="AQ862" s="28" t="s">
        <v>10775</v>
      </c>
      <c r="AR862" s="23" t="s">
        <v>10780</v>
      </c>
      <c r="AS862" s="23"/>
      <c r="AT862" s="23"/>
      <c r="AU862" s="23"/>
      <c r="AV862" s="23"/>
    </row>
    <row r="863">
      <c r="A863" s="28" t="s">
        <v>5161</v>
      </c>
      <c r="B863" s="28" t="s">
        <v>5162</v>
      </c>
      <c r="C863" s="23" t="str">
        <f t="shared" si="1"/>
        <v>Ricaldyne Saturne</v>
      </c>
      <c r="D863" s="28" t="s">
        <v>10781</v>
      </c>
      <c r="E863" s="28" t="s">
        <v>10782</v>
      </c>
      <c r="F863" s="23">
        <f t="array" ref="F863">IFERROR(
    INDEX('Hub Interns 226'!A:A, MATCH(C863, 'Hub Interns 226'!B:B, 0)),"")</f>
        <v>1026</v>
      </c>
      <c r="G863" s="23">
        <f t="array" ref="G863">IFERROR(
    INDEX('Hub Users 226'!A:A, MATCH(C863, 'Hub Users 226'!B:B, 0)),"")</f>
        <v>1459</v>
      </c>
      <c r="H863" s="28">
        <v>696.0</v>
      </c>
      <c r="I863" s="28" t="s">
        <v>260</v>
      </c>
      <c r="J863" s="28" t="s">
        <v>10019</v>
      </c>
      <c r="K863" s="28" t="s">
        <v>5177</v>
      </c>
      <c r="L863" s="28" t="s">
        <v>5196</v>
      </c>
      <c r="M863" s="56" t="s">
        <v>10783</v>
      </c>
      <c r="N863" s="59">
        <v>44546.55972222222</v>
      </c>
      <c r="O863" s="58">
        <v>38607.0</v>
      </c>
      <c r="P863" s="28">
        <f t="shared" si="22"/>
        <v>20</v>
      </c>
      <c r="Q863" s="28" t="s">
        <v>240</v>
      </c>
      <c r="R863" s="28" t="s">
        <v>10784</v>
      </c>
      <c r="S863" s="28">
        <v>9.0</v>
      </c>
      <c r="T863" s="28">
        <v>21.0</v>
      </c>
      <c r="U863" s="28">
        <v>42.0</v>
      </c>
      <c r="V863" s="28">
        <v>2.0</v>
      </c>
      <c r="W863" s="28" t="s">
        <v>271</v>
      </c>
      <c r="X863" s="28" t="s">
        <v>272</v>
      </c>
      <c r="Y863" s="28" t="s">
        <v>10785</v>
      </c>
      <c r="Z863" s="28" t="s">
        <v>5386</v>
      </c>
      <c r="AA863" s="28" t="s">
        <v>1887</v>
      </c>
      <c r="AB863" s="28">
        <v>47.0</v>
      </c>
      <c r="AC863" s="28" t="s">
        <v>25</v>
      </c>
      <c r="AD863" s="23"/>
      <c r="AE863" s="28" t="s">
        <v>10</v>
      </c>
      <c r="AF863" s="23" t="str">
        <f>IFERROR(__xludf.DUMMYFUNCTION("TEXTJOIN("", "", TRUE,
  FILTER(Champions!C:C,
    ISNUMBER(SEARCH(C863, Champions!W:W))
  )
)"),"Abhishek Mehta, Kadiatou (Kady) Sylla")</f>
        <v>Abhishek Mehta, Kadiatou (Kady) Sylla</v>
      </c>
      <c r="AG863" s="23"/>
      <c r="AH863" s="23" t="str">
        <f>IFERROR(__xludf.DUMMYFUNCTION("IF(
ISNUMBER(MATCH(
C863,
IMPORTRANGE(""https://docs.google.com/spreadsheets/d/1yTh1ELC33JHYOeEdgIiEclxPRyh0zOKtlawDltfUay8"",""'Interns'!A:A""),
0
)),
""Outreach Conducted"",
"""")"),"")</f>
        <v/>
      </c>
      <c r="AI863" s="23"/>
      <c r="AJ863" s="23"/>
      <c r="AK863" s="23" t="str">
        <f>IFERROR(__xludf.DUMMYFUNCTION("XLOOKUP(C863, 
   IMPORTRANGE(""1RdEdgHYrZ33LJ7RUHj_h-qkAFL92bcVjtIdVa-UlsCw"", ""Interns!D:D""), 
   IMPORTRANGE(""1RdEdgHYrZ33LJ7RUHj_h-qkAFL92bcVjtIdVa-UlsCw"", ""Interns!M:M""), 
   ""Not Found"")"),"Contacted")</f>
        <v>Contacted</v>
      </c>
      <c r="AL863" s="23" t="str">
        <f>IFERROR(__xludf.DUMMYFUNCTION("XLOOKUP(C863, 
   IMPORTRANGE(""1RdEdgHYrZ33LJ7RUHj_h-qkAFL92bcVjtIdVa-UlsCw"", ""Interns!D:D""), 
   IMPORTRANGE(""1RdEdgHYrZ33LJ7RUHj_h-qkAFL92bcVjtIdVa-UlsCw"", ""Interns!N:N""), 
   ""Not Found"")"),"#Cheers4Careers")</f>
        <v>#Cheers4Careers</v>
      </c>
      <c r="AM863" s="23" t="str">
        <f>IFERROR(__xludf.DUMMYFUNCTION("XLOOKUP(C863, 
   IMPORTRANGE(""1RdEdgHYrZ33LJ7RUHj_h-qkAFL92bcVjtIdVa-UlsCw"", ""Interns!D:D""), 
   IMPORTRANGE(""1RdEdgHYrZ33LJ7RUHj_h-qkAFL92bcVjtIdVa-UlsCw"", ""Interns!O:O""), 
   ""Not Found"")"),"Hetal reached out by email 3/27")</f>
        <v>Hetal reached out by email 3/27</v>
      </c>
      <c r="AN863" s="23"/>
      <c r="AO863" s="23" t="s">
        <v>10786</v>
      </c>
      <c r="AP863" s="28" t="s">
        <v>5191</v>
      </c>
      <c r="AQ863" s="28" t="s">
        <v>10783</v>
      </c>
      <c r="AR863" s="23" t="s">
        <v>10787</v>
      </c>
      <c r="AS863" s="23"/>
      <c r="AT863" s="23"/>
      <c r="AU863" s="23"/>
      <c r="AV863" s="23"/>
    </row>
    <row r="864">
      <c r="A864" s="28" t="s">
        <v>5161</v>
      </c>
      <c r="B864" s="28" t="s">
        <v>5162</v>
      </c>
      <c r="C864" s="23" t="str">
        <f t="shared" si="1"/>
        <v>Emmanuel Rezil</v>
      </c>
      <c r="D864" s="28" t="s">
        <v>9859</v>
      </c>
      <c r="E864" s="28" t="s">
        <v>9860</v>
      </c>
      <c r="F864" s="23">
        <f t="array" ref="F864">IFERROR(
    INDEX('Hub Interns 226'!A:A, MATCH(C864, 'Hub Interns 226'!B:B, 0)),"")</f>
        <v>41</v>
      </c>
      <c r="G864" s="23">
        <f t="array" ref="G864">IFERROR(
    INDEX('Hub Users 226'!A:A, MATCH(C864, 'Hub Users 226'!B:B, 0)),"")</f>
        <v>474</v>
      </c>
      <c r="H864" s="28">
        <v>716.0</v>
      </c>
      <c r="I864" s="28" t="s">
        <v>290</v>
      </c>
      <c r="J864" s="28" t="s">
        <v>10019</v>
      </c>
      <c r="K864" s="28" t="s">
        <v>5177</v>
      </c>
      <c r="L864" s="28" t="s">
        <v>5165</v>
      </c>
      <c r="M864" s="56" t="s">
        <v>9861</v>
      </c>
      <c r="N864" s="59">
        <v>44547.64375</v>
      </c>
      <c r="O864" s="58">
        <v>38607.0</v>
      </c>
      <c r="P864" s="28">
        <f t="shared" si="22"/>
        <v>20</v>
      </c>
      <c r="Q864" s="28" t="s">
        <v>240</v>
      </c>
      <c r="R864" s="28" t="s">
        <v>9862</v>
      </c>
      <c r="S864" s="28">
        <v>9.0</v>
      </c>
      <c r="T864" s="28">
        <v>21.0</v>
      </c>
      <c r="U864" s="28">
        <v>42.0</v>
      </c>
      <c r="V864" s="28">
        <v>45.0</v>
      </c>
      <c r="W864" s="28" t="s">
        <v>294</v>
      </c>
      <c r="X864" s="28" t="s">
        <v>272</v>
      </c>
      <c r="Y864" s="28" t="s">
        <v>9863</v>
      </c>
      <c r="Z864" s="28" t="s">
        <v>5259</v>
      </c>
      <c r="AA864" s="28" t="s">
        <v>704</v>
      </c>
      <c r="AB864" s="28">
        <v>2.0</v>
      </c>
      <c r="AC864" s="28" t="s">
        <v>25</v>
      </c>
      <c r="AD864" s="23"/>
      <c r="AE864" s="28" t="s">
        <v>10</v>
      </c>
      <c r="AF864" s="23" t="str">
        <f>IFERROR(__xludf.DUMMYFUNCTION("TEXTJOIN("", "", TRUE,
  FILTER(Champions!C:C,
    ISNUMBER(SEARCH(C864, Champions!W:W))
  )
)"),"Lien Nguyen, Sharon Shi")</f>
        <v>Lien Nguyen, Sharon Shi</v>
      </c>
      <c r="AG864" s="23"/>
      <c r="AH864" s="23" t="str">
        <f>IFERROR(__xludf.DUMMYFUNCTION("IF(
ISNUMBER(MATCH(
C864,
IMPORTRANGE(""https://docs.google.com/spreadsheets/d/1yTh1ELC33JHYOeEdgIiEclxPRyh0zOKtlawDltfUay8"",""'Interns'!A:A""),
0
)),
""Outreach Conducted"",
"""")"),"")</f>
        <v/>
      </c>
      <c r="AI864" s="23"/>
      <c r="AJ864" s="23"/>
      <c r="AK864" s="23" t="str">
        <f>IFERROR(__xludf.DUMMYFUNCTION("XLOOKUP(C864, 
   IMPORTRANGE(""1RdEdgHYrZ33LJ7RUHj_h-qkAFL92bcVjtIdVa-UlsCw"", ""Interns!D:D""), 
   IMPORTRANGE(""1RdEdgHYrZ33LJ7RUHj_h-qkAFL92bcVjtIdVa-UlsCw"", ""Interns!M:M""), 
   ""Not Found"")"),"")</f>
        <v/>
      </c>
      <c r="AL864" s="23" t="str">
        <f>IFERROR(__xludf.DUMMYFUNCTION("XLOOKUP(C864, 
   IMPORTRANGE(""1RdEdgHYrZ33LJ7RUHj_h-qkAFL92bcVjtIdVa-UlsCw"", ""Interns!D:D""), 
   IMPORTRANGE(""1RdEdgHYrZ33LJ7RUHj_h-qkAFL92bcVjtIdVa-UlsCw"", ""Interns!N:N""), 
   ""Not Found"")"),"")</f>
        <v/>
      </c>
      <c r="AM864" s="23" t="str">
        <f>IFERROR(__xludf.DUMMYFUNCTION("XLOOKUP(C864, 
   IMPORTRANGE(""1RdEdgHYrZ33LJ7RUHj_h-qkAFL92bcVjtIdVa-UlsCw"", ""Interns!D:D""), 
   IMPORTRANGE(""1RdEdgHYrZ33LJ7RUHj_h-qkAFL92bcVjtIdVa-UlsCw"", ""Interns!O:O""), 
   ""Not Found"")"),"")</f>
        <v/>
      </c>
      <c r="AN864" s="23"/>
      <c r="AO864" s="23" t="s">
        <v>9864</v>
      </c>
      <c r="AP864" s="28" t="s">
        <v>5191</v>
      </c>
      <c r="AQ864" s="28" t="s">
        <v>9865</v>
      </c>
      <c r="AR864" s="23" t="s">
        <v>9866</v>
      </c>
      <c r="AS864" s="23"/>
      <c r="AT864" s="23"/>
      <c r="AU864" s="23"/>
      <c r="AV864" s="23"/>
    </row>
    <row r="865">
      <c r="A865" s="28" t="s">
        <v>5202</v>
      </c>
      <c r="B865" s="28" t="s">
        <v>5162</v>
      </c>
      <c r="C865" s="23" t="str">
        <f t="shared" si="1"/>
        <v>Denuar Batiz</v>
      </c>
      <c r="D865" s="28" t="s">
        <v>10788</v>
      </c>
      <c r="E865" s="28" t="s">
        <v>10789</v>
      </c>
      <c r="F865" s="23">
        <f t="array" ref="F865">IFERROR(
    INDEX('Hub Interns 226'!A:A, MATCH(C865, 'Hub Interns 226'!B:B, 0)),"")</f>
        <v>432</v>
      </c>
      <c r="G865" s="23">
        <f t="array" ref="G865">IFERROR(
    INDEX('Hub Users 226'!A:A, MATCH(C865, 'Hub Users 226'!B:B, 0)),"")</f>
        <v>865</v>
      </c>
      <c r="H865" s="28">
        <v>461.0</v>
      </c>
      <c r="I865" s="28" t="s">
        <v>269</v>
      </c>
      <c r="J865" s="28" t="s">
        <v>5176</v>
      </c>
      <c r="K865" s="28" t="s">
        <v>5177</v>
      </c>
      <c r="L865" s="28" t="s">
        <v>5165</v>
      </c>
      <c r="M865" s="56" t="s">
        <v>10790</v>
      </c>
      <c r="N865" s="57">
        <v>44356.95277777778</v>
      </c>
      <c r="O865" s="58">
        <v>37898.0</v>
      </c>
      <c r="P865" s="28">
        <f t="shared" si="22"/>
        <v>22</v>
      </c>
      <c r="Q865" s="28" t="s">
        <v>10791</v>
      </c>
      <c r="R865" s="28" t="s">
        <v>10792</v>
      </c>
      <c r="S865" s="28">
        <v>13.0</v>
      </c>
      <c r="T865" s="28">
        <v>31.0</v>
      </c>
      <c r="U865" s="28">
        <v>81.0</v>
      </c>
      <c r="V865" s="28">
        <v>11.0</v>
      </c>
      <c r="W865" s="28" t="s">
        <v>859</v>
      </c>
      <c r="X865" s="28" t="s">
        <v>272</v>
      </c>
      <c r="Y865" s="28" t="s">
        <v>10793</v>
      </c>
      <c r="Z865" s="28" t="s">
        <v>5435</v>
      </c>
      <c r="AA865" s="28" t="s">
        <v>5436</v>
      </c>
      <c r="AB865" s="28">
        <v>10.0</v>
      </c>
      <c r="AC865" s="28" t="s">
        <v>25</v>
      </c>
      <c r="AD865" s="23"/>
      <c r="AE865" s="28" t="s">
        <v>10</v>
      </c>
      <c r="AF865" s="23" t="str">
        <f>IFERROR(__xludf.DUMMYFUNCTION("TEXTJOIN("", "", TRUE,
  FILTER(Champions!C:C,
    ISNUMBER(SEARCH(C865, Champions!W:W))
  )
)"),"Enrique Linan, Romina Tome")</f>
        <v>Enrique Linan, Romina Tome</v>
      </c>
      <c r="AG865" s="23"/>
      <c r="AH865" s="23" t="str">
        <f>IFERROR(__xludf.DUMMYFUNCTION("IF(
ISNUMBER(MATCH(
C865,
IMPORTRANGE(""https://docs.google.com/spreadsheets/d/1yTh1ELC33JHYOeEdgIiEclxPRyh0zOKtlawDltfUay8"",""'Interns'!A:A""),
0
)),
""Outreach Conducted"",
"""")"),"")</f>
        <v/>
      </c>
      <c r="AI865" s="23"/>
      <c r="AJ865" s="23"/>
      <c r="AK865" s="23" t="str">
        <f>IFERROR(__xludf.DUMMYFUNCTION("XLOOKUP(C865, 
   IMPORTRANGE(""1RdEdgHYrZ33LJ7RUHj_h-qkAFL92bcVjtIdVa-UlsCw"", ""Interns!D:D""), 
   IMPORTRANGE(""1RdEdgHYrZ33LJ7RUHj_h-qkAFL92bcVjtIdVa-UlsCw"", ""Interns!M:M""), 
   ""Not Found"")"),"")</f>
        <v/>
      </c>
      <c r="AL865" s="23" t="str">
        <f>IFERROR(__xludf.DUMMYFUNCTION("XLOOKUP(C865, 
   IMPORTRANGE(""1RdEdgHYrZ33LJ7RUHj_h-qkAFL92bcVjtIdVa-UlsCw"", ""Interns!D:D""), 
   IMPORTRANGE(""1RdEdgHYrZ33LJ7RUHj_h-qkAFL92bcVjtIdVa-UlsCw"", ""Interns!N:N""), 
   ""Not Found"")"),"")</f>
        <v/>
      </c>
      <c r="AM865" s="23" t="str">
        <f>IFERROR(__xludf.DUMMYFUNCTION("XLOOKUP(C865, 
   IMPORTRANGE(""1RdEdgHYrZ33LJ7RUHj_h-qkAFL92bcVjtIdVa-UlsCw"", ""Interns!D:D""), 
   IMPORTRANGE(""1RdEdgHYrZ33LJ7RUHj_h-qkAFL92bcVjtIdVa-UlsCw"", ""Interns!O:O""), 
   ""Not Found"")"),"")</f>
        <v/>
      </c>
      <c r="AN865" s="23"/>
      <c r="AO865" s="23" t="s">
        <v>10794</v>
      </c>
      <c r="AP865" s="28" t="s">
        <v>5182</v>
      </c>
      <c r="AQ865" s="28" t="s">
        <v>10795</v>
      </c>
      <c r="AR865" s="23" t="s">
        <v>10796</v>
      </c>
      <c r="AS865" s="23"/>
      <c r="AT865" s="23"/>
      <c r="AU865" s="23"/>
      <c r="AV865" s="23"/>
    </row>
    <row r="866">
      <c r="A866" s="28" t="s">
        <v>5161</v>
      </c>
      <c r="B866" s="28" t="s">
        <v>5162</v>
      </c>
      <c r="C866" s="23" t="str">
        <f t="shared" si="1"/>
        <v>Myrny St Vil</v>
      </c>
      <c r="D866" s="28" t="s">
        <v>10797</v>
      </c>
      <c r="E866" s="28" t="s">
        <v>10798</v>
      </c>
      <c r="F866" s="23">
        <f t="array" ref="F866">IFERROR(
    INDEX('Hub Interns 226'!A:A, MATCH(C866, 'Hub Interns 226'!B:B, 0)),"")</f>
        <v>1128</v>
      </c>
      <c r="G866" s="23">
        <f t="array" ref="G866">IFERROR(
    INDEX('Hub Users 226'!A:A, MATCH(C866, 'Hub Users 226'!B:B, 0)),"")</f>
        <v>1561</v>
      </c>
      <c r="H866" s="28">
        <v>792.0</v>
      </c>
      <c r="I866" s="28" t="s">
        <v>260</v>
      </c>
      <c r="J866" s="28" t="s">
        <v>10019</v>
      </c>
      <c r="K866" s="28" t="s">
        <v>5177</v>
      </c>
      <c r="L866" s="28" t="s">
        <v>5196</v>
      </c>
      <c r="M866" s="56" t="s">
        <v>10799</v>
      </c>
      <c r="N866" s="57">
        <v>44565.381944444445</v>
      </c>
      <c r="O866" s="58">
        <v>38778.0</v>
      </c>
      <c r="P866" s="28">
        <f t="shared" si="22"/>
        <v>20</v>
      </c>
      <c r="Q866" s="28" t="s">
        <v>10800</v>
      </c>
      <c r="R866" s="28" t="s">
        <v>10801</v>
      </c>
      <c r="S866" s="28">
        <v>9.0</v>
      </c>
      <c r="T866" s="28">
        <v>20.0</v>
      </c>
      <c r="U866" s="28">
        <v>43.0</v>
      </c>
      <c r="V866" s="28">
        <v>35.0</v>
      </c>
      <c r="W866" s="28" t="s">
        <v>294</v>
      </c>
      <c r="X866" s="28" t="s">
        <v>272</v>
      </c>
      <c r="Y866" s="28" t="s">
        <v>10802</v>
      </c>
      <c r="Z866" s="28" t="s">
        <v>5483</v>
      </c>
      <c r="AA866" s="28" t="s">
        <v>457</v>
      </c>
      <c r="AB866" s="28">
        <v>25.0</v>
      </c>
      <c r="AC866" s="28" t="s">
        <v>25</v>
      </c>
      <c r="AD866" s="23"/>
      <c r="AE866" s="28" t="s">
        <v>10</v>
      </c>
      <c r="AF866" s="23" t="str">
        <f>IFERROR(__xludf.DUMMYFUNCTION("TEXTJOIN("", "", TRUE,
  FILTER(Champions!C:C,
    ISNUMBER(SEARCH(C866, Champions!W:W))
  )
)"),"Pritika Kumar, Wilson Antoine")</f>
        <v>Pritika Kumar, Wilson Antoine</v>
      </c>
      <c r="AG866" s="23"/>
      <c r="AH866" s="23" t="str">
        <f>IFERROR(__xludf.DUMMYFUNCTION("IF(
ISNUMBER(MATCH(
C866,
IMPORTRANGE(""https://docs.google.com/spreadsheets/d/1yTh1ELC33JHYOeEdgIiEclxPRyh0zOKtlawDltfUay8"",""'Interns'!A:A""),
0
)),
""Outreach Conducted"",
"""")"),"")</f>
        <v/>
      </c>
      <c r="AI866" s="23"/>
      <c r="AJ866" s="23"/>
      <c r="AK866" s="23" t="str">
        <f>IFERROR(__xludf.DUMMYFUNCTION("XLOOKUP(C866, 
   IMPORTRANGE(""1RdEdgHYrZ33LJ7RUHj_h-qkAFL92bcVjtIdVa-UlsCw"", ""Interns!D:D""), 
   IMPORTRANGE(""1RdEdgHYrZ33LJ7RUHj_h-qkAFL92bcVjtIdVa-UlsCw"", ""Interns!M:M""), 
   ""Not Found"")"),"Contacted")</f>
        <v>Contacted</v>
      </c>
      <c r="AL866" s="23" t="str">
        <f>IFERROR(__xludf.DUMMYFUNCTION("XLOOKUP(C866, 
   IMPORTRANGE(""1RdEdgHYrZ33LJ7RUHj_h-qkAFL92bcVjtIdVa-UlsCw"", ""Interns!D:D""), 
   IMPORTRANGE(""1RdEdgHYrZ33LJ7RUHj_h-qkAFL92bcVjtIdVa-UlsCw"", ""Interns!N:N""), 
   ""Not Found"")"),"#Cheers4Careers")</f>
        <v>#Cheers4Careers</v>
      </c>
      <c r="AM866" s="23" t="str">
        <f>IFERROR(__xludf.DUMMYFUNCTION("XLOOKUP(C866, 
   IMPORTRANGE(""1RdEdgHYrZ33LJ7RUHj_h-qkAFL92bcVjtIdVa-UlsCw"", ""Interns!D:D""), 
   IMPORTRANGE(""1RdEdgHYrZ33LJ7RUHj_h-qkAFL92bcVjtIdVa-UlsCw"", ""Interns!O:O""), 
   ""Not Found"")"),"Hetal reached out by email 3/27")</f>
        <v>Hetal reached out by email 3/27</v>
      </c>
      <c r="AN866" s="23"/>
      <c r="AO866" s="23" t="s">
        <v>10803</v>
      </c>
      <c r="AP866" s="28" t="s">
        <v>5191</v>
      </c>
      <c r="AQ866" s="28" t="s">
        <v>10804</v>
      </c>
      <c r="AR866" s="23" t="s">
        <v>10805</v>
      </c>
      <c r="AS866" s="23"/>
      <c r="AT866" s="23"/>
      <c r="AU866" s="23"/>
      <c r="AV866" s="23"/>
    </row>
    <row r="867">
      <c r="A867" s="28" t="s">
        <v>5161</v>
      </c>
      <c r="B867" s="28" t="s">
        <v>5162</v>
      </c>
      <c r="C867" s="23" t="str">
        <f t="shared" si="1"/>
        <v>Michelove jeanbaptiste</v>
      </c>
      <c r="D867" s="28" t="s">
        <v>10806</v>
      </c>
      <c r="E867" s="28" t="s">
        <v>10807</v>
      </c>
      <c r="F867" s="23">
        <f t="array" ref="F867">IFERROR(
    INDEX('Hub Interns 226'!A:A, MATCH(C867, 'Hub Interns 226'!B:B, 0)),"")</f>
        <v>893</v>
      </c>
      <c r="G867" s="23">
        <f t="array" ref="G867">IFERROR(
    INDEX('Hub Users 226'!A:A, MATCH(C867, 'Hub Users 226'!B:B, 0)),"")</f>
        <v>1326</v>
      </c>
      <c r="H867" s="28">
        <v>687.0</v>
      </c>
      <c r="I867" s="28" t="s">
        <v>290</v>
      </c>
      <c r="J867" s="28" t="s">
        <v>10019</v>
      </c>
      <c r="K867" s="28" t="s">
        <v>5177</v>
      </c>
      <c r="L867" s="28" t="s">
        <v>5196</v>
      </c>
      <c r="M867" s="56" t="s">
        <v>10808</v>
      </c>
      <c r="N867" s="59">
        <v>44546.552777777775</v>
      </c>
      <c r="O867" s="58">
        <v>38887.0</v>
      </c>
      <c r="P867" s="28">
        <f t="shared" si="22"/>
        <v>19</v>
      </c>
      <c r="Q867" s="28" t="s">
        <v>240</v>
      </c>
      <c r="R867" s="28" t="s">
        <v>10809</v>
      </c>
      <c r="S867" s="28">
        <v>9.0</v>
      </c>
      <c r="T867" s="28">
        <v>21.0</v>
      </c>
      <c r="U867" s="28">
        <v>42.0</v>
      </c>
      <c r="V867" s="28">
        <v>40.0</v>
      </c>
      <c r="W867" s="28" t="s">
        <v>294</v>
      </c>
      <c r="X867" s="28" t="s">
        <v>272</v>
      </c>
      <c r="Y867" s="28" t="s">
        <v>10810</v>
      </c>
      <c r="Z867" s="28" t="s">
        <v>5386</v>
      </c>
      <c r="AA867" s="28" t="s">
        <v>1887</v>
      </c>
      <c r="AB867" s="28">
        <v>47.0</v>
      </c>
      <c r="AC867" s="28" t="s">
        <v>25</v>
      </c>
      <c r="AD867" s="23"/>
      <c r="AE867" s="28" t="s">
        <v>10</v>
      </c>
      <c r="AF867" s="23" t="str">
        <f>IFERROR(__xludf.DUMMYFUNCTION("TEXTJOIN("", "", TRUE,
  FILTER(Champions!C:C,
    ISNUMBER(SEARCH(C867, Champions!W:W))
  )
)"),"Kadiatou (Kady) Sylla, Maryana Ivlev")</f>
        <v>Kadiatou (Kady) Sylla, Maryana Ivlev</v>
      </c>
      <c r="AG867" s="23"/>
      <c r="AH867" s="23" t="str">
        <f>IFERROR(__xludf.DUMMYFUNCTION("IF(
ISNUMBER(MATCH(
C867,
IMPORTRANGE(""https://docs.google.com/spreadsheets/d/1yTh1ELC33JHYOeEdgIiEclxPRyh0zOKtlawDltfUay8"",""'Interns'!A:A""),
0
)),
""Outreach Conducted"",
"""")"),"")</f>
        <v/>
      </c>
      <c r="AI867" s="23"/>
      <c r="AJ867" s="23"/>
      <c r="AK867" s="23" t="str">
        <f>IFERROR(__xludf.DUMMYFUNCTION("XLOOKUP(C867, 
   IMPORTRANGE(""1RdEdgHYrZ33LJ7RUHj_h-qkAFL92bcVjtIdVa-UlsCw"", ""Interns!D:D""), 
   IMPORTRANGE(""1RdEdgHYrZ33LJ7RUHj_h-qkAFL92bcVjtIdVa-UlsCw"", ""Interns!M:M""), 
   ""Not Found"")"),"Contacted")</f>
        <v>Contacted</v>
      </c>
      <c r="AL867" s="23" t="str">
        <f>IFERROR(__xludf.DUMMYFUNCTION("XLOOKUP(C867, 
   IMPORTRANGE(""1RdEdgHYrZ33LJ7RUHj_h-qkAFL92bcVjtIdVa-UlsCw"", ""Interns!D:D""), 
   IMPORTRANGE(""1RdEdgHYrZ33LJ7RUHj_h-qkAFL92bcVjtIdVa-UlsCw"", ""Interns!N:N""), 
   ""Not Found"")"),"#Cheers4Careers")</f>
        <v>#Cheers4Careers</v>
      </c>
      <c r="AM867" s="23" t="str">
        <f>IFERROR(__xludf.DUMMYFUNCTION("XLOOKUP(C867, 
   IMPORTRANGE(""1RdEdgHYrZ33LJ7RUHj_h-qkAFL92bcVjtIdVa-UlsCw"", ""Interns!D:D""), 
   IMPORTRANGE(""1RdEdgHYrZ33LJ7RUHj_h-qkAFL92bcVjtIdVa-UlsCw"", ""Interns!O:O""), 
   ""Not Found"")"),"Hetal reached out by email 3/27")</f>
        <v>Hetal reached out by email 3/27</v>
      </c>
      <c r="AN867" s="23"/>
      <c r="AO867" s="23" t="s">
        <v>10811</v>
      </c>
      <c r="AP867" s="28" t="s">
        <v>5191</v>
      </c>
      <c r="AQ867" s="28" t="s">
        <v>10812</v>
      </c>
      <c r="AR867" s="23" t="s">
        <v>10813</v>
      </c>
      <c r="AS867" s="23"/>
      <c r="AT867" s="23"/>
      <c r="AU867" s="23"/>
      <c r="AV867" s="23"/>
    </row>
    <row r="868">
      <c r="A868" s="28" t="s">
        <v>5161</v>
      </c>
      <c r="B868" s="28" t="s">
        <v>5162</v>
      </c>
      <c r="C868" s="23" t="str">
        <f t="shared" si="1"/>
        <v>Mikhail Estiverne</v>
      </c>
      <c r="D868" s="22" t="s">
        <v>10814</v>
      </c>
      <c r="E868" s="22" t="s">
        <v>10815</v>
      </c>
      <c r="F868" s="23"/>
      <c r="G868" s="23"/>
      <c r="H868" s="22">
        <v>1929.0</v>
      </c>
      <c r="I868" s="28"/>
      <c r="J868" s="28" t="s">
        <v>10019</v>
      </c>
      <c r="K868" s="28" t="s">
        <v>5177</v>
      </c>
      <c r="L868" s="28" t="s">
        <v>5165</v>
      </c>
      <c r="M868" s="29" t="s">
        <v>10816</v>
      </c>
      <c r="N868" s="61">
        <v>45771.44375</v>
      </c>
      <c r="O868" s="25">
        <v>39872.0</v>
      </c>
      <c r="P868" s="28">
        <f t="shared" si="22"/>
        <v>17</v>
      </c>
      <c r="Q868" s="62" t="s">
        <v>240</v>
      </c>
      <c r="R868" s="22" t="s">
        <v>10817</v>
      </c>
      <c r="S868" s="28">
        <v>3.0</v>
      </c>
      <c r="T868" s="28">
        <v>11.0</v>
      </c>
      <c r="U868" s="28">
        <v>33.0</v>
      </c>
      <c r="V868" s="28">
        <v>23.0</v>
      </c>
      <c r="W868" s="28" t="s">
        <v>1173</v>
      </c>
      <c r="X868" s="28" t="s">
        <v>272</v>
      </c>
      <c r="Y868" s="22" t="s">
        <v>10818</v>
      </c>
      <c r="Z868" s="22" t="s">
        <v>7490</v>
      </c>
      <c r="AA868" s="28" t="s">
        <v>5659</v>
      </c>
      <c r="AB868" s="28">
        <v>23.0</v>
      </c>
      <c r="AC868" s="28" t="s">
        <v>23</v>
      </c>
      <c r="AD868" s="23"/>
      <c r="AE868" s="28" t="s">
        <v>19</v>
      </c>
      <c r="AF868" s="23"/>
      <c r="AG868" s="23"/>
      <c r="AH868" s="23" t="str">
        <f>IFERROR(__xludf.DUMMYFUNCTION("IF(
ISNUMBER(MATCH(
C868,
IMPORTRANGE(""https://docs.google.com/spreadsheets/d/1yTh1ELC33JHYOeEdgIiEclxPRyh0zOKtlawDltfUay8"",""'Interns'!A:A""),
0
)),
""Outreach Conducted"",
"""")"),"")</f>
        <v/>
      </c>
      <c r="AI868" s="23"/>
      <c r="AJ868" s="23"/>
      <c r="AK868" s="23"/>
      <c r="AL868" s="23" t="str">
        <f>IFERROR(__xludf.DUMMYFUNCTION("XLOOKUP(C868, 
   IMPORTRANGE(""1RdEdgHYrZ33LJ7RUHj_h-qkAFL92bcVjtIdVa-UlsCw"", ""Interns!D:D""), 
   IMPORTRANGE(""1RdEdgHYrZ33LJ7RUHj_h-qkAFL92bcVjtIdVa-UlsCw"", ""Interns!N:N""), 
   ""Not Found"")"),"#Cheers4Careers")</f>
        <v>#Cheers4Careers</v>
      </c>
      <c r="AM868" s="23" t="str">
        <f>IFERROR(__xludf.DUMMYFUNCTION("XLOOKUP(C868, 
   IMPORTRANGE(""1RdEdgHYrZ33LJ7RUHj_h-qkAFL92bcVjtIdVa-UlsCw"", ""Interns!D:D""), 
   IMPORTRANGE(""1RdEdgHYrZ33LJ7RUHj_h-qkAFL92bcVjtIdVa-UlsCw"", ""Interns!O:O""), 
   ""Not Found"")"),"Hetal reached out March 27 for March #Cheers4 Careers ")</f>
        <v>Hetal reached out March 27 for March #Cheers4 Careers </v>
      </c>
      <c r="AN868" s="23"/>
      <c r="AO868" s="23" t="s">
        <v>10819</v>
      </c>
      <c r="AP868" s="28" t="s">
        <v>5182</v>
      </c>
      <c r="AQ868" s="28" t="s">
        <v>10820</v>
      </c>
      <c r="AR868" s="23" t="s">
        <v>10821</v>
      </c>
      <c r="AS868" s="23"/>
      <c r="AT868" s="23"/>
      <c r="AU868" s="23"/>
      <c r="AV868" s="23"/>
    </row>
    <row r="869">
      <c r="A869" s="28" t="s">
        <v>5161</v>
      </c>
      <c r="B869" s="28" t="s">
        <v>5162</v>
      </c>
      <c r="C869" s="23" t="str">
        <f t="shared" si="1"/>
        <v>Patricia Jean Charles</v>
      </c>
      <c r="D869" s="28" t="s">
        <v>10822</v>
      </c>
      <c r="E869" s="28" t="s">
        <v>10823</v>
      </c>
      <c r="F869" s="23">
        <f t="array" ref="F869">IFERROR(
    INDEX('Hub Interns 226'!A:A, MATCH(C869, 'Hub Interns 226'!B:B, 0)),"")</f>
        <v>1104</v>
      </c>
      <c r="G869" s="23">
        <f t="array" ref="G869">IFERROR(
    INDEX('Hub Users 226'!A:A, MATCH(C869, 'Hub Users 226'!B:B, 0)),"")</f>
        <v>1537</v>
      </c>
      <c r="H869" s="28">
        <v>1357.0</v>
      </c>
      <c r="I869" s="28" t="s">
        <v>107</v>
      </c>
      <c r="J869" s="28" t="s">
        <v>10019</v>
      </c>
      <c r="K869" s="28" t="s">
        <v>5177</v>
      </c>
      <c r="L869" s="28" t="s">
        <v>5196</v>
      </c>
      <c r="M869" s="56" t="s">
        <v>10824</v>
      </c>
      <c r="N869" s="59">
        <v>44859.60208333333</v>
      </c>
      <c r="O869" s="58">
        <v>38006.0</v>
      </c>
      <c r="P869" s="28">
        <f t="shared" si="22"/>
        <v>22</v>
      </c>
      <c r="Q869" s="28" t="s">
        <v>240</v>
      </c>
      <c r="R869" s="28" t="s">
        <v>10825</v>
      </c>
      <c r="S869" s="28">
        <v>5.0</v>
      </c>
      <c r="T869" s="28">
        <v>11.0</v>
      </c>
      <c r="U869" s="28">
        <v>33.0</v>
      </c>
      <c r="V869" s="28">
        <v>23.0</v>
      </c>
      <c r="W869" s="28" t="s">
        <v>1173</v>
      </c>
      <c r="X869" s="28" t="s">
        <v>272</v>
      </c>
      <c r="Y869" s="28" t="s">
        <v>10826</v>
      </c>
      <c r="Z869" s="28" t="s">
        <v>5332</v>
      </c>
      <c r="AA869" s="28" t="s">
        <v>421</v>
      </c>
      <c r="AB869" s="28">
        <v>31.0</v>
      </c>
      <c r="AC869" s="28" t="s">
        <v>23</v>
      </c>
      <c r="AD869" s="28" t="s">
        <v>101</v>
      </c>
      <c r="AE869" s="28" t="s">
        <v>15</v>
      </c>
      <c r="AF869" s="23"/>
      <c r="AG869" s="23"/>
      <c r="AH869" s="23" t="str">
        <f>IFERROR(__xludf.DUMMYFUNCTION("IF(
ISNUMBER(MATCH(
C869,
IMPORTRANGE(""https://docs.google.com/spreadsheets/d/1yTh1ELC33JHYOeEdgIiEclxPRyh0zOKtlawDltfUay8"",""'Interns'!A:A""),
0
)),
""Outreach Conducted"",
"""")"),"")</f>
        <v/>
      </c>
      <c r="AI869" s="23"/>
      <c r="AJ869" s="23"/>
      <c r="AK869" s="23" t="str">
        <f>IFERROR(__xludf.DUMMYFUNCTION("XLOOKUP(C869, 
   IMPORTRANGE(""1RdEdgHYrZ33LJ7RUHj_h-qkAFL92bcVjtIdVa-UlsCw"", ""Interns!D:D""), 
   IMPORTRANGE(""1RdEdgHYrZ33LJ7RUHj_h-qkAFL92bcVjtIdVa-UlsCw"", ""Interns!M:M""), 
   ""Not Found"")"),"Contacted")</f>
        <v>Contacted</v>
      </c>
      <c r="AL869" s="23" t="str">
        <f>IFERROR(__xludf.DUMMYFUNCTION("XLOOKUP(C869, 
   IMPORTRANGE(""1RdEdgHYrZ33LJ7RUHj_h-qkAFL92bcVjtIdVa-UlsCw"", ""Interns!D:D""), 
   IMPORTRANGE(""1RdEdgHYrZ33LJ7RUHj_h-qkAFL92bcVjtIdVa-UlsCw"", ""Interns!N:N""), 
   ""Not Found"")"),"#Cheers4Careers")</f>
        <v>#Cheers4Careers</v>
      </c>
      <c r="AM869" s="23" t="str">
        <f>IFERROR(__xludf.DUMMYFUNCTION("XLOOKUP(C869, 
   IMPORTRANGE(""1RdEdgHYrZ33LJ7RUHj_h-qkAFL92bcVjtIdVa-UlsCw"", ""Interns!D:D""), 
   IMPORTRANGE(""1RdEdgHYrZ33LJ7RUHj_h-qkAFL92bcVjtIdVa-UlsCw"", ""Interns!O:O""), 
   ""Not Found"")"),"Hetal reached out March 27 for March #Cheers4 Careers  and texted")</f>
        <v>Hetal reached out March 27 for March #Cheers4 Careers  and texted</v>
      </c>
      <c r="AN869" s="23"/>
      <c r="AO869" s="23" t="s">
        <v>10827</v>
      </c>
      <c r="AP869" s="28" t="s">
        <v>5173</v>
      </c>
      <c r="AQ869" s="28"/>
      <c r="AR869" s="23"/>
      <c r="AS869" s="28" t="s">
        <v>10828</v>
      </c>
      <c r="AT869" s="23"/>
      <c r="AU869" s="23"/>
      <c r="AV869" s="23"/>
    </row>
    <row r="870">
      <c r="A870" s="28" t="s">
        <v>5161</v>
      </c>
      <c r="B870" s="28" t="s">
        <v>5162</v>
      </c>
      <c r="C870" s="23" t="str">
        <f t="shared" si="1"/>
        <v>Karyn Jean Jacques</v>
      </c>
      <c r="D870" s="28" t="s">
        <v>10829</v>
      </c>
      <c r="E870" s="28" t="s">
        <v>10830</v>
      </c>
      <c r="F870" s="23" t="str">
        <f t="array" ref="F870">IFERROR(
    INDEX('Hub Interns 226'!A:A, MATCH(C870, 'Hub Interns 226'!B:B, 0)),"")</f>
        <v/>
      </c>
      <c r="G870" s="23" t="str">
        <f t="array" ref="G870">IFERROR(
    INDEX('Hub Users 226'!A:A, MATCH(C870, 'Hub Users 226'!B:B, 0)),"")</f>
        <v/>
      </c>
      <c r="H870" s="28">
        <v>42.0</v>
      </c>
      <c r="I870" s="28" t="s">
        <v>608</v>
      </c>
      <c r="J870" s="28" t="s">
        <v>10019</v>
      </c>
      <c r="K870" s="28" t="s">
        <v>5177</v>
      </c>
      <c r="L870" s="28" t="s">
        <v>5196</v>
      </c>
      <c r="M870" s="56" t="s">
        <v>10831</v>
      </c>
      <c r="N870" s="57">
        <v>43741.63055555556</v>
      </c>
      <c r="O870" s="28">
        <v>15.0</v>
      </c>
      <c r="P870" s="28">
        <f t="shared" ref="P870:P871" si="23">YEAR(TODAY())-2018+O870</f>
        <v>23</v>
      </c>
      <c r="Q870" s="28" t="s">
        <v>240</v>
      </c>
      <c r="R870" s="23"/>
      <c r="S870" s="28"/>
      <c r="T870" s="28"/>
      <c r="U870" s="28"/>
      <c r="V870" s="28"/>
      <c r="W870" s="28" t="s">
        <v>2633</v>
      </c>
      <c r="X870" s="28" t="s">
        <v>241</v>
      </c>
      <c r="Y870" s="28" t="s">
        <v>10832</v>
      </c>
      <c r="Z870" s="28" t="s">
        <v>5294</v>
      </c>
      <c r="AA870" s="28" t="s">
        <v>5294</v>
      </c>
      <c r="AB870" s="28" t="s">
        <v>5295</v>
      </c>
      <c r="AC870" s="28" t="s">
        <v>25</v>
      </c>
      <c r="AD870" s="23"/>
      <c r="AE870" s="28" t="s">
        <v>4</v>
      </c>
      <c r="AF870" s="23" t="str">
        <f>IFERROR(__xludf.DUMMYFUNCTION("TEXTJOIN("", "", TRUE,
  FILTER(Champions!C:C,
    ISNUMBER(SEARCH(C870, Champions!W:W))
  )
)"),"Karmen Leung, Seema Dixit, Neha Khorana, Neha Khorana")</f>
        <v>Karmen Leung, Seema Dixit, Neha Khorana, Neha Khorana</v>
      </c>
      <c r="AG870" s="23"/>
      <c r="AH870" s="23" t="str">
        <f>IFERROR(__xludf.DUMMYFUNCTION("IF(
ISNUMBER(MATCH(
C870,
IMPORTRANGE(""https://docs.google.com/spreadsheets/d/1yTh1ELC33JHYOeEdgIiEclxPRyh0zOKtlawDltfUay8"",""'Interns'!A:A""),
0
)),
""Outreach Conducted"",
"""")"),"")</f>
        <v/>
      </c>
      <c r="AI870" s="23"/>
      <c r="AJ870" s="23"/>
      <c r="AK870" s="23" t="str">
        <f>IFERROR(__xludf.DUMMYFUNCTION("XLOOKUP(C870, 
   IMPORTRANGE(""1RdEdgHYrZ33LJ7RUHj_h-qkAFL92bcVjtIdVa-UlsCw"", ""Interns!D:D""), 
   IMPORTRANGE(""1RdEdgHYrZ33LJ7RUHj_h-qkAFL92bcVjtIdVa-UlsCw"", ""Interns!M:M""), 
   ""Not Found"")"),"")</f>
        <v/>
      </c>
      <c r="AL870" s="23" t="str">
        <f>IFERROR(__xludf.DUMMYFUNCTION("XLOOKUP(C870, 
   IMPORTRANGE(""1RdEdgHYrZ33LJ7RUHj_h-qkAFL92bcVjtIdVa-UlsCw"", ""Interns!D:D""), 
   IMPORTRANGE(""1RdEdgHYrZ33LJ7RUHj_h-qkAFL92bcVjtIdVa-UlsCw"", ""Interns!N:N""), 
   ""Not Found"")"),"#SpeakingMyName")</f>
        <v>#SpeakingMyName</v>
      </c>
      <c r="AM870" s="23" t="str">
        <f>IFERROR(__xludf.DUMMYFUNCTION("XLOOKUP(C870, 
   IMPORTRANGE(""1RdEdgHYrZ33LJ7RUHj_h-qkAFL92bcVjtIdVa-UlsCw"", ""Interns!D:D""), 
   IMPORTRANGE(""1RdEdgHYrZ33LJ7RUHj_h-qkAFL92bcVjtIdVa-UlsCw"", ""Interns!O:O""), 
   ""Not Found"")"),"Alicia reached out by email on 5/15 for #SpeakingMyName")</f>
        <v>Alicia reached out by email on 5/15 for #SpeakingMyName</v>
      </c>
      <c r="AN870" s="23"/>
      <c r="AO870" s="23" t="s">
        <v>10833</v>
      </c>
      <c r="AP870" s="28" t="s">
        <v>5182</v>
      </c>
      <c r="AQ870" s="28" t="s">
        <v>10833</v>
      </c>
      <c r="AR870" s="23">
        <v>8.62571312E9</v>
      </c>
      <c r="AS870" s="23"/>
      <c r="AT870" s="23"/>
      <c r="AU870" s="23"/>
      <c r="AV870" s="23"/>
    </row>
    <row r="871">
      <c r="A871" s="28" t="s">
        <v>5161</v>
      </c>
      <c r="B871" s="28" t="s">
        <v>5162</v>
      </c>
      <c r="C871" s="23" t="str">
        <f t="shared" si="1"/>
        <v>Kathurna Louis-Jean</v>
      </c>
      <c r="D871" s="28" t="s">
        <v>10834</v>
      </c>
      <c r="E871" s="28" t="s">
        <v>10835</v>
      </c>
      <c r="F871" s="23" t="str">
        <f t="array" ref="F871">IFERROR(
    INDEX('Hub Interns 226'!A:A, MATCH(C871, 'Hub Interns 226'!B:B, 0)),"")</f>
        <v/>
      </c>
      <c r="G871" s="23" t="str">
        <f t="array" ref="G871">IFERROR(
    INDEX('Hub Users 226'!A:A, MATCH(C871, 'Hub Users 226'!B:B, 0)),"")</f>
        <v/>
      </c>
      <c r="H871" s="28">
        <v>53.0</v>
      </c>
      <c r="I871" s="28" t="s">
        <v>260</v>
      </c>
      <c r="J871" s="28" t="s">
        <v>10019</v>
      </c>
      <c r="K871" s="28" t="s">
        <v>5177</v>
      </c>
      <c r="L871" s="28"/>
      <c r="M871" s="56" t="s">
        <v>10836</v>
      </c>
      <c r="N871" s="57">
        <v>43741.63125</v>
      </c>
      <c r="O871" s="28">
        <v>14.0</v>
      </c>
      <c r="P871" s="28">
        <f t="shared" si="23"/>
        <v>22</v>
      </c>
      <c r="Q871" s="28" t="s">
        <v>240</v>
      </c>
      <c r="R871" s="23"/>
      <c r="S871" s="28"/>
      <c r="T871" s="28"/>
      <c r="U871" s="28"/>
      <c r="V871" s="28"/>
      <c r="W871" s="28" t="s">
        <v>2633</v>
      </c>
      <c r="X871" s="28" t="s">
        <v>241</v>
      </c>
      <c r="Y871" s="28" t="s">
        <v>10837</v>
      </c>
      <c r="Z871" s="28" t="s">
        <v>5294</v>
      </c>
      <c r="AA871" s="28" t="s">
        <v>5294</v>
      </c>
      <c r="AB871" s="28" t="s">
        <v>5295</v>
      </c>
      <c r="AC871" s="28" t="s">
        <v>25</v>
      </c>
      <c r="AD871" s="23"/>
      <c r="AE871" s="28" t="s">
        <v>4</v>
      </c>
      <c r="AF871" s="23" t="str">
        <f>IFERROR(__xludf.DUMMYFUNCTION("TEXTJOIN("", "", TRUE,
  FILTER(Champions!C:C,
    ISNUMBER(SEARCH(C871, Champions!W:W))
  )
)"),"Flavia Mihaela Vaduva")</f>
        <v>Flavia Mihaela Vaduva</v>
      </c>
      <c r="AG871" s="23"/>
      <c r="AH871" s="23" t="str">
        <f>IFERROR(__xludf.DUMMYFUNCTION("IF(
ISNUMBER(MATCH(
C871,
IMPORTRANGE(""https://docs.google.com/spreadsheets/d/1yTh1ELC33JHYOeEdgIiEclxPRyh0zOKtlawDltfUay8"",""'Interns'!A:A""),
0
)),
""Outreach Conducted"",
"""")"),"")</f>
        <v/>
      </c>
      <c r="AI871" s="23"/>
      <c r="AJ871" s="23"/>
      <c r="AK871" s="23" t="str">
        <f>IFERROR(__xludf.DUMMYFUNCTION("XLOOKUP(C871, 
   IMPORTRANGE(""1RdEdgHYrZ33LJ7RUHj_h-qkAFL92bcVjtIdVa-UlsCw"", ""Interns!D:D""), 
   IMPORTRANGE(""1RdEdgHYrZ33LJ7RUHj_h-qkAFL92bcVjtIdVa-UlsCw"", ""Interns!M:M""), 
   ""Not Found"")"),"")</f>
        <v/>
      </c>
      <c r="AL871" s="23" t="str">
        <f>IFERROR(__xludf.DUMMYFUNCTION("XLOOKUP(C871, 
   IMPORTRANGE(""1RdEdgHYrZ33LJ7RUHj_h-qkAFL92bcVjtIdVa-UlsCw"", ""Interns!D:D""), 
   IMPORTRANGE(""1RdEdgHYrZ33LJ7RUHj_h-qkAFL92bcVjtIdVa-UlsCw"", ""Interns!N:N""), 
   ""Not Found"")"),"#SpeakingMyName")</f>
        <v>#SpeakingMyName</v>
      </c>
      <c r="AM871" s="23" t="str">
        <f>IFERROR(__xludf.DUMMYFUNCTION("XLOOKUP(C871, 
   IMPORTRANGE(""1RdEdgHYrZ33LJ7RUHj_h-qkAFL92bcVjtIdVa-UlsCw"", ""Interns!D:D""), 
   IMPORTRANGE(""1RdEdgHYrZ33LJ7RUHj_h-qkAFL92bcVjtIdVa-UlsCw"", ""Interns!O:O""), 
   ""Not Found"")"),"Alicia reached out by email on 5/15 for #SpeakingMyName")</f>
        <v>Alicia reached out by email on 5/15 for #SpeakingMyName</v>
      </c>
      <c r="AN871" s="23"/>
      <c r="AO871" s="23" t="s">
        <v>10838</v>
      </c>
      <c r="AP871" s="28" t="s">
        <v>5191</v>
      </c>
      <c r="AQ871" s="28" t="s">
        <v>10838</v>
      </c>
      <c r="AR871" s="23" t="s">
        <v>10839</v>
      </c>
      <c r="AS871" s="23"/>
      <c r="AT871" s="23"/>
      <c r="AU871" s="23"/>
      <c r="AV871" s="23"/>
    </row>
    <row r="872">
      <c r="A872" s="28" t="s">
        <v>5161</v>
      </c>
      <c r="B872" s="28" t="s">
        <v>5162</v>
      </c>
      <c r="C872" s="23" t="str">
        <f t="shared" si="1"/>
        <v>Genesis Martinez</v>
      </c>
      <c r="D872" s="28" t="s">
        <v>6519</v>
      </c>
      <c r="E872" s="28" t="s">
        <v>2010</v>
      </c>
      <c r="F872" s="23">
        <f t="array" ref="F872">IFERROR(
    INDEX('Hub Interns 226'!A:A, MATCH(C872, 'Hub Interns 226'!B:B, 0)),"")</f>
        <v>540</v>
      </c>
      <c r="G872" s="23">
        <f t="array" ref="G872">IFERROR(
    INDEX('Hub Users 226'!A:A, MATCH(C872, 'Hub Users 226'!B:B, 0)),"")</f>
        <v>973</v>
      </c>
      <c r="H872" s="28">
        <v>644.0</v>
      </c>
      <c r="I872" s="28" t="s">
        <v>239</v>
      </c>
      <c r="J872" s="28" t="s">
        <v>5176</v>
      </c>
      <c r="K872" s="28" t="s">
        <v>5177</v>
      </c>
      <c r="L872" s="28" t="s">
        <v>5196</v>
      </c>
      <c r="M872" s="56" t="s">
        <v>10840</v>
      </c>
      <c r="N872" s="57">
        <v>44505.544444444444</v>
      </c>
      <c r="O872" s="58">
        <v>38055.0</v>
      </c>
      <c r="P872" s="28">
        <f t="shared" ref="P872:P929" si="24">DATEDIF(O872, TODAY(), "Y")</f>
        <v>22</v>
      </c>
      <c r="Q872" s="28" t="s">
        <v>10841</v>
      </c>
      <c r="R872" s="28" t="s">
        <v>10842</v>
      </c>
      <c r="S872" s="28">
        <v>6.0</v>
      </c>
      <c r="T872" s="28">
        <v>16.0</v>
      </c>
      <c r="U872" s="28">
        <v>40.0</v>
      </c>
      <c r="V872" s="28">
        <v>20.0</v>
      </c>
      <c r="W872" s="28" t="s">
        <v>1173</v>
      </c>
      <c r="X872" s="28" t="s">
        <v>272</v>
      </c>
      <c r="Y872" s="28" t="s">
        <v>10843</v>
      </c>
      <c r="Z872" s="28" t="s">
        <v>5189</v>
      </c>
      <c r="AA872" s="28" t="s">
        <v>619</v>
      </c>
      <c r="AB872" s="28">
        <v>20.0</v>
      </c>
      <c r="AC872" s="28" t="s">
        <v>25</v>
      </c>
      <c r="AD872" s="23"/>
      <c r="AE872" s="28" t="s">
        <v>10</v>
      </c>
      <c r="AF872" s="23" t="str">
        <f>IFERROR(__xludf.DUMMYFUNCTION("TEXTJOIN("", "", TRUE,
  FILTER(Champions!C:C,
    ISNUMBER(SEARCH(C872, Champions!W:W))
  )
)"),"Estrella Mestres, Renata Lozano Giral")</f>
        <v>Estrella Mestres, Renata Lozano Giral</v>
      </c>
      <c r="AG872" s="23"/>
      <c r="AH872" s="23" t="str">
        <f>IFERROR(__xludf.DUMMYFUNCTION("IF(
ISNUMBER(MATCH(
C872,
IMPORTRANGE(""https://docs.google.com/spreadsheets/d/1yTh1ELC33JHYOeEdgIiEclxPRyh0zOKtlawDltfUay8"",""'Interns'!A:A""),
0
)),
""Outreach Conducted"",
"""")"),"")</f>
        <v/>
      </c>
      <c r="AI872" s="23"/>
      <c r="AJ872" s="23"/>
      <c r="AK872" s="23" t="str">
        <f>IFERROR(__xludf.DUMMYFUNCTION("XLOOKUP(C872, 
   IMPORTRANGE(""1RdEdgHYrZ33LJ7RUHj_h-qkAFL92bcVjtIdVa-UlsCw"", ""Interns!D:D""), 
   IMPORTRANGE(""1RdEdgHYrZ33LJ7RUHj_h-qkAFL92bcVjtIdVa-UlsCw"", ""Interns!M:M""), 
   ""Not Found"")"),"Contacted")</f>
        <v>Contacted</v>
      </c>
      <c r="AL872" s="23" t="str">
        <f>IFERROR(__xludf.DUMMYFUNCTION("XLOOKUP(C872, 
   IMPORTRANGE(""1RdEdgHYrZ33LJ7RUHj_h-qkAFL92bcVjtIdVa-UlsCw"", ""Interns!D:D""), 
   IMPORTRANGE(""1RdEdgHYrZ33LJ7RUHj_h-qkAFL92bcVjtIdVa-UlsCw"", ""Interns!N:N""), 
   ""Not Found"")"),"#Cheers4Careers")</f>
        <v>#Cheers4Careers</v>
      </c>
      <c r="AM872" s="23" t="str">
        <f>IFERROR(__xludf.DUMMYFUNCTION("XLOOKUP(C872, 
   IMPORTRANGE(""1RdEdgHYrZ33LJ7RUHj_h-qkAFL92bcVjtIdVa-UlsCw"", ""Interns!D:D""), 
   IMPORTRANGE(""1RdEdgHYrZ33LJ7RUHj_h-qkAFL92bcVjtIdVa-UlsCw"", ""Interns!O:O""), 
   ""Not Found"")"),"Hetal reached out by email 3/27 followed by text")</f>
        <v>Hetal reached out by email 3/27 followed by text</v>
      </c>
      <c r="AN872" s="23"/>
      <c r="AO872" s="23" t="s">
        <v>10844</v>
      </c>
      <c r="AP872" s="28" t="s">
        <v>5182</v>
      </c>
      <c r="AQ872" s="28" t="s">
        <v>10845</v>
      </c>
      <c r="AR872" s="23" t="s">
        <v>10846</v>
      </c>
      <c r="AS872" s="23"/>
      <c r="AT872" s="23"/>
      <c r="AU872" s="23"/>
      <c r="AV872" s="23"/>
    </row>
    <row r="873">
      <c r="A873" s="28" t="s">
        <v>5161</v>
      </c>
      <c r="B873" s="28" t="s">
        <v>5162</v>
      </c>
      <c r="C873" s="23" t="str">
        <f t="shared" si="1"/>
        <v>Loyda Martinez</v>
      </c>
      <c r="D873" s="28" t="s">
        <v>10847</v>
      </c>
      <c r="E873" s="28" t="s">
        <v>2010</v>
      </c>
      <c r="F873" s="23">
        <f t="array" ref="F873">IFERROR(
    INDEX('Hub Interns 226'!A:A, MATCH(C873, 'Hub Interns 226'!B:B, 0)),"")</f>
        <v>52</v>
      </c>
      <c r="G873" s="23">
        <f t="array" ref="G873">IFERROR(
    INDEX('Hub Users 226'!A:A, MATCH(C873, 'Hub Users 226'!B:B, 0)),"")</f>
        <v>485</v>
      </c>
      <c r="H873" s="28">
        <v>798.0</v>
      </c>
      <c r="I873" s="28" t="s">
        <v>290</v>
      </c>
      <c r="J873" s="28" t="s">
        <v>5176</v>
      </c>
      <c r="K873" s="28" t="s">
        <v>5177</v>
      </c>
      <c r="L873" s="28" t="s">
        <v>5196</v>
      </c>
      <c r="M873" s="56" t="s">
        <v>10848</v>
      </c>
      <c r="N873" s="57">
        <v>44565.63888888889</v>
      </c>
      <c r="O873" s="58">
        <v>38646.0</v>
      </c>
      <c r="P873" s="28">
        <f t="shared" si="24"/>
        <v>20</v>
      </c>
      <c r="Q873" s="28" t="s">
        <v>240</v>
      </c>
      <c r="R873" s="28" t="s">
        <v>10849</v>
      </c>
      <c r="S873" s="28">
        <v>13.0</v>
      </c>
      <c r="T873" s="28">
        <v>29.0</v>
      </c>
      <c r="U873" s="28">
        <v>68.0</v>
      </c>
      <c r="V873" s="28">
        <v>8.0</v>
      </c>
      <c r="W873" s="28" t="s">
        <v>271</v>
      </c>
      <c r="X873" s="28" t="s">
        <v>272</v>
      </c>
      <c r="Y873" s="28" t="s">
        <v>10850</v>
      </c>
      <c r="Z873" s="28" t="s">
        <v>5259</v>
      </c>
      <c r="AA873" s="28" t="s">
        <v>704</v>
      </c>
      <c r="AB873" s="28">
        <v>2.0</v>
      </c>
      <c r="AC873" s="28" t="s">
        <v>24</v>
      </c>
      <c r="AD873" s="23"/>
      <c r="AE873" s="28" t="s">
        <v>10</v>
      </c>
      <c r="AF873" s="23"/>
      <c r="AG873" s="23"/>
      <c r="AH873" s="23" t="str">
        <f>IFERROR(__xludf.DUMMYFUNCTION("IF(
ISNUMBER(MATCH(
C873,
IMPORTRANGE(""https://docs.google.com/spreadsheets/d/1yTh1ELC33JHYOeEdgIiEclxPRyh0zOKtlawDltfUay8"",""'Interns'!A:A""),
0
)),
""Outreach Conducted"",
"""")"),"")</f>
        <v/>
      </c>
      <c r="AI873" s="23"/>
      <c r="AJ873" s="23"/>
      <c r="AK873" s="23" t="str">
        <f>IFERROR(__xludf.DUMMYFUNCTION("XLOOKUP(C873, 
   IMPORTRANGE(""1RdEdgHYrZ33LJ7RUHj_h-qkAFL92bcVjtIdVa-UlsCw"", ""Interns!D:D""), 
   IMPORTRANGE(""1RdEdgHYrZ33LJ7RUHj_h-qkAFL92bcVjtIdVa-UlsCw"", ""Interns!M:M""), 
   ""Not Found"")"),"Contacted")</f>
        <v>Contacted</v>
      </c>
      <c r="AL873" s="23" t="str">
        <f>IFERROR(__xludf.DUMMYFUNCTION("XLOOKUP(C873, 
   IMPORTRANGE(""1RdEdgHYrZ33LJ7RUHj_h-qkAFL92bcVjtIdVa-UlsCw"", ""Interns!D:D""), 
   IMPORTRANGE(""1RdEdgHYrZ33LJ7RUHj_h-qkAFL92bcVjtIdVa-UlsCw"", ""Interns!N:N""), 
   ""Not Found"")"),"#Cheers4Careers")</f>
        <v>#Cheers4Careers</v>
      </c>
      <c r="AM873" s="23" t="str">
        <f>IFERROR(__xludf.DUMMYFUNCTION("XLOOKUP(C873, 
   IMPORTRANGE(""1RdEdgHYrZ33LJ7RUHj_h-qkAFL92bcVjtIdVa-UlsCw"", ""Interns!D:D""), 
   IMPORTRANGE(""1RdEdgHYrZ33LJ7RUHj_h-qkAFL92bcVjtIdVa-UlsCw"", ""Interns!O:O""), 
   ""Not Found"")"),"Ousmane reached out by email 3/26 and reach out by text 3/28")</f>
        <v>Ousmane reached out by email 3/26 and reach out by text 3/28</v>
      </c>
      <c r="AN873" s="23"/>
      <c r="AO873" s="23" t="s">
        <v>10851</v>
      </c>
      <c r="AP873" s="28" t="s">
        <v>5182</v>
      </c>
      <c r="AQ873" s="28"/>
      <c r="AR873" s="23"/>
      <c r="AS873" s="23"/>
      <c r="AT873" s="23"/>
      <c r="AU873" s="23"/>
      <c r="AV873" s="23"/>
    </row>
    <row r="874">
      <c r="A874" s="28" t="s">
        <v>5161</v>
      </c>
      <c r="B874" s="28" t="s">
        <v>5162</v>
      </c>
      <c r="C874" s="23" t="str">
        <f t="shared" si="1"/>
        <v>Jane Villalobo</v>
      </c>
      <c r="D874" s="28" t="s">
        <v>4078</v>
      </c>
      <c r="E874" s="28" t="s">
        <v>10852</v>
      </c>
      <c r="F874" s="23">
        <f t="array" ref="F874">IFERROR(
    INDEX('Hub Interns 226'!A:A, MATCH(C874, 'Hub Interns 226'!B:B, 0)),"")</f>
        <v>672</v>
      </c>
      <c r="G874" s="23">
        <f t="array" ref="G874">IFERROR(
    INDEX('Hub Users 226'!A:A, MATCH(C874, 'Hub Users 226'!B:B, 0)),"")</f>
        <v>1105</v>
      </c>
      <c r="H874" s="28">
        <v>1255.0</v>
      </c>
      <c r="I874" s="28" t="s">
        <v>107</v>
      </c>
      <c r="J874" s="28" t="s">
        <v>5176</v>
      </c>
      <c r="K874" s="28" t="s">
        <v>5177</v>
      </c>
      <c r="L874" s="28" t="s">
        <v>5196</v>
      </c>
      <c r="M874" s="56" t="s">
        <v>10853</v>
      </c>
      <c r="N874" s="57">
        <v>44841.46597222222</v>
      </c>
      <c r="O874" s="58">
        <v>38400.0</v>
      </c>
      <c r="P874" s="28">
        <f t="shared" si="24"/>
        <v>21</v>
      </c>
      <c r="Q874" s="28" t="s">
        <v>240</v>
      </c>
      <c r="R874" s="28" t="s">
        <v>10854</v>
      </c>
      <c r="S874" s="28">
        <v>15.0</v>
      </c>
      <c r="T874" s="28">
        <v>32.0</v>
      </c>
      <c r="U874" s="28">
        <v>77.0</v>
      </c>
      <c r="V874" s="28">
        <v>16.0</v>
      </c>
      <c r="W874" s="28" t="s">
        <v>859</v>
      </c>
      <c r="X874" s="28" t="s">
        <v>272</v>
      </c>
      <c r="Y874" s="28" t="s">
        <v>10855</v>
      </c>
      <c r="Z874" s="28" t="s">
        <v>5918</v>
      </c>
      <c r="AA874" s="28" t="s">
        <v>477</v>
      </c>
      <c r="AB874" s="28">
        <v>15.0</v>
      </c>
      <c r="AC874" s="28" t="s">
        <v>23</v>
      </c>
      <c r="AD874" s="23"/>
      <c r="AE874" s="28" t="s">
        <v>15</v>
      </c>
      <c r="AF874" s="23"/>
      <c r="AG874" s="23"/>
      <c r="AH874" s="23" t="str">
        <f>IFERROR(__xludf.DUMMYFUNCTION("IF(
ISNUMBER(MATCH(
C874,
IMPORTRANGE(""https://docs.google.com/spreadsheets/d/1yTh1ELC33JHYOeEdgIiEclxPRyh0zOKtlawDltfUay8"",""'Interns'!A:A""),
0
)),
""Outreach Conducted"",
"""")"),"")</f>
        <v/>
      </c>
      <c r="AI874" s="23"/>
      <c r="AJ874" s="23"/>
      <c r="AK874" s="23" t="str">
        <f>IFERROR(__xludf.DUMMYFUNCTION("XLOOKUP(C874, 
   IMPORTRANGE(""1RdEdgHYrZ33LJ7RUHj_h-qkAFL92bcVjtIdVa-UlsCw"", ""Interns!D:D""), 
   IMPORTRANGE(""1RdEdgHYrZ33LJ7RUHj_h-qkAFL92bcVjtIdVa-UlsCw"", ""Interns!M:M""), 
   ""Not Found"")"),"")</f>
        <v/>
      </c>
      <c r="AL874" s="23" t="str">
        <f>IFERROR(__xludf.DUMMYFUNCTION("XLOOKUP(C874, 
   IMPORTRANGE(""1RdEdgHYrZ33LJ7RUHj_h-qkAFL92bcVjtIdVa-UlsCw"", ""Interns!D:D""), 
   IMPORTRANGE(""1RdEdgHYrZ33LJ7RUHj_h-qkAFL92bcVjtIdVa-UlsCw"", ""Interns!N:N""), 
   ""Not Found"")"),"")</f>
        <v/>
      </c>
      <c r="AM874" s="23" t="str">
        <f>IFERROR(__xludf.DUMMYFUNCTION("XLOOKUP(C874, 
   IMPORTRANGE(""1RdEdgHYrZ33LJ7RUHj_h-qkAFL92bcVjtIdVa-UlsCw"", ""Interns!D:D""), 
   IMPORTRANGE(""1RdEdgHYrZ33LJ7RUHj_h-qkAFL92bcVjtIdVa-UlsCw"", ""Interns!O:O""), 
   ""Not Found"")"),"")</f>
        <v/>
      </c>
      <c r="AN874" s="23"/>
      <c r="AO874" s="23" t="s">
        <v>10856</v>
      </c>
      <c r="AP874" s="28" t="s">
        <v>5173</v>
      </c>
      <c r="AQ874" s="28" t="s">
        <v>10857</v>
      </c>
      <c r="AR874" s="23">
        <v>3.478056772E9</v>
      </c>
      <c r="AS874" s="23"/>
      <c r="AT874" s="23"/>
      <c r="AU874" s="23"/>
      <c r="AV874" s="23"/>
    </row>
    <row r="875">
      <c r="A875" s="28" t="s">
        <v>5202</v>
      </c>
      <c r="B875" s="28" t="s">
        <v>5162</v>
      </c>
      <c r="C875" s="23" t="str">
        <f t="shared" si="1"/>
        <v>Kevin Portillo</v>
      </c>
      <c r="D875" s="28" t="s">
        <v>3690</v>
      </c>
      <c r="E875" s="28" t="s">
        <v>10858</v>
      </c>
      <c r="F875" s="23">
        <f t="array" ref="F875">IFERROR(
    INDEX('Hub Interns 226'!A:A, MATCH(C875, 'Hub Interns 226'!B:B, 0)),"")</f>
        <v>443</v>
      </c>
      <c r="G875" s="23">
        <f t="array" ref="G875">IFERROR(
    INDEX('Hub Users 226'!A:A, MATCH(C875, 'Hub Users 226'!B:B, 0)),"")</f>
        <v>876</v>
      </c>
      <c r="H875" s="28">
        <v>508.0</v>
      </c>
      <c r="I875" s="28" t="s">
        <v>1235</v>
      </c>
      <c r="J875" s="28" t="s">
        <v>5176</v>
      </c>
      <c r="K875" s="28" t="s">
        <v>5177</v>
      </c>
      <c r="L875" s="28" t="s">
        <v>5165</v>
      </c>
      <c r="M875" s="56" t="s">
        <v>10859</v>
      </c>
      <c r="N875" s="57">
        <v>44476.63888888889</v>
      </c>
      <c r="O875" s="58">
        <v>38328.0</v>
      </c>
      <c r="P875" s="28">
        <f t="shared" si="24"/>
        <v>21</v>
      </c>
      <c r="Q875" s="28" t="s">
        <v>10860</v>
      </c>
      <c r="R875" s="28" t="s">
        <v>10861</v>
      </c>
      <c r="S875" s="28">
        <v>15.0</v>
      </c>
      <c r="T875" s="28">
        <v>33.0</v>
      </c>
      <c r="U875" s="28">
        <v>78.0</v>
      </c>
      <c r="V875" s="28">
        <v>15.0</v>
      </c>
      <c r="W875" s="28" t="s">
        <v>859</v>
      </c>
      <c r="X875" s="28" t="s">
        <v>272</v>
      </c>
      <c r="Y875" s="28" t="s">
        <v>10862</v>
      </c>
      <c r="Z875" s="28" t="s">
        <v>5918</v>
      </c>
      <c r="AA875" s="28" t="s">
        <v>477</v>
      </c>
      <c r="AB875" s="28">
        <v>15.0</v>
      </c>
      <c r="AC875" s="28" t="s">
        <v>25</v>
      </c>
      <c r="AD875" s="23"/>
      <c r="AE875" s="28" t="s">
        <v>10</v>
      </c>
      <c r="AF875" s="23" t="str">
        <f>IFERROR(__xludf.DUMMYFUNCTION("TEXTJOIN("", "", TRUE,
  FILTER(Champions!C:C,
    ISNUMBER(SEARCH(C875, Champions!W:W))
  )
)"),"Carolina Parra")</f>
        <v>Carolina Parra</v>
      </c>
      <c r="AG875" s="23"/>
      <c r="AH875" s="23" t="str">
        <f>IFERROR(__xludf.DUMMYFUNCTION("IF(
ISNUMBER(MATCH(
C875,
IMPORTRANGE(""https://docs.google.com/spreadsheets/d/1yTh1ELC33JHYOeEdgIiEclxPRyh0zOKtlawDltfUay8"",""'Interns'!A:A""),
0
)),
""Outreach Conducted"",
"""")"),"")</f>
        <v/>
      </c>
      <c r="AI875" s="23"/>
      <c r="AJ875" s="23"/>
      <c r="AK875" s="23" t="str">
        <f>IFERROR(__xludf.DUMMYFUNCTION("XLOOKUP(C875, 
   IMPORTRANGE(""1RdEdgHYrZ33LJ7RUHj_h-qkAFL92bcVjtIdVa-UlsCw"", ""Interns!D:D""), 
   IMPORTRANGE(""1RdEdgHYrZ33LJ7RUHj_h-qkAFL92bcVjtIdVa-UlsCw"", ""Interns!M:M""), 
   ""Not Found"")"),"")</f>
        <v/>
      </c>
      <c r="AL875" s="23" t="str">
        <f>IFERROR(__xludf.DUMMYFUNCTION("XLOOKUP(C875, 
   IMPORTRANGE(""1RdEdgHYrZ33LJ7RUHj_h-qkAFL92bcVjtIdVa-UlsCw"", ""Interns!D:D""), 
   IMPORTRANGE(""1RdEdgHYrZ33LJ7RUHj_h-qkAFL92bcVjtIdVa-UlsCw"", ""Interns!N:N""), 
   ""Not Found"")"),"")</f>
        <v/>
      </c>
      <c r="AM875" s="23" t="str">
        <f>IFERROR(__xludf.DUMMYFUNCTION("XLOOKUP(C875, 
   IMPORTRANGE(""1RdEdgHYrZ33LJ7RUHj_h-qkAFL92bcVjtIdVa-UlsCw"", ""Interns!D:D""), 
   IMPORTRANGE(""1RdEdgHYrZ33LJ7RUHj_h-qkAFL92bcVjtIdVa-UlsCw"", ""Interns!O:O""), 
   ""Not Found"")"),"")</f>
        <v/>
      </c>
      <c r="AN875" s="23"/>
      <c r="AO875" s="23" t="s">
        <v>10863</v>
      </c>
      <c r="AP875" s="28" t="s">
        <v>5182</v>
      </c>
      <c r="AQ875" s="28" t="s">
        <v>10864</v>
      </c>
      <c r="AR875" s="23" t="s">
        <v>10865</v>
      </c>
      <c r="AS875" s="23"/>
      <c r="AT875" s="23"/>
      <c r="AU875" s="23"/>
      <c r="AV875" s="23"/>
    </row>
    <row r="876">
      <c r="A876" s="28" t="s">
        <v>5202</v>
      </c>
      <c r="B876" s="28" t="s">
        <v>5162</v>
      </c>
      <c r="C876" s="23" t="str">
        <f t="shared" si="1"/>
        <v>Ofelia (Sara) Lopez</v>
      </c>
      <c r="D876" s="28" t="s">
        <v>10866</v>
      </c>
      <c r="E876" s="28" t="s">
        <v>2778</v>
      </c>
      <c r="F876" s="23">
        <f t="array" ref="F876">IFERROR(
    INDEX('Hub Interns 226'!A:A, MATCH(C876, 'Hub Interns 226'!B:B, 0)),"")</f>
        <v>966</v>
      </c>
      <c r="G876" s="23">
        <f t="array" ref="G876">IFERROR(
    INDEX('Hub Users 226'!A:A, MATCH(C876, 'Hub Users 226'!B:B, 0)),"")</f>
        <v>1399</v>
      </c>
      <c r="H876" s="28">
        <v>468.0</v>
      </c>
      <c r="I876" s="28" t="s">
        <v>302</v>
      </c>
      <c r="J876" s="28" t="s">
        <v>5176</v>
      </c>
      <c r="K876" s="28" t="s">
        <v>5177</v>
      </c>
      <c r="L876" s="28" t="s">
        <v>5196</v>
      </c>
      <c r="M876" s="56" t="s">
        <v>10867</v>
      </c>
      <c r="N876" s="57">
        <v>44361.76875</v>
      </c>
      <c r="O876" s="58">
        <v>36613.0</v>
      </c>
      <c r="P876" s="28">
        <f t="shared" si="24"/>
        <v>26</v>
      </c>
      <c r="Q876" s="28" t="s">
        <v>240</v>
      </c>
      <c r="R876" s="28" t="s">
        <v>10868</v>
      </c>
      <c r="S876" s="28">
        <v>15.0</v>
      </c>
      <c r="T876" s="28">
        <v>32.0</v>
      </c>
      <c r="U876" s="28">
        <v>87.0</v>
      </c>
      <c r="V876" s="28">
        <v>15.0</v>
      </c>
      <c r="W876" s="28" t="s">
        <v>859</v>
      </c>
      <c r="X876" s="28" t="s">
        <v>272</v>
      </c>
      <c r="Y876" s="28" t="s">
        <v>10869</v>
      </c>
      <c r="Z876" s="28" t="s">
        <v>5435</v>
      </c>
      <c r="AA876" s="28" t="s">
        <v>5436</v>
      </c>
      <c r="AB876" s="28">
        <v>10.0</v>
      </c>
      <c r="AC876" s="28" t="s">
        <v>25</v>
      </c>
      <c r="AD876" s="23"/>
      <c r="AE876" s="28" t="s">
        <v>10</v>
      </c>
      <c r="AF876" s="23" t="str">
        <f>IFERROR(__xludf.DUMMYFUNCTION("TEXTJOIN("", "", TRUE,
  FILTER(Champions!C:C,
    ISNUMBER(SEARCH(C876, Champions!W:W))
  )
)"),"Addy Michelle Jimenez Haga")</f>
        <v>Addy Michelle Jimenez Haga</v>
      </c>
      <c r="AG876" s="23"/>
      <c r="AH876" s="23" t="str">
        <f>IFERROR(__xludf.DUMMYFUNCTION("IF(
ISNUMBER(MATCH(
C876,
IMPORTRANGE(""https://docs.google.com/spreadsheets/d/1yTh1ELC33JHYOeEdgIiEclxPRyh0zOKtlawDltfUay8"",""'Interns'!A:A""),
0
)),
""Outreach Conducted"",
"""")"),"")</f>
        <v/>
      </c>
      <c r="AI876" s="23"/>
      <c r="AJ876" s="23"/>
      <c r="AK876" s="23" t="str">
        <f>IFERROR(__xludf.DUMMYFUNCTION("XLOOKUP(C876, 
   IMPORTRANGE(""1RdEdgHYrZ33LJ7RUHj_h-qkAFL92bcVjtIdVa-UlsCw"", ""Interns!D:D""), 
   IMPORTRANGE(""1RdEdgHYrZ33LJ7RUHj_h-qkAFL92bcVjtIdVa-UlsCw"", ""Interns!M:M""), 
   ""Not Found"")"),"")</f>
        <v/>
      </c>
      <c r="AL876" s="23" t="str">
        <f>IFERROR(__xludf.DUMMYFUNCTION("XLOOKUP(C876, 
   IMPORTRANGE(""1RdEdgHYrZ33LJ7RUHj_h-qkAFL92bcVjtIdVa-UlsCw"", ""Interns!D:D""), 
   IMPORTRANGE(""1RdEdgHYrZ33LJ7RUHj_h-qkAFL92bcVjtIdVa-UlsCw"", ""Interns!N:N""), 
   ""Not Found"")"),"")</f>
        <v/>
      </c>
      <c r="AM876" s="23" t="str">
        <f>IFERROR(__xludf.DUMMYFUNCTION("XLOOKUP(C876, 
   IMPORTRANGE(""1RdEdgHYrZ33LJ7RUHj_h-qkAFL92bcVjtIdVa-UlsCw"", ""Interns!D:D""), 
   IMPORTRANGE(""1RdEdgHYrZ33LJ7RUHj_h-qkAFL92bcVjtIdVa-UlsCw"", ""Interns!O:O""), 
   ""Not Found"")"),"")</f>
        <v/>
      </c>
      <c r="AN876" s="23"/>
      <c r="AO876" s="23" t="s">
        <v>3577</v>
      </c>
      <c r="AP876" s="28" t="s">
        <v>5989</v>
      </c>
      <c r="AQ876" s="28" t="s">
        <v>10870</v>
      </c>
      <c r="AR876" s="23" t="s">
        <v>10871</v>
      </c>
      <c r="AS876" s="23"/>
      <c r="AT876" s="23"/>
      <c r="AU876" s="23"/>
      <c r="AV876" s="23"/>
    </row>
    <row r="877">
      <c r="A877" s="28" t="s">
        <v>5202</v>
      </c>
      <c r="B877" s="28" t="s">
        <v>5162</v>
      </c>
      <c r="C877" s="23" t="str">
        <f t="shared" si="1"/>
        <v>Maria Mejia</v>
      </c>
      <c r="D877" s="28" t="s">
        <v>2308</v>
      </c>
      <c r="E877" s="28" t="s">
        <v>8263</v>
      </c>
      <c r="F877" s="23">
        <f t="array" ref="F877">IFERROR(
    INDEX('Hub Interns 226'!A:A, MATCH(C877, 'Hub Interns 226'!B:B, 0)),"")</f>
        <v>836</v>
      </c>
      <c r="G877" s="23">
        <f t="array" ref="G877">IFERROR(
    INDEX('Hub Users 226'!A:A, MATCH(C877, 'Hub Users 226'!B:B, 0)),"")</f>
        <v>1269</v>
      </c>
      <c r="H877" s="28">
        <v>469.0</v>
      </c>
      <c r="I877" s="28" t="s">
        <v>260</v>
      </c>
      <c r="J877" s="28" t="s">
        <v>5176</v>
      </c>
      <c r="K877" s="28" t="s">
        <v>5177</v>
      </c>
      <c r="L877" s="28" t="s">
        <v>5196</v>
      </c>
      <c r="M877" s="56" t="s">
        <v>10872</v>
      </c>
      <c r="N877" s="57">
        <v>44361.76875</v>
      </c>
      <c r="O877" s="58">
        <v>37649.0</v>
      </c>
      <c r="P877" s="28">
        <f t="shared" si="24"/>
        <v>23</v>
      </c>
      <c r="Q877" s="28" t="s">
        <v>10873</v>
      </c>
      <c r="R877" s="28" t="s">
        <v>10874</v>
      </c>
      <c r="S877" s="28">
        <v>13.0</v>
      </c>
      <c r="T877" s="28">
        <v>31.0</v>
      </c>
      <c r="U877" s="28">
        <v>72.0</v>
      </c>
      <c r="V877" s="28">
        <v>10.0</v>
      </c>
      <c r="W877" s="28" t="s">
        <v>859</v>
      </c>
      <c r="X877" s="28" t="s">
        <v>272</v>
      </c>
      <c r="Y877" s="28" t="s">
        <v>10875</v>
      </c>
      <c r="Z877" s="28" t="s">
        <v>5435</v>
      </c>
      <c r="AA877" s="28" t="s">
        <v>5436</v>
      </c>
      <c r="AB877" s="28">
        <v>10.0</v>
      </c>
      <c r="AC877" s="28" t="s">
        <v>25</v>
      </c>
      <c r="AD877" s="23"/>
      <c r="AE877" s="28" t="s">
        <v>10</v>
      </c>
      <c r="AF877" s="23" t="str">
        <f>IFERROR(__xludf.DUMMYFUNCTION("TEXTJOIN("", "", TRUE,
  FILTER(Champions!C:C,
    ISNUMBER(SEARCH(C877, Champions!W:W))
  )
)"),"Romina Tome")</f>
        <v>Romina Tome</v>
      </c>
      <c r="AG877" s="23"/>
      <c r="AH877" s="23" t="str">
        <f>IFERROR(__xludf.DUMMYFUNCTION("IF(
ISNUMBER(MATCH(
C877,
IMPORTRANGE(""https://docs.google.com/spreadsheets/d/1yTh1ELC33JHYOeEdgIiEclxPRyh0zOKtlawDltfUay8"",""'Interns'!A:A""),
0
)),
""Outreach Conducted"",
"""")"),"")</f>
        <v/>
      </c>
      <c r="AI877" s="23"/>
      <c r="AJ877" s="23"/>
      <c r="AK877" s="23" t="str">
        <f>IFERROR(__xludf.DUMMYFUNCTION("XLOOKUP(C877, 
   IMPORTRANGE(""1RdEdgHYrZ33LJ7RUHj_h-qkAFL92bcVjtIdVa-UlsCw"", ""Interns!D:D""), 
   IMPORTRANGE(""1RdEdgHYrZ33LJ7RUHj_h-qkAFL92bcVjtIdVa-UlsCw"", ""Interns!M:M""), 
   ""Not Found"")"),"")</f>
        <v/>
      </c>
      <c r="AL877" s="23" t="str">
        <f>IFERROR(__xludf.DUMMYFUNCTION("XLOOKUP(C877, 
   IMPORTRANGE(""1RdEdgHYrZ33LJ7RUHj_h-qkAFL92bcVjtIdVa-UlsCw"", ""Interns!D:D""), 
   IMPORTRANGE(""1RdEdgHYrZ33LJ7RUHj_h-qkAFL92bcVjtIdVa-UlsCw"", ""Interns!N:N""), 
   ""Not Found"")"),"")</f>
        <v/>
      </c>
      <c r="AM877" s="23" t="str">
        <f>IFERROR(__xludf.DUMMYFUNCTION("XLOOKUP(C877, 
   IMPORTRANGE(""1RdEdgHYrZ33LJ7RUHj_h-qkAFL92bcVjtIdVa-UlsCw"", ""Interns!D:D""), 
   IMPORTRANGE(""1RdEdgHYrZ33LJ7RUHj_h-qkAFL92bcVjtIdVa-UlsCw"", ""Interns!O:O""), 
   ""Not Found"")"),"")</f>
        <v/>
      </c>
      <c r="AN877" s="23"/>
      <c r="AO877" s="23" t="s">
        <v>10876</v>
      </c>
      <c r="AP877" s="28" t="s">
        <v>5182</v>
      </c>
      <c r="AQ877" s="28" t="s">
        <v>10877</v>
      </c>
      <c r="AR877" s="23"/>
      <c r="AS877" s="23"/>
      <c r="AT877" s="23"/>
      <c r="AU877" s="23"/>
      <c r="AV877" s="23"/>
    </row>
    <row r="878">
      <c r="A878" s="28" t="s">
        <v>5202</v>
      </c>
      <c r="B878" s="28" t="s">
        <v>5162</v>
      </c>
      <c r="C878" s="23" t="str">
        <f t="shared" si="1"/>
        <v>Yovangely Mejia</v>
      </c>
      <c r="D878" s="28" t="s">
        <v>10878</v>
      </c>
      <c r="E878" s="28" t="s">
        <v>8263</v>
      </c>
      <c r="F878" s="23">
        <f t="array" ref="F878">IFERROR(
    INDEX('Hub Interns 226'!A:A, MATCH(C878, 'Hub Interns 226'!B:B, 0)),"")</f>
        <v>1243</v>
      </c>
      <c r="G878" s="23">
        <f t="array" ref="G878">IFERROR(
    INDEX('Hub Users 226'!A:A, MATCH(C878, 'Hub Users 226'!B:B, 0)),"")</f>
        <v>1676</v>
      </c>
      <c r="H878" s="28">
        <v>483.0</v>
      </c>
      <c r="I878" s="28" t="s">
        <v>260</v>
      </c>
      <c r="J878" s="28" t="s">
        <v>5176</v>
      </c>
      <c r="K878" s="28" t="s">
        <v>5177</v>
      </c>
      <c r="L878" s="28" t="s">
        <v>5196</v>
      </c>
      <c r="M878" s="56" t="s">
        <v>10879</v>
      </c>
      <c r="N878" s="57">
        <v>44369.59583333333</v>
      </c>
      <c r="O878" s="58">
        <v>37464.0</v>
      </c>
      <c r="P878" s="28">
        <f t="shared" si="24"/>
        <v>23</v>
      </c>
      <c r="Q878" s="28" t="s">
        <v>240</v>
      </c>
      <c r="R878" s="28" t="s">
        <v>10880</v>
      </c>
      <c r="S878" s="28">
        <v>15.0</v>
      </c>
      <c r="T878" s="28">
        <v>31.0</v>
      </c>
      <c r="U878" s="28">
        <v>77.0</v>
      </c>
      <c r="V878" s="28">
        <v>14.0</v>
      </c>
      <c r="W878" s="28" t="s">
        <v>859</v>
      </c>
      <c r="X878" s="28" t="s">
        <v>272</v>
      </c>
      <c r="Y878" s="28" t="s">
        <v>10881</v>
      </c>
      <c r="Z878" s="28" t="s">
        <v>5208</v>
      </c>
      <c r="AA878" s="28" t="s">
        <v>2141</v>
      </c>
      <c r="AB878" s="28">
        <v>8.0</v>
      </c>
      <c r="AC878" s="28" t="s">
        <v>25</v>
      </c>
      <c r="AD878" s="23"/>
      <c r="AE878" s="28" t="s">
        <v>10</v>
      </c>
      <c r="AF878" s="23" t="str">
        <f>IFERROR(__xludf.DUMMYFUNCTION("TEXTJOIN("", "", TRUE,
  FILTER(Champions!C:C,
    ISNUMBER(SEARCH(C878, Champions!W:W))
  )
)"),"Kunal Jani, Swathi Koundinya")</f>
        <v>Kunal Jani, Swathi Koundinya</v>
      </c>
      <c r="AG878" s="23"/>
      <c r="AH878" s="23" t="str">
        <f>IFERROR(__xludf.DUMMYFUNCTION("IF(
ISNUMBER(MATCH(
C878,
IMPORTRANGE(""https://docs.google.com/spreadsheets/d/1yTh1ELC33JHYOeEdgIiEclxPRyh0zOKtlawDltfUay8"",""'Interns'!A:A""),
0
)),
""Outreach Conducted"",
"""")"),"")</f>
        <v/>
      </c>
      <c r="AI878" s="23"/>
      <c r="AJ878" s="23"/>
      <c r="AK878" s="23" t="str">
        <f>IFERROR(__xludf.DUMMYFUNCTION("XLOOKUP(C878, 
   IMPORTRANGE(""1RdEdgHYrZ33LJ7RUHj_h-qkAFL92bcVjtIdVa-UlsCw"", ""Interns!D:D""), 
   IMPORTRANGE(""1RdEdgHYrZ33LJ7RUHj_h-qkAFL92bcVjtIdVa-UlsCw"", ""Interns!M:M""), 
   ""Not Found"")"),"")</f>
        <v/>
      </c>
      <c r="AL878" s="23" t="str">
        <f>IFERROR(__xludf.DUMMYFUNCTION("XLOOKUP(C878, 
   IMPORTRANGE(""1RdEdgHYrZ33LJ7RUHj_h-qkAFL92bcVjtIdVa-UlsCw"", ""Interns!D:D""), 
   IMPORTRANGE(""1RdEdgHYrZ33LJ7RUHj_h-qkAFL92bcVjtIdVa-UlsCw"", ""Interns!N:N""), 
   ""Not Found"")"),"")</f>
        <v/>
      </c>
      <c r="AM878" s="23" t="str">
        <f>IFERROR(__xludf.DUMMYFUNCTION("XLOOKUP(C878, 
   IMPORTRANGE(""1RdEdgHYrZ33LJ7RUHj_h-qkAFL92bcVjtIdVa-UlsCw"", ""Interns!D:D""), 
   IMPORTRANGE(""1RdEdgHYrZ33LJ7RUHj_h-qkAFL92bcVjtIdVa-UlsCw"", ""Interns!O:O""), 
   ""Not Found"")"),"")</f>
        <v/>
      </c>
      <c r="AN878" s="23"/>
      <c r="AO878" s="23" t="s">
        <v>10882</v>
      </c>
      <c r="AP878" s="28" t="s">
        <v>5191</v>
      </c>
      <c r="AQ878" s="28" t="s">
        <v>10883</v>
      </c>
      <c r="AR878" s="23" t="s">
        <v>10884</v>
      </c>
      <c r="AS878" s="23"/>
      <c r="AT878" s="23"/>
      <c r="AU878" s="23"/>
      <c r="AV878" s="23"/>
    </row>
    <row r="879">
      <c r="A879" s="28" t="s">
        <v>5161</v>
      </c>
      <c r="B879" s="28" t="s">
        <v>31</v>
      </c>
      <c r="C879" s="23" t="str">
        <f t="shared" si="1"/>
        <v>Elisa Och</v>
      </c>
      <c r="D879" s="28" t="s">
        <v>10885</v>
      </c>
      <c r="E879" s="28" t="s">
        <v>10886</v>
      </c>
      <c r="F879" s="23">
        <f t="array" ref="F879">IFERROR(
    INDEX('Hub Interns 226'!A:A, MATCH(C879, 'Hub Interns 226'!B:B, 0)),"")</f>
        <v>481</v>
      </c>
      <c r="G879" s="23">
        <f t="array" ref="G879">IFERROR(
    INDEX('Hub Users 226'!A:A, MATCH(C879, 'Hub Users 226'!B:B, 0)),"")</f>
        <v>914</v>
      </c>
      <c r="H879" s="28">
        <v>1038.0</v>
      </c>
      <c r="I879" s="28"/>
      <c r="J879" s="28"/>
      <c r="K879" s="28"/>
      <c r="L879" s="28" t="s">
        <v>5196</v>
      </c>
      <c r="M879" s="56" t="s">
        <v>10887</v>
      </c>
      <c r="N879" s="57">
        <v>44683.70763888889</v>
      </c>
      <c r="O879" s="58">
        <v>44577.0</v>
      </c>
      <c r="P879" s="28">
        <f t="shared" si="24"/>
        <v>4</v>
      </c>
      <c r="Q879" s="28" t="s">
        <v>10888</v>
      </c>
      <c r="R879" s="28" t="s">
        <v>10889</v>
      </c>
      <c r="S879" s="28"/>
      <c r="T879" s="28"/>
      <c r="U879" s="28"/>
      <c r="V879" s="28"/>
      <c r="W879" s="28" t="s">
        <v>1173</v>
      </c>
      <c r="X879" s="28" t="s">
        <v>272</v>
      </c>
      <c r="Y879" s="28" t="s">
        <v>10890</v>
      </c>
      <c r="Z879" s="28" t="s">
        <v>5403</v>
      </c>
      <c r="AA879" s="28" t="s">
        <v>5404</v>
      </c>
      <c r="AB879" s="28">
        <v>21.0</v>
      </c>
      <c r="AC879" s="28" t="s">
        <v>24</v>
      </c>
      <c r="AD879" s="23"/>
      <c r="AE879" s="28" t="s">
        <v>10</v>
      </c>
      <c r="AF879" s="23"/>
      <c r="AG879" s="26" t="s">
        <v>5697</v>
      </c>
      <c r="AH879" s="23" t="str">
        <f>IFERROR(__xludf.DUMMYFUNCTION("IF(
ISNUMBER(MATCH(
C879,
IMPORTRANGE(""https://docs.google.com/spreadsheets/d/1yTh1ELC33JHYOeEdgIiEclxPRyh0zOKtlawDltfUay8"",""'Interns'!A:A""),
0
)),
""Outreach Conducted"",
"""")"),"")</f>
        <v/>
      </c>
      <c r="AI879" s="23"/>
      <c r="AJ879" s="23"/>
      <c r="AK879" s="23" t="str">
        <f>IFERROR(__xludf.DUMMYFUNCTION("XLOOKUP(C879, 
   IMPORTRANGE(""1RdEdgHYrZ33LJ7RUHj_h-qkAFL92bcVjtIdVa-UlsCw"", ""Interns!D:D""), 
   IMPORTRANGE(""1RdEdgHYrZ33LJ7RUHj_h-qkAFL92bcVjtIdVa-UlsCw"", ""Interns!M:M""), 
   ""Not Found"")"),"RSVP'd")</f>
        <v>RSVP'd</v>
      </c>
      <c r="AL879" s="23" t="str">
        <f>IFERROR(__xludf.DUMMYFUNCTION("XLOOKUP(C879, 
   IMPORTRANGE(""1RdEdgHYrZ33LJ7RUHj_h-qkAFL92bcVjtIdVa-UlsCw"", ""Interns!D:D""), 
   IMPORTRANGE(""1RdEdgHYrZ33LJ7RUHj_h-qkAFL92bcVjtIdVa-UlsCw"", ""Interns!N:N""), 
   ""Not Found"")"),"#Cheers4Careers")</f>
        <v>#Cheers4Careers</v>
      </c>
      <c r="AM879" s="23" t="str">
        <f>IFERROR(__xludf.DUMMYFUNCTION("XLOOKUP(C879, 
   IMPORTRANGE(""1RdEdgHYrZ33LJ7RUHj_h-qkAFL92bcVjtIdVa-UlsCw"", ""Interns!D:D""), 
   IMPORTRANGE(""1RdEdgHYrZ33LJ7RUHj_h-qkAFL92bcVjtIdVa-UlsCw"", ""Interns!O:O""), 
   ""Not Found"")"),"Reached out by text 3/27-3/28, 3/28: filled out the form 
Reached out via text 04/10 by Jackie: Registered")</f>
        <v>Reached out by text 3/27-3/28, 3/28: filled out the form 
Reached out via text 04/10 by Jackie: Registered</v>
      </c>
      <c r="AN879" s="23"/>
      <c r="AO879" s="23" t="s">
        <v>10891</v>
      </c>
      <c r="AP879" s="28" t="s">
        <v>5173</v>
      </c>
      <c r="AQ879" s="28"/>
      <c r="AR879" s="23"/>
      <c r="AS879" s="23"/>
      <c r="AT879" s="23"/>
      <c r="AU879" s="23"/>
      <c r="AV879" s="23"/>
    </row>
    <row r="880">
      <c r="A880" s="28" t="s">
        <v>5161</v>
      </c>
      <c r="B880" s="28" t="s">
        <v>5162</v>
      </c>
      <c r="C880" s="23" t="str">
        <f t="shared" si="1"/>
        <v>Hemeregilda Mejia</v>
      </c>
      <c r="D880" s="28" t="s">
        <v>10892</v>
      </c>
      <c r="E880" s="28" t="s">
        <v>8263</v>
      </c>
      <c r="F880" s="23">
        <f t="array" ref="F880">IFERROR(
    INDEX('Hub Interns 226'!A:A, MATCH(C880, 'Hub Interns 226'!B:B, 0)),"")</f>
        <v>580</v>
      </c>
      <c r="G880" s="23">
        <f t="array" ref="G880">IFERROR(
    INDEX('Hub Users 226'!A:A, MATCH(C880, 'Hub Users 226'!B:B, 0)),"")</f>
        <v>1013</v>
      </c>
      <c r="H880" s="28">
        <v>1290.0</v>
      </c>
      <c r="I880" s="28" t="s">
        <v>260</v>
      </c>
      <c r="J880" s="28" t="s">
        <v>5176</v>
      </c>
      <c r="K880" s="28" t="s">
        <v>5177</v>
      </c>
      <c r="L880" s="28" t="s">
        <v>5196</v>
      </c>
      <c r="M880" s="56" t="s">
        <v>10893</v>
      </c>
      <c r="N880" s="59">
        <v>44846.40416666667</v>
      </c>
      <c r="O880" s="58">
        <v>38872.0</v>
      </c>
      <c r="P880" s="28">
        <f t="shared" si="24"/>
        <v>19</v>
      </c>
      <c r="Q880" s="28" t="s">
        <v>10894</v>
      </c>
      <c r="R880" s="28" t="s">
        <v>10895</v>
      </c>
      <c r="S880" s="28">
        <v>15.0</v>
      </c>
      <c r="T880" s="28">
        <v>32.0</v>
      </c>
      <c r="U880" s="28">
        <v>79.0</v>
      </c>
      <c r="V880" s="28">
        <v>17.0</v>
      </c>
      <c r="W880" s="28" t="s">
        <v>859</v>
      </c>
      <c r="X880" s="28" t="s">
        <v>272</v>
      </c>
      <c r="Y880" s="28" t="s">
        <v>10896</v>
      </c>
      <c r="Z880" s="28" t="s">
        <v>5918</v>
      </c>
      <c r="AA880" s="28" t="s">
        <v>477</v>
      </c>
      <c r="AB880" s="28">
        <v>15.0</v>
      </c>
      <c r="AC880" s="28" t="s">
        <v>23</v>
      </c>
      <c r="AD880" s="28" t="s">
        <v>101</v>
      </c>
      <c r="AE880" s="28" t="s">
        <v>15</v>
      </c>
      <c r="AF880" s="23"/>
      <c r="AG880" s="23"/>
      <c r="AH880" s="23" t="str">
        <f>IFERROR(__xludf.DUMMYFUNCTION("IF(
ISNUMBER(MATCH(
C880,
IMPORTRANGE(""https://docs.google.com/spreadsheets/d/1yTh1ELC33JHYOeEdgIiEclxPRyh0zOKtlawDltfUay8"",""'Interns'!A:A""),
0
)),
""Outreach Conducted"",
"""")"),"")</f>
        <v/>
      </c>
      <c r="AI880" s="23"/>
      <c r="AJ880" s="23"/>
      <c r="AK880" s="23" t="str">
        <f>IFERROR(__xludf.DUMMYFUNCTION("XLOOKUP(C880, 
   IMPORTRANGE(""1RdEdgHYrZ33LJ7RUHj_h-qkAFL92bcVjtIdVa-UlsCw"", ""Interns!D:D""), 
   IMPORTRANGE(""1RdEdgHYrZ33LJ7RUHj_h-qkAFL92bcVjtIdVa-UlsCw"", ""Interns!M:M""), 
   ""Not Found"")"),"")</f>
        <v/>
      </c>
      <c r="AL880" s="23" t="str">
        <f>IFERROR(__xludf.DUMMYFUNCTION("XLOOKUP(C880, 
   IMPORTRANGE(""1RdEdgHYrZ33LJ7RUHj_h-qkAFL92bcVjtIdVa-UlsCw"", ""Interns!D:D""), 
   IMPORTRANGE(""1RdEdgHYrZ33LJ7RUHj_h-qkAFL92bcVjtIdVa-UlsCw"", ""Interns!N:N""), 
   ""Not Found"")"),"")</f>
        <v/>
      </c>
      <c r="AM880" s="23" t="str">
        <f>IFERROR(__xludf.DUMMYFUNCTION("XLOOKUP(C880, 
   IMPORTRANGE(""1RdEdgHYrZ33LJ7RUHj_h-qkAFL92bcVjtIdVa-UlsCw"", ""Interns!D:D""), 
   IMPORTRANGE(""1RdEdgHYrZ33LJ7RUHj_h-qkAFL92bcVjtIdVa-UlsCw"", ""Interns!O:O""), 
   ""Not Found"")"),"")</f>
        <v/>
      </c>
      <c r="AN880" s="23"/>
      <c r="AO880" s="23" t="s">
        <v>10897</v>
      </c>
      <c r="AP880" s="28" t="s">
        <v>5182</v>
      </c>
      <c r="AQ880" s="28"/>
      <c r="AR880" s="23"/>
      <c r="AS880" s="23"/>
      <c r="AT880" s="23"/>
      <c r="AU880" s="23"/>
      <c r="AV880" s="23"/>
    </row>
    <row r="881">
      <c r="A881" s="28" t="s">
        <v>5161</v>
      </c>
      <c r="B881" s="28" t="s">
        <v>5162</v>
      </c>
      <c r="C881" s="23" t="str">
        <f t="shared" si="1"/>
        <v>Sisely Hernandez</v>
      </c>
      <c r="D881" s="28" t="s">
        <v>10898</v>
      </c>
      <c r="E881" s="28" t="s">
        <v>2168</v>
      </c>
      <c r="F881" s="23">
        <f t="array" ref="F881">IFERROR(
    INDEX('Hub Interns 226'!A:A, MATCH(C881, 'Hub Interns 226'!B:B, 0)),"")</f>
        <v>1105</v>
      </c>
      <c r="G881" s="23">
        <f t="array" ref="G881">IFERROR(
    INDEX('Hub Users 226'!A:A, MATCH(C881, 'Hub Users 226'!B:B, 0)),"")</f>
        <v>1538</v>
      </c>
      <c r="H881" s="28">
        <v>586.0</v>
      </c>
      <c r="I881" s="28" t="s">
        <v>260</v>
      </c>
      <c r="J881" s="28" t="s">
        <v>5176</v>
      </c>
      <c r="K881" s="28" t="s">
        <v>5177</v>
      </c>
      <c r="L881" s="28" t="s">
        <v>5196</v>
      </c>
      <c r="M881" s="56" t="s">
        <v>10899</v>
      </c>
      <c r="N881" s="59">
        <v>44483.64375</v>
      </c>
      <c r="O881" s="58">
        <v>38625.0</v>
      </c>
      <c r="P881" s="28">
        <f t="shared" si="24"/>
        <v>20</v>
      </c>
      <c r="Q881" s="28" t="s">
        <v>240</v>
      </c>
      <c r="R881" s="28" t="s">
        <v>10900</v>
      </c>
      <c r="S881" s="28">
        <v>5.0</v>
      </c>
      <c r="T881" s="28">
        <v>10.0</v>
      </c>
      <c r="U881" s="28">
        <v>32.0</v>
      </c>
      <c r="V881" s="28">
        <v>28.0</v>
      </c>
      <c r="W881" s="28" t="s">
        <v>1173</v>
      </c>
      <c r="X881" s="28" t="s">
        <v>272</v>
      </c>
      <c r="Y881" s="28" t="s">
        <v>10901</v>
      </c>
      <c r="Z881" s="28" t="s">
        <v>5189</v>
      </c>
      <c r="AA881" s="28" t="s">
        <v>619</v>
      </c>
      <c r="AB881" s="28">
        <v>20.0</v>
      </c>
      <c r="AC881" s="28" t="s">
        <v>25</v>
      </c>
      <c r="AD881" s="23"/>
      <c r="AE881" s="28" t="s">
        <v>10</v>
      </c>
      <c r="AF881" s="23" t="str">
        <f>IFERROR(__xludf.DUMMYFUNCTION("TEXTJOIN("", "", TRUE,
  FILTER(Champions!C:C,
    ISNUMBER(SEARCH(C881, Champions!W:W))
  )
)"),"Estrella Mestres, Sandra Llontop")</f>
        <v>Estrella Mestres, Sandra Llontop</v>
      </c>
      <c r="AG881" s="23"/>
      <c r="AH881" s="23" t="str">
        <f>IFERROR(__xludf.DUMMYFUNCTION("IF(
ISNUMBER(MATCH(
C881,
IMPORTRANGE(""https://docs.google.com/spreadsheets/d/1yTh1ELC33JHYOeEdgIiEclxPRyh0zOKtlawDltfUay8"",""'Interns'!A:A""),
0
)),
""Outreach Conducted"",
"""")"),"")</f>
        <v/>
      </c>
      <c r="AI881" s="23"/>
      <c r="AJ881" s="23"/>
      <c r="AK881" s="23" t="str">
        <f>IFERROR(__xludf.DUMMYFUNCTION("XLOOKUP(C881, 
   IMPORTRANGE(""1RdEdgHYrZ33LJ7RUHj_h-qkAFL92bcVjtIdVa-UlsCw"", ""Interns!D:D""), 
   IMPORTRANGE(""1RdEdgHYrZ33LJ7RUHj_h-qkAFL92bcVjtIdVa-UlsCw"", ""Interns!M:M""), 
   ""Not Found"")"),"Contacted")</f>
        <v>Contacted</v>
      </c>
      <c r="AL881" s="23" t="str">
        <f>IFERROR(__xludf.DUMMYFUNCTION("XLOOKUP(C881, 
   IMPORTRANGE(""1RdEdgHYrZ33LJ7RUHj_h-qkAFL92bcVjtIdVa-UlsCw"", ""Interns!D:D""), 
   IMPORTRANGE(""1RdEdgHYrZ33LJ7RUHj_h-qkAFL92bcVjtIdVa-UlsCw"", ""Interns!N:N""), 
   ""Not Found"")"),"#Cheers4Careers")</f>
        <v>#Cheers4Careers</v>
      </c>
      <c r="AM881" s="23" t="str">
        <f>IFERROR(__xludf.DUMMYFUNCTION("XLOOKUP(C881, 
   IMPORTRANGE(""1RdEdgHYrZ33LJ7RUHj_h-qkAFL92bcVjtIdVa-UlsCw"", ""Interns!D:D""), 
   IMPORTRANGE(""1RdEdgHYrZ33LJ7RUHj_h-qkAFL92bcVjtIdVa-UlsCw"", ""Interns!O:O""), 
   ""Not Found"")"),"Hetal reached out by email 3/27 followed by text")</f>
        <v>Hetal reached out by email 3/27 followed by text</v>
      </c>
      <c r="AN881" s="23"/>
      <c r="AO881" s="23" t="s">
        <v>10902</v>
      </c>
      <c r="AP881" s="28" t="s">
        <v>5191</v>
      </c>
      <c r="AQ881" s="28" t="s">
        <v>10899</v>
      </c>
      <c r="AR881" s="23" t="s">
        <v>10903</v>
      </c>
      <c r="AS881" s="23"/>
      <c r="AT881" s="23"/>
      <c r="AU881" s="23"/>
      <c r="AV881" s="23"/>
    </row>
    <row r="882">
      <c r="A882" s="28" t="s">
        <v>5161</v>
      </c>
      <c r="B882" s="28" t="s">
        <v>31</v>
      </c>
      <c r="C882" s="23" t="str">
        <f t="shared" si="1"/>
        <v>Elliott Robles</v>
      </c>
      <c r="D882" s="28" t="s">
        <v>10904</v>
      </c>
      <c r="E882" s="28" t="s">
        <v>10905</v>
      </c>
      <c r="F882" s="23">
        <f t="array" ref="F882">IFERROR(
    INDEX('Hub Interns 226'!A:A, MATCH(C882, 'Hub Interns 226'!B:B, 0)),"")</f>
        <v>497</v>
      </c>
      <c r="G882" s="23">
        <f t="array" ref="G882">IFERROR(
    INDEX('Hub Users 226'!A:A, MATCH(C882, 'Hub Users 226'!B:B, 0)),"")</f>
        <v>930</v>
      </c>
      <c r="H882" s="28">
        <v>1454.0</v>
      </c>
      <c r="I882" s="28" t="s">
        <v>407</v>
      </c>
      <c r="J882" s="28"/>
      <c r="K882" s="28"/>
      <c r="L882" s="28" t="s">
        <v>5165</v>
      </c>
      <c r="M882" s="56" t="s">
        <v>10906</v>
      </c>
      <c r="N882" s="57">
        <v>44932.66458333333</v>
      </c>
      <c r="O882" s="58">
        <v>39696.0</v>
      </c>
      <c r="P882" s="28">
        <f t="shared" si="24"/>
        <v>17</v>
      </c>
      <c r="Q882" s="28" t="s">
        <v>10907</v>
      </c>
      <c r="R882" s="28" t="s">
        <v>10908</v>
      </c>
      <c r="S882" s="28"/>
      <c r="T882" s="28"/>
      <c r="U882" s="28"/>
      <c r="V882" s="28"/>
      <c r="W882" s="28" t="s">
        <v>859</v>
      </c>
      <c r="X882" s="28" t="s">
        <v>272</v>
      </c>
      <c r="Y882" s="28" t="s">
        <v>10909</v>
      </c>
      <c r="Z882" s="28" t="s">
        <v>10910</v>
      </c>
      <c r="AA882" s="28" t="s">
        <v>5871</v>
      </c>
      <c r="AB882" s="28">
        <v>31.0</v>
      </c>
      <c r="AC882" s="28" t="s">
        <v>23</v>
      </c>
      <c r="AD882" s="23"/>
      <c r="AE882" s="28" t="s">
        <v>15</v>
      </c>
      <c r="AF882" s="23"/>
      <c r="AG882" s="23"/>
      <c r="AH882" s="23" t="str">
        <f>IFERROR(__xludf.DUMMYFUNCTION("IF(
ISNUMBER(MATCH(
C882,
IMPORTRANGE(""https://docs.google.com/spreadsheets/d/1yTh1ELC33JHYOeEdgIiEclxPRyh0zOKtlawDltfUay8"",""'Interns'!A:A""),
0
)),
""Outreach Conducted"",
"""")"),"")</f>
        <v/>
      </c>
      <c r="AI882" s="23"/>
      <c r="AJ882" s="23"/>
      <c r="AK882" s="23" t="str">
        <f>IFERROR(__xludf.DUMMYFUNCTION("XLOOKUP(C882, 
   IMPORTRANGE(""1RdEdgHYrZ33LJ7RUHj_h-qkAFL92bcVjtIdVa-UlsCw"", ""Interns!D:D""), 
   IMPORTRANGE(""1RdEdgHYrZ33LJ7RUHj_h-qkAFL92bcVjtIdVa-UlsCw"", ""Interns!M:M""), 
   ""Not Found"")"),"In Communication")</f>
        <v>In Communication</v>
      </c>
      <c r="AL882" s="23" t="str">
        <f>IFERROR(__xludf.DUMMYFUNCTION("XLOOKUP(C882, 
   IMPORTRANGE(""1RdEdgHYrZ33LJ7RUHj_h-qkAFL92bcVjtIdVa-UlsCw"", ""Interns!D:D""), 
   IMPORTRANGE(""1RdEdgHYrZ33LJ7RUHj_h-qkAFL92bcVjtIdVa-UlsCw"", ""Interns!N:N""), 
   ""Not Found"")"),"#Cheers4Careers, Soiree")</f>
        <v>#Cheers4Careers, Soiree</v>
      </c>
      <c r="AM882" s="23" t="str">
        <f>IFERROR(__xludf.DUMMYFUNCTION("XLOOKUP(C882, 
   IMPORTRANGE(""1RdEdgHYrZ33LJ7RUHj_h-qkAFL92bcVjtIdVa-UlsCw"", ""Interns!D:D""), 
   IMPORTRANGE(""1RdEdgHYrZ33LJ7RUHj_h-qkAFL92bcVjtIdVa-UlsCw"", ""Interns!O:O""), 
   ""Not Found"")"),"Hetal reached out by text 3/27 for #Cheers4Careers, he said he isn't free for this one but is considering Soiree")</f>
        <v>Hetal reached out by text 3/27 for #Cheers4Careers, he said he isn't free for this one but is considering Soiree</v>
      </c>
      <c r="AN882" s="23"/>
      <c r="AO882" s="23" t="s">
        <v>10911</v>
      </c>
      <c r="AP882" s="28" t="s">
        <v>5191</v>
      </c>
      <c r="AQ882" s="28"/>
      <c r="AR882" s="23"/>
      <c r="AS882" s="23"/>
      <c r="AT882" s="23"/>
      <c r="AU882" s="23"/>
      <c r="AV882" s="23"/>
    </row>
    <row r="883">
      <c r="A883" s="28" t="s">
        <v>5161</v>
      </c>
      <c r="B883" s="28" t="s">
        <v>5162</v>
      </c>
      <c r="C883" s="23" t="str">
        <f t="shared" si="1"/>
        <v>Karilyne Suazo</v>
      </c>
      <c r="D883" s="28" t="s">
        <v>10912</v>
      </c>
      <c r="E883" s="28" t="s">
        <v>10913</v>
      </c>
      <c r="F883" s="23">
        <f t="array" ref="F883">IFERROR(
    INDEX('Hub Interns 226'!A:A, MATCH(C883, 'Hub Interns 226'!B:B, 0)),"")</f>
        <v>726</v>
      </c>
      <c r="G883" s="23">
        <f t="array" ref="G883">IFERROR(
    INDEX('Hub Users 226'!A:A, MATCH(C883, 'Hub Users 226'!B:B, 0)),"")</f>
        <v>1159</v>
      </c>
      <c r="H883" s="28">
        <v>1499.0</v>
      </c>
      <c r="I883" s="28" t="s">
        <v>260</v>
      </c>
      <c r="J883" s="28" t="s">
        <v>5176</v>
      </c>
      <c r="K883" s="28" t="s">
        <v>5177</v>
      </c>
      <c r="L883" s="28" t="s">
        <v>5196</v>
      </c>
      <c r="M883" s="56" t="s">
        <v>10914</v>
      </c>
      <c r="N883" s="57">
        <v>44949.66875</v>
      </c>
      <c r="O883" s="58">
        <v>37744.0</v>
      </c>
      <c r="P883" s="28">
        <f t="shared" si="24"/>
        <v>23</v>
      </c>
      <c r="Q883" s="28" t="s">
        <v>10915</v>
      </c>
      <c r="R883" s="28" t="s">
        <v>10916</v>
      </c>
      <c r="S883" s="28">
        <v>14.0</v>
      </c>
      <c r="T883" s="28">
        <v>32.0</v>
      </c>
      <c r="U883" s="28">
        <v>85.0</v>
      </c>
      <c r="V883" s="28">
        <v>17.0</v>
      </c>
      <c r="W883" s="28" t="s">
        <v>859</v>
      </c>
      <c r="X883" s="28" t="s">
        <v>272</v>
      </c>
      <c r="Y883" s="28" t="s">
        <v>10917</v>
      </c>
      <c r="Z883" s="28" t="s">
        <v>5918</v>
      </c>
      <c r="AA883" s="28" t="s">
        <v>477</v>
      </c>
      <c r="AB883" s="28">
        <v>15.0</v>
      </c>
      <c r="AC883" s="28" t="s">
        <v>25</v>
      </c>
      <c r="AD883" s="23"/>
      <c r="AE883" s="28" t="s">
        <v>15</v>
      </c>
      <c r="AF883" s="23" t="str">
        <f>IFERROR(__xludf.DUMMYFUNCTION("TEXTJOIN("", "", TRUE,
  FILTER(Champions!C:C,
    ISNUMBER(SEARCH(C883, Champions!W:W))
  )
)"),"Addy Michelle Jimenez Haga, Esteban Proaño")</f>
        <v>Addy Michelle Jimenez Haga, Esteban Proaño</v>
      </c>
      <c r="AG883" s="23"/>
      <c r="AH883" s="23" t="str">
        <f>IFERROR(__xludf.DUMMYFUNCTION("IF(
ISNUMBER(MATCH(
C883,
IMPORTRANGE(""https://docs.google.com/spreadsheets/d/1yTh1ELC33JHYOeEdgIiEclxPRyh0zOKtlawDltfUay8"",""'Interns'!A:A""),
0
)),
""Outreach Conducted"",
"""")"),"")</f>
        <v/>
      </c>
      <c r="AI883" s="23"/>
      <c r="AJ883" s="23"/>
      <c r="AK883" s="23" t="str">
        <f>IFERROR(__xludf.DUMMYFUNCTION("XLOOKUP(C883, 
   IMPORTRANGE(""1RdEdgHYrZ33LJ7RUHj_h-qkAFL92bcVjtIdVa-UlsCw"", ""Interns!D:D""), 
   IMPORTRANGE(""1RdEdgHYrZ33LJ7RUHj_h-qkAFL92bcVjtIdVa-UlsCw"", ""Interns!M:M""), 
   ""Not Found"")"),"")</f>
        <v/>
      </c>
      <c r="AL883" s="23" t="str">
        <f>IFERROR(__xludf.DUMMYFUNCTION("XLOOKUP(C883, 
   IMPORTRANGE(""1RdEdgHYrZ33LJ7RUHj_h-qkAFL92bcVjtIdVa-UlsCw"", ""Interns!D:D""), 
   IMPORTRANGE(""1RdEdgHYrZ33LJ7RUHj_h-qkAFL92bcVjtIdVa-UlsCw"", ""Interns!N:N""), 
   ""Not Found"")"),"")</f>
        <v/>
      </c>
      <c r="AM883" s="23" t="str">
        <f>IFERROR(__xludf.DUMMYFUNCTION("XLOOKUP(C883, 
   IMPORTRANGE(""1RdEdgHYrZ33LJ7RUHj_h-qkAFL92bcVjtIdVa-UlsCw"", ""Interns!D:D""), 
   IMPORTRANGE(""1RdEdgHYrZ33LJ7RUHj_h-qkAFL92bcVjtIdVa-UlsCw"", ""Interns!O:O""), 
   ""Not Found"")"),"")</f>
        <v/>
      </c>
      <c r="AN883" s="23"/>
      <c r="AO883" s="23" t="s">
        <v>10918</v>
      </c>
      <c r="AP883" s="28" t="s">
        <v>5191</v>
      </c>
      <c r="AQ883" s="28" t="s">
        <v>10919</v>
      </c>
      <c r="AR883" s="23" t="s">
        <v>10920</v>
      </c>
      <c r="AS883" s="23"/>
      <c r="AT883" s="23"/>
      <c r="AU883" s="23"/>
      <c r="AV883" s="23"/>
    </row>
    <row r="884">
      <c r="A884" s="28" t="s">
        <v>5161</v>
      </c>
      <c r="B884" s="28" t="s">
        <v>5162</v>
      </c>
      <c r="C884" s="23" t="str">
        <f t="shared" si="1"/>
        <v>Jatziry Guity</v>
      </c>
      <c r="D884" s="28" t="s">
        <v>10921</v>
      </c>
      <c r="E884" s="28" t="s">
        <v>10922</v>
      </c>
      <c r="F884" s="23" t="str">
        <f t="array" ref="F884">IFERROR(
    INDEX('Hub Interns 226'!A:A, MATCH(C884, 'Hub Interns 226'!B:B, 0)),"")</f>
        <v/>
      </c>
      <c r="G884" s="23">
        <f t="array" ref="G884">IFERROR(
    INDEX('Hub Users 226'!A:A, MATCH(C884, 'Hub Users 226'!B:B, 0)),"")</f>
        <v>19</v>
      </c>
      <c r="H884" s="28">
        <v>1117.0</v>
      </c>
      <c r="I884" s="28" t="s">
        <v>608</v>
      </c>
      <c r="J884" s="28" t="s">
        <v>5176</v>
      </c>
      <c r="K884" s="28" t="s">
        <v>5177</v>
      </c>
      <c r="L884" s="28" t="s">
        <v>5196</v>
      </c>
      <c r="M884" s="56" t="s">
        <v>10923</v>
      </c>
      <c r="N884" s="57">
        <v>44726.64722222222</v>
      </c>
      <c r="O884" s="58">
        <v>37973.0</v>
      </c>
      <c r="P884" s="28">
        <f t="shared" si="24"/>
        <v>22</v>
      </c>
      <c r="Q884" s="28" t="s">
        <v>10924</v>
      </c>
      <c r="R884" s="28" t="s">
        <v>10925</v>
      </c>
      <c r="S884" s="28">
        <v>5.0</v>
      </c>
      <c r="T884" s="28">
        <v>11.0</v>
      </c>
      <c r="U884" s="28">
        <v>32.0</v>
      </c>
      <c r="V884" s="28">
        <v>24.0</v>
      </c>
      <c r="W884" s="28" t="s">
        <v>1173</v>
      </c>
      <c r="X884" s="28" t="s">
        <v>272</v>
      </c>
      <c r="Y884" s="28" t="s">
        <v>10926</v>
      </c>
      <c r="Z884" s="28" t="s">
        <v>5208</v>
      </c>
      <c r="AA884" s="28" t="s">
        <v>2141</v>
      </c>
      <c r="AB884" s="28">
        <v>8.0</v>
      </c>
      <c r="AC884" s="28" t="s">
        <v>25</v>
      </c>
      <c r="AD884" s="23"/>
      <c r="AE884" s="28" t="s">
        <v>17</v>
      </c>
      <c r="AF884" s="23" t="str">
        <f>IFERROR(__xludf.DUMMYFUNCTION("TEXTJOIN("", "", TRUE,
  FILTER(Champions!C:C,
    ISNUMBER(SEARCH(C884, Champions!W:W))
  )
)"),"Anna Butuzova, Daniela Fernandez Espinosa, Lata Murti")</f>
        <v>Anna Butuzova, Daniela Fernandez Espinosa, Lata Murti</v>
      </c>
      <c r="AG884" s="26" t="s">
        <v>10770</v>
      </c>
      <c r="AH884" s="23" t="str">
        <f>IFERROR(__xludf.DUMMYFUNCTION("IF(
ISNUMBER(MATCH(
C884,
IMPORTRANGE(""https://docs.google.com/spreadsheets/d/1yTh1ELC33JHYOeEdgIiEclxPRyh0zOKtlawDltfUay8"",""'Interns'!A:A""),
0
)),
""Outreach Conducted"",
"""")"),"")</f>
        <v/>
      </c>
      <c r="AI884" s="23"/>
      <c r="AJ884" s="23"/>
      <c r="AK884" s="23" t="str">
        <f>IFERROR(__xludf.DUMMYFUNCTION("XLOOKUP(C884, 
   IMPORTRANGE(""1RdEdgHYrZ33LJ7RUHj_h-qkAFL92bcVjtIdVa-UlsCw"", ""Interns!D:D""), 
   IMPORTRANGE(""1RdEdgHYrZ33LJ7RUHj_h-qkAFL92bcVjtIdVa-UlsCw"", ""Interns!M:M""), 
   ""Not Found"")"),"Contacted")</f>
        <v>Contacted</v>
      </c>
      <c r="AL884" s="23" t="str">
        <f>IFERROR(__xludf.DUMMYFUNCTION("XLOOKUP(C884, 
   IMPORTRANGE(""1RdEdgHYrZ33LJ7RUHj_h-qkAFL92bcVjtIdVa-UlsCw"", ""Interns!D:D""), 
   IMPORTRANGE(""1RdEdgHYrZ33LJ7RUHj_h-qkAFL92bcVjtIdVa-UlsCw"", ""Interns!N:N""), 
   ""Not Found"")"),"#Cheers4Careers")</f>
        <v>#Cheers4Careers</v>
      </c>
      <c r="AM884" s="23" t="str">
        <f>IFERROR(__xludf.DUMMYFUNCTION("XLOOKUP(C884, 
   IMPORTRANGE(""1RdEdgHYrZ33LJ7RUHj_h-qkAFL92bcVjtIdVa-UlsCw"", ""Interns!D:D""), 
   IMPORTRANGE(""1RdEdgHYrZ33LJ7RUHj_h-qkAFL92bcVjtIdVa-UlsCw"", ""Interns!O:O""), 
   ""Not Found"")"),"Hetal reached out by email 3/27  and text")</f>
        <v>Hetal reached out by email 3/27  and text</v>
      </c>
      <c r="AN884" s="23"/>
      <c r="AO884" s="23" t="s">
        <v>10927</v>
      </c>
      <c r="AP884" s="28" t="s">
        <v>5182</v>
      </c>
      <c r="AQ884" s="28" t="s">
        <v>10928</v>
      </c>
      <c r="AR884" s="23" t="s">
        <v>10929</v>
      </c>
      <c r="AS884" s="23"/>
      <c r="AT884" s="23"/>
      <c r="AU884" s="23"/>
      <c r="AV884" s="23"/>
    </row>
    <row r="885">
      <c r="A885" s="28" t="s">
        <v>5161</v>
      </c>
      <c r="B885" s="28" t="s">
        <v>5162</v>
      </c>
      <c r="C885" s="23" t="str">
        <f t="shared" si="1"/>
        <v>Emili Ordonez</v>
      </c>
      <c r="D885" s="28" t="s">
        <v>10930</v>
      </c>
      <c r="E885" s="28" t="s">
        <v>10931</v>
      </c>
      <c r="F885" s="23">
        <f t="array" ref="F885">IFERROR(
    INDEX('Hub Interns 226'!A:A, MATCH(C885, 'Hub Interns 226'!B:B, 0)),"")</f>
        <v>492</v>
      </c>
      <c r="G885" s="23">
        <f t="array" ref="G885">IFERROR(
    INDEX('Hub Users 226'!A:A, MATCH(C885, 'Hub Users 226'!B:B, 0)),"")</f>
        <v>925</v>
      </c>
      <c r="H885" s="28">
        <v>492.0</v>
      </c>
      <c r="I885" s="28" t="s">
        <v>608</v>
      </c>
      <c r="J885" s="28" t="s">
        <v>5176</v>
      </c>
      <c r="K885" s="28" t="s">
        <v>5177</v>
      </c>
      <c r="L885" s="28" t="s">
        <v>5196</v>
      </c>
      <c r="M885" s="56" t="s">
        <v>10932</v>
      </c>
      <c r="N885" s="57">
        <v>44475.626388888886</v>
      </c>
      <c r="O885" s="58">
        <v>38197.0</v>
      </c>
      <c r="P885" s="28">
        <f t="shared" si="24"/>
        <v>21</v>
      </c>
      <c r="Q885" s="28" t="s">
        <v>240</v>
      </c>
      <c r="R885" s="28" t="s">
        <v>10933</v>
      </c>
      <c r="S885" s="28">
        <v>5.0</v>
      </c>
      <c r="T885" s="28">
        <v>14.0</v>
      </c>
      <c r="U885" s="28">
        <v>29.0</v>
      </c>
      <c r="V885" s="28">
        <v>27.0</v>
      </c>
      <c r="W885" s="28" t="s">
        <v>1173</v>
      </c>
      <c r="X885" s="28" t="s">
        <v>272</v>
      </c>
      <c r="Y885" s="28" t="s">
        <v>10934</v>
      </c>
      <c r="Z885" s="28" t="s">
        <v>5918</v>
      </c>
      <c r="AA885" s="28" t="s">
        <v>477</v>
      </c>
      <c r="AB885" s="28">
        <v>15.0</v>
      </c>
      <c r="AC885" s="28" t="s">
        <v>25</v>
      </c>
      <c r="AD885" s="23"/>
      <c r="AE885" s="28" t="s">
        <v>10</v>
      </c>
      <c r="AF885" s="23" t="str">
        <f>IFERROR(__xludf.DUMMYFUNCTION("TEXTJOIN("", "", TRUE,
  FILTER(Champions!C:C,
    ISNUMBER(SEARCH(C885, Champions!W:W))
  )
)"),"Addy Michelle Jimenez Haga, Lata Murti, Jan Panchalingam")</f>
        <v>Addy Michelle Jimenez Haga, Lata Murti, Jan Panchalingam</v>
      </c>
      <c r="AG885" s="23"/>
      <c r="AH885" s="23" t="str">
        <f>IFERROR(__xludf.DUMMYFUNCTION("IF(
ISNUMBER(MATCH(
C885,
IMPORTRANGE(""https://docs.google.com/spreadsheets/d/1yTh1ELC33JHYOeEdgIiEclxPRyh0zOKtlawDltfUay8"",""'Interns'!A:A""),
0
)),
""Outreach Conducted"",
"""")"),"")</f>
        <v/>
      </c>
      <c r="AI885" s="23"/>
      <c r="AJ885" s="23"/>
      <c r="AK885" s="23" t="str">
        <f>IFERROR(__xludf.DUMMYFUNCTION("XLOOKUP(C885, 
   IMPORTRANGE(""1RdEdgHYrZ33LJ7RUHj_h-qkAFL92bcVjtIdVa-UlsCw"", ""Interns!D:D""), 
   IMPORTRANGE(""1RdEdgHYrZ33LJ7RUHj_h-qkAFL92bcVjtIdVa-UlsCw"", ""Interns!M:M""), 
   ""Not Found"")"),"")</f>
        <v/>
      </c>
      <c r="AL885" s="23" t="str">
        <f>IFERROR(__xludf.DUMMYFUNCTION("XLOOKUP(C885, 
   IMPORTRANGE(""1RdEdgHYrZ33LJ7RUHj_h-qkAFL92bcVjtIdVa-UlsCw"", ""Interns!D:D""), 
   IMPORTRANGE(""1RdEdgHYrZ33LJ7RUHj_h-qkAFL92bcVjtIdVa-UlsCw"", ""Interns!N:N""), 
   ""Not Found"")"),"")</f>
        <v/>
      </c>
      <c r="AM885" s="23" t="str">
        <f>IFERROR(__xludf.DUMMYFUNCTION("XLOOKUP(C885, 
   IMPORTRANGE(""1RdEdgHYrZ33LJ7RUHj_h-qkAFL92bcVjtIdVa-UlsCw"", ""Interns!D:D""), 
   IMPORTRANGE(""1RdEdgHYrZ33LJ7RUHj_h-qkAFL92bcVjtIdVa-UlsCw"", ""Interns!O:O""), 
   ""Not Found"")"),"")</f>
        <v/>
      </c>
      <c r="AN885" s="23"/>
      <c r="AO885" s="23" t="s">
        <v>10935</v>
      </c>
      <c r="AP885" s="28" t="s">
        <v>5182</v>
      </c>
      <c r="AQ885" s="28" t="s">
        <v>10936</v>
      </c>
      <c r="AR885" s="23" t="s">
        <v>10934</v>
      </c>
      <c r="AS885" s="23"/>
      <c r="AT885" s="23"/>
      <c r="AU885" s="23"/>
      <c r="AV885" s="23"/>
    </row>
    <row r="886">
      <c r="A886" s="28" t="s">
        <v>5161</v>
      </c>
      <c r="B886" s="28" t="s">
        <v>5162</v>
      </c>
      <c r="C886" s="23" t="str">
        <f t="shared" si="1"/>
        <v>Genesis Gomez</v>
      </c>
      <c r="D886" s="28" t="s">
        <v>6519</v>
      </c>
      <c r="E886" s="28" t="s">
        <v>6277</v>
      </c>
      <c r="F886" s="23">
        <f t="array" ref="F886">IFERROR(
    INDEX('Hub Interns 226'!A:A, MATCH(C886, 'Hub Interns 226'!B:B, 0)),"")</f>
        <v>546</v>
      </c>
      <c r="G886" s="23">
        <f t="array" ref="G886">IFERROR(
    INDEX('Hub Users 226'!A:A, MATCH(C886, 'Hub Users 226'!B:B, 0)),"")</f>
        <v>979</v>
      </c>
      <c r="H886" s="28">
        <v>1264.0</v>
      </c>
      <c r="I886" s="28" t="s">
        <v>239</v>
      </c>
      <c r="J886" s="28" t="s">
        <v>5176</v>
      </c>
      <c r="K886" s="28" t="s">
        <v>5177</v>
      </c>
      <c r="L886" s="28" t="s">
        <v>5196</v>
      </c>
      <c r="M886" s="56" t="s">
        <v>10937</v>
      </c>
      <c r="N886" s="59">
        <v>44845.436111111114</v>
      </c>
      <c r="O886" s="58">
        <v>39046.0</v>
      </c>
      <c r="P886" s="28">
        <f t="shared" si="24"/>
        <v>19</v>
      </c>
      <c r="Q886" s="28" t="s">
        <v>240</v>
      </c>
      <c r="R886" s="28" t="s">
        <v>10938</v>
      </c>
      <c r="S886" s="28">
        <v>15.0</v>
      </c>
      <c r="T886" s="28">
        <v>32.0</v>
      </c>
      <c r="U886" s="28">
        <v>79.0</v>
      </c>
      <c r="V886" s="28">
        <v>15.0</v>
      </c>
      <c r="W886" s="28" t="s">
        <v>859</v>
      </c>
      <c r="X886" s="28" t="s">
        <v>272</v>
      </c>
      <c r="Y886" s="28" t="s">
        <v>10939</v>
      </c>
      <c r="Z886" s="28" t="s">
        <v>5918</v>
      </c>
      <c r="AA886" s="28" t="s">
        <v>477</v>
      </c>
      <c r="AB886" s="28">
        <v>15.0</v>
      </c>
      <c r="AC886" s="28" t="s">
        <v>23</v>
      </c>
      <c r="AD886" s="23"/>
      <c r="AE886" s="28" t="s">
        <v>15</v>
      </c>
      <c r="AF886" s="23"/>
      <c r="AG886" s="23"/>
      <c r="AH886" s="23" t="str">
        <f>IFERROR(__xludf.DUMMYFUNCTION("IF(
ISNUMBER(MATCH(
C886,
IMPORTRANGE(""https://docs.google.com/spreadsheets/d/1yTh1ELC33JHYOeEdgIiEclxPRyh0zOKtlawDltfUay8"",""'Interns'!A:A""),
0
)),
""Outreach Conducted"",
"""")"),"")</f>
        <v/>
      </c>
      <c r="AI886" s="23"/>
      <c r="AJ886" s="23"/>
      <c r="AK886" s="23" t="str">
        <f>IFERROR(__xludf.DUMMYFUNCTION("XLOOKUP(C886, 
   IMPORTRANGE(""1RdEdgHYrZ33LJ7RUHj_h-qkAFL92bcVjtIdVa-UlsCw"", ""Interns!D:D""), 
   IMPORTRANGE(""1RdEdgHYrZ33LJ7RUHj_h-qkAFL92bcVjtIdVa-UlsCw"", ""Interns!M:M""), 
   ""Not Found"")"),"")</f>
        <v/>
      </c>
      <c r="AL886" s="23" t="str">
        <f>IFERROR(__xludf.DUMMYFUNCTION("XLOOKUP(C886, 
   IMPORTRANGE(""1RdEdgHYrZ33LJ7RUHj_h-qkAFL92bcVjtIdVa-UlsCw"", ""Interns!D:D""), 
   IMPORTRANGE(""1RdEdgHYrZ33LJ7RUHj_h-qkAFL92bcVjtIdVa-UlsCw"", ""Interns!N:N""), 
   ""Not Found"")"),"")</f>
        <v/>
      </c>
      <c r="AM886" s="23" t="str">
        <f>IFERROR(__xludf.DUMMYFUNCTION("XLOOKUP(C886, 
   IMPORTRANGE(""1RdEdgHYrZ33LJ7RUHj_h-qkAFL92bcVjtIdVa-UlsCw"", ""Interns!D:D""), 
   IMPORTRANGE(""1RdEdgHYrZ33LJ7RUHj_h-qkAFL92bcVjtIdVa-UlsCw"", ""Interns!O:O""), 
   ""Not Found"")"),"")</f>
        <v/>
      </c>
      <c r="AN886" s="23"/>
      <c r="AO886" s="23" t="s">
        <v>10940</v>
      </c>
      <c r="AP886" s="28" t="s">
        <v>5191</v>
      </c>
      <c r="AQ886" s="28"/>
      <c r="AR886" s="23"/>
      <c r="AS886" s="23"/>
      <c r="AT886" s="23"/>
      <c r="AU886" s="23"/>
      <c r="AV886" s="23"/>
    </row>
    <row r="887">
      <c r="A887" s="28" t="s">
        <v>5161</v>
      </c>
      <c r="B887" s="28" t="s">
        <v>5162</v>
      </c>
      <c r="C887" s="23" t="str">
        <f t="shared" si="1"/>
        <v>Romel Elvir Villanueva</v>
      </c>
      <c r="D887" s="28" t="s">
        <v>10941</v>
      </c>
      <c r="E887" s="28" t="s">
        <v>10942</v>
      </c>
      <c r="F887" s="23">
        <f t="array" ref="F887">IFERROR(
    INDEX('Hub Interns 226'!A:A, MATCH(C887, 'Hub Interns 226'!B:B, 0)),"")</f>
        <v>1035</v>
      </c>
      <c r="G887" s="23">
        <f t="array" ref="G887">IFERROR(
    INDEX('Hub Users 226'!A:A, MATCH(C887, 'Hub Users 226'!B:B, 0)),"")</f>
        <v>1468</v>
      </c>
      <c r="H887" s="28">
        <v>493.0</v>
      </c>
      <c r="I887" s="28" t="s">
        <v>302</v>
      </c>
      <c r="J887" s="28" t="s">
        <v>5176</v>
      </c>
      <c r="K887" s="28" t="s">
        <v>5177</v>
      </c>
      <c r="L887" s="28" t="s">
        <v>5165</v>
      </c>
      <c r="M887" s="56" t="s">
        <v>10943</v>
      </c>
      <c r="N887" s="57">
        <v>44475.64166666667</v>
      </c>
      <c r="O887" s="58">
        <v>38970.0</v>
      </c>
      <c r="P887" s="28">
        <f t="shared" si="24"/>
        <v>19</v>
      </c>
      <c r="Q887" s="28" t="s">
        <v>240</v>
      </c>
      <c r="R887" s="28" t="s">
        <v>10944</v>
      </c>
      <c r="S887" s="28">
        <v>15.0</v>
      </c>
      <c r="T887" s="28">
        <v>33.0</v>
      </c>
      <c r="U887" s="28">
        <v>78.0</v>
      </c>
      <c r="V887" s="28">
        <v>15.0</v>
      </c>
      <c r="W887" s="28" t="s">
        <v>859</v>
      </c>
      <c r="X887" s="28" t="s">
        <v>272</v>
      </c>
      <c r="Y887" s="28" t="s">
        <v>10945</v>
      </c>
      <c r="Z887" s="28" t="s">
        <v>5918</v>
      </c>
      <c r="AA887" s="28" t="s">
        <v>477</v>
      </c>
      <c r="AB887" s="28">
        <v>15.0</v>
      </c>
      <c r="AC887" s="28" t="s">
        <v>25</v>
      </c>
      <c r="AD887" s="23"/>
      <c r="AE887" s="28" t="s">
        <v>10</v>
      </c>
      <c r="AF887" s="23" t="str">
        <f>IFERROR(__xludf.DUMMYFUNCTION("TEXTJOIN("", "", TRUE,
  FILTER(Champions!C:C,
    ISNUMBER(SEARCH(C887, Champions!W:W))
  )
)"),"Erycka Montoya, Natsumi Komatani")</f>
        <v>Erycka Montoya, Natsumi Komatani</v>
      </c>
      <c r="AG887" s="23"/>
      <c r="AH887" s="23" t="str">
        <f>IFERROR(__xludf.DUMMYFUNCTION("IF(
ISNUMBER(MATCH(
C887,
IMPORTRANGE(""https://docs.google.com/spreadsheets/d/1yTh1ELC33JHYOeEdgIiEclxPRyh0zOKtlawDltfUay8"",""'Interns'!A:A""),
0
)),
""Outreach Conducted"",
"""")"),"")</f>
        <v/>
      </c>
      <c r="AI887" s="23"/>
      <c r="AJ887" s="23"/>
      <c r="AK887" s="23" t="str">
        <f>IFERROR(__xludf.DUMMYFUNCTION("XLOOKUP(C887, 
   IMPORTRANGE(""1RdEdgHYrZ33LJ7RUHj_h-qkAFL92bcVjtIdVa-UlsCw"", ""Interns!D:D""), 
   IMPORTRANGE(""1RdEdgHYrZ33LJ7RUHj_h-qkAFL92bcVjtIdVa-UlsCw"", ""Interns!M:M""), 
   ""Not Found"")"),"")</f>
        <v/>
      </c>
      <c r="AL887" s="23" t="str">
        <f>IFERROR(__xludf.DUMMYFUNCTION("XLOOKUP(C887, 
   IMPORTRANGE(""1RdEdgHYrZ33LJ7RUHj_h-qkAFL92bcVjtIdVa-UlsCw"", ""Interns!D:D""), 
   IMPORTRANGE(""1RdEdgHYrZ33LJ7RUHj_h-qkAFL92bcVjtIdVa-UlsCw"", ""Interns!N:N""), 
   ""Not Found"")"),"")</f>
        <v/>
      </c>
      <c r="AM887" s="23" t="str">
        <f>IFERROR(__xludf.DUMMYFUNCTION("XLOOKUP(C887, 
   IMPORTRANGE(""1RdEdgHYrZ33LJ7RUHj_h-qkAFL92bcVjtIdVa-UlsCw"", ""Interns!D:D""), 
   IMPORTRANGE(""1RdEdgHYrZ33LJ7RUHj_h-qkAFL92bcVjtIdVa-UlsCw"", ""Interns!O:O""), 
   ""Not Found"")"),"")</f>
        <v/>
      </c>
      <c r="AN887" s="23"/>
      <c r="AO887" s="23" t="s">
        <v>10946</v>
      </c>
      <c r="AP887" s="28" t="s">
        <v>5182</v>
      </c>
      <c r="AQ887" s="28" t="s">
        <v>10943</v>
      </c>
      <c r="AR887" s="23" t="s">
        <v>10947</v>
      </c>
      <c r="AS887" s="23"/>
      <c r="AT887" s="23"/>
      <c r="AU887" s="23"/>
      <c r="AV887" s="23"/>
    </row>
    <row r="888">
      <c r="A888" s="28" t="s">
        <v>5202</v>
      </c>
      <c r="B888" s="28" t="s">
        <v>5162</v>
      </c>
      <c r="C888" s="23" t="str">
        <f t="shared" si="1"/>
        <v>Licsy Reyes</v>
      </c>
      <c r="D888" s="28" t="s">
        <v>10948</v>
      </c>
      <c r="E888" s="28" t="s">
        <v>4325</v>
      </c>
      <c r="F888" s="23">
        <f t="array" ref="F888">IFERROR(
    INDEX('Hub Interns 226'!A:A, MATCH(C888, 'Hub Interns 226'!B:B, 0)),"")</f>
        <v>781</v>
      </c>
      <c r="G888" s="23">
        <f t="array" ref="G888">IFERROR(
    INDEX('Hub Users 226'!A:A, MATCH(C888, 'Hub Users 226'!B:B, 0)),"")</f>
        <v>1214</v>
      </c>
      <c r="H888" s="28">
        <v>265.0</v>
      </c>
      <c r="I888" s="28" t="s">
        <v>260</v>
      </c>
      <c r="J888" s="28" t="s">
        <v>5176</v>
      </c>
      <c r="K888" s="28" t="s">
        <v>5177</v>
      </c>
      <c r="L888" s="28" t="s">
        <v>5196</v>
      </c>
      <c r="M888" s="56" t="s">
        <v>10949</v>
      </c>
      <c r="N888" s="57">
        <v>44207.0625</v>
      </c>
      <c r="O888" s="58">
        <v>38452.0</v>
      </c>
      <c r="P888" s="28">
        <f t="shared" si="24"/>
        <v>21</v>
      </c>
      <c r="Q888" s="28" t="s">
        <v>10950</v>
      </c>
      <c r="R888" s="28" t="s">
        <v>10951</v>
      </c>
      <c r="S888" s="28"/>
      <c r="T888" s="28"/>
      <c r="U888" s="28"/>
      <c r="V888" s="28"/>
      <c r="W888" s="28" t="s">
        <v>859</v>
      </c>
      <c r="X888" s="28" t="s">
        <v>272</v>
      </c>
      <c r="Y888" s="28" t="s">
        <v>10952</v>
      </c>
      <c r="Z888" s="28" t="s">
        <v>5918</v>
      </c>
      <c r="AA888" s="28" t="s">
        <v>477</v>
      </c>
      <c r="AB888" s="28">
        <v>15.0</v>
      </c>
      <c r="AC888" s="28" t="s">
        <v>25</v>
      </c>
      <c r="AD888" s="23"/>
      <c r="AE888" s="28" t="s">
        <v>11</v>
      </c>
      <c r="AF888" s="23" t="str">
        <f>IFERROR(__xludf.DUMMYFUNCTION("TEXTJOIN("", "", TRUE,
  FILTER(Champions!C:C,
    ISNUMBER(SEARCH(C888, Champions!W:W))
  )
)"),"Addy Michelle Jimenez Haga, Amelia Geary, Sandra Llontop")</f>
        <v>Addy Michelle Jimenez Haga, Amelia Geary, Sandra Llontop</v>
      </c>
      <c r="AG888" s="23"/>
      <c r="AH888" s="23" t="str">
        <f>IFERROR(__xludf.DUMMYFUNCTION("IF(
ISNUMBER(MATCH(
C888,
IMPORTRANGE(""https://docs.google.com/spreadsheets/d/1yTh1ELC33JHYOeEdgIiEclxPRyh0zOKtlawDltfUay8"",""'Interns'!A:A""),
0
)),
""Outreach Conducted"",
"""")"),"")</f>
        <v/>
      </c>
      <c r="AI888" s="23"/>
      <c r="AJ888" s="23"/>
      <c r="AK888" s="23" t="str">
        <f>IFERROR(__xludf.DUMMYFUNCTION("XLOOKUP(C888, 
   IMPORTRANGE(""1RdEdgHYrZ33LJ7RUHj_h-qkAFL92bcVjtIdVa-UlsCw"", ""Interns!D:D""), 
   IMPORTRANGE(""1RdEdgHYrZ33LJ7RUHj_h-qkAFL92bcVjtIdVa-UlsCw"", ""Interns!M:M""), 
   ""Not Found"")"),"")</f>
        <v/>
      </c>
      <c r="AL888" s="23" t="str">
        <f>IFERROR(__xludf.DUMMYFUNCTION("XLOOKUP(C888, 
   IMPORTRANGE(""1RdEdgHYrZ33LJ7RUHj_h-qkAFL92bcVjtIdVa-UlsCw"", ""Interns!D:D""), 
   IMPORTRANGE(""1RdEdgHYrZ33LJ7RUHj_h-qkAFL92bcVjtIdVa-UlsCw"", ""Interns!N:N""), 
   ""Not Found"")"),"")</f>
        <v/>
      </c>
      <c r="AM888" s="23" t="str">
        <f>IFERROR(__xludf.DUMMYFUNCTION("XLOOKUP(C888, 
   IMPORTRANGE(""1RdEdgHYrZ33LJ7RUHj_h-qkAFL92bcVjtIdVa-UlsCw"", ""Interns!D:D""), 
   IMPORTRANGE(""1RdEdgHYrZ33LJ7RUHj_h-qkAFL92bcVjtIdVa-UlsCw"", ""Interns!O:O""), 
   ""Not Found"")"),"")</f>
        <v/>
      </c>
      <c r="AN888" s="23"/>
      <c r="AO888" s="23" t="s">
        <v>10953</v>
      </c>
      <c r="AP888" s="28" t="s">
        <v>5182</v>
      </c>
      <c r="AQ888" s="28" t="s">
        <v>10954</v>
      </c>
      <c r="AR888" s="23">
        <v>9.293838352E9</v>
      </c>
      <c r="AS888" s="23"/>
      <c r="AT888" s="23"/>
      <c r="AU888" s="23"/>
      <c r="AV888" s="23"/>
    </row>
    <row r="889">
      <c r="A889" s="28" t="s">
        <v>5161</v>
      </c>
      <c r="B889" s="28" t="s">
        <v>5162</v>
      </c>
      <c r="C889" s="23" t="str">
        <f t="shared" si="1"/>
        <v>Debixs Figueroa</v>
      </c>
      <c r="D889" s="28" t="s">
        <v>10955</v>
      </c>
      <c r="E889" s="28" t="s">
        <v>10956</v>
      </c>
      <c r="F889" s="23">
        <f t="array" ref="F889">IFERROR(
    INDEX('Hub Interns 226'!A:A, MATCH(C889, 'Hub Interns 226'!B:B, 0)),"")</f>
        <v>441</v>
      </c>
      <c r="G889" s="23">
        <f t="array" ref="G889">IFERROR(
    INDEX('Hub Users 226'!A:A, MATCH(C889, 'Hub Users 226'!B:B, 0)),"")</f>
        <v>874</v>
      </c>
      <c r="H889" s="28">
        <v>1253.0</v>
      </c>
      <c r="I889" s="28" t="s">
        <v>107</v>
      </c>
      <c r="J889" s="28" t="s">
        <v>5176</v>
      </c>
      <c r="K889" s="28" t="s">
        <v>5177</v>
      </c>
      <c r="L889" s="28" t="s">
        <v>5196</v>
      </c>
      <c r="M889" s="56" t="s">
        <v>10957</v>
      </c>
      <c r="N889" s="57">
        <v>44841.43541666667</v>
      </c>
      <c r="O889" s="58">
        <v>38852.0</v>
      </c>
      <c r="P889" s="28">
        <f t="shared" si="24"/>
        <v>20</v>
      </c>
      <c r="Q889" s="28" t="s">
        <v>240</v>
      </c>
      <c r="R889" s="28" t="s">
        <v>10958</v>
      </c>
      <c r="S889" s="28">
        <v>15.0</v>
      </c>
      <c r="T889" s="28">
        <v>33.0</v>
      </c>
      <c r="U889" s="28">
        <v>78.0</v>
      </c>
      <c r="V889" s="28">
        <v>15.0</v>
      </c>
      <c r="W889" s="28" t="s">
        <v>859</v>
      </c>
      <c r="X889" s="28" t="s">
        <v>272</v>
      </c>
      <c r="Y889" s="28" t="s">
        <v>10959</v>
      </c>
      <c r="Z889" s="28" t="s">
        <v>5918</v>
      </c>
      <c r="AA889" s="28" t="s">
        <v>477</v>
      </c>
      <c r="AB889" s="28">
        <v>15.0</v>
      </c>
      <c r="AC889" s="28" t="s">
        <v>23</v>
      </c>
      <c r="AD889" s="28" t="s">
        <v>101</v>
      </c>
      <c r="AE889" s="28" t="s">
        <v>15</v>
      </c>
      <c r="AF889" s="23"/>
      <c r="AG889" s="23"/>
      <c r="AH889" s="23" t="str">
        <f>IFERROR(__xludf.DUMMYFUNCTION("IF(
ISNUMBER(MATCH(
C889,
IMPORTRANGE(""https://docs.google.com/spreadsheets/d/1yTh1ELC33JHYOeEdgIiEclxPRyh0zOKtlawDltfUay8"",""'Interns'!A:A""),
0
)),
""Outreach Conducted"",
"""")"),"")</f>
        <v/>
      </c>
      <c r="AI889" s="23"/>
      <c r="AJ889" s="23"/>
      <c r="AK889" s="23" t="str">
        <f>IFERROR(__xludf.DUMMYFUNCTION("XLOOKUP(C889, 
   IMPORTRANGE(""1RdEdgHYrZ33LJ7RUHj_h-qkAFL92bcVjtIdVa-UlsCw"", ""Interns!D:D""), 
   IMPORTRANGE(""1RdEdgHYrZ33LJ7RUHj_h-qkAFL92bcVjtIdVa-UlsCw"", ""Interns!M:M""), 
   ""Not Found"")"),"")</f>
        <v/>
      </c>
      <c r="AL889" s="23" t="str">
        <f>IFERROR(__xludf.DUMMYFUNCTION("XLOOKUP(C889, 
   IMPORTRANGE(""1RdEdgHYrZ33LJ7RUHj_h-qkAFL92bcVjtIdVa-UlsCw"", ""Interns!D:D""), 
   IMPORTRANGE(""1RdEdgHYrZ33LJ7RUHj_h-qkAFL92bcVjtIdVa-UlsCw"", ""Interns!N:N""), 
   ""Not Found"")"),"#SpeakingMyName")</f>
        <v>#SpeakingMyName</v>
      </c>
      <c r="AM889" s="23" t="str">
        <f>IFERROR(__xludf.DUMMYFUNCTION("XLOOKUP(C889, 
   IMPORTRANGE(""1RdEdgHYrZ33LJ7RUHj_h-qkAFL92bcVjtIdVa-UlsCw"", ""Interns!D:D""), 
   IMPORTRANGE(""1RdEdgHYrZ33LJ7RUHj_h-qkAFL92bcVjtIdVa-UlsCw"", ""Interns!O:O""), 
   ""Not Found"")"),"Alicia reached out by email on 5/15 for #SpeakingMyName")</f>
        <v>Alicia reached out by email on 5/15 for #SpeakingMyName</v>
      </c>
      <c r="AN889" s="23"/>
      <c r="AO889" s="23" t="s">
        <v>10960</v>
      </c>
      <c r="AP889" s="28" t="s">
        <v>5182</v>
      </c>
      <c r="AQ889" s="28" t="s">
        <v>10961</v>
      </c>
      <c r="AR889" s="23">
        <v>6.468302555E9</v>
      </c>
      <c r="AS889" s="23"/>
      <c r="AT889" s="23"/>
      <c r="AU889" s="23"/>
      <c r="AV889" s="23"/>
    </row>
    <row r="890">
      <c r="A890" s="28" t="s">
        <v>5161</v>
      </c>
      <c r="B890" s="28" t="s">
        <v>5162</v>
      </c>
      <c r="C890" s="23" t="str">
        <f t="shared" si="1"/>
        <v>Stacy Espinoza</v>
      </c>
      <c r="D890" s="28" t="s">
        <v>10962</v>
      </c>
      <c r="E890" s="28" t="s">
        <v>933</v>
      </c>
      <c r="F890" s="23">
        <f t="array" ref="F890">IFERROR(
    INDEX('Hub Interns 226'!A:A, MATCH(C890, 'Hub Interns 226'!B:B, 0)),"")</f>
        <v>1087</v>
      </c>
      <c r="G890" s="23">
        <f t="array" ref="G890">IFERROR(
    INDEX('Hub Users 226'!A:A, MATCH(C890, 'Hub Users 226'!B:B, 0)),"")</f>
        <v>1520</v>
      </c>
      <c r="H890" s="28">
        <v>1261.0</v>
      </c>
      <c r="I890" s="28" t="s">
        <v>260</v>
      </c>
      <c r="J890" s="28" t="s">
        <v>5176</v>
      </c>
      <c r="K890" s="28" t="s">
        <v>5177</v>
      </c>
      <c r="L890" s="28" t="s">
        <v>5196</v>
      </c>
      <c r="M890" s="56" t="s">
        <v>10963</v>
      </c>
      <c r="N890" s="59">
        <v>44845.39444444444</v>
      </c>
      <c r="O890" s="58">
        <v>38782.0</v>
      </c>
      <c r="P890" s="28">
        <f t="shared" si="24"/>
        <v>20</v>
      </c>
      <c r="Q890" s="28" t="s">
        <v>240</v>
      </c>
      <c r="R890" s="28" t="s">
        <v>10964</v>
      </c>
      <c r="S890" s="28">
        <v>13.0</v>
      </c>
      <c r="T890" s="28">
        <v>31.0</v>
      </c>
      <c r="U890" s="28">
        <v>86.0</v>
      </c>
      <c r="V890" s="28">
        <v>14.0</v>
      </c>
      <c r="W890" s="28" t="s">
        <v>859</v>
      </c>
      <c r="X890" s="28" t="s">
        <v>272</v>
      </c>
      <c r="Y890" s="28" t="s">
        <v>10965</v>
      </c>
      <c r="Z890" s="28" t="s">
        <v>5918</v>
      </c>
      <c r="AA890" s="28" t="s">
        <v>477</v>
      </c>
      <c r="AB890" s="28">
        <v>15.0</v>
      </c>
      <c r="AC890" s="28" t="s">
        <v>23</v>
      </c>
      <c r="AD890" s="23"/>
      <c r="AE890" s="28" t="s">
        <v>15</v>
      </c>
      <c r="AF890" s="23"/>
      <c r="AG890" s="23"/>
      <c r="AH890" s="23" t="str">
        <f>IFERROR(__xludf.DUMMYFUNCTION("IF(
ISNUMBER(MATCH(
C890,
IMPORTRANGE(""https://docs.google.com/spreadsheets/d/1yTh1ELC33JHYOeEdgIiEclxPRyh0zOKtlawDltfUay8"",""'Interns'!A:A""),
0
)),
""Outreach Conducted"",
"""")"),"")</f>
        <v/>
      </c>
      <c r="AI890" s="23"/>
      <c r="AJ890" s="23"/>
      <c r="AK890" s="23" t="str">
        <f>IFERROR(__xludf.DUMMYFUNCTION("XLOOKUP(C890, 
   IMPORTRANGE(""1RdEdgHYrZ33LJ7RUHj_h-qkAFL92bcVjtIdVa-UlsCw"", ""Interns!D:D""), 
   IMPORTRANGE(""1RdEdgHYrZ33LJ7RUHj_h-qkAFL92bcVjtIdVa-UlsCw"", ""Interns!M:M""), 
   ""Not Found"")"),"")</f>
        <v/>
      </c>
      <c r="AL890" s="23" t="str">
        <f>IFERROR(__xludf.DUMMYFUNCTION("XLOOKUP(C890, 
   IMPORTRANGE(""1RdEdgHYrZ33LJ7RUHj_h-qkAFL92bcVjtIdVa-UlsCw"", ""Interns!D:D""), 
   IMPORTRANGE(""1RdEdgHYrZ33LJ7RUHj_h-qkAFL92bcVjtIdVa-UlsCw"", ""Interns!N:N""), 
   ""Not Found"")"),"")</f>
        <v/>
      </c>
      <c r="AM890" s="23" t="str">
        <f>IFERROR(__xludf.DUMMYFUNCTION("XLOOKUP(C890, 
   IMPORTRANGE(""1RdEdgHYrZ33LJ7RUHj_h-qkAFL92bcVjtIdVa-UlsCw"", ""Interns!D:D""), 
   IMPORTRANGE(""1RdEdgHYrZ33LJ7RUHj_h-qkAFL92bcVjtIdVa-UlsCw"", ""Interns!O:O""), 
   ""Not Found"")"),"")</f>
        <v/>
      </c>
      <c r="AN890" s="23"/>
      <c r="AO890" s="23" t="s">
        <v>10966</v>
      </c>
      <c r="AP890" s="28" t="s">
        <v>5191</v>
      </c>
      <c r="AQ890" s="28"/>
      <c r="AR890" s="23"/>
      <c r="AS890" s="23"/>
      <c r="AT890" s="23"/>
      <c r="AU890" s="23"/>
      <c r="AV890" s="23"/>
    </row>
    <row r="891">
      <c r="A891" s="28" t="s">
        <v>5161</v>
      </c>
      <c r="B891" s="28" t="s">
        <v>5162</v>
      </c>
      <c r="C891" s="23" t="str">
        <f t="shared" si="1"/>
        <v>Jonathan Arauz</v>
      </c>
      <c r="D891" s="28" t="s">
        <v>3728</v>
      </c>
      <c r="E891" s="28" t="s">
        <v>10967</v>
      </c>
      <c r="F891" s="23">
        <f t="array" ref="F891">IFERROR(
    INDEX('Hub Interns 226'!A:A, MATCH("Jonathan Martinez", 'Hub Interns 226'!B:B, 0)),"")</f>
        <v>30</v>
      </c>
      <c r="G891" s="23">
        <f t="array" ref="G891">IFERROR(
    INDEX('Hub Users 226'!A:A, MATCH("Jonathan Martinez", 'Hub Users 226'!B:B, 0)),"")</f>
        <v>463</v>
      </c>
      <c r="H891" s="28">
        <v>1077.0</v>
      </c>
      <c r="I891" s="28" t="s">
        <v>239</v>
      </c>
      <c r="J891" s="28" t="s">
        <v>5176</v>
      </c>
      <c r="K891" s="28" t="s">
        <v>5177</v>
      </c>
      <c r="L891" s="28" t="s">
        <v>5165</v>
      </c>
      <c r="M891" s="56" t="s">
        <v>10598</v>
      </c>
      <c r="N891" s="57">
        <v>44703.763194444444</v>
      </c>
      <c r="O891" s="58">
        <v>38002.0</v>
      </c>
      <c r="P891" s="28">
        <f t="shared" si="24"/>
        <v>22</v>
      </c>
      <c r="Q891" s="28" t="s">
        <v>240</v>
      </c>
      <c r="R891" s="28" t="s">
        <v>10968</v>
      </c>
      <c r="S891" s="28">
        <v>15.0</v>
      </c>
      <c r="T891" s="28">
        <v>32.0</v>
      </c>
      <c r="U891" s="28">
        <v>86.0</v>
      </c>
      <c r="V891" s="28">
        <v>15.0</v>
      </c>
      <c r="W891" s="28" t="s">
        <v>859</v>
      </c>
      <c r="X891" s="28" t="s">
        <v>272</v>
      </c>
      <c r="Y891" s="28" t="s">
        <v>10600</v>
      </c>
      <c r="Z891" s="28" t="s">
        <v>5259</v>
      </c>
      <c r="AA891" s="28" t="s">
        <v>704</v>
      </c>
      <c r="AB891" s="28">
        <v>2.0</v>
      </c>
      <c r="AC891" s="28" t="s">
        <v>24</v>
      </c>
      <c r="AD891" s="23"/>
      <c r="AE891" s="28" t="s">
        <v>10</v>
      </c>
      <c r="AF891" s="23"/>
      <c r="AG891" s="23"/>
      <c r="AH891" s="23" t="str">
        <f>IFERROR(__xludf.DUMMYFUNCTION("IF(
ISNUMBER(MATCH(
C891,
IMPORTRANGE(""https://docs.google.com/spreadsheets/d/1yTh1ELC33JHYOeEdgIiEclxPRyh0zOKtlawDltfUay8"",""'Interns'!A:A""),
0
)),
""Outreach Conducted"",
"""")"),"")</f>
        <v/>
      </c>
      <c r="AI891" s="23"/>
      <c r="AJ891" s="23"/>
      <c r="AK891" s="23" t="str">
        <f>IFERROR(__xludf.DUMMYFUNCTION("XLOOKUP(C891, 
   IMPORTRANGE(""1RdEdgHYrZ33LJ7RUHj_h-qkAFL92bcVjtIdVa-UlsCw"", ""Interns!D:D""), 
   IMPORTRANGE(""1RdEdgHYrZ33LJ7RUHj_h-qkAFL92bcVjtIdVa-UlsCw"", ""Interns!M:M""), 
   ""Not Found"")"),"Contacted")</f>
        <v>Contacted</v>
      </c>
      <c r="AL891" s="23" t="str">
        <f>IFERROR(__xludf.DUMMYFUNCTION("XLOOKUP(C891, 
   IMPORTRANGE(""1RdEdgHYrZ33LJ7RUHj_h-qkAFL92bcVjtIdVa-UlsCw"", ""Interns!D:D""), 
   IMPORTRANGE(""1RdEdgHYrZ33LJ7RUHj_h-qkAFL92bcVjtIdVa-UlsCw"", ""Interns!N:N""), 
   ""Not Found"")"),"#Cheers4Careers")</f>
        <v>#Cheers4Careers</v>
      </c>
      <c r="AM891" s="23" t="str">
        <f>IFERROR(__xludf.DUMMYFUNCTION("XLOOKUP(C891, 
   IMPORTRANGE(""1RdEdgHYrZ33LJ7RUHj_h-qkAFL92bcVjtIdVa-UlsCw"", ""Interns!D:D""), 
   IMPORTRANGE(""1RdEdgHYrZ33LJ7RUHj_h-qkAFL92bcVjtIdVa-UlsCw"", ""Interns!O:O""), 
   ""Not Found"")"),"Ousmane reached out by email 3/26 and reach out by text 3/28")</f>
        <v>Ousmane reached out by email 3/26 and reach out by text 3/28</v>
      </c>
      <c r="AN891" s="23"/>
      <c r="AO891" s="23" t="s">
        <v>10601</v>
      </c>
      <c r="AP891" s="28" t="s">
        <v>5182</v>
      </c>
      <c r="AQ891" s="28"/>
      <c r="AR891" s="23"/>
      <c r="AS891" s="23"/>
      <c r="AT891" s="23"/>
      <c r="AU891" s="23"/>
      <c r="AV891" s="23"/>
    </row>
    <row r="892">
      <c r="A892" s="28" t="s">
        <v>5161</v>
      </c>
      <c r="B892" s="28" t="s">
        <v>5162</v>
      </c>
      <c r="C892" s="23" t="str">
        <f t="shared" si="1"/>
        <v>Leilany Ortiz</v>
      </c>
      <c r="D892" s="28" t="s">
        <v>10969</v>
      </c>
      <c r="E892" s="28" t="s">
        <v>8190</v>
      </c>
      <c r="F892" s="23">
        <f t="array" ref="F892">IFERROR(
    INDEX('Hub Interns 226'!A:A, MATCH(C892, 'Hub Interns 226'!B:B, 0)),"")</f>
        <v>771</v>
      </c>
      <c r="G892" s="23">
        <f t="array" ref="G892">IFERROR(
    INDEX('Hub Users 226'!A:A, MATCH(C892, 'Hub Users 226'!B:B, 0)),"")</f>
        <v>1204</v>
      </c>
      <c r="H892" s="28">
        <v>282.0</v>
      </c>
      <c r="I892" s="28" t="s">
        <v>260</v>
      </c>
      <c r="J892" s="28" t="s">
        <v>5176</v>
      </c>
      <c r="K892" s="28" t="s">
        <v>5177</v>
      </c>
      <c r="L892" s="28" t="s">
        <v>5196</v>
      </c>
      <c r="M892" s="56" t="s">
        <v>10970</v>
      </c>
      <c r="N892" s="57">
        <v>44225.76180555556</v>
      </c>
      <c r="O892" s="58">
        <v>38279.0</v>
      </c>
      <c r="P892" s="28">
        <f t="shared" si="24"/>
        <v>21</v>
      </c>
      <c r="Q892" s="28" t="s">
        <v>10971</v>
      </c>
      <c r="R892" s="28" t="s">
        <v>10972</v>
      </c>
      <c r="S892" s="28">
        <v>15.0</v>
      </c>
      <c r="T892" s="28">
        <v>29.0</v>
      </c>
      <c r="U892" s="28">
        <v>84.0</v>
      </c>
      <c r="V892" s="28">
        <v>8.0</v>
      </c>
      <c r="W892" s="28" t="s">
        <v>859</v>
      </c>
      <c r="X892" s="28" t="s">
        <v>272</v>
      </c>
      <c r="Y892" s="28" t="s">
        <v>10973</v>
      </c>
      <c r="Z892" s="28" t="s">
        <v>5208</v>
      </c>
      <c r="AA892" s="28" t="s">
        <v>2141</v>
      </c>
      <c r="AB892" s="28">
        <v>8.0</v>
      </c>
      <c r="AC892" s="28" t="s">
        <v>25</v>
      </c>
      <c r="AD892" s="23"/>
      <c r="AE892" s="28" t="s">
        <v>8</v>
      </c>
      <c r="AF892" s="23" t="str">
        <f>IFERROR(__xludf.DUMMYFUNCTION("TEXTJOIN("", "", TRUE,
  FILTER(Champions!C:C,
    ISNUMBER(SEARCH(C892, Champions!W:W))
  )
)"),"Natalie Jane Miller, Ammarah Shaikh")</f>
        <v>Natalie Jane Miller, Ammarah Shaikh</v>
      </c>
      <c r="AG892" s="23"/>
      <c r="AH892" s="23" t="str">
        <f>IFERROR(__xludf.DUMMYFUNCTION("IF(
ISNUMBER(MATCH(
C892,
IMPORTRANGE(""https://docs.google.com/spreadsheets/d/1yTh1ELC33JHYOeEdgIiEclxPRyh0zOKtlawDltfUay8"",""'Interns'!A:A""),
0
)),
""Outreach Conducted"",
"""")"),"")</f>
        <v/>
      </c>
      <c r="AI892" s="23"/>
      <c r="AJ892" s="23"/>
      <c r="AK892" s="23" t="str">
        <f>IFERROR(__xludf.DUMMYFUNCTION("XLOOKUP(C892, 
   IMPORTRANGE(""1RdEdgHYrZ33LJ7RUHj_h-qkAFL92bcVjtIdVa-UlsCw"", ""Interns!D:D""), 
   IMPORTRANGE(""1RdEdgHYrZ33LJ7RUHj_h-qkAFL92bcVjtIdVa-UlsCw"", ""Interns!M:M""), 
   ""Not Found"")"),"Contacted")</f>
        <v>Contacted</v>
      </c>
      <c r="AL892" s="23" t="str">
        <f>IFERROR(__xludf.DUMMYFUNCTION("XLOOKUP(C892, 
   IMPORTRANGE(""1RdEdgHYrZ33LJ7RUHj_h-qkAFL92bcVjtIdVa-UlsCw"", ""Interns!D:D""), 
   IMPORTRANGE(""1RdEdgHYrZ33LJ7RUHj_h-qkAFL92bcVjtIdVa-UlsCw"", ""Interns!N:N""), 
   ""Not Found"")"),"#Cheers4Careers")</f>
        <v>#Cheers4Careers</v>
      </c>
      <c r="AM892" s="23" t="str">
        <f>IFERROR(__xludf.DUMMYFUNCTION("XLOOKUP(C892, 
   IMPORTRANGE(""1RdEdgHYrZ33LJ7RUHj_h-qkAFL92bcVjtIdVa-UlsCw"", ""Interns!D:D""), 
   IMPORTRANGE(""1RdEdgHYrZ33LJ7RUHj_h-qkAFL92bcVjtIdVa-UlsCw"", ""Interns!O:O""), 
   ""Not Found"")"),"Hetal reached out by email 3/27 and text")</f>
        <v>Hetal reached out by email 3/27 and text</v>
      </c>
      <c r="AN892" s="23"/>
      <c r="AO892" s="23" t="s">
        <v>10974</v>
      </c>
      <c r="AP892" s="28" t="s">
        <v>5182</v>
      </c>
      <c r="AQ892" s="28" t="s">
        <v>10970</v>
      </c>
      <c r="AR892" s="23" t="s">
        <v>10975</v>
      </c>
      <c r="AS892" s="23"/>
      <c r="AT892" s="23"/>
      <c r="AU892" s="23"/>
      <c r="AV892" s="23"/>
    </row>
    <row r="893">
      <c r="A893" s="28" t="s">
        <v>5202</v>
      </c>
      <c r="B893" s="28" t="s">
        <v>5162</v>
      </c>
      <c r="C893" s="23" t="str">
        <f t="shared" si="1"/>
        <v>Wendy Reyes</v>
      </c>
      <c r="D893" s="28" t="s">
        <v>3577</v>
      </c>
      <c r="E893" s="28" t="s">
        <v>4325</v>
      </c>
      <c r="F893" s="23">
        <f t="array" ref="F893">IFERROR(
    INDEX('Hub Interns 226'!A:A, MATCH(C893, 'Hub Interns 226'!B:B, 0)),"")</f>
        <v>1005</v>
      </c>
      <c r="G893" s="23">
        <f t="array" ref="G893">IFERROR(
    INDEX('Hub Users 226'!A:A, MATCH(C893, 'Hub Users 226'!B:B, 0)),"")</f>
        <v>1438</v>
      </c>
      <c r="H893" s="28">
        <v>891.0</v>
      </c>
      <c r="I893" s="28" t="s">
        <v>260</v>
      </c>
      <c r="J893" s="28" t="s">
        <v>5176</v>
      </c>
      <c r="K893" s="28" t="s">
        <v>5177</v>
      </c>
      <c r="L893" s="28" t="s">
        <v>5196</v>
      </c>
      <c r="M893" s="56" t="s">
        <v>10976</v>
      </c>
      <c r="N893" s="57">
        <v>44601.53125</v>
      </c>
      <c r="O893" s="58">
        <v>38356.0</v>
      </c>
      <c r="P893" s="28">
        <f t="shared" si="24"/>
        <v>21</v>
      </c>
      <c r="Q893" s="28" t="s">
        <v>240</v>
      </c>
      <c r="R893" s="28" t="s">
        <v>10977</v>
      </c>
      <c r="S893" s="28">
        <v>14.0</v>
      </c>
      <c r="T893" s="28">
        <v>11.0</v>
      </c>
      <c r="U893" s="28">
        <v>27.0</v>
      </c>
      <c r="V893" s="28">
        <v>19.0</v>
      </c>
      <c r="W893" s="28" t="s">
        <v>1173</v>
      </c>
      <c r="X893" s="28" t="s">
        <v>272</v>
      </c>
      <c r="Y893" s="28" t="s">
        <v>10978</v>
      </c>
      <c r="Z893" s="28" t="s">
        <v>5189</v>
      </c>
      <c r="AA893" s="28" t="s">
        <v>619</v>
      </c>
      <c r="AB893" s="28">
        <v>20.0</v>
      </c>
      <c r="AC893" s="28" t="s">
        <v>24</v>
      </c>
      <c r="AD893" s="23"/>
      <c r="AE893" s="28" t="s">
        <v>10</v>
      </c>
      <c r="AF893" s="23"/>
      <c r="AG893" s="23"/>
      <c r="AH893" s="23" t="str">
        <f>IFERROR(__xludf.DUMMYFUNCTION("IF(
ISNUMBER(MATCH(
C893,
IMPORTRANGE(""https://docs.google.com/spreadsheets/d/1yTh1ELC33JHYOeEdgIiEclxPRyh0zOKtlawDltfUay8"",""'Interns'!A:A""),
0
)),
""Outreach Conducted"",
"""")"),"")</f>
        <v/>
      </c>
      <c r="AI893" s="23"/>
      <c r="AJ893" s="23"/>
      <c r="AK893" s="23" t="str">
        <f>IFERROR(__xludf.DUMMYFUNCTION("XLOOKUP(C893, 
   IMPORTRANGE(""1RdEdgHYrZ33LJ7RUHj_h-qkAFL92bcVjtIdVa-UlsCw"", ""Interns!D:D""), 
   IMPORTRANGE(""1RdEdgHYrZ33LJ7RUHj_h-qkAFL92bcVjtIdVa-UlsCw"", ""Interns!M:M""), 
   ""Not Found"")"),"")</f>
        <v/>
      </c>
      <c r="AL893" s="23" t="str">
        <f>IFERROR(__xludf.DUMMYFUNCTION("XLOOKUP(C893, 
   IMPORTRANGE(""1RdEdgHYrZ33LJ7RUHj_h-qkAFL92bcVjtIdVa-UlsCw"", ""Interns!D:D""), 
   IMPORTRANGE(""1RdEdgHYrZ33LJ7RUHj_h-qkAFL92bcVjtIdVa-UlsCw"", ""Interns!N:N""), 
   ""Not Found"")"),"")</f>
        <v/>
      </c>
      <c r="AM893" s="23" t="str">
        <f>IFERROR(__xludf.DUMMYFUNCTION("XLOOKUP(C893, 
   IMPORTRANGE(""1RdEdgHYrZ33LJ7RUHj_h-qkAFL92bcVjtIdVa-UlsCw"", ""Interns!D:D""), 
   IMPORTRANGE(""1RdEdgHYrZ33LJ7RUHj_h-qkAFL92bcVjtIdVa-UlsCw"", ""Interns!O:O""), 
   ""Not Found"")"),"")</f>
        <v/>
      </c>
      <c r="AN893" s="23"/>
      <c r="AO893" s="23" t="s">
        <v>10979</v>
      </c>
      <c r="AP893" s="28" t="s">
        <v>5182</v>
      </c>
      <c r="AQ893" s="28"/>
      <c r="AR893" s="23"/>
      <c r="AS893" s="23"/>
      <c r="AT893" s="23"/>
      <c r="AU893" s="23"/>
      <c r="AV893" s="23"/>
    </row>
    <row r="894">
      <c r="A894" s="28" t="s">
        <v>5161</v>
      </c>
      <c r="B894" s="28" t="s">
        <v>5162</v>
      </c>
      <c r="C894" s="23" t="str">
        <f t="shared" si="1"/>
        <v>Melany Ortiz</v>
      </c>
      <c r="D894" s="28" t="s">
        <v>8984</v>
      </c>
      <c r="E894" s="28" t="s">
        <v>8190</v>
      </c>
      <c r="F894" s="23">
        <f t="array" ref="F894">IFERROR(
    INDEX('Hub Interns 226'!A:A, MATCH(C894, 'Hub Interns 226'!B:B, 0)),"")</f>
        <v>878</v>
      </c>
      <c r="G894" s="23">
        <f t="array" ref="G894">IFERROR(
    INDEX('Hub Users 226'!A:A, MATCH(C894, 'Hub Users 226'!B:B, 0)),"")</f>
        <v>1311</v>
      </c>
      <c r="H894" s="28">
        <v>292.0</v>
      </c>
      <c r="I894" s="28" t="s">
        <v>407</v>
      </c>
      <c r="J894" s="28" t="s">
        <v>5176</v>
      </c>
      <c r="K894" s="28" t="s">
        <v>5177</v>
      </c>
      <c r="L894" s="28" t="s">
        <v>5196</v>
      </c>
      <c r="M894" s="56" t="s">
        <v>10980</v>
      </c>
      <c r="N894" s="57">
        <v>44226.839583333334</v>
      </c>
      <c r="O894" s="58">
        <v>38279.0</v>
      </c>
      <c r="P894" s="28">
        <f t="shared" si="24"/>
        <v>21</v>
      </c>
      <c r="Q894" s="28" t="s">
        <v>240</v>
      </c>
      <c r="R894" s="28" t="s">
        <v>10981</v>
      </c>
      <c r="S894" s="28">
        <v>15.0</v>
      </c>
      <c r="T894" s="28">
        <v>29.0</v>
      </c>
      <c r="U894" s="28">
        <v>84.0</v>
      </c>
      <c r="V894" s="28">
        <v>8.0</v>
      </c>
      <c r="W894" s="28" t="s">
        <v>859</v>
      </c>
      <c r="X894" s="28" t="s">
        <v>272</v>
      </c>
      <c r="Y894" s="28" t="s">
        <v>10982</v>
      </c>
      <c r="Z894" s="28" t="s">
        <v>5208</v>
      </c>
      <c r="AA894" s="28" t="s">
        <v>2141</v>
      </c>
      <c r="AB894" s="28">
        <v>8.0</v>
      </c>
      <c r="AC894" s="28" t="s">
        <v>25</v>
      </c>
      <c r="AD894" s="23"/>
      <c r="AE894" s="28" t="s">
        <v>8</v>
      </c>
      <c r="AF894" s="23" t="str">
        <f>IFERROR(__xludf.DUMMYFUNCTION("TEXTJOIN("", "", TRUE,
  FILTER(Champions!C:C,
    ISNUMBER(SEARCH(C894, Champions!W:W))
  )
)"),"Casey Burry, Ariel Sabrina Brigmann")</f>
        <v>Casey Burry, Ariel Sabrina Brigmann</v>
      </c>
      <c r="AG894" s="23"/>
      <c r="AH894" s="23" t="str">
        <f>IFERROR(__xludf.DUMMYFUNCTION("IF(
ISNUMBER(MATCH(
C894,
IMPORTRANGE(""https://docs.google.com/spreadsheets/d/1yTh1ELC33JHYOeEdgIiEclxPRyh0zOKtlawDltfUay8"",""'Interns'!A:A""),
0
)),
""Outreach Conducted"",
"""")"),"")</f>
        <v/>
      </c>
      <c r="AI894" s="23"/>
      <c r="AJ894" s="23"/>
      <c r="AK894" s="23" t="str">
        <f>IFERROR(__xludf.DUMMYFUNCTION("XLOOKUP(C894, 
   IMPORTRANGE(""1RdEdgHYrZ33LJ7RUHj_h-qkAFL92bcVjtIdVa-UlsCw"", ""Interns!D:D""), 
   IMPORTRANGE(""1RdEdgHYrZ33LJ7RUHj_h-qkAFL92bcVjtIdVa-UlsCw"", ""Interns!M:M""), 
   ""Not Found"")"),"Contacted")</f>
        <v>Contacted</v>
      </c>
      <c r="AL894" s="23" t="str">
        <f>IFERROR(__xludf.DUMMYFUNCTION("XLOOKUP(C894, 
   IMPORTRANGE(""1RdEdgHYrZ33LJ7RUHj_h-qkAFL92bcVjtIdVa-UlsCw"", ""Interns!D:D""), 
   IMPORTRANGE(""1RdEdgHYrZ33LJ7RUHj_h-qkAFL92bcVjtIdVa-UlsCw"", ""Interns!N:N""), 
   ""Not Found"")"),"#Cheers4Careers")</f>
        <v>#Cheers4Careers</v>
      </c>
      <c r="AM894" s="23" t="str">
        <f>IFERROR(__xludf.DUMMYFUNCTION("XLOOKUP(C894, 
   IMPORTRANGE(""1RdEdgHYrZ33LJ7RUHj_h-qkAFL92bcVjtIdVa-UlsCw"", ""Interns!D:D""), 
   IMPORTRANGE(""1RdEdgHYrZ33LJ7RUHj_h-qkAFL92bcVjtIdVa-UlsCw"", ""Interns!O:O""), 
   ""Not Found"")"),"Hetal reached out by email 3/27 and text")</f>
        <v>Hetal reached out by email 3/27 and text</v>
      </c>
      <c r="AN894" s="23"/>
      <c r="AO894" s="23" t="s">
        <v>10983</v>
      </c>
      <c r="AP894" s="28" t="s">
        <v>5182</v>
      </c>
      <c r="AQ894" s="28" t="s">
        <v>10984</v>
      </c>
      <c r="AR894" s="23" t="s">
        <v>10975</v>
      </c>
      <c r="AS894" s="23"/>
      <c r="AT894" s="23"/>
      <c r="AU894" s="23"/>
      <c r="AV894" s="23"/>
    </row>
    <row r="895">
      <c r="A895" s="28" t="s">
        <v>5161</v>
      </c>
      <c r="B895" s="28" t="s">
        <v>5162</v>
      </c>
      <c r="C895" s="23" t="str">
        <f t="shared" si="1"/>
        <v>Avril Mejia</v>
      </c>
      <c r="D895" s="28" t="s">
        <v>9833</v>
      </c>
      <c r="E895" s="28" t="s">
        <v>8263</v>
      </c>
      <c r="F895" s="23">
        <f t="array" ref="F895">IFERROR(
    INDEX('Hub Interns 226'!A:A, MATCH(C895, 'Hub Interns 226'!B:B, 0)),"")</f>
        <v>1393</v>
      </c>
      <c r="G895" s="23">
        <f t="array" ref="G895">IFERROR(
    INDEX('Hub Users 226'!A:A, MATCH(C895, 'Hub Users 226'!B:B, 0)),"")</f>
        <v>1949</v>
      </c>
      <c r="H895" s="28">
        <v>717.0</v>
      </c>
      <c r="I895" s="28" t="s">
        <v>260</v>
      </c>
      <c r="J895" s="28" t="s">
        <v>5176</v>
      </c>
      <c r="K895" s="28" t="s">
        <v>5177</v>
      </c>
      <c r="L895" s="28" t="s">
        <v>5196</v>
      </c>
      <c r="M895" s="56" t="s">
        <v>8264</v>
      </c>
      <c r="N895" s="59">
        <v>44547.64444444444</v>
      </c>
      <c r="O895" s="58">
        <v>37588.0</v>
      </c>
      <c r="P895" s="28">
        <f t="shared" si="24"/>
        <v>23</v>
      </c>
      <c r="Q895" s="28" t="s">
        <v>9834</v>
      </c>
      <c r="R895" s="28" t="s">
        <v>9835</v>
      </c>
      <c r="S895" s="28">
        <v>15.0</v>
      </c>
      <c r="T895" s="28">
        <v>32.0</v>
      </c>
      <c r="U895" s="28">
        <v>79.0</v>
      </c>
      <c r="V895" s="28">
        <v>16.0</v>
      </c>
      <c r="W895" s="28" t="s">
        <v>859</v>
      </c>
      <c r="X895" s="28" t="s">
        <v>272</v>
      </c>
      <c r="Y895" s="28" t="s">
        <v>8266</v>
      </c>
      <c r="Z895" s="28" t="s">
        <v>5259</v>
      </c>
      <c r="AA895" s="28" t="s">
        <v>704</v>
      </c>
      <c r="AB895" s="28">
        <v>2.0</v>
      </c>
      <c r="AC895" s="28" t="s">
        <v>25</v>
      </c>
      <c r="AD895" s="23"/>
      <c r="AE895" s="28" t="s">
        <v>10</v>
      </c>
      <c r="AF895" s="23" t="str">
        <f>IFERROR(__xludf.DUMMYFUNCTION("TEXTJOIN("", "", TRUE,
  FILTER(Champions!C:C,
    ISNUMBER(SEARCH(C895, Champions!W:W))
  )
)"),"Amelia Geary, Scotney Young")</f>
        <v>Amelia Geary, Scotney Young</v>
      </c>
      <c r="AG895" s="26" t="s">
        <v>5316</v>
      </c>
      <c r="AH895" s="23" t="str">
        <f>IFERROR(__xludf.DUMMYFUNCTION("IF(
ISNUMBER(MATCH(
C895,
IMPORTRANGE(""https://docs.google.com/spreadsheets/d/1yTh1ELC33JHYOeEdgIiEclxPRyh0zOKtlawDltfUay8"",""'Interns'!A:A""),
0
)),
""Outreach Conducted"",
"""")"),"")</f>
        <v/>
      </c>
      <c r="AI895" s="23"/>
      <c r="AJ895" s="23"/>
      <c r="AK895" s="23" t="str">
        <f>IFERROR(__xludf.DUMMYFUNCTION("XLOOKUP(C895, 
   IMPORTRANGE(""1RdEdgHYrZ33LJ7RUHj_h-qkAFL92bcVjtIdVa-UlsCw"", ""Interns!D:D""), 
   IMPORTRANGE(""1RdEdgHYrZ33LJ7RUHj_h-qkAFL92bcVjtIdVa-UlsCw"", ""Interns!M:M""), 
   ""Not Found"")"),"")</f>
        <v/>
      </c>
      <c r="AL895" s="23" t="str">
        <f>IFERROR(__xludf.DUMMYFUNCTION("XLOOKUP(C895, 
   IMPORTRANGE(""1RdEdgHYrZ33LJ7RUHj_h-qkAFL92bcVjtIdVa-UlsCw"", ""Interns!D:D""), 
   IMPORTRANGE(""1RdEdgHYrZ33LJ7RUHj_h-qkAFL92bcVjtIdVa-UlsCw"", ""Interns!N:N""), 
   ""Not Found"")"),"")</f>
        <v/>
      </c>
      <c r="AM895" s="23" t="str">
        <f>IFERROR(__xludf.DUMMYFUNCTION("XLOOKUP(C895, 
   IMPORTRANGE(""1RdEdgHYrZ33LJ7RUHj_h-qkAFL92bcVjtIdVa-UlsCw"", ""Interns!D:D""), 
   IMPORTRANGE(""1RdEdgHYrZ33LJ7RUHj_h-qkAFL92bcVjtIdVa-UlsCw"", ""Interns!O:O""), 
   ""Not Found"")"),"")</f>
        <v/>
      </c>
      <c r="AN895" s="23"/>
      <c r="AO895" s="23" t="s">
        <v>4325</v>
      </c>
      <c r="AP895" s="28" t="s">
        <v>5182</v>
      </c>
      <c r="AQ895" s="28" t="s">
        <v>8268</v>
      </c>
      <c r="AR895" s="23" t="s">
        <v>9836</v>
      </c>
      <c r="AS895" s="23"/>
      <c r="AT895" s="23"/>
      <c r="AU895" s="23"/>
      <c r="AV895" s="23"/>
    </row>
    <row r="896">
      <c r="A896" s="28" t="s">
        <v>5161</v>
      </c>
      <c r="B896" s="28" t="s">
        <v>5162</v>
      </c>
      <c r="C896" s="23" t="str">
        <f t="shared" si="1"/>
        <v>Francisco Sorto</v>
      </c>
      <c r="D896" s="28" t="s">
        <v>7582</v>
      </c>
      <c r="E896" s="28" t="s">
        <v>10985</v>
      </c>
      <c r="F896" s="23">
        <f t="array" ref="F896">IFERROR(
    INDEX('Hub Interns 226'!A:A, MATCH(C896, 'Hub Interns 226'!B:B, 0)),"")</f>
        <v>528</v>
      </c>
      <c r="G896" s="23">
        <f t="array" ref="G896">IFERROR(
    INDEX('Hub Users 226'!A:A, MATCH(C896, 'Hub Users 226'!B:B, 0)),"")</f>
        <v>961</v>
      </c>
      <c r="H896" s="28">
        <v>1273.0</v>
      </c>
      <c r="I896" s="28" t="s">
        <v>269</v>
      </c>
      <c r="J896" s="28" t="s">
        <v>5176</v>
      </c>
      <c r="K896" s="28" t="s">
        <v>5177</v>
      </c>
      <c r="L896" s="28" t="s">
        <v>5165</v>
      </c>
      <c r="M896" s="56" t="s">
        <v>10986</v>
      </c>
      <c r="N896" s="59">
        <v>44845.544444444444</v>
      </c>
      <c r="O896" s="58">
        <v>38552.0</v>
      </c>
      <c r="P896" s="28">
        <f t="shared" si="24"/>
        <v>20</v>
      </c>
      <c r="Q896" s="28" t="s">
        <v>10987</v>
      </c>
      <c r="R896" s="28" t="s">
        <v>10988</v>
      </c>
      <c r="S896" s="28">
        <v>15.0</v>
      </c>
      <c r="T896" s="28">
        <v>33.0</v>
      </c>
      <c r="U896" s="28">
        <v>78.0</v>
      </c>
      <c r="V896" s="28">
        <v>15.0</v>
      </c>
      <c r="W896" s="28" t="s">
        <v>859</v>
      </c>
      <c r="X896" s="28" t="s">
        <v>272</v>
      </c>
      <c r="Y896" s="28" t="s">
        <v>10989</v>
      </c>
      <c r="Z896" s="28" t="s">
        <v>5918</v>
      </c>
      <c r="AA896" s="28" t="s">
        <v>477</v>
      </c>
      <c r="AB896" s="28">
        <v>15.0</v>
      </c>
      <c r="AC896" s="28" t="s">
        <v>23</v>
      </c>
      <c r="AD896" s="23"/>
      <c r="AE896" s="28" t="s">
        <v>15</v>
      </c>
      <c r="AF896" s="23"/>
      <c r="AG896" s="23"/>
      <c r="AH896" s="23" t="str">
        <f>IFERROR(__xludf.DUMMYFUNCTION("IF(
ISNUMBER(MATCH(
C896,
IMPORTRANGE(""https://docs.google.com/spreadsheets/d/1yTh1ELC33JHYOeEdgIiEclxPRyh0zOKtlawDltfUay8"",""'Interns'!A:A""),
0
)),
""Outreach Conducted"",
"""")"),"")</f>
        <v/>
      </c>
      <c r="AI896" s="23"/>
      <c r="AJ896" s="23"/>
      <c r="AK896" s="23" t="str">
        <f>IFERROR(__xludf.DUMMYFUNCTION("XLOOKUP(C896, 
   IMPORTRANGE(""1RdEdgHYrZ33LJ7RUHj_h-qkAFL92bcVjtIdVa-UlsCw"", ""Interns!D:D""), 
   IMPORTRANGE(""1RdEdgHYrZ33LJ7RUHj_h-qkAFL92bcVjtIdVa-UlsCw"", ""Interns!M:M""), 
   ""Not Found"")"),"")</f>
        <v/>
      </c>
      <c r="AL896" s="23" t="str">
        <f>IFERROR(__xludf.DUMMYFUNCTION("XLOOKUP(C896, 
   IMPORTRANGE(""1RdEdgHYrZ33LJ7RUHj_h-qkAFL92bcVjtIdVa-UlsCw"", ""Interns!D:D""), 
   IMPORTRANGE(""1RdEdgHYrZ33LJ7RUHj_h-qkAFL92bcVjtIdVa-UlsCw"", ""Interns!N:N""), 
   ""Not Found"")"),"")</f>
        <v/>
      </c>
      <c r="AM896" s="23" t="str">
        <f>IFERROR(__xludf.DUMMYFUNCTION("XLOOKUP(C896, 
   IMPORTRANGE(""1RdEdgHYrZ33LJ7RUHj_h-qkAFL92bcVjtIdVa-UlsCw"", ""Interns!D:D""), 
   IMPORTRANGE(""1RdEdgHYrZ33LJ7RUHj_h-qkAFL92bcVjtIdVa-UlsCw"", ""Interns!O:O""), 
   ""Not Found"")"),"")</f>
        <v/>
      </c>
      <c r="AN896" s="23"/>
      <c r="AO896" s="23" t="s">
        <v>10990</v>
      </c>
      <c r="AP896" s="28" t="s">
        <v>5173</v>
      </c>
      <c r="AQ896" s="28"/>
      <c r="AR896" s="23"/>
      <c r="AS896" s="23"/>
      <c r="AT896" s="23"/>
      <c r="AU896" s="23"/>
      <c r="AV896" s="23"/>
    </row>
    <row r="897">
      <c r="A897" s="28" t="s">
        <v>5161</v>
      </c>
      <c r="B897" s="28" t="s">
        <v>5162</v>
      </c>
      <c r="C897" s="23" t="str">
        <f t="shared" si="1"/>
        <v>Gabriel Morris</v>
      </c>
      <c r="D897" s="28" t="s">
        <v>9872</v>
      </c>
      <c r="E897" s="28" t="s">
        <v>9873</v>
      </c>
      <c r="F897" s="23">
        <f t="array" ref="F897">IFERROR(
    INDEX('Hub Interns 226'!A:A, MATCH(C897, 'Hub Interns 226'!B:B, 0)),"")</f>
        <v>42</v>
      </c>
      <c r="G897" s="23">
        <f t="array" ref="G897">IFERROR(
    INDEX('Hub Users 226'!A:A, MATCH(C897, 'Hub Users 226'!B:B, 0)),"")</f>
        <v>475</v>
      </c>
      <c r="H897" s="28">
        <v>832.0</v>
      </c>
      <c r="I897" s="28" t="s">
        <v>107</v>
      </c>
      <c r="J897" s="28" t="s">
        <v>5176</v>
      </c>
      <c r="K897" s="28" t="s">
        <v>5177</v>
      </c>
      <c r="L897" s="28" t="s">
        <v>5165</v>
      </c>
      <c r="M897" s="56" t="s">
        <v>9874</v>
      </c>
      <c r="N897" s="57">
        <v>44575.60208333333</v>
      </c>
      <c r="O897" s="58">
        <v>38331.0</v>
      </c>
      <c r="P897" s="28">
        <f t="shared" si="24"/>
        <v>21</v>
      </c>
      <c r="Q897" s="28" t="s">
        <v>240</v>
      </c>
      <c r="R897" s="28" t="s">
        <v>9875</v>
      </c>
      <c r="S897" s="28">
        <v>10.0</v>
      </c>
      <c r="T897" s="28">
        <v>27.0</v>
      </c>
      <c r="U897" s="28">
        <v>65.0</v>
      </c>
      <c r="V897" s="28">
        <v>1.0</v>
      </c>
      <c r="W897" s="28" t="s">
        <v>271</v>
      </c>
      <c r="X897" s="28" t="s">
        <v>272</v>
      </c>
      <c r="Y897" s="28" t="s">
        <v>9876</v>
      </c>
      <c r="Z897" s="28" t="s">
        <v>5259</v>
      </c>
      <c r="AA897" s="28" t="s">
        <v>704</v>
      </c>
      <c r="AB897" s="28">
        <v>2.0</v>
      </c>
      <c r="AC897" s="28" t="s">
        <v>25</v>
      </c>
      <c r="AD897" s="23"/>
      <c r="AE897" s="28" t="s">
        <v>10</v>
      </c>
      <c r="AF897" s="23" t="str">
        <f>IFERROR(__xludf.DUMMYFUNCTION("TEXTJOIN("", "", TRUE,
  FILTER(Champions!C:C,
    ISNUMBER(SEARCH(C897, Champions!W:W))
  )
)"),"Dima Al Ayderous, Daniela Fernandez Espinosa")</f>
        <v>Dima Al Ayderous, Daniela Fernandez Espinosa</v>
      </c>
      <c r="AG897" s="23"/>
      <c r="AH897" s="23" t="str">
        <f>IFERROR(__xludf.DUMMYFUNCTION("IF(
ISNUMBER(MATCH(
C897,
IMPORTRANGE(""https://docs.google.com/spreadsheets/d/1yTh1ELC33JHYOeEdgIiEclxPRyh0zOKtlawDltfUay8"",""'Interns'!A:A""),
0
)),
""Outreach Conducted"",
"""")"),"")</f>
        <v/>
      </c>
      <c r="AI897" s="23"/>
      <c r="AJ897" s="23"/>
      <c r="AK897" s="23" t="str">
        <f>IFERROR(__xludf.DUMMYFUNCTION("XLOOKUP(C897, 
   IMPORTRANGE(""1RdEdgHYrZ33LJ7RUHj_h-qkAFL92bcVjtIdVa-UlsCw"", ""Interns!D:D""), 
   IMPORTRANGE(""1RdEdgHYrZ33LJ7RUHj_h-qkAFL92bcVjtIdVa-UlsCw"", ""Interns!M:M""), 
   ""Not Found"")"),"")</f>
        <v/>
      </c>
      <c r="AL897" s="23" t="str">
        <f>IFERROR(__xludf.DUMMYFUNCTION("XLOOKUP(C897, 
   IMPORTRANGE(""1RdEdgHYrZ33LJ7RUHj_h-qkAFL92bcVjtIdVa-UlsCw"", ""Interns!D:D""), 
   IMPORTRANGE(""1RdEdgHYrZ33LJ7RUHj_h-qkAFL92bcVjtIdVa-UlsCw"", ""Interns!N:N""), 
   ""Not Found"")"),"")</f>
        <v/>
      </c>
      <c r="AM897" s="23" t="str">
        <f>IFERROR(__xludf.DUMMYFUNCTION("XLOOKUP(C897, 
   IMPORTRANGE(""1RdEdgHYrZ33LJ7RUHj_h-qkAFL92bcVjtIdVa-UlsCw"", ""Interns!D:D""), 
   IMPORTRANGE(""1RdEdgHYrZ33LJ7RUHj_h-qkAFL92bcVjtIdVa-UlsCw"", ""Interns!O:O""), 
   ""Not Found"")"),"")</f>
        <v/>
      </c>
      <c r="AN897" s="23"/>
      <c r="AO897" s="23" t="s">
        <v>9877</v>
      </c>
      <c r="AP897" s="28" t="s">
        <v>5989</v>
      </c>
      <c r="AQ897" s="28" t="s">
        <v>9874</v>
      </c>
      <c r="AR897" s="23" t="s">
        <v>9878</v>
      </c>
      <c r="AS897" s="23"/>
      <c r="AT897" s="23"/>
      <c r="AU897" s="23"/>
      <c r="AV897" s="23"/>
    </row>
    <row r="898">
      <c r="A898" s="28" t="s">
        <v>5161</v>
      </c>
      <c r="B898" s="28" t="s">
        <v>5162</v>
      </c>
      <c r="C898" s="23" t="str">
        <f t="shared" si="1"/>
        <v>Aimee Centeno</v>
      </c>
      <c r="D898" s="28" t="s">
        <v>10991</v>
      </c>
      <c r="E898" s="28" t="s">
        <v>10992</v>
      </c>
      <c r="F898" s="23">
        <f t="array" ref="F898">IFERROR(
    INDEX('Hub Interns 226'!A:A, MATCH(C898, 'Hub Interns 226'!B:B, 0)),"")</f>
        <v>162</v>
      </c>
      <c r="G898" s="23">
        <f t="array" ref="G898">IFERROR(
    INDEX('Hub Users 226'!A:A, MATCH(C898, 'Hub Users 226'!B:B, 0)),"")</f>
        <v>595</v>
      </c>
      <c r="H898" s="28">
        <v>1597.0</v>
      </c>
      <c r="I898" s="28"/>
      <c r="J898" s="28" t="s">
        <v>5176</v>
      </c>
      <c r="K898" s="28" t="s">
        <v>5177</v>
      </c>
      <c r="L898" s="28" t="s">
        <v>5196</v>
      </c>
      <c r="M898" s="56" t="s">
        <v>10993</v>
      </c>
      <c r="N898" s="57">
        <v>45016.39444444444</v>
      </c>
      <c r="O898" s="58">
        <v>40513.0</v>
      </c>
      <c r="P898" s="28">
        <f t="shared" si="24"/>
        <v>15</v>
      </c>
      <c r="Q898" s="28" t="s">
        <v>240</v>
      </c>
      <c r="R898" s="28" t="s">
        <v>10994</v>
      </c>
      <c r="S898" s="28">
        <v>6.0</v>
      </c>
      <c r="T898" s="28">
        <v>12.0</v>
      </c>
      <c r="U898" s="28">
        <v>30.0</v>
      </c>
      <c r="V898" s="28">
        <v>30.0</v>
      </c>
      <c r="W898" s="28" t="s">
        <v>1173</v>
      </c>
      <c r="X898" s="28" t="s">
        <v>272</v>
      </c>
      <c r="Y898" s="28" t="s">
        <v>10995</v>
      </c>
      <c r="Z898" s="28" t="s">
        <v>5170</v>
      </c>
      <c r="AA898" s="28" t="s">
        <v>5171</v>
      </c>
      <c r="AB898" s="28">
        <v>30.0</v>
      </c>
      <c r="AC898" s="28" t="s">
        <v>23</v>
      </c>
      <c r="AD898" s="23"/>
      <c r="AE898" s="28" t="s">
        <v>15</v>
      </c>
      <c r="AF898" s="23"/>
      <c r="AG898" s="23"/>
      <c r="AH898" s="23" t="str">
        <f>IFERROR(__xludf.DUMMYFUNCTION("IF(
ISNUMBER(MATCH(
C898,
IMPORTRANGE(""https://docs.google.com/spreadsheets/d/1yTh1ELC33JHYOeEdgIiEclxPRyh0zOKtlawDltfUay8"",""'Interns'!A:A""),
0
)),
""Outreach Conducted"",
"""")"),"")</f>
        <v/>
      </c>
      <c r="AI898" s="23"/>
      <c r="AJ898" s="23"/>
      <c r="AK898" s="23" t="str">
        <f>IFERROR(__xludf.DUMMYFUNCTION("XLOOKUP(C898, 
   IMPORTRANGE(""1RdEdgHYrZ33LJ7RUHj_h-qkAFL92bcVjtIdVa-UlsCw"", ""Interns!D:D""), 
   IMPORTRANGE(""1RdEdgHYrZ33LJ7RUHj_h-qkAFL92bcVjtIdVa-UlsCw"", ""Interns!M:M""), 
   ""Not Found"")"),"Contacted")</f>
        <v>Contacted</v>
      </c>
      <c r="AL898" s="23" t="str">
        <f>IFERROR(__xludf.DUMMYFUNCTION("XLOOKUP(C898, 
   IMPORTRANGE(""1RdEdgHYrZ33LJ7RUHj_h-qkAFL92bcVjtIdVa-UlsCw"", ""Interns!D:D""), 
   IMPORTRANGE(""1RdEdgHYrZ33LJ7RUHj_h-qkAFL92bcVjtIdVa-UlsCw"", ""Interns!N:N""), 
   ""Not Found"")"),"#Cheers4Careers")</f>
        <v>#Cheers4Careers</v>
      </c>
      <c r="AM898" s="23" t="str">
        <f>IFERROR(__xludf.DUMMYFUNCTION("XLOOKUP(C898, 
   IMPORTRANGE(""1RdEdgHYrZ33LJ7RUHj_h-qkAFL92bcVjtIdVa-UlsCw"", ""Interns!D:D""), 
   IMPORTRANGE(""1RdEdgHYrZ33LJ7RUHj_h-qkAFL92bcVjtIdVa-UlsCw"", ""Interns!O:O""), 
   ""Not Found"")"),"Hetal reached out March 27 for March #Cheers4 Careers ")</f>
        <v>Hetal reached out March 27 for March #Cheers4 Careers </v>
      </c>
      <c r="AN898" s="23"/>
      <c r="AO898" s="23" t="s">
        <v>10996</v>
      </c>
      <c r="AP898" s="28" t="s">
        <v>5182</v>
      </c>
      <c r="AQ898" s="28"/>
      <c r="AR898" s="23"/>
      <c r="AS898" s="23"/>
      <c r="AT898" s="23"/>
      <c r="AU898" s="23"/>
      <c r="AV898" s="23"/>
    </row>
    <row r="899">
      <c r="A899" s="28" t="s">
        <v>5161</v>
      </c>
      <c r="B899" s="28" t="s">
        <v>5162</v>
      </c>
      <c r="C899" s="23" t="str">
        <f t="shared" si="1"/>
        <v>Fernando Zelaya</v>
      </c>
      <c r="D899" s="28" t="s">
        <v>10997</v>
      </c>
      <c r="E899" s="28" t="s">
        <v>10998</v>
      </c>
      <c r="F899" s="23">
        <f t="array" ref="F899">IFERROR(
    INDEX('Hub Interns 226'!A:A, MATCH(C899, 'Hub Interns 226'!B:B, 0)),"")</f>
        <v>529</v>
      </c>
      <c r="G899" s="23">
        <f t="array" ref="G899">IFERROR(
    INDEX('Hub Users 226'!A:A, MATCH(C899, 'Hub Users 226'!B:B, 0)),"")</f>
        <v>962</v>
      </c>
      <c r="H899" s="28">
        <v>785.0</v>
      </c>
      <c r="I899" s="28" t="s">
        <v>260</v>
      </c>
      <c r="J899" s="28" t="s">
        <v>5176</v>
      </c>
      <c r="K899" s="28" t="s">
        <v>5177</v>
      </c>
      <c r="L899" s="28" t="s">
        <v>5165</v>
      </c>
      <c r="M899" s="56" t="s">
        <v>10999</v>
      </c>
      <c r="N899" s="59">
        <v>44553.59375</v>
      </c>
      <c r="O899" s="58">
        <v>38546.0</v>
      </c>
      <c r="P899" s="28">
        <f t="shared" si="24"/>
        <v>20</v>
      </c>
      <c r="Q899" s="28" t="s">
        <v>240</v>
      </c>
      <c r="R899" s="28" t="s">
        <v>11000</v>
      </c>
      <c r="S899" s="28"/>
      <c r="T899" s="28"/>
      <c r="U899" s="28"/>
      <c r="V899" s="28"/>
      <c r="W899" s="28"/>
      <c r="X899" s="28" t="s">
        <v>272</v>
      </c>
      <c r="Y899" s="28" t="s">
        <v>11001</v>
      </c>
      <c r="Z899" s="28" t="s">
        <v>5386</v>
      </c>
      <c r="AA899" s="28" t="s">
        <v>1887</v>
      </c>
      <c r="AB899" s="28">
        <v>47.0</v>
      </c>
      <c r="AC899" s="28" t="s">
        <v>25</v>
      </c>
      <c r="AD899" s="23"/>
      <c r="AE899" s="28" t="s">
        <v>10</v>
      </c>
      <c r="AF899" s="23" t="str">
        <f>IFERROR(__xludf.DUMMYFUNCTION("TEXTJOIN("", "", TRUE,
  FILTER(Champions!C:C,
    ISNUMBER(SEARCH(C899, Champions!W:W))
  )
)"),"Vatsala Sarathy, Wendy Velasquez Ebanks")</f>
        <v>Vatsala Sarathy, Wendy Velasquez Ebanks</v>
      </c>
      <c r="AG899" s="23"/>
      <c r="AH899" s="23" t="str">
        <f>IFERROR(__xludf.DUMMYFUNCTION("IF(
ISNUMBER(MATCH(
C899,
IMPORTRANGE(""https://docs.google.com/spreadsheets/d/1yTh1ELC33JHYOeEdgIiEclxPRyh0zOKtlawDltfUay8"",""'Interns'!A:A""),
0
)),
""Outreach Conducted"",
"""")"),"")</f>
        <v/>
      </c>
      <c r="AI899" s="23"/>
      <c r="AJ899" s="23"/>
      <c r="AK899" s="23" t="str">
        <f>IFERROR(__xludf.DUMMYFUNCTION("XLOOKUP(C899, 
   IMPORTRANGE(""1RdEdgHYrZ33LJ7RUHj_h-qkAFL92bcVjtIdVa-UlsCw"", ""Interns!D:D""), 
   IMPORTRANGE(""1RdEdgHYrZ33LJ7RUHj_h-qkAFL92bcVjtIdVa-UlsCw"", ""Interns!M:M""), 
   ""Not Found"")"),"Contacted")</f>
        <v>Contacted</v>
      </c>
      <c r="AL899" s="23" t="str">
        <f>IFERROR(__xludf.DUMMYFUNCTION("XLOOKUP(C899, 
   IMPORTRANGE(""1RdEdgHYrZ33LJ7RUHj_h-qkAFL92bcVjtIdVa-UlsCw"", ""Interns!D:D""), 
   IMPORTRANGE(""1RdEdgHYrZ33LJ7RUHj_h-qkAFL92bcVjtIdVa-UlsCw"", ""Interns!N:N""), 
   ""Not Found"")"),"#Cheers4Careers")</f>
        <v>#Cheers4Careers</v>
      </c>
      <c r="AM899" s="23" t="str">
        <f>IFERROR(__xludf.DUMMYFUNCTION("XLOOKUP(C899, 
   IMPORTRANGE(""1RdEdgHYrZ33LJ7RUHj_h-qkAFL92bcVjtIdVa-UlsCw"", ""Interns!D:D""), 
   IMPORTRANGE(""1RdEdgHYrZ33LJ7RUHj_h-qkAFL92bcVjtIdVa-UlsCw"", ""Interns!O:O""), 
   ""Not Found"")"),"Hetal reached out by email 3/27")</f>
        <v>Hetal reached out by email 3/27</v>
      </c>
      <c r="AN899" s="23"/>
      <c r="AO899" s="23" t="s">
        <v>11002</v>
      </c>
      <c r="AP899" s="28" t="s">
        <v>5182</v>
      </c>
      <c r="AQ899" s="28" t="s">
        <v>11003</v>
      </c>
      <c r="AR899" s="23" t="s">
        <v>11004</v>
      </c>
      <c r="AS899" s="23"/>
      <c r="AT899" s="23"/>
      <c r="AU899" s="23"/>
      <c r="AV899" s="23"/>
    </row>
    <row r="900">
      <c r="A900" s="28" t="s">
        <v>5161</v>
      </c>
      <c r="B900" s="28" t="s">
        <v>5162</v>
      </c>
      <c r="C900" s="23" t="str">
        <f t="shared" si="1"/>
        <v>Karla Arriola</v>
      </c>
      <c r="D900" s="28" t="s">
        <v>11005</v>
      </c>
      <c r="E900" s="28" t="s">
        <v>11006</v>
      </c>
      <c r="F900" s="23">
        <f t="array" ref="F900">IFERROR(
    INDEX('Hub Interns 226'!A:A, MATCH(C900, 'Hub Interns 226'!B:B, 0)),"")</f>
        <v>728</v>
      </c>
      <c r="G900" s="23">
        <f t="array" ref="G900">IFERROR(
    INDEX('Hub Users 226'!A:A, MATCH(C900, 'Hub Users 226'!B:B, 0)),"")</f>
        <v>1161</v>
      </c>
      <c r="H900" s="28">
        <v>1134.0</v>
      </c>
      <c r="I900" s="28" t="s">
        <v>260</v>
      </c>
      <c r="J900" s="28" t="s">
        <v>5176</v>
      </c>
      <c r="K900" s="28" t="s">
        <v>5177</v>
      </c>
      <c r="L900" s="28" t="s">
        <v>5196</v>
      </c>
      <c r="M900" s="56" t="s">
        <v>11007</v>
      </c>
      <c r="N900" s="57">
        <v>44739.5375</v>
      </c>
      <c r="O900" s="58">
        <v>38017.0</v>
      </c>
      <c r="P900" s="28">
        <f t="shared" si="24"/>
        <v>22</v>
      </c>
      <c r="Q900" s="28" t="s">
        <v>11008</v>
      </c>
      <c r="R900" s="28" t="s">
        <v>11009</v>
      </c>
      <c r="S900" s="28">
        <v>14.0</v>
      </c>
      <c r="T900" s="28">
        <v>29.0</v>
      </c>
      <c r="U900" s="28">
        <v>84.0</v>
      </c>
      <c r="V900" s="28">
        <v>8.0</v>
      </c>
      <c r="W900" s="28" t="s">
        <v>859</v>
      </c>
      <c r="X900" s="28" t="s">
        <v>272</v>
      </c>
      <c r="Y900" s="28" t="s">
        <v>11010</v>
      </c>
      <c r="Z900" s="28" t="s">
        <v>5208</v>
      </c>
      <c r="AA900" s="28" t="s">
        <v>2141</v>
      </c>
      <c r="AB900" s="28">
        <v>8.0</v>
      </c>
      <c r="AC900" s="28" t="s">
        <v>25</v>
      </c>
      <c r="AD900" s="23"/>
      <c r="AE900" s="28" t="s">
        <v>15</v>
      </c>
      <c r="AF900" s="23" t="str">
        <f>IFERROR(__xludf.DUMMYFUNCTION("TEXTJOIN("", "", TRUE,
  FILTER(Champions!C:C,
    ISNUMBER(SEARCH(C900, Champions!W:W))
  )
)"),"Bindu Krishna, Soraya Senosier, Bindu Krishna (D)")</f>
        <v>Bindu Krishna, Soraya Senosier, Bindu Krishna (D)</v>
      </c>
      <c r="AG900" s="23"/>
      <c r="AH900" s="23" t="str">
        <f>IFERROR(__xludf.DUMMYFUNCTION("IF(
ISNUMBER(MATCH(
C900,
IMPORTRANGE(""https://docs.google.com/spreadsheets/d/1yTh1ELC33JHYOeEdgIiEclxPRyh0zOKtlawDltfUay8"",""'Interns'!A:A""),
0
)),
""Outreach Conducted"",
"""")"),"")</f>
        <v/>
      </c>
      <c r="AI900" s="23"/>
      <c r="AJ900" s="23"/>
      <c r="AK900" s="23" t="str">
        <f>IFERROR(__xludf.DUMMYFUNCTION("XLOOKUP(C900, 
   IMPORTRANGE(""1RdEdgHYrZ33LJ7RUHj_h-qkAFL92bcVjtIdVa-UlsCw"", ""Interns!D:D""), 
   IMPORTRANGE(""1RdEdgHYrZ33LJ7RUHj_h-qkAFL92bcVjtIdVa-UlsCw"", ""Interns!M:M""), 
   ""Not Found"")"),"Contacted")</f>
        <v>Contacted</v>
      </c>
      <c r="AL900" s="23" t="str">
        <f>IFERROR(__xludf.DUMMYFUNCTION("XLOOKUP(C900, 
   IMPORTRANGE(""1RdEdgHYrZ33LJ7RUHj_h-qkAFL92bcVjtIdVa-UlsCw"", ""Interns!D:D""), 
   IMPORTRANGE(""1RdEdgHYrZ33LJ7RUHj_h-qkAFL92bcVjtIdVa-UlsCw"", ""Interns!N:N""), 
   ""Not Found"")"),"#Cheers4Careers")</f>
        <v>#Cheers4Careers</v>
      </c>
      <c r="AM900" s="23" t="str">
        <f>IFERROR(__xludf.DUMMYFUNCTION("XLOOKUP(C900, 
   IMPORTRANGE(""1RdEdgHYrZ33LJ7RUHj_h-qkAFL92bcVjtIdVa-UlsCw"", ""Interns!D:D""), 
   IMPORTRANGE(""1RdEdgHYrZ33LJ7RUHj_h-qkAFL92bcVjtIdVa-UlsCw"", ""Interns!O:O""), 
   ""Not Found"")"),"Hetal reached out by email 3/27")</f>
        <v>Hetal reached out by email 3/27</v>
      </c>
      <c r="AN900" s="23"/>
      <c r="AO900" s="23" t="s">
        <v>11011</v>
      </c>
      <c r="AP900" s="28" t="s">
        <v>5182</v>
      </c>
      <c r="AQ900" s="28" t="s">
        <v>11012</v>
      </c>
      <c r="AR900" s="23" t="s">
        <v>11013</v>
      </c>
      <c r="AS900" s="23"/>
      <c r="AT900" s="23"/>
      <c r="AU900" s="23"/>
      <c r="AV900" s="23"/>
    </row>
    <row r="901">
      <c r="A901" s="28" t="s">
        <v>5161</v>
      </c>
      <c r="B901" s="28" t="s">
        <v>5162</v>
      </c>
      <c r="C901" s="23" t="str">
        <f t="shared" si="1"/>
        <v>Karla Arriola</v>
      </c>
      <c r="D901" s="28" t="s">
        <v>11005</v>
      </c>
      <c r="E901" s="28" t="s">
        <v>11006</v>
      </c>
      <c r="F901" s="23">
        <f t="array" ref="F901">IFERROR(
    INDEX('Hub Interns 226'!A:A, MATCH(C901, 'Hub Interns 226'!B:B, 0)),"")</f>
        <v>728</v>
      </c>
      <c r="G901" s="23">
        <f t="array" ref="G901">IFERROR(
    INDEX('Hub Users 226'!A:A, MATCH(C901, 'Hub Users 226'!B:B, 0)),"")</f>
        <v>1161</v>
      </c>
      <c r="H901" s="28">
        <v>914.0</v>
      </c>
      <c r="I901" s="28" t="s">
        <v>260</v>
      </c>
      <c r="J901" s="28" t="s">
        <v>5176</v>
      </c>
      <c r="K901" s="28" t="s">
        <v>5177</v>
      </c>
      <c r="L901" s="28" t="s">
        <v>5196</v>
      </c>
      <c r="M901" s="56" t="s">
        <v>11012</v>
      </c>
      <c r="N901" s="57">
        <v>44602.584027777775</v>
      </c>
      <c r="O901" s="58">
        <v>38017.0</v>
      </c>
      <c r="P901" s="28">
        <f t="shared" si="24"/>
        <v>22</v>
      </c>
      <c r="Q901" s="28" t="s">
        <v>240</v>
      </c>
      <c r="R901" s="28" t="s">
        <v>11009</v>
      </c>
      <c r="S901" s="28">
        <v>14.0</v>
      </c>
      <c r="T901" s="28">
        <v>29.0</v>
      </c>
      <c r="U901" s="28">
        <v>84.0</v>
      </c>
      <c r="V901" s="28">
        <v>8.0</v>
      </c>
      <c r="W901" s="28" t="s">
        <v>859</v>
      </c>
      <c r="X901" s="28" t="s">
        <v>272</v>
      </c>
      <c r="Y901" s="28" t="s">
        <v>11010</v>
      </c>
      <c r="Z901" s="28" t="s">
        <v>5208</v>
      </c>
      <c r="AA901" s="28" t="s">
        <v>2141</v>
      </c>
      <c r="AB901" s="28">
        <v>8.0</v>
      </c>
      <c r="AC901" s="28" t="s">
        <v>24</v>
      </c>
      <c r="AD901" s="23"/>
      <c r="AE901" s="28" t="s">
        <v>10</v>
      </c>
      <c r="AF901" s="23"/>
      <c r="AG901" s="23"/>
      <c r="AH901" s="23" t="str">
        <f>IFERROR(__xludf.DUMMYFUNCTION("IF(
ISNUMBER(MATCH(
C901,
IMPORTRANGE(""https://docs.google.com/spreadsheets/d/1yTh1ELC33JHYOeEdgIiEclxPRyh0zOKtlawDltfUay8"",""'Interns'!A:A""),
0
)),
""Outreach Conducted"",
"""")"),"")</f>
        <v/>
      </c>
      <c r="AI901" s="23"/>
      <c r="AJ901" s="23"/>
      <c r="AK901" s="23" t="str">
        <f>IFERROR(__xludf.DUMMYFUNCTION("XLOOKUP(C901, 
   IMPORTRANGE(""1RdEdgHYrZ33LJ7RUHj_h-qkAFL92bcVjtIdVa-UlsCw"", ""Interns!D:D""), 
   IMPORTRANGE(""1RdEdgHYrZ33LJ7RUHj_h-qkAFL92bcVjtIdVa-UlsCw"", ""Interns!M:M""), 
   ""Not Found"")"),"Contacted")</f>
        <v>Contacted</v>
      </c>
      <c r="AL901" s="23" t="str">
        <f>IFERROR(__xludf.DUMMYFUNCTION("XLOOKUP(C901, 
   IMPORTRANGE(""1RdEdgHYrZ33LJ7RUHj_h-qkAFL92bcVjtIdVa-UlsCw"", ""Interns!D:D""), 
   IMPORTRANGE(""1RdEdgHYrZ33LJ7RUHj_h-qkAFL92bcVjtIdVa-UlsCw"", ""Interns!N:N""), 
   ""Not Found"")"),"#Cheers4Careers")</f>
        <v>#Cheers4Careers</v>
      </c>
      <c r="AM901" s="23" t="str">
        <f>IFERROR(__xludf.DUMMYFUNCTION("XLOOKUP(C901, 
   IMPORTRANGE(""1RdEdgHYrZ33LJ7RUHj_h-qkAFL92bcVjtIdVa-UlsCw"", ""Interns!D:D""), 
   IMPORTRANGE(""1RdEdgHYrZ33LJ7RUHj_h-qkAFL92bcVjtIdVa-UlsCw"", ""Interns!O:O""), 
   ""Not Found"")"),"Hetal reached out by email 3/27")</f>
        <v>Hetal reached out by email 3/27</v>
      </c>
      <c r="AN901" s="23"/>
      <c r="AO901" s="23" t="s">
        <v>11014</v>
      </c>
      <c r="AP901" s="28" t="s">
        <v>5182</v>
      </c>
      <c r="AQ901" s="28"/>
      <c r="AR901" s="23"/>
      <c r="AS901" s="23"/>
      <c r="AT901" s="23"/>
      <c r="AU901" s="23"/>
      <c r="AV901" s="23"/>
    </row>
    <row r="902">
      <c r="A902" s="28" t="s">
        <v>5161</v>
      </c>
      <c r="B902" s="28" t="s">
        <v>5162</v>
      </c>
      <c r="C902" s="23" t="str">
        <f t="shared" si="1"/>
        <v>Angel Garcia</v>
      </c>
      <c r="D902" s="28" t="s">
        <v>6000</v>
      </c>
      <c r="E902" s="28" t="s">
        <v>1484</v>
      </c>
      <c r="F902" s="23" t="str">
        <f t="array" ref="F902">IFERROR(
    INDEX('Hub Interns 226'!A:A, MATCH(C902, 'Hub Interns 226'!B:B, 0)),"")</f>
        <v/>
      </c>
      <c r="G902" s="23">
        <f t="array" ref="G902">IFERROR(
    INDEX('Hub Users 226'!A:A, MATCH(C902, 'Hub Users 226'!B:B, 0)),"")</f>
        <v>1975</v>
      </c>
      <c r="H902" s="28">
        <v>1819.0</v>
      </c>
      <c r="I902" s="28"/>
      <c r="J902" s="28" t="s">
        <v>5176</v>
      </c>
      <c r="K902" s="28" t="s">
        <v>5177</v>
      </c>
      <c r="L902" s="28" t="s">
        <v>5165</v>
      </c>
      <c r="M902" s="56" t="s">
        <v>11015</v>
      </c>
      <c r="N902" s="57">
        <v>45398.680555555555</v>
      </c>
      <c r="O902" s="58">
        <v>39774.0</v>
      </c>
      <c r="P902" s="28">
        <f t="shared" si="24"/>
        <v>17</v>
      </c>
      <c r="Q902" s="28" t="s">
        <v>11016</v>
      </c>
      <c r="R902" s="28" t="s">
        <v>11017</v>
      </c>
      <c r="S902" s="28">
        <v>13.0</v>
      </c>
      <c r="T902" s="28">
        <v>30.0</v>
      </c>
      <c r="U902" s="28">
        <v>70.0</v>
      </c>
      <c r="V902" s="28">
        <v>9.0</v>
      </c>
      <c r="W902" s="28" t="s">
        <v>271</v>
      </c>
      <c r="X902" s="28" t="s">
        <v>272</v>
      </c>
      <c r="Y902" s="23"/>
      <c r="Z902" s="28" t="s">
        <v>6876</v>
      </c>
      <c r="AA902" s="28" t="s">
        <v>6863</v>
      </c>
      <c r="AB902" s="28">
        <v>9.0</v>
      </c>
      <c r="AC902" s="28" t="s">
        <v>27</v>
      </c>
      <c r="AD902" s="23"/>
      <c r="AE902" s="28" t="s">
        <v>18</v>
      </c>
      <c r="AF902" s="23"/>
      <c r="AG902" s="23"/>
      <c r="AH902" s="23" t="str">
        <f>IFERROR(__xludf.DUMMYFUNCTION("IF(
ISNUMBER(MATCH(
C902,
IMPORTRANGE(""https://docs.google.com/spreadsheets/d/1yTh1ELC33JHYOeEdgIiEclxPRyh0zOKtlawDltfUay8"",""'Interns'!A:A""),
0
)),
""Outreach Conducted"",
"""")"),"")</f>
        <v/>
      </c>
      <c r="AI902" s="23"/>
      <c r="AJ902" s="23"/>
      <c r="AK902" s="23" t="str">
        <f>IFERROR(__xludf.DUMMYFUNCTION("XLOOKUP(C902, 
   IMPORTRANGE(""1RdEdgHYrZ33LJ7RUHj_h-qkAFL92bcVjtIdVa-UlsCw"", ""Interns!D:D""), 
   IMPORTRANGE(""1RdEdgHYrZ33LJ7RUHj_h-qkAFL92bcVjtIdVa-UlsCw"", ""Interns!M:M""), 
   ""Not Found"")"),"Contacted")</f>
        <v>Contacted</v>
      </c>
      <c r="AL902" s="23" t="str">
        <f>IFERROR(__xludf.DUMMYFUNCTION("XLOOKUP(C902, 
   IMPORTRANGE(""1RdEdgHYrZ33LJ7RUHj_h-qkAFL92bcVjtIdVa-UlsCw"", ""Interns!D:D""), 
   IMPORTRANGE(""1RdEdgHYrZ33LJ7RUHj_h-qkAFL92bcVjtIdVa-UlsCw"", ""Interns!N:N""), 
   ""Not Found"")"),"#Cheers4Careers")</f>
        <v>#Cheers4Careers</v>
      </c>
      <c r="AM902" s="23" t="str">
        <f>IFERROR(__xludf.DUMMYFUNCTION("XLOOKUP(C902, 
   IMPORTRANGE(""1RdEdgHYrZ33LJ7RUHj_h-qkAFL92bcVjtIdVa-UlsCw"", ""Interns!D:D""), 
   IMPORTRANGE(""1RdEdgHYrZ33LJ7RUHj_h-qkAFL92bcVjtIdVa-UlsCw"", ""Interns!O:O""), 
   ""Not Found"")"),"Hetal reached out March 27 for March #Cheers4 Careers")</f>
        <v>Hetal reached out March 27 for March #Cheers4 Careers</v>
      </c>
      <c r="AN902" s="23"/>
      <c r="AO902" s="23" t="s">
        <v>9685</v>
      </c>
      <c r="AP902" s="28" t="s">
        <v>9686</v>
      </c>
      <c r="AQ902" s="28" t="s">
        <v>9687</v>
      </c>
      <c r="AR902" s="23">
        <v>2.12649602E9</v>
      </c>
      <c r="AS902" s="23"/>
      <c r="AT902" s="23"/>
      <c r="AU902" s="23"/>
      <c r="AV902" s="23"/>
    </row>
    <row r="903">
      <c r="A903" s="28" t="s">
        <v>5161</v>
      </c>
      <c r="B903" s="28" t="s">
        <v>5162</v>
      </c>
      <c r="C903" s="23" t="str">
        <f t="shared" si="1"/>
        <v>Zabdy Orellana</v>
      </c>
      <c r="D903" s="28" t="s">
        <v>11018</v>
      </c>
      <c r="E903" s="28" t="s">
        <v>11019</v>
      </c>
      <c r="F903" s="23">
        <f t="array" ref="F903">IFERROR(
    INDEX('Hub Interns 226'!A:A, MATCH(C903, 'Hub Interns 226'!B:B, 0)),"")</f>
        <v>1252</v>
      </c>
      <c r="G903" s="23">
        <f t="array" ref="G903">IFERROR(
    INDEX('Hub Users 226'!A:A, MATCH(C903, 'Hub Users 226'!B:B, 0)),"")</f>
        <v>1685</v>
      </c>
      <c r="H903" s="28">
        <v>284.0</v>
      </c>
      <c r="I903" s="28" t="s">
        <v>260</v>
      </c>
      <c r="J903" s="28" t="s">
        <v>5176</v>
      </c>
      <c r="K903" s="28" t="s">
        <v>5177</v>
      </c>
      <c r="L903" s="28" t="s">
        <v>5196</v>
      </c>
      <c r="M903" s="56" t="s">
        <v>11020</v>
      </c>
      <c r="N903" s="57">
        <v>44225.79722222222</v>
      </c>
      <c r="O903" s="58">
        <v>37606.0</v>
      </c>
      <c r="P903" s="28">
        <f t="shared" si="24"/>
        <v>23</v>
      </c>
      <c r="Q903" s="28" t="s">
        <v>11021</v>
      </c>
      <c r="R903" s="28" t="s">
        <v>11022</v>
      </c>
      <c r="S903" s="28">
        <v>14.0</v>
      </c>
      <c r="T903" s="28">
        <v>29.0</v>
      </c>
      <c r="U903" s="28">
        <v>84.0</v>
      </c>
      <c r="V903" s="28">
        <v>8.0</v>
      </c>
      <c r="W903" s="28" t="s">
        <v>859</v>
      </c>
      <c r="X903" s="28" t="s">
        <v>272</v>
      </c>
      <c r="Y903" s="28">
        <v>7.18310885E9</v>
      </c>
      <c r="Z903" s="28" t="s">
        <v>5208</v>
      </c>
      <c r="AA903" s="28" t="s">
        <v>2141</v>
      </c>
      <c r="AB903" s="28">
        <v>8.0</v>
      </c>
      <c r="AC903" s="28" t="s">
        <v>25</v>
      </c>
      <c r="AD903" s="23"/>
      <c r="AE903" s="28" t="s">
        <v>11</v>
      </c>
      <c r="AF903" s="23" t="str">
        <f>IFERROR(__xludf.DUMMYFUNCTION("TEXTJOIN("", "", TRUE,
  FILTER(Champions!C:C,
    ISNUMBER(SEARCH(C903, Champions!W:W))
  )
)"),"Carolina Chamorro, Dragana Glumac, Jannet Figueroa Gallardo")</f>
        <v>Carolina Chamorro, Dragana Glumac, Jannet Figueroa Gallardo</v>
      </c>
      <c r="AG903" s="23"/>
      <c r="AH903" s="23" t="str">
        <f>IFERROR(__xludf.DUMMYFUNCTION("IF(
ISNUMBER(MATCH(
C903,
IMPORTRANGE(""https://docs.google.com/spreadsheets/d/1yTh1ELC33JHYOeEdgIiEclxPRyh0zOKtlawDltfUay8"",""'Interns'!A:A""),
0
)),
""Outreach Conducted"",
"""")"),"")</f>
        <v/>
      </c>
      <c r="AI903" s="23"/>
      <c r="AJ903" s="23"/>
      <c r="AK903" s="23" t="str">
        <f>IFERROR(__xludf.DUMMYFUNCTION("XLOOKUP(C903, 
   IMPORTRANGE(""1RdEdgHYrZ33LJ7RUHj_h-qkAFL92bcVjtIdVa-UlsCw"", ""Interns!D:D""), 
   IMPORTRANGE(""1RdEdgHYrZ33LJ7RUHj_h-qkAFL92bcVjtIdVa-UlsCw"", ""Interns!M:M""), 
   ""Not Found"")"),"Contacted")</f>
        <v>Contacted</v>
      </c>
      <c r="AL903" s="23" t="str">
        <f>IFERROR(__xludf.DUMMYFUNCTION("XLOOKUP(C903, 
   IMPORTRANGE(""1RdEdgHYrZ33LJ7RUHj_h-qkAFL92bcVjtIdVa-UlsCw"", ""Interns!D:D""), 
   IMPORTRANGE(""1RdEdgHYrZ33LJ7RUHj_h-qkAFL92bcVjtIdVa-UlsCw"", ""Interns!N:N""), 
   ""Not Found"")"),"#Cheers4Careers")</f>
        <v>#Cheers4Careers</v>
      </c>
      <c r="AM903" s="23" t="str">
        <f>IFERROR(__xludf.DUMMYFUNCTION("XLOOKUP(C903, 
   IMPORTRANGE(""1RdEdgHYrZ33LJ7RUHj_h-qkAFL92bcVjtIdVa-UlsCw"", ""Interns!D:D""), 
   IMPORTRANGE(""1RdEdgHYrZ33LJ7RUHj_h-qkAFL92bcVjtIdVa-UlsCw"", ""Interns!O:O""), 
   ""Not Found"")"),"Hetal reached out by email 3/27")</f>
        <v>Hetal reached out by email 3/27</v>
      </c>
      <c r="AN903" s="23"/>
      <c r="AO903" s="23" t="s">
        <v>11023</v>
      </c>
      <c r="AP903" s="28" t="s">
        <v>5173</v>
      </c>
      <c r="AQ903" s="28" t="s">
        <v>11024</v>
      </c>
      <c r="AR903" s="23">
        <v>3.477666529E9</v>
      </c>
      <c r="AS903" s="23"/>
      <c r="AT903" s="23"/>
      <c r="AU903" s="23"/>
      <c r="AV903" s="23"/>
    </row>
    <row r="904">
      <c r="A904" s="28" t="s">
        <v>5161</v>
      </c>
      <c r="B904" s="28" t="s">
        <v>31</v>
      </c>
      <c r="C904" s="23" t="str">
        <f t="shared" si="1"/>
        <v>Julia. Pontes</v>
      </c>
      <c r="D904" s="28" t="s">
        <v>11025</v>
      </c>
      <c r="E904" s="28" t="s">
        <v>5841</v>
      </c>
      <c r="F904" s="23">
        <f t="array" ref="F904">IFERROR(
    INDEX('Hub Interns 226'!A:A, MATCH("Julia Pontes", 'Hub Interns 226'!B:B, 0)),"")</f>
        <v>47</v>
      </c>
      <c r="G904" s="23">
        <f t="array" ref="G904">IFERROR(
    INDEX('Hub Users 226'!A:A, MATCH("Julia Pontes", 'Hub Users 226'!B:B, 0)),"")</f>
        <v>480</v>
      </c>
      <c r="H904" s="28">
        <v>1141.0</v>
      </c>
      <c r="I904" s="28" t="s">
        <v>260</v>
      </c>
      <c r="J904" s="28"/>
      <c r="K904" s="28"/>
      <c r="L904" s="28" t="s">
        <v>5196</v>
      </c>
      <c r="M904" s="56" t="s">
        <v>5843</v>
      </c>
      <c r="N904" s="57">
        <v>44749.53333333333</v>
      </c>
      <c r="O904" s="58">
        <v>38496.0</v>
      </c>
      <c r="P904" s="28">
        <f t="shared" si="24"/>
        <v>20</v>
      </c>
      <c r="Q904" s="28" t="s">
        <v>240</v>
      </c>
      <c r="R904" s="28" t="s">
        <v>11026</v>
      </c>
      <c r="S904" s="28"/>
      <c r="T904" s="28"/>
      <c r="U904" s="28"/>
      <c r="V904" s="28"/>
      <c r="W904" s="28" t="s">
        <v>271</v>
      </c>
      <c r="X904" s="28" t="s">
        <v>272</v>
      </c>
      <c r="Y904" s="28" t="s">
        <v>5845</v>
      </c>
      <c r="Z904" s="28" t="s">
        <v>5259</v>
      </c>
      <c r="AA904" s="28" t="s">
        <v>704</v>
      </c>
      <c r="AB904" s="28">
        <v>2.0</v>
      </c>
      <c r="AC904" s="28" t="s">
        <v>23</v>
      </c>
      <c r="AD904" s="23"/>
      <c r="AE904" s="28" t="s">
        <v>15</v>
      </c>
      <c r="AF904" s="23"/>
      <c r="AG904" s="23"/>
      <c r="AH904" s="23" t="str">
        <f>IFERROR(__xludf.DUMMYFUNCTION("IF(
ISNUMBER(MATCH(
C904,
IMPORTRANGE(""https://docs.google.com/spreadsheets/d/1yTh1ELC33JHYOeEdgIiEclxPRyh0zOKtlawDltfUay8"",""'Interns'!A:A""),
0
)),
""Outreach Conducted"",
"""")"),"")</f>
        <v/>
      </c>
      <c r="AI904" s="23"/>
      <c r="AJ904" s="28" t="s">
        <v>11027</v>
      </c>
      <c r="AK904" s="23" t="str">
        <f>IFERROR(__xludf.DUMMYFUNCTION("XLOOKUP(C904, 
   IMPORTRANGE(""1RdEdgHYrZ33LJ7RUHj_h-qkAFL92bcVjtIdVa-UlsCw"", ""Interns!D:D""), 
   IMPORTRANGE(""1RdEdgHYrZ33LJ7RUHj_h-qkAFL92bcVjtIdVa-UlsCw"", ""Interns!M:M""), 
   ""Not Found"")"),"")</f>
        <v/>
      </c>
      <c r="AL904" s="23" t="str">
        <f>IFERROR(__xludf.DUMMYFUNCTION("XLOOKUP(C904, 
   IMPORTRANGE(""1RdEdgHYrZ33LJ7RUHj_h-qkAFL92bcVjtIdVa-UlsCw"", ""Interns!D:D""), 
   IMPORTRANGE(""1RdEdgHYrZ33LJ7RUHj_h-qkAFL92bcVjtIdVa-UlsCw"", ""Interns!N:N""), 
   ""Not Found"")"),"")</f>
        <v/>
      </c>
      <c r="AM904" s="23" t="str">
        <f>IFERROR(__xludf.DUMMYFUNCTION("XLOOKUP(C904, 
   IMPORTRANGE(""1RdEdgHYrZ33LJ7RUHj_h-qkAFL92bcVjtIdVa-UlsCw"", ""Interns!D:D""), 
   IMPORTRANGE(""1RdEdgHYrZ33LJ7RUHj_h-qkAFL92bcVjtIdVa-UlsCw"", ""Interns!O:O""), 
   ""Not Found"")"),"")</f>
        <v/>
      </c>
      <c r="AN904" s="23"/>
      <c r="AO904" s="23" t="s">
        <v>5846</v>
      </c>
      <c r="AP904" s="28" t="s">
        <v>5191</v>
      </c>
      <c r="AQ904" s="28"/>
      <c r="AR904" s="23" t="s">
        <v>11028</v>
      </c>
      <c r="AS904" s="23"/>
      <c r="AT904" s="23"/>
      <c r="AU904" s="23"/>
      <c r="AV904" s="23"/>
    </row>
    <row r="905">
      <c r="A905" s="28" t="s">
        <v>5161</v>
      </c>
      <c r="B905" s="28" t="s">
        <v>5162</v>
      </c>
      <c r="C905" s="23" t="str">
        <f t="shared" si="1"/>
        <v>Keren Mejia Calderon</v>
      </c>
      <c r="D905" s="28" t="s">
        <v>9918</v>
      </c>
      <c r="E905" s="28" t="s">
        <v>9919</v>
      </c>
      <c r="F905" s="23">
        <f t="array" ref="F905">IFERROR(
    INDEX('Hub Interns 226'!A:A, MATCH(C905, 'Hub Interns 226'!B:B, 0)),"")</f>
        <v>48</v>
      </c>
      <c r="G905" s="23">
        <f t="array" ref="G905">IFERROR(
    INDEX('Hub Users 226'!A:A, MATCH(C905, 'Hub Users 226'!B:B, 0)),"")</f>
        <v>481</v>
      </c>
      <c r="H905" s="28">
        <v>830.0</v>
      </c>
      <c r="I905" s="28" t="s">
        <v>417</v>
      </c>
      <c r="J905" s="28" t="s">
        <v>5176</v>
      </c>
      <c r="K905" s="28" t="s">
        <v>5177</v>
      </c>
      <c r="L905" s="28" t="s">
        <v>5196</v>
      </c>
      <c r="M905" s="56" t="s">
        <v>9920</v>
      </c>
      <c r="N905" s="57">
        <v>44574.64027777778</v>
      </c>
      <c r="O905" s="58">
        <v>38430.0</v>
      </c>
      <c r="P905" s="28">
        <f t="shared" si="24"/>
        <v>21</v>
      </c>
      <c r="Q905" s="28" t="s">
        <v>240</v>
      </c>
      <c r="R905" s="28" t="s">
        <v>9921</v>
      </c>
      <c r="S905" s="28">
        <v>7.0</v>
      </c>
      <c r="T905" s="28">
        <v>12.0</v>
      </c>
      <c r="U905" s="28">
        <v>38.0</v>
      </c>
      <c r="V905" s="28">
        <v>30.0</v>
      </c>
      <c r="W905" s="28" t="s">
        <v>271</v>
      </c>
      <c r="X905" s="28" t="s">
        <v>272</v>
      </c>
      <c r="Y905" s="28" t="s">
        <v>9922</v>
      </c>
      <c r="Z905" s="28" t="s">
        <v>5259</v>
      </c>
      <c r="AA905" s="28" t="s">
        <v>704</v>
      </c>
      <c r="AB905" s="28">
        <v>2.0</v>
      </c>
      <c r="AC905" s="28" t="s">
        <v>25</v>
      </c>
      <c r="AD905" s="23"/>
      <c r="AE905" s="28" t="s">
        <v>10</v>
      </c>
      <c r="AF905" s="23" t="str">
        <f>IFERROR(__xludf.DUMMYFUNCTION("TEXTJOIN("", "", TRUE,
  FILTER(Champions!C:C,
    ISNUMBER(SEARCH(C905, Champions!W:W))
  )
)"),"Ritika Naik, Scotney Young")</f>
        <v>Ritika Naik, Scotney Young</v>
      </c>
      <c r="AG905" s="23"/>
      <c r="AH905" s="23" t="str">
        <f>IFERROR(__xludf.DUMMYFUNCTION("IF(
ISNUMBER(MATCH(
C905,
IMPORTRANGE(""https://docs.google.com/spreadsheets/d/1yTh1ELC33JHYOeEdgIiEclxPRyh0zOKtlawDltfUay8"",""'Interns'!A:A""),
0
)),
""Outreach Conducted"",
"""")"),"")</f>
        <v/>
      </c>
      <c r="AI905" s="23"/>
      <c r="AJ905" s="23"/>
      <c r="AK905" s="23" t="str">
        <f>IFERROR(__xludf.DUMMYFUNCTION("XLOOKUP(C905, 
   IMPORTRANGE(""1RdEdgHYrZ33LJ7RUHj_h-qkAFL92bcVjtIdVa-UlsCw"", ""Interns!D:D""), 
   IMPORTRANGE(""1RdEdgHYrZ33LJ7RUHj_h-qkAFL92bcVjtIdVa-UlsCw"", ""Interns!M:M""), 
   ""Not Found"")"),"")</f>
        <v/>
      </c>
      <c r="AL905" s="23" t="str">
        <f>IFERROR(__xludf.DUMMYFUNCTION("XLOOKUP(C905, 
   IMPORTRANGE(""1RdEdgHYrZ33LJ7RUHj_h-qkAFL92bcVjtIdVa-UlsCw"", ""Interns!D:D""), 
   IMPORTRANGE(""1RdEdgHYrZ33LJ7RUHj_h-qkAFL92bcVjtIdVa-UlsCw"", ""Interns!N:N""), 
   ""Not Found"")"),"")</f>
        <v/>
      </c>
      <c r="AM905" s="23" t="str">
        <f>IFERROR(__xludf.DUMMYFUNCTION("XLOOKUP(C905, 
   IMPORTRANGE(""1RdEdgHYrZ33LJ7RUHj_h-qkAFL92bcVjtIdVa-UlsCw"", ""Interns!D:D""), 
   IMPORTRANGE(""1RdEdgHYrZ33LJ7RUHj_h-qkAFL92bcVjtIdVa-UlsCw"", ""Interns!O:O""), 
   ""Not Found"")"),"")</f>
        <v/>
      </c>
      <c r="AN905" s="23"/>
      <c r="AO905" s="23" t="s">
        <v>4816</v>
      </c>
      <c r="AP905" s="28" t="s">
        <v>5182</v>
      </c>
      <c r="AQ905" s="28" t="s">
        <v>9923</v>
      </c>
      <c r="AR905" s="23" t="s">
        <v>9924</v>
      </c>
      <c r="AS905" s="23"/>
      <c r="AT905" s="23"/>
      <c r="AU905" s="23"/>
      <c r="AV905" s="23"/>
    </row>
    <row r="906">
      <c r="A906" s="28" t="s">
        <v>5161</v>
      </c>
      <c r="B906" s="28" t="s">
        <v>5162</v>
      </c>
      <c r="C906" s="23" t="str">
        <f t="shared" si="1"/>
        <v>Yanquel Hernandez</v>
      </c>
      <c r="D906" s="28" t="s">
        <v>11029</v>
      </c>
      <c r="E906" s="28" t="s">
        <v>2168</v>
      </c>
      <c r="F906" s="23">
        <f t="array" ref="F906">IFERROR(
    INDEX('Hub Interns 226'!A:A, MATCH(C906, 'Hub Interns 226'!B:B, 0)),"")</f>
        <v>1216</v>
      </c>
      <c r="G906" s="23">
        <f t="array" ref="G906">IFERROR(
    INDEX('Hub Users 226'!A:A, MATCH(C906, 'Hub Users 226'!B:B, 0)),"")</f>
        <v>1649</v>
      </c>
      <c r="H906" s="28">
        <v>733.0</v>
      </c>
      <c r="I906" s="28" t="s">
        <v>1235</v>
      </c>
      <c r="J906" s="28" t="s">
        <v>5176</v>
      </c>
      <c r="K906" s="28" t="s">
        <v>5177</v>
      </c>
      <c r="L906" s="28" t="s">
        <v>5165</v>
      </c>
      <c r="M906" s="56" t="s">
        <v>11030</v>
      </c>
      <c r="N906" s="59">
        <v>44550.63333333333</v>
      </c>
      <c r="O906" s="58">
        <v>38023.0</v>
      </c>
      <c r="P906" s="28">
        <f t="shared" si="24"/>
        <v>22</v>
      </c>
      <c r="Q906" s="28" t="s">
        <v>240</v>
      </c>
      <c r="R906" s="28" t="s">
        <v>11031</v>
      </c>
      <c r="S906" s="28">
        <v>7.0</v>
      </c>
      <c r="T906" s="28">
        <v>15.0</v>
      </c>
      <c r="U906" s="28">
        <v>38.0</v>
      </c>
      <c r="V906" s="28">
        <v>32.0</v>
      </c>
      <c r="W906" s="28" t="s">
        <v>1173</v>
      </c>
      <c r="X906" s="28" t="s">
        <v>272</v>
      </c>
      <c r="Y906" s="28" t="s">
        <v>11032</v>
      </c>
      <c r="Z906" s="28" t="s">
        <v>5483</v>
      </c>
      <c r="AA906" s="28" t="s">
        <v>457</v>
      </c>
      <c r="AB906" s="28">
        <v>25.0</v>
      </c>
      <c r="AC906" s="28" t="s">
        <v>25</v>
      </c>
      <c r="AD906" s="23"/>
      <c r="AE906" s="28" t="s">
        <v>10</v>
      </c>
      <c r="AF906" s="23" t="str">
        <f>IFERROR(__xludf.DUMMYFUNCTION("TEXTJOIN("", "", TRUE,
  FILTER(Champions!C:C,
    ISNUMBER(SEARCH(C906, Champions!W:W))
  )
)"),"Loren Hernandez, Marissa Arciola")</f>
        <v>Loren Hernandez, Marissa Arciola</v>
      </c>
      <c r="AG906" s="23"/>
      <c r="AH906" s="23" t="str">
        <f>IFERROR(__xludf.DUMMYFUNCTION("IF(
ISNUMBER(MATCH(
C906,
IMPORTRANGE(""https://docs.google.com/spreadsheets/d/1yTh1ELC33JHYOeEdgIiEclxPRyh0zOKtlawDltfUay8"",""'Interns'!A:A""),
0
)),
""Outreach Conducted"",
"""")"),"")</f>
        <v/>
      </c>
      <c r="AI906" s="23"/>
      <c r="AJ906" s="23"/>
      <c r="AK906" s="23" t="str">
        <f>IFERROR(__xludf.DUMMYFUNCTION("XLOOKUP(C906, 
   IMPORTRANGE(""1RdEdgHYrZ33LJ7RUHj_h-qkAFL92bcVjtIdVa-UlsCw"", ""Interns!D:D""), 
   IMPORTRANGE(""1RdEdgHYrZ33LJ7RUHj_h-qkAFL92bcVjtIdVa-UlsCw"", ""Interns!M:M""), 
   ""Not Found"")"),"Contacted")</f>
        <v>Contacted</v>
      </c>
      <c r="AL906" s="23" t="str">
        <f>IFERROR(__xludf.DUMMYFUNCTION("XLOOKUP(C906, 
   IMPORTRANGE(""1RdEdgHYrZ33LJ7RUHj_h-qkAFL92bcVjtIdVa-UlsCw"", ""Interns!D:D""), 
   IMPORTRANGE(""1RdEdgHYrZ33LJ7RUHj_h-qkAFL92bcVjtIdVa-UlsCw"", ""Interns!N:N""), 
   ""Not Found"")"),"#Cheers4Careers")</f>
        <v>#Cheers4Careers</v>
      </c>
      <c r="AM906" s="23" t="str">
        <f>IFERROR(__xludf.DUMMYFUNCTION("XLOOKUP(C906, 
   IMPORTRANGE(""1RdEdgHYrZ33LJ7RUHj_h-qkAFL92bcVjtIdVa-UlsCw"", ""Interns!D:D""), 
   IMPORTRANGE(""1RdEdgHYrZ33LJ7RUHj_h-qkAFL92bcVjtIdVa-UlsCw"", ""Interns!O:O""), 
   ""Not Found"")"),"Hetal reached out by email 3/27")</f>
        <v>Hetal reached out by email 3/27</v>
      </c>
      <c r="AN906" s="23"/>
      <c r="AO906" s="23" t="s">
        <v>11033</v>
      </c>
      <c r="AP906" s="28" t="s">
        <v>5191</v>
      </c>
      <c r="AQ906" s="28" t="s">
        <v>11034</v>
      </c>
      <c r="AR906" s="23" t="s">
        <v>11035</v>
      </c>
      <c r="AS906" s="28" t="s">
        <v>75</v>
      </c>
      <c r="AT906" s="23"/>
      <c r="AU906" s="23"/>
      <c r="AV906" s="23"/>
    </row>
    <row r="907">
      <c r="A907" s="28" t="s">
        <v>5161</v>
      </c>
      <c r="B907" s="28" t="s">
        <v>5162</v>
      </c>
      <c r="C907" s="23" t="str">
        <f t="shared" si="1"/>
        <v>Emelin Arzu</v>
      </c>
      <c r="D907" s="28" t="s">
        <v>11036</v>
      </c>
      <c r="E907" s="28" t="s">
        <v>11037</v>
      </c>
      <c r="F907" s="23">
        <f t="array" ref="F907">IFERROR(
    INDEX('Hub Interns 226'!A:A, MATCH(C907, 'Hub Interns 226'!B:B, 0)),"")</f>
        <v>467</v>
      </c>
      <c r="G907" s="23">
        <f t="array" ref="G907">IFERROR(
    INDEX('Hub Users 226'!A:A, MATCH(C907, 'Hub Users 226'!B:B, 0)),"")</f>
        <v>900</v>
      </c>
      <c r="H907" s="28">
        <v>509.0</v>
      </c>
      <c r="I907" s="28" t="s">
        <v>425</v>
      </c>
      <c r="J907" s="28" t="s">
        <v>5176</v>
      </c>
      <c r="K907" s="28" t="s">
        <v>5177</v>
      </c>
      <c r="L907" s="28" t="s">
        <v>5196</v>
      </c>
      <c r="M907" s="56" t="s">
        <v>11038</v>
      </c>
      <c r="N907" s="57">
        <v>44476.64027777778</v>
      </c>
      <c r="O907" s="58">
        <v>38168.0</v>
      </c>
      <c r="P907" s="28">
        <f t="shared" si="24"/>
        <v>21</v>
      </c>
      <c r="Q907" s="28" t="s">
        <v>11039</v>
      </c>
      <c r="R907" s="28" t="s">
        <v>11040</v>
      </c>
      <c r="S907" s="28">
        <v>15.0</v>
      </c>
      <c r="T907" s="28">
        <v>32.0</v>
      </c>
      <c r="U907" s="28">
        <v>87.0</v>
      </c>
      <c r="V907" s="28">
        <v>15.0</v>
      </c>
      <c r="W907" s="28" t="s">
        <v>859</v>
      </c>
      <c r="X907" s="28" t="s">
        <v>272</v>
      </c>
      <c r="Y907" s="28" t="s">
        <v>11041</v>
      </c>
      <c r="Z907" s="28" t="s">
        <v>5918</v>
      </c>
      <c r="AA907" s="28" t="s">
        <v>477</v>
      </c>
      <c r="AB907" s="28">
        <v>15.0</v>
      </c>
      <c r="AC907" s="28" t="s">
        <v>25</v>
      </c>
      <c r="AD907" s="23"/>
      <c r="AE907" s="28" t="s">
        <v>10</v>
      </c>
      <c r="AF907" s="23" t="str">
        <f>IFERROR(__xludf.DUMMYFUNCTION("TEXTJOIN("", "", TRUE,
  FILTER(Champions!C:C,
    ISNUMBER(SEARCH(C907, Champions!W:W))
  )
)"),"Guiuliana Miranda, Leif Castren, Renata Lozano Giral")</f>
        <v>Guiuliana Miranda, Leif Castren, Renata Lozano Giral</v>
      </c>
      <c r="AG907" s="23"/>
      <c r="AH907" s="23" t="str">
        <f>IFERROR(__xludf.DUMMYFUNCTION("IF(
ISNUMBER(MATCH(
C907,
IMPORTRANGE(""https://docs.google.com/spreadsheets/d/1yTh1ELC33JHYOeEdgIiEclxPRyh0zOKtlawDltfUay8"",""'Interns'!A:A""),
0
)),
""Outreach Conducted"",
"""")"),"")</f>
        <v/>
      </c>
      <c r="AI907" s="23"/>
      <c r="AJ907" s="23"/>
      <c r="AK907" s="23" t="str">
        <f>IFERROR(__xludf.DUMMYFUNCTION("XLOOKUP(C907, 
   IMPORTRANGE(""1RdEdgHYrZ33LJ7RUHj_h-qkAFL92bcVjtIdVa-UlsCw"", ""Interns!D:D""), 
   IMPORTRANGE(""1RdEdgHYrZ33LJ7RUHj_h-qkAFL92bcVjtIdVa-UlsCw"", ""Interns!M:M""), 
   ""Not Found"")"),"")</f>
        <v/>
      </c>
      <c r="AL907" s="23" t="str">
        <f>IFERROR(__xludf.DUMMYFUNCTION("XLOOKUP(C907, 
   IMPORTRANGE(""1RdEdgHYrZ33LJ7RUHj_h-qkAFL92bcVjtIdVa-UlsCw"", ""Interns!D:D""), 
   IMPORTRANGE(""1RdEdgHYrZ33LJ7RUHj_h-qkAFL92bcVjtIdVa-UlsCw"", ""Interns!N:N""), 
   ""Not Found"")"),"")</f>
        <v/>
      </c>
      <c r="AM907" s="23" t="str">
        <f>IFERROR(__xludf.DUMMYFUNCTION("XLOOKUP(C907, 
   IMPORTRANGE(""1RdEdgHYrZ33LJ7RUHj_h-qkAFL92bcVjtIdVa-UlsCw"", ""Interns!D:D""), 
   IMPORTRANGE(""1RdEdgHYrZ33LJ7RUHj_h-qkAFL92bcVjtIdVa-UlsCw"", ""Interns!O:O""), 
   ""Not Found"")"),"")</f>
        <v/>
      </c>
      <c r="AN907" s="23"/>
      <c r="AO907" s="23" t="s">
        <v>11042</v>
      </c>
      <c r="AP907" s="28" t="s">
        <v>5989</v>
      </c>
      <c r="AQ907" s="28" t="s">
        <v>11043</v>
      </c>
      <c r="AR907" s="23" t="s">
        <v>11041</v>
      </c>
      <c r="AS907" s="23"/>
      <c r="AT907" s="23"/>
      <c r="AU907" s="23"/>
      <c r="AV907" s="23"/>
    </row>
    <row r="908">
      <c r="A908" s="28" t="s">
        <v>5161</v>
      </c>
      <c r="B908" s="28" t="s">
        <v>5162</v>
      </c>
      <c r="C908" s="23" t="str">
        <f t="shared" si="1"/>
        <v>Angie Inestroza</v>
      </c>
      <c r="D908" s="28" t="s">
        <v>4429</v>
      </c>
      <c r="E908" s="28" t="s">
        <v>11044</v>
      </c>
      <c r="F908" s="23">
        <f t="array" ref="F908">IFERROR(
    INDEX('Hub Interns 226'!A:A, MATCH(C908, 'Hub Interns 226'!B:B, 0)),"")</f>
        <v>242</v>
      </c>
      <c r="G908" s="23">
        <f t="array" ref="G908">IFERROR(
    INDEX('Hub Users 226'!A:A, MATCH(C908, 'Hub Users 226'!B:B, 0)),"")</f>
        <v>675</v>
      </c>
      <c r="H908" s="28">
        <v>576.0</v>
      </c>
      <c r="I908" s="28" t="s">
        <v>260</v>
      </c>
      <c r="J908" s="28" t="s">
        <v>5176</v>
      </c>
      <c r="K908" s="28" t="s">
        <v>5177</v>
      </c>
      <c r="L908" s="28" t="s">
        <v>5196</v>
      </c>
      <c r="M908" s="56" t="s">
        <v>11045</v>
      </c>
      <c r="N908" s="59">
        <v>44481.544444444444</v>
      </c>
      <c r="O908" s="58">
        <v>38056.0</v>
      </c>
      <c r="P908" s="28">
        <f t="shared" si="24"/>
        <v>22</v>
      </c>
      <c r="Q908" s="28" t="s">
        <v>240</v>
      </c>
      <c r="R908" s="28" t="s">
        <v>11046</v>
      </c>
      <c r="S908" s="28">
        <v>5.0</v>
      </c>
      <c r="T908" s="28">
        <v>11.0</v>
      </c>
      <c r="U908" s="28">
        <v>29.0</v>
      </c>
      <c r="V908" s="28">
        <v>27.0</v>
      </c>
      <c r="W908" s="28" t="s">
        <v>1173</v>
      </c>
      <c r="X908" s="28" t="s">
        <v>272</v>
      </c>
      <c r="Y908" s="28" t="s">
        <v>11047</v>
      </c>
      <c r="Z908" s="28" t="s">
        <v>5189</v>
      </c>
      <c r="AA908" s="28" t="s">
        <v>619</v>
      </c>
      <c r="AB908" s="28">
        <v>20.0</v>
      </c>
      <c r="AC908" s="28" t="s">
        <v>25</v>
      </c>
      <c r="AD908" s="23"/>
      <c r="AE908" s="28" t="s">
        <v>10</v>
      </c>
      <c r="AF908" s="23" t="str">
        <f>IFERROR(__xludf.DUMMYFUNCTION("TEXTJOIN("", "", TRUE,
  FILTER(Champions!C:C,
    ISNUMBER(SEARCH(C908, Champions!W:W))
  )
)"),"Estrella Mestres, Jennifer Go")</f>
        <v>Estrella Mestres, Jennifer Go</v>
      </c>
      <c r="AG908" s="23"/>
      <c r="AH908" s="23" t="str">
        <f>IFERROR(__xludf.DUMMYFUNCTION("IF(
ISNUMBER(MATCH(
C908,
IMPORTRANGE(""https://docs.google.com/spreadsheets/d/1yTh1ELC33JHYOeEdgIiEclxPRyh0zOKtlawDltfUay8"",""'Interns'!A:A""),
0
)),
""Outreach Conducted"",
"""")"),"")</f>
        <v/>
      </c>
      <c r="AI908" s="23"/>
      <c r="AJ908" s="23"/>
      <c r="AK908" s="23" t="str">
        <f>IFERROR(__xludf.DUMMYFUNCTION("XLOOKUP(C908, 
   IMPORTRANGE(""1RdEdgHYrZ33LJ7RUHj_h-qkAFL92bcVjtIdVa-UlsCw"", ""Interns!D:D""), 
   IMPORTRANGE(""1RdEdgHYrZ33LJ7RUHj_h-qkAFL92bcVjtIdVa-UlsCw"", ""Interns!M:M""), 
   ""Not Found"")"),"Contacted")</f>
        <v>Contacted</v>
      </c>
      <c r="AL908" s="23" t="str">
        <f>IFERROR(__xludf.DUMMYFUNCTION("XLOOKUP(C908, 
   IMPORTRANGE(""1RdEdgHYrZ33LJ7RUHj_h-qkAFL92bcVjtIdVa-UlsCw"", ""Interns!D:D""), 
   IMPORTRANGE(""1RdEdgHYrZ33LJ7RUHj_h-qkAFL92bcVjtIdVa-UlsCw"", ""Interns!N:N""), 
   ""Not Found"")"),"#Cheers4Careers")</f>
        <v>#Cheers4Careers</v>
      </c>
      <c r="AM908" s="23" t="str">
        <f>IFERROR(__xludf.DUMMYFUNCTION("XLOOKUP(C908, 
   IMPORTRANGE(""1RdEdgHYrZ33LJ7RUHj_h-qkAFL92bcVjtIdVa-UlsCw"", ""Interns!D:D""), 
   IMPORTRANGE(""1RdEdgHYrZ33LJ7RUHj_h-qkAFL92bcVjtIdVa-UlsCw"", ""Interns!O:O""), 
   ""Not Found"")"),"Hetal reached out by email 3/27 followed by text
Hetal reached out on 4/10 by whatsapp for April 18th #Cheers4Careers")</f>
        <v>Hetal reached out by email 3/27 followed by text
Hetal reached out on 4/10 by whatsapp for April 18th #Cheers4Careers</v>
      </c>
      <c r="AN908" s="23"/>
      <c r="AO908" s="23" t="s">
        <v>11048</v>
      </c>
      <c r="AP908" s="28" t="s">
        <v>5182</v>
      </c>
      <c r="AQ908" s="28" t="s">
        <v>11049</v>
      </c>
      <c r="AR908" s="23" t="s">
        <v>11050</v>
      </c>
      <c r="AS908" s="23"/>
      <c r="AT908" s="23"/>
      <c r="AU908" s="23"/>
      <c r="AV908" s="23"/>
    </row>
    <row r="909">
      <c r="A909" s="28" t="s">
        <v>5161</v>
      </c>
      <c r="B909" s="28" t="s">
        <v>5162</v>
      </c>
      <c r="C909" s="23" t="str">
        <f t="shared" si="1"/>
        <v>Liccy Dubon Zamora</v>
      </c>
      <c r="D909" s="28" t="s">
        <v>11051</v>
      </c>
      <c r="E909" s="28" t="s">
        <v>11052</v>
      </c>
      <c r="F909" s="23">
        <f t="array" ref="F909">IFERROR(
    INDEX('Hub Interns 226'!A:A, MATCH(C909, 'Hub Interns 226'!B:B, 0)),"")</f>
        <v>767</v>
      </c>
      <c r="G909" s="23">
        <f t="array" ref="G909">IFERROR(
    INDEX('Hub Users 226'!A:A, MATCH(C909, 'Hub Users 226'!B:B, 0)),"")</f>
        <v>1200</v>
      </c>
      <c r="H909" s="28">
        <v>491.0</v>
      </c>
      <c r="I909" s="28" t="s">
        <v>260</v>
      </c>
      <c r="J909" s="28" t="s">
        <v>5176</v>
      </c>
      <c r="K909" s="28" t="s">
        <v>5177</v>
      </c>
      <c r="L909" s="28" t="s">
        <v>5196</v>
      </c>
      <c r="M909" s="56" t="s">
        <v>11053</v>
      </c>
      <c r="N909" s="57">
        <v>44474.80486111111</v>
      </c>
      <c r="O909" s="58">
        <v>37870.0</v>
      </c>
      <c r="P909" s="28">
        <f t="shared" si="24"/>
        <v>22</v>
      </c>
      <c r="Q909" s="28" t="s">
        <v>11054</v>
      </c>
      <c r="R909" s="28" t="s">
        <v>11055</v>
      </c>
      <c r="S909" s="28">
        <v>14.0</v>
      </c>
      <c r="T909" s="28">
        <v>32.0</v>
      </c>
      <c r="U909" s="28">
        <v>84.0</v>
      </c>
      <c r="V909" s="28">
        <v>17.0</v>
      </c>
      <c r="W909" s="28" t="s">
        <v>859</v>
      </c>
      <c r="X909" s="28" t="s">
        <v>272</v>
      </c>
      <c r="Y909" s="28">
        <v>1.9292555466E10</v>
      </c>
      <c r="Z909" s="28" t="s">
        <v>5918</v>
      </c>
      <c r="AA909" s="28" t="s">
        <v>477</v>
      </c>
      <c r="AB909" s="28">
        <v>15.0</v>
      </c>
      <c r="AC909" s="28" t="s">
        <v>25</v>
      </c>
      <c r="AD909" s="23"/>
      <c r="AE909" s="28" t="s">
        <v>10</v>
      </c>
      <c r="AF909" s="23" t="str">
        <f>IFERROR(__xludf.DUMMYFUNCTION("TEXTJOIN("", "", TRUE,
  FILTER(Champions!C:C,
    ISNUMBER(SEARCH(C909, Champions!W:W))
  )
)"),"Abigail Mawhirter, Erycka Montoya, Jannet Figueroa Gallardo")</f>
        <v>Abigail Mawhirter, Erycka Montoya, Jannet Figueroa Gallardo</v>
      </c>
      <c r="AG909" s="23"/>
      <c r="AH909" s="23" t="str">
        <f>IFERROR(__xludf.DUMMYFUNCTION("IF(
ISNUMBER(MATCH(
C909,
IMPORTRANGE(""https://docs.google.com/spreadsheets/d/1yTh1ELC33JHYOeEdgIiEclxPRyh0zOKtlawDltfUay8"",""'Interns'!A:A""),
0
)),
""Outreach Conducted"",
"""")"),"")</f>
        <v/>
      </c>
      <c r="AI909" s="23"/>
      <c r="AJ909" s="23"/>
      <c r="AK909" s="23" t="str">
        <f>IFERROR(__xludf.DUMMYFUNCTION("XLOOKUP(C909, 
   IMPORTRANGE(""1RdEdgHYrZ33LJ7RUHj_h-qkAFL92bcVjtIdVa-UlsCw"", ""Interns!D:D""), 
   IMPORTRANGE(""1RdEdgHYrZ33LJ7RUHj_h-qkAFL92bcVjtIdVa-UlsCw"", ""Interns!M:M""), 
   ""Not Found"")"),"")</f>
        <v/>
      </c>
      <c r="AL909" s="23" t="str">
        <f>IFERROR(__xludf.DUMMYFUNCTION("XLOOKUP(C909, 
   IMPORTRANGE(""1RdEdgHYrZ33LJ7RUHj_h-qkAFL92bcVjtIdVa-UlsCw"", ""Interns!D:D""), 
   IMPORTRANGE(""1RdEdgHYrZ33LJ7RUHj_h-qkAFL92bcVjtIdVa-UlsCw"", ""Interns!N:N""), 
   ""Not Found"")"),"")</f>
        <v/>
      </c>
      <c r="AM909" s="23" t="str">
        <f>IFERROR(__xludf.DUMMYFUNCTION("XLOOKUP(C909, 
   IMPORTRANGE(""1RdEdgHYrZ33LJ7RUHj_h-qkAFL92bcVjtIdVa-UlsCw"", ""Interns!D:D""), 
   IMPORTRANGE(""1RdEdgHYrZ33LJ7RUHj_h-qkAFL92bcVjtIdVa-UlsCw"", ""Interns!O:O""), 
   ""Not Found"")"),"")</f>
        <v/>
      </c>
      <c r="AN909" s="23"/>
      <c r="AO909" s="23" t="s">
        <v>11056</v>
      </c>
      <c r="AP909" s="28" t="s">
        <v>5908</v>
      </c>
      <c r="AQ909" s="28" t="s">
        <v>11057</v>
      </c>
      <c r="AR909" s="23" t="s">
        <v>11058</v>
      </c>
      <c r="AS909" s="23"/>
      <c r="AT909" s="23"/>
      <c r="AU909" s="23"/>
      <c r="AV909" s="23"/>
    </row>
    <row r="910">
      <c r="A910" s="28" t="s">
        <v>5161</v>
      </c>
      <c r="B910" s="28" t="s">
        <v>5162</v>
      </c>
      <c r="C910" s="23" t="str">
        <f t="shared" si="1"/>
        <v>Denzel Velasquez</v>
      </c>
      <c r="D910" s="28" t="s">
        <v>11059</v>
      </c>
      <c r="E910" s="28" t="s">
        <v>7349</v>
      </c>
      <c r="F910" s="23">
        <f t="array" ref="F910">IFERROR(
    INDEX('Hub Interns 226'!A:A, MATCH(C910, 'Hub Interns 226'!B:B, 0)),"")</f>
        <v>433</v>
      </c>
      <c r="G910" s="23">
        <f t="array" ref="G910">IFERROR(
    INDEX('Hub Users 226'!A:A, MATCH(C910, 'Hub Users 226'!B:B, 0)),"")</f>
        <v>866</v>
      </c>
      <c r="H910" s="28">
        <v>427.0</v>
      </c>
      <c r="I910" s="28" t="s">
        <v>239</v>
      </c>
      <c r="J910" s="28" t="s">
        <v>5176</v>
      </c>
      <c r="K910" s="28" t="s">
        <v>5177</v>
      </c>
      <c r="L910" s="28" t="s">
        <v>5165</v>
      </c>
      <c r="M910" s="56" t="s">
        <v>10524</v>
      </c>
      <c r="N910" s="57">
        <v>44314.54791666667</v>
      </c>
      <c r="O910" s="58">
        <v>37892.0</v>
      </c>
      <c r="P910" s="28">
        <f t="shared" si="24"/>
        <v>22</v>
      </c>
      <c r="Q910" s="28" t="s">
        <v>240</v>
      </c>
      <c r="R910" s="28" t="s">
        <v>11060</v>
      </c>
      <c r="S910" s="28">
        <v>14.0</v>
      </c>
      <c r="T910" s="28">
        <v>32.0</v>
      </c>
      <c r="U910" s="28">
        <v>85.0</v>
      </c>
      <c r="V910" s="28">
        <v>17.0</v>
      </c>
      <c r="W910" s="28" t="s">
        <v>859</v>
      </c>
      <c r="X910" s="28" t="s">
        <v>272</v>
      </c>
      <c r="Y910" s="28" t="s">
        <v>10526</v>
      </c>
      <c r="Z910" s="28" t="s">
        <v>5310</v>
      </c>
      <c r="AA910" s="28" t="s">
        <v>362</v>
      </c>
      <c r="AB910" s="28">
        <v>16.0</v>
      </c>
      <c r="AC910" s="28" t="s">
        <v>25</v>
      </c>
      <c r="AD910" s="23"/>
      <c r="AE910" s="28" t="s">
        <v>10</v>
      </c>
      <c r="AF910" s="23" t="str">
        <f>IFERROR(__xludf.DUMMYFUNCTION("TEXTJOIN("", "", TRUE,
  FILTER(Champions!C:C,
    ISNUMBER(SEARCH(C910, Champions!W:W))
  )
)"),"Frank Guia, Josh Harris")</f>
        <v>Frank Guia, Josh Harris</v>
      </c>
      <c r="AG910" s="23"/>
      <c r="AH910" s="23" t="str">
        <f>IFERROR(__xludf.DUMMYFUNCTION("IF(
ISNUMBER(MATCH(
C910,
IMPORTRANGE(""https://docs.google.com/spreadsheets/d/1yTh1ELC33JHYOeEdgIiEclxPRyh0zOKtlawDltfUay8"",""'Interns'!A:A""),
0
)),
""Outreach Conducted"",
"""")"),"")</f>
        <v/>
      </c>
      <c r="AI910" s="23"/>
      <c r="AJ910" s="23"/>
      <c r="AK910" s="23" t="str">
        <f>IFERROR(__xludf.DUMMYFUNCTION("XLOOKUP(C910, 
   IMPORTRANGE(""1RdEdgHYrZ33LJ7RUHj_h-qkAFL92bcVjtIdVa-UlsCw"", ""Interns!D:D""), 
   IMPORTRANGE(""1RdEdgHYrZ33LJ7RUHj_h-qkAFL92bcVjtIdVa-UlsCw"", ""Interns!M:M""), 
   ""Not Found"")"),"")</f>
        <v/>
      </c>
      <c r="AL910" s="23" t="str">
        <f>IFERROR(__xludf.DUMMYFUNCTION("XLOOKUP(C910, 
   IMPORTRANGE(""1RdEdgHYrZ33LJ7RUHj_h-qkAFL92bcVjtIdVa-UlsCw"", ""Interns!D:D""), 
   IMPORTRANGE(""1RdEdgHYrZ33LJ7RUHj_h-qkAFL92bcVjtIdVa-UlsCw"", ""Interns!N:N""), 
   ""Not Found"")"),"")</f>
        <v/>
      </c>
      <c r="AM910" s="23" t="str">
        <f>IFERROR(__xludf.DUMMYFUNCTION("XLOOKUP(C910, 
   IMPORTRANGE(""1RdEdgHYrZ33LJ7RUHj_h-qkAFL92bcVjtIdVa-UlsCw"", ""Interns!D:D""), 
   IMPORTRANGE(""1RdEdgHYrZ33LJ7RUHj_h-qkAFL92bcVjtIdVa-UlsCw"", ""Interns!O:O""), 
   ""Not Found"")"),"")</f>
        <v/>
      </c>
      <c r="AN910" s="23"/>
      <c r="AO910" s="23" t="s">
        <v>10527</v>
      </c>
      <c r="AP910" s="28" t="s">
        <v>5182</v>
      </c>
      <c r="AQ910" s="28"/>
      <c r="AR910" s="23"/>
      <c r="AS910" s="23"/>
      <c r="AT910" s="23"/>
      <c r="AU910" s="23"/>
      <c r="AV910" s="23"/>
    </row>
    <row r="911">
      <c r="A911" s="28" t="s">
        <v>5161</v>
      </c>
      <c r="B911" s="28" t="s">
        <v>5162</v>
      </c>
      <c r="C911" s="23" t="str">
        <f t="shared" si="1"/>
        <v>Magby Orellana</v>
      </c>
      <c r="D911" s="28" t="s">
        <v>11061</v>
      </c>
      <c r="E911" s="28" t="s">
        <v>11019</v>
      </c>
      <c r="F911" s="23">
        <f t="array" ref="F911">IFERROR(
    INDEX('Hub Interns 226'!A:A, MATCH(C911, 'Hub Interns 226'!B:B, 0)),"")</f>
        <v>821</v>
      </c>
      <c r="G911" s="23">
        <f t="array" ref="G911">IFERROR(
    INDEX('Hub Users 226'!A:A, MATCH(C911, 'Hub Users 226'!B:B, 0)),"")</f>
        <v>1254</v>
      </c>
      <c r="H911" s="28">
        <v>285.0</v>
      </c>
      <c r="I911" s="28" t="s">
        <v>239</v>
      </c>
      <c r="J911" s="28" t="s">
        <v>5176</v>
      </c>
      <c r="K911" s="28" t="s">
        <v>5177</v>
      </c>
      <c r="L911" s="28" t="s">
        <v>5196</v>
      </c>
      <c r="M911" s="56" t="s">
        <v>11062</v>
      </c>
      <c r="N911" s="57">
        <v>44225.81319444445</v>
      </c>
      <c r="O911" s="58">
        <v>37606.0</v>
      </c>
      <c r="P911" s="28">
        <f t="shared" si="24"/>
        <v>23</v>
      </c>
      <c r="Q911" s="28" t="s">
        <v>11063</v>
      </c>
      <c r="R911" s="23"/>
      <c r="S911" s="28"/>
      <c r="T911" s="28"/>
      <c r="U911" s="28"/>
      <c r="V911" s="28"/>
      <c r="W911" s="28" t="s">
        <v>859</v>
      </c>
      <c r="X911" s="28" t="s">
        <v>272</v>
      </c>
      <c r="Y911" s="28">
        <v>7.183108867E9</v>
      </c>
      <c r="Z911" s="28" t="s">
        <v>5208</v>
      </c>
      <c r="AA911" s="28" t="s">
        <v>2141</v>
      </c>
      <c r="AB911" s="28">
        <v>8.0</v>
      </c>
      <c r="AC911" s="28" t="s">
        <v>25</v>
      </c>
      <c r="AD911" s="28" t="s">
        <v>101</v>
      </c>
      <c r="AE911" s="28" t="s">
        <v>11</v>
      </c>
      <c r="AF911" s="23" t="str">
        <f>IFERROR(__xludf.DUMMYFUNCTION("TEXTJOIN("", "", TRUE,
  FILTER(Champions!C:C,
    ISNUMBER(SEARCH(C911, Champions!W:W))
  )
)"),"Chetana Manjunath Kaushik, Joy Shri Das, Linda Guerrero, Nilesh Murthy, Susan Boxman, Maria José Montero Romero")</f>
        <v>Chetana Manjunath Kaushik, Joy Shri Das, Linda Guerrero, Nilesh Murthy, Susan Boxman, Maria José Montero Romero</v>
      </c>
      <c r="AG911" s="26" t="s">
        <v>5316</v>
      </c>
      <c r="AH911" s="23" t="str">
        <f>IFERROR(__xludf.DUMMYFUNCTION("IF(
ISNUMBER(MATCH(
C911,
IMPORTRANGE(""https://docs.google.com/spreadsheets/d/1yTh1ELC33JHYOeEdgIiEclxPRyh0zOKtlawDltfUay8"",""'Interns'!A:A""),
0
)),
""Outreach Conducted"",
"""")"),"")</f>
        <v/>
      </c>
      <c r="AI911" s="23"/>
      <c r="AJ911" s="23"/>
      <c r="AK911" s="23" t="str">
        <f>IFERROR(__xludf.DUMMYFUNCTION("XLOOKUP(C911, 
   IMPORTRANGE(""1RdEdgHYrZ33LJ7RUHj_h-qkAFL92bcVjtIdVa-UlsCw"", ""Interns!D:D""), 
   IMPORTRANGE(""1RdEdgHYrZ33LJ7RUHj_h-qkAFL92bcVjtIdVa-UlsCw"", ""Interns!M:M""), 
   ""Not Found"")"),"Contacted")</f>
        <v>Contacted</v>
      </c>
      <c r="AL911" s="23" t="str">
        <f>IFERROR(__xludf.DUMMYFUNCTION("XLOOKUP(C911, 
   IMPORTRANGE(""1RdEdgHYrZ33LJ7RUHj_h-qkAFL92bcVjtIdVa-UlsCw"", ""Interns!D:D""), 
   IMPORTRANGE(""1RdEdgHYrZ33LJ7RUHj_h-qkAFL92bcVjtIdVa-UlsCw"", ""Interns!N:N""), 
   ""Not Found"")"),"#Cheers4Careers")</f>
        <v>#Cheers4Careers</v>
      </c>
      <c r="AM911" s="23" t="str">
        <f>IFERROR(__xludf.DUMMYFUNCTION("XLOOKUP(C911, 
   IMPORTRANGE(""1RdEdgHYrZ33LJ7RUHj_h-qkAFL92bcVjtIdVa-UlsCw"", ""Interns!D:D""), 
   IMPORTRANGE(""1RdEdgHYrZ33LJ7RUHj_h-qkAFL92bcVjtIdVa-UlsCw"", ""Interns!O:O""), 
   ""Not Found"")"),"Hetal reached out by email 3/27")</f>
        <v>Hetal reached out by email 3/27</v>
      </c>
      <c r="AN911" s="23"/>
      <c r="AO911" s="23" t="s">
        <v>11023</v>
      </c>
      <c r="AP911" s="28" t="s">
        <v>5989</v>
      </c>
      <c r="AQ911" s="28" t="s">
        <v>11024</v>
      </c>
      <c r="AR911" s="23">
        <v>3.477686529E9</v>
      </c>
      <c r="AS911" s="23"/>
      <c r="AT911" s="23"/>
      <c r="AU911" s="23"/>
      <c r="AV911" s="23"/>
    </row>
    <row r="912">
      <c r="A912" s="28" t="s">
        <v>5161</v>
      </c>
      <c r="B912" s="28" t="s">
        <v>5162</v>
      </c>
      <c r="C912" s="23" t="str">
        <f t="shared" si="1"/>
        <v>Nelson Acosta</v>
      </c>
      <c r="D912" s="28" t="s">
        <v>9255</v>
      </c>
      <c r="E912" s="28" t="s">
        <v>9178</v>
      </c>
      <c r="F912" s="23">
        <f t="array" ref="F912">IFERROR(
    INDEX('Hub Interns 226'!A:A, MATCH(C912, 'Hub Interns 226'!B:B, 0)),"")</f>
        <v>933</v>
      </c>
      <c r="G912" s="23">
        <f t="array" ref="G912">IFERROR(
    INDEX('Hub Users 226'!A:A, MATCH(C912, 'Hub Users 226'!B:B, 0)),"")</f>
        <v>1366</v>
      </c>
      <c r="H912" s="28">
        <v>424.0</v>
      </c>
      <c r="I912" s="28" t="s">
        <v>239</v>
      </c>
      <c r="J912" s="28" t="s">
        <v>5176</v>
      </c>
      <c r="K912" s="28" t="s">
        <v>5177</v>
      </c>
      <c r="L912" s="28" t="s">
        <v>5165</v>
      </c>
      <c r="M912" s="56" t="s">
        <v>11064</v>
      </c>
      <c r="N912" s="57">
        <v>44314.544444444444</v>
      </c>
      <c r="O912" s="58">
        <v>38441.0</v>
      </c>
      <c r="P912" s="28">
        <f t="shared" si="24"/>
        <v>21</v>
      </c>
      <c r="Q912" s="28" t="s">
        <v>240</v>
      </c>
      <c r="R912" s="28" t="s">
        <v>11065</v>
      </c>
      <c r="S912" s="28">
        <v>15.0</v>
      </c>
      <c r="T912" s="28">
        <v>32.0</v>
      </c>
      <c r="U912" s="28">
        <v>86.0</v>
      </c>
      <c r="V912" s="28">
        <v>15.0</v>
      </c>
      <c r="W912" s="28" t="s">
        <v>859</v>
      </c>
      <c r="X912" s="28" t="s">
        <v>272</v>
      </c>
      <c r="Y912" s="28" t="s">
        <v>11066</v>
      </c>
      <c r="Z912" s="28" t="s">
        <v>5310</v>
      </c>
      <c r="AA912" s="28" t="s">
        <v>362</v>
      </c>
      <c r="AB912" s="28">
        <v>16.0</v>
      </c>
      <c r="AC912" s="28" t="s">
        <v>24</v>
      </c>
      <c r="AD912" s="23"/>
      <c r="AE912" s="28" t="s">
        <v>8</v>
      </c>
      <c r="AF912" s="23"/>
      <c r="AG912" s="23"/>
      <c r="AH912" s="23" t="str">
        <f>IFERROR(__xludf.DUMMYFUNCTION("IF(
ISNUMBER(MATCH(
C912,
IMPORTRANGE(""https://docs.google.com/spreadsheets/d/1yTh1ELC33JHYOeEdgIiEclxPRyh0zOKtlawDltfUay8"",""'Interns'!A:A""),
0
)),
""Outreach Conducted"",
"""")"),"")</f>
        <v/>
      </c>
      <c r="AI912" s="23"/>
      <c r="AJ912" s="23"/>
      <c r="AK912" s="23" t="str">
        <f>IFERROR(__xludf.DUMMYFUNCTION("XLOOKUP(C912, 
   IMPORTRANGE(""1RdEdgHYrZ33LJ7RUHj_h-qkAFL92bcVjtIdVa-UlsCw"", ""Interns!D:D""), 
   IMPORTRANGE(""1RdEdgHYrZ33LJ7RUHj_h-qkAFL92bcVjtIdVa-UlsCw"", ""Interns!M:M""), 
   ""Not Found"")"),"")</f>
        <v/>
      </c>
      <c r="AL912" s="23" t="str">
        <f>IFERROR(__xludf.DUMMYFUNCTION("XLOOKUP(C912, 
   IMPORTRANGE(""1RdEdgHYrZ33LJ7RUHj_h-qkAFL92bcVjtIdVa-UlsCw"", ""Interns!D:D""), 
   IMPORTRANGE(""1RdEdgHYrZ33LJ7RUHj_h-qkAFL92bcVjtIdVa-UlsCw"", ""Interns!N:N""), 
   ""Not Found"")"),"")</f>
        <v/>
      </c>
      <c r="AM912" s="23" t="str">
        <f>IFERROR(__xludf.DUMMYFUNCTION("XLOOKUP(C912, 
   IMPORTRANGE(""1RdEdgHYrZ33LJ7RUHj_h-qkAFL92bcVjtIdVa-UlsCw"", ""Interns!D:D""), 
   IMPORTRANGE(""1RdEdgHYrZ33LJ7RUHj_h-qkAFL92bcVjtIdVa-UlsCw"", ""Interns!O:O""), 
   ""Not Found"")"),"")</f>
        <v/>
      </c>
      <c r="AN912" s="23"/>
      <c r="AO912" s="23" t="s">
        <v>11067</v>
      </c>
      <c r="AP912" s="28" t="s">
        <v>5182</v>
      </c>
      <c r="AQ912" s="28"/>
      <c r="AR912" s="23"/>
      <c r="AS912" s="23"/>
      <c r="AT912" s="23"/>
      <c r="AU912" s="23"/>
      <c r="AV912" s="23"/>
    </row>
    <row r="913">
      <c r="A913" s="28" t="s">
        <v>5161</v>
      </c>
      <c r="B913" s="28" t="s">
        <v>5162</v>
      </c>
      <c r="C913" s="23" t="str">
        <f t="shared" si="1"/>
        <v>Yoban Pakhrin</v>
      </c>
      <c r="D913" s="28" t="s">
        <v>11068</v>
      </c>
      <c r="E913" s="28" t="s">
        <v>11069</v>
      </c>
      <c r="F913" s="23">
        <f t="array" ref="F913">IFERROR(
    INDEX('Hub Interns 226'!A:A, MATCH(C913, 'Hub Interns 226'!B:B, 0)),"")</f>
        <v>1244</v>
      </c>
      <c r="G913" s="23">
        <f t="array" ref="G913">IFERROR(
    INDEX('Hub Users 226'!A:A, MATCH(C913, 'Hub Users 226'!B:B, 0)),"")</f>
        <v>1677</v>
      </c>
      <c r="H913" s="28">
        <v>1721.0</v>
      </c>
      <c r="I913" s="28"/>
      <c r="J913" s="28" t="s">
        <v>11070</v>
      </c>
      <c r="K913" s="28" t="s">
        <v>5186</v>
      </c>
      <c r="L913" s="28" t="s">
        <v>5165</v>
      </c>
      <c r="M913" s="56" t="s">
        <v>11071</v>
      </c>
      <c r="N913" s="57">
        <v>45266.580555555556</v>
      </c>
      <c r="O913" s="58">
        <v>40384.0</v>
      </c>
      <c r="P913" s="28">
        <f t="shared" si="24"/>
        <v>15</v>
      </c>
      <c r="Q913" s="28" t="s">
        <v>240</v>
      </c>
      <c r="R913" s="28" t="s">
        <v>11072</v>
      </c>
      <c r="S913" s="28"/>
      <c r="T913" s="28"/>
      <c r="U913" s="28"/>
      <c r="V913" s="28"/>
      <c r="W913" s="23"/>
      <c r="X913" s="23"/>
      <c r="Y913" s="28" t="s">
        <v>5351</v>
      </c>
      <c r="Z913" s="28" t="s">
        <v>5352</v>
      </c>
      <c r="AA913" s="28" t="s">
        <v>5287</v>
      </c>
      <c r="AB913" s="28">
        <v>26.0</v>
      </c>
      <c r="AC913" s="28" t="s">
        <v>27</v>
      </c>
      <c r="AD913" s="23"/>
      <c r="AE913" s="28" t="s">
        <v>18</v>
      </c>
      <c r="AF913" s="23"/>
      <c r="AG913" s="23"/>
      <c r="AH913" s="23" t="str">
        <f>IFERROR(__xludf.DUMMYFUNCTION("IF(
ISNUMBER(MATCH(
C913,
IMPORTRANGE(""https://docs.google.com/spreadsheets/d/1yTh1ELC33JHYOeEdgIiEclxPRyh0zOKtlawDltfUay8"",""'Interns'!A:A""),
0
)),
""Outreach Conducted"",
"""")"),"")</f>
        <v/>
      </c>
      <c r="AI913" s="23"/>
      <c r="AJ913" s="23"/>
      <c r="AK913" s="23" t="str">
        <f>IFERROR(__xludf.DUMMYFUNCTION("XLOOKUP(C913, 
   IMPORTRANGE(""1RdEdgHYrZ33LJ7RUHj_h-qkAFL92bcVjtIdVa-UlsCw"", ""Interns!D:D""), 
   IMPORTRANGE(""1RdEdgHYrZ33LJ7RUHj_h-qkAFL92bcVjtIdVa-UlsCw"", ""Interns!M:M""), 
   ""Not Found"")"),"Contacted")</f>
        <v>Contacted</v>
      </c>
      <c r="AL913" s="23" t="str">
        <f>IFERROR(__xludf.DUMMYFUNCTION("XLOOKUP(C913, 
   IMPORTRANGE(""1RdEdgHYrZ33LJ7RUHj_h-qkAFL92bcVjtIdVa-UlsCw"", ""Interns!D:D""), 
   IMPORTRANGE(""1RdEdgHYrZ33LJ7RUHj_h-qkAFL92bcVjtIdVa-UlsCw"", ""Interns!N:N""), 
   ""Not Found"")"),"#Cheers4Careers")</f>
        <v>#Cheers4Careers</v>
      </c>
      <c r="AM913" s="23" t="str">
        <f>IFERROR(__xludf.DUMMYFUNCTION("XLOOKUP(C913,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913" s="23"/>
      <c r="AO913" s="23" t="s">
        <v>11073</v>
      </c>
      <c r="AP913" s="28" t="s">
        <v>5908</v>
      </c>
      <c r="AQ913" s="28"/>
      <c r="AR913" s="23"/>
      <c r="AS913" s="23"/>
      <c r="AT913" s="23"/>
      <c r="AU913" s="23"/>
      <c r="AV913" s="23"/>
    </row>
    <row r="914">
      <c r="A914" s="28" t="s">
        <v>5161</v>
      </c>
      <c r="B914" s="28" t="s">
        <v>5162</v>
      </c>
      <c r="C914" s="23" t="str">
        <f t="shared" si="1"/>
        <v>Juliana Cáceres</v>
      </c>
      <c r="D914" s="28" t="s">
        <v>11074</v>
      </c>
      <c r="E914" s="28" t="s">
        <v>11075</v>
      </c>
      <c r="F914" s="23">
        <f t="array" ref="F914">IFERROR(
    INDEX('Hub Interns 226'!A:A, MATCH(C914, 'Hub Interns 226'!B:B, 0)),"")</f>
        <v>704</v>
      </c>
      <c r="G914" s="28">
        <v>1137.0</v>
      </c>
      <c r="H914" s="28">
        <v>376.0</v>
      </c>
      <c r="I914" s="28" t="s">
        <v>260</v>
      </c>
      <c r="J914" s="28" t="s">
        <v>11076</v>
      </c>
      <c r="K914" s="28" t="s">
        <v>5177</v>
      </c>
      <c r="L914" s="28" t="s">
        <v>5196</v>
      </c>
      <c r="M914" s="56" t="s">
        <v>11077</v>
      </c>
      <c r="N914" s="57">
        <v>44252.833333333336</v>
      </c>
      <c r="O914" s="58">
        <v>38026.0</v>
      </c>
      <c r="P914" s="28">
        <f t="shared" si="24"/>
        <v>22</v>
      </c>
      <c r="Q914" s="28" t="s">
        <v>240</v>
      </c>
      <c r="R914" s="28" t="s">
        <v>11078</v>
      </c>
      <c r="S914" s="28">
        <v>6.0</v>
      </c>
      <c r="T914" s="28">
        <v>16.0</v>
      </c>
      <c r="U914" s="28">
        <v>25.0</v>
      </c>
      <c r="V914" s="28">
        <v>24.0</v>
      </c>
      <c r="W914" s="28" t="s">
        <v>1173</v>
      </c>
      <c r="X914" s="28" t="s">
        <v>272</v>
      </c>
      <c r="Y914" s="23"/>
      <c r="Z914" s="28" t="s">
        <v>5189</v>
      </c>
      <c r="AA914" s="28" t="s">
        <v>619</v>
      </c>
      <c r="AB914" s="28">
        <v>20.0</v>
      </c>
      <c r="AC914" s="28" t="s">
        <v>25</v>
      </c>
      <c r="AD914" s="23"/>
      <c r="AE914" s="28" t="s">
        <v>8</v>
      </c>
      <c r="AF914" s="23" t="str">
        <f>IFERROR(__xludf.DUMMYFUNCTION("TEXTJOIN("", "", TRUE,
  FILTER(Champions!C:C,
    ISNUMBER(SEARCH(C914, Champions!W:W))
  )
)"),"Anna Carina Radulovich (D), Julia Golkin")</f>
        <v>Anna Carina Radulovich (D), Julia Golkin</v>
      </c>
      <c r="AG914" s="23"/>
      <c r="AH914" s="23" t="str">
        <f>IFERROR(__xludf.DUMMYFUNCTION("IF(
ISNUMBER(MATCH(
C914,
IMPORTRANGE(""https://docs.google.com/spreadsheets/d/1yTh1ELC33JHYOeEdgIiEclxPRyh0zOKtlawDltfUay8"",""'Interns'!A:A""),
0
)),
""Outreach Conducted"",
"""")"),"")</f>
        <v/>
      </c>
      <c r="AI914" s="23"/>
      <c r="AJ914" s="23"/>
      <c r="AK914" s="23" t="str">
        <f>IFERROR(__xludf.DUMMYFUNCTION("XLOOKUP(C914, 
   IMPORTRANGE(""1RdEdgHYrZ33LJ7RUHj_h-qkAFL92bcVjtIdVa-UlsCw"", ""Interns!D:D""), 
   IMPORTRANGE(""1RdEdgHYrZ33LJ7RUHj_h-qkAFL92bcVjtIdVa-UlsCw"", ""Interns!M:M""), 
   ""Not Found"")"),"Contacted")</f>
        <v>Contacted</v>
      </c>
      <c r="AL914" s="23" t="str">
        <f>IFERROR(__xludf.DUMMYFUNCTION("XLOOKUP(C914, 
   IMPORTRANGE(""1RdEdgHYrZ33LJ7RUHj_h-qkAFL92bcVjtIdVa-UlsCw"", ""Interns!D:D""), 
   IMPORTRANGE(""1RdEdgHYrZ33LJ7RUHj_h-qkAFL92bcVjtIdVa-UlsCw"", ""Interns!N:N""), 
   ""Not Found"")"),"#Cheers4Careers")</f>
        <v>#Cheers4Careers</v>
      </c>
      <c r="AM914" s="23" t="str">
        <f>IFERROR(__xludf.DUMMYFUNCTION("XLOOKUP(C914, 
   IMPORTRANGE(""1RdEdgHYrZ33LJ7RUHj_h-qkAFL92bcVjtIdVa-UlsCw"", ""Interns!D:D""), 
   IMPORTRANGE(""1RdEdgHYrZ33LJ7RUHj_h-qkAFL92bcVjtIdVa-UlsCw"", ""Interns!O:O""), 
   ""Not Found"")"),"Hetal reached out by email 3/27")</f>
        <v>Hetal reached out by email 3/27</v>
      </c>
      <c r="AN914" s="23"/>
      <c r="AO914" s="23" t="s">
        <v>11079</v>
      </c>
      <c r="AP914" s="28" t="s">
        <v>5182</v>
      </c>
      <c r="AQ914" s="28" t="s">
        <v>11080</v>
      </c>
      <c r="AR914" s="23" t="s">
        <v>11081</v>
      </c>
      <c r="AS914" s="23"/>
      <c r="AT914" s="23"/>
      <c r="AU914" s="23"/>
      <c r="AV914" s="23"/>
    </row>
    <row r="915">
      <c r="A915" s="28" t="s">
        <v>5161</v>
      </c>
      <c r="B915" s="28" t="s">
        <v>5162</v>
      </c>
      <c r="C915" s="23" t="str">
        <f t="shared" si="1"/>
        <v>Yemili Goodridge</v>
      </c>
      <c r="D915" s="28" t="s">
        <v>11082</v>
      </c>
      <c r="E915" s="28" t="s">
        <v>11083</v>
      </c>
      <c r="F915" s="23">
        <f t="array" ref="F915">IFERROR(
    INDEX('Hub Interns 226'!A:A, MATCH(C915, 'Hub Interns 226'!B:B, 0)),"")</f>
        <v>1227</v>
      </c>
      <c r="G915" s="23">
        <f t="array" ref="G915">IFERROR(
    INDEX('Hub Users 226'!A:A, MATCH(C915, 'Hub Users 226'!B:B, 0)),"")</f>
        <v>1660</v>
      </c>
      <c r="H915" s="28">
        <v>366.0</v>
      </c>
      <c r="I915" s="28" t="s">
        <v>239</v>
      </c>
      <c r="J915" s="28" t="s">
        <v>11084</v>
      </c>
      <c r="K915" s="28" t="s">
        <v>5463</v>
      </c>
      <c r="L915" s="28" t="s">
        <v>5196</v>
      </c>
      <c r="M915" s="56" t="s">
        <v>11085</v>
      </c>
      <c r="N915" s="57">
        <v>44252.654861111114</v>
      </c>
      <c r="O915" s="58">
        <v>37734.0</v>
      </c>
      <c r="P915" s="28">
        <f t="shared" si="24"/>
        <v>23</v>
      </c>
      <c r="Q915" s="28" t="s">
        <v>240</v>
      </c>
      <c r="R915" s="28" t="s">
        <v>11086</v>
      </c>
      <c r="S915" s="28">
        <v>3.0</v>
      </c>
      <c r="T915" s="28">
        <v>11.0</v>
      </c>
      <c r="U915" s="28">
        <v>33.0</v>
      </c>
      <c r="V915" s="28">
        <v>23.0</v>
      </c>
      <c r="W915" s="28" t="s">
        <v>1173</v>
      </c>
      <c r="X915" s="28" t="s">
        <v>272</v>
      </c>
      <c r="Y915" s="28" t="s">
        <v>11087</v>
      </c>
      <c r="Z915" s="28" t="s">
        <v>5189</v>
      </c>
      <c r="AA915" s="28" t="s">
        <v>619</v>
      </c>
      <c r="AB915" s="28">
        <v>20.0</v>
      </c>
      <c r="AC915" s="28" t="s">
        <v>25</v>
      </c>
      <c r="AD915" s="23"/>
      <c r="AE915" s="28" t="s">
        <v>8</v>
      </c>
      <c r="AF915" s="23" t="str">
        <f>IFERROR(__xludf.DUMMYFUNCTION("TEXTJOIN("", "", TRUE,
  FILTER(Champions!C:C,
    ISNUMBER(SEARCH(C915, Champions!W:W))
  )
)"),"Joseph Temowo, Carolina Chamorro")</f>
        <v>Joseph Temowo, Carolina Chamorro</v>
      </c>
      <c r="AG915" s="23"/>
      <c r="AH915" s="23" t="str">
        <f>IFERROR(__xludf.DUMMYFUNCTION("IF(
ISNUMBER(MATCH(
C915,
IMPORTRANGE(""https://docs.google.com/spreadsheets/d/1yTh1ELC33JHYOeEdgIiEclxPRyh0zOKtlawDltfUay8"",""'Interns'!A:A""),
0
)),
""Outreach Conducted"",
"""")"),"")</f>
        <v/>
      </c>
      <c r="AI915" s="23"/>
      <c r="AJ915" s="23"/>
      <c r="AK915" s="23" t="str">
        <f>IFERROR(__xludf.DUMMYFUNCTION("XLOOKUP(C915, 
   IMPORTRANGE(""1RdEdgHYrZ33LJ7RUHj_h-qkAFL92bcVjtIdVa-UlsCw"", ""Interns!D:D""), 
   IMPORTRANGE(""1RdEdgHYrZ33LJ7RUHj_h-qkAFL92bcVjtIdVa-UlsCw"", ""Interns!M:M""), 
   ""Not Found"")"),"Contacted")</f>
        <v>Contacted</v>
      </c>
      <c r="AL915" s="23" t="str">
        <f>IFERROR(__xludf.DUMMYFUNCTION("XLOOKUP(C915, 
   IMPORTRANGE(""1RdEdgHYrZ33LJ7RUHj_h-qkAFL92bcVjtIdVa-UlsCw"", ""Interns!D:D""), 
   IMPORTRANGE(""1RdEdgHYrZ33LJ7RUHj_h-qkAFL92bcVjtIdVa-UlsCw"", ""Interns!N:N""), 
   ""Not Found"")"),"#Cheers4Careers")</f>
        <v>#Cheers4Careers</v>
      </c>
      <c r="AM915" s="23" t="str">
        <f>IFERROR(__xludf.DUMMYFUNCTION("XLOOKUP(C915, 
   IMPORTRANGE(""1RdEdgHYrZ33LJ7RUHj_h-qkAFL92bcVjtIdVa-UlsCw"", ""Interns!D:D""), 
   IMPORTRANGE(""1RdEdgHYrZ33LJ7RUHj_h-qkAFL92bcVjtIdVa-UlsCw"", ""Interns!O:O""), 
   ""Not Found"")"),"Hetal reached out by email 3/27 followed by text")</f>
        <v>Hetal reached out by email 3/27 followed by text</v>
      </c>
      <c r="AN915" s="23"/>
      <c r="AO915" s="23" t="s">
        <v>11088</v>
      </c>
      <c r="AP915" s="28" t="s">
        <v>5182</v>
      </c>
      <c r="AQ915" s="28" t="s">
        <v>11085</v>
      </c>
      <c r="AR915" s="23" t="s">
        <v>11089</v>
      </c>
      <c r="AS915" s="28" t="s">
        <v>11090</v>
      </c>
      <c r="AT915" s="23"/>
      <c r="AU915" s="23"/>
      <c r="AV915" s="23"/>
    </row>
    <row r="916">
      <c r="A916" s="28" t="s">
        <v>5161</v>
      </c>
      <c r="B916" s="28" t="s">
        <v>5162</v>
      </c>
      <c r="C916" s="23" t="str">
        <f t="shared" si="1"/>
        <v>Samuel Andino</v>
      </c>
      <c r="D916" s="28" t="s">
        <v>8295</v>
      </c>
      <c r="E916" s="28" t="s">
        <v>11091</v>
      </c>
      <c r="F916" s="23">
        <f t="array" ref="F916">IFERROR(
    INDEX('Hub Interns 226'!A:A, MATCH(C916, 'Hub Interns 226'!B:B, 0)),"")</f>
        <v>1063</v>
      </c>
      <c r="G916" s="23">
        <f t="array" ref="G916">IFERROR(
    INDEX('Hub Users 226'!A:A, MATCH(C916, 'Hub Users 226'!B:B, 0)),"")</f>
        <v>1496</v>
      </c>
      <c r="H916" s="28">
        <v>1591.0</v>
      </c>
      <c r="I916" s="28"/>
      <c r="J916" s="28" t="s">
        <v>11092</v>
      </c>
      <c r="K916" s="28" t="s">
        <v>5177</v>
      </c>
      <c r="L916" s="28" t="s">
        <v>5165</v>
      </c>
      <c r="M916" s="56" t="s">
        <v>11093</v>
      </c>
      <c r="N916" s="57">
        <v>45016.38888888889</v>
      </c>
      <c r="O916" s="58">
        <v>45080.0</v>
      </c>
      <c r="P916" s="28">
        <f t="shared" si="24"/>
        <v>2</v>
      </c>
      <c r="Q916" s="28" t="s">
        <v>240</v>
      </c>
      <c r="R916" s="28" t="s">
        <v>11094</v>
      </c>
      <c r="S916" s="28">
        <v>6.0</v>
      </c>
      <c r="T916" s="28">
        <v>12.0</v>
      </c>
      <c r="U916" s="28">
        <v>30.0</v>
      </c>
      <c r="V916" s="28">
        <v>30.0</v>
      </c>
      <c r="W916" s="28" t="s">
        <v>1173</v>
      </c>
      <c r="X916" s="28" t="s">
        <v>272</v>
      </c>
      <c r="Y916" s="28" t="s">
        <v>5169</v>
      </c>
      <c r="Z916" s="28" t="s">
        <v>5170</v>
      </c>
      <c r="AA916" s="28" t="s">
        <v>5171</v>
      </c>
      <c r="AB916" s="28">
        <v>30.0</v>
      </c>
      <c r="AC916" s="28" t="s">
        <v>23</v>
      </c>
      <c r="AD916" s="28" t="s">
        <v>101</v>
      </c>
      <c r="AE916" s="28" t="s">
        <v>15</v>
      </c>
      <c r="AF916" s="23"/>
      <c r="AG916" s="23"/>
      <c r="AH916" s="23" t="str">
        <f>IFERROR(__xludf.DUMMYFUNCTION("IF(
ISNUMBER(MATCH(
C916,
IMPORTRANGE(""https://docs.google.com/spreadsheets/d/1yTh1ELC33JHYOeEdgIiEclxPRyh0zOKtlawDltfUay8"",""'Interns'!A:A""),
0
)),
""Outreach Conducted"",
"""")"),"")</f>
        <v/>
      </c>
      <c r="AI916" s="23"/>
      <c r="AJ916" s="23"/>
      <c r="AK916" s="23" t="str">
        <f>IFERROR(__xludf.DUMMYFUNCTION("XLOOKUP(C916, 
   IMPORTRANGE(""1RdEdgHYrZ33LJ7RUHj_h-qkAFL92bcVjtIdVa-UlsCw"", ""Interns!D:D""), 
   IMPORTRANGE(""1RdEdgHYrZ33LJ7RUHj_h-qkAFL92bcVjtIdVa-UlsCw"", ""Interns!M:M""), 
   ""Not Found"")"),"Contacted")</f>
        <v>Contacted</v>
      </c>
      <c r="AL916" s="23" t="str">
        <f>IFERROR(__xludf.DUMMYFUNCTION("XLOOKUP(C916, 
   IMPORTRANGE(""1RdEdgHYrZ33LJ7RUHj_h-qkAFL92bcVjtIdVa-UlsCw"", ""Interns!D:D""), 
   IMPORTRANGE(""1RdEdgHYrZ33LJ7RUHj_h-qkAFL92bcVjtIdVa-UlsCw"", ""Interns!N:N""), 
   ""Not Found"")"),"#Cheers4Careers")</f>
        <v>#Cheers4Careers</v>
      </c>
      <c r="AM916" s="23" t="str">
        <f>IFERROR(__xludf.DUMMYFUNCTION("XLOOKUP(C916, 
   IMPORTRANGE(""1RdEdgHYrZ33LJ7RUHj_h-qkAFL92bcVjtIdVa-UlsCw"", ""Interns!D:D""), 
   IMPORTRANGE(""1RdEdgHYrZ33LJ7RUHj_h-qkAFL92bcVjtIdVa-UlsCw"", ""Interns!O:O""), 
   ""Not Found"")"),"Hetal reached out March 27 for March #Cheers4 Careers ")</f>
        <v>Hetal reached out March 27 for March #Cheers4 Careers </v>
      </c>
      <c r="AN916" s="23"/>
      <c r="AO916" s="23" t="s">
        <v>11095</v>
      </c>
      <c r="AP916" s="28" t="s">
        <v>5191</v>
      </c>
      <c r="AQ916" s="28"/>
      <c r="AR916" s="23"/>
      <c r="AS916" s="23"/>
      <c r="AT916" s="23"/>
      <c r="AU916" s="23"/>
      <c r="AV916" s="23"/>
    </row>
    <row r="917">
      <c r="A917" s="28" t="s">
        <v>5161</v>
      </c>
      <c r="B917" s="28" t="s">
        <v>5162</v>
      </c>
      <c r="C917" s="23" t="str">
        <f t="shared" si="1"/>
        <v>Kadidiatou Traore</v>
      </c>
      <c r="D917" s="28" t="s">
        <v>5901</v>
      </c>
      <c r="E917" s="28" t="s">
        <v>5902</v>
      </c>
      <c r="F917" s="23">
        <f t="array" ref="F917">IFERROR(
    INDEX('Hub Interns 226'!A:A, MATCH(C917, 'Hub Interns 226'!B:B, 0)),"")</f>
        <v>715</v>
      </c>
      <c r="G917" s="23">
        <f t="array" ref="G917">IFERROR(
    INDEX('Hub Users 226'!A:A, MATCH(C917, 'Hub Users 226'!B:B, 0)),"")</f>
        <v>1148</v>
      </c>
      <c r="H917" s="28">
        <v>430.0</v>
      </c>
      <c r="I917" s="28" t="s">
        <v>260</v>
      </c>
      <c r="J917" s="28" t="s">
        <v>5866</v>
      </c>
      <c r="K917" s="28" t="s">
        <v>5245</v>
      </c>
      <c r="L917" s="28" t="s">
        <v>5196</v>
      </c>
      <c r="M917" s="56" t="s">
        <v>5903</v>
      </c>
      <c r="N917" s="57">
        <v>44314.55486111111</v>
      </c>
      <c r="O917" s="58">
        <v>37386.0</v>
      </c>
      <c r="P917" s="28">
        <f t="shared" si="24"/>
        <v>24</v>
      </c>
      <c r="Q917" s="28" t="s">
        <v>240</v>
      </c>
      <c r="R917" s="28" t="s">
        <v>11096</v>
      </c>
      <c r="S917" s="28">
        <v>13.0</v>
      </c>
      <c r="T917" s="28">
        <v>33.0</v>
      </c>
      <c r="U917" s="28">
        <v>78.0</v>
      </c>
      <c r="V917" s="28">
        <v>15.0</v>
      </c>
      <c r="W917" s="28" t="s">
        <v>859</v>
      </c>
      <c r="X917" s="28" t="s">
        <v>272</v>
      </c>
      <c r="Y917" s="28" t="s">
        <v>5906</v>
      </c>
      <c r="Z917" s="28" t="s">
        <v>5310</v>
      </c>
      <c r="AA917" s="28" t="s">
        <v>362</v>
      </c>
      <c r="AB917" s="28">
        <v>16.0</v>
      </c>
      <c r="AC917" s="28" t="s">
        <v>24</v>
      </c>
      <c r="AD917" s="23"/>
      <c r="AE917" s="28" t="s">
        <v>8</v>
      </c>
      <c r="AF917" s="23"/>
      <c r="AG917" s="23"/>
      <c r="AH917" s="23" t="str">
        <f>IFERROR(__xludf.DUMMYFUNCTION("IF(
ISNUMBER(MATCH(
C917,
IMPORTRANGE(""https://docs.google.com/spreadsheets/d/1yTh1ELC33JHYOeEdgIiEclxPRyh0zOKtlawDltfUay8"",""'Interns'!A:A""),
0
)),
""Outreach Conducted"",
"""")"),"")</f>
        <v/>
      </c>
      <c r="AI917" s="23"/>
      <c r="AJ917" s="23"/>
      <c r="AK917" s="23" t="str">
        <f>IFERROR(__xludf.DUMMYFUNCTION("XLOOKUP(C917, 
   IMPORTRANGE(""1RdEdgHYrZ33LJ7RUHj_h-qkAFL92bcVjtIdVa-UlsCw"", ""Interns!D:D""), 
   IMPORTRANGE(""1RdEdgHYrZ33LJ7RUHj_h-qkAFL92bcVjtIdVa-UlsCw"", ""Interns!M:M""), 
   ""Not Found"")"),"")</f>
        <v/>
      </c>
      <c r="AL917" s="23" t="str">
        <f>IFERROR(__xludf.DUMMYFUNCTION("XLOOKUP(C917, 
   IMPORTRANGE(""1RdEdgHYrZ33LJ7RUHj_h-qkAFL92bcVjtIdVa-UlsCw"", ""Interns!D:D""), 
   IMPORTRANGE(""1RdEdgHYrZ33LJ7RUHj_h-qkAFL92bcVjtIdVa-UlsCw"", ""Interns!N:N""), 
   ""Not Found"")"),"#SpeakingMyName")</f>
        <v>#SpeakingMyName</v>
      </c>
      <c r="AM917" s="23" t="str">
        <f>IFERROR(__xludf.DUMMYFUNCTION("XLOOKUP(C917, 
   IMPORTRANGE(""1RdEdgHYrZ33LJ7RUHj_h-qkAFL92bcVjtIdVa-UlsCw"", ""Interns!D:D""), 
   IMPORTRANGE(""1RdEdgHYrZ33LJ7RUHj_h-qkAFL92bcVjtIdVa-UlsCw"", ""Interns!O:O""), 
   ""Not Found"")"),"Alicia reached out by email on 5/15 for #SpeakingMyName")</f>
        <v>Alicia reached out by email on 5/15 for #SpeakingMyName</v>
      </c>
      <c r="AN917" s="23"/>
      <c r="AO917" s="23" t="s">
        <v>5907</v>
      </c>
      <c r="AP917" s="28" t="s">
        <v>5908</v>
      </c>
      <c r="AQ917" s="28"/>
      <c r="AR917" s="23"/>
      <c r="AS917" s="23"/>
      <c r="AT917" s="23"/>
      <c r="AU917" s="23"/>
      <c r="AV917" s="23"/>
    </row>
    <row r="918">
      <c r="A918" s="28" t="s">
        <v>5161</v>
      </c>
      <c r="B918" s="28" t="s">
        <v>5162</v>
      </c>
      <c r="C918" s="23" t="str">
        <f t="shared" si="1"/>
        <v>Ousmane Diallo</v>
      </c>
      <c r="D918" s="28" t="s">
        <v>9891</v>
      </c>
      <c r="E918" s="28" t="s">
        <v>7818</v>
      </c>
      <c r="F918" s="23">
        <f t="array" ref="F918">IFERROR(
    INDEX('Hub Interns 226'!A:A, MATCH(C918, 'Hub Interns 226'!B:B, 0)),"")</f>
        <v>977</v>
      </c>
      <c r="G918" s="23">
        <f t="array" ref="G918">IFERROR(
    INDEX('Hub Users 226'!A:A, MATCH(C918, 'Hub Users 226'!B:B, 0)),"")</f>
        <v>1410</v>
      </c>
      <c r="H918" s="28">
        <v>236.0</v>
      </c>
      <c r="I918" s="28" t="s">
        <v>239</v>
      </c>
      <c r="J918" s="28" t="s">
        <v>11097</v>
      </c>
      <c r="K918" s="28" t="s">
        <v>5245</v>
      </c>
      <c r="L918" s="28" t="s">
        <v>5165</v>
      </c>
      <c r="M918" s="56" t="s">
        <v>11098</v>
      </c>
      <c r="N918" s="59">
        <v>44129.799305555556</v>
      </c>
      <c r="O918" s="58">
        <v>36764.0</v>
      </c>
      <c r="P918" s="28">
        <f t="shared" si="24"/>
        <v>25</v>
      </c>
      <c r="Q918" s="28" t="s">
        <v>11099</v>
      </c>
      <c r="R918" s="28" t="s">
        <v>11100</v>
      </c>
      <c r="S918" s="28">
        <v>9.0</v>
      </c>
      <c r="T918" s="28">
        <v>21.0</v>
      </c>
      <c r="U918" s="28">
        <v>59.0</v>
      </c>
      <c r="V918" s="28">
        <v>45.0</v>
      </c>
      <c r="W918" s="28" t="s">
        <v>294</v>
      </c>
      <c r="X918" s="28" t="s">
        <v>272</v>
      </c>
      <c r="Y918" s="28">
        <v>1.6467038461E10</v>
      </c>
      <c r="Z918" s="28" t="s">
        <v>5963</v>
      </c>
      <c r="AA918" s="28" t="s">
        <v>1923</v>
      </c>
      <c r="AB918" s="28">
        <v>1.0</v>
      </c>
      <c r="AC918" s="28" t="s">
        <v>25</v>
      </c>
      <c r="AD918" s="23"/>
      <c r="AE918" s="28" t="s">
        <v>9</v>
      </c>
      <c r="AF918" s="23"/>
      <c r="AG918" s="26" t="s">
        <v>9968</v>
      </c>
      <c r="AH918" s="23" t="str">
        <f>IFERROR(__xludf.DUMMYFUNCTION("IF(
ISNUMBER(MATCH(
C918,
IMPORTRANGE(""https://docs.google.com/spreadsheets/d/1yTh1ELC33JHYOeEdgIiEclxPRyh0zOKtlawDltfUay8"",""'Interns'!A:A""),
0
)),
""Outreach Conducted"",
"""")"),"Outreach Conducted")</f>
        <v>Outreach Conducted</v>
      </c>
      <c r="AI918" s="23"/>
      <c r="AJ918" s="23"/>
      <c r="AK918" s="23" t="str">
        <f>IFERROR(__xludf.DUMMYFUNCTION("XLOOKUP(C918, 
   IMPORTRANGE(""1RdEdgHYrZ33LJ7RUHj_h-qkAFL92bcVjtIdVa-UlsCw"", ""Interns!D:D""), 
   IMPORTRANGE(""1RdEdgHYrZ33LJ7RUHj_h-qkAFL92bcVjtIdVa-UlsCw"", ""Interns!M:M""), 
   ""Not Found"")"),"")</f>
        <v/>
      </c>
      <c r="AL918" s="23" t="str">
        <f>IFERROR(__xludf.DUMMYFUNCTION("XLOOKUP(C918, 
   IMPORTRANGE(""1RdEdgHYrZ33LJ7RUHj_h-qkAFL92bcVjtIdVa-UlsCw"", ""Interns!D:D""), 
   IMPORTRANGE(""1RdEdgHYrZ33LJ7RUHj_h-qkAFL92bcVjtIdVa-UlsCw"", ""Interns!N:N""), 
   ""Not Found"")"),"")</f>
        <v/>
      </c>
      <c r="AM918" s="23" t="str">
        <f>IFERROR(__xludf.DUMMYFUNCTION("XLOOKUP(C918, 
   IMPORTRANGE(""1RdEdgHYrZ33LJ7RUHj_h-qkAFL92bcVjtIdVa-UlsCw"", ""Interns!D:D""), 
   IMPORTRANGE(""1RdEdgHYrZ33LJ7RUHj_h-qkAFL92bcVjtIdVa-UlsCw"", ""Interns!O:O""), 
   ""Not Found"")"),"")</f>
        <v/>
      </c>
      <c r="AN918" s="23"/>
      <c r="AO918" s="23" t="s">
        <v>11101</v>
      </c>
      <c r="AP918" s="28" t="s">
        <v>5182</v>
      </c>
      <c r="AQ918" s="28" t="s">
        <v>11102</v>
      </c>
      <c r="AR918" s="23">
        <v>3.477739524E9</v>
      </c>
      <c r="AS918" s="28" t="s">
        <v>11103</v>
      </c>
      <c r="AT918" s="23"/>
      <c r="AU918" s="23"/>
      <c r="AV918" s="23"/>
    </row>
    <row r="919">
      <c r="A919" s="28" t="s">
        <v>5161</v>
      </c>
      <c r="B919" s="28" t="s">
        <v>5162</v>
      </c>
      <c r="C919" s="23" t="str">
        <f t="shared" si="1"/>
        <v>Jhoana Guevara</v>
      </c>
      <c r="D919" s="28" t="s">
        <v>11104</v>
      </c>
      <c r="E919" s="28" t="s">
        <v>9813</v>
      </c>
      <c r="F919" s="23">
        <f t="array" ref="F919">IFERROR(
    INDEX('Hub Interns 226'!A:A, MATCH(C919, 'Hub Interns 226'!B:B, 0)),"")</f>
        <v>661</v>
      </c>
      <c r="G919" s="23">
        <f t="array" ref="G919">IFERROR(
    INDEX('Hub Users 226'!A:A, MATCH(C919, 'Hub Users 226'!B:B, 0)),"")</f>
        <v>1094</v>
      </c>
      <c r="H919" s="28">
        <v>1287.0</v>
      </c>
      <c r="I919" s="28" t="s">
        <v>107</v>
      </c>
      <c r="J919" s="28" t="s">
        <v>11105</v>
      </c>
      <c r="K919" s="28" t="s">
        <v>5177</v>
      </c>
      <c r="L919" s="28" t="s">
        <v>5196</v>
      </c>
      <c r="M919" s="56" t="s">
        <v>11106</v>
      </c>
      <c r="N919" s="59">
        <v>44845.62708333333</v>
      </c>
      <c r="O919" s="58">
        <v>39062.0</v>
      </c>
      <c r="P919" s="28">
        <f t="shared" si="24"/>
        <v>19</v>
      </c>
      <c r="Q919" s="28" t="s">
        <v>11107</v>
      </c>
      <c r="R919" s="28" t="s">
        <v>11108</v>
      </c>
      <c r="S919" s="28">
        <v>13.0</v>
      </c>
      <c r="T919" s="28">
        <v>31.0</v>
      </c>
      <c r="U919" s="28">
        <v>72.0</v>
      </c>
      <c r="V919" s="28">
        <v>10.0</v>
      </c>
      <c r="W919" s="28" t="s">
        <v>271</v>
      </c>
      <c r="X919" s="28" t="s">
        <v>272</v>
      </c>
      <c r="Y919" s="28" t="s">
        <v>11109</v>
      </c>
      <c r="Z919" s="28" t="s">
        <v>5341</v>
      </c>
      <c r="AA919" s="28" t="s">
        <v>1085</v>
      </c>
      <c r="AB919" s="28">
        <v>10.0</v>
      </c>
      <c r="AC919" s="28" t="s">
        <v>25</v>
      </c>
      <c r="AD919" s="23"/>
      <c r="AE919" s="28" t="s">
        <v>15</v>
      </c>
      <c r="AF919" s="23" t="str">
        <f>IFERROR(__xludf.DUMMYFUNCTION("TEXTJOIN("", "", TRUE,
  FILTER(Champions!C:C,
    ISNUMBER(SEARCH(C919, Champions!W:W))
  )
)"),"Chiemela Okwandu, Sandra Denton, Sunkyung Park")</f>
        <v>Chiemela Okwandu, Sandra Denton, Sunkyung Park</v>
      </c>
      <c r="AG919" s="26" t="s">
        <v>5342</v>
      </c>
      <c r="AH919" s="23" t="str">
        <f>IFERROR(__xludf.DUMMYFUNCTION("IF(
ISNUMBER(MATCH(
C919,
IMPORTRANGE(""https://docs.google.com/spreadsheets/d/1yTh1ELC33JHYOeEdgIiEclxPRyh0zOKtlawDltfUay8"",""'Interns'!A:A""),
0
)),
""Outreach Conducted"",
"""")"),"")</f>
        <v/>
      </c>
      <c r="AI919" s="23"/>
      <c r="AJ919" s="23"/>
      <c r="AK919" s="23" t="str">
        <f>IFERROR(__xludf.DUMMYFUNCTION("XLOOKUP(C919, 
   IMPORTRANGE(""1RdEdgHYrZ33LJ7RUHj_h-qkAFL92bcVjtIdVa-UlsCw"", ""Interns!D:D""), 
   IMPORTRANGE(""1RdEdgHYrZ33LJ7RUHj_h-qkAFL92bcVjtIdVa-UlsCw"", ""Interns!M:M""), 
   ""Not Found"")"),"Contacted")</f>
        <v>Contacted</v>
      </c>
      <c r="AL919" s="23" t="str">
        <f>IFERROR(__xludf.DUMMYFUNCTION("XLOOKUP(C919, 
   IMPORTRANGE(""1RdEdgHYrZ33LJ7RUHj_h-qkAFL92bcVjtIdVa-UlsCw"", ""Interns!D:D""), 
   IMPORTRANGE(""1RdEdgHYrZ33LJ7RUHj_h-qkAFL92bcVjtIdVa-UlsCw"", ""Interns!N:N""), 
   ""Not Found"")"),"#Cheers4Careers")</f>
        <v>#Cheers4Careers</v>
      </c>
      <c r="AM919" s="23" t="str">
        <f>IFERROR(__xludf.DUMMYFUNCTION("XLOOKUP(C919, 
   IMPORTRANGE(""1RdEdgHYrZ33LJ7RUHj_h-qkAFL92bcVjtIdVa-UlsCw"", ""Interns!D:D""), 
   IMPORTRANGE(""1RdEdgHYrZ33LJ7RUHj_h-qkAFL92bcVjtIdVa-UlsCw"", ""Interns!O:O""), 
   ""Not Found"")"),"Texted on April 14 for #Cheers4Careers event")</f>
        <v>Texted on April 14 for #Cheers4Careers event</v>
      </c>
      <c r="AN919" s="23"/>
      <c r="AO919" s="23" t="s">
        <v>11110</v>
      </c>
      <c r="AP919" s="28" t="s">
        <v>5182</v>
      </c>
      <c r="AQ919" s="28" t="s">
        <v>11111</v>
      </c>
      <c r="AR919" s="23" t="s">
        <v>11112</v>
      </c>
      <c r="AS919" s="23"/>
      <c r="AT919" s="23"/>
      <c r="AU919" s="23"/>
      <c r="AV919" s="23"/>
    </row>
    <row r="920">
      <c r="A920" s="28" t="s">
        <v>5161</v>
      </c>
      <c r="B920" s="28" t="s">
        <v>5162</v>
      </c>
      <c r="C920" s="23" t="str">
        <f t="shared" si="1"/>
        <v>Karina Cando</v>
      </c>
      <c r="D920" s="28" t="s">
        <v>7278</v>
      </c>
      <c r="E920" s="28" t="s">
        <v>11113</v>
      </c>
      <c r="F920" s="23">
        <f t="array" ref="F920">IFERROR(
    INDEX('Hub Interns 226'!A:A, MATCH(C920, 'Hub Interns 226'!B:B, 0)),"")</f>
        <v>95</v>
      </c>
      <c r="G920" s="23">
        <f t="array" ref="G920">IFERROR(
    INDEX('Hub Users 226'!A:A, MATCH(C920, 'Hub Users 226'!B:B, 0)),"")</f>
        <v>528</v>
      </c>
      <c r="H920" s="28">
        <v>1494.0</v>
      </c>
      <c r="I920" s="28"/>
      <c r="J920" s="28" t="s">
        <v>2388</v>
      </c>
      <c r="K920" s="28" t="s">
        <v>5463</v>
      </c>
      <c r="L920" s="28" t="s">
        <v>5196</v>
      </c>
      <c r="M920" s="56" t="s">
        <v>11114</v>
      </c>
      <c r="N920" s="57">
        <v>44949.645833333336</v>
      </c>
      <c r="O920" s="58">
        <v>38727.0</v>
      </c>
      <c r="P920" s="28">
        <f t="shared" si="24"/>
        <v>20</v>
      </c>
      <c r="Q920" s="28" t="s">
        <v>240</v>
      </c>
      <c r="R920" s="28" t="s">
        <v>11115</v>
      </c>
      <c r="S920" s="28">
        <v>7.0</v>
      </c>
      <c r="T920" s="28">
        <v>18.0</v>
      </c>
      <c r="U920" s="28">
        <v>54.0</v>
      </c>
      <c r="V920" s="28">
        <v>37.0</v>
      </c>
      <c r="W920" s="28" t="s">
        <v>294</v>
      </c>
      <c r="X920" s="28" t="s">
        <v>272</v>
      </c>
      <c r="Y920" s="28" t="s">
        <v>11116</v>
      </c>
      <c r="Z920" s="28" t="s">
        <v>5259</v>
      </c>
      <c r="AA920" s="28" t="s">
        <v>704</v>
      </c>
      <c r="AB920" s="28">
        <v>2.0</v>
      </c>
      <c r="AC920" s="28" t="s">
        <v>23</v>
      </c>
      <c r="AD920" s="23"/>
      <c r="AE920" s="28" t="s">
        <v>15</v>
      </c>
      <c r="AF920" s="23"/>
      <c r="AG920" s="23"/>
      <c r="AH920" s="23" t="str">
        <f>IFERROR(__xludf.DUMMYFUNCTION("IF(
ISNUMBER(MATCH(
C920,
IMPORTRANGE(""https://docs.google.com/spreadsheets/d/1yTh1ELC33JHYOeEdgIiEclxPRyh0zOKtlawDltfUay8"",""'Interns'!A:A""),
0
)),
""Outreach Conducted"",
"""")"),"")</f>
        <v/>
      </c>
      <c r="AI920" s="23"/>
      <c r="AJ920" s="23"/>
      <c r="AK920" s="23" t="str">
        <f>IFERROR(__xludf.DUMMYFUNCTION("XLOOKUP(C920, 
   IMPORTRANGE(""1RdEdgHYrZ33LJ7RUHj_h-qkAFL92bcVjtIdVa-UlsCw"", ""Interns!D:D""), 
   IMPORTRANGE(""1RdEdgHYrZ33LJ7RUHj_h-qkAFL92bcVjtIdVa-UlsCw"", ""Interns!M:M""), 
   ""Not Found"")"),"Contacted")</f>
        <v>Contacted</v>
      </c>
      <c r="AL920" s="23" t="str">
        <f>IFERROR(__xludf.DUMMYFUNCTION("XLOOKUP(C920, 
   IMPORTRANGE(""1RdEdgHYrZ33LJ7RUHj_h-qkAFL92bcVjtIdVa-UlsCw"", ""Interns!D:D""), 
   IMPORTRANGE(""1RdEdgHYrZ33LJ7RUHj_h-qkAFL92bcVjtIdVa-UlsCw"", ""Interns!N:N""), 
   ""Not Found"")"),"#Cheers4Careers")</f>
        <v>#Cheers4Careers</v>
      </c>
      <c r="AM920" s="23" t="str">
        <f>IFERROR(__xludf.DUMMYFUNCTION("XLOOKUP(C920, 
   IMPORTRANGE(""1RdEdgHYrZ33LJ7RUHj_h-qkAFL92bcVjtIdVa-UlsCw"", ""Interns!D:D""), 
   IMPORTRANGE(""1RdEdgHYrZ33LJ7RUHj_h-qkAFL92bcVjtIdVa-UlsCw"", ""Interns!O:O""), 
   ""Not Found"")"),"Ousmane reached out by email 3/26 and reach out by text 3/28")</f>
        <v>Ousmane reached out by email 3/26 and reach out by text 3/28</v>
      </c>
      <c r="AN920" s="23"/>
      <c r="AO920" s="23" t="s">
        <v>11117</v>
      </c>
      <c r="AP920" s="28" t="s">
        <v>5908</v>
      </c>
      <c r="AQ920" s="28"/>
      <c r="AR920" s="23"/>
      <c r="AS920" s="23"/>
      <c r="AT920" s="23"/>
      <c r="AU920" s="23"/>
      <c r="AV920" s="23"/>
    </row>
    <row r="921">
      <c r="A921" s="28" t="s">
        <v>5161</v>
      </c>
      <c r="B921" s="28" t="s">
        <v>5162</v>
      </c>
      <c r="C921" s="23" t="str">
        <f t="shared" si="1"/>
        <v>Gema Alarcon</v>
      </c>
      <c r="D921" s="28" t="s">
        <v>11118</v>
      </c>
      <c r="E921" s="28" t="s">
        <v>1004</v>
      </c>
      <c r="F921" s="23">
        <f t="array" ref="F921">IFERROR(
    INDEX('Hub Interns 226'!A:A, MATCH(C921, 'Hub Interns 226'!B:B, 0)),"")</f>
        <v>539</v>
      </c>
      <c r="G921" s="23">
        <f t="array" ref="G921">IFERROR(
    INDEX('Hub Users 226'!A:A, MATCH(C921, 'Hub Users 226'!B:B, 0)),"")</f>
        <v>972</v>
      </c>
      <c r="H921" s="28">
        <v>566.0</v>
      </c>
      <c r="I921" s="28" t="s">
        <v>260</v>
      </c>
      <c r="J921" s="28" t="s">
        <v>11076</v>
      </c>
      <c r="K921" s="28" t="s">
        <v>11119</v>
      </c>
      <c r="L921" s="28" t="s">
        <v>5196</v>
      </c>
      <c r="M921" s="56" t="s">
        <v>11120</v>
      </c>
      <c r="N921" s="57">
        <v>44478.61736111111</v>
      </c>
      <c r="O921" s="58">
        <v>38656.0</v>
      </c>
      <c r="P921" s="28">
        <f t="shared" si="24"/>
        <v>20</v>
      </c>
      <c r="Q921" s="28" t="s">
        <v>240</v>
      </c>
      <c r="R921" s="28" t="s">
        <v>11121</v>
      </c>
      <c r="S921" s="28">
        <v>6.0</v>
      </c>
      <c r="T921" s="28">
        <v>16.0</v>
      </c>
      <c r="U921" s="28">
        <v>40.0</v>
      </c>
      <c r="V921" s="28">
        <v>20.0</v>
      </c>
      <c r="W921" s="28" t="s">
        <v>1173</v>
      </c>
      <c r="X921" s="28" t="s">
        <v>272</v>
      </c>
      <c r="Y921" s="28" t="s">
        <v>11122</v>
      </c>
      <c r="Z921" s="28" t="s">
        <v>5189</v>
      </c>
      <c r="AA921" s="28" t="s">
        <v>619</v>
      </c>
      <c r="AB921" s="28">
        <v>20.0</v>
      </c>
      <c r="AC921" s="28" t="s">
        <v>25</v>
      </c>
      <c r="AD921" s="23"/>
      <c r="AE921" s="28" t="s">
        <v>10</v>
      </c>
      <c r="AF921" s="23" t="str">
        <f>IFERROR(__xludf.DUMMYFUNCTION("TEXTJOIN("", "", TRUE,
  FILTER(Champions!C:C,
    ISNUMBER(SEARCH(C921, Champions!W:W))
  )
)"),"Marinee Lees, Carolina Parra")</f>
        <v>Marinee Lees, Carolina Parra</v>
      </c>
      <c r="AG921" s="23"/>
      <c r="AH921" s="23" t="str">
        <f>IFERROR(__xludf.DUMMYFUNCTION("IF(
ISNUMBER(MATCH(
C921,
IMPORTRANGE(""https://docs.google.com/spreadsheets/d/1yTh1ELC33JHYOeEdgIiEclxPRyh0zOKtlawDltfUay8"",""'Interns'!A:A""),
0
)),
""Outreach Conducted"",
"""")"),"")</f>
        <v/>
      </c>
      <c r="AI921" s="23"/>
      <c r="AJ921" s="23"/>
      <c r="AK921" s="23" t="str">
        <f>IFERROR(__xludf.DUMMYFUNCTION("XLOOKUP(C921, 
   IMPORTRANGE(""1RdEdgHYrZ33LJ7RUHj_h-qkAFL92bcVjtIdVa-UlsCw"", ""Interns!D:D""), 
   IMPORTRANGE(""1RdEdgHYrZ33LJ7RUHj_h-qkAFL92bcVjtIdVa-UlsCw"", ""Interns!M:M""), 
   ""Not Found"")"),"Contacted")</f>
        <v>Contacted</v>
      </c>
      <c r="AL921" s="23" t="str">
        <f>IFERROR(__xludf.DUMMYFUNCTION("XLOOKUP(C921, 
   IMPORTRANGE(""1RdEdgHYrZ33LJ7RUHj_h-qkAFL92bcVjtIdVa-UlsCw"", ""Interns!D:D""), 
   IMPORTRANGE(""1RdEdgHYrZ33LJ7RUHj_h-qkAFL92bcVjtIdVa-UlsCw"", ""Interns!N:N""), 
   ""Not Found"")"),"#Cheers4Careers")</f>
        <v>#Cheers4Careers</v>
      </c>
      <c r="AM921" s="23" t="str">
        <f>IFERROR(__xludf.DUMMYFUNCTION("XLOOKUP(C921, 
   IMPORTRANGE(""1RdEdgHYrZ33LJ7RUHj_h-qkAFL92bcVjtIdVa-UlsCw"", ""Interns!D:D""), 
   IMPORTRANGE(""1RdEdgHYrZ33LJ7RUHj_h-qkAFL92bcVjtIdVa-UlsCw"", ""Interns!O:O""), 
   ""Not Found"")"),"Hetal reached out by email 3/27 followed by text")</f>
        <v>Hetal reached out by email 3/27 followed by text</v>
      </c>
      <c r="AN921" s="23"/>
      <c r="AO921" s="23" t="s">
        <v>11123</v>
      </c>
      <c r="AP921" s="28" t="s">
        <v>5182</v>
      </c>
      <c r="AQ921" s="28" t="s">
        <v>11124</v>
      </c>
      <c r="AR921" s="23" t="s">
        <v>11122</v>
      </c>
      <c r="AS921" s="23"/>
      <c r="AT921" s="23"/>
      <c r="AU921" s="23"/>
      <c r="AV921" s="23"/>
    </row>
    <row r="922">
      <c r="A922" s="28" t="s">
        <v>5161</v>
      </c>
      <c r="B922" s="28" t="s">
        <v>5162</v>
      </c>
      <c r="C922" s="23" t="str">
        <f t="shared" si="1"/>
        <v>ilse cotiy tambriz</v>
      </c>
      <c r="D922" s="28" t="s">
        <v>11125</v>
      </c>
      <c r="E922" s="28" t="s">
        <v>11126</v>
      </c>
      <c r="F922" s="23">
        <f t="array" ref="F922">IFERROR(
    INDEX('Hub Interns 226'!A:A, MATCH(C922, 'Hub Interns 226'!B:B, 0)),"")</f>
        <v>589</v>
      </c>
      <c r="G922" s="23">
        <f t="array" ref="G922">IFERROR(
    INDEX('Hub Users 226'!A:A, MATCH(C922, 'Hub Users 226'!B:B, 0)),"")</f>
        <v>1022</v>
      </c>
      <c r="H922" s="28">
        <v>873.0</v>
      </c>
      <c r="I922" s="28" t="s">
        <v>260</v>
      </c>
      <c r="J922" s="28" t="s">
        <v>11127</v>
      </c>
      <c r="K922" s="28" t="s">
        <v>5177</v>
      </c>
      <c r="L922" s="28" t="s">
        <v>5196</v>
      </c>
      <c r="M922" s="56" t="s">
        <v>11128</v>
      </c>
      <c r="N922" s="57">
        <v>44596.53194444445</v>
      </c>
      <c r="O922" s="58">
        <v>37921.0</v>
      </c>
      <c r="P922" s="28">
        <f t="shared" si="24"/>
        <v>22</v>
      </c>
      <c r="Q922" s="28" t="s">
        <v>240</v>
      </c>
      <c r="R922" s="28" t="s">
        <v>11129</v>
      </c>
      <c r="S922" s="28">
        <v>13.0</v>
      </c>
      <c r="T922" s="28">
        <v>31.0</v>
      </c>
      <c r="U922" s="28">
        <v>86.0</v>
      </c>
      <c r="V922" s="28">
        <v>14.0</v>
      </c>
      <c r="W922" s="28" t="s">
        <v>859</v>
      </c>
      <c r="X922" s="28" t="s">
        <v>272</v>
      </c>
      <c r="Y922" s="28" t="s">
        <v>11130</v>
      </c>
      <c r="Z922" s="28" t="s">
        <v>5310</v>
      </c>
      <c r="AA922" s="28" t="s">
        <v>362</v>
      </c>
      <c r="AB922" s="28">
        <v>16.0</v>
      </c>
      <c r="AC922" s="28" t="s">
        <v>25</v>
      </c>
      <c r="AD922" s="23"/>
      <c r="AE922" s="28" t="s">
        <v>10</v>
      </c>
      <c r="AF922" s="23" t="str">
        <f>IFERROR(__xludf.DUMMYFUNCTION("TEXTJOIN("", "", TRUE,
  FILTER(Champions!C:C,
    ISNUMBER(SEARCH(C922, Champions!W:W))
  )
)"),"Abigail Mawhirter, Simon Winograd")</f>
        <v>Abigail Mawhirter, Simon Winograd</v>
      </c>
      <c r="AG922" s="23"/>
      <c r="AH922" s="23" t="str">
        <f>IFERROR(__xludf.DUMMYFUNCTION("IF(
ISNUMBER(MATCH(
C922,
IMPORTRANGE(""https://docs.google.com/spreadsheets/d/1yTh1ELC33JHYOeEdgIiEclxPRyh0zOKtlawDltfUay8"",""'Interns'!A:A""),
0
)),
""Outreach Conducted"",
"""")"),"")</f>
        <v/>
      </c>
      <c r="AI922" s="23"/>
      <c r="AJ922" s="23"/>
      <c r="AK922" s="23" t="str">
        <f>IFERROR(__xludf.DUMMYFUNCTION("XLOOKUP(C922, 
   IMPORTRANGE(""1RdEdgHYrZ33LJ7RUHj_h-qkAFL92bcVjtIdVa-UlsCw"", ""Interns!D:D""), 
   IMPORTRANGE(""1RdEdgHYrZ33LJ7RUHj_h-qkAFL92bcVjtIdVa-UlsCw"", ""Interns!M:M""), 
   ""Not Found"")"),"")</f>
        <v/>
      </c>
      <c r="AL922" s="23" t="str">
        <f>IFERROR(__xludf.DUMMYFUNCTION("XLOOKUP(C922, 
   IMPORTRANGE(""1RdEdgHYrZ33LJ7RUHj_h-qkAFL92bcVjtIdVa-UlsCw"", ""Interns!D:D""), 
   IMPORTRANGE(""1RdEdgHYrZ33LJ7RUHj_h-qkAFL92bcVjtIdVa-UlsCw"", ""Interns!N:N""), 
   ""Not Found"")"),"")</f>
        <v/>
      </c>
      <c r="AM922" s="23" t="str">
        <f>IFERROR(__xludf.DUMMYFUNCTION("XLOOKUP(C922, 
   IMPORTRANGE(""1RdEdgHYrZ33LJ7RUHj_h-qkAFL92bcVjtIdVa-UlsCw"", ""Interns!D:D""), 
   IMPORTRANGE(""1RdEdgHYrZ33LJ7RUHj_h-qkAFL92bcVjtIdVa-UlsCw"", ""Interns!O:O""), 
   ""Not Found"")"),"")</f>
        <v/>
      </c>
      <c r="AN922" s="23"/>
      <c r="AO922" s="23" t="s">
        <v>11131</v>
      </c>
      <c r="AP922" s="28" t="s">
        <v>5989</v>
      </c>
      <c r="AQ922" s="28" t="s">
        <v>11132</v>
      </c>
      <c r="AR922" s="23" t="s">
        <v>11133</v>
      </c>
      <c r="AS922" s="23"/>
      <c r="AT922" s="23"/>
      <c r="AU922" s="23"/>
      <c r="AV922" s="23"/>
    </row>
    <row r="923">
      <c r="A923" s="28" t="s">
        <v>5161</v>
      </c>
      <c r="B923" s="28" t="s">
        <v>5162</v>
      </c>
      <c r="C923" s="23" t="str">
        <f t="shared" si="1"/>
        <v>Lakshmi Jason</v>
      </c>
      <c r="D923" s="28" t="s">
        <v>11134</v>
      </c>
      <c r="E923" s="28" t="s">
        <v>1676</v>
      </c>
      <c r="F923" s="23">
        <f t="array" ref="F923">IFERROR(
    INDEX('Hub Interns 226'!A:A, MATCH(C923, 'Hub Interns 226'!B:B, 0)),"")</f>
        <v>110</v>
      </c>
      <c r="G923" s="23">
        <f t="array" ref="G923">IFERROR(
    INDEX('Hub Users 226'!A:A, MATCH(C923, 'Hub Users 226'!B:B, 0)),"")</f>
        <v>543</v>
      </c>
      <c r="H923" s="28">
        <v>63.0</v>
      </c>
      <c r="I923" s="28" t="s">
        <v>260</v>
      </c>
      <c r="J923" s="28" t="s">
        <v>3265</v>
      </c>
      <c r="K923" s="28" t="s">
        <v>5186</v>
      </c>
      <c r="L923" s="28" t="s">
        <v>5196</v>
      </c>
      <c r="M923" s="56" t="s">
        <v>11135</v>
      </c>
      <c r="N923" s="57">
        <v>43741.63125</v>
      </c>
      <c r="O923" s="58">
        <v>37622.0</v>
      </c>
      <c r="P923" s="28">
        <f t="shared" si="24"/>
        <v>23</v>
      </c>
      <c r="Q923" s="28" t="s">
        <v>240</v>
      </c>
      <c r="R923" s="28" t="s">
        <v>11136</v>
      </c>
      <c r="S923" s="28"/>
      <c r="T923" s="28"/>
      <c r="U923" s="28"/>
      <c r="V923" s="28"/>
      <c r="W923" s="28" t="s">
        <v>380</v>
      </c>
      <c r="X923" s="28" t="s">
        <v>381</v>
      </c>
      <c r="Y923" s="28" t="s">
        <v>11137</v>
      </c>
      <c r="Z923" s="28" t="s">
        <v>5272</v>
      </c>
      <c r="AA923" s="28" t="s">
        <v>629</v>
      </c>
      <c r="AB923" s="28" t="s">
        <v>5221</v>
      </c>
      <c r="AC923" s="28" t="s">
        <v>25</v>
      </c>
      <c r="AD923" s="23"/>
      <c r="AE923" s="28" t="s">
        <v>4</v>
      </c>
      <c r="AF923" s="23" t="str">
        <f>IFERROR(__xludf.DUMMYFUNCTION("TEXTJOIN("", "", TRUE,
  FILTER(Champions!C:C,
    ISNUMBER(SEARCH(C923, Champions!W:W))
  )
)"),"#N/A")</f>
        <v>#N/A</v>
      </c>
      <c r="AG923" s="23"/>
      <c r="AH923" s="23" t="str">
        <f>IFERROR(__xludf.DUMMYFUNCTION("IF(
ISNUMBER(MATCH(
C923,
IMPORTRANGE(""https://docs.google.com/spreadsheets/d/1yTh1ELC33JHYOeEdgIiEclxPRyh0zOKtlawDltfUay8"",""'Interns'!A:A""),
0
)),
""Outreach Conducted"",
"""")"),"")</f>
        <v/>
      </c>
      <c r="AI923" s="23"/>
      <c r="AJ923" s="23"/>
      <c r="AK923" s="23" t="str">
        <f>IFERROR(__xludf.DUMMYFUNCTION("XLOOKUP(C923, 
   IMPORTRANGE(""1RdEdgHYrZ33LJ7RUHj_h-qkAFL92bcVjtIdVa-UlsCw"", ""Interns!D:D""), 
   IMPORTRANGE(""1RdEdgHYrZ33LJ7RUHj_h-qkAFL92bcVjtIdVa-UlsCw"", ""Interns!M:M""), 
   ""Not Found"")"),"")</f>
        <v/>
      </c>
      <c r="AL923" s="23" t="str">
        <f>IFERROR(__xludf.DUMMYFUNCTION("XLOOKUP(C923, 
   IMPORTRANGE(""1RdEdgHYrZ33LJ7RUHj_h-qkAFL92bcVjtIdVa-UlsCw"", ""Interns!D:D""), 
   IMPORTRANGE(""1RdEdgHYrZ33LJ7RUHj_h-qkAFL92bcVjtIdVa-UlsCw"", ""Interns!N:N""), 
   ""Not Found"")"),"")</f>
        <v/>
      </c>
      <c r="AM923" s="23" t="str">
        <f>IFERROR(__xludf.DUMMYFUNCTION("XLOOKUP(C923, 
   IMPORTRANGE(""1RdEdgHYrZ33LJ7RUHj_h-qkAFL92bcVjtIdVa-UlsCw"", ""Interns!D:D""), 
   IMPORTRANGE(""1RdEdgHYrZ33LJ7RUHj_h-qkAFL92bcVjtIdVa-UlsCw"", ""Interns!O:O""), 
   ""Not Found"")"),"")</f>
        <v/>
      </c>
      <c r="AN923" s="23"/>
      <c r="AO923" s="23" t="s">
        <v>11138</v>
      </c>
      <c r="AP923" s="28" t="s">
        <v>5182</v>
      </c>
      <c r="AQ923" s="28" t="s">
        <v>11139</v>
      </c>
      <c r="AR923" s="23" t="s">
        <v>11140</v>
      </c>
      <c r="AS923" s="23"/>
      <c r="AT923" s="23"/>
      <c r="AU923" s="23"/>
      <c r="AV923" s="23"/>
    </row>
    <row r="924">
      <c r="A924" s="28" t="s">
        <v>5161</v>
      </c>
      <c r="B924" s="28" t="s">
        <v>5162</v>
      </c>
      <c r="C924" s="23" t="str">
        <f t="shared" si="1"/>
        <v>Tenzin Namsal</v>
      </c>
      <c r="D924" s="28" t="s">
        <v>11141</v>
      </c>
      <c r="E924" s="28" t="s">
        <v>11142</v>
      </c>
      <c r="F924" s="23">
        <f t="array" ref="F924">IFERROR(
    INDEX('Hub Interns 226'!A:A, MATCH(C924, 'Hub Interns 226'!B:B, 0)),"")</f>
        <v>1151</v>
      </c>
      <c r="G924" s="23">
        <f t="array" ref="G924">IFERROR(
    INDEX('Hub Users 226'!A:A, MATCH(C924, 'Hub Users 226'!B:B, 0)),"")</f>
        <v>1584</v>
      </c>
      <c r="H924" s="28">
        <v>1018.0</v>
      </c>
      <c r="I924" s="28" t="s">
        <v>260</v>
      </c>
      <c r="J924" s="28" t="s">
        <v>3265</v>
      </c>
      <c r="K924" s="28" t="s">
        <v>5186</v>
      </c>
      <c r="L924" s="28" t="s">
        <v>5196</v>
      </c>
      <c r="M924" s="56" t="s">
        <v>11143</v>
      </c>
      <c r="N924" s="57">
        <v>44658.319444444445</v>
      </c>
      <c r="O924" s="58">
        <v>39652.0</v>
      </c>
      <c r="P924" s="28">
        <f t="shared" si="24"/>
        <v>17</v>
      </c>
      <c r="Q924" s="28" t="s">
        <v>240</v>
      </c>
      <c r="R924" s="28" t="s">
        <v>11144</v>
      </c>
      <c r="S924" s="28">
        <v>6.0</v>
      </c>
      <c r="T924" s="28">
        <v>12.0</v>
      </c>
      <c r="U924" s="28">
        <v>30.0</v>
      </c>
      <c r="V924" s="28">
        <v>26.0</v>
      </c>
      <c r="W924" s="28" t="s">
        <v>1173</v>
      </c>
      <c r="X924" s="28" t="s">
        <v>272</v>
      </c>
      <c r="Y924" s="28" t="s">
        <v>11145</v>
      </c>
      <c r="Z924" s="28" t="s">
        <v>5352</v>
      </c>
      <c r="AA924" s="28" t="s">
        <v>5287</v>
      </c>
      <c r="AB924" s="28">
        <v>26.0</v>
      </c>
      <c r="AC924" s="28" t="s">
        <v>24</v>
      </c>
      <c r="AD924" s="23"/>
      <c r="AE924" s="28" t="s">
        <v>10</v>
      </c>
      <c r="AF924" s="23"/>
      <c r="AG924" s="23"/>
      <c r="AH924" s="23" t="str">
        <f>IFERROR(__xludf.DUMMYFUNCTION("IF(
ISNUMBER(MATCH(
C924,
IMPORTRANGE(""https://docs.google.com/spreadsheets/d/1yTh1ELC33JHYOeEdgIiEclxPRyh0zOKtlawDltfUay8"",""'Interns'!A:A""),
0
)),
""Outreach Conducted"",
"""")"),"")</f>
        <v/>
      </c>
      <c r="AI924" s="23"/>
      <c r="AJ924" s="23"/>
      <c r="AK924" s="23" t="str">
        <f>IFERROR(__xludf.DUMMYFUNCTION("XLOOKUP(C924, 
   IMPORTRANGE(""1RdEdgHYrZ33LJ7RUHj_h-qkAFL92bcVjtIdVa-UlsCw"", ""Interns!D:D""), 
   IMPORTRANGE(""1RdEdgHYrZ33LJ7RUHj_h-qkAFL92bcVjtIdVa-UlsCw"", ""Interns!M:M""), 
   ""Not Found"")"),"Contacted")</f>
        <v>Contacted</v>
      </c>
      <c r="AL924" s="23" t="str">
        <f>IFERROR(__xludf.DUMMYFUNCTION("XLOOKUP(C924, 
   IMPORTRANGE(""1RdEdgHYrZ33LJ7RUHj_h-qkAFL92bcVjtIdVa-UlsCw"", ""Interns!D:D""), 
   IMPORTRANGE(""1RdEdgHYrZ33LJ7RUHj_h-qkAFL92bcVjtIdVa-UlsCw"", ""Interns!N:N""), 
   ""Not Found"")"),"#Cheers4Careers")</f>
        <v>#Cheers4Careers</v>
      </c>
      <c r="AM924" s="23" t="str">
        <f>IFERROR(__xludf.DUMMYFUNCTION("XLOOKUP(C924, 
   IMPORTRANGE(""1RdEdgHYrZ33LJ7RUHj_h-qkAFL92bcVjtIdVa-UlsCw"", ""Interns!D:D""), 
   IMPORTRANGE(""1RdEdgHYrZ33LJ7RUHj_h-qkAFL92bcVjtIdVa-UlsCw"", ""Interns!O:O""), 
   ""Not Found"")"),"Hetal reached out by email 3/27")</f>
        <v>Hetal reached out by email 3/27</v>
      </c>
      <c r="AN924" s="23"/>
      <c r="AO924" s="23" t="s">
        <v>11146</v>
      </c>
      <c r="AP924" s="28" t="s">
        <v>5182</v>
      </c>
      <c r="AQ924" s="28"/>
      <c r="AR924" s="23"/>
      <c r="AS924" s="23"/>
      <c r="AT924" s="23"/>
      <c r="AU924" s="23"/>
      <c r="AV924" s="23"/>
    </row>
    <row r="925">
      <c r="A925" s="28" t="s">
        <v>5161</v>
      </c>
      <c r="B925" s="28" t="s">
        <v>5162</v>
      </c>
      <c r="C925" s="23" t="str">
        <f t="shared" si="1"/>
        <v>Tenzin Dechen</v>
      </c>
      <c r="D925" s="22" t="s">
        <v>11141</v>
      </c>
      <c r="E925" s="22" t="s">
        <v>11147</v>
      </c>
      <c r="F925" s="23"/>
      <c r="G925" s="23"/>
      <c r="H925" s="22">
        <v>2012.0</v>
      </c>
      <c r="I925" s="28"/>
      <c r="J925" s="28" t="s">
        <v>3265</v>
      </c>
      <c r="K925" s="28" t="s">
        <v>5186</v>
      </c>
      <c r="L925" s="28" t="s">
        <v>5196</v>
      </c>
      <c r="M925" s="29" t="s">
        <v>11148</v>
      </c>
      <c r="N925" s="63">
        <v>45615.50833333333</v>
      </c>
      <c r="O925" s="25">
        <v>41346.0</v>
      </c>
      <c r="P925" s="28">
        <f t="shared" si="24"/>
        <v>13</v>
      </c>
      <c r="Q925" s="62" t="s">
        <v>11149</v>
      </c>
      <c r="R925" s="22" t="s">
        <v>11150</v>
      </c>
      <c r="S925" s="28">
        <v>6.0</v>
      </c>
      <c r="T925" s="28">
        <v>12.0</v>
      </c>
      <c r="U925" s="28">
        <v>30.0</v>
      </c>
      <c r="V925" s="28">
        <v>26.0</v>
      </c>
      <c r="W925" s="28" t="s">
        <v>1173</v>
      </c>
      <c r="X925" s="28" t="s">
        <v>272</v>
      </c>
      <c r="Y925" s="22" t="s">
        <v>11151</v>
      </c>
      <c r="Z925" s="22" t="s">
        <v>5536</v>
      </c>
      <c r="AA925" s="28" t="s">
        <v>5287</v>
      </c>
      <c r="AB925" s="28">
        <v>26.0</v>
      </c>
      <c r="AC925" s="28" t="s">
        <v>27</v>
      </c>
      <c r="AD925" s="23"/>
      <c r="AE925" s="28" t="s">
        <v>19</v>
      </c>
      <c r="AF925" s="23"/>
      <c r="AG925" s="23"/>
      <c r="AH925" s="23" t="str">
        <f>IFERROR(__xludf.DUMMYFUNCTION("IF(
ISNUMBER(MATCH(
C925,
IMPORTRANGE(""https://docs.google.com/spreadsheets/d/1yTh1ELC33JHYOeEdgIiEclxPRyh0zOKtlawDltfUay8"",""'Interns'!A:A""),
0
)),
""Outreach Conducted"",
"""")"),"")</f>
        <v/>
      </c>
      <c r="AI925" s="23"/>
      <c r="AJ925" s="23"/>
      <c r="AK925" s="23" t="str">
        <f>IFERROR(__xludf.DUMMYFUNCTION("XLOOKUP(C925, 
   IMPORTRANGE(""1RdEdgHYrZ33LJ7RUHj_h-qkAFL92bcVjtIdVa-UlsCw"", ""Interns!D:D""), 
   IMPORTRANGE(""1RdEdgHYrZ33LJ7RUHj_h-qkAFL92bcVjtIdVa-UlsCw"", ""Interns!M:M""), 
   ""Not Found"")"),"Not Found")</f>
        <v>Not Found</v>
      </c>
      <c r="AL925" s="23" t="str">
        <f>IFERROR(__xludf.DUMMYFUNCTION("XLOOKUP(C925, 
   IMPORTRANGE(""1RdEdgHYrZ33LJ7RUHj_h-qkAFL92bcVjtIdVa-UlsCw"", ""Interns!D:D""), 
   IMPORTRANGE(""1RdEdgHYrZ33LJ7RUHj_h-qkAFL92bcVjtIdVa-UlsCw"", ""Interns!N:N""), 
   ""Not Found"")"),"Not Found")</f>
        <v>Not Found</v>
      </c>
      <c r="AM925" s="23" t="str">
        <f>IFERROR(__xludf.DUMMYFUNCTION("XLOOKUP(C925, 
   IMPORTRANGE(""1RdEdgHYrZ33LJ7RUHj_h-qkAFL92bcVjtIdVa-UlsCw"", ""Interns!D:D""), 
   IMPORTRANGE(""1RdEdgHYrZ33LJ7RUHj_h-qkAFL92bcVjtIdVa-UlsCw"", ""Interns!O:O""), 
   ""Not Found"")"),"Not Found")</f>
        <v>Not Found</v>
      </c>
      <c r="AN925" s="23"/>
      <c r="AO925" s="23" t="s">
        <v>11152</v>
      </c>
      <c r="AP925" s="28" t="s">
        <v>5182</v>
      </c>
      <c r="AQ925" s="28" t="s">
        <v>11153</v>
      </c>
      <c r="AR925" s="23" t="s">
        <v>11154</v>
      </c>
      <c r="AS925" s="23"/>
      <c r="AT925" s="23"/>
      <c r="AU925" s="23"/>
      <c r="AV925" s="23"/>
    </row>
    <row r="926">
      <c r="A926" s="28" t="s">
        <v>5161</v>
      </c>
      <c r="B926" s="28" t="s">
        <v>5162</v>
      </c>
      <c r="C926" s="23" t="str">
        <f t="shared" si="1"/>
        <v>Dhruv Patel</v>
      </c>
      <c r="D926" s="22" t="s">
        <v>11155</v>
      </c>
      <c r="E926" s="22" t="s">
        <v>487</v>
      </c>
      <c r="F926" s="23"/>
      <c r="G926" s="23"/>
      <c r="H926" s="22">
        <v>2002.0</v>
      </c>
      <c r="I926" s="28"/>
      <c r="J926" s="28" t="s">
        <v>3265</v>
      </c>
      <c r="K926" s="28" t="s">
        <v>5186</v>
      </c>
      <c r="L926" s="28" t="s">
        <v>5165</v>
      </c>
      <c r="M926" s="29" t="s">
        <v>11156</v>
      </c>
      <c r="N926" s="22" t="s">
        <v>9250</v>
      </c>
      <c r="O926" s="25">
        <v>41147.0</v>
      </c>
      <c r="P926" s="28">
        <f t="shared" si="24"/>
        <v>13</v>
      </c>
      <c r="Q926" s="62" t="s">
        <v>11157</v>
      </c>
      <c r="R926" s="22" t="s">
        <v>11158</v>
      </c>
      <c r="S926" s="28">
        <v>6.0</v>
      </c>
      <c r="T926" s="28">
        <v>12.0</v>
      </c>
      <c r="U926" s="28">
        <v>30.0</v>
      </c>
      <c r="V926" s="28">
        <v>26.0</v>
      </c>
      <c r="W926" s="28"/>
      <c r="X926" s="28"/>
      <c r="Y926" s="22">
        <v>7.186079237E9</v>
      </c>
      <c r="Z926" s="22" t="s">
        <v>5536</v>
      </c>
      <c r="AA926" s="28" t="s">
        <v>5287</v>
      </c>
      <c r="AB926" s="28">
        <v>26.0</v>
      </c>
      <c r="AC926" s="28" t="s">
        <v>27</v>
      </c>
      <c r="AD926" s="23"/>
      <c r="AE926" s="28" t="s">
        <v>19</v>
      </c>
      <c r="AF926" s="23"/>
      <c r="AG926" s="23"/>
      <c r="AH926" s="23" t="str">
        <f>IFERROR(__xludf.DUMMYFUNCTION("IF(
ISNUMBER(MATCH(
C926,
IMPORTRANGE(""https://docs.google.com/spreadsheets/d/1yTh1ELC33JHYOeEdgIiEclxPRyh0zOKtlawDltfUay8"",""'Interns'!A:A""),
0
)),
""Outreach Conducted"",
"""")"),"")</f>
        <v/>
      </c>
      <c r="AI926" s="23"/>
      <c r="AJ926" s="23"/>
      <c r="AK926" s="23" t="str">
        <f>IFERROR(__xludf.DUMMYFUNCTION("XLOOKUP(C926, 
   IMPORTRANGE(""1RdEdgHYrZ33LJ7RUHj_h-qkAFL92bcVjtIdVa-UlsCw"", ""Interns!D:D""), 
   IMPORTRANGE(""1RdEdgHYrZ33LJ7RUHj_h-qkAFL92bcVjtIdVa-UlsCw"", ""Interns!M:M""), 
   ""Not Found"")"),"Not Found")</f>
        <v>Not Found</v>
      </c>
      <c r="AL926" s="23" t="str">
        <f>IFERROR(__xludf.DUMMYFUNCTION("XLOOKUP(C926, 
   IMPORTRANGE(""1RdEdgHYrZ33LJ7RUHj_h-qkAFL92bcVjtIdVa-UlsCw"", ""Interns!D:D""), 
   IMPORTRANGE(""1RdEdgHYrZ33LJ7RUHj_h-qkAFL92bcVjtIdVa-UlsCw"", ""Interns!N:N""), 
   ""Not Found"")"),"Not Found")</f>
        <v>Not Found</v>
      </c>
      <c r="AM926" s="23" t="str">
        <f>IFERROR(__xludf.DUMMYFUNCTION("XLOOKUP(C926, 
   IMPORTRANGE(""1RdEdgHYrZ33LJ7RUHj_h-qkAFL92bcVjtIdVa-UlsCw"", ""Interns!D:D""), 
   IMPORTRANGE(""1RdEdgHYrZ33LJ7RUHj_h-qkAFL92bcVjtIdVa-UlsCw"", ""Interns!O:O""), 
   ""Not Found"")"),"Not Found")</f>
        <v>Not Found</v>
      </c>
      <c r="AN926" s="23"/>
      <c r="AO926" s="23" t="s">
        <v>11159</v>
      </c>
      <c r="AP926" s="28" t="s">
        <v>5182</v>
      </c>
      <c r="AQ926" s="28" t="s">
        <v>11160</v>
      </c>
      <c r="AR926" s="23"/>
      <c r="AS926" s="23"/>
      <c r="AT926" s="23"/>
      <c r="AU926" s="23"/>
      <c r="AV926" s="23"/>
    </row>
    <row r="927">
      <c r="A927" s="28" t="s">
        <v>5202</v>
      </c>
      <c r="B927" s="28" t="s">
        <v>5162</v>
      </c>
      <c r="C927" s="23" t="str">
        <f t="shared" si="1"/>
        <v>JiaJie Liu</v>
      </c>
      <c r="D927" s="28" t="s">
        <v>11161</v>
      </c>
      <c r="E927" s="28" t="s">
        <v>6241</v>
      </c>
      <c r="F927" s="23">
        <f t="array" ref="F927">IFERROR(
    INDEX('Hub Interns 226'!A:A, MATCH(C927, 'Hub Interns 226'!B:B, 0)),"")</f>
        <v>666</v>
      </c>
      <c r="G927" s="23">
        <f t="array" ref="G927">IFERROR(
    INDEX('Hub Users 226'!A:A, MATCH(C927, 'Hub Users 226'!B:B, 0)),"")</f>
        <v>1099</v>
      </c>
      <c r="H927" s="28">
        <v>555.0</v>
      </c>
      <c r="I927" s="28" t="s">
        <v>290</v>
      </c>
      <c r="J927" s="28" t="s">
        <v>11105</v>
      </c>
      <c r="K927" s="28" t="s">
        <v>5177</v>
      </c>
      <c r="L927" s="28" t="s">
        <v>5165</v>
      </c>
      <c r="M927" s="56" t="s">
        <v>11162</v>
      </c>
      <c r="N927" s="57">
        <v>44477.56458333333</v>
      </c>
      <c r="O927" s="58">
        <v>37601.0</v>
      </c>
      <c r="P927" s="28">
        <f t="shared" si="24"/>
        <v>23</v>
      </c>
      <c r="Q927" s="28" t="s">
        <v>11163</v>
      </c>
      <c r="R927" s="28" t="s">
        <v>11164</v>
      </c>
      <c r="S927" s="28">
        <v>3.0</v>
      </c>
      <c r="T927" s="28">
        <v>11.0</v>
      </c>
      <c r="U927" s="28">
        <v>40.0</v>
      </c>
      <c r="V927" s="28">
        <v>19.0</v>
      </c>
      <c r="W927" s="28" t="s">
        <v>1173</v>
      </c>
      <c r="X927" s="28" t="s">
        <v>272</v>
      </c>
      <c r="Y927" s="28" t="s">
        <v>11165</v>
      </c>
      <c r="Z927" s="28" t="s">
        <v>5189</v>
      </c>
      <c r="AA927" s="28" t="s">
        <v>619</v>
      </c>
      <c r="AB927" s="28">
        <v>20.0</v>
      </c>
      <c r="AC927" s="28" t="s">
        <v>25</v>
      </c>
      <c r="AD927" s="23"/>
      <c r="AE927" s="28" t="s">
        <v>10</v>
      </c>
      <c r="AF927" s="23" t="str">
        <f>IFERROR(__xludf.DUMMYFUNCTION("TEXTJOIN("", "", TRUE,
  FILTER(Champions!C:C,
    ISNUMBER(SEARCH(C927, Champions!W:W))
  )
)"),"Elise George, Yan Guan")</f>
        <v>Elise George, Yan Guan</v>
      </c>
      <c r="AG927" s="23"/>
      <c r="AH927" s="23" t="str">
        <f>IFERROR(__xludf.DUMMYFUNCTION("IF(
ISNUMBER(MATCH(
C927,
IMPORTRANGE(""https://docs.google.com/spreadsheets/d/1yTh1ELC33JHYOeEdgIiEclxPRyh0zOKtlawDltfUay8"",""'Interns'!A:A""),
0
)),
""Outreach Conducted"",
"""")"),"")</f>
        <v/>
      </c>
      <c r="AI927" s="23"/>
      <c r="AJ927" s="23"/>
      <c r="AK927" s="23" t="str">
        <f>IFERROR(__xludf.DUMMYFUNCTION("XLOOKUP(C927, 
   IMPORTRANGE(""1RdEdgHYrZ33LJ7RUHj_h-qkAFL92bcVjtIdVa-UlsCw"", ""Interns!D:D""), 
   IMPORTRANGE(""1RdEdgHYrZ33LJ7RUHj_h-qkAFL92bcVjtIdVa-UlsCw"", ""Interns!M:M""), 
   ""Not Found"")"),"")</f>
        <v/>
      </c>
      <c r="AL927" s="23" t="str">
        <f>IFERROR(__xludf.DUMMYFUNCTION("XLOOKUP(C927, 
   IMPORTRANGE(""1RdEdgHYrZ33LJ7RUHj_h-qkAFL92bcVjtIdVa-UlsCw"", ""Interns!D:D""), 
   IMPORTRANGE(""1RdEdgHYrZ33LJ7RUHj_h-qkAFL92bcVjtIdVa-UlsCw"", ""Interns!N:N""), 
   ""Not Found"")"),"")</f>
        <v/>
      </c>
      <c r="AM927" s="23" t="str">
        <f>IFERROR(__xludf.DUMMYFUNCTION("XLOOKUP(C927, 
   IMPORTRANGE(""1RdEdgHYrZ33LJ7RUHj_h-qkAFL92bcVjtIdVa-UlsCw"", ""Interns!D:D""), 
   IMPORTRANGE(""1RdEdgHYrZ33LJ7RUHj_h-qkAFL92bcVjtIdVa-UlsCw"", ""Interns!O:O""), 
   ""Not Found"")"),"")</f>
        <v/>
      </c>
      <c r="AN927" s="23"/>
      <c r="AO927" s="23" t="s">
        <v>11166</v>
      </c>
      <c r="AP927" s="28" t="s">
        <v>5191</v>
      </c>
      <c r="AQ927" s="28" t="s">
        <v>11162</v>
      </c>
      <c r="AR927" s="23" t="s">
        <v>11165</v>
      </c>
      <c r="AS927" s="23"/>
      <c r="AT927" s="23"/>
      <c r="AU927" s="23"/>
      <c r="AV927" s="23"/>
    </row>
    <row r="928">
      <c r="A928" s="28" t="s">
        <v>5161</v>
      </c>
      <c r="B928" s="28" t="s">
        <v>5162</v>
      </c>
      <c r="C928" s="23" t="str">
        <f t="shared" si="1"/>
        <v>Sonam Choetso</v>
      </c>
      <c r="D928" s="28" t="s">
        <v>11167</v>
      </c>
      <c r="E928" s="28" t="s">
        <v>11168</v>
      </c>
      <c r="F928" s="23">
        <f t="array" ref="F928">IFERROR(
    INDEX('Hub Interns 226'!A:A, MATCH(C928, 'Hub Interns 226'!B:B, 0)),"")</f>
        <v>875</v>
      </c>
      <c r="G928" s="23">
        <f t="array" ref="G928">IFERROR(
    INDEX('Hub Users 226'!A:A, MATCH(C928, 'Hub Users 226'!B:B, 0)),"")</f>
        <v>1308</v>
      </c>
      <c r="H928" s="28">
        <v>1023.0</v>
      </c>
      <c r="I928" s="28"/>
      <c r="J928" s="28" t="s">
        <v>3265</v>
      </c>
      <c r="K928" s="28" t="s">
        <v>5186</v>
      </c>
      <c r="L928" s="28" t="s">
        <v>5196</v>
      </c>
      <c r="M928" s="56" t="s">
        <v>11169</v>
      </c>
      <c r="N928" s="57">
        <v>44658.52569444444</v>
      </c>
      <c r="O928" s="58">
        <v>39767.0</v>
      </c>
      <c r="P928" s="28">
        <f t="shared" si="24"/>
        <v>17</v>
      </c>
      <c r="Q928" s="28" t="s">
        <v>240</v>
      </c>
      <c r="R928" s="28" t="s">
        <v>11170</v>
      </c>
      <c r="S928" s="28">
        <v>6.0</v>
      </c>
      <c r="T928" s="28">
        <v>12.0</v>
      </c>
      <c r="U928" s="28">
        <v>30.0</v>
      </c>
      <c r="V928" s="28">
        <v>26.0</v>
      </c>
      <c r="W928" s="28" t="s">
        <v>1173</v>
      </c>
      <c r="X928" s="28" t="s">
        <v>272</v>
      </c>
      <c r="Y928" s="28" t="s">
        <v>11171</v>
      </c>
      <c r="Z928" s="28" t="s">
        <v>5352</v>
      </c>
      <c r="AA928" s="28" t="s">
        <v>5287</v>
      </c>
      <c r="AB928" s="28">
        <v>26.0</v>
      </c>
      <c r="AC928" s="28" t="s">
        <v>24</v>
      </c>
      <c r="AD928" s="23"/>
      <c r="AE928" s="28" t="s">
        <v>10</v>
      </c>
      <c r="AF928" s="23"/>
      <c r="AG928" s="23"/>
      <c r="AH928" s="23" t="str">
        <f>IFERROR(__xludf.DUMMYFUNCTION("IF(
ISNUMBER(MATCH(
C928,
IMPORTRANGE(""https://docs.google.com/spreadsheets/d/1yTh1ELC33JHYOeEdgIiEclxPRyh0zOKtlawDltfUay8"",""'Interns'!A:A""),
0
)),
""Outreach Conducted"",
"""")"),"")</f>
        <v/>
      </c>
      <c r="AI928" s="23"/>
      <c r="AJ928" s="23"/>
      <c r="AK928" s="23" t="str">
        <f>IFERROR(__xludf.DUMMYFUNCTION("XLOOKUP(C928, 
   IMPORTRANGE(""1RdEdgHYrZ33LJ7RUHj_h-qkAFL92bcVjtIdVa-UlsCw"", ""Interns!D:D""), 
   IMPORTRANGE(""1RdEdgHYrZ33LJ7RUHj_h-qkAFL92bcVjtIdVa-UlsCw"", ""Interns!M:M""), 
   ""Not Found"")"),"Contacted")</f>
        <v>Contacted</v>
      </c>
      <c r="AL928" s="23" t="str">
        <f>IFERROR(__xludf.DUMMYFUNCTION("XLOOKUP(C928, 
   IMPORTRANGE(""1RdEdgHYrZ33LJ7RUHj_h-qkAFL92bcVjtIdVa-UlsCw"", ""Interns!D:D""), 
   IMPORTRANGE(""1RdEdgHYrZ33LJ7RUHj_h-qkAFL92bcVjtIdVa-UlsCw"", ""Interns!N:N""), 
   ""Not Found"")"),"#Cheers4Careers")</f>
        <v>#Cheers4Careers</v>
      </c>
      <c r="AM928" s="23" t="str">
        <f>IFERROR(__xludf.DUMMYFUNCTION("XLOOKUP(C928, 
   IMPORTRANGE(""1RdEdgHYrZ33LJ7RUHj_h-qkAFL92bcVjtIdVa-UlsCw"", ""Interns!D:D""), 
   IMPORTRANGE(""1RdEdgHYrZ33LJ7RUHj_h-qkAFL92bcVjtIdVa-UlsCw"", ""Interns!O:O""), 
   ""Not Found"")"),"Hetal reached out by email 3/27")</f>
        <v>Hetal reached out by email 3/27</v>
      </c>
      <c r="AN928" s="23"/>
      <c r="AO928" s="23" t="s">
        <v>11172</v>
      </c>
      <c r="AP928" s="28" t="s">
        <v>5191</v>
      </c>
      <c r="AQ928" s="28"/>
      <c r="AR928" s="23"/>
      <c r="AS928" s="23"/>
      <c r="AT928" s="23"/>
      <c r="AU928" s="23"/>
      <c r="AV928" s="23"/>
    </row>
    <row r="929">
      <c r="A929" s="28" t="s">
        <v>5161</v>
      </c>
      <c r="B929" s="28" t="s">
        <v>5162</v>
      </c>
      <c r="C929" s="23" t="str">
        <f t="shared" si="1"/>
        <v>Kunga Oeden</v>
      </c>
      <c r="D929" s="28" t="s">
        <v>11173</v>
      </c>
      <c r="E929" s="28" t="s">
        <v>11174</v>
      </c>
      <c r="F929" s="23">
        <f t="array" ref="F929">IFERROR(
    INDEX('Hub Interns 226'!A:A, MATCH(C929, 'Hub Interns 226'!B:B, 0)),"")</f>
        <v>1750</v>
      </c>
      <c r="G929" s="23">
        <f t="array" ref="G929">IFERROR(
    INDEX('Hub Users 226'!A:A, MATCH(C929, 'Hub Users 226'!B:B, 0)),"")</f>
        <v>2580</v>
      </c>
      <c r="H929" s="28">
        <v>1755.0</v>
      </c>
      <c r="I929" s="28"/>
      <c r="J929" s="28" t="s">
        <v>3265</v>
      </c>
      <c r="K929" s="28" t="s">
        <v>5186</v>
      </c>
      <c r="L929" s="28" t="s">
        <v>5165</v>
      </c>
      <c r="M929" s="56" t="s">
        <v>11175</v>
      </c>
      <c r="N929" s="59">
        <v>45273.57847222222</v>
      </c>
      <c r="O929" s="58">
        <v>40179.0</v>
      </c>
      <c r="P929" s="28">
        <f t="shared" si="24"/>
        <v>16</v>
      </c>
      <c r="Q929" s="28" t="s">
        <v>240</v>
      </c>
      <c r="R929" s="28" t="s">
        <v>50</v>
      </c>
      <c r="S929" s="28"/>
      <c r="T929" s="28"/>
      <c r="U929" s="28"/>
      <c r="V929" s="28"/>
      <c r="W929" s="23"/>
      <c r="X929" s="23"/>
      <c r="Y929" s="28" t="s">
        <v>11176</v>
      </c>
      <c r="Z929" s="28" t="s">
        <v>5352</v>
      </c>
      <c r="AA929" s="28" t="s">
        <v>5287</v>
      </c>
      <c r="AB929" s="28">
        <v>26.0</v>
      </c>
      <c r="AC929" s="28" t="s">
        <v>27</v>
      </c>
      <c r="AD929" s="23"/>
      <c r="AE929" s="28" t="s">
        <v>18</v>
      </c>
      <c r="AF929" s="23"/>
      <c r="AG929" s="23"/>
      <c r="AH929" s="23" t="str">
        <f>IFERROR(__xludf.DUMMYFUNCTION("IF(
ISNUMBER(MATCH(
C929,
IMPORTRANGE(""https://docs.google.com/spreadsheets/d/1yTh1ELC33JHYOeEdgIiEclxPRyh0zOKtlawDltfUay8"",""'Interns'!A:A""),
0
)),
""Outreach Conducted"",
"""")"),"")</f>
        <v/>
      </c>
      <c r="AI929" s="23"/>
      <c r="AJ929" s="23"/>
      <c r="AK929" s="23" t="str">
        <f>IFERROR(__xludf.DUMMYFUNCTION("XLOOKUP(C929, 
   IMPORTRANGE(""1RdEdgHYrZ33LJ7RUHj_h-qkAFL92bcVjtIdVa-UlsCw"", ""Interns!D:D""), 
   IMPORTRANGE(""1RdEdgHYrZ33LJ7RUHj_h-qkAFL92bcVjtIdVa-UlsCw"", ""Interns!M:M""), 
   ""Not Found"")"),"Contacted")</f>
        <v>Contacted</v>
      </c>
      <c r="AL929" s="23" t="str">
        <f>IFERROR(__xludf.DUMMYFUNCTION("XLOOKUP(C929, 
   IMPORTRANGE(""1RdEdgHYrZ33LJ7RUHj_h-qkAFL92bcVjtIdVa-UlsCw"", ""Interns!D:D""), 
   IMPORTRANGE(""1RdEdgHYrZ33LJ7RUHj_h-qkAFL92bcVjtIdVa-UlsCw"", ""Interns!N:N""), 
   ""Not Found"")"),"#Cheers4Careers")</f>
        <v>#Cheers4Careers</v>
      </c>
      <c r="AM929" s="23" t="str">
        <f>IFERROR(__xludf.DUMMYFUNCTION("XLOOKUP(C929, 
   IMPORTRANGE(""1RdEdgHYrZ33LJ7RUHj_h-qkAFL92bcVjtIdVa-UlsCw"", ""Interns!D:D""), 
   IMPORTRANGE(""1RdEdgHYrZ33LJ7RUHj_h-qkAFL92bcVjtIdVa-UlsCw"", ""Interns!O:O""), 
   ""Not Found"")"),"Hetal reached out by email 3/27")</f>
        <v>Hetal reached out by email 3/27</v>
      </c>
      <c r="AN929" s="23"/>
      <c r="AO929" s="23" t="s">
        <v>11177</v>
      </c>
      <c r="AP929" s="28" t="s">
        <v>5240</v>
      </c>
      <c r="AQ929" s="28"/>
      <c r="AR929" s="23"/>
      <c r="AS929" s="23"/>
      <c r="AT929" s="23"/>
      <c r="AU929" s="23"/>
      <c r="AV929" s="23"/>
    </row>
    <row r="930">
      <c r="A930" s="28" t="s">
        <v>5161</v>
      </c>
      <c r="B930" s="28" t="s">
        <v>5162</v>
      </c>
      <c r="C930" s="23" t="str">
        <f t="shared" si="1"/>
        <v>Hannah John</v>
      </c>
      <c r="D930" s="28" t="s">
        <v>11178</v>
      </c>
      <c r="E930" s="28" t="s">
        <v>1788</v>
      </c>
      <c r="F930" s="23">
        <f t="array" ref="F930">IFERROR(
    INDEX('Hub Interns 226'!A:A, MATCH(C930, 'Hub Interns 226'!B:B, 0)),"")</f>
        <v>566</v>
      </c>
      <c r="G930" s="23">
        <f t="array" ref="G930">IFERROR(
    INDEX('Hub Users 226'!A:A, MATCH(C930, 'Hub Users 226'!B:B, 0)),"")</f>
        <v>999</v>
      </c>
      <c r="H930" s="28">
        <v>1.0</v>
      </c>
      <c r="I930" s="28" t="s">
        <v>1963</v>
      </c>
      <c r="J930" s="28" t="s">
        <v>3265</v>
      </c>
      <c r="K930" s="28" t="s">
        <v>5186</v>
      </c>
      <c r="L930" s="28" t="s">
        <v>5165</v>
      </c>
      <c r="M930" s="56" t="s">
        <v>11179</v>
      </c>
      <c r="N930" s="57">
        <v>43320.61388888889</v>
      </c>
      <c r="O930" s="28">
        <v>16.0</v>
      </c>
      <c r="P930" s="28">
        <f>YEAR(TODAY())-2018+O930</f>
        <v>24</v>
      </c>
      <c r="Q930" s="28" t="s">
        <v>240</v>
      </c>
      <c r="R930" s="23"/>
      <c r="S930" s="28"/>
      <c r="T930" s="28"/>
      <c r="U930" s="28"/>
      <c r="V930" s="28"/>
      <c r="W930" s="28" t="s">
        <v>380</v>
      </c>
      <c r="X930" s="28" t="s">
        <v>381</v>
      </c>
      <c r="Y930" s="28">
        <v>7.382454839E9</v>
      </c>
      <c r="Z930" s="28" t="s">
        <v>5272</v>
      </c>
      <c r="AA930" s="28" t="s">
        <v>629</v>
      </c>
      <c r="AB930" s="28" t="s">
        <v>5221</v>
      </c>
      <c r="AC930" s="28" t="s">
        <v>25</v>
      </c>
      <c r="AD930" s="23"/>
      <c r="AE930" s="28" t="s">
        <v>4</v>
      </c>
      <c r="AF930" s="23" t="str">
        <f>IFERROR(__xludf.DUMMYFUNCTION("TEXTJOIN("", "", TRUE,
  FILTER(Champions!C:C,
    ISNUMBER(SEARCH(C930, Champions!W:W))
  )
)"),"Asha Nair")</f>
        <v>Asha Nair</v>
      </c>
      <c r="AG930" s="23"/>
      <c r="AH930" s="23" t="str">
        <f>IFERROR(__xludf.DUMMYFUNCTION("IF(
ISNUMBER(MATCH(
C930,
IMPORTRANGE(""https://docs.google.com/spreadsheets/d/1yTh1ELC33JHYOeEdgIiEclxPRyh0zOKtlawDltfUay8"",""'Interns'!A:A""),
0
)),
""Outreach Conducted"",
"""")"),"")</f>
        <v/>
      </c>
      <c r="AI930" s="23"/>
      <c r="AJ930" s="23"/>
      <c r="AK930" s="23" t="str">
        <f>IFERROR(__xludf.DUMMYFUNCTION("XLOOKUP(C930, 
   IMPORTRANGE(""1RdEdgHYrZ33LJ7RUHj_h-qkAFL92bcVjtIdVa-UlsCw"", ""Interns!D:D""), 
   IMPORTRANGE(""1RdEdgHYrZ33LJ7RUHj_h-qkAFL92bcVjtIdVa-UlsCw"", ""Interns!M:M""), 
   ""Not Found"")"),"")</f>
        <v/>
      </c>
      <c r="AL930" s="23" t="str">
        <f>IFERROR(__xludf.DUMMYFUNCTION("XLOOKUP(C930, 
   IMPORTRANGE(""1RdEdgHYrZ33LJ7RUHj_h-qkAFL92bcVjtIdVa-UlsCw"", ""Interns!D:D""), 
   IMPORTRANGE(""1RdEdgHYrZ33LJ7RUHj_h-qkAFL92bcVjtIdVa-UlsCw"", ""Interns!N:N""), 
   ""Not Found"")"),"")</f>
        <v/>
      </c>
      <c r="AM930" s="23" t="str">
        <f>IFERROR(__xludf.DUMMYFUNCTION("XLOOKUP(C930, 
   IMPORTRANGE(""1RdEdgHYrZ33LJ7RUHj_h-qkAFL92bcVjtIdVa-UlsCw"", ""Interns!D:D""), 
   IMPORTRANGE(""1RdEdgHYrZ33LJ7RUHj_h-qkAFL92bcVjtIdVa-UlsCw"", ""Interns!O:O""), 
   ""Not Found"")"),"")</f>
        <v/>
      </c>
      <c r="AN930" s="23"/>
      <c r="AO930" s="23" t="s">
        <v>11180</v>
      </c>
      <c r="AP930" s="28" t="s">
        <v>5191</v>
      </c>
      <c r="AQ930" s="28" t="s">
        <v>11181</v>
      </c>
      <c r="AR930" s="23">
        <v>5.949295942E9</v>
      </c>
      <c r="AS930" s="23"/>
      <c r="AT930" s="23"/>
      <c r="AU930" s="23"/>
      <c r="AV930" s="23"/>
    </row>
    <row r="931">
      <c r="A931" s="28" t="s">
        <v>5161</v>
      </c>
      <c r="B931" s="28" t="s">
        <v>5162</v>
      </c>
      <c r="C931" s="23" t="str">
        <f t="shared" si="1"/>
        <v>Yannick Diaby</v>
      </c>
      <c r="D931" s="28" t="s">
        <v>11182</v>
      </c>
      <c r="E931" s="28" t="s">
        <v>11183</v>
      </c>
      <c r="F931" s="23">
        <f t="array" ref="F931">IFERROR(
    INDEX('Hub Interns 226'!A:A, MATCH(C931, 'Hub Interns 226'!B:B, 0)),"")</f>
        <v>102</v>
      </c>
      <c r="G931" s="23">
        <f t="array" ref="G931">IFERROR(
    INDEX('Hub Users 226'!A:A, MATCH(C931, 'Hub Users 226'!B:B, 0)),"")</f>
        <v>535</v>
      </c>
      <c r="H931" s="28">
        <v>1484.0</v>
      </c>
      <c r="I931" s="28" t="s">
        <v>290</v>
      </c>
      <c r="J931" s="28" t="s">
        <v>6950</v>
      </c>
      <c r="K931" s="28" t="s">
        <v>5186</v>
      </c>
      <c r="L931" s="28" t="s">
        <v>5165</v>
      </c>
      <c r="M931" s="56" t="s">
        <v>11184</v>
      </c>
      <c r="N931" s="57">
        <v>44939.631944444445</v>
      </c>
      <c r="O931" s="58">
        <v>37996.0</v>
      </c>
      <c r="P931" s="28">
        <f t="shared" ref="P931:P933" si="25">DATEDIF(O931, TODAY(), "Y")</f>
        <v>22</v>
      </c>
      <c r="Q931" s="28" t="s">
        <v>11185</v>
      </c>
      <c r="R931" s="28" t="s">
        <v>11186</v>
      </c>
      <c r="S931" s="28">
        <v>15.0</v>
      </c>
      <c r="T931" s="28">
        <v>32.0</v>
      </c>
      <c r="U931" s="28">
        <v>85.0</v>
      </c>
      <c r="V931" s="28">
        <v>17.0</v>
      </c>
      <c r="W931" s="28" t="s">
        <v>859</v>
      </c>
      <c r="X931" s="28" t="s">
        <v>272</v>
      </c>
      <c r="Y931" s="28" t="s">
        <v>11187</v>
      </c>
      <c r="Z931" s="28" t="s">
        <v>5259</v>
      </c>
      <c r="AA931" s="28" t="s">
        <v>704</v>
      </c>
      <c r="AB931" s="28">
        <v>2.0</v>
      </c>
      <c r="AC931" s="28" t="s">
        <v>25</v>
      </c>
      <c r="AD931" s="23"/>
      <c r="AE931" s="28" t="s">
        <v>15</v>
      </c>
      <c r="AF931" s="23" t="str">
        <f>IFERROR(__xludf.DUMMYFUNCTION("TEXTJOIN("", "", TRUE,
  FILTER(Champions!C:C,
    ISNUMBER(SEARCH(C931, Champions!W:W))
  )
)"),"Bhakti Pitre, Debaleena Majumdar")</f>
        <v>Bhakti Pitre, Debaleena Majumdar</v>
      </c>
      <c r="AG931" s="23"/>
      <c r="AH931" s="23" t="str">
        <f>IFERROR(__xludf.DUMMYFUNCTION("IF(
ISNUMBER(MATCH(
C931,
IMPORTRANGE(""https://docs.google.com/spreadsheets/d/1yTh1ELC33JHYOeEdgIiEclxPRyh0zOKtlawDltfUay8"",""'Interns'!A:A""),
0
)),
""Outreach Conducted"",
"""")"),"")</f>
        <v/>
      </c>
      <c r="AI931" s="23"/>
      <c r="AJ931" s="23"/>
      <c r="AK931" s="23" t="str">
        <f>IFERROR(__xludf.DUMMYFUNCTION("XLOOKUP(C931, 
   IMPORTRANGE(""1RdEdgHYrZ33LJ7RUHj_h-qkAFL92bcVjtIdVa-UlsCw"", ""Interns!D:D""), 
   IMPORTRANGE(""1RdEdgHYrZ33LJ7RUHj_h-qkAFL92bcVjtIdVa-UlsCw"", ""Interns!M:M""), 
   ""Not Found"")"),"")</f>
        <v/>
      </c>
      <c r="AL931" s="23" t="str">
        <f>IFERROR(__xludf.DUMMYFUNCTION("XLOOKUP(C931, 
   IMPORTRANGE(""1RdEdgHYrZ33LJ7RUHj_h-qkAFL92bcVjtIdVa-UlsCw"", ""Interns!D:D""), 
   IMPORTRANGE(""1RdEdgHYrZ33LJ7RUHj_h-qkAFL92bcVjtIdVa-UlsCw"", ""Interns!N:N""), 
   ""Not Found"")"),"")</f>
        <v/>
      </c>
      <c r="AM931" s="23" t="str">
        <f>IFERROR(__xludf.DUMMYFUNCTION("XLOOKUP(C931, 
   IMPORTRANGE(""1RdEdgHYrZ33LJ7RUHj_h-qkAFL92bcVjtIdVa-UlsCw"", ""Interns!D:D""), 
   IMPORTRANGE(""1RdEdgHYrZ33LJ7RUHj_h-qkAFL92bcVjtIdVa-UlsCw"", ""Interns!O:O""), 
   ""Not Found"")"),"")</f>
        <v/>
      </c>
      <c r="AN931" s="23"/>
      <c r="AO931" s="23" t="s">
        <v>11188</v>
      </c>
      <c r="AP931" s="28" t="s">
        <v>5182</v>
      </c>
      <c r="AQ931" s="28" t="s">
        <v>11189</v>
      </c>
      <c r="AR931" s="23" t="s">
        <v>11190</v>
      </c>
      <c r="AS931" s="23"/>
      <c r="AT931" s="23"/>
      <c r="AU931" s="23"/>
      <c r="AV931" s="23"/>
    </row>
    <row r="932">
      <c r="A932" s="28" t="s">
        <v>5161</v>
      </c>
      <c r="B932" s="28" t="s">
        <v>5162</v>
      </c>
      <c r="C932" s="23" t="str">
        <f t="shared" si="1"/>
        <v>Djaka Kante</v>
      </c>
      <c r="D932" s="28" t="s">
        <v>11191</v>
      </c>
      <c r="E932" s="28" t="s">
        <v>11192</v>
      </c>
      <c r="F932" s="23">
        <f t="array" ref="F932">IFERROR(
    INDEX('Hub Interns 226'!A:A, MATCH(C932, 'Hub Interns 226'!B:B, 0)),"")</f>
        <v>454</v>
      </c>
      <c r="G932" s="23">
        <f t="array" ref="G932">IFERROR(
    INDEX('Hub Users 226'!A:A, MATCH(C932, 'Hub Users 226'!B:B, 0)),"")</f>
        <v>887</v>
      </c>
      <c r="H932" s="28">
        <v>400.0</v>
      </c>
      <c r="I932" s="28" t="s">
        <v>290</v>
      </c>
      <c r="J932" s="28" t="s">
        <v>6950</v>
      </c>
      <c r="K932" s="28" t="s">
        <v>5186</v>
      </c>
      <c r="L932" s="28" t="s">
        <v>5196</v>
      </c>
      <c r="M932" s="56" t="s">
        <v>11193</v>
      </c>
      <c r="N932" s="57">
        <v>44298.649305555555</v>
      </c>
      <c r="O932" s="58">
        <v>38510.0</v>
      </c>
      <c r="P932" s="28">
        <f t="shared" si="25"/>
        <v>20</v>
      </c>
      <c r="Q932" s="28" t="s">
        <v>240</v>
      </c>
      <c r="R932" s="28" t="s">
        <v>11194</v>
      </c>
      <c r="S932" s="28">
        <v>15.0</v>
      </c>
      <c r="T932" s="28">
        <v>32.0</v>
      </c>
      <c r="U932" s="28">
        <v>77.0</v>
      </c>
      <c r="V932" s="28">
        <v>16.0</v>
      </c>
      <c r="W932" s="28" t="s">
        <v>859</v>
      </c>
      <c r="X932" s="28" t="s">
        <v>272</v>
      </c>
      <c r="Y932" s="28" t="s">
        <v>11195</v>
      </c>
      <c r="Z932" s="28" t="s">
        <v>5435</v>
      </c>
      <c r="AA932" s="28" t="s">
        <v>7761</v>
      </c>
      <c r="AB932" s="28">
        <v>10.0</v>
      </c>
      <c r="AC932" s="28" t="s">
        <v>24</v>
      </c>
      <c r="AD932" s="28" t="s">
        <v>101</v>
      </c>
      <c r="AE932" s="28" t="s">
        <v>8</v>
      </c>
      <c r="AF932" s="23"/>
      <c r="AG932" s="26" t="s">
        <v>5316</v>
      </c>
      <c r="AH932" s="23" t="str">
        <f>IFERROR(__xludf.DUMMYFUNCTION("IF(
ISNUMBER(MATCH(
C932,
IMPORTRANGE(""https://docs.google.com/spreadsheets/d/1yTh1ELC33JHYOeEdgIiEclxPRyh0zOKtlawDltfUay8"",""'Interns'!A:A""),
0
)),
""Outreach Conducted"",
"""")"),"")</f>
        <v/>
      </c>
      <c r="AI932" s="23"/>
      <c r="AJ932" s="23"/>
      <c r="AK932" s="23" t="str">
        <f>IFERROR(__xludf.DUMMYFUNCTION("XLOOKUP(C932, 
   IMPORTRANGE(""1RdEdgHYrZ33LJ7RUHj_h-qkAFL92bcVjtIdVa-UlsCw"", ""Interns!D:D""), 
   IMPORTRANGE(""1RdEdgHYrZ33LJ7RUHj_h-qkAFL92bcVjtIdVa-UlsCw"", ""Interns!M:M""), 
   ""Not Found"")"),"")</f>
        <v/>
      </c>
      <c r="AL932" s="23" t="str">
        <f>IFERROR(__xludf.DUMMYFUNCTION("XLOOKUP(C932, 
   IMPORTRANGE(""1RdEdgHYrZ33LJ7RUHj_h-qkAFL92bcVjtIdVa-UlsCw"", ""Interns!D:D""), 
   IMPORTRANGE(""1RdEdgHYrZ33LJ7RUHj_h-qkAFL92bcVjtIdVa-UlsCw"", ""Interns!N:N""), 
   ""Not Found"")"),"#SpeakingMyName")</f>
        <v>#SpeakingMyName</v>
      </c>
      <c r="AM932" s="23" t="str">
        <f>IFERROR(__xludf.DUMMYFUNCTION("XLOOKUP(C932, 
   IMPORTRANGE(""1RdEdgHYrZ33LJ7RUHj_h-qkAFL92bcVjtIdVa-UlsCw"", ""Interns!D:D""), 
   IMPORTRANGE(""1RdEdgHYrZ33LJ7RUHj_h-qkAFL92bcVjtIdVa-UlsCw"", ""Interns!O:O""), 
   ""Not Found"")"),"Alicia reached out by email on 5/15 for #SpeakingMyName")</f>
        <v>Alicia reached out by email on 5/15 for #SpeakingMyName</v>
      </c>
      <c r="AN932" s="23"/>
      <c r="AO932" s="23" t="s">
        <v>11196</v>
      </c>
      <c r="AP932" s="28" t="s">
        <v>5191</v>
      </c>
      <c r="AQ932" s="28"/>
      <c r="AR932" s="23"/>
      <c r="AS932" s="28" t="s">
        <v>11197</v>
      </c>
      <c r="AT932" s="23"/>
      <c r="AU932" s="23"/>
      <c r="AV932" s="23"/>
    </row>
    <row r="933">
      <c r="A933" s="28" t="s">
        <v>5161</v>
      </c>
      <c r="B933" s="28" t="s">
        <v>5162</v>
      </c>
      <c r="C933" s="23" t="str">
        <f t="shared" si="1"/>
        <v>Fatuma Bulloh</v>
      </c>
      <c r="D933" s="28" t="s">
        <v>11198</v>
      </c>
      <c r="E933" s="28" t="s">
        <v>11199</v>
      </c>
      <c r="F933" s="23">
        <f t="array" ref="F933">IFERROR(
    INDEX('Hub Interns 226'!A:A, MATCH(C933, 'Hub Interns 226'!B:B, 0)),"")</f>
        <v>515</v>
      </c>
      <c r="G933" s="23">
        <f t="array" ref="G933">IFERROR(
    INDEX('Hub Users 226'!A:A, MATCH(C933, 'Hub Users 226'!B:B, 0)),"")</f>
        <v>948</v>
      </c>
      <c r="H933" s="28">
        <v>49.0</v>
      </c>
      <c r="I933" s="28" t="s">
        <v>107</v>
      </c>
      <c r="J933" s="28" t="s">
        <v>6950</v>
      </c>
      <c r="K933" s="28" t="s">
        <v>5186</v>
      </c>
      <c r="L933" s="28" t="s">
        <v>5196</v>
      </c>
      <c r="M933" s="56" t="s">
        <v>11200</v>
      </c>
      <c r="N933" s="57">
        <v>43741.63125</v>
      </c>
      <c r="O933" s="58"/>
      <c r="P933" s="28">
        <f t="shared" si="25"/>
        <v>126</v>
      </c>
      <c r="Q933" s="28" t="s">
        <v>11201</v>
      </c>
      <c r="R933" s="23"/>
      <c r="S933" s="28"/>
      <c r="T933" s="28"/>
      <c r="U933" s="28"/>
      <c r="V933" s="28"/>
      <c r="W933" s="28" t="s">
        <v>2633</v>
      </c>
      <c r="X933" s="28" t="s">
        <v>241</v>
      </c>
      <c r="Y933" s="28" t="s">
        <v>11202</v>
      </c>
      <c r="Z933" s="28" t="s">
        <v>5294</v>
      </c>
      <c r="AA933" s="28" t="s">
        <v>5294</v>
      </c>
      <c r="AB933" s="28" t="s">
        <v>5295</v>
      </c>
      <c r="AC933" s="28" t="s">
        <v>25</v>
      </c>
      <c r="AD933" s="23"/>
      <c r="AE933" s="28" t="s">
        <v>4</v>
      </c>
      <c r="AF933" s="23" t="str">
        <f>IFERROR(__xludf.DUMMYFUNCTION("TEXTJOIN("", "", TRUE,
  FILTER(Champions!C:C,
    ISNUMBER(SEARCH(C933, Champions!W:W))
  )
)"),"Bhavna Mohan Agnihotri")</f>
        <v>Bhavna Mohan Agnihotri</v>
      </c>
      <c r="AG933" s="23"/>
      <c r="AH933" s="23" t="str">
        <f>IFERROR(__xludf.DUMMYFUNCTION("IF(
ISNUMBER(MATCH(
C933,
IMPORTRANGE(""https://docs.google.com/spreadsheets/d/1yTh1ELC33JHYOeEdgIiEclxPRyh0zOKtlawDltfUay8"",""'Interns'!A:A""),
0
)),
""Outreach Conducted"",
"""")"),"")</f>
        <v/>
      </c>
      <c r="AI933" s="23"/>
      <c r="AJ933" s="23"/>
      <c r="AK933" s="23" t="str">
        <f>IFERROR(__xludf.DUMMYFUNCTION("XLOOKUP(C933, 
   IMPORTRANGE(""1RdEdgHYrZ33LJ7RUHj_h-qkAFL92bcVjtIdVa-UlsCw"", ""Interns!D:D""), 
   IMPORTRANGE(""1RdEdgHYrZ33LJ7RUHj_h-qkAFL92bcVjtIdVa-UlsCw"", ""Interns!M:M""), 
   ""Not Found"")"),"")</f>
        <v/>
      </c>
      <c r="AL933" s="23" t="str">
        <f>IFERROR(__xludf.DUMMYFUNCTION("XLOOKUP(C933, 
   IMPORTRANGE(""1RdEdgHYrZ33LJ7RUHj_h-qkAFL92bcVjtIdVa-UlsCw"", ""Interns!D:D""), 
   IMPORTRANGE(""1RdEdgHYrZ33LJ7RUHj_h-qkAFL92bcVjtIdVa-UlsCw"", ""Interns!N:N""), 
   ""Not Found"")"),"#SpeakingMyName")</f>
        <v>#SpeakingMyName</v>
      </c>
      <c r="AM933" s="23" t="str">
        <f>IFERROR(__xludf.DUMMYFUNCTION("XLOOKUP(C933, 
   IMPORTRANGE(""1RdEdgHYrZ33LJ7RUHj_h-qkAFL92bcVjtIdVa-UlsCw"", ""Interns!D:D""), 
   IMPORTRANGE(""1RdEdgHYrZ33LJ7RUHj_h-qkAFL92bcVjtIdVa-UlsCw"", ""Interns!O:O""), 
   ""Not Found"")"),"Alicia reached out by email on 5/15 for #SpeakingMyName")</f>
        <v>Alicia reached out by email on 5/15 for #SpeakingMyName</v>
      </c>
      <c r="AN933" s="23"/>
      <c r="AO933" s="23" t="s">
        <v>11203</v>
      </c>
      <c r="AP933" s="28" t="s">
        <v>5182</v>
      </c>
      <c r="AQ933" s="28" t="s">
        <v>11203</v>
      </c>
      <c r="AR933" s="23" t="s">
        <v>11204</v>
      </c>
      <c r="AS933" s="23"/>
      <c r="AT933" s="23"/>
      <c r="AU933" s="23"/>
      <c r="AV933" s="23"/>
    </row>
    <row r="934">
      <c r="A934" s="28" t="s">
        <v>5161</v>
      </c>
      <c r="B934" s="28" t="s">
        <v>5162</v>
      </c>
      <c r="C934" s="23" t="str">
        <f t="shared" si="1"/>
        <v>Khadidia Traore</v>
      </c>
      <c r="D934" s="28" t="s">
        <v>11205</v>
      </c>
      <c r="E934" s="28" t="s">
        <v>5902</v>
      </c>
      <c r="F934" s="23">
        <f t="array" ref="F934">IFERROR(
    INDEX('Hub Interns 226'!A:A, MATCH(C934, 'Hub Interns 226'!B:B, 0)),"")</f>
        <v>744</v>
      </c>
      <c r="G934" s="23">
        <f t="array" ref="G934">IFERROR(
    INDEX('Hub Users 226'!A:A, MATCH(C934, 'Hub Users 226'!B:B, 0)),"")</f>
        <v>1177</v>
      </c>
      <c r="H934" s="28">
        <v>11.0</v>
      </c>
      <c r="I934" s="28" t="s">
        <v>260</v>
      </c>
      <c r="J934" s="28" t="s">
        <v>6950</v>
      </c>
      <c r="K934" s="28" t="s">
        <v>5186</v>
      </c>
      <c r="L934" s="28" t="s">
        <v>5196</v>
      </c>
      <c r="M934" s="56" t="s">
        <v>11206</v>
      </c>
      <c r="N934" s="57">
        <v>43733.876388888886</v>
      </c>
      <c r="O934" s="58"/>
      <c r="P934" s="28"/>
      <c r="Q934" s="28" t="s">
        <v>240</v>
      </c>
      <c r="R934" s="23"/>
      <c r="S934" s="28"/>
      <c r="T934" s="28"/>
      <c r="U934" s="28"/>
      <c r="V934" s="28"/>
      <c r="W934" s="28" t="s">
        <v>271</v>
      </c>
      <c r="X934" s="28" t="s">
        <v>272</v>
      </c>
      <c r="Y934" s="28" t="s">
        <v>11207</v>
      </c>
      <c r="Z934" s="28" t="s">
        <v>5435</v>
      </c>
      <c r="AA934" s="28" t="s">
        <v>5436</v>
      </c>
      <c r="AB934" s="28">
        <v>10.0</v>
      </c>
      <c r="AC934" s="28" t="s">
        <v>25</v>
      </c>
      <c r="AD934" s="23"/>
      <c r="AE934" s="28" t="s">
        <v>7</v>
      </c>
      <c r="AF934" s="23" t="str">
        <f>IFERROR(__xludf.DUMMYFUNCTION("TEXTJOIN("", "", TRUE,
  FILTER(Champions!C:C,
    ISNUMBER(SEARCH(C934, Champions!W:W))
  )
)"),"Lynda Nwabuobi, Nikita Catharine Viswasam, Yadhira Del Carmen Arroyo Cruz, Suraiya Khatun")</f>
        <v>Lynda Nwabuobi, Nikita Catharine Viswasam, Yadhira Del Carmen Arroyo Cruz, Suraiya Khatun</v>
      </c>
      <c r="AG934" s="23"/>
      <c r="AH934" s="23" t="str">
        <f>IFERROR(__xludf.DUMMYFUNCTION("IF(
ISNUMBER(MATCH(
C934,
IMPORTRANGE(""https://docs.google.com/spreadsheets/d/1yTh1ELC33JHYOeEdgIiEclxPRyh0zOKtlawDltfUay8"",""'Interns'!A:A""),
0
)),
""Outreach Conducted"",
"""")"),"")</f>
        <v/>
      </c>
      <c r="AI934" s="23"/>
      <c r="AJ934" s="23"/>
      <c r="AK934" s="23" t="str">
        <f>IFERROR(__xludf.DUMMYFUNCTION("XLOOKUP(C934, 
   IMPORTRANGE(""1RdEdgHYrZ33LJ7RUHj_h-qkAFL92bcVjtIdVa-UlsCw"", ""Interns!D:D""), 
   IMPORTRANGE(""1RdEdgHYrZ33LJ7RUHj_h-qkAFL92bcVjtIdVa-UlsCw"", ""Interns!M:M""), 
   ""Not Found"")"),"Contacted")</f>
        <v>Contacted</v>
      </c>
      <c r="AL934" s="23" t="str">
        <f>IFERROR(__xludf.DUMMYFUNCTION("XLOOKUP(C934, 
   IMPORTRANGE(""1RdEdgHYrZ33LJ7RUHj_h-qkAFL92bcVjtIdVa-UlsCw"", ""Interns!D:D""), 
   IMPORTRANGE(""1RdEdgHYrZ33LJ7RUHj_h-qkAFL92bcVjtIdVa-UlsCw"", ""Interns!N:N""), 
   ""Not Found"")"),"#Cheers4Careers")</f>
        <v>#Cheers4Careers</v>
      </c>
      <c r="AM934" s="23" t="str">
        <f>IFERROR(__xludf.DUMMYFUNCTION("XLOOKUP(C934, 
   IMPORTRANGE(""1RdEdgHYrZ33LJ7RUHj_h-qkAFL92bcVjtIdVa-UlsCw"", ""Interns!D:D""), 
   IMPORTRANGE(""1RdEdgHYrZ33LJ7RUHj_h-qkAFL92bcVjtIdVa-UlsCw"", ""Interns!O:O""), 
   ""Not Found"")"),"Hetal reached out by email 3/27")</f>
        <v>Hetal reached out by email 3/27</v>
      </c>
      <c r="AN934" s="23"/>
      <c r="AO934" s="23" t="s">
        <v>11208</v>
      </c>
      <c r="AP934" s="28" t="s">
        <v>5191</v>
      </c>
      <c r="AQ934" s="28" t="s">
        <v>11209</v>
      </c>
      <c r="AR934" s="23" t="s">
        <v>11210</v>
      </c>
      <c r="AS934" s="23"/>
      <c r="AT934" s="23"/>
      <c r="AU934" s="23"/>
      <c r="AV934" s="23"/>
    </row>
    <row r="935">
      <c r="A935" s="28" t="s">
        <v>5161</v>
      </c>
      <c r="B935" s="28" t="s">
        <v>5162</v>
      </c>
      <c r="C935" s="23" t="str">
        <f t="shared" si="1"/>
        <v>Amizo Kante</v>
      </c>
      <c r="D935" s="28" t="s">
        <v>11211</v>
      </c>
      <c r="E935" s="28" t="s">
        <v>11192</v>
      </c>
      <c r="F935" s="23">
        <f t="array" ref="F935">IFERROR(
    INDEX('Hub Interns 226'!A:A, MATCH(C935, 'Hub Interns 226'!B:B, 0)),"")</f>
        <v>205</v>
      </c>
      <c r="G935" s="23">
        <f t="array" ref="G935">IFERROR(
    INDEX('Hub Users 226'!A:A, MATCH(C935, 'Hub Users 226'!B:B, 0)),"")</f>
        <v>638</v>
      </c>
      <c r="H935" s="28">
        <v>214.0</v>
      </c>
      <c r="I935" s="28" t="s">
        <v>260</v>
      </c>
      <c r="J935" s="28" t="s">
        <v>6950</v>
      </c>
      <c r="K935" s="28" t="s">
        <v>5186</v>
      </c>
      <c r="L935" s="28" t="s">
        <v>5196</v>
      </c>
      <c r="M935" s="56" t="s">
        <v>11212</v>
      </c>
      <c r="N935" s="57">
        <v>44074.17361111111</v>
      </c>
      <c r="O935" s="58">
        <v>36657.0</v>
      </c>
      <c r="P935" s="28">
        <f t="shared" ref="P935:P959" si="26">DATEDIF(O935, TODAY(), "Y")</f>
        <v>26</v>
      </c>
      <c r="Q935" s="28" t="s">
        <v>11213</v>
      </c>
      <c r="R935" s="23"/>
      <c r="S935" s="28"/>
      <c r="T935" s="28"/>
      <c r="U935" s="28"/>
      <c r="V935" s="28"/>
      <c r="W935" s="28" t="s">
        <v>859</v>
      </c>
      <c r="X935" s="28" t="s">
        <v>272</v>
      </c>
      <c r="Y935" s="28">
        <v>3.475933809E9</v>
      </c>
      <c r="Z935" s="28" t="s">
        <v>7670</v>
      </c>
      <c r="AA935" s="28" t="s">
        <v>7671</v>
      </c>
      <c r="AB935" s="28">
        <v>10.0</v>
      </c>
      <c r="AC935" s="28" t="s">
        <v>25</v>
      </c>
      <c r="AD935" s="23"/>
      <c r="AE935" s="28" t="s">
        <v>9</v>
      </c>
      <c r="AF935" s="23" t="str">
        <f>IFERROR(__xludf.DUMMYFUNCTION("TEXTJOIN("", "", TRUE,
  FILTER(Champions!C:C,
    ISNUMBER(SEARCH(C935, Champions!W:W))
  )
)"),"Abigail Mawhirter, Laura Cejas, Mariana Silva Aranha, Missie Miranda, Tanya Toko, Tatiana Nechaeva")</f>
        <v>Abigail Mawhirter, Laura Cejas, Mariana Silva Aranha, Missie Miranda, Tanya Toko, Tatiana Nechaeva</v>
      </c>
      <c r="AG935" s="23"/>
      <c r="AH935" s="23" t="str">
        <f>IFERROR(__xludf.DUMMYFUNCTION("IF(
ISNUMBER(MATCH(
C935,
IMPORTRANGE(""https://docs.google.com/spreadsheets/d/1yTh1ELC33JHYOeEdgIiEclxPRyh0zOKtlawDltfUay8"",""'Interns'!A:A""),
0
)),
""Outreach Conducted"",
"""")"),"")</f>
        <v/>
      </c>
      <c r="AI935" s="23"/>
      <c r="AJ935" s="23"/>
      <c r="AK935" s="23" t="str">
        <f>IFERROR(__xludf.DUMMYFUNCTION("XLOOKUP(C935, 
   IMPORTRANGE(""1RdEdgHYrZ33LJ7RUHj_h-qkAFL92bcVjtIdVa-UlsCw"", ""Interns!D:D""), 
   IMPORTRANGE(""1RdEdgHYrZ33LJ7RUHj_h-qkAFL92bcVjtIdVa-UlsCw"", ""Interns!M:M""), 
   ""Not Found"")"),"Contacted")</f>
        <v>Contacted</v>
      </c>
      <c r="AL935" s="23" t="str">
        <f>IFERROR(__xludf.DUMMYFUNCTION("XLOOKUP(C935, 
   IMPORTRANGE(""1RdEdgHYrZ33LJ7RUHj_h-qkAFL92bcVjtIdVa-UlsCw"", ""Interns!D:D""), 
   IMPORTRANGE(""1RdEdgHYrZ33LJ7RUHj_h-qkAFL92bcVjtIdVa-UlsCw"", ""Interns!N:N""), 
   ""Not Found"")"),"#Cheers4Careers")</f>
        <v>#Cheers4Careers</v>
      </c>
      <c r="AM935" s="23" t="str">
        <f>IFERROR(__xludf.DUMMYFUNCTION("XLOOKUP(C935,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935" s="23"/>
      <c r="AO935" s="23" t="s">
        <v>11214</v>
      </c>
      <c r="AP935" s="28" t="s">
        <v>5191</v>
      </c>
      <c r="AQ935" s="28" t="s">
        <v>11215</v>
      </c>
      <c r="AR935" s="23" t="s">
        <v>11216</v>
      </c>
      <c r="AS935" s="28" t="s">
        <v>11217</v>
      </c>
      <c r="AT935" s="23"/>
      <c r="AU935" s="23"/>
      <c r="AV935" s="23"/>
    </row>
    <row r="936">
      <c r="A936" s="28" t="s">
        <v>5202</v>
      </c>
      <c r="B936" s="28" t="s">
        <v>5162</v>
      </c>
      <c r="C936" s="23" t="str">
        <f t="shared" si="1"/>
        <v>BIBI MIRYAM Sharifi</v>
      </c>
      <c r="D936" s="28" t="s">
        <v>11218</v>
      </c>
      <c r="E936" s="28" t="s">
        <v>5277</v>
      </c>
      <c r="F936" s="23">
        <f t="array" ref="F936">IFERROR(
    INDEX('Hub Interns 226'!A:A, MATCH(C936, 'Hub Interns 226'!B:B, 0)),"")</f>
        <v>1051</v>
      </c>
      <c r="G936" s="23">
        <f t="array" ref="G936">IFERROR(
    INDEX('Hub Users 226'!A:A, MATCH(C936, 'Hub Users 226'!B:B, 0)),"")</f>
        <v>1484</v>
      </c>
      <c r="H936" s="28">
        <v>894.0</v>
      </c>
      <c r="I936" s="28"/>
      <c r="J936" s="28" t="s">
        <v>5185</v>
      </c>
      <c r="K936" s="28" t="s">
        <v>5186</v>
      </c>
      <c r="L936" s="28" t="s">
        <v>5196</v>
      </c>
      <c r="M936" s="56" t="s">
        <v>11219</v>
      </c>
      <c r="N936" s="57">
        <v>44601.532638888886</v>
      </c>
      <c r="O936" s="58">
        <v>37806.0</v>
      </c>
      <c r="P936" s="28">
        <f t="shared" si="26"/>
        <v>22</v>
      </c>
      <c r="Q936" s="28" t="s">
        <v>11220</v>
      </c>
      <c r="R936" s="28" t="s">
        <v>11221</v>
      </c>
      <c r="S936" s="28">
        <v>6.0</v>
      </c>
      <c r="T936" s="28">
        <v>16.0</v>
      </c>
      <c r="U936" s="28">
        <v>27.0</v>
      </c>
      <c r="V936" s="28">
        <v>24.0</v>
      </c>
      <c r="W936" s="28" t="s">
        <v>1173</v>
      </c>
      <c r="X936" s="28" t="s">
        <v>272</v>
      </c>
      <c r="Y936" s="28" t="s">
        <v>11222</v>
      </c>
      <c r="Z936" s="28" t="s">
        <v>5189</v>
      </c>
      <c r="AA936" s="28" t="s">
        <v>619</v>
      </c>
      <c r="AB936" s="28">
        <v>20.0</v>
      </c>
      <c r="AC936" s="28" t="s">
        <v>24</v>
      </c>
      <c r="AD936" s="23"/>
      <c r="AE936" s="28" t="s">
        <v>10</v>
      </c>
      <c r="AF936" s="23"/>
      <c r="AG936" s="23"/>
      <c r="AH936" s="23" t="str">
        <f>IFERROR(__xludf.DUMMYFUNCTION("IF(
ISNUMBER(MATCH(
C936,
IMPORTRANGE(""https://docs.google.com/spreadsheets/d/1yTh1ELC33JHYOeEdgIiEclxPRyh0zOKtlawDltfUay8"",""'Interns'!A:A""),
0
)),
""Outreach Conducted"",
"""")"),"")</f>
        <v/>
      </c>
      <c r="AI936" s="23"/>
      <c r="AJ936" s="23"/>
      <c r="AK936" s="23" t="str">
        <f>IFERROR(__xludf.DUMMYFUNCTION("XLOOKUP(C936, 
   IMPORTRANGE(""1RdEdgHYrZ33LJ7RUHj_h-qkAFL92bcVjtIdVa-UlsCw"", ""Interns!D:D""), 
   IMPORTRANGE(""1RdEdgHYrZ33LJ7RUHj_h-qkAFL92bcVjtIdVa-UlsCw"", ""Interns!M:M""), 
   ""Not Found"")"),"")</f>
        <v/>
      </c>
      <c r="AL936" s="23" t="str">
        <f>IFERROR(__xludf.DUMMYFUNCTION("XLOOKUP(C936, 
   IMPORTRANGE(""1RdEdgHYrZ33LJ7RUHj_h-qkAFL92bcVjtIdVa-UlsCw"", ""Interns!D:D""), 
   IMPORTRANGE(""1RdEdgHYrZ33LJ7RUHj_h-qkAFL92bcVjtIdVa-UlsCw"", ""Interns!N:N""), 
   ""Not Found"")"),"")</f>
        <v/>
      </c>
      <c r="AM936" s="23" t="str">
        <f>IFERROR(__xludf.DUMMYFUNCTION("XLOOKUP(C936, 
   IMPORTRANGE(""1RdEdgHYrZ33LJ7RUHj_h-qkAFL92bcVjtIdVa-UlsCw"", ""Interns!D:D""), 
   IMPORTRANGE(""1RdEdgHYrZ33LJ7RUHj_h-qkAFL92bcVjtIdVa-UlsCw"", ""Interns!O:O""), 
   ""Not Found"")"),"")</f>
        <v/>
      </c>
      <c r="AN936" s="23"/>
      <c r="AO936" s="23" t="s">
        <v>11223</v>
      </c>
      <c r="AP936" s="28" t="s">
        <v>5191</v>
      </c>
      <c r="AQ936" s="28"/>
      <c r="AR936" s="23"/>
      <c r="AS936" s="23"/>
      <c r="AT936" s="23"/>
      <c r="AU936" s="23"/>
      <c r="AV936" s="23"/>
    </row>
    <row r="937">
      <c r="A937" s="28" t="s">
        <v>5161</v>
      </c>
      <c r="B937" s="28" t="s">
        <v>5162</v>
      </c>
      <c r="C937" s="23" t="str">
        <f t="shared" si="1"/>
        <v>Djaka Kante</v>
      </c>
      <c r="D937" s="28" t="s">
        <v>11191</v>
      </c>
      <c r="E937" s="28" t="s">
        <v>11192</v>
      </c>
      <c r="F937" s="23">
        <f t="array" ref="F937">IFERROR(
    INDEX('Hub Interns 226'!A:A, MATCH(C937, 'Hub Interns 226'!B:B, 0)),"")</f>
        <v>454</v>
      </c>
      <c r="G937" s="23">
        <f t="array" ref="G937">IFERROR(
    INDEX('Hub Users 226'!A:A, MATCH(C937, 'Hub Users 226'!B:B, 0)),"")</f>
        <v>887</v>
      </c>
      <c r="H937" s="28">
        <v>460.0</v>
      </c>
      <c r="I937" s="28" t="s">
        <v>290</v>
      </c>
      <c r="J937" s="28" t="s">
        <v>6950</v>
      </c>
      <c r="K937" s="28" t="s">
        <v>5186</v>
      </c>
      <c r="L937" s="28" t="s">
        <v>5196</v>
      </c>
      <c r="M937" s="56" t="s">
        <v>11193</v>
      </c>
      <c r="N937" s="57">
        <v>44356.66527777778</v>
      </c>
      <c r="O937" s="58">
        <v>38510.0</v>
      </c>
      <c r="P937" s="28">
        <f t="shared" si="26"/>
        <v>20</v>
      </c>
      <c r="Q937" s="28" t="s">
        <v>11224</v>
      </c>
      <c r="R937" s="28" t="s">
        <v>11225</v>
      </c>
      <c r="S937" s="28">
        <v>15.0</v>
      </c>
      <c r="T937" s="28">
        <v>32.0</v>
      </c>
      <c r="U937" s="28">
        <v>77.0</v>
      </c>
      <c r="V937" s="28">
        <v>16.0</v>
      </c>
      <c r="W937" s="28" t="s">
        <v>859</v>
      </c>
      <c r="X937" s="28" t="s">
        <v>272</v>
      </c>
      <c r="Y937" s="28" t="s">
        <v>11195</v>
      </c>
      <c r="Z937" s="28" t="s">
        <v>5435</v>
      </c>
      <c r="AA937" s="28" t="s">
        <v>5436</v>
      </c>
      <c r="AB937" s="28">
        <v>10.0</v>
      </c>
      <c r="AC937" s="28" t="s">
        <v>25</v>
      </c>
      <c r="AD937" s="23"/>
      <c r="AE937" s="28" t="s">
        <v>10</v>
      </c>
      <c r="AF937" s="23" t="str">
        <f>IFERROR(__xludf.DUMMYFUNCTION("TEXTJOIN("", "", TRUE,
  FILTER(Champions!C:C,
    ISNUMBER(SEARCH(C937, Champions!W:W))
  )
)"),"Lena K Dandy, Nishika Vidanage-Lulejian, Tanya Toko, Lena K Dandy (D)")</f>
        <v>Lena K Dandy, Nishika Vidanage-Lulejian, Tanya Toko, Lena K Dandy (D)</v>
      </c>
      <c r="AG937" s="23"/>
      <c r="AH937" s="23" t="str">
        <f>IFERROR(__xludf.DUMMYFUNCTION("IF(
ISNUMBER(MATCH(
C937,
IMPORTRANGE(""https://docs.google.com/spreadsheets/d/1yTh1ELC33JHYOeEdgIiEclxPRyh0zOKtlawDltfUay8"",""'Interns'!A:A""),
0
)),
""Outreach Conducted"",
"""")"),"")</f>
        <v/>
      </c>
      <c r="AI937" s="23"/>
      <c r="AJ937" s="23"/>
      <c r="AK937" s="23" t="str">
        <f>IFERROR(__xludf.DUMMYFUNCTION("XLOOKUP(C937, 
   IMPORTRANGE(""1RdEdgHYrZ33LJ7RUHj_h-qkAFL92bcVjtIdVa-UlsCw"", ""Interns!D:D""), 
   IMPORTRANGE(""1RdEdgHYrZ33LJ7RUHj_h-qkAFL92bcVjtIdVa-UlsCw"", ""Interns!M:M""), 
   ""Not Found"")"),"")</f>
        <v/>
      </c>
      <c r="AL937" s="23" t="str">
        <f>IFERROR(__xludf.DUMMYFUNCTION("XLOOKUP(C937, 
   IMPORTRANGE(""1RdEdgHYrZ33LJ7RUHj_h-qkAFL92bcVjtIdVa-UlsCw"", ""Interns!D:D""), 
   IMPORTRANGE(""1RdEdgHYrZ33LJ7RUHj_h-qkAFL92bcVjtIdVa-UlsCw"", ""Interns!N:N""), 
   ""Not Found"")"),"#SpeakingMyName")</f>
        <v>#SpeakingMyName</v>
      </c>
      <c r="AM937" s="23" t="str">
        <f>IFERROR(__xludf.DUMMYFUNCTION("XLOOKUP(C937, 
   IMPORTRANGE(""1RdEdgHYrZ33LJ7RUHj_h-qkAFL92bcVjtIdVa-UlsCw"", ""Interns!D:D""), 
   IMPORTRANGE(""1RdEdgHYrZ33LJ7RUHj_h-qkAFL92bcVjtIdVa-UlsCw"", ""Interns!O:O""), 
   ""Not Found"")"),"Alicia reached out by email on 5/15 for #SpeakingMyName")</f>
        <v>Alicia reached out by email on 5/15 for #SpeakingMyName</v>
      </c>
      <c r="AN937" s="23"/>
      <c r="AO937" s="23" t="s">
        <v>11226</v>
      </c>
      <c r="AP937" s="28" t="s">
        <v>5240</v>
      </c>
      <c r="AQ937" s="28" t="s">
        <v>11227</v>
      </c>
      <c r="AR937" s="23" t="s">
        <v>11228</v>
      </c>
      <c r="AS937" s="23"/>
      <c r="AT937" s="23"/>
      <c r="AU937" s="23"/>
      <c r="AV937" s="23"/>
    </row>
    <row r="938">
      <c r="A938" s="28" t="s">
        <v>5161</v>
      </c>
      <c r="B938" s="28" t="s">
        <v>5162</v>
      </c>
      <c r="C938" s="23" t="str">
        <f t="shared" si="1"/>
        <v>Karidjatou Kone</v>
      </c>
      <c r="D938" s="28" t="s">
        <v>11229</v>
      </c>
      <c r="E938" s="28" t="s">
        <v>11230</v>
      </c>
      <c r="F938" s="23">
        <f t="array" ref="F938">IFERROR(
    INDEX('Hub Interns 226'!A:A, MATCH(C938, 'Hub Interns 226'!B:B, 0)),"")</f>
        <v>725</v>
      </c>
      <c r="G938" s="23">
        <f t="array" ref="G938">IFERROR(
    INDEX('Hub Users 226'!A:A, MATCH(C938, 'Hub Users 226'!B:B, 0)),"")</f>
        <v>1158</v>
      </c>
      <c r="H938" s="28">
        <v>596.0</v>
      </c>
      <c r="I938" s="28" t="s">
        <v>290</v>
      </c>
      <c r="J938" s="28" t="s">
        <v>6950</v>
      </c>
      <c r="K938" s="28" t="s">
        <v>5186</v>
      </c>
      <c r="L938" s="28" t="s">
        <v>5196</v>
      </c>
      <c r="M938" s="56" t="s">
        <v>11231</v>
      </c>
      <c r="N938" s="59">
        <v>44487.89444444444</v>
      </c>
      <c r="O938" s="58">
        <v>37623.0</v>
      </c>
      <c r="P938" s="28">
        <f t="shared" si="26"/>
        <v>23</v>
      </c>
      <c r="Q938" s="28" t="s">
        <v>240</v>
      </c>
      <c r="R938" s="28" t="s">
        <v>11232</v>
      </c>
      <c r="S938" s="28">
        <v>15.0</v>
      </c>
      <c r="T938" s="28">
        <v>29.0</v>
      </c>
      <c r="U938" s="28">
        <v>84.0</v>
      </c>
      <c r="V938" s="28">
        <v>16.0</v>
      </c>
      <c r="W938" s="28" t="s">
        <v>859</v>
      </c>
      <c r="X938" s="28" t="s">
        <v>272</v>
      </c>
      <c r="Y938" s="28" t="s">
        <v>11233</v>
      </c>
      <c r="Z938" s="28" t="s">
        <v>7670</v>
      </c>
      <c r="AA938" s="28" t="s">
        <v>7671</v>
      </c>
      <c r="AB938" s="28">
        <v>10.0</v>
      </c>
      <c r="AC938" s="28" t="s">
        <v>25</v>
      </c>
      <c r="AD938" s="23"/>
      <c r="AE938" s="28" t="s">
        <v>10</v>
      </c>
      <c r="AF938" s="23" t="str">
        <f>IFERROR(__xludf.DUMMYFUNCTION("TEXTJOIN("", "", TRUE,
  FILTER(Champions!C:C,
    ISNUMBER(SEARCH(C938, Champions!W:W))
  )
)"),"Amy Sit, Brandy Fonkam, Tanya Toko")</f>
        <v>Amy Sit, Brandy Fonkam, Tanya Toko</v>
      </c>
      <c r="AG938" s="23"/>
      <c r="AH938" s="23" t="str">
        <f>IFERROR(__xludf.DUMMYFUNCTION("IF(
ISNUMBER(MATCH(
C938,
IMPORTRANGE(""https://docs.google.com/spreadsheets/d/1yTh1ELC33JHYOeEdgIiEclxPRyh0zOKtlawDltfUay8"",""'Interns'!A:A""),
0
)),
""Outreach Conducted"",
"""")"),"")</f>
        <v/>
      </c>
      <c r="AI938" s="23"/>
      <c r="AJ938" s="23"/>
      <c r="AK938" s="23" t="str">
        <f>IFERROR(__xludf.DUMMYFUNCTION("XLOOKUP(C938, 
   IMPORTRANGE(""1RdEdgHYrZ33LJ7RUHj_h-qkAFL92bcVjtIdVa-UlsCw"", ""Interns!D:D""), 
   IMPORTRANGE(""1RdEdgHYrZ33LJ7RUHj_h-qkAFL92bcVjtIdVa-UlsCw"", ""Interns!M:M""), 
   ""Not Found"")"),"Contacted")</f>
        <v>Contacted</v>
      </c>
      <c r="AL938" s="23" t="str">
        <f>IFERROR(__xludf.DUMMYFUNCTION("XLOOKUP(C938, 
   IMPORTRANGE(""1RdEdgHYrZ33LJ7RUHj_h-qkAFL92bcVjtIdVa-UlsCw"", ""Interns!D:D""), 
   IMPORTRANGE(""1RdEdgHYrZ33LJ7RUHj_h-qkAFL92bcVjtIdVa-UlsCw"", ""Interns!N:N""), 
   ""Not Found"")"),"#Cheers4Careers")</f>
        <v>#Cheers4Careers</v>
      </c>
      <c r="AM938" s="23" t="str">
        <f>IFERROR(__xludf.DUMMYFUNCTION("XLOOKUP(C938, 
   IMPORTRANGE(""1RdEdgHYrZ33LJ7RUHj_h-qkAFL92bcVjtIdVa-UlsCw"", ""Interns!D:D""), 
   IMPORTRANGE(""1RdEdgHYrZ33LJ7RUHj_h-qkAFL92bcVjtIdVa-UlsCw"", ""Interns!O:O""), 
   ""Not Found"")"),"Hetal reached out by email 3/27")</f>
        <v>Hetal reached out by email 3/27</v>
      </c>
      <c r="AN938" s="23"/>
      <c r="AO938" s="23" t="s">
        <v>11234</v>
      </c>
      <c r="AP938" s="28" t="s">
        <v>5240</v>
      </c>
      <c r="AQ938" s="28" t="s">
        <v>11235</v>
      </c>
      <c r="AR938" s="23" t="s">
        <v>11236</v>
      </c>
      <c r="AS938" s="28" t="s">
        <v>11237</v>
      </c>
      <c r="AT938" s="23"/>
      <c r="AU938" s="23"/>
      <c r="AV938" s="23"/>
    </row>
    <row r="939">
      <c r="A939" s="28" t="s">
        <v>5161</v>
      </c>
      <c r="B939" s="28" t="s">
        <v>5162</v>
      </c>
      <c r="C939" s="23" t="str">
        <f t="shared" si="1"/>
        <v>Amonique Wynter</v>
      </c>
      <c r="D939" s="28" t="s">
        <v>11238</v>
      </c>
      <c r="E939" s="28" t="s">
        <v>11239</v>
      </c>
      <c r="F939" s="23">
        <f t="array" ref="F939">IFERROR(
    INDEX('Hub Interns 226'!A:A, MATCH(C939, 'Hub Interns 226'!B:B, 0)),"")</f>
        <v>213</v>
      </c>
      <c r="G939" s="23">
        <f t="array" ref="G939">IFERROR(
    INDEX('Hub Users 226'!A:A, MATCH(C939, 'Hub Users 226'!B:B, 0)),"")</f>
        <v>646</v>
      </c>
      <c r="H939" s="28">
        <v>1369.0</v>
      </c>
      <c r="I939" s="28" t="s">
        <v>407</v>
      </c>
      <c r="J939" s="28" t="s">
        <v>3791</v>
      </c>
      <c r="K939" s="28" t="s">
        <v>5177</v>
      </c>
      <c r="L939" s="28" t="s">
        <v>5196</v>
      </c>
      <c r="M939" s="56" t="s">
        <v>11240</v>
      </c>
      <c r="N939" s="59">
        <v>44859.71597222222</v>
      </c>
      <c r="O939" s="58">
        <v>38976.0</v>
      </c>
      <c r="P939" s="28">
        <f t="shared" si="26"/>
        <v>19</v>
      </c>
      <c r="Q939" s="28" t="s">
        <v>11241</v>
      </c>
      <c r="R939" s="28">
        <v>11412.0</v>
      </c>
      <c r="S939" s="28"/>
      <c r="T939" s="28"/>
      <c r="U939" s="28"/>
      <c r="V939" s="28"/>
      <c r="W939" s="28" t="s">
        <v>1173</v>
      </c>
      <c r="X939" s="28" t="s">
        <v>272</v>
      </c>
      <c r="Y939" s="28" t="s">
        <v>11242</v>
      </c>
      <c r="Z939" s="28" t="s">
        <v>5332</v>
      </c>
      <c r="AA939" s="28" t="s">
        <v>421</v>
      </c>
      <c r="AB939" s="28">
        <v>31.0</v>
      </c>
      <c r="AC939" s="28" t="s">
        <v>25</v>
      </c>
      <c r="AD939" s="28" t="s">
        <v>101</v>
      </c>
      <c r="AE939" s="28" t="s">
        <v>15</v>
      </c>
      <c r="AF939" s="23" t="str">
        <f>IFERROR(__xludf.DUMMYFUNCTION("TEXTJOIN("", "", TRUE,
  FILTER(Champions!C:C,
    ISNUMBER(SEARCH(C939, Champions!W:W))
  )
)"),"Gisela Castaneda, Suzette Nicole Bennett, Soraya Senosier")</f>
        <v>Gisela Castaneda, Suzette Nicole Bennett, Soraya Senosier</v>
      </c>
      <c r="AG939" s="26" t="s">
        <v>7320</v>
      </c>
      <c r="AH939" s="23" t="str">
        <f>IFERROR(__xludf.DUMMYFUNCTION("IF(
ISNUMBER(MATCH(
C939,
IMPORTRANGE(""https://docs.google.com/spreadsheets/d/1yTh1ELC33JHYOeEdgIiEclxPRyh0zOKtlawDltfUay8"",""'Interns'!A:A""),
0
)),
""Outreach Conducted"",
"""")"),"")</f>
        <v/>
      </c>
      <c r="AI939" s="23"/>
      <c r="AJ939" s="23"/>
      <c r="AK939" s="23" t="str">
        <f>IFERROR(__xludf.DUMMYFUNCTION("XLOOKUP(C939, 
   IMPORTRANGE(""1RdEdgHYrZ33LJ7RUHj_h-qkAFL92bcVjtIdVa-UlsCw"", ""Interns!D:D""), 
   IMPORTRANGE(""1RdEdgHYrZ33LJ7RUHj_h-qkAFL92bcVjtIdVa-UlsCw"", ""Interns!M:M""), 
   ""Not Found"")"),"In Communication")</f>
        <v>In Communication</v>
      </c>
      <c r="AL939" s="23" t="str">
        <f>IFERROR(__xludf.DUMMYFUNCTION("XLOOKUP(C939, 
   IMPORTRANGE(""1RdEdgHYrZ33LJ7RUHj_h-qkAFL92bcVjtIdVa-UlsCw"", ""Interns!D:D""), 
   IMPORTRANGE(""1RdEdgHYrZ33LJ7RUHj_h-qkAFL92bcVjtIdVa-UlsCw"", ""Interns!N:N""), 
   ""Not Found"")"),"#Cheers4Careers")</f>
        <v>#Cheers4Careers</v>
      </c>
      <c r="AM939" s="23" t="str">
        <f>IFERROR(__xludf.DUMMYFUNCTION("XLOOKUP(C939, 
   IMPORTRANGE(""1RdEdgHYrZ33LJ7RUHj_h-qkAFL92bcVjtIdVa-UlsCw"", ""Interns!D:D""), 
   IMPORTRANGE(""1RdEdgHYrZ33LJ7RUHj_h-qkAFL92bcVjtIdVa-UlsCw"", ""Interns!O:O""), 
   ""Not Found"")"),"Hetal reached out March 27 for March #Cheers4 Careers and texted")</f>
        <v>Hetal reached out March 27 for March #Cheers4 Careers and texted</v>
      </c>
      <c r="AN939" s="23"/>
      <c r="AO939" s="23" t="s">
        <v>11243</v>
      </c>
      <c r="AP939" s="28" t="s">
        <v>5191</v>
      </c>
      <c r="AQ939" s="28" t="s">
        <v>11244</v>
      </c>
      <c r="AR939" s="23" t="s">
        <v>11245</v>
      </c>
      <c r="AS939" s="23"/>
      <c r="AT939" s="23"/>
      <c r="AU939" s="23"/>
      <c r="AV939" s="23"/>
    </row>
    <row r="940">
      <c r="A940" s="28" t="s">
        <v>5161</v>
      </c>
      <c r="B940" s="28" t="s">
        <v>5162</v>
      </c>
      <c r="C940" s="23" t="str">
        <f t="shared" si="1"/>
        <v>Malichi Burchell</v>
      </c>
      <c r="D940" s="22" t="s">
        <v>11246</v>
      </c>
      <c r="E940" s="22" t="s">
        <v>11247</v>
      </c>
      <c r="F940" s="23"/>
      <c r="G940" s="23"/>
      <c r="H940" s="22">
        <v>1908.0</v>
      </c>
      <c r="I940" s="28"/>
      <c r="J940" s="28" t="s">
        <v>3791</v>
      </c>
      <c r="K940" s="28" t="s">
        <v>5177</v>
      </c>
      <c r="L940" s="28" t="s">
        <v>5165</v>
      </c>
      <c r="M940" s="29" t="s">
        <v>11248</v>
      </c>
      <c r="N940" s="61">
        <v>45845.595138888886</v>
      </c>
      <c r="O940" s="25">
        <v>39922.0</v>
      </c>
      <c r="P940" s="28">
        <f t="shared" si="26"/>
        <v>17</v>
      </c>
      <c r="Q940" s="62" t="s">
        <v>240</v>
      </c>
      <c r="R940" s="22" t="s">
        <v>11249</v>
      </c>
      <c r="S940" s="28">
        <v>8.0</v>
      </c>
      <c r="T940" s="28">
        <v>19.0</v>
      </c>
      <c r="U940" s="28">
        <v>58.0</v>
      </c>
      <c r="V940" s="28">
        <v>46.0</v>
      </c>
      <c r="W940" s="23"/>
      <c r="X940" s="23"/>
      <c r="Y940" s="22" t="s">
        <v>11250</v>
      </c>
      <c r="Z940" s="22" t="s">
        <v>5822</v>
      </c>
      <c r="AA940" s="28" t="s">
        <v>5822</v>
      </c>
      <c r="AB940" s="28">
        <v>30.0</v>
      </c>
      <c r="AC940" s="28" t="s">
        <v>27</v>
      </c>
      <c r="AD940" s="23"/>
      <c r="AE940" s="28" t="s">
        <v>20</v>
      </c>
      <c r="AF940" s="23"/>
      <c r="AG940" s="23"/>
      <c r="AH940" s="23" t="str">
        <f>IFERROR(__xludf.DUMMYFUNCTION("IF(
ISNUMBER(MATCH(
C940,
IMPORTRANGE(""https://docs.google.com/spreadsheets/d/1yTh1ELC33JHYOeEdgIiEclxPRyh0zOKtlawDltfUay8"",""'Interns'!A:A""),
0
)),
""Outreach Conducted"",
"""")"),"")</f>
        <v/>
      </c>
      <c r="AI940" s="23"/>
      <c r="AJ940" s="23"/>
      <c r="AK940" s="23"/>
      <c r="AL940" s="23" t="str">
        <f>IFERROR(__xludf.DUMMYFUNCTION("XLOOKUP(C940, 
   IMPORTRANGE(""1RdEdgHYrZ33LJ7RUHj_h-qkAFL92bcVjtIdVa-UlsCw"", ""Interns!D:D""), 
   IMPORTRANGE(""1RdEdgHYrZ33LJ7RUHj_h-qkAFL92bcVjtIdVa-UlsCw"", ""Interns!N:N""), 
   ""Not Found"")"),"#Cheers4Careers")</f>
        <v>#Cheers4Careers</v>
      </c>
      <c r="AM940" s="23" t="str">
        <f>IFERROR(__xludf.DUMMYFUNCTION("XLOOKUP(C940, 
   IMPORTRANGE(""1RdEdgHYrZ33LJ7RUHj_h-qkAFL92bcVjtIdVa-UlsCw"", ""Interns!D:D""), 
   IMPORTRANGE(""1RdEdgHYrZ33LJ7RUHj_h-qkAFL92bcVjtIdVa-UlsCw"", ""Interns!O:O""), 
   ""Not Found"")"),"Hetal reached out March 27 for March #Cheers4 Careers and texted")</f>
        <v>Hetal reached out March 27 for March #Cheers4 Careers and texted</v>
      </c>
      <c r="AN940" s="23"/>
      <c r="AO940" s="23" t="s">
        <v>11251</v>
      </c>
      <c r="AP940" s="28" t="s">
        <v>5182</v>
      </c>
      <c r="AQ940" s="28" t="s">
        <v>11248</v>
      </c>
      <c r="AR940" s="23" t="s">
        <v>11252</v>
      </c>
      <c r="AS940" s="23"/>
      <c r="AT940" s="23"/>
      <c r="AU940" s="23"/>
      <c r="AV940" s="23"/>
    </row>
    <row r="941">
      <c r="A941" s="28" t="s">
        <v>5161</v>
      </c>
      <c r="B941" s="28" t="s">
        <v>5162</v>
      </c>
      <c r="C941" s="23" t="str">
        <f t="shared" si="1"/>
        <v>Keren Mejia</v>
      </c>
      <c r="D941" s="28" t="s">
        <v>9918</v>
      </c>
      <c r="E941" s="28" t="s">
        <v>8263</v>
      </c>
      <c r="F941" s="23">
        <f t="array" ref="F941">IFERROR(
    INDEX('Hub Interns 226'!A:A, MATCH("Keren Mejia Calderon", 'Hub Interns 226'!B:B, 0)),"")</f>
        <v>48</v>
      </c>
      <c r="G941" s="23">
        <f t="array" ref="G941">IFERROR(
    INDEX('Hub Users 226'!A:A, MATCH("Keren Mejia Calderon", 'Hub Users 226'!B:B, 0)),"")</f>
        <v>481</v>
      </c>
      <c r="H941" s="28">
        <v>1157.0</v>
      </c>
      <c r="I941" s="28" t="s">
        <v>417</v>
      </c>
      <c r="J941" s="28" t="s">
        <v>5176</v>
      </c>
      <c r="K941" s="28" t="s">
        <v>5177</v>
      </c>
      <c r="L941" s="28" t="s">
        <v>5196</v>
      </c>
      <c r="M941" s="56" t="s">
        <v>9920</v>
      </c>
      <c r="N941" s="57">
        <v>44751.76180555556</v>
      </c>
      <c r="O941" s="58">
        <v>38430.0</v>
      </c>
      <c r="P941" s="28">
        <f t="shared" si="26"/>
        <v>21</v>
      </c>
      <c r="Q941" s="28" t="s">
        <v>240</v>
      </c>
      <c r="R941" s="28" t="s">
        <v>11253</v>
      </c>
      <c r="S941" s="28">
        <v>7.0</v>
      </c>
      <c r="T941" s="28">
        <v>12.0</v>
      </c>
      <c r="U941" s="28">
        <v>38.0</v>
      </c>
      <c r="V941" s="28">
        <v>30.0</v>
      </c>
      <c r="W941" s="28" t="s">
        <v>271</v>
      </c>
      <c r="X941" s="28" t="s">
        <v>272</v>
      </c>
      <c r="Y941" s="28" t="s">
        <v>9922</v>
      </c>
      <c r="Z941" s="28" t="s">
        <v>5259</v>
      </c>
      <c r="AA941" s="28" t="s">
        <v>704</v>
      </c>
      <c r="AB941" s="28">
        <v>2.0</v>
      </c>
      <c r="AC941" s="28" t="s">
        <v>23</v>
      </c>
      <c r="AD941" s="28" t="s">
        <v>101</v>
      </c>
      <c r="AE941" s="28" t="s">
        <v>15</v>
      </c>
      <c r="AF941" s="23"/>
      <c r="AG941" s="23"/>
      <c r="AH941" s="23" t="str">
        <f>IFERROR(__xludf.DUMMYFUNCTION("IF(
ISNUMBER(MATCH(
C941,
IMPORTRANGE(""https://docs.google.com/spreadsheets/d/1yTh1ELC33JHYOeEdgIiEclxPRyh0zOKtlawDltfUay8"",""'Interns'!A:A""),
0
)),
""Outreach Conducted"",
"""")"),"")</f>
        <v/>
      </c>
      <c r="AI941" s="23"/>
      <c r="AJ941" s="23"/>
      <c r="AK941" s="23" t="str">
        <f>IFERROR(__xludf.DUMMYFUNCTION("XLOOKUP(C941, 
   IMPORTRANGE(""1RdEdgHYrZ33LJ7RUHj_h-qkAFL92bcVjtIdVa-UlsCw"", ""Interns!D:D""), 
   IMPORTRANGE(""1RdEdgHYrZ33LJ7RUHj_h-qkAFL92bcVjtIdVa-UlsCw"", ""Interns!M:M""), 
   ""Not Found"")"),"Contacted")</f>
        <v>Contacted</v>
      </c>
      <c r="AL941" s="23" t="str">
        <f>IFERROR(__xludf.DUMMYFUNCTION("XLOOKUP(C941, 
   IMPORTRANGE(""1RdEdgHYrZ33LJ7RUHj_h-qkAFL92bcVjtIdVa-UlsCw"", ""Interns!D:D""), 
   IMPORTRANGE(""1RdEdgHYrZ33LJ7RUHj_h-qkAFL92bcVjtIdVa-UlsCw"", ""Interns!N:N""), 
   ""Not Found"")"),"#Cheers4Careers")</f>
        <v>#Cheers4Careers</v>
      </c>
      <c r="AM941" s="23" t="str">
        <f>IFERROR(__xludf.DUMMYFUNCTION("XLOOKUP(C941, 
   IMPORTRANGE(""1RdEdgHYrZ33LJ7RUHj_h-qkAFL92bcVjtIdVa-UlsCw"", ""Interns!D:D""), 
   IMPORTRANGE(""1RdEdgHYrZ33LJ7RUHj_h-qkAFL92bcVjtIdVa-UlsCw"", ""Interns!O:O""), 
   ""Not Found"")"),"Ousmane reached out by email 3/26 and reach out by text 3/28")</f>
        <v>Ousmane reached out by email 3/26 and reach out by text 3/28</v>
      </c>
      <c r="AN941" s="23"/>
      <c r="AO941" s="23" t="s">
        <v>11254</v>
      </c>
      <c r="AP941" s="28" t="s">
        <v>5182</v>
      </c>
      <c r="AQ941" s="28"/>
      <c r="AR941" s="23"/>
      <c r="AS941" s="23"/>
      <c r="AT941" s="23"/>
      <c r="AU941" s="23"/>
      <c r="AV941" s="23"/>
    </row>
    <row r="942">
      <c r="A942" s="28" t="s">
        <v>5161</v>
      </c>
      <c r="B942" s="28" t="s">
        <v>5162</v>
      </c>
      <c r="C942" s="23" t="str">
        <f t="shared" si="1"/>
        <v>Joshua Andrews</v>
      </c>
      <c r="D942" s="28" t="s">
        <v>1797</v>
      </c>
      <c r="E942" s="28" t="s">
        <v>8081</v>
      </c>
      <c r="F942" s="23">
        <f t="array" ref="F942">IFERROR(
    INDEX('Hub Interns 226'!A:A, MATCH(C942, 'Hub Interns 226'!B:B, 0)),"")</f>
        <v>693</v>
      </c>
      <c r="G942" s="23">
        <f t="array" ref="G942">IFERROR(
    INDEX('Hub Users 226'!A:A, MATCH(C942, 'Hub Users 226'!B:B, 0)),"")</f>
        <v>1126</v>
      </c>
      <c r="H942" s="28">
        <v>1561.0</v>
      </c>
      <c r="I942" s="28"/>
      <c r="J942" s="28" t="s">
        <v>3791</v>
      </c>
      <c r="K942" s="28" t="s">
        <v>5177</v>
      </c>
      <c r="L942" s="28" t="s">
        <v>5165</v>
      </c>
      <c r="M942" s="56" t="s">
        <v>11255</v>
      </c>
      <c r="N942" s="57">
        <v>45006.46597222222</v>
      </c>
      <c r="O942" s="58">
        <v>38975.0</v>
      </c>
      <c r="P942" s="28">
        <f t="shared" si="26"/>
        <v>19</v>
      </c>
      <c r="Q942" s="28" t="s">
        <v>240</v>
      </c>
      <c r="R942" s="28" t="s">
        <v>11256</v>
      </c>
      <c r="S942" s="28">
        <v>5.0</v>
      </c>
      <c r="T942" s="28">
        <v>14.0</v>
      </c>
      <c r="U942" s="28">
        <v>29.0</v>
      </c>
      <c r="V942" s="28">
        <v>27.0</v>
      </c>
      <c r="W942" s="28" t="s">
        <v>1173</v>
      </c>
      <c r="X942" s="28" t="s">
        <v>272</v>
      </c>
      <c r="Y942" s="28" t="s">
        <v>11257</v>
      </c>
      <c r="Z942" s="28" t="s">
        <v>5332</v>
      </c>
      <c r="AA942" s="28" t="s">
        <v>421</v>
      </c>
      <c r="AB942" s="28">
        <v>31.0</v>
      </c>
      <c r="AC942" s="28" t="s">
        <v>23</v>
      </c>
      <c r="AD942" s="23"/>
      <c r="AE942" s="28" t="s">
        <v>15</v>
      </c>
      <c r="AF942" s="23"/>
      <c r="AG942" s="23"/>
      <c r="AH942" s="23" t="str">
        <f>IFERROR(__xludf.DUMMYFUNCTION("IF(
ISNUMBER(MATCH(
C942,
IMPORTRANGE(""https://docs.google.com/spreadsheets/d/1yTh1ELC33JHYOeEdgIiEclxPRyh0zOKtlawDltfUay8"",""'Interns'!A:A""),
0
)),
""Outreach Conducted"",
"""")"),"")</f>
        <v/>
      </c>
      <c r="AI942" s="23"/>
      <c r="AJ942" s="23"/>
      <c r="AK942" s="23" t="str">
        <f>IFERROR(__xludf.DUMMYFUNCTION("XLOOKUP(C942, 
   IMPORTRANGE(""1RdEdgHYrZ33LJ7RUHj_h-qkAFL92bcVjtIdVa-UlsCw"", ""Interns!D:D""), 
   IMPORTRANGE(""1RdEdgHYrZ33LJ7RUHj_h-qkAFL92bcVjtIdVa-UlsCw"", ""Interns!M:M""), 
   ""Not Found"")"),"Contacted")</f>
        <v>Contacted</v>
      </c>
      <c r="AL942" s="23" t="str">
        <f>IFERROR(__xludf.DUMMYFUNCTION("XLOOKUP(C942, 
   IMPORTRANGE(""1RdEdgHYrZ33LJ7RUHj_h-qkAFL92bcVjtIdVa-UlsCw"", ""Interns!D:D""), 
   IMPORTRANGE(""1RdEdgHYrZ33LJ7RUHj_h-qkAFL92bcVjtIdVa-UlsCw"", ""Interns!N:N""), 
   ""Not Found"")"),"#Cheers4Careers")</f>
        <v>#Cheers4Careers</v>
      </c>
      <c r="AM942" s="23" t="str">
        <f>IFERROR(__xludf.DUMMYFUNCTION("XLOOKUP(C942, 
   IMPORTRANGE(""1RdEdgHYrZ33LJ7RUHj_h-qkAFL92bcVjtIdVa-UlsCw"", ""Interns!D:D""), 
   IMPORTRANGE(""1RdEdgHYrZ33LJ7RUHj_h-qkAFL92bcVjtIdVa-UlsCw"", ""Interns!O:O""), 
   ""Not Found"")"),"Hetal reached out March 27 for March #Cheers4 Careers ")</f>
        <v>Hetal reached out March 27 for March #Cheers4 Careers </v>
      </c>
      <c r="AN942" s="23"/>
      <c r="AO942" s="23" t="s">
        <v>11258</v>
      </c>
      <c r="AP942" s="28" t="s">
        <v>5182</v>
      </c>
      <c r="AQ942" s="28"/>
      <c r="AR942" s="23"/>
      <c r="AS942" s="23"/>
      <c r="AT942" s="23"/>
      <c r="AU942" s="23"/>
      <c r="AV942" s="23"/>
    </row>
    <row r="943">
      <c r="A943" s="28" t="s">
        <v>5161</v>
      </c>
      <c r="B943" s="28" t="s">
        <v>5162</v>
      </c>
      <c r="C943" s="23" t="str">
        <f t="shared" si="1"/>
        <v>Kijhani Davidson</v>
      </c>
      <c r="D943" s="28" t="s">
        <v>11259</v>
      </c>
      <c r="E943" s="28" t="s">
        <v>10718</v>
      </c>
      <c r="F943" s="23">
        <f t="array" ref="F943">IFERROR(
    INDEX('Hub Interns 226'!A:A, MATCH(C943, 'Hub Interns 226'!B:B, 0)),"")</f>
        <v>749</v>
      </c>
      <c r="G943" s="23">
        <f t="array" ref="G943">IFERROR(
    INDEX('Hub Users 226'!A:A, MATCH(C943, 'Hub Users 226'!B:B, 0)),"")</f>
        <v>1182</v>
      </c>
      <c r="H943" s="28">
        <v>1565.0</v>
      </c>
      <c r="I943" s="28" t="s">
        <v>290</v>
      </c>
      <c r="J943" s="28" t="s">
        <v>3791</v>
      </c>
      <c r="K943" s="28" t="s">
        <v>5177</v>
      </c>
      <c r="L943" s="28" t="s">
        <v>5165</v>
      </c>
      <c r="M943" s="56" t="s">
        <v>11260</v>
      </c>
      <c r="N943" s="57">
        <v>45013.59375</v>
      </c>
      <c r="O943" s="58">
        <v>39206.0</v>
      </c>
      <c r="P943" s="28">
        <f t="shared" si="26"/>
        <v>19</v>
      </c>
      <c r="Q943" s="28" t="s">
        <v>240</v>
      </c>
      <c r="R943" s="28" t="s">
        <v>11261</v>
      </c>
      <c r="S943" s="28">
        <v>5.0</v>
      </c>
      <c r="T943" s="28">
        <v>14.0</v>
      </c>
      <c r="U943" s="28">
        <v>33.0</v>
      </c>
      <c r="V943" s="28">
        <v>27.0</v>
      </c>
      <c r="W943" s="28" t="s">
        <v>1173</v>
      </c>
      <c r="X943" s="28" t="s">
        <v>272</v>
      </c>
      <c r="Y943" s="28" t="s">
        <v>11262</v>
      </c>
      <c r="Z943" s="28" t="s">
        <v>5332</v>
      </c>
      <c r="AA943" s="28" t="s">
        <v>421</v>
      </c>
      <c r="AB943" s="28">
        <v>31.0</v>
      </c>
      <c r="AC943" s="28" t="s">
        <v>23</v>
      </c>
      <c r="AD943" s="23"/>
      <c r="AE943" s="28" t="s">
        <v>15</v>
      </c>
      <c r="AF943" s="23"/>
      <c r="AG943" s="23"/>
      <c r="AH943" s="23" t="str">
        <f>IFERROR(__xludf.DUMMYFUNCTION("IF(
ISNUMBER(MATCH(
C943,
IMPORTRANGE(""https://docs.google.com/spreadsheets/d/1yTh1ELC33JHYOeEdgIiEclxPRyh0zOKtlawDltfUay8"",""'Interns'!A:A""),
0
)),
""Outreach Conducted"",
"""")"),"")</f>
        <v/>
      </c>
      <c r="AI943" s="23"/>
      <c r="AJ943" s="23"/>
      <c r="AK943" s="23" t="str">
        <f>IFERROR(__xludf.DUMMYFUNCTION("XLOOKUP(C943, 
   IMPORTRANGE(""1RdEdgHYrZ33LJ7RUHj_h-qkAFL92bcVjtIdVa-UlsCw"", ""Interns!D:D""), 
   IMPORTRANGE(""1RdEdgHYrZ33LJ7RUHj_h-qkAFL92bcVjtIdVa-UlsCw"", ""Interns!M:M""), 
   ""Not Found"")"),"Contacted")</f>
        <v>Contacted</v>
      </c>
      <c r="AL943" s="23" t="str">
        <f>IFERROR(__xludf.DUMMYFUNCTION("XLOOKUP(C943, 
   IMPORTRANGE(""1RdEdgHYrZ33LJ7RUHj_h-qkAFL92bcVjtIdVa-UlsCw"", ""Interns!D:D""), 
   IMPORTRANGE(""1RdEdgHYrZ33LJ7RUHj_h-qkAFL92bcVjtIdVa-UlsCw"", ""Interns!N:N""), 
   ""Not Found"")"),"#Cheers4Careers")</f>
        <v>#Cheers4Careers</v>
      </c>
      <c r="AM943" s="23" t="str">
        <f>IFERROR(__xludf.DUMMYFUNCTION("XLOOKUP(C943, 
   IMPORTRANGE(""1RdEdgHYrZ33LJ7RUHj_h-qkAFL92bcVjtIdVa-UlsCw"", ""Interns!D:D""), 
   IMPORTRANGE(""1RdEdgHYrZ33LJ7RUHj_h-qkAFL92bcVjtIdVa-UlsCw"", ""Interns!O:O""), 
   ""Not Found"")"),"Hetal reached out March 27 for March #Cheers4 Careers ")</f>
        <v>Hetal reached out March 27 for March #Cheers4 Careers </v>
      </c>
      <c r="AN943" s="23"/>
      <c r="AO943" s="23" t="s">
        <v>10718</v>
      </c>
      <c r="AP943" s="28" t="s">
        <v>5182</v>
      </c>
      <c r="AQ943" s="28"/>
      <c r="AR943" s="23"/>
      <c r="AS943" s="23"/>
      <c r="AT943" s="23"/>
      <c r="AU943" s="23"/>
      <c r="AV943" s="23"/>
    </row>
    <row r="944">
      <c r="A944" s="28" t="s">
        <v>5161</v>
      </c>
      <c r="B944" s="28" t="s">
        <v>5162</v>
      </c>
      <c r="C944" s="23" t="str">
        <f t="shared" si="1"/>
        <v>Amara Sinclair</v>
      </c>
      <c r="D944" s="28" t="s">
        <v>11263</v>
      </c>
      <c r="E944" s="28" t="s">
        <v>11264</v>
      </c>
      <c r="F944" s="23">
        <f t="array" ref="F944">IFERROR(
    INDEX('Hub Interns 226'!A:A, MATCH(C944, 'Hub Interns 226'!B:B, 0)),"")</f>
        <v>199</v>
      </c>
      <c r="G944" s="23">
        <f t="array" ref="G944">IFERROR(
    INDEX('Hub Users 226'!A:A, MATCH(C944, 'Hub Users 226'!B:B, 0)),"")</f>
        <v>632</v>
      </c>
      <c r="H944" s="28">
        <v>442.0</v>
      </c>
      <c r="I944" s="28" t="s">
        <v>260</v>
      </c>
      <c r="J944" s="28" t="s">
        <v>3791</v>
      </c>
      <c r="K944" s="28" t="s">
        <v>5177</v>
      </c>
      <c r="L944" s="28" t="s">
        <v>5196</v>
      </c>
      <c r="M944" s="56" t="s">
        <v>11265</v>
      </c>
      <c r="N944" s="57">
        <v>44327.40138888889</v>
      </c>
      <c r="O944" s="58">
        <v>37353.0</v>
      </c>
      <c r="P944" s="28">
        <f t="shared" si="26"/>
        <v>24</v>
      </c>
      <c r="Q944" s="28" t="s">
        <v>11266</v>
      </c>
      <c r="R944" s="28" t="s">
        <v>11267</v>
      </c>
      <c r="S944" s="28">
        <v>5.0</v>
      </c>
      <c r="T944" s="28">
        <v>14.0</v>
      </c>
      <c r="U944" s="28">
        <v>29.0</v>
      </c>
      <c r="V944" s="28">
        <v>27.0</v>
      </c>
      <c r="W944" s="28" t="s">
        <v>1173</v>
      </c>
      <c r="X944" s="28" t="s">
        <v>272</v>
      </c>
      <c r="Y944" s="28" t="s">
        <v>11268</v>
      </c>
      <c r="Z944" s="28" t="s">
        <v>5332</v>
      </c>
      <c r="AA944" s="28" t="s">
        <v>421</v>
      </c>
      <c r="AB944" s="28">
        <v>31.0</v>
      </c>
      <c r="AC944" s="28" t="s">
        <v>24</v>
      </c>
      <c r="AD944" s="23"/>
      <c r="AE944" s="28" t="s">
        <v>8</v>
      </c>
      <c r="AF944" s="23"/>
      <c r="AG944" s="23"/>
      <c r="AH944" s="23" t="str">
        <f>IFERROR(__xludf.DUMMYFUNCTION("IF(
ISNUMBER(MATCH(
C944,
IMPORTRANGE(""https://docs.google.com/spreadsheets/d/1yTh1ELC33JHYOeEdgIiEclxPRyh0zOKtlawDltfUay8"",""'Interns'!A:A""),
0
)),
""Outreach Conducted"",
"""")"),"")</f>
        <v/>
      </c>
      <c r="AI944" s="23"/>
      <c r="AJ944" s="23"/>
      <c r="AK944" s="23" t="str">
        <f>IFERROR(__xludf.DUMMYFUNCTION("XLOOKUP(C944, 
   IMPORTRANGE(""1RdEdgHYrZ33LJ7RUHj_h-qkAFL92bcVjtIdVa-UlsCw"", ""Interns!D:D""), 
   IMPORTRANGE(""1RdEdgHYrZ33LJ7RUHj_h-qkAFL92bcVjtIdVa-UlsCw"", ""Interns!M:M""), 
   ""Not Found"")"),"Contacted")</f>
        <v>Contacted</v>
      </c>
      <c r="AL944" s="23" t="str">
        <f>IFERROR(__xludf.DUMMYFUNCTION("XLOOKUP(C944, 
   IMPORTRANGE(""1RdEdgHYrZ33LJ7RUHj_h-qkAFL92bcVjtIdVa-UlsCw"", ""Interns!D:D""), 
   IMPORTRANGE(""1RdEdgHYrZ33LJ7RUHj_h-qkAFL92bcVjtIdVa-UlsCw"", ""Interns!N:N""), 
   ""Not Found"")"),"#Cheers4Careers")</f>
        <v>#Cheers4Careers</v>
      </c>
      <c r="AM944" s="23" t="str">
        <f>IFERROR(__xludf.DUMMYFUNCTION("XLOOKUP(C944, 
   IMPORTRANGE(""1RdEdgHYrZ33LJ7RUHj_h-qkAFL92bcVjtIdVa-UlsCw"", ""Interns!D:D""), 
   IMPORTRANGE(""1RdEdgHYrZ33LJ7RUHj_h-qkAFL92bcVjtIdVa-UlsCw"", ""Interns!O:O""), 
   ""Not Found"")"),"Hetal reached out March 27 for March #Cheers4 Careers and texted")</f>
        <v>Hetal reached out March 27 for March #Cheers4 Careers and texted</v>
      </c>
      <c r="AN944" s="23"/>
      <c r="AO944" s="23" t="s">
        <v>11269</v>
      </c>
      <c r="AP944" s="28" t="s">
        <v>5182</v>
      </c>
      <c r="AQ944" s="28"/>
      <c r="AR944" s="23"/>
      <c r="AS944" s="23"/>
      <c r="AT944" s="23"/>
      <c r="AU944" s="23"/>
      <c r="AV944" s="23"/>
    </row>
    <row r="945">
      <c r="A945" s="28" t="s">
        <v>5161</v>
      </c>
      <c r="B945" s="28" t="s">
        <v>5162</v>
      </c>
      <c r="C945" s="23" t="str">
        <f t="shared" si="1"/>
        <v>Daejahnae Coleman</v>
      </c>
      <c r="D945" s="28" t="s">
        <v>11270</v>
      </c>
      <c r="E945" s="28" t="s">
        <v>11271</v>
      </c>
      <c r="F945" s="23">
        <f t="array" ref="F945">IFERROR(
    INDEX('Hub Interns 226'!A:A, MATCH(C945, 'Hub Interns 226'!B:B, 0)),"")</f>
        <v>402</v>
      </c>
      <c r="G945" s="23">
        <f t="array" ref="G945">IFERROR(
    INDEX('Hub Users 226'!A:A, MATCH(C945, 'Hub Users 226'!B:B, 0)),"")</f>
        <v>835</v>
      </c>
      <c r="H945" s="28">
        <v>414.0</v>
      </c>
      <c r="I945" s="28" t="s">
        <v>302</v>
      </c>
      <c r="J945" s="28" t="s">
        <v>3791</v>
      </c>
      <c r="K945" s="28" t="s">
        <v>5177</v>
      </c>
      <c r="L945" s="28" t="s">
        <v>5196</v>
      </c>
      <c r="M945" s="56" t="s">
        <v>11272</v>
      </c>
      <c r="N945" s="57">
        <v>44307.42083333333</v>
      </c>
      <c r="O945" s="58">
        <v>37572.0</v>
      </c>
      <c r="P945" s="28">
        <f t="shared" si="26"/>
        <v>23</v>
      </c>
      <c r="Q945" s="28" t="s">
        <v>240</v>
      </c>
      <c r="R945" s="28" t="s">
        <v>11273</v>
      </c>
      <c r="S945" s="28">
        <v>5.0</v>
      </c>
      <c r="T945" s="28">
        <v>10.0</v>
      </c>
      <c r="U945" s="28">
        <v>31.0</v>
      </c>
      <c r="V945" s="28">
        <v>28.0</v>
      </c>
      <c r="W945" s="28" t="s">
        <v>1173</v>
      </c>
      <c r="X945" s="28" t="s">
        <v>272</v>
      </c>
      <c r="Y945" s="28">
        <v>5.166020317E9</v>
      </c>
      <c r="Z945" s="28" t="s">
        <v>5332</v>
      </c>
      <c r="AA945" s="28" t="s">
        <v>421</v>
      </c>
      <c r="AB945" s="28">
        <v>31.0</v>
      </c>
      <c r="AC945" s="28" t="s">
        <v>24</v>
      </c>
      <c r="AD945" s="23"/>
      <c r="AE945" s="28" t="s">
        <v>8</v>
      </c>
      <c r="AF945" s="23"/>
      <c r="AG945" s="23"/>
      <c r="AH945" s="23" t="str">
        <f>IFERROR(__xludf.DUMMYFUNCTION("IF(
ISNUMBER(MATCH(
C945,
IMPORTRANGE(""https://docs.google.com/spreadsheets/d/1yTh1ELC33JHYOeEdgIiEclxPRyh0zOKtlawDltfUay8"",""'Interns'!A:A""),
0
)),
""Outreach Conducted"",
"""")"),"")</f>
        <v/>
      </c>
      <c r="AI945" s="23"/>
      <c r="AJ945" s="23"/>
      <c r="AK945" s="23" t="str">
        <f>IFERROR(__xludf.DUMMYFUNCTION("XLOOKUP(C945, 
   IMPORTRANGE(""1RdEdgHYrZ33LJ7RUHj_h-qkAFL92bcVjtIdVa-UlsCw"", ""Interns!D:D""), 
   IMPORTRANGE(""1RdEdgHYrZ33LJ7RUHj_h-qkAFL92bcVjtIdVa-UlsCw"", ""Interns!M:M""), 
   ""Not Found"")"),"Contacted")</f>
        <v>Contacted</v>
      </c>
      <c r="AL945" s="23" t="str">
        <f>IFERROR(__xludf.DUMMYFUNCTION("XLOOKUP(C945, 
   IMPORTRANGE(""1RdEdgHYrZ33LJ7RUHj_h-qkAFL92bcVjtIdVa-UlsCw"", ""Interns!D:D""), 
   IMPORTRANGE(""1RdEdgHYrZ33LJ7RUHj_h-qkAFL92bcVjtIdVa-UlsCw"", ""Interns!N:N""), 
   ""Not Found"")"),"#Cheers4Careers")</f>
        <v>#Cheers4Careers</v>
      </c>
      <c r="AM945" s="23" t="str">
        <f>IFERROR(__xludf.DUMMYFUNCTION("XLOOKUP(C945, 
   IMPORTRANGE(""1RdEdgHYrZ33LJ7RUHj_h-qkAFL92bcVjtIdVa-UlsCw"", ""Interns!D:D""), 
   IMPORTRANGE(""1RdEdgHYrZ33LJ7RUHj_h-qkAFL92bcVjtIdVa-UlsCw"", ""Interns!O:O""), 
   ""Not Found"")"),"Hetal reached out March 27 for March #Cheers4 Careers ")</f>
        <v>Hetal reached out March 27 for March #Cheers4 Careers </v>
      </c>
      <c r="AN945" s="23"/>
      <c r="AO945" s="23" t="s">
        <v>11274</v>
      </c>
      <c r="AP945" s="28" t="s">
        <v>5182</v>
      </c>
      <c r="AQ945" s="28"/>
      <c r="AR945" s="23"/>
      <c r="AS945" s="23"/>
      <c r="AT945" s="23"/>
      <c r="AU945" s="23"/>
      <c r="AV945" s="23"/>
    </row>
    <row r="946">
      <c r="A946" s="28" t="s">
        <v>5161</v>
      </c>
      <c r="B946" s="28" t="s">
        <v>5162</v>
      </c>
      <c r="C946" s="23" t="str">
        <f t="shared" si="1"/>
        <v>Rushawn Smith</v>
      </c>
      <c r="D946" s="28" t="s">
        <v>11275</v>
      </c>
      <c r="E946" s="28" t="s">
        <v>495</v>
      </c>
      <c r="F946" s="23">
        <f t="array" ref="F946">IFERROR(
    INDEX('Hub Interns 226'!A:A, MATCH(C946, 'Hub Interns 226'!B:B, 0)),"")</f>
        <v>1047</v>
      </c>
      <c r="G946" s="23">
        <f t="array" ref="G946">IFERROR(
    INDEX('Hub Users 226'!A:A, MATCH(C946, 'Hub Users 226'!B:B, 0)),"")</f>
        <v>1480</v>
      </c>
      <c r="H946" s="28">
        <v>1362.0</v>
      </c>
      <c r="I946" s="28" t="s">
        <v>538</v>
      </c>
      <c r="J946" s="28" t="s">
        <v>3791</v>
      </c>
      <c r="K946" s="28" t="s">
        <v>5177</v>
      </c>
      <c r="L946" s="28" t="s">
        <v>5165</v>
      </c>
      <c r="M946" s="56" t="s">
        <v>11276</v>
      </c>
      <c r="N946" s="59">
        <v>44859.614583333336</v>
      </c>
      <c r="O946" s="58">
        <v>39602.0</v>
      </c>
      <c r="P946" s="28">
        <f t="shared" si="26"/>
        <v>17</v>
      </c>
      <c r="Q946" s="28" t="s">
        <v>240</v>
      </c>
      <c r="R946" s="28" t="s">
        <v>11277</v>
      </c>
      <c r="S946" s="28">
        <v>5.0</v>
      </c>
      <c r="T946" s="28">
        <v>10.0</v>
      </c>
      <c r="U946" s="28">
        <v>29.0</v>
      </c>
      <c r="V946" s="28">
        <v>31.0</v>
      </c>
      <c r="W946" s="28" t="s">
        <v>1173</v>
      </c>
      <c r="X946" s="28" t="s">
        <v>272</v>
      </c>
      <c r="Y946" s="28" t="s">
        <v>11278</v>
      </c>
      <c r="Z946" s="28" t="s">
        <v>5332</v>
      </c>
      <c r="AA946" s="28" t="s">
        <v>421</v>
      </c>
      <c r="AB946" s="28">
        <v>31.0</v>
      </c>
      <c r="AC946" s="28" t="s">
        <v>23</v>
      </c>
      <c r="AD946" s="23"/>
      <c r="AE946" s="28" t="s">
        <v>15</v>
      </c>
      <c r="AF946" s="23"/>
      <c r="AG946" s="23"/>
      <c r="AH946" s="23" t="str">
        <f>IFERROR(__xludf.DUMMYFUNCTION("IF(
ISNUMBER(MATCH(
C946,
IMPORTRANGE(""https://docs.google.com/spreadsheets/d/1yTh1ELC33JHYOeEdgIiEclxPRyh0zOKtlawDltfUay8"",""'Interns'!A:A""),
0
)),
""Outreach Conducted"",
"""")"),"")</f>
        <v/>
      </c>
      <c r="AI946" s="23"/>
      <c r="AJ946" s="23"/>
      <c r="AK946" s="23" t="str">
        <f>IFERROR(__xludf.DUMMYFUNCTION("XLOOKUP(C946, 
   IMPORTRANGE(""1RdEdgHYrZ33LJ7RUHj_h-qkAFL92bcVjtIdVa-UlsCw"", ""Interns!D:D""), 
   IMPORTRANGE(""1RdEdgHYrZ33LJ7RUHj_h-qkAFL92bcVjtIdVa-UlsCw"", ""Interns!M:M""), 
   ""Not Found"")"),"Contacted")</f>
        <v>Contacted</v>
      </c>
      <c r="AL946" s="23" t="str">
        <f>IFERROR(__xludf.DUMMYFUNCTION("XLOOKUP(C946, 
   IMPORTRANGE(""1RdEdgHYrZ33LJ7RUHj_h-qkAFL92bcVjtIdVa-UlsCw"", ""Interns!D:D""), 
   IMPORTRANGE(""1RdEdgHYrZ33LJ7RUHj_h-qkAFL92bcVjtIdVa-UlsCw"", ""Interns!N:N""), 
   ""Not Found"")"),"#Cheers4Careers")</f>
        <v>#Cheers4Careers</v>
      </c>
      <c r="AM946" s="23" t="str">
        <f>IFERROR(__xludf.DUMMYFUNCTION("XLOOKUP(C946, 
   IMPORTRANGE(""1RdEdgHYrZ33LJ7RUHj_h-qkAFL92bcVjtIdVa-UlsCw"", ""Interns!D:D""), 
   IMPORTRANGE(""1RdEdgHYrZ33LJ7RUHj_h-qkAFL92bcVjtIdVa-UlsCw"", ""Interns!O:O""), 
   ""Not Found"")"),"Hetal reached out March 27 for March #Cheers4 Careers  and texted")</f>
        <v>Hetal reached out March 27 for March #Cheers4 Careers  and texted</v>
      </c>
      <c r="AN946" s="23"/>
      <c r="AO946" s="23" t="s">
        <v>11279</v>
      </c>
      <c r="AP946" s="28" t="s">
        <v>5182</v>
      </c>
      <c r="AQ946" s="28"/>
      <c r="AR946" s="23"/>
      <c r="AS946" s="23"/>
      <c r="AT946" s="23"/>
      <c r="AU946" s="23"/>
      <c r="AV946" s="23"/>
    </row>
    <row r="947">
      <c r="A947" s="28" t="s">
        <v>5161</v>
      </c>
      <c r="B947" s="28" t="s">
        <v>5162</v>
      </c>
      <c r="C947" s="23" t="str">
        <f t="shared" si="1"/>
        <v>Matthew Wright</v>
      </c>
      <c r="D947" s="28" t="s">
        <v>2368</v>
      </c>
      <c r="E947" s="28" t="s">
        <v>11280</v>
      </c>
      <c r="F947" s="23">
        <f t="array" ref="F947">IFERROR(
    INDEX('Hub Interns 226'!A:A, MATCH(C947, 'Hub Interns 226'!B:B, 0)),"")</f>
        <v>1199</v>
      </c>
      <c r="G947" s="23">
        <f t="array" ref="G947">IFERROR(
    INDEX('Hub Users 226'!A:A, MATCH(C947, 'Hub Users 226'!B:B, 0)),"")</f>
        <v>1632</v>
      </c>
      <c r="H947" s="28">
        <v>1443.0</v>
      </c>
      <c r="I947" s="28" t="s">
        <v>290</v>
      </c>
      <c r="J947" s="28" t="s">
        <v>3791</v>
      </c>
      <c r="K947" s="28" t="s">
        <v>5177</v>
      </c>
      <c r="L947" s="28" t="s">
        <v>5165</v>
      </c>
      <c r="M947" s="56" t="s">
        <v>11281</v>
      </c>
      <c r="N947" s="59">
        <v>44893.65972222222</v>
      </c>
      <c r="O947" s="58">
        <v>39415.0</v>
      </c>
      <c r="P947" s="28">
        <f t="shared" si="26"/>
        <v>18</v>
      </c>
      <c r="Q947" s="28" t="s">
        <v>11282</v>
      </c>
      <c r="R947" s="28" t="s">
        <v>11283</v>
      </c>
      <c r="S947" s="28">
        <v>5.0</v>
      </c>
      <c r="T947" s="28">
        <v>10.0</v>
      </c>
      <c r="U947" s="28">
        <v>29.0</v>
      </c>
      <c r="V947" s="28">
        <v>31.0</v>
      </c>
      <c r="W947" s="28" t="s">
        <v>1173</v>
      </c>
      <c r="X947" s="28" t="s">
        <v>272</v>
      </c>
      <c r="Y947" s="28" t="s">
        <v>11284</v>
      </c>
      <c r="Z947" s="28" t="s">
        <v>5332</v>
      </c>
      <c r="AA947" s="28" t="s">
        <v>421</v>
      </c>
      <c r="AB947" s="28">
        <v>31.0</v>
      </c>
      <c r="AC947" s="28" t="s">
        <v>25</v>
      </c>
      <c r="AD947" s="23"/>
      <c r="AE947" s="28" t="s">
        <v>15</v>
      </c>
      <c r="AF947" s="23" t="str">
        <f>IFERROR(__xludf.DUMMYFUNCTION("TEXTJOIN("", "", TRUE,
  FILTER(Champions!C:C,
    ISNUMBER(SEARCH(C947, Champions!W:W))
  )
)"),"Madhuri (Maddy) Koushik, Madhuri Sesha Sarma, Suzette Nicole Bennett")</f>
        <v>Madhuri (Maddy) Koushik, Madhuri Sesha Sarma, Suzette Nicole Bennett</v>
      </c>
      <c r="AG947" s="23"/>
      <c r="AH947" s="23" t="str">
        <f>IFERROR(__xludf.DUMMYFUNCTION("IF(
ISNUMBER(MATCH(
C947,
IMPORTRANGE(""https://docs.google.com/spreadsheets/d/1yTh1ELC33JHYOeEdgIiEclxPRyh0zOKtlawDltfUay8"",""'Interns'!A:A""),
0
)),
""Outreach Conducted"",
"""")"),"")</f>
        <v/>
      </c>
      <c r="AI947" s="23"/>
      <c r="AJ947" s="23"/>
      <c r="AK947" s="23" t="str">
        <f>IFERROR(__xludf.DUMMYFUNCTION("XLOOKUP(C947, 
   IMPORTRANGE(""1RdEdgHYrZ33LJ7RUHj_h-qkAFL92bcVjtIdVa-UlsCw"", ""Interns!D:D""), 
   IMPORTRANGE(""1RdEdgHYrZ33LJ7RUHj_h-qkAFL92bcVjtIdVa-UlsCw"", ""Interns!M:M""), 
   ""Not Found"")"),"Contacted")</f>
        <v>Contacted</v>
      </c>
      <c r="AL947" s="23" t="str">
        <f>IFERROR(__xludf.DUMMYFUNCTION("XLOOKUP(C947, 
   IMPORTRANGE(""1RdEdgHYrZ33LJ7RUHj_h-qkAFL92bcVjtIdVa-UlsCw"", ""Interns!D:D""), 
   IMPORTRANGE(""1RdEdgHYrZ33LJ7RUHj_h-qkAFL92bcVjtIdVa-UlsCw"", ""Interns!N:N""), 
   ""Not Found"")"),"#Cheers4Careers")</f>
        <v>#Cheers4Careers</v>
      </c>
      <c r="AM947" s="23" t="str">
        <f>IFERROR(__xludf.DUMMYFUNCTION("XLOOKUP(C947, 
   IMPORTRANGE(""1RdEdgHYrZ33LJ7RUHj_h-qkAFL92bcVjtIdVa-UlsCw"", ""Interns!D:D""), 
   IMPORTRANGE(""1RdEdgHYrZ33LJ7RUHj_h-qkAFL92bcVjtIdVa-UlsCw"", ""Interns!O:O""), 
   ""Not Found"")"),"Hetal reached out March 27 for March #Cheers4 Careers  and texted")</f>
        <v>Hetal reached out March 27 for March #Cheers4 Careers  and texted</v>
      </c>
      <c r="AN947" s="23"/>
      <c r="AO947" s="23" t="s">
        <v>11285</v>
      </c>
      <c r="AP947" s="28" t="s">
        <v>5182</v>
      </c>
      <c r="AQ947" s="28" t="s">
        <v>11286</v>
      </c>
      <c r="AR947" s="23" t="s">
        <v>11287</v>
      </c>
      <c r="AS947" s="23"/>
      <c r="AT947" s="23"/>
      <c r="AU947" s="23"/>
      <c r="AV947" s="23"/>
    </row>
    <row r="948">
      <c r="A948" s="28" t="s">
        <v>5202</v>
      </c>
      <c r="B948" s="28" t="s">
        <v>5162</v>
      </c>
      <c r="C948" s="23" t="str">
        <f t="shared" si="1"/>
        <v>Ashley Rodriguez</v>
      </c>
      <c r="D948" s="28" t="s">
        <v>4281</v>
      </c>
      <c r="E948" s="28" t="s">
        <v>536</v>
      </c>
      <c r="F948" s="23">
        <f t="array" ref="F948">IFERROR(
    INDEX('Hub Interns 226'!A:A, MATCH(C948, 'Hub Interns 226'!B:B, 0)),"")</f>
        <v>307</v>
      </c>
      <c r="G948" s="23">
        <f t="array" ref="G948">IFERROR(
    INDEX('Hub Users 226'!A:A, MATCH(C948, 'Hub Users 226'!B:B, 0)),"")</f>
        <v>740</v>
      </c>
      <c r="H948" s="28">
        <v>778.0</v>
      </c>
      <c r="I948" s="28" t="s">
        <v>260</v>
      </c>
      <c r="J948" s="28" t="s">
        <v>5336</v>
      </c>
      <c r="K948" s="28" t="s">
        <v>5177</v>
      </c>
      <c r="L948" s="28" t="s">
        <v>5196</v>
      </c>
      <c r="M948" s="56" t="s">
        <v>11288</v>
      </c>
      <c r="N948" s="59">
        <v>44553.475694444445</v>
      </c>
      <c r="O948" s="58">
        <v>38334.0</v>
      </c>
      <c r="P948" s="28">
        <f t="shared" si="26"/>
        <v>21</v>
      </c>
      <c r="Q948" s="28" t="s">
        <v>6522</v>
      </c>
      <c r="R948" s="28" t="s">
        <v>11289</v>
      </c>
      <c r="S948" s="28">
        <v>7.0</v>
      </c>
      <c r="T948" s="28">
        <v>18.0</v>
      </c>
      <c r="U948" s="28">
        <v>54.0</v>
      </c>
      <c r="V948" s="28">
        <v>37.0</v>
      </c>
      <c r="W948" s="28" t="s">
        <v>294</v>
      </c>
      <c r="X948" s="28" t="s">
        <v>272</v>
      </c>
      <c r="Y948" s="28" t="s">
        <v>11290</v>
      </c>
      <c r="Z948" s="28" t="s">
        <v>5483</v>
      </c>
      <c r="AA948" s="28" t="s">
        <v>457</v>
      </c>
      <c r="AB948" s="28">
        <v>25.0</v>
      </c>
      <c r="AC948" s="28" t="s">
        <v>25</v>
      </c>
      <c r="AD948" s="23"/>
      <c r="AE948" s="28" t="s">
        <v>10</v>
      </c>
      <c r="AF948" s="23" t="str">
        <f>IFERROR(__xludf.DUMMYFUNCTION("TEXTJOIN("", "", TRUE,
  FILTER(Champions!C:C,
    ISNUMBER(SEARCH(C948, Champions!W:W))
  )
)"),"Kemi Shoyinka")</f>
        <v>Kemi Shoyinka</v>
      </c>
      <c r="AG948" s="23"/>
      <c r="AH948" s="23" t="str">
        <f>IFERROR(__xludf.DUMMYFUNCTION("IF(
ISNUMBER(MATCH(
C948,
IMPORTRANGE(""https://docs.google.com/spreadsheets/d/1yTh1ELC33JHYOeEdgIiEclxPRyh0zOKtlawDltfUay8"",""'Interns'!A:A""),
0
)),
""Outreach Conducted"",
"""")"),"")</f>
        <v/>
      </c>
      <c r="AI948" s="23"/>
      <c r="AJ948" s="23"/>
      <c r="AK948" s="23" t="str">
        <f>IFERROR(__xludf.DUMMYFUNCTION("XLOOKUP(C948, 
   IMPORTRANGE(""1RdEdgHYrZ33LJ7RUHj_h-qkAFL92bcVjtIdVa-UlsCw"", ""Interns!D:D""), 
   IMPORTRANGE(""1RdEdgHYrZ33LJ7RUHj_h-qkAFL92bcVjtIdVa-UlsCw"", ""Interns!M:M""), 
   ""Not Found"")"),"")</f>
        <v/>
      </c>
      <c r="AL948" s="23" t="str">
        <f>IFERROR(__xludf.DUMMYFUNCTION("XLOOKUP(C948, 
   IMPORTRANGE(""1RdEdgHYrZ33LJ7RUHj_h-qkAFL92bcVjtIdVa-UlsCw"", ""Interns!D:D""), 
   IMPORTRANGE(""1RdEdgHYrZ33LJ7RUHj_h-qkAFL92bcVjtIdVa-UlsCw"", ""Interns!N:N""), 
   ""Not Found"")"),"")</f>
        <v/>
      </c>
      <c r="AM948" s="23" t="str">
        <f>IFERROR(__xludf.DUMMYFUNCTION("XLOOKUP(C948, 
   IMPORTRANGE(""1RdEdgHYrZ33LJ7RUHj_h-qkAFL92bcVjtIdVa-UlsCw"", ""Interns!D:D""), 
   IMPORTRANGE(""1RdEdgHYrZ33LJ7RUHj_h-qkAFL92bcVjtIdVa-UlsCw"", ""Interns!O:O""), 
   ""Not Found"")"),"")</f>
        <v/>
      </c>
      <c r="AN948" s="23"/>
      <c r="AO948" s="23" t="s">
        <v>11291</v>
      </c>
      <c r="AP948" s="28" t="s">
        <v>5191</v>
      </c>
      <c r="AQ948" s="28" t="s">
        <v>7524</v>
      </c>
      <c r="AR948" s="23" t="s">
        <v>11292</v>
      </c>
      <c r="AS948" s="23"/>
      <c r="AT948" s="23"/>
      <c r="AU948" s="23"/>
      <c r="AV948" s="23"/>
    </row>
    <row r="949">
      <c r="A949" s="28" t="s">
        <v>5161</v>
      </c>
      <c r="B949" s="28" t="s">
        <v>5162</v>
      </c>
      <c r="C949" s="23" t="str">
        <f t="shared" si="1"/>
        <v>Ronique White</v>
      </c>
      <c r="D949" s="28" t="s">
        <v>11293</v>
      </c>
      <c r="E949" s="28" t="s">
        <v>11294</v>
      </c>
      <c r="F949" s="23">
        <f t="array" ref="F949">IFERROR(
    INDEX('Hub Interns 226'!A:A, MATCH(C949, 'Hub Interns 226'!B:B, 0)),"")</f>
        <v>1000</v>
      </c>
      <c r="G949" s="23">
        <f t="array" ref="G949">IFERROR(
    INDEX('Hub Users 226'!A:A, MATCH(C949, 'Hub Users 226'!B:B, 0)),"")</f>
        <v>1433</v>
      </c>
      <c r="H949" s="28">
        <v>1346.0</v>
      </c>
      <c r="I949" s="28" t="s">
        <v>269</v>
      </c>
      <c r="J949" s="28" t="s">
        <v>3791</v>
      </c>
      <c r="K949" s="28" t="s">
        <v>5177</v>
      </c>
      <c r="L949" s="28" t="s">
        <v>5196</v>
      </c>
      <c r="M949" s="56" t="s">
        <v>11295</v>
      </c>
      <c r="N949" s="59">
        <v>44859.47152777778</v>
      </c>
      <c r="O949" s="58">
        <v>39516.0</v>
      </c>
      <c r="P949" s="28">
        <f t="shared" si="26"/>
        <v>18</v>
      </c>
      <c r="Q949" s="28" t="s">
        <v>240</v>
      </c>
      <c r="R949" s="28" t="s">
        <v>11296</v>
      </c>
      <c r="S949" s="28">
        <v>5.0</v>
      </c>
      <c r="T949" s="28">
        <v>10.0</v>
      </c>
      <c r="U949" s="28">
        <v>31.0</v>
      </c>
      <c r="V949" s="28">
        <v>31.0</v>
      </c>
      <c r="W949" s="28" t="s">
        <v>1173</v>
      </c>
      <c r="X949" s="28" t="s">
        <v>272</v>
      </c>
      <c r="Y949" s="28" t="s">
        <v>11297</v>
      </c>
      <c r="Z949" s="28" t="s">
        <v>5332</v>
      </c>
      <c r="AA949" s="28" t="s">
        <v>421</v>
      </c>
      <c r="AB949" s="28">
        <v>31.0</v>
      </c>
      <c r="AC949" s="28" t="s">
        <v>23</v>
      </c>
      <c r="AD949" s="23"/>
      <c r="AE949" s="28" t="s">
        <v>15</v>
      </c>
      <c r="AF949" s="23"/>
      <c r="AG949" s="23"/>
      <c r="AH949" s="23" t="str">
        <f>IFERROR(__xludf.DUMMYFUNCTION("IF(
ISNUMBER(MATCH(
C949,
IMPORTRANGE(""https://docs.google.com/spreadsheets/d/1yTh1ELC33JHYOeEdgIiEclxPRyh0zOKtlawDltfUay8"",""'Interns'!A:A""),
0
)),
""Outreach Conducted"",
"""")"),"")</f>
        <v/>
      </c>
      <c r="AI949" s="23"/>
      <c r="AJ949" s="23"/>
      <c r="AK949" s="23" t="str">
        <f>IFERROR(__xludf.DUMMYFUNCTION("XLOOKUP(C949, 
   IMPORTRANGE(""1RdEdgHYrZ33LJ7RUHj_h-qkAFL92bcVjtIdVa-UlsCw"", ""Interns!D:D""), 
   IMPORTRANGE(""1RdEdgHYrZ33LJ7RUHj_h-qkAFL92bcVjtIdVa-UlsCw"", ""Interns!M:M""), 
   ""Not Found"")"),"Contacted")</f>
        <v>Contacted</v>
      </c>
      <c r="AL949" s="23" t="str">
        <f>IFERROR(__xludf.DUMMYFUNCTION("XLOOKUP(C949, 
   IMPORTRANGE(""1RdEdgHYrZ33LJ7RUHj_h-qkAFL92bcVjtIdVa-UlsCw"", ""Interns!D:D""), 
   IMPORTRANGE(""1RdEdgHYrZ33LJ7RUHj_h-qkAFL92bcVjtIdVa-UlsCw"", ""Interns!N:N""), 
   ""Not Found"")"),"#Cheers4Careers")</f>
        <v>#Cheers4Careers</v>
      </c>
      <c r="AM949" s="23" t="str">
        <f>IFERROR(__xludf.DUMMYFUNCTION("XLOOKUP(C949, 
   IMPORTRANGE(""1RdEdgHYrZ33LJ7RUHj_h-qkAFL92bcVjtIdVa-UlsCw"", ""Interns!D:D""), 
   IMPORTRANGE(""1RdEdgHYrZ33LJ7RUHj_h-qkAFL92bcVjtIdVa-UlsCw"", ""Interns!O:O""), 
   ""Not Found"")"),"Hetal reached out March 27 for March #Cheers4 Careers  and texted")</f>
        <v>Hetal reached out March 27 for March #Cheers4 Careers  and texted</v>
      </c>
      <c r="AN949" s="23"/>
      <c r="AO949" s="23" t="s">
        <v>11298</v>
      </c>
      <c r="AP949" s="28" t="s">
        <v>5191</v>
      </c>
      <c r="AQ949" s="28"/>
      <c r="AR949" s="23"/>
      <c r="AS949" s="23"/>
      <c r="AT949" s="23"/>
      <c r="AU949" s="23"/>
      <c r="AV949" s="23"/>
    </row>
    <row r="950">
      <c r="A950" s="28" t="s">
        <v>5202</v>
      </c>
      <c r="B950" s="28" t="s">
        <v>5162</v>
      </c>
      <c r="C950" s="23" t="str">
        <f t="shared" si="1"/>
        <v>Angely Li Zheng</v>
      </c>
      <c r="D950" s="28" t="s">
        <v>8048</v>
      </c>
      <c r="E950" s="28" t="s">
        <v>11299</v>
      </c>
      <c r="F950" s="23">
        <f t="array" ref="F950">IFERROR(
    INDEX('Hub Interns 226'!A:A, MATCH(C950, 'Hub Interns 226'!B:B, 0)),"")</f>
        <v>123</v>
      </c>
      <c r="G950" s="23">
        <f t="array" ref="G950">IFERROR(
    INDEX('Hub Users 226'!A:A, MATCH(C950, 'Hub Users 226'!B:B, 0)),"")</f>
        <v>556</v>
      </c>
      <c r="H950" s="28">
        <v>369.0</v>
      </c>
      <c r="I950" s="28" t="s">
        <v>260</v>
      </c>
      <c r="J950" s="28" t="s">
        <v>11300</v>
      </c>
      <c r="K950" s="28" t="s">
        <v>5914</v>
      </c>
      <c r="L950" s="28" t="s">
        <v>5196</v>
      </c>
      <c r="M950" s="56" t="s">
        <v>11301</v>
      </c>
      <c r="N950" s="57">
        <v>44252.66388888889</v>
      </c>
      <c r="O950" s="58">
        <v>37529.0</v>
      </c>
      <c r="P950" s="28">
        <f t="shared" si="26"/>
        <v>23</v>
      </c>
      <c r="Q950" s="28" t="s">
        <v>240</v>
      </c>
      <c r="R950" s="28" t="s">
        <v>11302</v>
      </c>
      <c r="S950" s="28">
        <v>6.0</v>
      </c>
      <c r="T950" s="28">
        <v>16.0</v>
      </c>
      <c r="U950" s="28">
        <v>40.0</v>
      </c>
      <c r="V950" s="28">
        <v>20.0</v>
      </c>
      <c r="W950" s="28" t="s">
        <v>1173</v>
      </c>
      <c r="X950" s="28" t="s">
        <v>272</v>
      </c>
      <c r="Y950" s="28" t="s">
        <v>11303</v>
      </c>
      <c r="Z950" s="28" t="s">
        <v>5189</v>
      </c>
      <c r="AA950" s="28" t="s">
        <v>619</v>
      </c>
      <c r="AB950" s="28">
        <v>20.0</v>
      </c>
      <c r="AC950" s="28" t="s">
        <v>25</v>
      </c>
      <c r="AD950" s="23"/>
      <c r="AE950" s="28" t="s">
        <v>8</v>
      </c>
      <c r="AF950" s="23" t="str">
        <f>IFERROR(__xludf.DUMMYFUNCTION("TEXTJOIN("", "", TRUE,
  FILTER(Champions!C:C,
    ISNUMBER(SEARCH(C950, Champions!W:W))
  )
)"),"Lien Nguyen, Melody Jia Fang")</f>
        <v>Lien Nguyen, Melody Jia Fang</v>
      </c>
      <c r="AG950" s="23"/>
      <c r="AH950" s="23" t="str">
        <f>IFERROR(__xludf.DUMMYFUNCTION("IF(
ISNUMBER(MATCH(
C950,
IMPORTRANGE(""https://docs.google.com/spreadsheets/d/1yTh1ELC33JHYOeEdgIiEclxPRyh0zOKtlawDltfUay8"",""'Interns'!A:A""),
0
)),
""Outreach Conducted"",
"""")"),"")</f>
        <v/>
      </c>
      <c r="AI950" s="23"/>
      <c r="AJ950" s="23"/>
      <c r="AK950" s="23" t="str">
        <f>IFERROR(__xludf.DUMMYFUNCTION("XLOOKUP(C950, 
   IMPORTRANGE(""1RdEdgHYrZ33LJ7RUHj_h-qkAFL92bcVjtIdVa-UlsCw"", ""Interns!D:D""), 
   IMPORTRANGE(""1RdEdgHYrZ33LJ7RUHj_h-qkAFL92bcVjtIdVa-UlsCw"", ""Interns!M:M""), 
   ""Not Found"")"),"")</f>
        <v/>
      </c>
      <c r="AL950" s="23" t="str">
        <f>IFERROR(__xludf.DUMMYFUNCTION("XLOOKUP(C950, 
   IMPORTRANGE(""1RdEdgHYrZ33LJ7RUHj_h-qkAFL92bcVjtIdVa-UlsCw"", ""Interns!D:D""), 
   IMPORTRANGE(""1RdEdgHYrZ33LJ7RUHj_h-qkAFL92bcVjtIdVa-UlsCw"", ""Interns!N:N""), 
   ""Not Found"")"),"")</f>
        <v/>
      </c>
      <c r="AM950" s="23" t="str">
        <f>IFERROR(__xludf.DUMMYFUNCTION("XLOOKUP(C950, 
   IMPORTRANGE(""1RdEdgHYrZ33LJ7RUHj_h-qkAFL92bcVjtIdVa-UlsCw"", ""Interns!D:D""), 
   IMPORTRANGE(""1RdEdgHYrZ33LJ7RUHj_h-qkAFL92bcVjtIdVa-UlsCw"", ""Interns!O:O""), 
   ""Not Found"")"),"")</f>
        <v/>
      </c>
      <c r="AN950" s="23"/>
      <c r="AO950" s="23" t="s">
        <v>11304</v>
      </c>
      <c r="AP950" s="28" t="s">
        <v>5989</v>
      </c>
      <c r="AQ950" s="28" t="s">
        <v>11305</v>
      </c>
      <c r="AR950" s="23"/>
      <c r="AS950" s="23"/>
      <c r="AT950" s="23"/>
      <c r="AU950" s="23"/>
      <c r="AV950" s="23"/>
    </row>
    <row r="951">
      <c r="A951" s="28" t="s">
        <v>5161</v>
      </c>
      <c r="B951" s="28" t="s">
        <v>5162</v>
      </c>
      <c r="C951" s="23" t="str">
        <f t="shared" si="1"/>
        <v>Kristina Williams</v>
      </c>
      <c r="D951" s="28" t="s">
        <v>3893</v>
      </c>
      <c r="E951" s="28" t="s">
        <v>2059</v>
      </c>
      <c r="F951" s="23">
        <f t="array" ref="F951">IFERROR(
    INDEX('Hub Interns 226'!A:A, MATCH(C951, 'Hub Interns 226'!B:B, 0)),"")</f>
        <v>755</v>
      </c>
      <c r="G951" s="23">
        <f t="array" ref="G951">IFERROR(
    INDEX('Hub Users 226'!A:A, MATCH(C951, 'Hub Users 226'!B:B, 0)),"")</f>
        <v>1188</v>
      </c>
      <c r="H951" s="28">
        <v>1607.0</v>
      </c>
      <c r="I951" s="28" t="s">
        <v>260</v>
      </c>
      <c r="J951" s="28" t="s">
        <v>3791</v>
      </c>
      <c r="K951" s="28" t="s">
        <v>5177</v>
      </c>
      <c r="L951" s="28" t="s">
        <v>5196</v>
      </c>
      <c r="M951" s="56" t="s">
        <v>11306</v>
      </c>
      <c r="N951" s="57">
        <v>45062.38958333333</v>
      </c>
      <c r="O951" s="58">
        <v>39285.0</v>
      </c>
      <c r="P951" s="28">
        <f t="shared" si="26"/>
        <v>18</v>
      </c>
      <c r="Q951" s="28" t="s">
        <v>240</v>
      </c>
      <c r="R951" s="28" t="s">
        <v>11307</v>
      </c>
      <c r="S951" s="28">
        <v>5.0</v>
      </c>
      <c r="T951" s="28">
        <v>10.0</v>
      </c>
      <c r="U951" s="28">
        <v>31.0</v>
      </c>
      <c r="V951" s="28">
        <v>31.0</v>
      </c>
      <c r="W951" s="28" t="s">
        <v>1173</v>
      </c>
      <c r="X951" s="28" t="s">
        <v>272</v>
      </c>
      <c r="Y951" s="28" t="s">
        <v>11308</v>
      </c>
      <c r="Z951" s="28" t="s">
        <v>5332</v>
      </c>
      <c r="AA951" s="28" t="s">
        <v>421</v>
      </c>
      <c r="AB951" s="28">
        <v>31.0</v>
      </c>
      <c r="AC951" s="28" t="s">
        <v>23</v>
      </c>
      <c r="AD951" s="23"/>
      <c r="AE951" s="28" t="s">
        <v>15</v>
      </c>
      <c r="AF951" s="23"/>
      <c r="AG951" s="23"/>
      <c r="AH951" s="23" t="str">
        <f>IFERROR(__xludf.DUMMYFUNCTION("IF(
ISNUMBER(MATCH(
C951,
IMPORTRANGE(""https://docs.google.com/spreadsheets/d/1yTh1ELC33JHYOeEdgIiEclxPRyh0zOKtlawDltfUay8"",""'Interns'!A:A""),
0
)),
""Outreach Conducted"",
"""")"),"")</f>
        <v/>
      </c>
      <c r="AI951" s="23"/>
      <c r="AJ951" s="23"/>
      <c r="AK951" s="23" t="str">
        <f>IFERROR(__xludf.DUMMYFUNCTION("XLOOKUP(C951, 
   IMPORTRANGE(""1RdEdgHYrZ33LJ7RUHj_h-qkAFL92bcVjtIdVa-UlsCw"", ""Interns!D:D""), 
   IMPORTRANGE(""1RdEdgHYrZ33LJ7RUHj_h-qkAFL92bcVjtIdVa-UlsCw"", ""Interns!M:M""), 
   ""Not Found"")"),"Contacted")</f>
        <v>Contacted</v>
      </c>
      <c r="AL951" s="23" t="str">
        <f>IFERROR(__xludf.DUMMYFUNCTION("XLOOKUP(C951, 
   IMPORTRANGE(""1RdEdgHYrZ33LJ7RUHj_h-qkAFL92bcVjtIdVa-UlsCw"", ""Interns!D:D""), 
   IMPORTRANGE(""1RdEdgHYrZ33LJ7RUHj_h-qkAFL92bcVjtIdVa-UlsCw"", ""Interns!N:N""), 
   ""Not Found"")"),"#Cheers4Careers")</f>
        <v>#Cheers4Careers</v>
      </c>
      <c r="AM951" s="23" t="str">
        <f>IFERROR(__xludf.DUMMYFUNCTION("XLOOKUP(C951, 
   IMPORTRANGE(""1RdEdgHYrZ33LJ7RUHj_h-qkAFL92bcVjtIdVa-UlsCw"", ""Interns!D:D""), 
   IMPORTRANGE(""1RdEdgHYrZ33LJ7RUHj_h-qkAFL92bcVjtIdVa-UlsCw"", ""Interns!O:O""), 
   ""Not Found"")"),"Hetal reached out March 27 for March #Cheers4 Careers and texted")</f>
        <v>Hetal reached out March 27 for March #Cheers4 Careers and texted</v>
      </c>
      <c r="AN951" s="23"/>
      <c r="AO951" s="23" t="s">
        <v>11309</v>
      </c>
      <c r="AP951" s="28" t="s">
        <v>5182</v>
      </c>
      <c r="AQ951" s="28"/>
      <c r="AR951" s="23"/>
      <c r="AS951" s="23"/>
      <c r="AT951" s="23"/>
      <c r="AU951" s="23"/>
      <c r="AV951" s="23"/>
    </row>
    <row r="952">
      <c r="A952" s="28" t="s">
        <v>5161</v>
      </c>
      <c r="B952" s="28" t="s">
        <v>5162</v>
      </c>
      <c r="C952" s="23" t="str">
        <f t="shared" si="1"/>
        <v>Shemmanie King</v>
      </c>
      <c r="D952" s="28" t="s">
        <v>11310</v>
      </c>
      <c r="E952" s="28" t="s">
        <v>3894</v>
      </c>
      <c r="F952" s="23">
        <f t="array" ref="F952">IFERROR(
    INDEX('Hub Interns 226'!A:A, MATCH(C952, 'Hub Interns 226'!B:B, 0)),"")</f>
        <v>1011</v>
      </c>
      <c r="G952" s="23">
        <f t="array" ref="G952">IFERROR(
    INDEX('Hub Users 226'!A:A, MATCH(C952, 'Hub Users 226'!B:B, 0)),"")</f>
        <v>1444</v>
      </c>
      <c r="H952" s="28">
        <v>1563.0</v>
      </c>
      <c r="I952" s="28"/>
      <c r="J952" s="28" t="s">
        <v>3791</v>
      </c>
      <c r="K952" s="28" t="s">
        <v>5177</v>
      </c>
      <c r="L952" s="28" t="s">
        <v>5165</v>
      </c>
      <c r="M952" s="56" t="s">
        <v>11311</v>
      </c>
      <c r="N952" s="57">
        <v>45006.47222222222</v>
      </c>
      <c r="O952" s="58">
        <v>39703.0</v>
      </c>
      <c r="P952" s="28">
        <f t="shared" si="26"/>
        <v>17</v>
      </c>
      <c r="Q952" s="28" t="s">
        <v>240</v>
      </c>
      <c r="R952" s="28" t="s">
        <v>11312</v>
      </c>
      <c r="S952" s="28">
        <v>5.0</v>
      </c>
      <c r="T952" s="28">
        <v>10.0</v>
      </c>
      <c r="U952" s="28">
        <v>32.0</v>
      </c>
      <c r="V952" s="28">
        <v>28.0</v>
      </c>
      <c r="W952" s="28" t="s">
        <v>1173</v>
      </c>
      <c r="X952" s="28" t="s">
        <v>272</v>
      </c>
      <c r="Y952" s="28" t="s">
        <v>11313</v>
      </c>
      <c r="Z952" s="28" t="s">
        <v>5332</v>
      </c>
      <c r="AA952" s="28" t="s">
        <v>421</v>
      </c>
      <c r="AB952" s="28">
        <v>31.0</v>
      </c>
      <c r="AC952" s="28" t="s">
        <v>23</v>
      </c>
      <c r="AD952" s="23"/>
      <c r="AE952" s="28" t="s">
        <v>15</v>
      </c>
      <c r="AF952" s="23"/>
      <c r="AG952" s="23"/>
      <c r="AH952" s="23" t="str">
        <f>IFERROR(__xludf.DUMMYFUNCTION("IF(
ISNUMBER(MATCH(
C952,
IMPORTRANGE(""https://docs.google.com/spreadsheets/d/1yTh1ELC33JHYOeEdgIiEclxPRyh0zOKtlawDltfUay8"",""'Interns'!A:A""),
0
)),
""Outreach Conducted"",
"""")"),"")</f>
        <v/>
      </c>
      <c r="AI952" s="23"/>
      <c r="AJ952" s="23"/>
      <c r="AK952" s="23" t="str">
        <f>IFERROR(__xludf.DUMMYFUNCTION("XLOOKUP(C952, 
   IMPORTRANGE(""1RdEdgHYrZ33LJ7RUHj_h-qkAFL92bcVjtIdVa-UlsCw"", ""Interns!D:D""), 
   IMPORTRANGE(""1RdEdgHYrZ33LJ7RUHj_h-qkAFL92bcVjtIdVa-UlsCw"", ""Interns!M:M""), 
   ""Not Found"")"),"Contacted")</f>
        <v>Contacted</v>
      </c>
      <c r="AL952" s="23" t="str">
        <f>IFERROR(__xludf.DUMMYFUNCTION("XLOOKUP(C952, 
   IMPORTRANGE(""1RdEdgHYrZ33LJ7RUHj_h-qkAFL92bcVjtIdVa-UlsCw"", ""Interns!D:D""), 
   IMPORTRANGE(""1RdEdgHYrZ33LJ7RUHj_h-qkAFL92bcVjtIdVa-UlsCw"", ""Interns!N:N""), 
   ""Not Found"")"),"#Cheers4Careers")</f>
        <v>#Cheers4Careers</v>
      </c>
      <c r="AM952" s="23" t="str">
        <f>IFERROR(__xludf.DUMMYFUNCTION("XLOOKUP(C952, 
   IMPORTRANGE(""1RdEdgHYrZ33LJ7RUHj_h-qkAFL92bcVjtIdVa-UlsCw"", ""Interns!D:D""), 
   IMPORTRANGE(""1RdEdgHYrZ33LJ7RUHj_h-qkAFL92bcVjtIdVa-UlsCw"", ""Interns!O:O""), 
   ""Not Found"")"),"Hetal reached out March 27 for March #Cheers4 Careers  and texted")</f>
        <v>Hetal reached out March 27 for March #Cheers4 Careers  and texted</v>
      </c>
      <c r="AN952" s="23"/>
      <c r="AO952" s="23" t="s">
        <v>11314</v>
      </c>
      <c r="AP952" s="28" t="s">
        <v>5182</v>
      </c>
      <c r="AQ952" s="28"/>
      <c r="AR952" s="23"/>
      <c r="AS952" s="23"/>
      <c r="AT952" s="23"/>
      <c r="AU952" s="23"/>
      <c r="AV952" s="23"/>
    </row>
    <row r="953">
      <c r="A953" s="28" t="s">
        <v>5161</v>
      </c>
      <c r="B953" s="28" t="s">
        <v>5162</v>
      </c>
      <c r="C953" s="23" t="str">
        <f t="shared" si="1"/>
        <v>Ciara Campbell</v>
      </c>
      <c r="D953" s="28" t="s">
        <v>8219</v>
      </c>
      <c r="E953" s="28" t="s">
        <v>1117</v>
      </c>
      <c r="F953" s="23">
        <f t="array" ref="F953">IFERROR(
    INDEX('Hub Interns 226'!A:A, MATCH(C953, 'Hub Interns 226'!B:B, 0)),"")</f>
        <v>374</v>
      </c>
      <c r="G953" s="23">
        <f t="array" ref="G953">IFERROR(
    INDEX('Hub Users 226'!A:A, MATCH(C953, 'Hub Users 226'!B:B, 0)),"")</f>
        <v>807</v>
      </c>
      <c r="H953" s="28">
        <v>443.0</v>
      </c>
      <c r="I953" s="28" t="s">
        <v>260</v>
      </c>
      <c r="J953" s="28" t="s">
        <v>3791</v>
      </c>
      <c r="K953" s="28" t="s">
        <v>5177</v>
      </c>
      <c r="L953" s="28" t="s">
        <v>5196</v>
      </c>
      <c r="M953" s="56" t="s">
        <v>11315</v>
      </c>
      <c r="N953" s="57">
        <v>44327.475</v>
      </c>
      <c r="O953" s="58">
        <v>37708.0</v>
      </c>
      <c r="P953" s="28">
        <f t="shared" si="26"/>
        <v>23</v>
      </c>
      <c r="Q953" s="28" t="s">
        <v>240</v>
      </c>
      <c r="R953" s="28" t="s">
        <v>11316</v>
      </c>
      <c r="S953" s="28">
        <v>5.0</v>
      </c>
      <c r="T953" s="28">
        <v>10.0</v>
      </c>
      <c r="U953" s="28">
        <v>31.0</v>
      </c>
      <c r="V953" s="28">
        <v>28.0</v>
      </c>
      <c r="W953" s="28" t="s">
        <v>1173</v>
      </c>
      <c r="X953" s="28" t="s">
        <v>272</v>
      </c>
      <c r="Y953" s="28" t="s">
        <v>11317</v>
      </c>
      <c r="Z953" s="28" t="s">
        <v>5332</v>
      </c>
      <c r="AA953" s="28" t="s">
        <v>421</v>
      </c>
      <c r="AB953" s="28">
        <v>31.0</v>
      </c>
      <c r="AC953" s="28" t="s">
        <v>24</v>
      </c>
      <c r="AD953" s="23"/>
      <c r="AE953" s="28" t="s">
        <v>8</v>
      </c>
      <c r="AF953" s="23"/>
      <c r="AG953" s="23"/>
      <c r="AH953" s="23" t="str">
        <f>IFERROR(__xludf.DUMMYFUNCTION("IF(
ISNUMBER(MATCH(
C953,
IMPORTRANGE(""https://docs.google.com/spreadsheets/d/1yTh1ELC33JHYOeEdgIiEclxPRyh0zOKtlawDltfUay8"",""'Interns'!A:A""),
0
)),
""Outreach Conducted"",
"""")"),"")</f>
        <v/>
      </c>
      <c r="AI953" s="23"/>
      <c r="AJ953" s="23"/>
      <c r="AK953" s="23" t="str">
        <f>IFERROR(__xludf.DUMMYFUNCTION("XLOOKUP(C953, 
   IMPORTRANGE(""1RdEdgHYrZ33LJ7RUHj_h-qkAFL92bcVjtIdVa-UlsCw"", ""Interns!D:D""), 
   IMPORTRANGE(""1RdEdgHYrZ33LJ7RUHj_h-qkAFL92bcVjtIdVa-UlsCw"", ""Interns!M:M""), 
   ""Not Found"")"),"Contacted")</f>
        <v>Contacted</v>
      </c>
      <c r="AL953" s="23" t="str">
        <f>IFERROR(__xludf.DUMMYFUNCTION("XLOOKUP(C953, 
   IMPORTRANGE(""1RdEdgHYrZ33LJ7RUHj_h-qkAFL92bcVjtIdVa-UlsCw"", ""Interns!D:D""), 
   IMPORTRANGE(""1RdEdgHYrZ33LJ7RUHj_h-qkAFL92bcVjtIdVa-UlsCw"", ""Interns!N:N""), 
   ""Not Found"")"),"#Cheers4Careers")</f>
        <v>#Cheers4Careers</v>
      </c>
      <c r="AM953" s="23" t="str">
        <f>IFERROR(__xludf.DUMMYFUNCTION("XLOOKUP(C953, 
   IMPORTRANGE(""1RdEdgHYrZ33LJ7RUHj_h-qkAFL92bcVjtIdVa-UlsCw"", ""Interns!D:D""), 
   IMPORTRANGE(""1RdEdgHYrZ33LJ7RUHj_h-qkAFL92bcVjtIdVa-UlsCw"", ""Interns!O:O""), 
   ""Not Found"")"),"Hetal reached out March 27 for March #Cheers4 Careers and texted")</f>
        <v>Hetal reached out March 27 for March #Cheers4 Careers and texted</v>
      </c>
      <c r="AN953" s="23"/>
      <c r="AO953" s="23" t="s">
        <v>11318</v>
      </c>
      <c r="AP953" s="28" t="s">
        <v>5182</v>
      </c>
      <c r="AQ953" s="28"/>
      <c r="AR953" s="23"/>
      <c r="AS953" s="28" t="s">
        <v>9334</v>
      </c>
      <c r="AT953" s="23"/>
      <c r="AU953" s="23"/>
      <c r="AV953" s="23"/>
    </row>
    <row r="954">
      <c r="A954" s="28" t="s">
        <v>5161</v>
      </c>
      <c r="B954" s="28" t="s">
        <v>5162</v>
      </c>
      <c r="C954" s="23" t="str">
        <f t="shared" si="1"/>
        <v>Calyton Walker</v>
      </c>
      <c r="D954" s="28" t="s">
        <v>11319</v>
      </c>
      <c r="E954" s="28" t="s">
        <v>3710</v>
      </c>
      <c r="F954" s="23">
        <f t="array" ref="F954">IFERROR(
    INDEX('Hub Interns 226'!A:A, MATCH(C954, 'Hub Interns 226'!B:B, 0)),"")</f>
        <v>1071</v>
      </c>
      <c r="G954" s="23">
        <f t="array" ref="G954">IFERROR(
    INDEX('Hub Users 226'!A:A, MATCH(C954, 'Hub Users 226'!B:B, 0)),"")</f>
        <v>1504</v>
      </c>
      <c r="H954" s="28">
        <v>1428.0</v>
      </c>
      <c r="I954" s="28" t="s">
        <v>239</v>
      </c>
      <c r="J954" s="28" t="s">
        <v>3791</v>
      </c>
      <c r="K954" s="28" t="s">
        <v>5177</v>
      </c>
      <c r="L954" s="28" t="s">
        <v>5165</v>
      </c>
      <c r="M954" s="56" t="s">
        <v>11320</v>
      </c>
      <c r="N954" s="57">
        <v>44869.45972222222</v>
      </c>
      <c r="O954" s="58">
        <v>38653.0</v>
      </c>
      <c r="P954" s="28">
        <f t="shared" si="26"/>
        <v>20</v>
      </c>
      <c r="Q954" s="28" t="s">
        <v>240</v>
      </c>
      <c r="R954" s="28" t="s">
        <v>11321</v>
      </c>
      <c r="S954" s="28">
        <v>5.0</v>
      </c>
      <c r="T954" s="28">
        <v>14.0</v>
      </c>
      <c r="U954" s="28">
        <v>33.0</v>
      </c>
      <c r="V954" s="28">
        <v>27.0</v>
      </c>
      <c r="W954" s="28" t="s">
        <v>1173</v>
      </c>
      <c r="X954" s="28" t="s">
        <v>272</v>
      </c>
      <c r="Y954" s="28" t="s">
        <v>11322</v>
      </c>
      <c r="Z954" s="28" t="s">
        <v>5332</v>
      </c>
      <c r="AA954" s="28" t="s">
        <v>421</v>
      </c>
      <c r="AB954" s="28">
        <v>31.0</v>
      </c>
      <c r="AC954" s="28" t="s">
        <v>23</v>
      </c>
      <c r="AD954" s="28" t="s">
        <v>101</v>
      </c>
      <c r="AE954" s="28" t="s">
        <v>15</v>
      </c>
      <c r="AF954" s="23"/>
      <c r="AG954" s="23"/>
      <c r="AH954" s="23" t="str">
        <f>IFERROR(__xludf.DUMMYFUNCTION("IF(
ISNUMBER(MATCH(
C954,
IMPORTRANGE(""https://docs.google.com/spreadsheets/d/1yTh1ELC33JHYOeEdgIiEclxPRyh0zOKtlawDltfUay8"",""'Interns'!A:A""),
0
)),
""Outreach Conducted"",
"""")"),"")</f>
        <v/>
      </c>
      <c r="AI954" s="23"/>
      <c r="AJ954" s="23"/>
      <c r="AK954" s="23" t="str">
        <f>IFERROR(__xludf.DUMMYFUNCTION("XLOOKUP(C954, 
   IMPORTRANGE(""1RdEdgHYrZ33LJ7RUHj_h-qkAFL92bcVjtIdVa-UlsCw"", ""Interns!D:D""), 
   IMPORTRANGE(""1RdEdgHYrZ33LJ7RUHj_h-qkAFL92bcVjtIdVa-UlsCw"", ""Interns!M:M""), 
   ""Not Found"")"),"Contacted")</f>
        <v>Contacted</v>
      </c>
      <c r="AL954" s="23" t="str">
        <f>IFERROR(__xludf.DUMMYFUNCTION("XLOOKUP(C954, 
   IMPORTRANGE(""1RdEdgHYrZ33LJ7RUHj_h-qkAFL92bcVjtIdVa-UlsCw"", ""Interns!D:D""), 
   IMPORTRANGE(""1RdEdgHYrZ33LJ7RUHj_h-qkAFL92bcVjtIdVa-UlsCw"", ""Interns!N:N""), 
   ""Not Found"")"),"#Cheers4Careers")</f>
        <v>#Cheers4Careers</v>
      </c>
      <c r="AM954" s="23" t="str">
        <f>IFERROR(__xludf.DUMMYFUNCTION("XLOOKUP(C954, 
   IMPORTRANGE(""1RdEdgHYrZ33LJ7RUHj_h-qkAFL92bcVjtIdVa-UlsCw"", ""Interns!D:D""), 
   IMPORTRANGE(""1RdEdgHYrZ33LJ7RUHj_h-qkAFL92bcVjtIdVa-UlsCw"", ""Interns!O:O""), 
   ""Not Found"")"),"Hetal reached out March 27 for March #Cheers4 Careers  and texted")</f>
        <v>Hetal reached out March 27 for March #Cheers4 Careers  and texted</v>
      </c>
      <c r="AN954" s="23"/>
      <c r="AO954" s="23" t="s">
        <v>11323</v>
      </c>
      <c r="AP954" s="28" t="s">
        <v>5182</v>
      </c>
      <c r="AQ954" s="28"/>
      <c r="AR954" s="23"/>
      <c r="AS954" s="23"/>
      <c r="AT954" s="23"/>
      <c r="AU954" s="23"/>
      <c r="AV954" s="23"/>
    </row>
    <row r="955">
      <c r="A955" s="28" t="s">
        <v>5161</v>
      </c>
      <c r="B955" s="28" t="s">
        <v>5162</v>
      </c>
      <c r="C955" s="23" t="str">
        <f t="shared" si="1"/>
        <v>Dante Matthews</v>
      </c>
      <c r="D955" s="28" t="s">
        <v>11324</v>
      </c>
      <c r="E955" s="28" t="s">
        <v>10393</v>
      </c>
      <c r="F955" s="23">
        <f t="array" ref="F955">IFERROR(
    INDEX('Hub Interns 226'!A:A, MATCH(C955, 'Hub Interns 226'!B:B, 0)),"")</f>
        <v>359</v>
      </c>
      <c r="G955" s="23">
        <f t="array" ref="G955">IFERROR(
    INDEX('Hub Users 226'!A:A, MATCH(C955, 'Hub Users 226'!B:B, 0)),"")</f>
        <v>792</v>
      </c>
      <c r="H955" s="28">
        <v>365.0</v>
      </c>
      <c r="I955" s="28" t="s">
        <v>1235</v>
      </c>
      <c r="J955" s="28" t="s">
        <v>3791</v>
      </c>
      <c r="K955" s="28" t="s">
        <v>5177</v>
      </c>
      <c r="L955" s="28" t="s">
        <v>5165</v>
      </c>
      <c r="M955" s="56" t="s">
        <v>10394</v>
      </c>
      <c r="N955" s="57">
        <v>44252.646527777775</v>
      </c>
      <c r="O955" s="58">
        <v>38385.0</v>
      </c>
      <c r="P955" s="28">
        <f t="shared" si="26"/>
        <v>21</v>
      </c>
      <c r="Q955" s="28" t="s">
        <v>240</v>
      </c>
      <c r="R955" s="28" t="s">
        <v>11325</v>
      </c>
      <c r="S955" s="28">
        <v>5.0</v>
      </c>
      <c r="T955" s="28">
        <v>14.0</v>
      </c>
      <c r="U955" s="28">
        <v>33.0</v>
      </c>
      <c r="V955" s="28">
        <v>27.0</v>
      </c>
      <c r="W955" s="28" t="s">
        <v>1173</v>
      </c>
      <c r="X955" s="28" t="s">
        <v>272</v>
      </c>
      <c r="Y955" s="28" t="s">
        <v>10396</v>
      </c>
      <c r="Z955" s="28" t="s">
        <v>5332</v>
      </c>
      <c r="AA955" s="28" t="s">
        <v>421</v>
      </c>
      <c r="AB955" s="28">
        <v>31.0</v>
      </c>
      <c r="AC955" s="28" t="s">
        <v>25</v>
      </c>
      <c r="AD955" s="23"/>
      <c r="AE955" s="28" t="s">
        <v>8</v>
      </c>
      <c r="AF955" s="23" t="str">
        <f>IFERROR(__xludf.DUMMYFUNCTION("TEXTJOIN("", "", TRUE,
  FILTER(Champions!C:C,
    ISNUMBER(SEARCH(C955, Champions!W:W))
  )
)"),"Joan Marie Cadenhead, Behraam Baqai")</f>
        <v>Joan Marie Cadenhead, Behraam Baqai</v>
      </c>
      <c r="AG955" s="23"/>
      <c r="AH955" s="23" t="str">
        <f>IFERROR(__xludf.DUMMYFUNCTION("IF(
ISNUMBER(MATCH(
C955,
IMPORTRANGE(""https://docs.google.com/spreadsheets/d/1yTh1ELC33JHYOeEdgIiEclxPRyh0zOKtlawDltfUay8"",""'Interns'!A:A""),
0
)),
""Outreach Conducted"",
"""")"),"")</f>
        <v/>
      </c>
      <c r="AI955" s="23"/>
      <c r="AJ955" s="23"/>
      <c r="AK955" s="23" t="str">
        <f>IFERROR(__xludf.DUMMYFUNCTION("XLOOKUP(C955, 
   IMPORTRANGE(""1RdEdgHYrZ33LJ7RUHj_h-qkAFL92bcVjtIdVa-UlsCw"", ""Interns!D:D""), 
   IMPORTRANGE(""1RdEdgHYrZ33LJ7RUHj_h-qkAFL92bcVjtIdVa-UlsCw"", ""Interns!M:M""), 
   ""Not Found"")"),"Contacted")</f>
        <v>Contacted</v>
      </c>
      <c r="AL955" s="23" t="str">
        <f>IFERROR(__xludf.DUMMYFUNCTION("XLOOKUP(C955, 
   IMPORTRANGE(""1RdEdgHYrZ33LJ7RUHj_h-qkAFL92bcVjtIdVa-UlsCw"", ""Interns!D:D""), 
   IMPORTRANGE(""1RdEdgHYrZ33LJ7RUHj_h-qkAFL92bcVjtIdVa-UlsCw"", ""Interns!N:N""), 
   ""Not Found"")"),"#Cheers4Careers")</f>
        <v>#Cheers4Careers</v>
      </c>
      <c r="AM955" s="23" t="str">
        <f>IFERROR(__xludf.DUMMYFUNCTION("XLOOKUP(C955, 
   IMPORTRANGE(""1RdEdgHYrZ33LJ7RUHj_h-qkAFL92bcVjtIdVa-UlsCw"", ""Interns!D:D""), 
   IMPORTRANGE(""1RdEdgHYrZ33LJ7RUHj_h-qkAFL92bcVjtIdVa-UlsCw"", ""Interns!O:O""), 
   ""Not Found"")"),"Hetal reached out March 27 for March #Cheers4 Careers and texted")</f>
        <v>Hetal reached out March 27 for March #Cheers4 Careers and texted</v>
      </c>
      <c r="AN955" s="23"/>
      <c r="AO955" s="23" t="s">
        <v>11326</v>
      </c>
      <c r="AP955" s="28" t="s">
        <v>5182</v>
      </c>
      <c r="AQ955" s="28" t="s">
        <v>11327</v>
      </c>
      <c r="AR955" s="23" t="s">
        <v>11328</v>
      </c>
      <c r="AS955" s="23"/>
      <c r="AT955" s="23"/>
      <c r="AU955" s="23"/>
      <c r="AV955" s="23"/>
    </row>
    <row r="956">
      <c r="A956" s="28" t="s">
        <v>5161</v>
      </c>
      <c r="B956" s="28" t="s">
        <v>5162</v>
      </c>
      <c r="C956" s="23" t="str">
        <f t="shared" si="1"/>
        <v>Brianna Mcleod</v>
      </c>
      <c r="D956" s="28" t="s">
        <v>5354</v>
      </c>
      <c r="E956" s="28" t="s">
        <v>11329</v>
      </c>
      <c r="F956" s="23">
        <f t="array" ref="F956">IFERROR(
    INDEX('Hub Interns 226'!A:A, MATCH(C956, 'Hub Interns 226'!B:B, 0)),"")</f>
        <v>317</v>
      </c>
      <c r="G956" s="23">
        <f t="array" ref="G956">IFERROR(
    INDEX('Hub Users 226'!A:A, MATCH(C956, 'Hub Users 226'!B:B, 0)),"")</f>
        <v>750</v>
      </c>
      <c r="H956" s="28">
        <v>416.0</v>
      </c>
      <c r="I956" s="28" t="s">
        <v>290</v>
      </c>
      <c r="J956" s="28" t="s">
        <v>3791</v>
      </c>
      <c r="K956" s="28" t="s">
        <v>5177</v>
      </c>
      <c r="L956" s="28" t="s">
        <v>5196</v>
      </c>
      <c r="M956" s="56" t="s">
        <v>11330</v>
      </c>
      <c r="N956" s="57">
        <v>44312.56875</v>
      </c>
      <c r="O956" s="58">
        <v>38046.0</v>
      </c>
      <c r="P956" s="28">
        <f t="shared" si="26"/>
        <v>22</v>
      </c>
      <c r="Q956" s="28" t="s">
        <v>240</v>
      </c>
      <c r="R956" s="28" t="s">
        <v>11331</v>
      </c>
      <c r="S956" s="28">
        <v>5.0</v>
      </c>
      <c r="T956" s="28">
        <v>10.0</v>
      </c>
      <c r="U956" s="28">
        <v>31.0</v>
      </c>
      <c r="V956" s="28">
        <v>31.0</v>
      </c>
      <c r="W956" s="28" t="s">
        <v>1173</v>
      </c>
      <c r="X956" s="28" t="s">
        <v>272</v>
      </c>
      <c r="Y956" s="28">
        <v>5.16309579E9</v>
      </c>
      <c r="Z956" s="28" t="s">
        <v>5332</v>
      </c>
      <c r="AA956" s="28" t="s">
        <v>421</v>
      </c>
      <c r="AB956" s="28">
        <v>31.0</v>
      </c>
      <c r="AC956" s="28" t="s">
        <v>24</v>
      </c>
      <c r="AD956" s="23"/>
      <c r="AE956" s="28" t="s">
        <v>8</v>
      </c>
      <c r="AF956" s="23"/>
      <c r="AG956" s="23"/>
      <c r="AH956" s="23" t="str">
        <f>IFERROR(__xludf.DUMMYFUNCTION("IF(
ISNUMBER(MATCH(
C956,
IMPORTRANGE(""https://docs.google.com/spreadsheets/d/1yTh1ELC33JHYOeEdgIiEclxPRyh0zOKtlawDltfUay8"",""'Interns'!A:A""),
0
)),
""Outreach Conducted"",
"""")"),"")</f>
        <v/>
      </c>
      <c r="AI956" s="23"/>
      <c r="AJ956" s="23"/>
      <c r="AK956" s="23" t="str">
        <f>IFERROR(__xludf.DUMMYFUNCTION("XLOOKUP(C956, 
   IMPORTRANGE(""1RdEdgHYrZ33LJ7RUHj_h-qkAFL92bcVjtIdVa-UlsCw"", ""Interns!D:D""), 
   IMPORTRANGE(""1RdEdgHYrZ33LJ7RUHj_h-qkAFL92bcVjtIdVa-UlsCw"", ""Interns!M:M""), 
   ""Not Found"")"),"Contacted")</f>
        <v>Contacted</v>
      </c>
      <c r="AL956" s="23" t="str">
        <f>IFERROR(__xludf.DUMMYFUNCTION("XLOOKUP(C956, 
   IMPORTRANGE(""1RdEdgHYrZ33LJ7RUHj_h-qkAFL92bcVjtIdVa-UlsCw"", ""Interns!D:D""), 
   IMPORTRANGE(""1RdEdgHYrZ33LJ7RUHj_h-qkAFL92bcVjtIdVa-UlsCw"", ""Interns!N:N""), 
   ""Not Found"")"),"#Cheers4Careers")</f>
        <v>#Cheers4Careers</v>
      </c>
      <c r="AM956" s="23" t="str">
        <f>IFERROR(__xludf.DUMMYFUNCTION("XLOOKUP(C956, 
   IMPORTRANGE(""1RdEdgHYrZ33LJ7RUHj_h-qkAFL92bcVjtIdVa-UlsCw"", ""Interns!D:D""), 
   IMPORTRANGE(""1RdEdgHYrZ33LJ7RUHj_h-qkAFL92bcVjtIdVa-UlsCw"", ""Interns!O:O""), 
   ""Not Found"")"),"Hetal reached out March 27 for March #Cheers4 Careers and texted")</f>
        <v>Hetal reached out March 27 for March #Cheers4 Careers and texted</v>
      </c>
      <c r="AN956" s="23"/>
      <c r="AO956" s="23" t="s">
        <v>11332</v>
      </c>
      <c r="AP956" s="28" t="s">
        <v>5191</v>
      </c>
      <c r="AQ956" s="28"/>
      <c r="AR956" s="23"/>
      <c r="AS956" s="23"/>
      <c r="AT956" s="23"/>
      <c r="AU956" s="23"/>
      <c r="AV956" s="23"/>
    </row>
    <row r="957">
      <c r="A957" s="28" t="s">
        <v>5161</v>
      </c>
      <c r="B957" s="28" t="s">
        <v>5162</v>
      </c>
      <c r="C957" s="23" t="str">
        <f t="shared" si="1"/>
        <v>Malik Blake</v>
      </c>
      <c r="D957" s="28" t="s">
        <v>3020</v>
      </c>
      <c r="E957" s="28" t="s">
        <v>11333</v>
      </c>
      <c r="F957" s="23">
        <f t="array" ref="F957">IFERROR(
    INDEX('Hub Interns 226'!A:A, MATCH(C957, 'Hub Interns 226'!B:B, 0)),"")</f>
        <v>826</v>
      </c>
      <c r="G957" s="23">
        <f t="array" ref="G957">IFERROR(
    INDEX('Hub Users 226'!A:A, MATCH(C957, 'Hub Users 226'!B:B, 0)),"")</f>
        <v>1259</v>
      </c>
      <c r="H957" s="28">
        <v>1355.0</v>
      </c>
      <c r="I957" s="28" t="s">
        <v>269</v>
      </c>
      <c r="J957" s="28" t="s">
        <v>3791</v>
      </c>
      <c r="K957" s="28" t="s">
        <v>5177</v>
      </c>
      <c r="L957" s="28" t="s">
        <v>5165</v>
      </c>
      <c r="M957" s="56" t="s">
        <v>11334</v>
      </c>
      <c r="N957" s="59">
        <v>44859.49166666667</v>
      </c>
      <c r="O957" s="58">
        <v>39605.0</v>
      </c>
      <c r="P957" s="28">
        <f t="shared" si="26"/>
        <v>17</v>
      </c>
      <c r="Q957" s="28" t="s">
        <v>240</v>
      </c>
      <c r="R957" s="28" t="s">
        <v>11335</v>
      </c>
      <c r="S957" s="28"/>
      <c r="T957" s="28"/>
      <c r="U957" s="28"/>
      <c r="V957" s="28"/>
      <c r="W957" s="28" t="s">
        <v>1173</v>
      </c>
      <c r="X957" s="28" t="s">
        <v>272</v>
      </c>
      <c r="Y957" s="28" t="s">
        <v>11336</v>
      </c>
      <c r="Z957" s="28" t="s">
        <v>5332</v>
      </c>
      <c r="AA957" s="28" t="s">
        <v>421</v>
      </c>
      <c r="AB957" s="28">
        <v>31.0</v>
      </c>
      <c r="AC957" s="28" t="s">
        <v>23</v>
      </c>
      <c r="AD957" s="23"/>
      <c r="AE957" s="28" t="s">
        <v>15</v>
      </c>
      <c r="AF957" s="23"/>
      <c r="AG957" s="23"/>
      <c r="AH957" s="23" t="str">
        <f>IFERROR(__xludf.DUMMYFUNCTION("IF(
ISNUMBER(MATCH(
C957,
IMPORTRANGE(""https://docs.google.com/spreadsheets/d/1yTh1ELC33JHYOeEdgIiEclxPRyh0zOKtlawDltfUay8"",""'Interns'!A:A""),
0
)),
""Outreach Conducted"",
"""")"),"")</f>
        <v/>
      </c>
      <c r="AI957" s="23"/>
      <c r="AJ957" s="23"/>
      <c r="AK957" s="23" t="str">
        <f>IFERROR(__xludf.DUMMYFUNCTION("XLOOKUP(C957, 
   IMPORTRANGE(""1RdEdgHYrZ33LJ7RUHj_h-qkAFL92bcVjtIdVa-UlsCw"", ""Interns!D:D""), 
   IMPORTRANGE(""1RdEdgHYrZ33LJ7RUHj_h-qkAFL92bcVjtIdVa-UlsCw"", ""Interns!M:M""), 
   ""Not Found"")"),"Contacted")</f>
        <v>Contacted</v>
      </c>
      <c r="AL957" s="23" t="str">
        <f>IFERROR(__xludf.DUMMYFUNCTION("XLOOKUP(C957, 
   IMPORTRANGE(""1RdEdgHYrZ33LJ7RUHj_h-qkAFL92bcVjtIdVa-UlsCw"", ""Interns!D:D""), 
   IMPORTRANGE(""1RdEdgHYrZ33LJ7RUHj_h-qkAFL92bcVjtIdVa-UlsCw"", ""Interns!N:N""), 
   ""Not Found"")"),"#Cheers4Careers")</f>
        <v>#Cheers4Careers</v>
      </c>
      <c r="AM957" s="23" t="str">
        <f>IFERROR(__xludf.DUMMYFUNCTION("XLOOKUP(C957, 
   IMPORTRANGE(""1RdEdgHYrZ33LJ7RUHj_h-qkAFL92bcVjtIdVa-UlsCw"", ""Interns!D:D""), 
   IMPORTRANGE(""1RdEdgHYrZ33LJ7RUHj_h-qkAFL92bcVjtIdVa-UlsCw"", ""Interns!O:O""), 
   ""Not Found"")"),"Hetal reached out March 27 for March #Cheers4 Careers ")</f>
        <v>Hetal reached out March 27 for March #Cheers4 Careers </v>
      </c>
      <c r="AN957" s="23"/>
      <c r="AO957" s="23" t="s">
        <v>11337</v>
      </c>
      <c r="AP957" s="28" t="s">
        <v>5182</v>
      </c>
      <c r="AQ957" s="28"/>
      <c r="AR957" s="23"/>
      <c r="AS957" s="23"/>
      <c r="AT957" s="23"/>
      <c r="AU957" s="23"/>
      <c r="AV957" s="23"/>
    </row>
    <row r="958">
      <c r="A958" s="28" t="s">
        <v>5161</v>
      </c>
      <c r="B958" s="28" t="s">
        <v>5162</v>
      </c>
      <c r="C958" s="23" t="str">
        <f t="shared" si="1"/>
        <v>Tiffany McPherson</v>
      </c>
      <c r="D958" s="28" t="s">
        <v>3387</v>
      </c>
      <c r="E958" s="28" t="s">
        <v>11338</v>
      </c>
      <c r="F958" s="23">
        <f t="array" ref="F958">IFERROR(
    INDEX('Hub Interns 226'!A:A, MATCH(C958, 'Hub Interns 226'!B:B, 0)),"")</f>
        <v>1781</v>
      </c>
      <c r="G958" s="23">
        <f t="array" ref="G958">IFERROR(
    INDEX('Hub Users 226'!A:A, MATCH(C958, 'Hub Users 226'!B:B, 0)),"")</f>
        <v>2611</v>
      </c>
      <c r="H958" s="28">
        <v>1640.0</v>
      </c>
      <c r="I958" s="28" t="s">
        <v>290</v>
      </c>
      <c r="J958" s="28" t="s">
        <v>3791</v>
      </c>
      <c r="K958" s="28" t="s">
        <v>5177</v>
      </c>
      <c r="L958" s="28" t="s">
        <v>5196</v>
      </c>
      <c r="M958" s="56" t="s">
        <v>11339</v>
      </c>
      <c r="N958" s="57">
        <v>45116.95694444444</v>
      </c>
      <c r="O958" s="58">
        <v>39437.0</v>
      </c>
      <c r="P958" s="28">
        <f t="shared" si="26"/>
        <v>18</v>
      </c>
      <c r="Q958" s="28" t="s">
        <v>11340</v>
      </c>
      <c r="R958" s="28" t="s">
        <v>11341</v>
      </c>
      <c r="S958" s="28">
        <v>12.0</v>
      </c>
      <c r="T958" s="28">
        <v>28.0</v>
      </c>
      <c r="U958" s="28">
        <v>73.0</v>
      </c>
      <c r="V958" s="28">
        <v>4.0</v>
      </c>
      <c r="W958" s="28" t="s">
        <v>271</v>
      </c>
      <c r="X958" s="28" t="s">
        <v>272</v>
      </c>
      <c r="Y958" s="28" t="s">
        <v>11342</v>
      </c>
      <c r="Z958" s="28" t="s">
        <v>11343</v>
      </c>
      <c r="AA958" s="28" t="s">
        <v>5639</v>
      </c>
      <c r="AB958" s="23"/>
      <c r="AC958" s="28" t="s">
        <v>27</v>
      </c>
      <c r="AD958" s="23"/>
      <c r="AE958" s="28" t="s">
        <v>18</v>
      </c>
      <c r="AF958" s="23"/>
      <c r="AG958" s="23"/>
      <c r="AH958" s="23" t="str">
        <f>IFERROR(__xludf.DUMMYFUNCTION("IF(
ISNUMBER(MATCH(
C958,
IMPORTRANGE(""https://docs.google.com/spreadsheets/d/1yTh1ELC33JHYOeEdgIiEclxPRyh0zOKtlawDltfUay8"",""'Interns'!A:A""),
0
)),
""Outreach Conducted"",
"""")"),"")</f>
        <v/>
      </c>
      <c r="AI958" s="23"/>
      <c r="AJ958" s="23"/>
      <c r="AK958" s="23" t="str">
        <f>IFERROR(__xludf.DUMMYFUNCTION("XLOOKUP(C958, 
   IMPORTRANGE(""1RdEdgHYrZ33LJ7RUHj_h-qkAFL92bcVjtIdVa-UlsCw"", ""Interns!D:D""), 
   IMPORTRANGE(""1RdEdgHYrZ33LJ7RUHj_h-qkAFL92bcVjtIdVa-UlsCw"", ""Interns!M:M""), 
   ""Not Found"")"),"Contacted")</f>
        <v>Contacted</v>
      </c>
      <c r="AL958" s="23" t="str">
        <f>IFERROR(__xludf.DUMMYFUNCTION("XLOOKUP(C958, 
   IMPORTRANGE(""1RdEdgHYrZ33LJ7RUHj_h-qkAFL92bcVjtIdVa-UlsCw"", ""Interns!D:D""), 
   IMPORTRANGE(""1RdEdgHYrZ33LJ7RUHj_h-qkAFL92bcVjtIdVa-UlsCw"", ""Interns!N:N""), 
   ""Not Found"")"),"#Cheers4Careers")</f>
        <v>#Cheers4Careers</v>
      </c>
      <c r="AM958" s="23" t="str">
        <f>IFERROR(__xludf.DUMMYFUNCTION("XLOOKUP(C958, 
   IMPORTRANGE(""1RdEdgHYrZ33LJ7RUHj_h-qkAFL92bcVjtIdVa-UlsCw"", ""Interns!D:D""), 
   IMPORTRANGE(""1RdEdgHYrZ33LJ7RUHj_h-qkAFL92bcVjtIdVa-UlsCw"", ""Interns!O:O""), 
   ""Not Found"")"),"Hetal reached out by text 3/27 for #Cheers4Careers")</f>
        <v>Hetal reached out by text 3/27 for #Cheers4Careers</v>
      </c>
      <c r="AN958" s="23"/>
      <c r="AO958" s="23" t="s">
        <v>11344</v>
      </c>
      <c r="AP958" s="28" t="s">
        <v>5182</v>
      </c>
      <c r="AQ958" s="28" t="s">
        <v>11345</v>
      </c>
      <c r="AR958" s="23">
        <v>5.169950063E9</v>
      </c>
      <c r="AS958" s="23"/>
      <c r="AT958" s="23"/>
      <c r="AU958" s="23"/>
      <c r="AV958" s="23"/>
    </row>
    <row r="959">
      <c r="A959" s="28" t="s">
        <v>5202</v>
      </c>
      <c r="B959" s="28" t="s">
        <v>5162</v>
      </c>
      <c r="C959" s="23" t="str">
        <f t="shared" si="1"/>
        <v>Leandro Chavez</v>
      </c>
      <c r="D959" s="28" t="s">
        <v>11346</v>
      </c>
      <c r="E959" s="28" t="s">
        <v>11347</v>
      </c>
      <c r="F959" s="23">
        <f t="array" ref="F959">IFERROR(
    INDEX('Hub Interns 226'!A:A, MATCH(C959, 'Hub Interns 226'!B:B, 0)),"")</f>
        <v>763</v>
      </c>
      <c r="G959" s="23">
        <f t="array" ref="G959">IFERROR(
    INDEX('Hub Users 226'!A:A, MATCH(C959, 'Hub Users 226'!B:B, 0)),"")</f>
        <v>1196</v>
      </c>
      <c r="H959" s="28">
        <v>1226.0</v>
      </c>
      <c r="I959" s="28" t="s">
        <v>538</v>
      </c>
      <c r="J959" s="28" t="s">
        <v>11105</v>
      </c>
      <c r="K959" s="28" t="s">
        <v>5177</v>
      </c>
      <c r="L959" s="28" t="s">
        <v>5165</v>
      </c>
      <c r="M959" s="56" t="s">
        <v>11348</v>
      </c>
      <c r="N959" s="57">
        <v>44838.44027777778</v>
      </c>
      <c r="O959" s="58">
        <v>38692.0</v>
      </c>
      <c r="P959" s="28">
        <f t="shared" si="26"/>
        <v>20</v>
      </c>
      <c r="Q959" s="28" t="s">
        <v>240</v>
      </c>
      <c r="R959" s="28" t="s">
        <v>11349</v>
      </c>
      <c r="S959" s="28">
        <v>13.0</v>
      </c>
      <c r="T959" s="28">
        <v>30.0</v>
      </c>
      <c r="U959" s="28">
        <v>71.0</v>
      </c>
      <c r="V959" s="28">
        <v>9.0</v>
      </c>
      <c r="W959" s="28" t="s">
        <v>271</v>
      </c>
      <c r="X959" s="28" t="s">
        <v>272</v>
      </c>
      <c r="Y959" s="28" t="s">
        <v>11350</v>
      </c>
      <c r="Z959" s="28" t="s">
        <v>5341</v>
      </c>
      <c r="AA959" s="28" t="s">
        <v>1085</v>
      </c>
      <c r="AB959" s="28">
        <v>10.0</v>
      </c>
      <c r="AC959" s="28" t="s">
        <v>23</v>
      </c>
      <c r="AD959" s="23"/>
      <c r="AE959" s="28" t="s">
        <v>15</v>
      </c>
      <c r="AF959" s="23"/>
      <c r="AG959" s="23"/>
      <c r="AH959" s="23" t="str">
        <f>IFERROR(__xludf.DUMMYFUNCTION("IF(
ISNUMBER(MATCH(
C959,
IMPORTRANGE(""https://docs.google.com/spreadsheets/d/1yTh1ELC33JHYOeEdgIiEclxPRyh0zOKtlawDltfUay8"",""'Interns'!A:A""),
0
)),
""Outreach Conducted"",
"""")"),"")</f>
        <v/>
      </c>
      <c r="AI959" s="23"/>
      <c r="AJ959" s="23"/>
      <c r="AK959" s="23" t="str">
        <f>IFERROR(__xludf.DUMMYFUNCTION("XLOOKUP(C959, 
   IMPORTRANGE(""1RdEdgHYrZ33LJ7RUHj_h-qkAFL92bcVjtIdVa-UlsCw"", ""Interns!D:D""), 
   IMPORTRANGE(""1RdEdgHYrZ33LJ7RUHj_h-qkAFL92bcVjtIdVa-UlsCw"", ""Interns!M:M""), 
   ""Not Found"")"),"")</f>
        <v/>
      </c>
      <c r="AL959" s="23" t="str">
        <f>IFERROR(__xludf.DUMMYFUNCTION("XLOOKUP(C959, 
   IMPORTRANGE(""1RdEdgHYrZ33LJ7RUHj_h-qkAFL92bcVjtIdVa-UlsCw"", ""Interns!D:D""), 
   IMPORTRANGE(""1RdEdgHYrZ33LJ7RUHj_h-qkAFL92bcVjtIdVa-UlsCw"", ""Interns!N:N""), 
   ""Not Found"")"),"")</f>
        <v/>
      </c>
      <c r="AM959" s="23" t="str">
        <f>IFERROR(__xludf.DUMMYFUNCTION("XLOOKUP(C959, 
   IMPORTRANGE(""1RdEdgHYrZ33LJ7RUHj_h-qkAFL92bcVjtIdVa-UlsCw"", ""Interns!D:D""), 
   IMPORTRANGE(""1RdEdgHYrZ33LJ7RUHj_h-qkAFL92bcVjtIdVa-UlsCw"", ""Interns!O:O""), 
   ""Not Found"")"),"")</f>
        <v/>
      </c>
      <c r="AN959" s="23"/>
      <c r="AO959" s="23" t="s">
        <v>11351</v>
      </c>
      <c r="AP959" s="28" t="s">
        <v>5182</v>
      </c>
      <c r="AQ959" s="28" t="s">
        <v>11348</v>
      </c>
      <c r="AR959" s="23" t="s">
        <v>11352</v>
      </c>
      <c r="AS959" s="23"/>
      <c r="AT959" s="23"/>
      <c r="AU959" s="23"/>
      <c r="AV959" s="23"/>
    </row>
    <row r="960">
      <c r="A960" s="28" t="s">
        <v>5161</v>
      </c>
      <c r="B960" s="28" t="s">
        <v>5162</v>
      </c>
      <c r="C960" s="23" t="str">
        <f t="shared" si="1"/>
        <v>Natala Reid-Small</v>
      </c>
      <c r="D960" s="28" t="s">
        <v>11353</v>
      </c>
      <c r="E960" s="28" t="s">
        <v>11354</v>
      </c>
      <c r="F960" s="23" t="str">
        <f t="array" ref="F960">IFERROR(
    INDEX('Hub Interns 226'!A:A, MATCH(C960, 'Hub Interns 226'!B:B, 0)),"")</f>
        <v/>
      </c>
      <c r="G960" s="23" t="str">
        <f t="array" ref="G960">IFERROR(
    INDEX('Hub Users 226'!A:A, MATCH(C960, 'Hub Users 226'!B:B, 0)),"")</f>
        <v/>
      </c>
      <c r="H960" s="28">
        <v>17.0</v>
      </c>
      <c r="I960" s="28" t="s">
        <v>239</v>
      </c>
      <c r="J960" s="28" t="s">
        <v>3791</v>
      </c>
      <c r="K960" s="28" t="s">
        <v>5177</v>
      </c>
      <c r="L960" s="28" t="s">
        <v>5196</v>
      </c>
      <c r="M960" s="23"/>
      <c r="N960" s="57">
        <v>43741.63055555556</v>
      </c>
      <c r="O960" s="58"/>
      <c r="P960" s="28"/>
      <c r="Q960" s="28" t="s">
        <v>240</v>
      </c>
      <c r="R960" s="23"/>
      <c r="S960" s="28"/>
      <c r="T960" s="28"/>
      <c r="U960" s="28"/>
      <c r="V960" s="28"/>
      <c r="W960" s="28" t="s">
        <v>294</v>
      </c>
      <c r="X960" s="28" t="s">
        <v>272</v>
      </c>
      <c r="Y960" s="28">
        <v>7.188566182E9</v>
      </c>
      <c r="Z960" s="28" t="s">
        <v>10736</v>
      </c>
      <c r="AA960" s="28" t="s">
        <v>10736</v>
      </c>
      <c r="AB960" s="28">
        <v>35.0</v>
      </c>
      <c r="AC960" s="28" t="s">
        <v>25</v>
      </c>
      <c r="AD960" s="23"/>
      <c r="AE960" s="28" t="s">
        <v>4</v>
      </c>
      <c r="AF960" s="23" t="str">
        <f>IFERROR(__xludf.DUMMYFUNCTION("TEXTJOIN("", "", TRUE,
  FILTER(Champions!C:C,
    ISNUMBER(SEARCH(C960, Champions!W:W))
  )
)"),"Monique Rochell Anderson")</f>
        <v>Monique Rochell Anderson</v>
      </c>
      <c r="AG960" s="23"/>
      <c r="AH960" s="23" t="str">
        <f>IFERROR(__xludf.DUMMYFUNCTION("IF(
ISNUMBER(MATCH(
C960,
IMPORTRANGE(""https://docs.google.com/spreadsheets/d/1yTh1ELC33JHYOeEdgIiEclxPRyh0zOKtlawDltfUay8"",""'Interns'!A:A""),
0
)),
""Outreach Conducted"",
"""")"),"")</f>
        <v/>
      </c>
      <c r="AI960" s="23"/>
      <c r="AJ960" s="23"/>
      <c r="AK960" s="23" t="str">
        <f>IFERROR(__xludf.DUMMYFUNCTION("XLOOKUP(C960, 
   IMPORTRANGE(""1RdEdgHYrZ33LJ7RUHj_h-qkAFL92bcVjtIdVa-UlsCw"", ""Interns!D:D""), 
   IMPORTRANGE(""1RdEdgHYrZ33LJ7RUHj_h-qkAFL92bcVjtIdVa-UlsCw"", ""Interns!M:M""), 
   ""Not Found"")"),"Contacted")</f>
        <v>Contacted</v>
      </c>
      <c r="AL960" s="23" t="str">
        <f>IFERROR(__xludf.DUMMYFUNCTION("XLOOKUP(C960, 
   IMPORTRANGE(""1RdEdgHYrZ33LJ7RUHj_h-qkAFL92bcVjtIdVa-UlsCw"", ""Interns!D:D""), 
   IMPORTRANGE(""1RdEdgHYrZ33LJ7RUHj_h-qkAFL92bcVjtIdVa-UlsCw"", ""Interns!N:N""), 
   ""Not Found"")"),"#Cheers4Careers")</f>
        <v>#Cheers4Careers</v>
      </c>
      <c r="AM960" s="23" t="str">
        <f>IFERROR(__xludf.DUMMYFUNCTION("XLOOKUP(C960, 
   IMPORTRANGE(""1RdEdgHYrZ33LJ7RUHj_h-qkAFL92bcVjtIdVa-UlsCw"", ""Interns!D:D""), 
   IMPORTRANGE(""1RdEdgHYrZ33LJ7RUHj_h-qkAFL92bcVjtIdVa-UlsCw"", ""Interns!O:O""), 
   ""Not Found"")"),"Hetal reached out by email 3/27")</f>
        <v>Hetal reached out by email 3/27</v>
      </c>
      <c r="AN960" s="23"/>
      <c r="AO960" s="23" t="s">
        <v>11355</v>
      </c>
      <c r="AP960" s="28" t="s">
        <v>5182</v>
      </c>
      <c r="AQ960" s="28" t="s">
        <v>11355</v>
      </c>
      <c r="AR960" s="23">
        <v>3.472766687E9</v>
      </c>
      <c r="AS960" s="23"/>
      <c r="AT960" s="23"/>
      <c r="AU960" s="23"/>
      <c r="AV960" s="23"/>
    </row>
    <row r="961">
      <c r="A961" s="28" t="s">
        <v>5161</v>
      </c>
      <c r="B961" s="28" t="s">
        <v>5162</v>
      </c>
      <c r="C961" s="23" t="str">
        <f t="shared" si="1"/>
        <v>Dejahn Gordon</v>
      </c>
      <c r="D961" s="28" t="s">
        <v>11356</v>
      </c>
      <c r="E961" s="28" t="s">
        <v>1478</v>
      </c>
      <c r="F961" s="23">
        <f t="array" ref="F961">IFERROR(
    INDEX('Hub Interns 226'!A:A, MATCH(C961, 'Hub Interns 226'!B:B, 0)),"")</f>
        <v>428</v>
      </c>
      <c r="G961" s="23">
        <f t="array" ref="G961">IFERROR(
    INDEX('Hub Users 226'!A:A, MATCH(C961, 'Hub Users 226'!B:B, 0)),"")</f>
        <v>861</v>
      </c>
      <c r="H961" s="28">
        <v>1356.0</v>
      </c>
      <c r="I961" s="28" t="s">
        <v>239</v>
      </c>
      <c r="J961" s="28" t="s">
        <v>3791</v>
      </c>
      <c r="K961" s="28" t="s">
        <v>5177</v>
      </c>
      <c r="L961" s="28" t="s">
        <v>5165</v>
      </c>
      <c r="M961" s="56" t="s">
        <v>11357</v>
      </c>
      <c r="N961" s="59">
        <v>44859.60138888889</v>
      </c>
      <c r="O961" s="58">
        <v>39458.0</v>
      </c>
      <c r="P961" s="28">
        <f t="shared" ref="P961:P975" si="27">DATEDIF(O961, TODAY(), "Y")</f>
        <v>18</v>
      </c>
      <c r="Q961" s="28" t="s">
        <v>240</v>
      </c>
      <c r="R961" s="28" t="s">
        <v>11358</v>
      </c>
      <c r="S961" s="28">
        <v>5.0</v>
      </c>
      <c r="T961" s="28">
        <v>14.0</v>
      </c>
      <c r="U961" s="28">
        <v>29.0</v>
      </c>
      <c r="V961" s="28">
        <v>31.0</v>
      </c>
      <c r="W961" s="28" t="s">
        <v>1173</v>
      </c>
      <c r="X961" s="28" t="s">
        <v>272</v>
      </c>
      <c r="Y961" s="28" t="s">
        <v>11359</v>
      </c>
      <c r="Z961" s="28" t="s">
        <v>5332</v>
      </c>
      <c r="AA961" s="28" t="s">
        <v>421</v>
      </c>
      <c r="AB961" s="28">
        <v>31.0</v>
      </c>
      <c r="AC961" s="28" t="s">
        <v>23</v>
      </c>
      <c r="AD961" s="23"/>
      <c r="AE961" s="28" t="s">
        <v>15</v>
      </c>
      <c r="AF961" s="23"/>
      <c r="AG961" s="23"/>
      <c r="AH961" s="23" t="str">
        <f>IFERROR(__xludf.DUMMYFUNCTION("IF(
ISNUMBER(MATCH(
C961,
IMPORTRANGE(""https://docs.google.com/spreadsheets/d/1yTh1ELC33JHYOeEdgIiEclxPRyh0zOKtlawDltfUay8"",""'Interns'!A:A""),
0
)),
""Outreach Conducted"",
"""")"),"")</f>
        <v/>
      </c>
      <c r="AI961" s="23"/>
      <c r="AJ961" s="23"/>
      <c r="AK961" s="23" t="str">
        <f>IFERROR(__xludf.DUMMYFUNCTION("XLOOKUP(C961, 
   IMPORTRANGE(""1RdEdgHYrZ33LJ7RUHj_h-qkAFL92bcVjtIdVa-UlsCw"", ""Interns!D:D""), 
   IMPORTRANGE(""1RdEdgHYrZ33LJ7RUHj_h-qkAFL92bcVjtIdVa-UlsCw"", ""Interns!M:M""), 
   ""Not Found"")"),"Contacted")</f>
        <v>Contacted</v>
      </c>
      <c r="AL961" s="23" t="str">
        <f>IFERROR(__xludf.DUMMYFUNCTION("XLOOKUP(C961, 
   IMPORTRANGE(""1RdEdgHYrZ33LJ7RUHj_h-qkAFL92bcVjtIdVa-UlsCw"", ""Interns!D:D""), 
   IMPORTRANGE(""1RdEdgHYrZ33LJ7RUHj_h-qkAFL92bcVjtIdVa-UlsCw"", ""Interns!N:N""), 
   ""Not Found"")"),"#Cheers4Careers")</f>
        <v>#Cheers4Careers</v>
      </c>
      <c r="AM961" s="23" t="str">
        <f>IFERROR(__xludf.DUMMYFUNCTION("XLOOKUP(C961, 
   IMPORTRANGE(""1RdEdgHYrZ33LJ7RUHj_h-qkAFL92bcVjtIdVa-UlsCw"", ""Interns!D:D""), 
   IMPORTRANGE(""1RdEdgHYrZ33LJ7RUHj_h-qkAFL92bcVjtIdVa-UlsCw"", ""Interns!O:O""), 
   ""Not Found"")"),"Hetal reached out March 27 for March #Cheers4 Careers ")</f>
        <v>Hetal reached out March 27 for March #Cheers4 Careers </v>
      </c>
      <c r="AN961" s="23"/>
      <c r="AO961" s="23" t="s">
        <v>11360</v>
      </c>
      <c r="AP961" s="28" t="s">
        <v>5182</v>
      </c>
      <c r="AQ961" s="28"/>
      <c r="AR961" s="23"/>
      <c r="AS961" s="23"/>
      <c r="AT961" s="23"/>
      <c r="AU961" s="23"/>
      <c r="AV961" s="23"/>
    </row>
    <row r="962">
      <c r="A962" s="28" t="s">
        <v>5161</v>
      </c>
      <c r="B962" s="28" t="s">
        <v>5162</v>
      </c>
      <c r="C962" s="23" t="str">
        <f t="shared" si="1"/>
        <v>Zuura Ramazanova</v>
      </c>
      <c r="D962" s="28" t="s">
        <v>11361</v>
      </c>
      <c r="E962" s="28" t="s">
        <v>11362</v>
      </c>
      <c r="F962" s="23">
        <f t="array" ref="F962">IFERROR(
    INDEX('Hub Interns 226'!A:A, MATCH(C962, 'Hub Interns 226'!B:B, 0)),"")</f>
        <v>1264</v>
      </c>
      <c r="G962" s="23">
        <f t="array" ref="G962">IFERROR(
    INDEX('Hub Users 226'!A:A, MATCH(C962, 'Hub Users 226'!B:B, 0)),"")</f>
        <v>1697</v>
      </c>
      <c r="H962" s="28">
        <v>245.0</v>
      </c>
      <c r="I962" s="28" t="s">
        <v>260</v>
      </c>
      <c r="J962" s="28" t="s">
        <v>11363</v>
      </c>
      <c r="K962" s="28" t="s">
        <v>5186</v>
      </c>
      <c r="L962" s="28" t="s">
        <v>5196</v>
      </c>
      <c r="M962" s="56" t="s">
        <v>11364</v>
      </c>
      <c r="N962" s="59">
        <v>44134.504166666666</v>
      </c>
      <c r="O962" s="58">
        <v>37530.0</v>
      </c>
      <c r="P962" s="28">
        <f t="shared" si="27"/>
        <v>23</v>
      </c>
      <c r="Q962" s="28" t="s">
        <v>11365</v>
      </c>
      <c r="R962" s="28" t="s">
        <v>11366</v>
      </c>
      <c r="S962" s="28"/>
      <c r="T962" s="28"/>
      <c r="U962" s="28"/>
      <c r="V962" s="28"/>
      <c r="W962" s="28" t="s">
        <v>380</v>
      </c>
      <c r="X962" s="28" t="s">
        <v>381</v>
      </c>
      <c r="Y962" s="28">
        <v>2.157154966E9</v>
      </c>
      <c r="Z962" s="28" t="s">
        <v>5272</v>
      </c>
      <c r="AA962" s="28" t="s">
        <v>629</v>
      </c>
      <c r="AB962" s="28" t="s">
        <v>5221</v>
      </c>
      <c r="AC962" s="28" t="s">
        <v>25</v>
      </c>
      <c r="AD962" s="28" t="s">
        <v>101</v>
      </c>
      <c r="AE962" s="28" t="s">
        <v>8</v>
      </c>
      <c r="AF962" s="23" t="str">
        <f>IFERROR(__xludf.DUMMYFUNCTION("TEXTJOIN("", "", TRUE,
  FILTER(Champions!C:C,
    ISNUMBER(SEARCH(C962, Champions!W:W))
  )
)"),"Abigail Mawhirter, Divya Jani, Tatiana Nechaeva")</f>
        <v>Abigail Mawhirter, Divya Jani, Tatiana Nechaeva</v>
      </c>
      <c r="AG962" s="26" t="s">
        <v>10607</v>
      </c>
      <c r="AH962" s="23" t="str">
        <f>IFERROR(__xludf.DUMMYFUNCTION("IF(
ISNUMBER(MATCH(
C962,
IMPORTRANGE(""https://docs.google.com/spreadsheets/d/1yTh1ELC33JHYOeEdgIiEclxPRyh0zOKtlawDltfUay8"",""'Interns'!A:A""),
0
)),
""Outreach Conducted"",
"""")"),"")</f>
        <v/>
      </c>
      <c r="AI962" s="23"/>
      <c r="AJ962" s="23"/>
      <c r="AK962" s="23" t="str">
        <f>IFERROR(__xludf.DUMMYFUNCTION("XLOOKUP(C962, 
   IMPORTRANGE(""1RdEdgHYrZ33LJ7RUHj_h-qkAFL92bcVjtIdVa-UlsCw"", ""Interns!D:D""), 
   IMPORTRANGE(""1RdEdgHYrZ33LJ7RUHj_h-qkAFL92bcVjtIdVa-UlsCw"", ""Interns!M:M""), 
   ""Not Found"")"),"")</f>
        <v/>
      </c>
      <c r="AL962" s="23" t="str">
        <f>IFERROR(__xludf.DUMMYFUNCTION("XLOOKUP(C962, 
   IMPORTRANGE(""1RdEdgHYrZ33LJ7RUHj_h-qkAFL92bcVjtIdVa-UlsCw"", ""Interns!D:D""), 
   IMPORTRANGE(""1RdEdgHYrZ33LJ7RUHj_h-qkAFL92bcVjtIdVa-UlsCw"", ""Interns!N:N""), 
   ""Not Found"")"),"")</f>
        <v/>
      </c>
      <c r="AM962" s="23" t="str">
        <f>IFERROR(__xludf.DUMMYFUNCTION("XLOOKUP(C962, 
   IMPORTRANGE(""1RdEdgHYrZ33LJ7RUHj_h-qkAFL92bcVjtIdVa-UlsCw"", ""Interns!D:D""), 
   IMPORTRANGE(""1RdEdgHYrZ33LJ7RUHj_h-qkAFL92bcVjtIdVa-UlsCw"", ""Interns!O:O""), 
   ""Not Found"")"),"")</f>
        <v/>
      </c>
      <c r="AN962" s="23"/>
      <c r="AO962" s="23"/>
      <c r="AP962" s="28" t="s">
        <v>5641</v>
      </c>
      <c r="AQ962" s="28" t="s">
        <v>11367</v>
      </c>
      <c r="AR962" s="23">
        <v>2.676904447E9</v>
      </c>
      <c r="AS962" s="23"/>
      <c r="AT962" s="23"/>
      <c r="AU962" s="23"/>
      <c r="AV962" s="23"/>
    </row>
    <row r="963">
      <c r="A963" s="28" t="s">
        <v>5161</v>
      </c>
      <c r="B963" s="28" t="s">
        <v>5162</v>
      </c>
      <c r="C963" s="23" t="str">
        <f t="shared" si="1"/>
        <v>Nazim Bolotbekova</v>
      </c>
      <c r="D963" s="28" t="s">
        <v>11368</v>
      </c>
      <c r="E963" s="28" t="s">
        <v>11369</v>
      </c>
      <c r="F963" s="23">
        <f t="array" ref="F963">IFERROR(
    INDEX('Hub Interns 226'!A:A, MATCH(C963, 'Hub Interns 226'!B:B, 0)),"")</f>
        <v>305</v>
      </c>
      <c r="G963" s="23">
        <f t="array" ref="G963">IFERROR(
    INDEX('Hub Users 226'!A:A, MATCH(C963, 'Hub Users 226'!B:B, 0)),"")</f>
        <v>738</v>
      </c>
      <c r="H963" s="28">
        <v>257.0</v>
      </c>
      <c r="I963" s="28" t="s">
        <v>290</v>
      </c>
      <c r="J963" s="28" t="s">
        <v>11363</v>
      </c>
      <c r="K963" s="28" t="s">
        <v>5186</v>
      </c>
      <c r="L963" s="28" t="s">
        <v>5196</v>
      </c>
      <c r="M963" s="56" t="s">
        <v>11370</v>
      </c>
      <c r="N963" s="59">
        <v>44175.549305555556</v>
      </c>
      <c r="O963" s="58">
        <v>44039.0</v>
      </c>
      <c r="P963" s="28">
        <f t="shared" si="27"/>
        <v>5</v>
      </c>
      <c r="Q963" s="28" t="s">
        <v>240</v>
      </c>
      <c r="R963" s="28" t="s">
        <v>11371</v>
      </c>
      <c r="S963" s="28"/>
      <c r="T963" s="28"/>
      <c r="U963" s="28"/>
      <c r="V963" s="28"/>
      <c r="W963" s="28" t="s">
        <v>380</v>
      </c>
      <c r="X963" s="28" t="s">
        <v>381</v>
      </c>
      <c r="Y963" s="28">
        <v>2.67212695E9</v>
      </c>
      <c r="Z963" s="28" t="s">
        <v>5272</v>
      </c>
      <c r="AA963" s="28" t="s">
        <v>629</v>
      </c>
      <c r="AB963" s="28" t="s">
        <v>5221</v>
      </c>
      <c r="AC963" s="28" t="s">
        <v>25</v>
      </c>
      <c r="AD963" s="23"/>
      <c r="AE963" s="28" t="s">
        <v>8</v>
      </c>
      <c r="AF963" s="23" t="str">
        <f>IFERROR(__xludf.DUMMYFUNCTION("TEXTJOIN("", "", TRUE,
  FILTER(Champions!C:C,
    ISNUMBER(SEARCH(C963, Champions!W:W))
  )
)"),"Denise Vargas, Leanna Kieran Carroll, Sunkyung Park, Syed Hussain")</f>
        <v>Denise Vargas, Leanna Kieran Carroll, Sunkyung Park, Syed Hussain</v>
      </c>
      <c r="AG963" s="23"/>
      <c r="AH963" s="23" t="str">
        <f>IFERROR(__xludf.DUMMYFUNCTION("IF(
ISNUMBER(MATCH(
C963,
IMPORTRANGE(""https://docs.google.com/spreadsheets/d/1yTh1ELC33JHYOeEdgIiEclxPRyh0zOKtlawDltfUay8"",""'Interns'!A:A""),
0
)),
""Outreach Conducted"",
"""")"),"")</f>
        <v/>
      </c>
      <c r="AI963" s="23"/>
      <c r="AJ963" s="23"/>
      <c r="AK963" s="23" t="str">
        <f>IFERROR(__xludf.DUMMYFUNCTION("XLOOKUP(C963, 
   IMPORTRANGE(""1RdEdgHYrZ33LJ7RUHj_h-qkAFL92bcVjtIdVa-UlsCw"", ""Interns!D:D""), 
   IMPORTRANGE(""1RdEdgHYrZ33LJ7RUHj_h-qkAFL92bcVjtIdVa-UlsCw"", ""Interns!M:M""), 
   ""Not Found"")"),"")</f>
        <v/>
      </c>
      <c r="AL963" s="23" t="str">
        <f>IFERROR(__xludf.DUMMYFUNCTION("XLOOKUP(C963, 
   IMPORTRANGE(""1RdEdgHYrZ33LJ7RUHj_h-qkAFL92bcVjtIdVa-UlsCw"", ""Interns!D:D""), 
   IMPORTRANGE(""1RdEdgHYrZ33LJ7RUHj_h-qkAFL92bcVjtIdVa-UlsCw"", ""Interns!N:N""), 
   ""Not Found"")"),"")</f>
        <v/>
      </c>
      <c r="AM963" s="23" t="str">
        <f>IFERROR(__xludf.DUMMYFUNCTION("XLOOKUP(C963, 
   IMPORTRANGE(""1RdEdgHYrZ33LJ7RUHj_h-qkAFL92bcVjtIdVa-UlsCw"", ""Interns!D:D""), 
   IMPORTRANGE(""1RdEdgHYrZ33LJ7RUHj_h-qkAFL92bcVjtIdVa-UlsCw"", ""Interns!O:O""), 
   ""Not Found"")"),"")</f>
        <v/>
      </c>
      <c r="AN963" s="23"/>
      <c r="AO963" s="23" t="s">
        <v>11372</v>
      </c>
      <c r="AP963" s="28" t="s">
        <v>5182</v>
      </c>
      <c r="AQ963" s="28" t="s">
        <v>11373</v>
      </c>
      <c r="AR963" s="23">
        <v>2.672707217E9</v>
      </c>
      <c r="AS963" s="23"/>
      <c r="AT963" s="23"/>
      <c r="AU963" s="23"/>
      <c r="AV963" s="23"/>
    </row>
    <row r="964">
      <c r="A964" s="28" t="s">
        <v>5161</v>
      </c>
      <c r="B964" s="28" t="s">
        <v>5162</v>
      </c>
      <c r="C964" s="23" t="str">
        <f t="shared" si="1"/>
        <v>Batma Ramazanova</v>
      </c>
      <c r="D964" s="28" t="s">
        <v>11374</v>
      </c>
      <c r="E964" s="28" t="s">
        <v>11362</v>
      </c>
      <c r="F964" s="23" t="str">
        <f t="array" ref="F964">IFERROR(
    INDEX('Hub Interns 226'!A:A, MATCH(C964, 'Hub Interns 226'!B:B, 0)),"")</f>
        <v/>
      </c>
      <c r="G964" s="23">
        <f t="array" ref="G964">IFERROR(
    INDEX('Hub Users 226'!A:A, MATCH(C964, 'Hub Users 226'!B:B, 0)),"")</f>
        <v>722</v>
      </c>
      <c r="H964" s="28">
        <v>249.0</v>
      </c>
      <c r="I964" s="28" t="s">
        <v>260</v>
      </c>
      <c r="J964" s="28" t="s">
        <v>11363</v>
      </c>
      <c r="K964" s="28" t="s">
        <v>5186</v>
      </c>
      <c r="L964" s="28" t="s">
        <v>5196</v>
      </c>
      <c r="M964" s="56" t="s">
        <v>11375</v>
      </c>
      <c r="N964" s="57">
        <v>44144.62291666667</v>
      </c>
      <c r="O964" s="58"/>
      <c r="P964" s="28">
        <f t="shared" si="27"/>
        <v>126</v>
      </c>
      <c r="Q964" s="28" t="s">
        <v>11376</v>
      </c>
      <c r="R964" s="23"/>
      <c r="S964" s="28"/>
      <c r="T964" s="28"/>
      <c r="U964" s="28"/>
      <c r="V964" s="28"/>
      <c r="W964" s="28" t="s">
        <v>380</v>
      </c>
      <c r="X964" s="28" t="s">
        <v>381</v>
      </c>
      <c r="Y964" s="28" t="s">
        <v>11377</v>
      </c>
      <c r="Z964" s="28" t="s">
        <v>5272</v>
      </c>
      <c r="AA964" s="28" t="s">
        <v>629</v>
      </c>
      <c r="AB964" s="28" t="s">
        <v>5221</v>
      </c>
      <c r="AC964" s="28" t="s">
        <v>25</v>
      </c>
      <c r="AD964" s="28" t="s">
        <v>101</v>
      </c>
      <c r="AE964" s="28" t="s">
        <v>8</v>
      </c>
      <c r="AF964" s="23" t="str">
        <f>IFERROR(__xludf.DUMMYFUNCTION("TEXTJOIN("", "", TRUE,
  FILTER(Champions!C:C,
    ISNUMBER(SEARCH(C964, Champions!W:W))
  )
)"),"Abigail Mawhirter, Melody Jia Fang, Tatiana Nechaeva")</f>
        <v>Abigail Mawhirter, Melody Jia Fang, Tatiana Nechaeva</v>
      </c>
      <c r="AG964" s="26" t="s">
        <v>10607</v>
      </c>
      <c r="AH964" s="23" t="str">
        <f>IFERROR(__xludf.DUMMYFUNCTION("IF(
ISNUMBER(MATCH(
C964,
IMPORTRANGE(""https://docs.google.com/spreadsheets/d/1yTh1ELC33JHYOeEdgIiEclxPRyh0zOKtlawDltfUay8"",""'Interns'!A:A""),
0
)),
""Outreach Conducted"",
"""")"),"")</f>
        <v/>
      </c>
      <c r="AI964" s="23"/>
      <c r="AJ964" s="23"/>
      <c r="AK964" s="23" t="str">
        <f>IFERROR(__xludf.DUMMYFUNCTION("XLOOKUP(C964, 
   IMPORTRANGE(""1RdEdgHYrZ33LJ7RUHj_h-qkAFL92bcVjtIdVa-UlsCw"", ""Interns!D:D""), 
   IMPORTRANGE(""1RdEdgHYrZ33LJ7RUHj_h-qkAFL92bcVjtIdVa-UlsCw"", ""Interns!M:M""), 
   ""Not Found"")"),"")</f>
        <v/>
      </c>
      <c r="AL964" s="23" t="str">
        <f>IFERROR(__xludf.DUMMYFUNCTION("XLOOKUP(C964, 
   IMPORTRANGE(""1RdEdgHYrZ33LJ7RUHj_h-qkAFL92bcVjtIdVa-UlsCw"", ""Interns!D:D""), 
   IMPORTRANGE(""1RdEdgHYrZ33LJ7RUHj_h-qkAFL92bcVjtIdVa-UlsCw"", ""Interns!N:N""), 
   ""Not Found"")"),"")</f>
        <v/>
      </c>
      <c r="AM964" s="23" t="str">
        <f>IFERROR(__xludf.DUMMYFUNCTION("XLOOKUP(C964, 
   IMPORTRANGE(""1RdEdgHYrZ33LJ7RUHj_h-qkAFL92bcVjtIdVa-UlsCw"", ""Interns!D:D""), 
   IMPORTRANGE(""1RdEdgHYrZ33LJ7RUHj_h-qkAFL92bcVjtIdVa-UlsCw"", ""Interns!O:O""), 
   ""Not Found"")"),"")</f>
        <v/>
      </c>
      <c r="AN964" s="23"/>
      <c r="AO964" s="23"/>
      <c r="AP964" s="28"/>
      <c r="AQ964" s="28"/>
      <c r="AR964" s="23"/>
      <c r="AS964" s="23"/>
      <c r="AT964" s="23"/>
      <c r="AU964" s="23"/>
      <c r="AV964" s="23"/>
    </row>
    <row r="965">
      <c r="A965" s="28" t="s">
        <v>5161</v>
      </c>
      <c r="B965" s="28" t="s">
        <v>5162</v>
      </c>
      <c r="C965" s="23" t="str">
        <f t="shared" si="1"/>
        <v>Aneeda (Winnie) VONGNORKEO</v>
      </c>
      <c r="D965" s="28" t="s">
        <v>11378</v>
      </c>
      <c r="E965" s="28" t="s">
        <v>11379</v>
      </c>
      <c r="F965" s="23">
        <f t="array" ref="F965">IFERROR(
    INDEX('Hub Interns 226'!A:A, MATCH(C965, 'Hub Interns 226'!B:B, 0)),"")</f>
        <v>1748</v>
      </c>
      <c r="G965" s="23">
        <f t="array" ref="G965">IFERROR(
    INDEX('Hub Users 226'!A:A, MATCH(C965, 'Hub Users 226'!B:B, 0)),"")</f>
        <v>2578</v>
      </c>
      <c r="H965" s="28">
        <v>1779.0</v>
      </c>
      <c r="I965" s="28" t="s">
        <v>407</v>
      </c>
      <c r="J965" s="28" t="s">
        <v>11380</v>
      </c>
      <c r="K965" s="28" t="s">
        <v>5186</v>
      </c>
      <c r="L965" s="28" t="s">
        <v>5196</v>
      </c>
      <c r="M965" s="56" t="s">
        <v>11381</v>
      </c>
      <c r="N965" s="57">
        <v>45312.87847222222</v>
      </c>
      <c r="O965" s="58">
        <v>39321.0</v>
      </c>
      <c r="P965" s="28">
        <f t="shared" si="27"/>
        <v>18</v>
      </c>
      <c r="Q965" s="28" t="s">
        <v>11382</v>
      </c>
      <c r="R965" s="28" t="s">
        <v>11383</v>
      </c>
      <c r="S965" s="28">
        <v>12.0</v>
      </c>
      <c r="T965" s="28">
        <v>28.0</v>
      </c>
      <c r="U965" s="28">
        <v>73.0</v>
      </c>
      <c r="V965" s="28">
        <v>4.0</v>
      </c>
      <c r="W965" s="28" t="s">
        <v>271</v>
      </c>
      <c r="X965" s="28" t="s">
        <v>272</v>
      </c>
      <c r="Y965" s="28" t="s">
        <v>11384</v>
      </c>
      <c r="Z965" s="28" t="s">
        <v>5259</v>
      </c>
      <c r="AA965" s="28" t="s">
        <v>704</v>
      </c>
      <c r="AB965" s="28">
        <v>2.0</v>
      </c>
      <c r="AC965" s="28" t="s">
        <v>25</v>
      </c>
      <c r="AD965" s="23"/>
      <c r="AE965" s="28" t="s">
        <v>18</v>
      </c>
      <c r="AF965" s="23" t="str">
        <f>IFERROR(__xludf.DUMMYFUNCTION("TEXTJOIN("", "", TRUE,
  FILTER(Champions!C:C,
    ISNUMBER(SEARCH(C965, Champions!W:W))
  )
)"),"Diane French, Lady Freire")</f>
        <v>Diane French, Lady Freire</v>
      </c>
      <c r="AG965" s="23"/>
      <c r="AH965" s="23" t="str">
        <f>IFERROR(__xludf.DUMMYFUNCTION("IF(
ISNUMBER(MATCH(
C965,
IMPORTRANGE(""https://docs.google.com/spreadsheets/d/1yTh1ELC33JHYOeEdgIiEclxPRyh0zOKtlawDltfUay8"",""'Interns'!A:A""),
0
)),
""Outreach Conducted"",
"""")"),"")</f>
        <v/>
      </c>
      <c r="AI965" s="23"/>
      <c r="AJ965" s="23"/>
      <c r="AK965" s="23" t="str">
        <f>IFERROR(__xludf.DUMMYFUNCTION("XLOOKUP(C965, 
   IMPORTRANGE(""1RdEdgHYrZ33LJ7RUHj_h-qkAFL92bcVjtIdVa-UlsCw"", ""Interns!D:D""), 
   IMPORTRANGE(""1RdEdgHYrZ33LJ7RUHj_h-qkAFL92bcVjtIdVa-UlsCw"", ""Interns!M:M""), 
   ""Not Found"")"),"Contacted")</f>
        <v>Contacted</v>
      </c>
      <c r="AL965" s="23" t="str">
        <f>IFERROR(__xludf.DUMMYFUNCTION("XLOOKUP(C965, 
   IMPORTRANGE(""1RdEdgHYrZ33LJ7RUHj_h-qkAFL92bcVjtIdVa-UlsCw"", ""Interns!D:D""), 
   IMPORTRANGE(""1RdEdgHYrZ33LJ7RUHj_h-qkAFL92bcVjtIdVa-UlsCw"", ""Interns!N:N""), 
   ""Not Found"")"),"#Cheers4Careers")</f>
        <v>#Cheers4Careers</v>
      </c>
      <c r="AM965" s="23" t="str">
        <f>IFERROR(__xludf.DUMMYFUNCTION("XLOOKUP(C965, 
   IMPORTRANGE(""1RdEdgHYrZ33LJ7RUHj_h-qkAFL92bcVjtIdVa-UlsCw"", ""Interns!D:D""), 
   IMPORTRANGE(""1RdEdgHYrZ33LJ7RUHj_h-qkAFL92bcVjtIdVa-UlsCw"", ""Interns!O:O""), 
   ""Not Found"")"),"Hetal reached out by whatsapp on 3/28")</f>
        <v>Hetal reached out by whatsapp on 3/28</v>
      </c>
      <c r="AN965" s="23"/>
      <c r="AO965" s="23" t="s">
        <v>11385</v>
      </c>
      <c r="AP965" s="28" t="s">
        <v>5908</v>
      </c>
      <c r="AQ965" s="28" t="s">
        <v>11386</v>
      </c>
      <c r="AR965" s="23" t="s">
        <v>11387</v>
      </c>
      <c r="AS965" s="23"/>
      <c r="AT965" s="23"/>
      <c r="AU965" s="23"/>
      <c r="AV965" s="23"/>
    </row>
    <row r="966">
      <c r="A966" s="28" t="s">
        <v>5161</v>
      </c>
      <c r="B966" s="28" t="s">
        <v>5162</v>
      </c>
      <c r="C966" s="23" t="str">
        <f t="shared" si="1"/>
        <v>Madusu Jabateh</v>
      </c>
      <c r="D966" s="28" t="s">
        <v>11388</v>
      </c>
      <c r="E966" s="28" t="s">
        <v>11389</v>
      </c>
      <c r="F966" s="23">
        <f t="array" ref="F966">IFERROR(
    INDEX('Hub Interns 226'!A:A, MATCH(C966, 'Hub Interns 226'!B:B, 0)),"")</f>
        <v>819</v>
      </c>
      <c r="G966" s="23">
        <f t="array" ref="G966">IFERROR(
    INDEX('Hub Users 226'!A:A, MATCH(C966, 'Hub Users 226'!B:B, 0)),"")</f>
        <v>1252</v>
      </c>
      <c r="H966" s="28">
        <v>313.0</v>
      </c>
      <c r="I966" s="28" t="s">
        <v>260</v>
      </c>
      <c r="J966" s="28" t="s">
        <v>11390</v>
      </c>
      <c r="K966" s="28" t="s">
        <v>5245</v>
      </c>
      <c r="L966" s="28" t="s">
        <v>5196</v>
      </c>
      <c r="M966" s="56" t="s">
        <v>11391</v>
      </c>
      <c r="N966" s="57">
        <v>44234.95347222222</v>
      </c>
      <c r="O966" s="58">
        <v>38079.0</v>
      </c>
      <c r="P966" s="28">
        <f t="shared" si="27"/>
        <v>22</v>
      </c>
      <c r="Q966" s="28" t="s">
        <v>11392</v>
      </c>
      <c r="R966" s="28" t="s">
        <v>11393</v>
      </c>
      <c r="S966" s="28">
        <v>15.0</v>
      </c>
      <c r="T966" s="28">
        <v>32.0</v>
      </c>
      <c r="U966" s="28">
        <v>86.0</v>
      </c>
      <c r="V966" s="28">
        <v>15.0</v>
      </c>
      <c r="W966" s="28" t="s">
        <v>859</v>
      </c>
      <c r="X966" s="28" t="s">
        <v>272</v>
      </c>
      <c r="Y966" s="28">
        <v>9.295268823E9</v>
      </c>
      <c r="Z966" s="28" t="s">
        <v>5310</v>
      </c>
      <c r="AA966" s="28" t="s">
        <v>362</v>
      </c>
      <c r="AB966" s="28">
        <v>16.0</v>
      </c>
      <c r="AC966" s="28" t="s">
        <v>25</v>
      </c>
      <c r="AD966" s="23"/>
      <c r="AE966" s="28" t="s">
        <v>8</v>
      </c>
      <c r="AF966" s="23" t="str">
        <f>IFERROR(__xludf.DUMMYFUNCTION("TEXTJOIN("", "", TRUE,
  FILTER(Champions!C:C,
    ISNUMBER(SEARCH(C966, Champions!W:W))
  )
)"),"Krupa Jani, Soraya Senosier")</f>
        <v>Krupa Jani, Soraya Senosier</v>
      </c>
      <c r="AG966" s="23"/>
      <c r="AH966" s="23" t="str">
        <f>IFERROR(__xludf.DUMMYFUNCTION("IF(
ISNUMBER(MATCH(
C966,
IMPORTRANGE(""https://docs.google.com/spreadsheets/d/1yTh1ELC33JHYOeEdgIiEclxPRyh0zOKtlawDltfUay8"",""'Interns'!A:A""),
0
)),
""Outreach Conducted"",
"""")"),"")</f>
        <v/>
      </c>
      <c r="AI966" s="23"/>
      <c r="AJ966" s="23"/>
      <c r="AK966" s="23" t="str">
        <f>IFERROR(__xludf.DUMMYFUNCTION("XLOOKUP(C966, 
   IMPORTRANGE(""1RdEdgHYrZ33LJ7RUHj_h-qkAFL92bcVjtIdVa-UlsCw"", ""Interns!D:D""), 
   IMPORTRANGE(""1RdEdgHYrZ33LJ7RUHj_h-qkAFL92bcVjtIdVa-UlsCw"", ""Interns!M:M""), 
   ""Not Found"")"),"")</f>
        <v/>
      </c>
      <c r="AL966" s="23" t="str">
        <f>IFERROR(__xludf.DUMMYFUNCTION("XLOOKUP(C966, 
   IMPORTRANGE(""1RdEdgHYrZ33LJ7RUHj_h-qkAFL92bcVjtIdVa-UlsCw"", ""Interns!D:D""), 
   IMPORTRANGE(""1RdEdgHYrZ33LJ7RUHj_h-qkAFL92bcVjtIdVa-UlsCw"", ""Interns!N:N""), 
   ""Not Found"")"),"#SpeakingMyName")</f>
        <v>#SpeakingMyName</v>
      </c>
      <c r="AM966" s="23" t="str">
        <f>IFERROR(__xludf.DUMMYFUNCTION("XLOOKUP(C966, 
   IMPORTRANGE(""1RdEdgHYrZ33LJ7RUHj_h-qkAFL92bcVjtIdVa-UlsCw"", ""Interns!D:D""), 
   IMPORTRANGE(""1RdEdgHYrZ33LJ7RUHj_h-qkAFL92bcVjtIdVa-UlsCw"", ""Interns!O:O""), 
   ""Not Found"")"),"Alicia reached out by email on 5/15 for #SpeakingMyName")</f>
        <v>Alicia reached out by email on 5/15 for #SpeakingMyName</v>
      </c>
      <c r="AN966" s="23"/>
      <c r="AO966" s="23" t="s">
        <v>11394</v>
      </c>
      <c r="AP966" s="28" t="s">
        <v>5191</v>
      </c>
      <c r="AQ966" s="28" t="s">
        <v>11395</v>
      </c>
      <c r="AR966" s="23" t="s">
        <v>11396</v>
      </c>
      <c r="AS966" s="23"/>
      <c r="AT966" s="23"/>
      <c r="AU966" s="23"/>
      <c r="AV966" s="23"/>
    </row>
    <row r="967">
      <c r="A967" s="28" t="s">
        <v>5161</v>
      </c>
      <c r="B967" s="28" t="s">
        <v>5162</v>
      </c>
      <c r="C967" s="23" t="str">
        <f t="shared" si="1"/>
        <v>Jia Meng Woon</v>
      </c>
      <c r="D967" s="28" t="s">
        <v>11397</v>
      </c>
      <c r="E967" s="28" t="s">
        <v>11398</v>
      </c>
      <c r="F967" s="23">
        <f t="array" ref="F967">IFERROR(
    INDEX('Hub Interns 226'!A:A, MATCH(C967, 'Hub Interns 226'!B:B, 0)),"")</f>
        <v>668</v>
      </c>
      <c r="G967" s="23">
        <f t="array" ref="G967">IFERROR(
    INDEX('Hub Users 226'!A:A, MATCH(C967, 'Hub Users 226'!B:B, 0)),"")</f>
        <v>1101</v>
      </c>
      <c r="H967" s="28">
        <v>363.0</v>
      </c>
      <c r="I967" s="28" t="s">
        <v>260</v>
      </c>
      <c r="J967" s="28" t="s">
        <v>11399</v>
      </c>
      <c r="K967" s="28" t="s">
        <v>5186</v>
      </c>
      <c r="L967" s="28" t="s">
        <v>5165</v>
      </c>
      <c r="M967" s="56" t="s">
        <v>11400</v>
      </c>
      <c r="N967" s="57">
        <v>44252.56319444445</v>
      </c>
      <c r="O967" s="58">
        <v>37375.0</v>
      </c>
      <c r="P967" s="28">
        <f t="shared" si="27"/>
        <v>24</v>
      </c>
      <c r="Q967" s="28" t="s">
        <v>11401</v>
      </c>
      <c r="R967" s="28" t="s">
        <v>11402</v>
      </c>
      <c r="S967" s="28">
        <v>6.0</v>
      </c>
      <c r="T967" s="28">
        <v>16.0</v>
      </c>
      <c r="U967" s="28">
        <v>25.0</v>
      </c>
      <c r="V967" s="28">
        <v>23.0</v>
      </c>
      <c r="W967" s="28" t="s">
        <v>1173</v>
      </c>
      <c r="X967" s="28" t="s">
        <v>272</v>
      </c>
      <c r="Y967" s="28" t="s">
        <v>11403</v>
      </c>
      <c r="Z967" s="28" t="s">
        <v>5189</v>
      </c>
      <c r="AA967" s="28" t="s">
        <v>619</v>
      </c>
      <c r="AB967" s="28">
        <v>20.0</v>
      </c>
      <c r="AC967" s="28" t="s">
        <v>25</v>
      </c>
      <c r="AD967" s="23"/>
      <c r="AE967" s="28" t="s">
        <v>8</v>
      </c>
      <c r="AF967" s="23" t="str">
        <f>IFERROR(__xludf.DUMMYFUNCTION("TEXTJOIN("", "", TRUE,
  FILTER(Champions!C:C,
    ISNUMBER(SEARCH(C967, Champions!W:W))
  )
)"),"Julia Golkin, Stephanie Zhou")</f>
        <v>Julia Golkin, Stephanie Zhou</v>
      </c>
      <c r="AG967" s="23"/>
      <c r="AH967" s="23" t="str">
        <f>IFERROR(__xludf.DUMMYFUNCTION("IF(
ISNUMBER(MATCH(
C967,
IMPORTRANGE(""https://docs.google.com/spreadsheets/d/1yTh1ELC33JHYOeEdgIiEclxPRyh0zOKtlawDltfUay8"",""'Interns'!A:A""),
0
)),
""Outreach Conducted"",
"""")"),"")</f>
        <v/>
      </c>
      <c r="AI967" s="23"/>
      <c r="AJ967" s="23"/>
      <c r="AK967" s="23" t="str">
        <f>IFERROR(__xludf.DUMMYFUNCTION("XLOOKUP(C967, 
   IMPORTRANGE(""1RdEdgHYrZ33LJ7RUHj_h-qkAFL92bcVjtIdVa-UlsCw"", ""Interns!D:D""), 
   IMPORTRANGE(""1RdEdgHYrZ33LJ7RUHj_h-qkAFL92bcVjtIdVa-UlsCw"", ""Interns!M:M""), 
   ""Not Found"")"),"Contacted")</f>
        <v>Contacted</v>
      </c>
      <c r="AL967" s="23" t="str">
        <f>IFERROR(__xludf.DUMMYFUNCTION("XLOOKUP(C967, 
   IMPORTRANGE(""1RdEdgHYrZ33LJ7RUHj_h-qkAFL92bcVjtIdVa-UlsCw"", ""Interns!D:D""), 
   IMPORTRANGE(""1RdEdgHYrZ33LJ7RUHj_h-qkAFL92bcVjtIdVa-UlsCw"", ""Interns!N:N""), 
   ""Not Found"")"),"#Cheers4Careers")</f>
        <v>#Cheers4Careers</v>
      </c>
      <c r="AM967" s="23" t="str">
        <f>IFERROR(__xludf.DUMMYFUNCTION("XLOOKUP(C967, 
   IMPORTRANGE(""1RdEdgHYrZ33LJ7RUHj_h-qkAFL92bcVjtIdVa-UlsCw"", ""Interns!D:D""), 
   IMPORTRANGE(""1RdEdgHYrZ33LJ7RUHj_h-qkAFL92bcVjtIdVa-UlsCw"", ""Interns!O:O""), 
   ""Not Found"")"),"Hetal reached out by email 3/27 followed by text")</f>
        <v>Hetal reached out by email 3/27 followed by text</v>
      </c>
      <c r="AN967" s="23"/>
      <c r="AO967" s="23" t="s">
        <v>11404</v>
      </c>
      <c r="AP967" s="28" t="s">
        <v>5989</v>
      </c>
      <c r="AQ967" s="28" t="s">
        <v>11405</v>
      </c>
      <c r="AR967" s="23" t="s">
        <v>11406</v>
      </c>
      <c r="AS967" s="23"/>
      <c r="AT967" s="23"/>
      <c r="AU967" s="23"/>
      <c r="AV967" s="23"/>
    </row>
    <row r="968">
      <c r="A968" s="28" t="s">
        <v>5161</v>
      </c>
      <c r="B968" s="28" t="s">
        <v>5162</v>
      </c>
      <c r="C968" s="23" t="str">
        <f t="shared" si="1"/>
        <v>Bessirou Doukoure</v>
      </c>
      <c r="D968" s="28" t="s">
        <v>11407</v>
      </c>
      <c r="E968" s="28" t="s">
        <v>8996</v>
      </c>
      <c r="F968" s="23">
        <f t="array" ref="F968">IFERROR(
    INDEX('Hub Interns 226'!A:A, MATCH(C968, 'Hub Interns 226'!B:B, 0)),"")</f>
        <v>293</v>
      </c>
      <c r="G968" s="23">
        <f t="array" ref="G968">IFERROR(
    INDEX('Hub Users 226'!A:A, MATCH(C968, 'Hub Users 226'!B:B, 0)),"")</f>
        <v>726</v>
      </c>
      <c r="H968" s="28">
        <v>320.0</v>
      </c>
      <c r="I968" s="28" t="s">
        <v>302</v>
      </c>
      <c r="J968" s="28" t="s">
        <v>11408</v>
      </c>
      <c r="K968" s="28" t="s">
        <v>5245</v>
      </c>
      <c r="L968" s="28" t="s">
        <v>5165</v>
      </c>
      <c r="M968" s="56" t="s">
        <v>11409</v>
      </c>
      <c r="N968" s="57">
        <v>44236.51527777778</v>
      </c>
      <c r="O968" s="58">
        <v>37672.0</v>
      </c>
      <c r="P968" s="28">
        <f t="shared" si="27"/>
        <v>23</v>
      </c>
      <c r="Q968" s="28" t="s">
        <v>240</v>
      </c>
      <c r="R968" s="28">
        <v>10452.0</v>
      </c>
      <c r="S968" s="28"/>
      <c r="T968" s="28"/>
      <c r="U968" s="28"/>
      <c r="V968" s="28"/>
      <c r="W968" s="28" t="s">
        <v>859</v>
      </c>
      <c r="X968" s="28" t="s">
        <v>272</v>
      </c>
      <c r="Y968" s="28" t="s">
        <v>11410</v>
      </c>
      <c r="Z968" s="28" t="s">
        <v>5310</v>
      </c>
      <c r="AA968" s="28" t="s">
        <v>362</v>
      </c>
      <c r="AB968" s="28">
        <v>16.0</v>
      </c>
      <c r="AC968" s="28" t="s">
        <v>25</v>
      </c>
      <c r="AD968" s="23"/>
      <c r="AE968" s="28" t="s">
        <v>8</v>
      </c>
      <c r="AF968" s="23" t="str">
        <f>IFERROR(__xludf.DUMMYFUNCTION("TEXTJOIN("", "", TRUE,
  FILTER(Champions!C:C,
    ISNUMBER(SEARCH(C968, Champions!W:W))
  )
)"),"Joseph Temowo, Krupa Jani")</f>
        <v>Joseph Temowo, Krupa Jani</v>
      </c>
      <c r="AG968" s="23"/>
      <c r="AH968" s="23" t="str">
        <f>IFERROR(__xludf.DUMMYFUNCTION("IF(
ISNUMBER(MATCH(
C968,
IMPORTRANGE(""https://docs.google.com/spreadsheets/d/1yTh1ELC33JHYOeEdgIiEclxPRyh0zOKtlawDltfUay8"",""'Interns'!A:A""),
0
)),
""Outreach Conducted"",
"""")"),"")</f>
        <v/>
      </c>
      <c r="AI968" s="23"/>
      <c r="AJ968" s="23"/>
      <c r="AK968" s="23" t="str">
        <f>IFERROR(__xludf.DUMMYFUNCTION("XLOOKUP(C968, 
   IMPORTRANGE(""1RdEdgHYrZ33LJ7RUHj_h-qkAFL92bcVjtIdVa-UlsCw"", ""Interns!D:D""), 
   IMPORTRANGE(""1RdEdgHYrZ33LJ7RUHj_h-qkAFL92bcVjtIdVa-UlsCw"", ""Interns!M:M""), 
   ""Not Found"")"),"")</f>
        <v/>
      </c>
      <c r="AL968" s="23" t="str">
        <f>IFERROR(__xludf.DUMMYFUNCTION("XLOOKUP(C968, 
   IMPORTRANGE(""1RdEdgHYrZ33LJ7RUHj_h-qkAFL92bcVjtIdVa-UlsCw"", ""Interns!D:D""), 
   IMPORTRANGE(""1RdEdgHYrZ33LJ7RUHj_h-qkAFL92bcVjtIdVa-UlsCw"", ""Interns!N:N""), 
   ""Not Found"")"),"#Cheers4Careers, #SpeakingMyName")</f>
        <v>#Cheers4Careers, #SpeakingMyName</v>
      </c>
      <c r="AM968" s="23" t="str">
        <f>IFERROR(__xludf.DUMMYFUNCTION("XLOOKUP(C968, 
   IMPORTRANGE(""1RdEdgHYrZ33LJ7RUHj_h-qkAFL92bcVjtIdVa-UlsCw"", ""Interns!D:D""), 
   IMPORTRANGE(""1RdEdgHYrZ33LJ7RUHj_h-qkAFL92bcVjtIdVa-UlsCw"", ""Interns!O:O""), 
   ""Not Found"")"),"Ousmane reached out on 04/28 by text about the Cheers4careers May 24th.
Alicia reached out by email on 5/15 for #SpeakingMyName")</f>
        <v>Ousmane reached out on 04/28 by text about the Cheers4careers May 24th.
Alicia reached out by email on 5/15 for #SpeakingMyName</v>
      </c>
      <c r="AN968" s="23"/>
      <c r="AO968" s="23" t="s">
        <v>11411</v>
      </c>
      <c r="AP968" s="28" t="s">
        <v>5191</v>
      </c>
      <c r="AQ968" s="28" t="s">
        <v>11409</v>
      </c>
      <c r="AR968" s="23" t="s">
        <v>11412</v>
      </c>
      <c r="AS968" s="23"/>
      <c r="AT968" s="23"/>
      <c r="AU968" s="23"/>
      <c r="AV968" s="23"/>
    </row>
    <row r="969">
      <c r="A969" s="28" t="s">
        <v>5161</v>
      </c>
      <c r="B969" s="28" t="s">
        <v>5162</v>
      </c>
      <c r="C969" s="23" t="str">
        <f t="shared" si="1"/>
        <v>Aissata Samassa</v>
      </c>
      <c r="D969" s="28" t="s">
        <v>11413</v>
      </c>
      <c r="E969" s="28" t="s">
        <v>11414</v>
      </c>
      <c r="F969" s="23">
        <f t="array" ref="F969">IFERROR(
    INDEX('Hub Interns 226'!A:A, MATCH(C969, 'Hub Interns 226'!B:B, 0)),"")</f>
        <v>165</v>
      </c>
      <c r="G969" s="23">
        <f t="array" ref="G969">IFERROR(
    INDEX('Hub Users 226'!A:A, MATCH(C969, 'Hub Users 226'!B:B, 0)),"")</f>
        <v>598</v>
      </c>
      <c r="H969" s="28">
        <v>428.0</v>
      </c>
      <c r="I969" s="28" t="s">
        <v>260</v>
      </c>
      <c r="J969" s="28" t="s">
        <v>11408</v>
      </c>
      <c r="K969" s="28" t="s">
        <v>5245</v>
      </c>
      <c r="L969" s="28" t="s">
        <v>5196</v>
      </c>
      <c r="M969" s="56" t="s">
        <v>11415</v>
      </c>
      <c r="N969" s="57">
        <v>44314.54861111111</v>
      </c>
      <c r="O969" s="58">
        <v>38171.0</v>
      </c>
      <c r="P969" s="28">
        <f t="shared" si="27"/>
        <v>21</v>
      </c>
      <c r="Q969" s="28" t="s">
        <v>240</v>
      </c>
      <c r="R969" s="28" t="s">
        <v>11416</v>
      </c>
      <c r="S969" s="28">
        <v>15.0</v>
      </c>
      <c r="T969" s="28">
        <v>32.0</v>
      </c>
      <c r="U969" s="28">
        <v>77.0</v>
      </c>
      <c r="V969" s="28">
        <v>16.0</v>
      </c>
      <c r="W969" s="28" t="s">
        <v>859</v>
      </c>
      <c r="X969" s="28" t="s">
        <v>272</v>
      </c>
      <c r="Y969" s="28" t="s">
        <v>11417</v>
      </c>
      <c r="Z969" s="28" t="s">
        <v>5310</v>
      </c>
      <c r="AA969" s="28" t="s">
        <v>362</v>
      </c>
      <c r="AB969" s="28">
        <v>16.0</v>
      </c>
      <c r="AC969" s="28" t="s">
        <v>24</v>
      </c>
      <c r="AD969" s="23"/>
      <c r="AE969" s="28" t="s">
        <v>8</v>
      </c>
      <c r="AF969" s="23"/>
      <c r="AG969" s="23"/>
      <c r="AH969" s="23" t="str">
        <f>IFERROR(__xludf.DUMMYFUNCTION("IF(
ISNUMBER(MATCH(
C969,
IMPORTRANGE(""https://docs.google.com/spreadsheets/d/1yTh1ELC33JHYOeEdgIiEclxPRyh0zOKtlawDltfUay8"",""'Interns'!A:A""),
0
)),
""Outreach Conducted"",
"""")"),"")</f>
        <v/>
      </c>
      <c r="AI969" s="23"/>
      <c r="AJ969" s="23"/>
      <c r="AK969" s="23" t="str">
        <f>IFERROR(__xludf.DUMMYFUNCTION("XLOOKUP(C969, 
   IMPORTRANGE(""1RdEdgHYrZ33LJ7RUHj_h-qkAFL92bcVjtIdVa-UlsCw"", ""Interns!D:D""), 
   IMPORTRANGE(""1RdEdgHYrZ33LJ7RUHj_h-qkAFL92bcVjtIdVa-UlsCw"", ""Interns!M:M""), 
   ""Not Found"")"),"")</f>
        <v/>
      </c>
      <c r="AL969" s="23" t="str">
        <f>IFERROR(__xludf.DUMMYFUNCTION("XLOOKUP(C969, 
   IMPORTRANGE(""1RdEdgHYrZ33LJ7RUHj_h-qkAFL92bcVjtIdVa-UlsCw"", ""Interns!D:D""), 
   IMPORTRANGE(""1RdEdgHYrZ33LJ7RUHj_h-qkAFL92bcVjtIdVa-UlsCw"", ""Interns!N:N""), 
   ""Not Found"")"),"#Cheers4Careers, #SpeakingMyName")</f>
        <v>#Cheers4Careers, #SpeakingMyName</v>
      </c>
      <c r="AM969" s="23" t="str">
        <f>IFERROR(__xludf.DUMMYFUNCTION("XLOOKUP(C969, 
   IMPORTRANGE(""1RdEdgHYrZ33LJ7RUHj_h-qkAFL92bcVjtIdVa-UlsCw"", ""Interns!D:D""), 
   IMPORTRANGE(""1RdEdgHYrZ33LJ7RUHj_h-qkAFL92bcVjtIdVa-UlsCw"", ""Interns!O:O""), 
   ""Not Found"")"),"Ousmane reached out on 04/28 by text about the Cheers4careers May 24th.
Alicia reached out by email on 5/15 for #SpeakingMyName")</f>
        <v>Ousmane reached out on 04/28 by text about the Cheers4careers May 24th.
Alicia reached out by email on 5/15 for #SpeakingMyName</v>
      </c>
      <c r="AN969" s="23"/>
      <c r="AO969" s="23" t="s">
        <v>11418</v>
      </c>
      <c r="AP969" s="28" t="s">
        <v>5191</v>
      </c>
      <c r="AQ969" s="28"/>
      <c r="AR969" s="23"/>
      <c r="AS969" s="23"/>
      <c r="AT969" s="23"/>
      <c r="AU969" s="23"/>
      <c r="AV969" s="23"/>
    </row>
    <row r="970">
      <c r="A970" s="28" t="s">
        <v>5202</v>
      </c>
      <c r="B970" s="28" t="s">
        <v>5162</v>
      </c>
      <c r="C970" s="23" t="str">
        <f t="shared" si="1"/>
        <v>Anahi Tenelema</v>
      </c>
      <c r="D970" s="28" t="s">
        <v>11419</v>
      </c>
      <c r="E970" s="28" t="s">
        <v>11420</v>
      </c>
      <c r="F970" s="23">
        <f t="array" ref="F970">IFERROR(
    INDEX('Hub Interns 226'!A:A, MATCH(C970, 'Hub Interns 226'!B:B, 0)),"")</f>
        <v>221</v>
      </c>
      <c r="G970" s="23">
        <f t="array" ref="G970">IFERROR(
    INDEX('Hub Users 226'!A:A, MATCH(C970, 'Hub Users 226'!B:B, 0)),"")</f>
        <v>654</v>
      </c>
      <c r="H970" s="28">
        <v>1389.0</v>
      </c>
      <c r="I970" s="28"/>
      <c r="J970" s="28" t="s">
        <v>2388</v>
      </c>
      <c r="K970" s="28" t="s">
        <v>5463</v>
      </c>
      <c r="L970" s="28" t="s">
        <v>5196</v>
      </c>
      <c r="M970" s="56" t="s">
        <v>11421</v>
      </c>
      <c r="N970" s="59">
        <v>44862.52916666667</v>
      </c>
      <c r="O970" s="58">
        <v>40181.0</v>
      </c>
      <c r="P970" s="28">
        <f t="shared" si="27"/>
        <v>16</v>
      </c>
      <c r="Q970" s="28" t="s">
        <v>240</v>
      </c>
      <c r="R970" s="28" t="s">
        <v>11422</v>
      </c>
      <c r="S970" s="28">
        <v>6.0</v>
      </c>
      <c r="T970" s="28">
        <v>12.0</v>
      </c>
      <c r="U970" s="28">
        <v>30.0</v>
      </c>
      <c r="V970" s="28">
        <v>26.0</v>
      </c>
      <c r="W970" s="28" t="s">
        <v>1173</v>
      </c>
      <c r="X970" s="28" t="s">
        <v>272</v>
      </c>
      <c r="Y970" s="28" t="s">
        <v>5351</v>
      </c>
      <c r="Z970" s="28" t="s">
        <v>5352</v>
      </c>
      <c r="AA970" s="28" t="s">
        <v>5287</v>
      </c>
      <c r="AB970" s="28">
        <v>26.0</v>
      </c>
      <c r="AC970" s="28" t="s">
        <v>23</v>
      </c>
      <c r="AD970" s="28" t="s">
        <v>101</v>
      </c>
      <c r="AE970" s="28" t="s">
        <v>15</v>
      </c>
      <c r="AF970" s="23"/>
      <c r="AG970" s="23"/>
      <c r="AH970" s="23" t="str">
        <f>IFERROR(__xludf.DUMMYFUNCTION("IF(
ISNUMBER(MATCH(
C970,
IMPORTRANGE(""https://docs.google.com/spreadsheets/d/1yTh1ELC33JHYOeEdgIiEclxPRyh0zOKtlawDltfUay8"",""'Interns'!A:A""),
0
)),
""Outreach Conducted"",
"""")"),"")</f>
        <v/>
      </c>
      <c r="AI970" s="23"/>
      <c r="AJ970" s="23"/>
      <c r="AK970" s="23" t="str">
        <f>IFERROR(__xludf.DUMMYFUNCTION("XLOOKUP(C970, 
   IMPORTRANGE(""1RdEdgHYrZ33LJ7RUHj_h-qkAFL92bcVjtIdVa-UlsCw"", ""Interns!D:D""), 
   IMPORTRANGE(""1RdEdgHYrZ33LJ7RUHj_h-qkAFL92bcVjtIdVa-UlsCw"", ""Interns!M:M""), 
   ""Not Found"")"),"")</f>
        <v/>
      </c>
      <c r="AL970" s="23" t="str">
        <f>IFERROR(__xludf.DUMMYFUNCTION("XLOOKUP(C970, 
   IMPORTRANGE(""1RdEdgHYrZ33LJ7RUHj_h-qkAFL92bcVjtIdVa-UlsCw"", ""Interns!D:D""), 
   IMPORTRANGE(""1RdEdgHYrZ33LJ7RUHj_h-qkAFL92bcVjtIdVa-UlsCw"", ""Interns!N:N""), 
   ""Not Found"")"),"")</f>
        <v/>
      </c>
      <c r="AM970" s="23" t="str">
        <f>IFERROR(__xludf.DUMMYFUNCTION("XLOOKUP(C970, 
   IMPORTRANGE(""1RdEdgHYrZ33LJ7RUHj_h-qkAFL92bcVjtIdVa-UlsCw"", ""Interns!D:D""), 
   IMPORTRANGE(""1RdEdgHYrZ33LJ7RUHj_h-qkAFL92bcVjtIdVa-UlsCw"", ""Interns!O:O""), 
   ""Not Found"")"),"")</f>
        <v/>
      </c>
      <c r="AN970" s="23"/>
      <c r="AO970" s="23" t="s">
        <v>11423</v>
      </c>
      <c r="AP970" s="28" t="s">
        <v>5182</v>
      </c>
      <c r="AQ970" s="28"/>
      <c r="AR970" s="23"/>
      <c r="AS970" s="23"/>
      <c r="AT970" s="23"/>
      <c r="AU970" s="23"/>
      <c r="AV970" s="23"/>
    </row>
    <row r="971">
      <c r="A971" s="28" t="s">
        <v>5161</v>
      </c>
      <c r="B971" s="28" t="s">
        <v>5162</v>
      </c>
      <c r="C971" s="23" t="str">
        <f t="shared" si="1"/>
        <v>Fatoumata Diallo</v>
      </c>
      <c r="D971" s="28" t="s">
        <v>10658</v>
      </c>
      <c r="E971" s="28" t="s">
        <v>7818</v>
      </c>
      <c r="F971" s="23">
        <f t="array" ref="F971">IFERROR(
    INDEX('Hub Interns 226'!A:A, MATCH(C971, 'Hub Interns 226'!B:B, 0)),"")</f>
        <v>518</v>
      </c>
      <c r="G971" s="23">
        <f t="array" ref="G971">IFERROR(
    INDEX('Hub Users 226'!A:A, MATCH(C971, 'Hub Users 226'!B:B, 0)),"")</f>
        <v>951</v>
      </c>
      <c r="H971" s="28">
        <v>267.0</v>
      </c>
      <c r="I971" s="28" t="s">
        <v>260</v>
      </c>
      <c r="J971" s="28" t="s">
        <v>11408</v>
      </c>
      <c r="K971" s="28" t="s">
        <v>5245</v>
      </c>
      <c r="L971" s="28" t="s">
        <v>5196</v>
      </c>
      <c r="M971" s="56" t="s">
        <v>11424</v>
      </c>
      <c r="N971" s="57">
        <v>44207.44375</v>
      </c>
      <c r="O971" s="58">
        <v>38200.0</v>
      </c>
      <c r="P971" s="28">
        <f t="shared" si="27"/>
        <v>21</v>
      </c>
      <c r="Q971" s="28" t="s">
        <v>11425</v>
      </c>
      <c r="R971" s="28" t="s">
        <v>11426</v>
      </c>
      <c r="S971" s="28">
        <v>14.0</v>
      </c>
      <c r="T971" s="28">
        <v>34.0</v>
      </c>
      <c r="U971" s="28">
        <v>85.0</v>
      </c>
      <c r="V971" s="28">
        <v>17.0</v>
      </c>
      <c r="W971" s="28" t="s">
        <v>859</v>
      </c>
      <c r="X971" s="28" t="s">
        <v>272</v>
      </c>
      <c r="Y971" s="23"/>
      <c r="Z971" s="28" t="s">
        <v>5918</v>
      </c>
      <c r="AA971" s="28" t="s">
        <v>477</v>
      </c>
      <c r="AB971" s="28">
        <v>15.0</v>
      </c>
      <c r="AC971" s="28" t="s">
        <v>25</v>
      </c>
      <c r="AD971" s="23"/>
      <c r="AE971" s="28" t="s">
        <v>8</v>
      </c>
      <c r="AF971" s="23" t="str">
        <f>IFERROR(__xludf.DUMMYFUNCTION("TEXTJOIN("", "", TRUE,
  FILTER(Champions!C:C,
    ISNUMBER(SEARCH(C971, Champions!W:W))
  )
)"),"Lena K Dandy, Lynda Nwabuobi, Lena K Dandy (D)")</f>
        <v>Lena K Dandy, Lynda Nwabuobi, Lena K Dandy (D)</v>
      </c>
      <c r="AG971" s="23"/>
      <c r="AH971" s="23" t="str">
        <f>IFERROR(__xludf.DUMMYFUNCTION("IF(
ISNUMBER(MATCH(
C971,
IMPORTRANGE(""https://docs.google.com/spreadsheets/d/1yTh1ELC33JHYOeEdgIiEclxPRyh0zOKtlawDltfUay8"",""'Interns'!A:A""),
0
)),
""Outreach Conducted"",
"""")"),"")</f>
        <v/>
      </c>
      <c r="AI971" s="23"/>
      <c r="AJ971" s="23"/>
      <c r="AK971" s="23" t="str">
        <f>IFERROR(__xludf.DUMMYFUNCTION("XLOOKUP(C971, 
   IMPORTRANGE(""1RdEdgHYrZ33LJ7RUHj_h-qkAFL92bcVjtIdVa-UlsCw"", ""Interns!D:D""), 
   IMPORTRANGE(""1RdEdgHYrZ33LJ7RUHj_h-qkAFL92bcVjtIdVa-UlsCw"", ""Interns!M:M""), 
   ""Not Found"")"),"")</f>
        <v/>
      </c>
      <c r="AL971" s="23" t="str">
        <f>IFERROR(__xludf.DUMMYFUNCTION("XLOOKUP(C971, 
   IMPORTRANGE(""1RdEdgHYrZ33LJ7RUHj_h-qkAFL92bcVjtIdVa-UlsCw"", ""Interns!D:D""), 
   IMPORTRANGE(""1RdEdgHYrZ33LJ7RUHj_h-qkAFL92bcVjtIdVa-UlsCw"", ""Interns!N:N""), 
   ""Not Found"")"),"")</f>
        <v/>
      </c>
      <c r="AM971" s="23" t="str">
        <f>IFERROR(__xludf.DUMMYFUNCTION("XLOOKUP(C971, 
   IMPORTRANGE(""1RdEdgHYrZ33LJ7RUHj_h-qkAFL92bcVjtIdVa-UlsCw"", ""Interns!D:D""), 
   IMPORTRANGE(""1RdEdgHYrZ33LJ7RUHj_h-qkAFL92bcVjtIdVa-UlsCw"", ""Interns!O:O""), 
   ""Not Found"")"),"")</f>
        <v/>
      </c>
      <c r="AN971" s="23"/>
      <c r="AO971" s="23" t="s">
        <v>11427</v>
      </c>
      <c r="AP971" s="28" t="s">
        <v>5240</v>
      </c>
      <c r="AQ971" s="28" t="s">
        <v>11428</v>
      </c>
      <c r="AR971" s="23">
        <v>6.465207335E9</v>
      </c>
      <c r="AS971" s="23"/>
      <c r="AT971" s="23"/>
      <c r="AU971" s="23"/>
      <c r="AV971" s="23"/>
    </row>
    <row r="972">
      <c r="A972" s="28" t="s">
        <v>5161</v>
      </c>
      <c r="B972" s="28" t="s">
        <v>5162</v>
      </c>
      <c r="C972" s="23" t="str">
        <f t="shared" si="1"/>
        <v>Amara Diawara</v>
      </c>
      <c r="D972" s="22" t="s">
        <v>11263</v>
      </c>
      <c r="E972" s="22" t="s">
        <v>11429</v>
      </c>
      <c r="F972" s="23"/>
      <c r="G972" s="23"/>
      <c r="H972" s="22">
        <v>1960.0</v>
      </c>
      <c r="I972" s="28"/>
      <c r="J972" s="28" t="s">
        <v>11408</v>
      </c>
      <c r="K972" s="28" t="s">
        <v>5245</v>
      </c>
      <c r="L972" s="28" t="s">
        <v>5165</v>
      </c>
      <c r="M972" s="29" t="s">
        <v>11430</v>
      </c>
      <c r="N972" s="61">
        <v>45713.58819444444</v>
      </c>
      <c r="O972" s="25">
        <v>45713.0</v>
      </c>
      <c r="P972" s="28">
        <f t="shared" si="27"/>
        <v>1</v>
      </c>
      <c r="Q972" s="62" t="s">
        <v>11431</v>
      </c>
      <c r="R972" s="22" t="s">
        <v>11432</v>
      </c>
      <c r="S972" s="28">
        <v>13.0</v>
      </c>
      <c r="T972" s="28">
        <v>33.0</v>
      </c>
      <c r="U972" s="28">
        <v>78.0</v>
      </c>
      <c r="V972" s="28">
        <v>15.0</v>
      </c>
      <c r="W972" s="23"/>
      <c r="X972" s="23"/>
      <c r="Y972" s="22" t="s">
        <v>11433</v>
      </c>
      <c r="Z972" s="22" t="s">
        <v>11434</v>
      </c>
      <c r="AA972" s="28" t="s">
        <v>704</v>
      </c>
      <c r="AB972" s="28">
        <v>2.0</v>
      </c>
      <c r="AC972" s="28"/>
      <c r="AD972" s="23"/>
      <c r="AE972" s="28" t="s">
        <v>19</v>
      </c>
      <c r="AF972" s="23"/>
      <c r="AG972" s="23"/>
      <c r="AH972" s="23" t="str">
        <f>IFERROR(__xludf.DUMMYFUNCTION("IF(
ISNUMBER(MATCH(
C972,
IMPORTRANGE(""https://docs.google.com/spreadsheets/d/1yTh1ELC33JHYOeEdgIiEclxPRyh0zOKtlawDltfUay8"",""'Interns'!A:A""),
0
)),
""Outreach Conducted"",
"""")"),"")</f>
        <v/>
      </c>
      <c r="AI972" s="23"/>
      <c r="AJ972" s="23"/>
      <c r="AK972" s="23"/>
      <c r="AL972" s="23" t="str">
        <f>IFERROR(__xludf.DUMMYFUNCTION("XLOOKUP(C972, 
   IMPORTRANGE(""1RdEdgHYrZ33LJ7RUHj_h-qkAFL92bcVjtIdVa-UlsCw"", ""Interns!D:D""), 
   IMPORTRANGE(""1RdEdgHYrZ33LJ7RUHj_h-qkAFL92bcVjtIdVa-UlsCw"", ""Interns!N:N""), 
   ""Not Found"")"),"Not Found")</f>
        <v>Not Found</v>
      </c>
      <c r="AM972" s="23" t="str">
        <f>IFERROR(__xludf.DUMMYFUNCTION("XLOOKUP(C972, 
   IMPORTRANGE(""1RdEdgHYrZ33LJ7RUHj_h-qkAFL92bcVjtIdVa-UlsCw"", ""Interns!D:D""), 
   IMPORTRANGE(""1RdEdgHYrZ33LJ7RUHj_h-qkAFL92bcVjtIdVa-UlsCw"", ""Interns!O:O""), 
   ""Not Found"")"),"Not Found")</f>
        <v>Not Found</v>
      </c>
      <c r="AN972" s="23"/>
      <c r="AO972" s="23" t="s">
        <v>11435</v>
      </c>
      <c r="AP972" s="28" t="s">
        <v>5240</v>
      </c>
      <c r="AQ972" s="28" t="s">
        <v>11436</v>
      </c>
      <c r="AR972" s="23" t="s">
        <v>11437</v>
      </c>
      <c r="AS972" s="23"/>
      <c r="AT972" s="23"/>
      <c r="AU972" s="23"/>
      <c r="AV972" s="23"/>
    </row>
    <row r="973">
      <c r="A973" s="28" t="s">
        <v>5202</v>
      </c>
      <c r="B973" s="28" t="s">
        <v>5162</v>
      </c>
      <c r="C973" s="23" t="str">
        <f t="shared" si="1"/>
        <v>Niyati Trivedi</v>
      </c>
      <c r="D973" s="28" t="s">
        <v>11438</v>
      </c>
      <c r="E973" s="28" t="s">
        <v>11439</v>
      </c>
      <c r="F973" s="23">
        <f t="array" ref="F973">IFERROR(
    INDEX('Hub Interns 226'!A:A, MATCH(C973, 'Hub Interns 226'!B:B, 0)),"")</f>
        <v>1771</v>
      </c>
      <c r="G973" s="23">
        <f t="array" ref="G973">IFERROR(
    INDEX('Hub Users 226'!A:A, MATCH(C973, 'Hub Users 226'!B:B, 0)),"")</f>
        <v>2601</v>
      </c>
      <c r="H973" s="28">
        <v>1652.0</v>
      </c>
      <c r="I973" s="28"/>
      <c r="J973" s="28" t="s">
        <v>3265</v>
      </c>
      <c r="K973" s="28" t="s">
        <v>5186</v>
      </c>
      <c r="L973" s="28" t="s">
        <v>5196</v>
      </c>
      <c r="M973" s="56" t="s">
        <v>11440</v>
      </c>
      <c r="N973" s="57">
        <v>45122.049305555556</v>
      </c>
      <c r="O973" s="58">
        <v>35107.0</v>
      </c>
      <c r="P973" s="28">
        <f t="shared" si="27"/>
        <v>30</v>
      </c>
      <c r="Q973" s="28" t="s">
        <v>11441</v>
      </c>
      <c r="R973" s="28" t="s">
        <v>11442</v>
      </c>
      <c r="S973" s="28"/>
      <c r="T973" s="28"/>
      <c r="U973" s="28"/>
      <c r="V973" s="28"/>
      <c r="W973" s="28" t="s">
        <v>391</v>
      </c>
      <c r="X973" s="28" t="s">
        <v>241</v>
      </c>
      <c r="Y973" s="28" t="s">
        <v>11443</v>
      </c>
      <c r="Z973" s="23"/>
      <c r="AA973" s="23"/>
      <c r="AB973" s="23"/>
      <c r="AC973" s="23"/>
      <c r="AD973" s="23"/>
      <c r="AE973" s="23"/>
      <c r="AF973" s="28"/>
      <c r="AG973" s="23"/>
      <c r="AH973" s="23" t="str">
        <f>IFERROR(__xludf.DUMMYFUNCTION("IF(
ISNUMBER(MATCH(
C973,
IMPORTRANGE(""https://docs.google.com/spreadsheets/d/1yTh1ELC33JHYOeEdgIiEclxPRyh0zOKtlawDltfUay8"",""'Interns'!A:A""),
0
)),
""Outreach Conducted"",
"""")"),"")</f>
        <v/>
      </c>
      <c r="AI973" s="23"/>
      <c r="AJ973" s="23"/>
      <c r="AK973" s="23" t="str">
        <f>IFERROR(__xludf.DUMMYFUNCTION("XLOOKUP(C973, 
   IMPORTRANGE(""1RdEdgHYrZ33LJ7RUHj_h-qkAFL92bcVjtIdVa-UlsCw"", ""Interns!D:D""), 
   IMPORTRANGE(""1RdEdgHYrZ33LJ7RUHj_h-qkAFL92bcVjtIdVa-UlsCw"", ""Interns!M:M""), 
   ""Not Found"")"),"")</f>
        <v/>
      </c>
      <c r="AL973" s="23" t="str">
        <f>IFERROR(__xludf.DUMMYFUNCTION("XLOOKUP(C973, 
   IMPORTRANGE(""1RdEdgHYrZ33LJ7RUHj_h-qkAFL92bcVjtIdVa-UlsCw"", ""Interns!D:D""), 
   IMPORTRANGE(""1RdEdgHYrZ33LJ7RUHj_h-qkAFL92bcVjtIdVa-UlsCw"", ""Interns!N:N""), 
   ""Not Found"")"),"")</f>
        <v/>
      </c>
      <c r="AM973" s="23" t="str">
        <f>IFERROR(__xludf.DUMMYFUNCTION("XLOOKUP(C973, 
   IMPORTRANGE(""1RdEdgHYrZ33LJ7RUHj_h-qkAFL92bcVjtIdVa-UlsCw"", ""Interns!D:D""), 
   IMPORTRANGE(""1RdEdgHYrZ33LJ7RUHj_h-qkAFL92bcVjtIdVa-UlsCw"", ""Interns!O:O""), 
   ""Not Found"")"),"")</f>
        <v/>
      </c>
      <c r="AN973" s="23"/>
      <c r="AO973" s="23" t="s">
        <v>11444</v>
      </c>
      <c r="AP973" s="28" t="s">
        <v>5191</v>
      </c>
      <c r="AQ973" s="28" t="s">
        <v>11445</v>
      </c>
      <c r="AR973" s="23" t="s">
        <v>11446</v>
      </c>
      <c r="AS973" s="23"/>
      <c r="AT973" s="23"/>
      <c r="AU973" s="23"/>
      <c r="AV973" s="23"/>
    </row>
    <row r="974">
      <c r="A974" s="28" t="s">
        <v>5161</v>
      </c>
      <c r="B974" s="28" t="s">
        <v>5162</v>
      </c>
      <c r="C974" s="23" t="str">
        <f t="shared" si="1"/>
        <v>Aboubacar Traore</v>
      </c>
      <c r="D974" s="28" t="s">
        <v>10544</v>
      </c>
      <c r="E974" s="28" t="s">
        <v>5902</v>
      </c>
      <c r="F974" s="23">
        <f t="array" ref="F974">IFERROR(
    INDEX('Hub Interns 226'!A:A, MATCH(C974, 'Hub Interns 226'!B:B, 0)),"")</f>
        <v>274</v>
      </c>
      <c r="G974" s="23">
        <f t="array" ref="G974">IFERROR(
    INDEX('Hub Users 226'!A:A, MATCH(C974, 'Hub Users 226'!B:B, 0)),"")</f>
        <v>707</v>
      </c>
      <c r="H974" s="28">
        <v>1274.0</v>
      </c>
      <c r="I974" s="28" t="s">
        <v>269</v>
      </c>
      <c r="J974" s="28" t="s">
        <v>11408</v>
      </c>
      <c r="K974" s="28" t="s">
        <v>5245</v>
      </c>
      <c r="L974" s="28" t="s">
        <v>5165</v>
      </c>
      <c r="M974" s="56" t="s">
        <v>11447</v>
      </c>
      <c r="N974" s="59">
        <v>44845.569444444445</v>
      </c>
      <c r="O974" s="58">
        <v>39004.0</v>
      </c>
      <c r="P974" s="28">
        <f t="shared" si="27"/>
        <v>19</v>
      </c>
      <c r="Q974" s="28" t="s">
        <v>240</v>
      </c>
      <c r="R974" s="28" t="s">
        <v>11448</v>
      </c>
      <c r="S974" s="28">
        <v>13.0</v>
      </c>
      <c r="T974" s="28">
        <v>33.0</v>
      </c>
      <c r="U974" s="28">
        <v>86.0</v>
      </c>
      <c r="V974" s="28">
        <v>15.0</v>
      </c>
      <c r="W974" s="28" t="s">
        <v>859</v>
      </c>
      <c r="X974" s="28" t="s">
        <v>272</v>
      </c>
      <c r="Y974" s="28" t="s">
        <v>11449</v>
      </c>
      <c r="Z974" s="28" t="s">
        <v>5918</v>
      </c>
      <c r="AA974" s="28" t="s">
        <v>477</v>
      </c>
      <c r="AB974" s="28">
        <v>15.0</v>
      </c>
      <c r="AC974" s="28" t="s">
        <v>23</v>
      </c>
      <c r="AD974" s="28" t="s">
        <v>101</v>
      </c>
      <c r="AE974" s="28" t="s">
        <v>15</v>
      </c>
      <c r="AF974" s="23"/>
      <c r="AG974" s="23"/>
      <c r="AH974" s="23" t="str">
        <f>IFERROR(__xludf.DUMMYFUNCTION("IF(
ISNUMBER(MATCH(
C974,
IMPORTRANGE(""https://docs.google.com/spreadsheets/d/1yTh1ELC33JHYOeEdgIiEclxPRyh0zOKtlawDltfUay8"",""'Interns'!A:A""),
0
)),
""Outreach Conducted"",
"""")"),"")</f>
        <v/>
      </c>
      <c r="AI974" s="23"/>
      <c r="AJ974" s="23"/>
      <c r="AK974" s="23" t="str">
        <f>IFERROR(__xludf.DUMMYFUNCTION("XLOOKUP(C974, 
   IMPORTRANGE(""1RdEdgHYrZ33LJ7RUHj_h-qkAFL92bcVjtIdVa-UlsCw"", ""Interns!D:D""), 
   IMPORTRANGE(""1RdEdgHYrZ33LJ7RUHj_h-qkAFL92bcVjtIdVa-UlsCw"", ""Interns!M:M""), 
   ""Not Found"")"),"")</f>
        <v/>
      </c>
      <c r="AL974" s="23" t="str">
        <f>IFERROR(__xludf.DUMMYFUNCTION("XLOOKUP(C974, 
   IMPORTRANGE(""1RdEdgHYrZ33LJ7RUHj_h-qkAFL92bcVjtIdVa-UlsCw"", ""Interns!D:D""), 
   IMPORTRANGE(""1RdEdgHYrZ33LJ7RUHj_h-qkAFL92bcVjtIdVa-UlsCw"", ""Interns!N:N""), 
   ""Not Found"")"),"#SpeakingMyName")</f>
        <v>#SpeakingMyName</v>
      </c>
      <c r="AM974" s="23" t="str">
        <f>IFERROR(__xludf.DUMMYFUNCTION("XLOOKUP(C974, 
   IMPORTRANGE(""1RdEdgHYrZ33LJ7RUHj_h-qkAFL92bcVjtIdVa-UlsCw"", ""Interns!D:D""), 
   IMPORTRANGE(""1RdEdgHYrZ33LJ7RUHj_h-qkAFL92bcVjtIdVa-UlsCw"", ""Interns!O:O""), 
   ""Not Found"")"),"Alicia reached out by email on 5/15 for #SpeakingMyName")</f>
        <v>Alicia reached out by email on 5/15 for #SpeakingMyName</v>
      </c>
      <c r="AN974" s="23"/>
      <c r="AO974" s="23" t="s">
        <v>11450</v>
      </c>
      <c r="AP974" s="28" t="s">
        <v>5173</v>
      </c>
      <c r="AQ974" s="28"/>
      <c r="AR974" s="23"/>
      <c r="AS974" s="23"/>
      <c r="AT974" s="23"/>
      <c r="AU974" s="23"/>
      <c r="AV974" s="23"/>
    </row>
    <row r="975">
      <c r="A975" s="28" t="s">
        <v>5161</v>
      </c>
      <c r="B975" s="28" t="s">
        <v>5162</v>
      </c>
      <c r="C975" s="23" t="str">
        <f t="shared" si="1"/>
        <v>Hatouma Doucoure</v>
      </c>
      <c r="D975" s="28" t="s">
        <v>11451</v>
      </c>
      <c r="E975" s="28" t="s">
        <v>11452</v>
      </c>
      <c r="F975" s="23">
        <f t="array" ref="F975">IFERROR(
    INDEX('Hub Interns 226'!A:A, MATCH(C975, 'Hub Interns 226'!B:B, 0)),"")</f>
        <v>568</v>
      </c>
      <c r="G975" s="23">
        <f t="array" ref="G975">IFERROR(
    INDEX('Hub Users 226'!A:A, MATCH(C975, 'Hub Users 226'!B:B, 0)),"")</f>
        <v>1001</v>
      </c>
      <c r="H975" s="28">
        <v>310.0</v>
      </c>
      <c r="I975" s="28" t="s">
        <v>290</v>
      </c>
      <c r="J975" s="28" t="s">
        <v>11408</v>
      </c>
      <c r="K975" s="28" t="s">
        <v>5245</v>
      </c>
      <c r="L975" s="28" t="s">
        <v>5196</v>
      </c>
      <c r="M975" s="56" t="s">
        <v>11453</v>
      </c>
      <c r="N975" s="57">
        <v>44234.55416666667</v>
      </c>
      <c r="O975" s="58">
        <v>37580.0</v>
      </c>
      <c r="P975" s="28">
        <f t="shared" si="27"/>
        <v>23</v>
      </c>
      <c r="Q975" s="28" t="s">
        <v>11454</v>
      </c>
      <c r="R975" s="28" t="s">
        <v>11455</v>
      </c>
      <c r="S975" s="28">
        <v>15.0</v>
      </c>
      <c r="T975" s="28">
        <v>29.0</v>
      </c>
      <c r="U975" s="28">
        <v>84.0</v>
      </c>
      <c r="V975" s="28">
        <v>8.0</v>
      </c>
      <c r="W975" s="28" t="s">
        <v>859</v>
      </c>
      <c r="X975" s="28" t="s">
        <v>272</v>
      </c>
      <c r="Y975" s="28">
        <v>6.467560405E9</v>
      </c>
      <c r="Z975" s="28" t="s">
        <v>5208</v>
      </c>
      <c r="AA975" s="28" t="s">
        <v>2141</v>
      </c>
      <c r="AB975" s="28">
        <v>8.0</v>
      </c>
      <c r="AC975" s="28" t="s">
        <v>25</v>
      </c>
      <c r="AD975" s="23"/>
      <c r="AE975" s="28" t="s">
        <v>8</v>
      </c>
      <c r="AF975" s="23" t="str">
        <f>IFERROR(__xludf.DUMMYFUNCTION("TEXTJOIN("", "", TRUE,
  FILTER(Champions!C:C,
    ISNUMBER(SEARCH(C975, Champions!W:W))
  )
)"),"Natalie Jane Miller, Ritika Naik")</f>
        <v>Natalie Jane Miller, Ritika Naik</v>
      </c>
      <c r="AG975" s="23"/>
      <c r="AH975" s="23" t="str">
        <f>IFERROR(__xludf.DUMMYFUNCTION("IF(
ISNUMBER(MATCH(
C975,
IMPORTRANGE(""https://docs.google.com/spreadsheets/d/1yTh1ELC33JHYOeEdgIiEclxPRyh0zOKtlawDltfUay8"",""'Interns'!A:A""),
0
)),
""Outreach Conducted"",
"""")"),"")</f>
        <v/>
      </c>
      <c r="AI975" s="23"/>
      <c r="AJ975" s="23"/>
      <c r="AK975" s="23" t="str">
        <f>IFERROR(__xludf.DUMMYFUNCTION("XLOOKUP(C975, 
   IMPORTRANGE(""1RdEdgHYrZ33LJ7RUHj_h-qkAFL92bcVjtIdVa-UlsCw"", ""Interns!D:D""), 
   IMPORTRANGE(""1RdEdgHYrZ33LJ7RUHj_h-qkAFL92bcVjtIdVa-UlsCw"", ""Interns!M:M""), 
   ""Not Found"")"),"Contacted")</f>
        <v>Contacted</v>
      </c>
      <c r="AL975" s="23" t="str">
        <f>IFERROR(__xludf.DUMMYFUNCTION("XLOOKUP(C975, 
   IMPORTRANGE(""1RdEdgHYrZ33LJ7RUHj_h-qkAFL92bcVjtIdVa-UlsCw"", ""Interns!D:D""), 
   IMPORTRANGE(""1RdEdgHYrZ33LJ7RUHj_h-qkAFL92bcVjtIdVa-UlsCw"", ""Interns!N:N""), 
   ""Not Found"")"),"#Cheers4Careers")</f>
        <v>#Cheers4Careers</v>
      </c>
      <c r="AM975" s="23" t="str">
        <f>IFERROR(__xludf.DUMMYFUNCTION("XLOOKUP(C975, 
   IMPORTRANGE(""1RdEdgHYrZ33LJ7RUHj_h-qkAFL92bcVjtIdVa-UlsCw"", ""Interns!D:D""), 
   IMPORTRANGE(""1RdEdgHYrZ33LJ7RUHj_h-qkAFL92bcVjtIdVa-UlsCw"", ""Interns!O:O""), 
   ""Not Found"")"),"Hetal reached out by email 3/27")</f>
        <v>Hetal reached out by email 3/27</v>
      </c>
      <c r="AN975" s="23"/>
      <c r="AO975" s="23" t="s">
        <v>11456</v>
      </c>
      <c r="AP975" s="28" t="s">
        <v>5182</v>
      </c>
      <c r="AQ975" s="28" t="s">
        <v>11457</v>
      </c>
      <c r="AR975" s="23">
        <v>6.467551785E9</v>
      </c>
      <c r="AS975" s="23"/>
      <c r="AT975" s="23"/>
      <c r="AU975" s="23"/>
      <c r="AV975" s="23"/>
    </row>
    <row r="976">
      <c r="A976" s="28" t="s">
        <v>5161</v>
      </c>
      <c r="B976" s="28" t="s">
        <v>5162</v>
      </c>
      <c r="C976" s="23" t="str">
        <f t="shared" si="1"/>
        <v>Zaineb Kayuteh</v>
      </c>
      <c r="D976" s="28" t="s">
        <v>11458</v>
      </c>
      <c r="E976" s="28" t="s">
        <v>11459</v>
      </c>
      <c r="F976" s="23" t="str">
        <f t="array" ref="F976">IFERROR(
    INDEX('Hub Interns 226'!A:A, MATCH(C976, 'Hub Interns 226'!B:B, 0)),"")</f>
        <v/>
      </c>
      <c r="G976" s="23" t="str">
        <f t="array" ref="G976">IFERROR(
    INDEX('Hub Users 226'!A:A, MATCH(C976, 'Hub Users 226'!B:B, 0)),"")</f>
        <v/>
      </c>
      <c r="H976" s="28">
        <v>22.0</v>
      </c>
      <c r="I976" s="28"/>
      <c r="J976" s="28" t="s">
        <v>11408</v>
      </c>
      <c r="K976" s="28" t="s">
        <v>5245</v>
      </c>
      <c r="L976" s="28" t="s">
        <v>5196</v>
      </c>
      <c r="M976" s="23"/>
      <c r="N976" s="57">
        <v>43741.63055555556</v>
      </c>
      <c r="O976" s="58"/>
      <c r="P976" s="28"/>
      <c r="Q976" s="28" t="s">
        <v>240</v>
      </c>
      <c r="R976" s="23"/>
      <c r="S976" s="28"/>
      <c r="T976" s="28"/>
      <c r="U976" s="28"/>
      <c r="V976" s="28"/>
      <c r="W976" s="28" t="s">
        <v>380</v>
      </c>
      <c r="X976" s="28" t="s">
        <v>381</v>
      </c>
      <c r="Y976" s="28">
        <v>2.677770165E9</v>
      </c>
      <c r="Z976" s="28" t="s">
        <v>5491</v>
      </c>
      <c r="AA976" s="28" t="s">
        <v>5492</v>
      </c>
      <c r="AB976" s="28">
        <v>47.0</v>
      </c>
      <c r="AC976" s="28" t="s">
        <v>25</v>
      </c>
      <c r="AD976" s="23"/>
      <c r="AE976" s="28" t="s">
        <v>4</v>
      </c>
      <c r="AF976" s="23" t="str">
        <f>IFERROR(__xludf.DUMMYFUNCTION("TEXTJOIN("", "", TRUE,
  FILTER(Champions!C:C,
    ISNUMBER(SEARCH(C976, Champions!W:W))
  )
)"),"#N/A")</f>
        <v>#N/A</v>
      </c>
      <c r="AG976" s="23"/>
      <c r="AH976" s="23" t="str">
        <f>IFERROR(__xludf.DUMMYFUNCTION("IF(
ISNUMBER(MATCH(
C976,
IMPORTRANGE(""https://docs.google.com/spreadsheets/d/1yTh1ELC33JHYOeEdgIiEclxPRyh0zOKtlawDltfUay8"",""'Interns'!A:A""),
0
)),
""Outreach Conducted"",
"""")"),"")</f>
        <v/>
      </c>
      <c r="AI976" s="23"/>
      <c r="AJ976" s="23"/>
      <c r="AK976" s="23" t="str">
        <f>IFERROR(__xludf.DUMMYFUNCTION("XLOOKUP(C976, 
   IMPORTRANGE(""1RdEdgHYrZ33LJ7RUHj_h-qkAFL92bcVjtIdVa-UlsCw"", ""Interns!D:D""), 
   IMPORTRANGE(""1RdEdgHYrZ33LJ7RUHj_h-qkAFL92bcVjtIdVa-UlsCw"", ""Interns!M:M""), 
   ""Not Found"")"),"")</f>
        <v/>
      </c>
      <c r="AL976" s="23" t="str">
        <f>IFERROR(__xludf.DUMMYFUNCTION("XLOOKUP(C976, 
   IMPORTRANGE(""1RdEdgHYrZ33LJ7RUHj_h-qkAFL92bcVjtIdVa-UlsCw"", ""Interns!D:D""), 
   IMPORTRANGE(""1RdEdgHYrZ33LJ7RUHj_h-qkAFL92bcVjtIdVa-UlsCw"", ""Interns!N:N""), 
   ""Not Found"")"),"")</f>
        <v/>
      </c>
      <c r="AM976" s="23" t="str">
        <f>IFERROR(__xludf.DUMMYFUNCTION("XLOOKUP(C976, 
   IMPORTRANGE(""1RdEdgHYrZ33LJ7RUHj_h-qkAFL92bcVjtIdVa-UlsCw"", ""Interns!D:D""), 
   IMPORTRANGE(""1RdEdgHYrZ33LJ7RUHj_h-qkAFL92bcVjtIdVa-UlsCw"", ""Interns!O:O""), 
   ""Not Found"")"),"")</f>
        <v/>
      </c>
      <c r="AN976" s="23"/>
      <c r="AO976" s="23" t="s">
        <v>11460</v>
      </c>
      <c r="AP976" s="28" t="s">
        <v>5182</v>
      </c>
      <c r="AQ976" s="28" t="s">
        <v>11460</v>
      </c>
      <c r="AR976" s="23">
        <v>2.157761052E9</v>
      </c>
      <c r="AS976" s="23"/>
      <c r="AT976" s="23"/>
      <c r="AU976" s="23"/>
      <c r="AV976" s="23"/>
    </row>
    <row r="977">
      <c r="A977" s="28" t="s">
        <v>5161</v>
      </c>
      <c r="B977" s="28" t="s">
        <v>5162</v>
      </c>
      <c r="C977" s="23" t="str">
        <f t="shared" si="1"/>
        <v>Saidatou Diallo</v>
      </c>
      <c r="D977" s="28" t="s">
        <v>11461</v>
      </c>
      <c r="E977" s="28" t="s">
        <v>7818</v>
      </c>
      <c r="F977" s="23" t="str">
        <f t="array" ref="F977">IFERROR(
    INDEX('Hub Interns 226'!A:A, MATCH(C977, 'Hub Interns 226'!B:B, 0)),"")</f>
        <v/>
      </c>
      <c r="G977" s="23">
        <f t="array" ref="G977">IFERROR(
    INDEX('Hub Users 226'!A:A, MATCH(C977, 'Hub Users 226'!B:B, 0)),"")</f>
        <v>449</v>
      </c>
      <c r="H977" s="28">
        <v>253.0</v>
      </c>
      <c r="I977" s="28" t="s">
        <v>290</v>
      </c>
      <c r="J977" s="28" t="s">
        <v>11408</v>
      </c>
      <c r="K977" s="28" t="s">
        <v>5245</v>
      </c>
      <c r="L977" s="28" t="s">
        <v>5196</v>
      </c>
      <c r="M977" s="56" t="s">
        <v>11462</v>
      </c>
      <c r="N977" s="59">
        <v>44159.42916666667</v>
      </c>
      <c r="O977" s="58">
        <v>38238.0</v>
      </c>
      <c r="P977" s="28">
        <f t="shared" ref="P977:P983" si="28">DATEDIF(O977, TODAY(), "Y")</f>
        <v>21</v>
      </c>
      <c r="Q977" s="28" t="s">
        <v>11463</v>
      </c>
      <c r="R977" s="28" t="s">
        <v>11464</v>
      </c>
      <c r="S977" s="28"/>
      <c r="T977" s="28"/>
      <c r="U977" s="28"/>
      <c r="V977" s="28"/>
      <c r="W977" s="28" t="s">
        <v>380</v>
      </c>
      <c r="X977" s="28" t="s">
        <v>381</v>
      </c>
      <c r="Y977" s="28" t="s">
        <v>11465</v>
      </c>
      <c r="Z977" s="28" t="s">
        <v>5220</v>
      </c>
      <c r="AA977" s="28" t="s">
        <v>1570</v>
      </c>
      <c r="AB977" s="28" t="s">
        <v>5221</v>
      </c>
      <c r="AC977" s="28" t="s">
        <v>25</v>
      </c>
      <c r="AD977" s="28" t="s">
        <v>101</v>
      </c>
      <c r="AE977" s="28" t="s">
        <v>8</v>
      </c>
      <c r="AF977" s="23" t="str">
        <f>IFERROR(__xludf.DUMMYFUNCTION("TEXTJOIN("", "", TRUE,
  FILTER(Champions!C:C,
    ISNUMBER(SEARCH(C977, Champions!W:W))
  )
)"),"Ritika Naik, Tanya Toko, Vicki Teman")</f>
        <v>Ritika Naik, Tanya Toko, Vicki Teman</v>
      </c>
      <c r="AG977" s="23"/>
      <c r="AH977" s="23" t="str">
        <f>IFERROR(__xludf.DUMMYFUNCTION("IF(
ISNUMBER(MATCH(
C977,
IMPORTRANGE(""https://docs.google.com/spreadsheets/d/1yTh1ELC33JHYOeEdgIiEclxPRyh0zOKtlawDltfUay8"",""'Interns'!A:A""),
0
)),
""Outreach Conducted"",
"""")"),"")</f>
        <v/>
      </c>
      <c r="AI977" s="23"/>
      <c r="AJ977" s="23"/>
      <c r="AK977" s="23" t="str">
        <f>IFERROR(__xludf.DUMMYFUNCTION("XLOOKUP(C977, 
   IMPORTRANGE(""1RdEdgHYrZ33LJ7RUHj_h-qkAFL92bcVjtIdVa-UlsCw"", ""Interns!D:D""), 
   IMPORTRANGE(""1RdEdgHYrZ33LJ7RUHj_h-qkAFL92bcVjtIdVa-UlsCw"", ""Interns!M:M""), 
   ""Not Found"")"),"")</f>
        <v/>
      </c>
      <c r="AL977" s="23" t="str">
        <f>IFERROR(__xludf.DUMMYFUNCTION("XLOOKUP(C977, 
   IMPORTRANGE(""1RdEdgHYrZ33LJ7RUHj_h-qkAFL92bcVjtIdVa-UlsCw"", ""Interns!D:D""), 
   IMPORTRANGE(""1RdEdgHYrZ33LJ7RUHj_h-qkAFL92bcVjtIdVa-UlsCw"", ""Interns!N:N""), 
   ""Not Found"")"),"")</f>
        <v/>
      </c>
      <c r="AM977" s="23" t="str">
        <f>IFERROR(__xludf.DUMMYFUNCTION("XLOOKUP(C977, 
   IMPORTRANGE(""1RdEdgHYrZ33LJ7RUHj_h-qkAFL92bcVjtIdVa-UlsCw"", ""Interns!D:D""), 
   IMPORTRANGE(""1RdEdgHYrZ33LJ7RUHj_h-qkAFL92bcVjtIdVa-UlsCw"", ""Interns!O:O""), 
   ""Not Found"")"),"")</f>
        <v/>
      </c>
      <c r="AN977" s="23"/>
      <c r="AO977" s="23" t="s">
        <v>11466</v>
      </c>
      <c r="AP977" s="28" t="s">
        <v>7353</v>
      </c>
      <c r="AQ977" s="28" t="s">
        <v>11467</v>
      </c>
      <c r="AR977" s="23" t="s">
        <v>11465</v>
      </c>
      <c r="AS977" s="23"/>
      <c r="AT977" s="23"/>
      <c r="AU977" s="23"/>
      <c r="AV977" s="23"/>
    </row>
    <row r="978">
      <c r="A978" s="28" t="s">
        <v>5161</v>
      </c>
      <c r="B978" s="28" t="s">
        <v>31</v>
      </c>
      <c r="C978" s="23" t="str">
        <f t="shared" si="1"/>
        <v>Luis Chimbo</v>
      </c>
      <c r="D978" s="28" t="s">
        <v>6689</v>
      </c>
      <c r="E978" s="28" t="s">
        <v>8796</v>
      </c>
      <c r="F978" s="23">
        <f t="array" ref="F978">IFERROR(
    INDEX('Hub Interns 226'!A:A, MATCH(C978, 'Hub Interns 226'!B:B, 0)),"")</f>
        <v>53</v>
      </c>
      <c r="G978" s="23">
        <f t="array" ref="G978">IFERROR(
    INDEX('Hub Users 226'!A:A, MATCH(C978, 'Hub Users 226'!B:B, 0)),"")</f>
        <v>486</v>
      </c>
      <c r="H978" s="28">
        <v>743.0</v>
      </c>
      <c r="I978" s="28" t="s">
        <v>239</v>
      </c>
      <c r="J978" s="28" t="s">
        <v>2388</v>
      </c>
      <c r="K978" s="28" t="s">
        <v>5463</v>
      </c>
      <c r="L978" s="28" t="s">
        <v>5165</v>
      </c>
      <c r="M978" s="56" t="s">
        <v>8797</v>
      </c>
      <c r="N978" s="59">
        <v>44551.441666666666</v>
      </c>
      <c r="O978" s="58">
        <v>38830.0</v>
      </c>
      <c r="P978" s="28">
        <f t="shared" si="28"/>
        <v>20</v>
      </c>
      <c r="Q978" s="28" t="s">
        <v>240</v>
      </c>
      <c r="R978" s="28" t="s">
        <v>8798</v>
      </c>
      <c r="S978" s="28">
        <v>14.0</v>
      </c>
      <c r="T978" s="28">
        <v>32.0</v>
      </c>
      <c r="U978" s="28">
        <v>85.0</v>
      </c>
      <c r="V978" s="28">
        <v>17.0</v>
      </c>
      <c r="W978" s="28" t="s">
        <v>859</v>
      </c>
      <c r="X978" s="28" t="s">
        <v>272</v>
      </c>
      <c r="Y978" s="28" t="s">
        <v>8799</v>
      </c>
      <c r="Z978" s="28" t="s">
        <v>5259</v>
      </c>
      <c r="AA978" s="28" t="s">
        <v>704</v>
      </c>
      <c r="AB978" s="28">
        <v>2.0</v>
      </c>
      <c r="AC978" s="28" t="s">
        <v>23</v>
      </c>
      <c r="AD978" s="28" t="s">
        <v>101</v>
      </c>
      <c r="AE978" s="28" t="s">
        <v>15</v>
      </c>
      <c r="AF978" s="23"/>
      <c r="AG978" s="23"/>
      <c r="AH978" s="23" t="str">
        <f>IFERROR(__xludf.DUMMYFUNCTION("IF(
ISNUMBER(MATCH(
C978,
IMPORTRANGE(""https://docs.google.com/spreadsheets/d/1yTh1ELC33JHYOeEdgIiEclxPRyh0zOKtlawDltfUay8"",""'Interns'!A:A""),
0
)),
""Outreach Conducted"",
"""")"),"")</f>
        <v/>
      </c>
      <c r="AI978" s="23"/>
      <c r="AJ978" s="23"/>
      <c r="AK978" s="23" t="str">
        <f>IFERROR(__xludf.DUMMYFUNCTION("XLOOKUP(C978, 
   IMPORTRANGE(""1RdEdgHYrZ33LJ7RUHj_h-qkAFL92bcVjtIdVa-UlsCw"", ""Interns!D:D""), 
   IMPORTRANGE(""1RdEdgHYrZ33LJ7RUHj_h-qkAFL92bcVjtIdVa-UlsCw"", ""Interns!M:M""), 
   ""Not Found"")"),"")</f>
        <v/>
      </c>
      <c r="AL978" s="23" t="str">
        <f>IFERROR(__xludf.DUMMYFUNCTION("XLOOKUP(C978, 
   IMPORTRANGE(""1RdEdgHYrZ33LJ7RUHj_h-qkAFL92bcVjtIdVa-UlsCw"", ""Interns!D:D""), 
   IMPORTRANGE(""1RdEdgHYrZ33LJ7RUHj_h-qkAFL92bcVjtIdVa-UlsCw"", ""Interns!N:N""), 
   ""Not Found"")"),"")</f>
        <v/>
      </c>
      <c r="AM978" s="23" t="str">
        <f>IFERROR(__xludf.DUMMYFUNCTION("XLOOKUP(C978, 
   IMPORTRANGE(""1RdEdgHYrZ33LJ7RUHj_h-qkAFL92bcVjtIdVa-UlsCw"", ""Interns!D:D""), 
   IMPORTRANGE(""1RdEdgHYrZ33LJ7RUHj_h-qkAFL92bcVjtIdVa-UlsCw"", ""Interns!O:O""), 
   ""Not Found"")"),"")</f>
        <v/>
      </c>
      <c r="AN978" s="23"/>
      <c r="AO978" s="23" t="s">
        <v>8800</v>
      </c>
      <c r="AP978" s="28" t="s">
        <v>5182</v>
      </c>
      <c r="AQ978" s="28" t="s">
        <v>8801</v>
      </c>
      <c r="AR978" s="23" t="s">
        <v>8802</v>
      </c>
      <c r="AS978" s="23"/>
      <c r="AT978" s="23"/>
      <c r="AU978" s="23"/>
      <c r="AV978" s="23"/>
    </row>
    <row r="979">
      <c r="A979" s="28" t="s">
        <v>5161</v>
      </c>
      <c r="B979" s="28" t="s">
        <v>5162</v>
      </c>
      <c r="C979" s="23" t="str">
        <f t="shared" si="1"/>
        <v>Doussouba Diakite</v>
      </c>
      <c r="D979" s="28" t="s">
        <v>11468</v>
      </c>
      <c r="E979" s="28" t="s">
        <v>11469</v>
      </c>
      <c r="F979" s="23">
        <f t="array" ref="F979">IFERROR(
    INDEX('Hub Interns 226'!A:A, MATCH(C979, 'Hub Interns 226'!B:B, 0)),"")</f>
        <v>105</v>
      </c>
      <c r="G979" s="23">
        <f t="array" ref="G979">IFERROR(
    INDEX('Hub Users 226'!A:A, MATCH(C979, 'Hub Users 226'!B:B, 0)),"")</f>
        <v>538</v>
      </c>
      <c r="H979" s="28">
        <v>1476.0</v>
      </c>
      <c r="I979" s="28" t="s">
        <v>239</v>
      </c>
      <c r="J979" s="28" t="s">
        <v>11470</v>
      </c>
      <c r="K979" s="28" t="s">
        <v>5245</v>
      </c>
      <c r="L979" s="28" t="s">
        <v>5196</v>
      </c>
      <c r="M979" s="56" t="s">
        <v>11471</v>
      </c>
      <c r="N979" s="57">
        <v>44939.60902777778</v>
      </c>
      <c r="O979" s="58">
        <v>39021.0</v>
      </c>
      <c r="P979" s="28">
        <f t="shared" si="28"/>
        <v>19</v>
      </c>
      <c r="Q979" s="28" t="s">
        <v>11472</v>
      </c>
      <c r="R979" s="28" t="s">
        <v>11473</v>
      </c>
      <c r="S979" s="28">
        <v>15.0</v>
      </c>
      <c r="T979" s="28">
        <v>32.0</v>
      </c>
      <c r="U979" s="28">
        <v>77.0</v>
      </c>
      <c r="V979" s="28">
        <v>16.0</v>
      </c>
      <c r="W979" s="28" t="s">
        <v>859</v>
      </c>
      <c r="X979" s="28" t="s">
        <v>272</v>
      </c>
      <c r="Y979" s="28" t="s">
        <v>11474</v>
      </c>
      <c r="Z979" s="28" t="s">
        <v>5259</v>
      </c>
      <c r="AA979" s="28" t="s">
        <v>704</v>
      </c>
      <c r="AB979" s="28">
        <v>2.0</v>
      </c>
      <c r="AC979" s="28" t="s">
        <v>25</v>
      </c>
      <c r="AD979" s="23"/>
      <c r="AE979" s="28" t="s">
        <v>15</v>
      </c>
      <c r="AF979" s="23" t="str">
        <f>IFERROR(__xludf.DUMMYFUNCTION("TEXTJOIN("", "", TRUE,
  FILTER(Champions!C:C,
    ISNUMBER(SEARCH(C979, Champions!W:W))
  )
)"),"Daniela Fernandez Espinosa, Karim Rajmohamed")</f>
        <v>Daniela Fernandez Espinosa, Karim Rajmohamed</v>
      </c>
      <c r="AG979" s="23"/>
      <c r="AH979" s="23" t="str">
        <f>IFERROR(__xludf.DUMMYFUNCTION("IF(
ISNUMBER(MATCH(
C979,
IMPORTRANGE(""https://docs.google.com/spreadsheets/d/1yTh1ELC33JHYOeEdgIiEclxPRyh0zOKtlawDltfUay8"",""'Interns'!A:A""),
0
)),
""Outreach Conducted"",
"""")"),"")</f>
        <v/>
      </c>
      <c r="AI979" s="23"/>
      <c r="AJ979" s="23"/>
      <c r="AK979" s="23" t="str">
        <f>IFERROR(__xludf.DUMMYFUNCTION("XLOOKUP(C979, 
   IMPORTRANGE(""1RdEdgHYrZ33LJ7RUHj_h-qkAFL92bcVjtIdVa-UlsCw"", ""Interns!D:D""), 
   IMPORTRANGE(""1RdEdgHYrZ33LJ7RUHj_h-qkAFL92bcVjtIdVa-UlsCw"", ""Interns!M:M""), 
   ""Not Found"")"),"")</f>
        <v/>
      </c>
      <c r="AL979" s="23" t="str">
        <f>IFERROR(__xludf.DUMMYFUNCTION("XLOOKUP(C979, 
   IMPORTRANGE(""1RdEdgHYrZ33LJ7RUHj_h-qkAFL92bcVjtIdVa-UlsCw"", ""Interns!D:D""), 
   IMPORTRANGE(""1RdEdgHYrZ33LJ7RUHj_h-qkAFL92bcVjtIdVa-UlsCw"", ""Interns!N:N""), 
   ""Not Found"")"),"")</f>
        <v/>
      </c>
      <c r="AM979" s="23" t="str">
        <f>IFERROR(__xludf.DUMMYFUNCTION("XLOOKUP(C979, 
   IMPORTRANGE(""1RdEdgHYrZ33LJ7RUHj_h-qkAFL92bcVjtIdVa-UlsCw"", ""Interns!D:D""), 
   IMPORTRANGE(""1RdEdgHYrZ33LJ7RUHj_h-qkAFL92bcVjtIdVa-UlsCw"", ""Interns!O:O""), 
   ""Not Found"")"),"")</f>
        <v/>
      </c>
      <c r="AN979" s="23"/>
      <c r="AO979" s="23" t="s">
        <v>11475</v>
      </c>
      <c r="AP979" s="28" t="s">
        <v>5989</v>
      </c>
      <c r="AQ979" s="28" t="s">
        <v>11476</v>
      </c>
      <c r="AR979" s="23" t="s">
        <v>11477</v>
      </c>
      <c r="AS979" s="23"/>
      <c r="AT979" s="23"/>
      <c r="AU979" s="23"/>
      <c r="AV979" s="23"/>
    </row>
    <row r="980">
      <c r="A980" s="28" t="s">
        <v>5161</v>
      </c>
      <c r="B980" s="28" t="s">
        <v>5162</v>
      </c>
      <c r="C980" s="23" t="str">
        <f t="shared" si="1"/>
        <v>Aristid Reynoso</v>
      </c>
      <c r="D980" s="28" t="s">
        <v>11478</v>
      </c>
      <c r="E980" s="28" t="s">
        <v>7871</v>
      </c>
      <c r="F980" s="23">
        <f t="array" ref="F980">IFERROR(
    INDEX('Hub Interns 226'!A:A, MATCH(C980, 'Hub Interns 226'!B:B, 0)),"")</f>
        <v>261</v>
      </c>
      <c r="G980" s="23">
        <f t="array" ref="G980">IFERROR(
    INDEX('Hub Users 226'!A:A, MATCH(C980, 'Hub Users 226'!B:B, 0)),"")</f>
        <v>694</v>
      </c>
      <c r="H980" s="28">
        <v>1281.0</v>
      </c>
      <c r="I980" s="28" t="s">
        <v>107</v>
      </c>
      <c r="J980" s="28" t="s">
        <v>5336</v>
      </c>
      <c r="K980" s="28" t="s">
        <v>5177</v>
      </c>
      <c r="L980" s="28" t="s">
        <v>5165</v>
      </c>
      <c r="M980" s="56" t="s">
        <v>11479</v>
      </c>
      <c r="N980" s="59">
        <v>44845.61041666667</v>
      </c>
      <c r="O980" s="58">
        <v>38519.0</v>
      </c>
      <c r="P980" s="28">
        <f t="shared" si="28"/>
        <v>20</v>
      </c>
      <c r="Q980" s="28" t="s">
        <v>11480</v>
      </c>
      <c r="R980" s="28" t="s">
        <v>11481</v>
      </c>
      <c r="S980" s="28">
        <v>13.0</v>
      </c>
      <c r="T980" s="28">
        <v>31.0</v>
      </c>
      <c r="U980" s="28">
        <v>72.0</v>
      </c>
      <c r="V980" s="28">
        <v>10.0</v>
      </c>
      <c r="W980" s="28" t="s">
        <v>271</v>
      </c>
      <c r="X980" s="28" t="s">
        <v>272</v>
      </c>
      <c r="Y980" s="28" t="s">
        <v>11482</v>
      </c>
      <c r="Z980" s="28" t="s">
        <v>5341</v>
      </c>
      <c r="AA980" s="28" t="s">
        <v>1085</v>
      </c>
      <c r="AB980" s="28">
        <v>10.0</v>
      </c>
      <c r="AC980" s="28" t="s">
        <v>25</v>
      </c>
      <c r="AD980" s="23"/>
      <c r="AE980" s="28" t="s">
        <v>15</v>
      </c>
      <c r="AF980" s="23" t="str">
        <f>IFERROR(__xludf.DUMMYFUNCTION("TEXTJOIN("", "", TRUE,
  FILTER(Champions!C:C,
    ISNUMBER(SEARCH(C980, Champions!W:W))
  )
)"),"John ?Nico? Johnson, Daniela Fernandez Espinosa, David Temple")</f>
        <v>John ?Nico? Johnson, Daniela Fernandez Espinosa, David Temple</v>
      </c>
      <c r="AG980" s="26" t="s">
        <v>5342</v>
      </c>
      <c r="AH980" s="23" t="str">
        <f>IFERROR(__xludf.DUMMYFUNCTION("IF(
ISNUMBER(MATCH(
C980,
IMPORTRANGE(""https://docs.google.com/spreadsheets/d/1yTh1ELC33JHYOeEdgIiEclxPRyh0zOKtlawDltfUay8"",""'Interns'!A:A""),
0
)),
""Outreach Conducted"",
"""")"),"")</f>
        <v/>
      </c>
      <c r="AI980" s="23"/>
      <c r="AJ980" s="23"/>
      <c r="AK980" s="23" t="str">
        <f>IFERROR(__xludf.DUMMYFUNCTION("XLOOKUP(C980, 
   IMPORTRANGE(""1RdEdgHYrZ33LJ7RUHj_h-qkAFL92bcVjtIdVa-UlsCw"", ""Interns!D:D""), 
   IMPORTRANGE(""1RdEdgHYrZ33LJ7RUHj_h-qkAFL92bcVjtIdVa-UlsCw"", ""Interns!M:M""), 
   ""Not Found"")"),"Contacted")</f>
        <v>Contacted</v>
      </c>
      <c r="AL980" s="23" t="str">
        <f>IFERROR(__xludf.DUMMYFUNCTION("XLOOKUP(C980, 
   IMPORTRANGE(""1RdEdgHYrZ33LJ7RUHj_h-qkAFL92bcVjtIdVa-UlsCw"", ""Interns!D:D""), 
   IMPORTRANGE(""1RdEdgHYrZ33LJ7RUHj_h-qkAFL92bcVjtIdVa-UlsCw"", ""Interns!N:N""), 
   ""Not Found"")"),"#Cheers4Careers")</f>
        <v>#Cheers4Careers</v>
      </c>
      <c r="AM980" s="23" t="str">
        <f>IFERROR(__xludf.DUMMYFUNCTION("XLOOKUP(C980, 
   IMPORTRANGE(""1RdEdgHYrZ33LJ7RUHj_h-qkAFL92bcVjtIdVa-UlsCw"", ""Interns!D:D""), 
   IMPORTRANGE(""1RdEdgHYrZ33LJ7RUHj_h-qkAFL92bcVjtIdVa-UlsCw"", ""Interns!O:O""), 
   ""Not Found"")"),"Texted on April 12 for #Cheers4Careers event")</f>
        <v>Texted on April 12 for #Cheers4Careers event</v>
      </c>
      <c r="AN980" s="23"/>
      <c r="AO980" s="23" t="s">
        <v>11483</v>
      </c>
      <c r="AP980" s="28" t="s">
        <v>5182</v>
      </c>
      <c r="AQ980" s="28" t="s">
        <v>11484</v>
      </c>
      <c r="AR980" s="23" t="s">
        <v>11485</v>
      </c>
      <c r="AS980" s="23"/>
      <c r="AT980" s="23"/>
      <c r="AU980" s="23"/>
      <c r="AV980" s="23"/>
    </row>
    <row r="981">
      <c r="A981" s="28" t="s">
        <v>5161</v>
      </c>
      <c r="B981" s="28" t="s">
        <v>5162</v>
      </c>
      <c r="C981" s="23" t="str">
        <f t="shared" si="1"/>
        <v>Trisha Landolt</v>
      </c>
      <c r="D981" s="28" t="s">
        <v>11486</v>
      </c>
      <c r="E981" s="28" t="s">
        <v>11487</v>
      </c>
      <c r="F981" s="23">
        <f t="array" ref="F981">IFERROR(
    INDEX('Hub Interns 226'!A:A, MATCH(C981, 'Hub Interns 226'!B:B, 0)),"")</f>
        <v>1155</v>
      </c>
      <c r="G981" s="23">
        <f t="array" ref="G981">IFERROR(
    INDEX('Hub Users 226'!A:A, MATCH(C981, 'Hub Users 226'!B:B, 0)),"")</f>
        <v>1588</v>
      </c>
      <c r="H981" s="28">
        <v>324.0</v>
      </c>
      <c r="I981" s="28" t="s">
        <v>239</v>
      </c>
      <c r="J981" s="28" t="s">
        <v>11488</v>
      </c>
      <c r="K981" s="28" t="s">
        <v>11489</v>
      </c>
      <c r="L981" s="28" t="s">
        <v>5196</v>
      </c>
      <c r="M981" s="56" t="s">
        <v>11490</v>
      </c>
      <c r="N981" s="57">
        <v>44236.96597222222</v>
      </c>
      <c r="O981" s="58">
        <v>37945.0</v>
      </c>
      <c r="P981" s="28">
        <f t="shared" si="28"/>
        <v>22</v>
      </c>
      <c r="Q981" s="28" t="s">
        <v>240</v>
      </c>
      <c r="R981" s="28" t="s">
        <v>11491</v>
      </c>
      <c r="S981" s="28">
        <v>15.0</v>
      </c>
      <c r="T981" s="28">
        <v>32.0</v>
      </c>
      <c r="U981" s="28">
        <v>79.0</v>
      </c>
      <c r="V981" s="28">
        <v>16.0</v>
      </c>
      <c r="W981" s="28" t="s">
        <v>859</v>
      </c>
      <c r="X981" s="28" t="s">
        <v>272</v>
      </c>
      <c r="Y981" s="28">
        <v>7.186752405E9</v>
      </c>
      <c r="Z981" s="28" t="s">
        <v>5310</v>
      </c>
      <c r="AA981" s="28" t="s">
        <v>362</v>
      </c>
      <c r="AB981" s="28">
        <v>16.0</v>
      </c>
      <c r="AC981" s="28" t="s">
        <v>25</v>
      </c>
      <c r="AD981" s="23"/>
      <c r="AE981" s="28" t="s">
        <v>8</v>
      </c>
      <c r="AF981" s="23" t="str">
        <f>IFERROR(__xludf.DUMMYFUNCTION("TEXTJOIN("", "", TRUE,
  FILTER(Champions!C:C,
    ISNUMBER(SEARCH(C981, Champions!W:W))
  )
)"),"John ?Nico? Johnson, Akanksha Raina")</f>
        <v>John ?Nico? Johnson, Akanksha Raina</v>
      </c>
      <c r="AG981" s="23"/>
      <c r="AH981" s="23" t="str">
        <f>IFERROR(__xludf.DUMMYFUNCTION("IF(
ISNUMBER(MATCH(
C981,
IMPORTRANGE(""https://docs.google.com/spreadsheets/d/1yTh1ELC33JHYOeEdgIiEclxPRyh0zOKtlawDltfUay8"",""'Interns'!A:A""),
0
)),
""Outreach Conducted"",
"""")"),"")</f>
        <v/>
      </c>
      <c r="AI981" s="23"/>
      <c r="AJ981" s="23"/>
      <c r="AK981" s="23" t="str">
        <f>IFERROR(__xludf.DUMMYFUNCTION("XLOOKUP(C981, 
   IMPORTRANGE(""1RdEdgHYrZ33LJ7RUHj_h-qkAFL92bcVjtIdVa-UlsCw"", ""Interns!D:D""), 
   IMPORTRANGE(""1RdEdgHYrZ33LJ7RUHj_h-qkAFL92bcVjtIdVa-UlsCw"", ""Interns!M:M""), 
   ""Not Found"")"),"")</f>
        <v/>
      </c>
      <c r="AL981" s="23" t="str">
        <f>IFERROR(__xludf.DUMMYFUNCTION("XLOOKUP(C981, 
   IMPORTRANGE(""1RdEdgHYrZ33LJ7RUHj_h-qkAFL92bcVjtIdVa-UlsCw"", ""Interns!D:D""), 
   IMPORTRANGE(""1RdEdgHYrZ33LJ7RUHj_h-qkAFL92bcVjtIdVa-UlsCw"", ""Interns!N:N""), 
   ""Not Found"")"),"#SpeakingMyName")</f>
        <v>#SpeakingMyName</v>
      </c>
      <c r="AM981" s="23" t="str">
        <f>IFERROR(__xludf.DUMMYFUNCTION("XLOOKUP(C981, 
   IMPORTRANGE(""1RdEdgHYrZ33LJ7RUHj_h-qkAFL92bcVjtIdVa-UlsCw"", ""Interns!D:D""), 
   IMPORTRANGE(""1RdEdgHYrZ33LJ7RUHj_h-qkAFL92bcVjtIdVa-UlsCw"", ""Interns!O:O""), 
   ""Not Found"")"),"Alicia reached out by email on 5/15 for #SpeakingMyName")</f>
        <v>Alicia reached out by email on 5/15 for #SpeakingMyName</v>
      </c>
      <c r="AN981" s="23"/>
      <c r="AO981" s="23" t="s">
        <v>11492</v>
      </c>
      <c r="AP981" s="28" t="s">
        <v>5182</v>
      </c>
      <c r="AQ981" s="28" t="s">
        <v>11493</v>
      </c>
      <c r="AR981" s="23">
        <v>9.293389183E9</v>
      </c>
      <c r="AS981" s="23"/>
      <c r="AT981" s="23"/>
      <c r="AU981" s="23"/>
      <c r="AV981" s="23"/>
    </row>
    <row r="982">
      <c r="A982" s="28" t="s">
        <v>5161</v>
      </c>
      <c r="B982" s="28" t="s">
        <v>5162</v>
      </c>
      <c r="C982" s="23" t="str">
        <f t="shared" si="1"/>
        <v>Maria de lourdes Polanco</v>
      </c>
      <c r="D982" s="28" t="s">
        <v>11494</v>
      </c>
      <c r="E982" s="28" t="s">
        <v>7526</v>
      </c>
      <c r="F982" s="23">
        <f t="array" ref="F982">IFERROR(
    INDEX('Hub Interns 226'!A:A, MATCH(C982, 'Hub Interns 226'!B:B, 0)),"")</f>
        <v>843</v>
      </c>
      <c r="G982" s="23">
        <f t="array" ref="G982">IFERROR(
    INDEX('Hub Users 226'!A:A, MATCH(C982, 'Hub Users 226'!B:B, 0)),"")</f>
        <v>1276</v>
      </c>
      <c r="H982" s="28">
        <v>1322.0</v>
      </c>
      <c r="I982" s="28" t="s">
        <v>290</v>
      </c>
      <c r="J982" s="28" t="s">
        <v>5336</v>
      </c>
      <c r="K982" s="28" t="s">
        <v>5177</v>
      </c>
      <c r="L982" s="28" t="s">
        <v>5196</v>
      </c>
      <c r="M982" s="56" t="s">
        <v>11495</v>
      </c>
      <c r="N982" s="59">
        <v>44851.69861111111</v>
      </c>
      <c r="O982" s="58">
        <v>40139.0</v>
      </c>
      <c r="P982" s="28">
        <f t="shared" si="28"/>
        <v>16</v>
      </c>
      <c r="Q982" s="28" t="s">
        <v>240</v>
      </c>
      <c r="R982" s="28" t="s">
        <v>11496</v>
      </c>
      <c r="S982" s="28">
        <v>14.0</v>
      </c>
      <c r="T982" s="28">
        <v>13.0</v>
      </c>
      <c r="U982" s="28">
        <v>35.0</v>
      </c>
      <c r="V982" s="28">
        <v>21.0</v>
      </c>
      <c r="W982" s="28" t="s">
        <v>1173</v>
      </c>
      <c r="X982" s="28" t="s">
        <v>272</v>
      </c>
      <c r="Y982" s="28" t="s">
        <v>11497</v>
      </c>
      <c r="Z982" s="28" t="s">
        <v>5403</v>
      </c>
      <c r="AA982" s="28" t="s">
        <v>5404</v>
      </c>
      <c r="AB982" s="28">
        <v>21.0</v>
      </c>
      <c r="AC982" s="28" t="s">
        <v>23</v>
      </c>
      <c r="AD982" s="23"/>
      <c r="AE982" s="28" t="s">
        <v>15</v>
      </c>
      <c r="AF982" s="23"/>
      <c r="AG982" s="23"/>
      <c r="AH982" s="23" t="str">
        <f>IFERROR(__xludf.DUMMYFUNCTION("IF(
ISNUMBER(MATCH(
C982,
IMPORTRANGE(""https://docs.google.com/spreadsheets/d/1yTh1ELC33JHYOeEdgIiEclxPRyh0zOKtlawDltfUay8"",""'Interns'!A:A""),
0
)),
""Outreach Conducted"",
"""")"),"")</f>
        <v/>
      </c>
      <c r="AI982" s="23"/>
      <c r="AJ982" s="23"/>
      <c r="AK982" s="23" t="str">
        <f>IFERROR(__xludf.DUMMYFUNCTION("XLOOKUP(C982, 
   IMPORTRANGE(""1RdEdgHYrZ33LJ7RUHj_h-qkAFL92bcVjtIdVa-UlsCw"", ""Interns!D:D""), 
   IMPORTRANGE(""1RdEdgHYrZ33LJ7RUHj_h-qkAFL92bcVjtIdVa-UlsCw"", ""Interns!M:M""), 
   ""Not Found"")"),"Contacted")</f>
        <v>Contacted</v>
      </c>
      <c r="AL982" s="23" t="str">
        <f>IFERROR(__xludf.DUMMYFUNCTION("XLOOKUP(C982, 
   IMPORTRANGE(""1RdEdgHYrZ33LJ7RUHj_h-qkAFL92bcVjtIdVa-UlsCw"", ""Interns!D:D""), 
   IMPORTRANGE(""1RdEdgHYrZ33LJ7RUHj_h-qkAFL92bcVjtIdVa-UlsCw"", ""Interns!N:N""), 
   ""Not Found"")"),"#Cheers4Careers")</f>
        <v>#Cheers4Careers</v>
      </c>
      <c r="AM982" s="23" t="str">
        <f>IFERROR(__xludf.DUMMYFUNCTION("XLOOKUP(C982, 
   IMPORTRANGE(""1RdEdgHYrZ33LJ7RUHj_h-qkAFL92bcVjtIdVa-UlsCw"", ""Interns!D:D""), 
   IMPORTRANGE(""1RdEdgHYrZ33LJ7RUHj_h-qkAFL92bcVjtIdVa-UlsCw"", ""Interns!O:O""), 
   ""Not Found"")"),"reached out by email 3/27 by Menna and Hetal reached out by whatsapp on 3/28
Hetal reached out on 4/10 by whatsapp for April 18th #Cheers4Careers")</f>
        <v>reached out by email 3/27 by Menna and Hetal reached out by whatsapp on 3/28
Hetal reached out on 4/10 by whatsapp for April 18th #Cheers4Careers</v>
      </c>
      <c r="AN982" s="23"/>
      <c r="AO982" s="23" t="s">
        <v>11498</v>
      </c>
      <c r="AP982" s="28" t="s">
        <v>5182</v>
      </c>
      <c r="AQ982" s="28"/>
      <c r="AR982" s="23"/>
      <c r="AS982" s="23"/>
      <c r="AT982" s="23"/>
      <c r="AU982" s="23"/>
      <c r="AV982" s="23"/>
    </row>
    <row r="983">
      <c r="A983" s="28" t="s">
        <v>5161</v>
      </c>
      <c r="B983" s="28" t="s">
        <v>5162</v>
      </c>
      <c r="C983" s="23" t="str">
        <f t="shared" si="1"/>
        <v>Angel Martinez</v>
      </c>
      <c r="D983" s="28" t="s">
        <v>6000</v>
      </c>
      <c r="E983" s="28" t="s">
        <v>2010</v>
      </c>
      <c r="F983" s="23">
        <f t="array" ref="F983">IFERROR(
    INDEX('Hub Interns 226'!A:A, MATCH("Angel Cedeno", 'Hub Interns 226'!B:B, 0)),"")</f>
        <v>234</v>
      </c>
      <c r="G983" s="23">
        <f t="array" ref="G983">IFERROR(
    INDEX('Hub Users 226'!A:A, MATCH("Angel Cedeno", 'Hub Users 226'!B:B, 0)),"")</f>
        <v>667</v>
      </c>
      <c r="H983" s="28">
        <v>1757.0</v>
      </c>
      <c r="I983" s="28"/>
      <c r="J983" s="28" t="s">
        <v>5766</v>
      </c>
      <c r="K983" s="28" t="s">
        <v>5463</v>
      </c>
      <c r="L983" s="28" t="s">
        <v>6647</v>
      </c>
      <c r="M983" s="56" t="s">
        <v>6003</v>
      </c>
      <c r="N983" s="59">
        <v>45273.580555555556</v>
      </c>
      <c r="O983" s="58">
        <v>40247.0</v>
      </c>
      <c r="P983" s="28">
        <f t="shared" si="28"/>
        <v>16</v>
      </c>
      <c r="Q983" s="28" t="s">
        <v>240</v>
      </c>
      <c r="R983" s="28" t="s">
        <v>11499</v>
      </c>
      <c r="S983" s="28">
        <v>6.0</v>
      </c>
      <c r="T983" s="28">
        <v>12.0</v>
      </c>
      <c r="U983" s="28">
        <v>37.0</v>
      </c>
      <c r="V983" s="28">
        <v>30.0</v>
      </c>
      <c r="W983" s="28" t="s">
        <v>1173</v>
      </c>
      <c r="X983" s="28" t="s">
        <v>272</v>
      </c>
      <c r="Y983" s="28" t="s">
        <v>11500</v>
      </c>
      <c r="Z983" s="28" t="s">
        <v>5352</v>
      </c>
      <c r="AA983" s="28" t="s">
        <v>5287</v>
      </c>
      <c r="AB983" s="28">
        <v>26.0</v>
      </c>
      <c r="AC983" s="28" t="s">
        <v>27</v>
      </c>
      <c r="AD983" s="23"/>
      <c r="AE983" s="28" t="s">
        <v>18</v>
      </c>
      <c r="AF983" s="23"/>
      <c r="AG983" s="23"/>
      <c r="AH983" s="23" t="str">
        <f>IFERROR(__xludf.DUMMYFUNCTION("IF(
ISNUMBER(MATCH(
C983,
IMPORTRANGE(""https://docs.google.com/spreadsheets/d/1yTh1ELC33JHYOeEdgIiEclxPRyh0zOKtlawDltfUay8"",""'Interns'!A:A""),
0
)),
""Outreach Conducted"",
"""")"),"")</f>
        <v/>
      </c>
      <c r="AI983" s="23"/>
      <c r="AJ983" s="23"/>
      <c r="AK983" s="23" t="str">
        <f>IFERROR(__xludf.DUMMYFUNCTION("XLOOKUP(C983, 
   IMPORTRANGE(""1RdEdgHYrZ33LJ7RUHj_h-qkAFL92bcVjtIdVa-UlsCw"", ""Interns!D:D""), 
   IMPORTRANGE(""1RdEdgHYrZ33LJ7RUHj_h-qkAFL92bcVjtIdVa-UlsCw"", ""Interns!M:M""), 
   ""Not Found"")"),"Contacted")</f>
        <v>Contacted</v>
      </c>
      <c r="AL983" s="23" t="str">
        <f>IFERROR(__xludf.DUMMYFUNCTION("XLOOKUP(C983, 
   IMPORTRANGE(""1RdEdgHYrZ33LJ7RUHj_h-qkAFL92bcVjtIdVa-UlsCw"", ""Interns!D:D""), 
   IMPORTRANGE(""1RdEdgHYrZ33LJ7RUHj_h-qkAFL92bcVjtIdVa-UlsCw"", ""Interns!N:N""), 
   ""Not Found"")"),"#Cheers4Careers")</f>
        <v>#Cheers4Careers</v>
      </c>
      <c r="AM983" s="23" t="str">
        <f>IFERROR(__xludf.DUMMYFUNCTION("XLOOKUP(C983, 
   IMPORTRANGE(""1RdEdgHYrZ33LJ7RUHj_h-qkAFL92bcVjtIdVa-UlsCw"", ""Interns!D:D""), 
   IMPORTRANGE(""1RdEdgHYrZ33LJ7RUHj_h-qkAFL92bcVjtIdVa-UlsCw"", ""Interns!O:O""), 
   ""Not Found"")"),"Hetal reached out by email 3/27")</f>
        <v>Hetal reached out by email 3/27</v>
      </c>
      <c r="AN983" s="23"/>
      <c r="AO983" s="23" t="s">
        <v>11501</v>
      </c>
      <c r="AP983" s="28" t="s">
        <v>5173</v>
      </c>
      <c r="AQ983" s="28"/>
      <c r="AR983" s="23"/>
      <c r="AS983" s="23"/>
      <c r="AT983" s="23"/>
      <c r="AU983" s="23"/>
      <c r="AV983" s="23"/>
    </row>
    <row r="984">
      <c r="A984" s="28" t="s">
        <v>5202</v>
      </c>
      <c r="B984" s="28" t="s">
        <v>5162</v>
      </c>
      <c r="C984" s="23" t="str">
        <f t="shared" si="1"/>
        <v>Tulsi Patel</v>
      </c>
      <c r="D984" s="28" t="s">
        <v>3434</v>
      </c>
      <c r="E984" s="28" t="s">
        <v>487</v>
      </c>
      <c r="F984" s="23" t="str">
        <f t="array" ref="F984">IFERROR(
    INDEX('Hub Interns 226'!A:A, MATCH(C984, 'Hub Interns 226'!B:B, 0)),"")</f>
        <v/>
      </c>
      <c r="G984" s="23">
        <f t="array" ref="G984">IFERROR(
    INDEX('Hub Users 226'!A:A, MATCH(C984, 'Hub Users 226'!B:B, 0)),"")</f>
        <v>416</v>
      </c>
      <c r="H984" s="28">
        <v>34.0</v>
      </c>
      <c r="I984" s="28" t="s">
        <v>239</v>
      </c>
      <c r="J984" s="28" t="s">
        <v>3265</v>
      </c>
      <c r="K984" s="28" t="s">
        <v>5186</v>
      </c>
      <c r="L984" s="28" t="s">
        <v>5196</v>
      </c>
      <c r="M984" s="23"/>
      <c r="N984" s="57">
        <v>43741.63055555556</v>
      </c>
      <c r="O984" s="58"/>
      <c r="P984" s="28"/>
      <c r="Q984" s="28" t="s">
        <v>240</v>
      </c>
      <c r="R984" s="23"/>
      <c r="S984" s="28"/>
      <c r="T984" s="28"/>
      <c r="U984" s="28"/>
      <c r="V984" s="28"/>
      <c r="W984" s="28" t="s">
        <v>380</v>
      </c>
      <c r="X984" s="28" t="s">
        <v>381</v>
      </c>
      <c r="Y984" s="28" t="s">
        <v>11502</v>
      </c>
      <c r="Z984" s="28" t="s">
        <v>5491</v>
      </c>
      <c r="AA984" s="28" t="s">
        <v>5492</v>
      </c>
      <c r="AB984" s="28">
        <v>47.0</v>
      </c>
      <c r="AC984" s="28" t="s">
        <v>25</v>
      </c>
      <c r="AD984" s="23"/>
      <c r="AE984" s="28" t="s">
        <v>4</v>
      </c>
      <c r="AF984" s="23" t="str">
        <f>IFERROR(__xludf.DUMMYFUNCTION("TEXTJOIN("", "", TRUE,
  FILTER(Champions!C:C,
    ISNUMBER(SEARCH(C984, Champions!W:W))
  )
)"),"#N/A")</f>
        <v>#N/A</v>
      </c>
      <c r="AG984" s="23"/>
      <c r="AH984" s="23" t="str">
        <f>IFERROR(__xludf.DUMMYFUNCTION("IF(
ISNUMBER(MATCH(
C984,
IMPORTRANGE(""https://docs.google.com/spreadsheets/d/1yTh1ELC33JHYOeEdgIiEclxPRyh0zOKtlawDltfUay8"",""'Interns'!A:A""),
0
)),
""Outreach Conducted"",
"""")"),"")</f>
        <v/>
      </c>
      <c r="AI984" s="23"/>
      <c r="AJ984" s="23"/>
      <c r="AK984" s="23" t="str">
        <f>IFERROR(__xludf.DUMMYFUNCTION("XLOOKUP(C984, 
   IMPORTRANGE(""1RdEdgHYrZ33LJ7RUHj_h-qkAFL92bcVjtIdVa-UlsCw"", ""Interns!D:D""), 
   IMPORTRANGE(""1RdEdgHYrZ33LJ7RUHj_h-qkAFL92bcVjtIdVa-UlsCw"", ""Interns!M:M""), 
   ""Not Found"")"),"")</f>
        <v/>
      </c>
      <c r="AL984" s="23" t="str">
        <f>IFERROR(__xludf.DUMMYFUNCTION("XLOOKUP(C984, 
   IMPORTRANGE(""1RdEdgHYrZ33LJ7RUHj_h-qkAFL92bcVjtIdVa-UlsCw"", ""Interns!D:D""), 
   IMPORTRANGE(""1RdEdgHYrZ33LJ7RUHj_h-qkAFL92bcVjtIdVa-UlsCw"", ""Interns!N:N""), 
   ""Not Found"")"),"")</f>
        <v/>
      </c>
      <c r="AM984" s="23" t="str">
        <f>IFERROR(__xludf.DUMMYFUNCTION("XLOOKUP(C984, 
   IMPORTRANGE(""1RdEdgHYrZ33LJ7RUHj_h-qkAFL92bcVjtIdVa-UlsCw"", ""Interns!D:D""), 
   IMPORTRANGE(""1RdEdgHYrZ33LJ7RUHj_h-qkAFL92bcVjtIdVa-UlsCw"", ""Interns!O:O""), 
   ""Not Found"")"),"")</f>
        <v/>
      </c>
      <c r="AN984" s="23"/>
      <c r="AO984" s="23" t="s">
        <v>11503</v>
      </c>
      <c r="AP984" s="28" t="s">
        <v>5191</v>
      </c>
      <c r="AQ984" s="28" t="s">
        <v>11503</v>
      </c>
      <c r="AR984" s="23" t="s">
        <v>11504</v>
      </c>
      <c r="AS984" s="23"/>
      <c r="AT984" s="23"/>
      <c r="AU984" s="23"/>
      <c r="AV984" s="23"/>
    </row>
    <row r="985">
      <c r="A985" s="28" t="s">
        <v>5161</v>
      </c>
      <c r="B985" s="28" t="s">
        <v>5162</v>
      </c>
      <c r="C985" s="23" t="str">
        <f t="shared" si="1"/>
        <v>Veronica Vazquez</v>
      </c>
      <c r="D985" s="22" t="s">
        <v>4117</v>
      </c>
      <c r="E985" s="22" t="s">
        <v>9463</v>
      </c>
      <c r="F985" s="23"/>
      <c r="G985" s="23"/>
      <c r="H985" s="22">
        <v>1978.0</v>
      </c>
      <c r="I985" s="28"/>
      <c r="J985" s="28" t="s">
        <v>11105</v>
      </c>
      <c r="K985" s="28" t="s">
        <v>5177</v>
      </c>
      <c r="L985" s="28" t="s">
        <v>5196</v>
      </c>
      <c r="M985" s="29" t="s">
        <v>11505</v>
      </c>
      <c r="N985" s="61">
        <v>45632.50625</v>
      </c>
      <c r="O985" s="25">
        <v>40286.0</v>
      </c>
      <c r="P985" s="28">
        <f>DATEDIF(O985, TODAY(), "Y")</f>
        <v>16</v>
      </c>
      <c r="Q985" s="62" t="s">
        <v>11506</v>
      </c>
      <c r="R985" s="22" t="s">
        <v>11507</v>
      </c>
      <c r="S985" s="28">
        <v>13.0</v>
      </c>
      <c r="T985" s="28">
        <v>30.0</v>
      </c>
      <c r="U985" s="28">
        <v>70.0</v>
      </c>
      <c r="V985" s="28">
        <v>7.0</v>
      </c>
      <c r="W985" s="23"/>
      <c r="X985" s="23"/>
      <c r="Y985" s="22">
        <v>9.29780241E9</v>
      </c>
      <c r="Z985" s="22" t="s">
        <v>9625</v>
      </c>
      <c r="AA985" s="28" t="s">
        <v>6863</v>
      </c>
      <c r="AB985" s="28">
        <v>9.0</v>
      </c>
      <c r="AC985" s="28" t="s">
        <v>27</v>
      </c>
      <c r="AD985" s="23"/>
      <c r="AE985" s="28" t="s">
        <v>19</v>
      </c>
      <c r="AF985" s="23"/>
      <c r="AG985" s="23"/>
      <c r="AH985" s="23" t="str">
        <f>IFERROR(__xludf.DUMMYFUNCTION("IF(
ISNUMBER(MATCH(
C985,
IMPORTRANGE(""https://docs.google.com/spreadsheets/d/1yTh1ELC33JHYOeEdgIiEclxPRyh0zOKtlawDltfUay8"",""'Interns'!A:A""),
0
)),
""Outreach Conducted"",
"""")"),"")</f>
        <v/>
      </c>
      <c r="AI985" s="23"/>
      <c r="AJ985" s="23"/>
      <c r="AK985" s="23"/>
      <c r="AL985" s="23" t="str">
        <f>IFERROR(__xludf.DUMMYFUNCTION("XLOOKUP(C985, 
   IMPORTRANGE(""1RdEdgHYrZ33LJ7RUHj_h-qkAFL92bcVjtIdVa-UlsCw"", ""Interns!D:D""), 
   IMPORTRANGE(""1RdEdgHYrZ33LJ7RUHj_h-qkAFL92bcVjtIdVa-UlsCw"", ""Interns!N:N""), 
   ""Not Found"")"),"Not Found")</f>
        <v>Not Found</v>
      </c>
      <c r="AM985" s="23" t="str">
        <f>IFERROR(__xludf.DUMMYFUNCTION("XLOOKUP(C985, 
   IMPORTRANGE(""1RdEdgHYrZ33LJ7RUHj_h-qkAFL92bcVjtIdVa-UlsCw"", ""Interns!D:D""), 
   IMPORTRANGE(""1RdEdgHYrZ33LJ7RUHj_h-qkAFL92bcVjtIdVa-UlsCw"", ""Interns!O:O""), 
   ""Not Found"")"),"Not Found")</f>
        <v>Not Found</v>
      </c>
      <c r="AN985" s="23"/>
      <c r="AO985" s="23" t="s">
        <v>11508</v>
      </c>
      <c r="AP985" s="28" t="s">
        <v>11509</v>
      </c>
      <c r="AQ985" s="28" t="s">
        <v>10455</v>
      </c>
      <c r="AR985" s="23">
        <v>2.12694602E9</v>
      </c>
      <c r="AS985" s="23"/>
      <c r="AT985" s="23"/>
      <c r="AU985" s="23"/>
      <c r="AV985" s="23"/>
    </row>
    <row r="986">
      <c r="A986" s="28" t="s">
        <v>5202</v>
      </c>
      <c r="B986" s="28" t="s">
        <v>5162</v>
      </c>
      <c r="C986" s="23" t="str">
        <f t="shared" si="1"/>
        <v>Daya Stanley</v>
      </c>
      <c r="D986" s="28" t="s">
        <v>11510</v>
      </c>
      <c r="E986" s="28" t="s">
        <v>11511</v>
      </c>
      <c r="F986" s="23" t="str">
        <f t="array" ref="F986">IFERROR(
    INDEX('Hub Interns 226'!A:A, MATCH(C986, 'Hub Interns 226'!B:B, 0)),"")</f>
        <v/>
      </c>
      <c r="G986" s="23" t="str">
        <f t="array" ref="G986">IFERROR(
    INDEX('Hub Users 226'!A:A, MATCH(C986, 'Hub Users 226'!B:B, 0)),"")</f>
        <v/>
      </c>
      <c r="H986" s="28">
        <v>60.0</v>
      </c>
      <c r="I986" s="28" t="s">
        <v>260</v>
      </c>
      <c r="J986" s="28" t="s">
        <v>3265</v>
      </c>
      <c r="K986" s="28" t="s">
        <v>5186</v>
      </c>
      <c r="L986" s="28" t="s">
        <v>5196</v>
      </c>
      <c r="M986" s="28"/>
      <c r="N986" s="57">
        <v>43741.63125</v>
      </c>
      <c r="O986" s="58"/>
      <c r="P986" s="28"/>
      <c r="Q986" s="28" t="s">
        <v>11512</v>
      </c>
      <c r="R986" s="23"/>
      <c r="S986" s="28"/>
      <c r="T986" s="28"/>
      <c r="U986" s="28"/>
      <c r="V986" s="28"/>
      <c r="W986" s="28" t="s">
        <v>380</v>
      </c>
      <c r="X986" s="28" t="s">
        <v>381</v>
      </c>
      <c r="Y986" s="28" t="s">
        <v>11513</v>
      </c>
      <c r="Z986" s="28" t="s">
        <v>5272</v>
      </c>
      <c r="AA986" s="28" t="s">
        <v>629</v>
      </c>
      <c r="AB986" s="28" t="s">
        <v>5221</v>
      </c>
      <c r="AC986" s="28" t="s">
        <v>25</v>
      </c>
      <c r="AD986" s="23"/>
      <c r="AE986" s="28" t="s">
        <v>4</v>
      </c>
      <c r="AF986" s="23" t="str">
        <f>IFERROR(__xludf.DUMMYFUNCTION("TEXTJOIN("", "", TRUE,
  FILTER(Champions!C:C,
    ISNUMBER(SEARCH(C986, Champions!W:W))
  )
)"),"Asha Nair")</f>
        <v>Asha Nair</v>
      </c>
      <c r="AG986" s="23"/>
      <c r="AH986" s="23" t="str">
        <f>IFERROR(__xludf.DUMMYFUNCTION("IF(
ISNUMBER(MATCH(
C986,
IMPORTRANGE(""https://docs.google.com/spreadsheets/d/1yTh1ELC33JHYOeEdgIiEclxPRyh0zOKtlawDltfUay8"",""'Interns'!A:A""),
0
)),
""Outreach Conducted"",
"""")"),"")</f>
        <v/>
      </c>
      <c r="AI986" s="23"/>
      <c r="AJ986" s="23"/>
      <c r="AK986" s="23" t="str">
        <f>IFERROR(__xludf.DUMMYFUNCTION("XLOOKUP(C986, 
   IMPORTRANGE(""1RdEdgHYrZ33LJ7RUHj_h-qkAFL92bcVjtIdVa-UlsCw"", ""Interns!D:D""), 
   IMPORTRANGE(""1RdEdgHYrZ33LJ7RUHj_h-qkAFL92bcVjtIdVa-UlsCw"", ""Interns!M:M""), 
   ""Not Found"")"),"")</f>
        <v/>
      </c>
      <c r="AL986" s="23" t="str">
        <f>IFERROR(__xludf.DUMMYFUNCTION("XLOOKUP(C986, 
   IMPORTRANGE(""1RdEdgHYrZ33LJ7RUHj_h-qkAFL92bcVjtIdVa-UlsCw"", ""Interns!D:D""), 
   IMPORTRANGE(""1RdEdgHYrZ33LJ7RUHj_h-qkAFL92bcVjtIdVa-UlsCw"", ""Interns!N:N""), 
   ""Not Found"")"),"")</f>
        <v/>
      </c>
      <c r="AM986" s="23" t="str">
        <f>IFERROR(__xludf.DUMMYFUNCTION("XLOOKUP(C986, 
   IMPORTRANGE(""1RdEdgHYrZ33LJ7RUHj_h-qkAFL92bcVjtIdVa-UlsCw"", ""Interns!D:D""), 
   IMPORTRANGE(""1RdEdgHYrZ33LJ7RUHj_h-qkAFL92bcVjtIdVa-UlsCw"", ""Interns!O:O""), 
   ""Not Found"")"),"")</f>
        <v/>
      </c>
      <c r="AN986" s="23"/>
      <c r="AO986" s="23" t="s">
        <v>11514</v>
      </c>
      <c r="AP986" s="28" t="s">
        <v>5908</v>
      </c>
      <c r="AQ986" s="28" t="s">
        <v>11514</v>
      </c>
      <c r="AR986" s="23" t="s">
        <v>11515</v>
      </c>
      <c r="AS986" s="23"/>
      <c r="AT986" s="23"/>
      <c r="AU986" s="23"/>
      <c r="AV986" s="23"/>
    </row>
    <row r="987">
      <c r="A987" s="28" t="s">
        <v>5161</v>
      </c>
      <c r="B987" s="28" t="s">
        <v>5162</v>
      </c>
      <c r="C987" s="23" t="str">
        <f t="shared" si="1"/>
        <v>Darwin Guerrero</v>
      </c>
      <c r="D987" s="28" t="s">
        <v>8502</v>
      </c>
      <c r="E987" s="28" t="s">
        <v>2134</v>
      </c>
      <c r="F987" s="23">
        <f t="array" ref="F987">IFERROR(
    INDEX('Hub Interns 226'!A:A, MATCH(C987, 'Hub Interns 226'!B:B, 0)),"")</f>
        <v>415</v>
      </c>
      <c r="G987" s="23">
        <f t="array" ref="G987">IFERROR(
    INDEX('Hub Users 226'!A:A, MATCH(C987, 'Hub Users 226'!B:B, 0)),"")</f>
        <v>848</v>
      </c>
      <c r="H987" s="28">
        <v>844.0</v>
      </c>
      <c r="I987" s="28" t="s">
        <v>260</v>
      </c>
      <c r="J987" s="28" t="s">
        <v>11105</v>
      </c>
      <c r="K987" s="28" t="s">
        <v>5177</v>
      </c>
      <c r="L987" s="28" t="s">
        <v>5165</v>
      </c>
      <c r="M987" s="56" t="s">
        <v>11516</v>
      </c>
      <c r="N987" s="57">
        <v>44583.009722222225</v>
      </c>
      <c r="O987" s="58">
        <v>38182.0</v>
      </c>
      <c r="P987" s="28">
        <f t="shared" ref="P987:P988" si="29">DATEDIF(O987, TODAY(), "Y")</f>
        <v>21</v>
      </c>
      <c r="Q987" s="28" t="s">
        <v>240</v>
      </c>
      <c r="R987" s="28" t="s">
        <v>11517</v>
      </c>
      <c r="S987" s="28">
        <v>15.0</v>
      </c>
      <c r="T987" s="28">
        <v>32.0</v>
      </c>
      <c r="U987" s="28">
        <v>86.0</v>
      </c>
      <c r="V987" s="28">
        <v>15.0</v>
      </c>
      <c r="W987" s="28" t="s">
        <v>859</v>
      </c>
      <c r="X987" s="28" t="s">
        <v>272</v>
      </c>
      <c r="Y987" s="28" t="s">
        <v>11518</v>
      </c>
      <c r="Z987" s="28" t="s">
        <v>5310</v>
      </c>
      <c r="AA987" s="28" t="s">
        <v>362</v>
      </c>
      <c r="AB987" s="28">
        <v>16.0</v>
      </c>
      <c r="AC987" s="28" t="s">
        <v>25</v>
      </c>
      <c r="AD987" s="23"/>
      <c r="AE987" s="28" t="s">
        <v>10</v>
      </c>
      <c r="AF987" s="23" t="str">
        <f>IFERROR(__xludf.DUMMYFUNCTION("TEXTJOIN("", "", TRUE,
  FILTER(Champions!C:C,
    ISNUMBER(SEARCH(C987, Champions!W:W))
  )
)"),"Frank Guia, Neeti Nayak")</f>
        <v>Frank Guia, Neeti Nayak</v>
      </c>
      <c r="AG987" s="23"/>
      <c r="AH987" s="23" t="str">
        <f>IFERROR(__xludf.DUMMYFUNCTION("IF(
ISNUMBER(MATCH(
C987,
IMPORTRANGE(""https://docs.google.com/spreadsheets/d/1yTh1ELC33JHYOeEdgIiEclxPRyh0zOKtlawDltfUay8"",""'Interns'!A:A""),
0
)),
""Outreach Conducted"",
"""")"),"")</f>
        <v/>
      </c>
      <c r="AI987" s="23"/>
      <c r="AJ987" s="23"/>
      <c r="AK987" s="23" t="str">
        <f>IFERROR(__xludf.DUMMYFUNCTION("XLOOKUP(C987, 
   IMPORTRANGE(""1RdEdgHYrZ33LJ7RUHj_h-qkAFL92bcVjtIdVa-UlsCw"", ""Interns!D:D""), 
   IMPORTRANGE(""1RdEdgHYrZ33LJ7RUHj_h-qkAFL92bcVjtIdVa-UlsCw"", ""Interns!M:M""), 
   ""Not Found"")"),"")</f>
        <v/>
      </c>
      <c r="AL987" s="23" t="str">
        <f>IFERROR(__xludf.DUMMYFUNCTION("XLOOKUP(C987, 
   IMPORTRANGE(""1RdEdgHYrZ33LJ7RUHj_h-qkAFL92bcVjtIdVa-UlsCw"", ""Interns!D:D""), 
   IMPORTRANGE(""1RdEdgHYrZ33LJ7RUHj_h-qkAFL92bcVjtIdVa-UlsCw"", ""Interns!N:N""), 
   ""Not Found"")"),"")</f>
        <v/>
      </c>
      <c r="AM987" s="23" t="str">
        <f>IFERROR(__xludf.DUMMYFUNCTION("XLOOKUP(C987, 
   IMPORTRANGE(""1RdEdgHYrZ33LJ7RUHj_h-qkAFL92bcVjtIdVa-UlsCw"", ""Interns!D:D""), 
   IMPORTRANGE(""1RdEdgHYrZ33LJ7RUHj_h-qkAFL92bcVjtIdVa-UlsCw"", ""Interns!O:O""), 
   ""Not Found"")"),"")</f>
        <v/>
      </c>
      <c r="AN987" s="23"/>
      <c r="AO987" s="23" t="s">
        <v>11519</v>
      </c>
      <c r="AP987" s="28" t="s">
        <v>5191</v>
      </c>
      <c r="AQ987" s="28" t="s">
        <v>11520</v>
      </c>
      <c r="AR987" s="23" t="s">
        <v>11521</v>
      </c>
      <c r="AS987" s="23"/>
      <c r="AT987" s="23"/>
      <c r="AU987" s="23"/>
      <c r="AV987" s="23"/>
    </row>
    <row r="988">
      <c r="A988" s="28" t="s">
        <v>5161</v>
      </c>
      <c r="B988" s="28" t="s">
        <v>5162</v>
      </c>
      <c r="C988" s="23" t="str">
        <f t="shared" si="1"/>
        <v>Nayeli Cruz</v>
      </c>
      <c r="D988" s="28" t="s">
        <v>9999</v>
      </c>
      <c r="E988" s="28" t="s">
        <v>4683</v>
      </c>
      <c r="F988" s="23">
        <f t="array" ref="F988">IFERROR(
    INDEX('Hub Interns 226'!A:A, MATCH(C988, 'Hub Interns 226'!B:B, 0)),"")</f>
        <v>401</v>
      </c>
      <c r="G988" s="23">
        <f t="array" ref="G988">IFERROR(
    INDEX('Hub Users 226'!A:A, MATCH(C988, 'Hub Users 226'!B:B, 0)),"")</f>
        <v>834</v>
      </c>
      <c r="H988" s="28">
        <v>1566.0</v>
      </c>
      <c r="I988" s="28"/>
      <c r="J988" s="28" t="s">
        <v>11105</v>
      </c>
      <c r="K988" s="28" t="s">
        <v>5177</v>
      </c>
      <c r="L988" s="28" t="s">
        <v>5196</v>
      </c>
      <c r="M988" s="56" t="s">
        <v>11522</v>
      </c>
      <c r="N988" s="57">
        <v>45014.53402777778</v>
      </c>
      <c r="O988" s="58">
        <v>38576.0</v>
      </c>
      <c r="P988" s="28">
        <f t="shared" si="29"/>
        <v>20</v>
      </c>
      <c r="Q988" s="28" t="s">
        <v>240</v>
      </c>
      <c r="R988" s="28" t="s">
        <v>11523</v>
      </c>
      <c r="S988" s="28">
        <v>13.0</v>
      </c>
      <c r="T988" s="28">
        <v>33.0</v>
      </c>
      <c r="U988" s="28">
        <v>78.0</v>
      </c>
      <c r="V988" s="28">
        <v>11.0</v>
      </c>
      <c r="W988" s="28" t="s">
        <v>859</v>
      </c>
      <c r="X988" s="28" t="s">
        <v>272</v>
      </c>
      <c r="Y988" s="28" t="s">
        <v>11524</v>
      </c>
      <c r="Z988" s="28" t="s">
        <v>5918</v>
      </c>
      <c r="AA988" s="28" t="s">
        <v>477</v>
      </c>
      <c r="AB988" s="28">
        <v>15.0</v>
      </c>
      <c r="AC988" s="28" t="s">
        <v>23</v>
      </c>
      <c r="AD988" s="23"/>
      <c r="AE988" s="28" t="s">
        <v>15</v>
      </c>
      <c r="AF988" s="23"/>
      <c r="AG988" s="23"/>
      <c r="AH988" s="23" t="str">
        <f>IFERROR(__xludf.DUMMYFUNCTION("IF(
ISNUMBER(MATCH(
C988,
IMPORTRANGE(""https://docs.google.com/spreadsheets/d/1yTh1ELC33JHYOeEdgIiEclxPRyh0zOKtlawDltfUay8"",""'Interns'!A:A""),
0
)),
""Outreach Conducted"",
"""")"),"")</f>
        <v/>
      </c>
      <c r="AI988" s="23"/>
      <c r="AJ988" s="23"/>
      <c r="AK988" s="23" t="str">
        <f>IFERROR(__xludf.DUMMYFUNCTION("XLOOKUP(C988, 
   IMPORTRANGE(""1RdEdgHYrZ33LJ7RUHj_h-qkAFL92bcVjtIdVa-UlsCw"", ""Interns!D:D""), 
   IMPORTRANGE(""1RdEdgHYrZ33LJ7RUHj_h-qkAFL92bcVjtIdVa-UlsCw"", ""Interns!M:M""), 
   ""Not Found"")"),"")</f>
        <v/>
      </c>
      <c r="AL988" s="23" t="str">
        <f>IFERROR(__xludf.DUMMYFUNCTION("XLOOKUP(C988, 
   IMPORTRANGE(""1RdEdgHYrZ33LJ7RUHj_h-qkAFL92bcVjtIdVa-UlsCw"", ""Interns!D:D""), 
   IMPORTRANGE(""1RdEdgHYrZ33LJ7RUHj_h-qkAFL92bcVjtIdVa-UlsCw"", ""Interns!N:N""), 
   ""Not Found"")"),"")</f>
        <v/>
      </c>
      <c r="AM988" s="23" t="str">
        <f>IFERROR(__xludf.DUMMYFUNCTION("XLOOKUP(C988, 
   IMPORTRANGE(""1RdEdgHYrZ33LJ7RUHj_h-qkAFL92bcVjtIdVa-UlsCw"", ""Interns!D:D""), 
   IMPORTRANGE(""1RdEdgHYrZ33LJ7RUHj_h-qkAFL92bcVjtIdVa-UlsCw"", ""Interns!O:O""), 
   ""Not Found"")"),"")</f>
        <v/>
      </c>
      <c r="AN988" s="23"/>
      <c r="AO988" s="23" t="s">
        <v>11525</v>
      </c>
      <c r="AP988" s="28" t="s">
        <v>5182</v>
      </c>
      <c r="AQ988" s="28"/>
      <c r="AR988" s="23"/>
      <c r="AS988" s="23"/>
      <c r="AT988" s="23"/>
      <c r="AU988" s="23"/>
      <c r="AV988" s="23"/>
    </row>
    <row r="989">
      <c r="A989" s="28" t="s">
        <v>5202</v>
      </c>
      <c r="B989" s="28" t="s">
        <v>5162</v>
      </c>
      <c r="C989" s="23" t="str">
        <f t="shared" si="1"/>
        <v>Rincy Roy</v>
      </c>
      <c r="D989" s="28" t="s">
        <v>11526</v>
      </c>
      <c r="E989" s="28" t="s">
        <v>11527</v>
      </c>
      <c r="F989" s="23" t="str">
        <f t="array" ref="F989">IFERROR(
    INDEX('Hub Interns 226'!A:A, MATCH(C989, 'Hub Interns 226'!B:B, 0)),"")</f>
        <v/>
      </c>
      <c r="G989" s="23" t="str">
        <f t="array" ref="G989">IFERROR(
    INDEX('Hub Users 226'!A:A, MATCH(C989, 'Hub Users 226'!B:B, 0)),"")</f>
        <v/>
      </c>
      <c r="H989" s="28">
        <v>72.0</v>
      </c>
      <c r="I989" s="28" t="s">
        <v>260</v>
      </c>
      <c r="J989" s="28" t="s">
        <v>3265</v>
      </c>
      <c r="K989" s="28" t="s">
        <v>5186</v>
      </c>
      <c r="L989" s="28" t="s">
        <v>5196</v>
      </c>
      <c r="M989" s="28"/>
      <c r="N989" s="57">
        <v>43741.63125</v>
      </c>
      <c r="O989" s="58"/>
      <c r="P989" s="28"/>
      <c r="Q989" s="28" t="s">
        <v>240</v>
      </c>
      <c r="R989" s="23"/>
      <c r="S989" s="28"/>
      <c r="T989" s="28"/>
      <c r="U989" s="28"/>
      <c r="V989" s="28"/>
      <c r="W989" s="28" t="s">
        <v>380</v>
      </c>
      <c r="X989" s="28" t="s">
        <v>381</v>
      </c>
      <c r="Y989" s="28" t="s">
        <v>11528</v>
      </c>
      <c r="Z989" s="28" t="s">
        <v>5272</v>
      </c>
      <c r="AA989" s="28" t="s">
        <v>629</v>
      </c>
      <c r="AB989" s="28" t="s">
        <v>5221</v>
      </c>
      <c r="AC989" s="28" t="s">
        <v>25</v>
      </c>
      <c r="AD989" s="23"/>
      <c r="AE989" s="28" t="s">
        <v>4</v>
      </c>
      <c r="AF989" s="23" t="str">
        <f>IFERROR(__xludf.DUMMYFUNCTION("TEXTJOIN("", "", TRUE,
  FILTER(Champions!C:C,
    ISNUMBER(SEARCH(C989, Champions!W:W))
  )
)"),"Nasteshia Robinson")</f>
        <v>Nasteshia Robinson</v>
      </c>
      <c r="AG989" s="23"/>
      <c r="AH989" s="23" t="str">
        <f>IFERROR(__xludf.DUMMYFUNCTION("IF(
ISNUMBER(MATCH(
C989,
IMPORTRANGE(""https://docs.google.com/spreadsheets/d/1yTh1ELC33JHYOeEdgIiEclxPRyh0zOKtlawDltfUay8"",""'Interns'!A:A""),
0
)),
""Outreach Conducted"",
"""")"),"")</f>
        <v/>
      </c>
      <c r="AI989" s="23"/>
      <c r="AJ989" s="23"/>
      <c r="AK989" s="23" t="str">
        <f>IFERROR(__xludf.DUMMYFUNCTION("XLOOKUP(C989, 
   IMPORTRANGE(""1RdEdgHYrZ33LJ7RUHj_h-qkAFL92bcVjtIdVa-UlsCw"", ""Interns!D:D""), 
   IMPORTRANGE(""1RdEdgHYrZ33LJ7RUHj_h-qkAFL92bcVjtIdVa-UlsCw"", ""Interns!M:M""), 
   ""Not Found"")"),"")</f>
        <v/>
      </c>
      <c r="AL989" s="23" t="str">
        <f>IFERROR(__xludf.DUMMYFUNCTION("XLOOKUP(C989, 
   IMPORTRANGE(""1RdEdgHYrZ33LJ7RUHj_h-qkAFL92bcVjtIdVa-UlsCw"", ""Interns!D:D""), 
   IMPORTRANGE(""1RdEdgHYrZ33LJ7RUHj_h-qkAFL92bcVjtIdVa-UlsCw"", ""Interns!N:N""), 
   ""Not Found"")"),"")</f>
        <v/>
      </c>
      <c r="AM989" s="23" t="str">
        <f>IFERROR(__xludf.DUMMYFUNCTION("XLOOKUP(C989, 
   IMPORTRANGE(""1RdEdgHYrZ33LJ7RUHj_h-qkAFL92bcVjtIdVa-UlsCw"", ""Interns!D:D""), 
   IMPORTRANGE(""1RdEdgHYrZ33LJ7RUHj_h-qkAFL92bcVjtIdVa-UlsCw"", ""Interns!O:O""), 
   ""Not Found"")"),"")</f>
        <v/>
      </c>
      <c r="AN989" s="23"/>
      <c r="AO989" s="23" t="s">
        <v>11529</v>
      </c>
      <c r="AP989" s="28" t="s">
        <v>5191</v>
      </c>
      <c r="AQ989" s="28" t="s">
        <v>11529</v>
      </c>
      <c r="AR989" s="23" t="s">
        <v>11530</v>
      </c>
      <c r="AS989" s="23"/>
      <c r="AT989" s="23"/>
      <c r="AU989" s="23"/>
      <c r="AV989" s="23"/>
    </row>
    <row r="990">
      <c r="A990" s="28" t="s">
        <v>5161</v>
      </c>
      <c r="B990" s="28" t="s">
        <v>5162</v>
      </c>
      <c r="C990" s="23" t="str">
        <f t="shared" si="1"/>
        <v>Angel Galindo</v>
      </c>
      <c r="D990" s="28" t="s">
        <v>6000</v>
      </c>
      <c r="E990" s="28" t="s">
        <v>11531</v>
      </c>
      <c r="F990" s="23" t="str">
        <f t="array" ref="F990">IFERROR(
    INDEX('Hub Interns 226'!A:A, MATCH(C990, 'Hub Interns 226'!B:B, 0)),"")</f>
        <v/>
      </c>
      <c r="G990" s="23">
        <f t="array" ref="G990">IFERROR(
    INDEX('Hub Users 226'!A:A, MATCH(C990, 'Hub Users 226'!B:B, 0)),"")</f>
        <v>1901</v>
      </c>
      <c r="H990" s="28">
        <v>1788.0</v>
      </c>
      <c r="I990" s="28" t="s">
        <v>260</v>
      </c>
      <c r="J990" s="28" t="s">
        <v>11105</v>
      </c>
      <c r="K990" s="28" t="s">
        <v>5177</v>
      </c>
      <c r="L990" s="28" t="s">
        <v>5165</v>
      </c>
      <c r="M990" s="56" t="s">
        <v>11532</v>
      </c>
      <c r="N990" s="57">
        <v>45312.96388888889</v>
      </c>
      <c r="O990" s="58">
        <v>45296.0</v>
      </c>
      <c r="P990" s="28">
        <f t="shared" ref="P990:P998" si="30">DATEDIF(O990, TODAY(), "Y")</f>
        <v>2</v>
      </c>
      <c r="Q990" s="28" t="s">
        <v>240</v>
      </c>
      <c r="R990" s="28" t="s">
        <v>11533</v>
      </c>
      <c r="S990" s="28">
        <v>7.0</v>
      </c>
      <c r="T990" s="28">
        <v>18.0</v>
      </c>
      <c r="U990" s="28">
        <v>53.0</v>
      </c>
      <c r="V990" s="28">
        <v>34.0</v>
      </c>
      <c r="W990" s="28" t="s">
        <v>294</v>
      </c>
      <c r="X990" s="28" t="s">
        <v>272</v>
      </c>
      <c r="Y990" s="28" t="s">
        <v>11534</v>
      </c>
      <c r="Z990" s="28" t="s">
        <v>5259</v>
      </c>
      <c r="AA990" s="28" t="s">
        <v>704</v>
      </c>
      <c r="AB990" s="28">
        <v>2.0</v>
      </c>
      <c r="AC990" s="28" t="s">
        <v>27</v>
      </c>
      <c r="AD990" s="23"/>
      <c r="AE990" s="28" t="s">
        <v>18</v>
      </c>
      <c r="AF990" s="23"/>
      <c r="AG990" s="23"/>
      <c r="AH990" s="23" t="str">
        <f>IFERROR(__xludf.DUMMYFUNCTION("IF(
ISNUMBER(MATCH(
C990,
IMPORTRANGE(""https://docs.google.com/spreadsheets/d/1yTh1ELC33JHYOeEdgIiEclxPRyh0zOKtlawDltfUay8"",""'Interns'!A:A""),
0
)),
""Outreach Conducted"",
"""")"),"")</f>
        <v/>
      </c>
      <c r="AI990" s="23"/>
      <c r="AJ990" s="23"/>
      <c r="AK990" s="23" t="str">
        <f>IFERROR(__xludf.DUMMYFUNCTION("XLOOKUP(C990, 
   IMPORTRANGE(""1RdEdgHYrZ33LJ7RUHj_h-qkAFL92bcVjtIdVa-UlsCw"", ""Interns!D:D""), 
   IMPORTRANGE(""1RdEdgHYrZ33LJ7RUHj_h-qkAFL92bcVjtIdVa-UlsCw"", ""Interns!M:M""), 
   ""Not Found"")"),"Contacted")</f>
        <v>Contacted</v>
      </c>
      <c r="AL990" s="23" t="str">
        <f>IFERROR(__xludf.DUMMYFUNCTION("XLOOKUP(C990, 
   IMPORTRANGE(""1RdEdgHYrZ33LJ7RUHj_h-qkAFL92bcVjtIdVa-UlsCw"", ""Interns!D:D""), 
   IMPORTRANGE(""1RdEdgHYrZ33LJ7RUHj_h-qkAFL92bcVjtIdVa-UlsCw"", ""Interns!N:N""), 
   ""Not Found"")"),"#Cheers4Careers")</f>
        <v>#Cheers4Careers</v>
      </c>
      <c r="AM990" s="23" t="str">
        <f>IFERROR(__xludf.DUMMYFUNCTION("XLOOKUP(C990, 
   IMPORTRANGE(""1RdEdgHYrZ33LJ7RUHj_h-qkAFL92bcVjtIdVa-UlsCw"", ""Interns!D:D""), 
   IMPORTRANGE(""1RdEdgHYrZ33LJ7RUHj_h-qkAFL92bcVjtIdVa-UlsCw"", ""Interns!O:O""), 
   ""Not Found"")"),"Ousmane reached out by email 3/26 and reach out by text 3/28")</f>
        <v>Ousmane reached out by email 3/26 and reach out by text 3/28</v>
      </c>
      <c r="AN990" s="23"/>
      <c r="AO990" s="23" t="s">
        <v>11535</v>
      </c>
      <c r="AP990" s="28" t="s">
        <v>5182</v>
      </c>
      <c r="AQ990" s="28" t="s">
        <v>11536</v>
      </c>
      <c r="AR990" s="23">
        <v>6.316368158E9</v>
      </c>
      <c r="AS990" s="23"/>
      <c r="AT990" s="23"/>
      <c r="AU990" s="23"/>
      <c r="AV990" s="23"/>
    </row>
    <row r="991">
      <c r="A991" s="28" t="s">
        <v>5161</v>
      </c>
      <c r="B991" s="28" t="s">
        <v>5162</v>
      </c>
      <c r="C991" s="23" t="str">
        <f t="shared" si="1"/>
        <v>Diego Covarrubias</v>
      </c>
      <c r="D991" s="28" t="s">
        <v>8097</v>
      </c>
      <c r="E991" s="28" t="s">
        <v>11537</v>
      </c>
      <c r="F991" s="23">
        <f t="array" ref="F991">IFERROR(
    INDEX('Hub Interns 226'!A:A, MATCH(C991, 'Hub Interns 226'!B:B, 0)),"")</f>
        <v>1367</v>
      </c>
      <c r="G991" s="23">
        <f t="array" ref="G991">IFERROR(
    INDEX('Hub Users 226'!A:A, MATCH(C991, 'Hub Users 226'!B:B, 0)),"")</f>
        <v>1908</v>
      </c>
      <c r="H991" s="28">
        <v>1767.0</v>
      </c>
      <c r="I991" s="28" t="s">
        <v>239</v>
      </c>
      <c r="J991" s="28" t="s">
        <v>11105</v>
      </c>
      <c r="K991" s="28" t="s">
        <v>5177</v>
      </c>
      <c r="L991" s="28" t="s">
        <v>5165</v>
      </c>
      <c r="M991" s="56" t="s">
        <v>11538</v>
      </c>
      <c r="N991" s="57">
        <v>45307.59027777778</v>
      </c>
      <c r="O991" s="58">
        <v>39746.0</v>
      </c>
      <c r="P991" s="28">
        <f t="shared" si="30"/>
        <v>17</v>
      </c>
      <c r="Q991" s="28" t="s">
        <v>11539</v>
      </c>
      <c r="R991" s="28" t="s">
        <v>11540</v>
      </c>
      <c r="S991" s="28">
        <v>15.0</v>
      </c>
      <c r="T991" s="28">
        <v>33.0</v>
      </c>
      <c r="U991" s="28">
        <v>86.0</v>
      </c>
      <c r="V991" s="28">
        <v>15.0</v>
      </c>
      <c r="W991" s="28" t="s">
        <v>859</v>
      </c>
      <c r="X991" s="28" t="s">
        <v>272</v>
      </c>
      <c r="Y991" s="28">
        <v>9.292130546E9</v>
      </c>
      <c r="Z991" s="28" t="s">
        <v>5918</v>
      </c>
      <c r="AA991" s="28" t="s">
        <v>477</v>
      </c>
      <c r="AB991" s="28">
        <v>15.0</v>
      </c>
      <c r="AC991" s="28" t="s">
        <v>25</v>
      </c>
      <c r="AD991" s="23"/>
      <c r="AE991" s="28" t="s">
        <v>18</v>
      </c>
      <c r="AF991" s="23" t="str">
        <f>IFERROR(__xludf.DUMMYFUNCTION("TEXTJOIN("", "", TRUE,
  FILTER(Champions!C:C,
    ISNUMBER(SEARCH(C991, Champions!W:W))
  )
)"),"Leif Castren, Mario Badillo")</f>
        <v>Leif Castren, Mario Badillo</v>
      </c>
      <c r="AG991" s="23"/>
      <c r="AH991" s="23" t="str">
        <f>IFERROR(__xludf.DUMMYFUNCTION("IF(
ISNUMBER(MATCH(
C991,
IMPORTRANGE(""https://docs.google.com/spreadsheets/d/1yTh1ELC33JHYOeEdgIiEclxPRyh0zOKtlawDltfUay8"",""'Interns'!A:A""),
0
)),
""Outreach Conducted"",
"""")"),"")</f>
        <v/>
      </c>
      <c r="AI991" s="23"/>
      <c r="AJ991" s="23"/>
      <c r="AK991" s="23" t="str">
        <f>IFERROR(__xludf.DUMMYFUNCTION("XLOOKUP(C991, 
   IMPORTRANGE(""1RdEdgHYrZ33LJ7RUHj_h-qkAFL92bcVjtIdVa-UlsCw"", ""Interns!D:D""), 
   IMPORTRANGE(""1RdEdgHYrZ33LJ7RUHj_h-qkAFL92bcVjtIdVa-UlsCw"", ""Interns!M:M""), 
   ""Not Found"")"),"")</f>
        <v/>
      </c>
      <c r="AL991" s="23" t="str">
        <f>IFERROR(__xludf.DUMMYFUNCTION("XLOOKUP(C991, 
   IMPORTRANGE(""1RdEdgHYrZ33LJ7RUHj_h-qkAFL92bcVjtIdVa-UlsCw"", ""Interns!D:D""), 
   IMPORTRANGE(""1RdEdgHYrZ33LJ7RUHj_h-qkAFL92bcVjtIdVa-UlsCw"", ""Interns!N:N""), 
   ""Not Found"")"),"")</f>
        <v/>
      </c>
      <c r="AM991" s="23" t="str">
        <f>IFERROR(__xludf.DUMMYFUNCTION("XLOOKUP(C991, 
   IMPORTRANGE(""1RdEdgHYrZ33LJ7RUHj_h-qkAFL92bcVjtIdVa-UlsCw"", ""Interns!D:D""), 
   IMPORTRANGE(""1RdEdgHYrZ33LJ7RUHj_h-qkAFL92bcVjtIdVa-UlsCw"", ""Interns!O:O""), 
   ""Not Found"")"),"")</f>
        <v/>
      </c>
      <c r="AN991" s="23"/>
      <c r="AO991" s="23" t="s">
        <v>11541</v>
      </c>
      <c r="AP991" s="28" t="s">
        <v>5182</v>
      </c>
      <c r="AQ991" s="28" t="s">
        <v>11542</v>
      </c>
      <c r="AR991" s="23">
        <v>9.294168216E9</v>
      </c>
      <c r="AS991" s="23"/>
      <c r="AT991" s="23"/>
      <c r="AU991" s="23"/>
      <c r="AV991" s="23"/>
    </row>
    <row r="992">
      <c r="A992" s="28" t="s">
        <v>5161</v>
      </c>
      <c r="B992" s="28" t="s">
        <v>5162</v>
      </c>
      <c r="C992" s="23" t="str">
        <f t="shared" si="1"/>
        <v>Osvaldo Rodriguez</v>
      </c>
      <c r="D992" s="28" t="s">
        <v>10132</v>
      </c>
      <c r="E992" s="28" t="s">
        <v>536</v>
      </c>
      <c r="F992" s="23">
        <f t="array" ref="F992">IFERROR(
    INDEX('Hub Interns 226'!A:A, MATCH(C992, 'Hub Interns 226'!B:B, 0)),"")</f>
        <v>962</v>
      </c>
      <c r="G992" s="23">
        <f t="array" ref="G992">IFERROR(
    INDEX('Hub Users 226'!A:A, MATCH(C992, 'Hub Users 226'!B:B, 0)),"")</f>
        <v>1395</v>
      </c>
      <c r="H992" s="28">
        <v>836.0</v>
      </c>
      <c r="I992" s="28" t="s">
        <v>260</v>
      </c>
      <c r="J992" s="28" t="s">
        <v>11105</v>
      </c>
      <c r="K992" s="28" t="s">
        <v>5177</v>
      </c>
      <c r="L992" s="28" t="s">
        <v>5165</v>
      </c>
      <c r="M992" s="56" t="s">
        <v>10133</v>
      </c>
      <c r="N992" s="57">
        <v>44575.611805555556</v>
      </c>
      <c r="O992" s="58">
        <v>38176.0</v>
      </c>
      <c r="P992" s="28">
        <f t="shared" si="30"/>
        <v>21</v>
      </c>
      <c r="Q992" s="28" t="s">
        <v>240</v>
      </c>
      <c r="R992" s="28" t="s">
        <v>10134</v>
      </c>
      <c r="S992" s="28">
        <v>13.0</v>
      </c>
      <c r="T992" s="28">
        <v>33.0</v>
      </c>
      <c r="U992" s="28">
        <v>86.0</v>
      </c>
      <c r="V992" s="28">
        <v>14.0</v>
      </c>
      <c r="W992" s="28" t="s">
        <v>859</v>
      </c>
      <c r="X992" s="28" t="s">
        <v>272</v>
      </c>
      <c r="Y992" s="28" t="s">
        <v>10135</v>
      </c>
      <c r="Z992" s="28" t="s">
        <v>5259</v>
      </c>
      <c r="AA992" s="28" t="s">
        <v>704</v>
      </c>
      <c r="AB992" s="28">
        <v>2.0</v>
      </c>
      <c r="AC992" s="28" t="s">
        <v>25</v>
      </c>
      <c r="AD992" s="23"/>
      <c r="AE992" s="28" t="s">
        <v>10</v>
      </c>
      <c r="AF992" s="23" t="str">
        <f>IFERROR(__xludf.DUMMYFUNCTION("TEXTJOIN("", "", TRUE,
  FILTER(Champions!C:C,
    ISNUMBER(SEARCH(C992, Champions!W:W))
  )
)"),"Anna Butuzova, Mariana Tejeida-Olvera")</f>
        <v>Anna Butuzova, Mariana Tejeida-Olvera</v>
      </c>
      <c r="AG992" s="23"/>
      <c r="AH992" s="23" t="str">
        <f>IFERROR(__xludf.DUMMYFUNCTION("IF(
ISNUMBER(MATCH(
C992,
IMPORTRANGE(""https://docs.google.com/spreadsheets/d/1yTh1ELC33JHYOeEdgIiEclxPRyh0zOKtlawDltfUay8"",""'Interns'!A:A""),
0
)),
""Outreach Conducted"",
"""")"),"")</f>
        <v/>
      </c>
      <c r="AI992" s="23"/>
      <c r="AJ992" s="23"/>
      <c r="AK992" s="23" t="str">
        <f>IFERROR(__xludf.DUMMYFUNCTION("XLOOKUP(C992, 
   IMPORTRANGE(""1RdEdgHYrZ33LJ7RUHj_h-qkAFL92bcVjtIdVa-UlsCw"", ""Interns!D:D""), 
   IMPORTRANGE(""1RdEdgHYrZ33LJ7RUHj_h-qkAFL92bcVjtIdVa-UlsCw"", ""Interns!M:M""), 
   ""Not Found"")"),"Contacted")</f>
        <v>Contacted</v>
      </c>
      <c r="AL992" s="23" t="str">
        <f>IFERROR(__xludf.DUMMYFUNCTION("XLOOKUP(C992, 
   IMPORTRANGE(""1RdEdgHYrZ33LJ7RUHj_h-qkAFL92bcVjtIdVa-UlsCw"", ""Interns!D:D""), 
   IMPORTRANGE(""1RdEdgHYrZ33LJ7RUHj_h-qkAFL92bcVjtIdVa-UlsCw"", ""Interns!N:N""), 
   ""Not Found"")"),"#Cheers4Careers")</f>
        <v>#Cheers4Careers</v>
      </c>
      <c r="AM992" s="23" t="str">
        <f>IFERROR(__xludf.DUMMYFUNCTION("XLOOKUP(C992, 
   IMPORTRANGE(""1RdEdgHYrZ33LJ7RUHj_h-qkAFL92bcVjtIdVa-UlsCw"", ""Interns!D:D""), 
   IMPORTRANGE(""1RdEdgHYrZ33LJ7RUHj_h-qkAFL92bcVjtIdVa-UlsCw"", ""Interns!O:O""), 
   ""Not Found"")"),"Ousmane reached out by email 3/26 ")</f>
        <v>Ousmane reached out by email 3/26 </v>
      </c>
      <c r="AN992" s="23"/>
      <c r="AO992" s="23" t="s">
        <v>10136</v>
      </c>
      <c r="AP992" s="28" t="s">
        <v>5191</v>
      </c>
      <c r="AQ992" s="28" t="s">
        <v>10137</v>
      </c>
      <c r="AR992" s="23" t="s">
        <v>10138</v>
      </c>
      <c r="AS992" s="23"/>
      <c r="AT992" s="23"/>
      <c r="AU992" s="23"/>
      <c r="AV992" s="23"/>
    </row>
    <row r="993">
      <c r="A993" s="28" t="s">
        <v>5161</v>
      </c>
      <c r="B993" s="28" t="s">
        <v>5162</v>
      </c>
      <c r="C993" s="23" t="str">
        <f t="shared" si="1"/>
        <v>Ashley Diaz</v>
      </c>
      <c r="D993" s="28" t="s">
        <v>4281</v>
      </c>
      <c r="E993" s="28" t="s">
        <v>6378</v>
      </c>
      <c r="F993" s="23">
        <f t="array" ref="F993">IFERROR(
    INDEX('Hub Interns 226'!A:A, MATCH(C993, 'Hub Interns 226'!B:B, 0)),"")</f>
        <v>267</v>
      </c>
      <c r="G993" s="23">
        <f t="array" ref="G993">IFERROR(
    INDEX('Hub Users 226'!A:A, MATCH(C993, 'Hub Users 226'!B:B, 0)),"")</f>
        <v>700</v>
      </c>
      <c r="H993" s="28">
        <v>1289.0</v>
      </c>
      <c r="I993" s="28" t="s">
        <v>425</v>
      </c>
      <c r="J993" s="28" t="s">
        <v>11105</v>
      </c>
      <c r="K993" s="28" t="s">
        <v>5177</v>
      </c>
      <c r="L993" s="28" t="s">
        <v>5196</v>
      </c>
      <c r="M993" s="56" t="s">
        <v>11543</v>
      </c>
      <c r="N993" s="59">
        <v>44845.775</v>
      </c>
      <c r="O993" s="58">
        <v>38827.0</v>
      </c>
      <c r="P993" s="28">
        <f t="shared" si="30"/>
        <v>20</v>
      </c>
      <c r="Q993" s="28" t="s">
        <v>11544</v>
      </c>
      <c r="R993" s="28" t="s">
        <v>11545</v>
      </c>
      <c r="S993" s="28">
        <v>13.0</v>
      </c>
      <c r="T993" s="28">
        <v>31.0</v>
      </c>
      <c r="U993" s="28">
        <v>72.0</v>
      </c>
      <c r="V993" s="28">
        <v>10.0</v>
      </c>
      <c r="W993" s="28" t="s">
        <v>271</v>
      </c>
      <c r="X993" s="28" t="s">
        <v>272</v>
      </c>
      <c r="Y993" s="28" t="s">
        <v>11546</v>
      </c>
      <c r="Z993" s="28" t="s">
        <v>5341</v>
      </c>
      <c r="AA993" s="28" t="s">
        <v>1085</v>
      </c>
      <c r="AB993" s="28">
        <v>10.0</v>
      </c>
      <c r="AC993" s="28" t="s">
        <v>25</v>
      </c>
      <c r="AD993" s="23"/>
      <c r="AE993" s="28" t="s">
        <v>15</v>
      </c>
      <c r="AF993" s="23" t="str">
        <f>IFERROR(__xludf.DUMMYFUNCTION("TEXTJOIN("", "", TRUE,
  FILTER(Champions!C:C,
    ISNUMBER(SEARCH(C993, Champions!W:W))
  )
)"),"Anne Tam, CHRISTINA BROOMES, Jimena Montane Azpiri, Jimena Montane Azpiri (D)")</f>
        <v>Anne Tam, CHRISTINA BROOMES, Jimena Montane Azpiri, Jimena Montane Azpiri (D)</v>
      </c>
      <c r="AG993" s="26" t="s">
        <v>5342</v>
      </c>
      <c r="AH993" s="23" t="str">
        <f>IFERROR(__xludf.DUMMYFUNCTION("IF(
ISNUMBER(MATCH(
C993,
IMPORTRANGE(""https://docs.google.com/spreadsheets/d/1yTh1ELC33JHYOeEdgIiEclxPRyh0zOKtlawDltfUay8"",""'Interns'!A:A""),
0
)),
""Outreach Conducted"",
"""")"),"")</f>
        <v/>
      </c>
      <c r="AI993" s="23"/>
      <c r="AJ993" s="23"/>
      <c r="AK993" s="23" t="str">
        <f>IFERROR(__xludf.DUMMYFUNCTION("XLOOKUP(C993, 
   IMPORTRANGE(""1RdEdgHYrZ33LJ7RUHj_h-qkAFL92bcVjtIdVa-UlsCw"", ""Interns!D:D""), 
   IMPORTRANGE(""1RdEdgHYrZ33LJ7RUHj_h-qkAFL92bcVjtIdVa-UlsCw"", ""Interns!M:M""), 
   ""Not Found"")"),"In Communication")</f>
        <v>In Communication</v>
      </c>
      <c r="AL993" s="23" t="str">
        <f>IFERROR(__xludf.DUMMYFUNCTION("XLOOKUP(C993, 
   IMPORTRANGE(""1RdEdgHYrZ33LJ7RUHj_h-qkAFL92bcVjtIdVa-UlsCw"", ""Interns!D:D""), 
   IMPORTRANGE(""1RdEdgHYrZ33LJ7RUHj_h-qkAFL92bcVjtIdVa-UlsCw"", ""Interns!N:N""), 
   ""Not Found"")"),"#Cheers4Careers")</f>
        <v>#Cheers4Careers</v>
      </c>
      <c r="AM993" s="23" t="str">
        <f>IFERROR(__xludf.DUMMYFUNCTION("XLOOKUP(C993, 
   IMPORTRANGE(""1RdEdgHYrZ33LJ7RUHj_h-qkAFL92bcVjtIdVa-UlsCw"", ""Interns!D:D""), 
   IMPORTRANGE(""1RdEdgHYrZ33LJ7RUHj_h-qkAFL92bcVjtIdVa-UlsCw"", ""Interns!O:O""), 
   ""Not Found"")"),"Texted on April 11 for #Cheers4Careers event. Interested but unable to attend due schadule conflict. Open to future events.")</f>
        <v>Texted on April 11 for #Cheers4Careers event. Interested but unable to attend due schadule conflict. Open to future events.</v>
      </c>
      <c r="AN993" s="23"/>
      <c r="AO993" s="23" t="s">
        <v>11547</v>
      </c>
      <c r="AP993" s="28" t="s">
        <v>5182</v>
      </c>
      <c r="AQ993" s="28" t="s">
        <v>11548</v>
      </c>
      <c r="AR993" s="23" t="s">
        <v>11549</v>
      </c>
      <c r="AS993" s="23"/>
      <c r="AT993" s="23"/>
      <c r="AU993" s="23"/>
      <c r="AV993" s="23"/>
    </row>
    <row r="994">
      <c r="A994" s="28" t="s">
        <v>5161</v>
      </c>
      <c r="B994" s="28" t="s">
        <v>5162</v>
      </c>
      <c r="C994" s="23" t="str">
        <f t="shared" si="1"/>
        <v>Edwin Orduna</v>
      </c>
      <c r="D994" s="28" t="s">
        <v>9094</v>
      </c>
      <c r="E994" s="28" t="s">
        <v>11550</v>
      </c>
      <c r="F994" s="23" t="str">
        <f t="array" ref="F994">IFERROR(
    INDEX('Hub Interns 226'!A:A, MATCH(C994, 'Hub Interns 226'!B:B, 0)),"")</f>
        <v/>
      </c>
      <c r="G994" s="23">
        <f t="array" ref="G994">IFERROR(
    INDEX('Hub Users 226'!A:A, MATCH(C994, 'Hub Users 226'!B:B, 0)),"")</f>
        <v>2216</v>
      </c>
      <c r="H994" s="28">
        <v>1870.0</v>
      </c>
      <c r="I994" s="28"/>
      <c r="J994" s="28" t="s">
        <v>11105</v>
      </c>
      <c r="K994" s="28" t="s">
        <v>5177</v>
      </c>
      <c r="L994" s="28" t="s">
        <v>5165</v>
      </c>
      <c r="M994" s="56" t="s">
        <v>11551</v>
      </c>
      <c r="N994" s="62">
        <v>45692.58888888889</v>
      </c>
      <c r="O994" s="58">
        <v>39234.0</v>
      </c>
      <c r="P994" s="28">
        <f t="shared" si="30"/>
        <v>18</v>
      </c>
      <c r="Q994" s="28" t="s">
        <v>11552</v>
      </c>
      <c r="R994" s="28" t="s">
        <v>11553</v>
      </c>
      <c r="S994" s="28">
        <v>13.0</v>
      </c>
      <c r="T994" s="28">
        <v>31.0</v>
      </c>
      <c r="U994" s="28">
        <v>86.0</v>
      </c>
      <c r="V994" s="28">
        <v>14.0</v>
      </c>
      <c r="W994" s="28" t="s">
        <v>859</v>
      </c>
      <c r="X994" s="28" t="s">
        <v>272</v>
      </c>
      <c r="Y994" s="28" t="s">
        <v>11554</v>
      </c>
      <c r="Z994" s="28" t="s">
        <v>5853</v>
      </c>
      <c r="AA994" s="28" t="s">
        <v>704</v>
      </c>
      <c r="AB994" s="28">
        <v>2.0</v>
      </c>
      <c r="AC994" s="28" t="s">
        <v>25</v>
      </c>
      <c r="AD994" s="23"/>
      <c r="AE994" s="28" t="s">
        <v>19</v>
      </c>
      <c r="AF994" s="23" t="str">
        <f>IFERROR(__xludf.DUMMYFUNCTION("TEXTJOIN("", "", TRUE,
  FILTER(Champions!C:C,
    ISNUMBER(SEARCH(C994, Champions!W:W))
  )
)"),"Wendy Velasquez Ebanks, YAZMIN PARIAMACHI")</f>
        <v>Wendy Velasquez Ebanks, YAZMIN PARIAMACHI</v>
      </c>
      <c r="AG994" s="23"/>
      <c r="AH994" s="23" t="str">
        <f>IFERROR(__xludf.DUMMYFUNCTION("IF(
ISNUMBER(MATCH(
C994,
IMPORTRANGE(""https://docs.google.com/spreadsheets/d/1yTh1ELC33JHYOeEdgIiEclxPRyh0zOKtlawDltfUay8"",""'Interns'!A:A""),
0
)),
""Outreach Conducted"",
"""")"),"")</f>
        <v/>
      </c>
      <c r="AI994" s="23"/>
      <c r="AJ994" s="23"/>
      <c r="AK994" s="23" t="str">
        <f>IFERROR(__xludf.DUMMYFUNCTION("XLOOKUP(C994, 
   IMPORTRANGE(""1RdEdgHYrZ33LJ7RUHj_h-qkAFL92bcVjtIdVa-UlsCw"", ""Interns!D:D""), 
   IMPORTRANGE(""1RdEdgHYrZ33LJ7RUHj_h-qkAFL92bcVjtIdVa-UlsCw"", ""Interns!M:M""), 
   ""Not Found"")"),"Contacted")</f>
        <v>Contacted</v>
      </c>
      <c r="AL994" s="23" t="str">
        <f>IFERROR(__xludf.DUMMYFUNCTION("XLOOKUP(C994, 
   IMPORTRANGE(""1RdEdgHYrZ33LJ7RUHj_h-qkAFL92bcVjtIdVa-UlsCw"", ""Interns!D:D""), 
   IMPORTRANGE(""1RdEdgHYrZ33LJ7RUHj_h-qkAFL92bcVjtIdVa-UlsCw"", ""Interns!N:N""), 
   ""Not Found"")"),"#Cheers4Careers")</f>
        <v>#Cheers4Careers</v>
      </c>
      <c r="AM994" s="23" t="str">
        <f>IFERROR(__xludf.DUMMYFUNCTION("XLOOKUP(C994, 
   IMPORTRANGE(""1RdEdgHYrZ33LJ7RUHj_h-qkAFL92bcVjtIdVa-UlsCw"", ""Interns!D:D""), 
   IMPORTRANGE(""1RdEdgHYrZ33LJ7RUHj_h-qkAFL92bcVjtIdVa-UlsCw"", ""Interns!O:O""), 
   ""Not Found"")"),"Ousmane reached out by email 3/26 and reach out by text 3/28")</f>
        <v>Ousmane reached out by email 3/26 and reach out by text 3/28</v>
      </c>
      <c r="AN994" s="23"/>
      <c r="AO994" s="23" t="s">
        <v>11555</v>
      </c>
      <c r="AP994" s="28" t="s">
        <v>5880</v>
      </c>
      <c r="AQ994" s="28" t="s">
        <v>11556</v>
      </c>
      <c r="AR994" s="23" t="s">
        <v>11557</v>
      </c>
      <c r="AS994" s="23"/>
      <c r="AT994" s="23"/>
      <c r="AU994" s="23"/>
      <c r="AV994" s="23"/>
    </row>
    <row r="995">
      <c r="A995" s="28" t="s">
        <v>5161</v>
      </c>
      <c r="B995" s="28" t="s">
        <v>31</v>
      </c>
      <c r="C995" s="23" t="str">
        <f t="shared" si="1"/>
        <v>Luis. Chimbo</v>
      </c>
      <c r="D995" s="28" t="s">
        <v>11558</v>
      </c>
      <c r="E995" s="28" t="s">
        <v>8796</v>
      </c>
      <c r="F995" s="23">
        <f t="array" ref="F995">IFERROR(
    INDEX('Hub Interns 226'!A:A, MATCH("Luis Chimbo", 'Hub Interns 226'!B:B, 0)),"")</f>
        <v>53</v>
      </c>
      <c r="G995" s="23">
        <f t="array" ref="G995">IFERROR(
    INDEX('Hub Users 226'!A:A, MATCH("Luis Chimbo", 'Hub Users 226'!B:B, 0)),"")</f>
        <v>486</v>
      </c>
      <c r="H995" s="28">
        <v>1143.0</v>
      </c>
      <c r="I995" s="28" t="s">
        <v>290</v>
      </c>
      <c r="J995" s="28"/>
      <c r="K995" s="28"/>
      <c r="L995" s="28" t="s">
        <v>5165</v>
      </c>
      <c r="M995" s="56" t="s">
        <v>8797</v>
      </c>
      <c r="N995" s="57">
        <v>44749.53472222222</v>
      </c>
      <c r="O995" s="58">
        <v>38830.0</v>
      </c>
      <c r="P995" s="28">
        <f t="shared" si="30"/>
        <v>20</v>
      </c>
      <c r="Q995" s="28" t="s">
        <v>240</v>
      </c>
      <c r="R995" s="28" t="s">
        <v>11559</v>
      </c>
      <c r="S995" s="28"/>
      <c r="T995" s="28"/>
      <c r="U995" s="28"/>
      <c r="V995" s="28"/>
      <c r="W995" s="28" t="s">
        <v>859</v>
      </c>
      <c r="X995" s="28" t="s">
        <v>272</v>
      </c>
      <c r="Y995" s="28" t="s">
        <v>8799</v>
      </c>
      <c r="Z995" s="28" t="s">
        <v>5259</v>
      </c>
      <c r="AA995" s="28" t="s">
        <v>704</v>
      </c>
      <c r="AB995" s="28">
        <v>2.0</v>
      </c>
      <c r="AC995" s="28" t="s">
        <v>23</v>
      </c>
      <c r="AD995" s="23"/>
      <c r="AE995" s="28" t="s">
        <v>15</v>
      </c>
      <c r="AF995" s="23"/>
      <c r="AG995" s="23"/>
      <c r="AH995" s="23" t="str">
        <f>IFERROR(__xludf.DUMMYFUNCTION("IF(
ISNUMBER(MATCH(
C995,
IMPORTRANGE(""https://docs.google.com/spreadsheets/d/1yTh1ELC33JHYOeEdgIiEclxPRyh0zOKtlawDltfUay8"",""'Interns'!A:A""),
0
)),
""Outreach Conducted"",
"""")"),"")</f>
        <v/>
      </c>
      <c r="AI995" s="23"/>
      <c r="AJ995" s="23"/>
      <c r="AK995" s="23" t="str">
        <f>IFERROR(__xludf.DUMMYFUNCTION("XLOOKUP(C995, 
   IMPORTRANGE(""1RdEdgHYrZ33LJ7RUHj_h-qkAFL92bcVjtIdVa-UlsCw"", ""Interns!D:D""), 
   IMPORTRANGE(""1RdEdgHYrZ33LJ7RUHj_h-qkAFL92bcVjtIdVa-UlsCw"", ""Interns!M:M""), 
   ""Not Found"")"),"")</f>
        <v/>
      </c>
      <c r="AL995" s="23" t="str">
        <f>IFERROR(__xludf.DUMMYFUNCTION("XLOOKUP(C995, 
   IMPORTRANGE(""1RdEdgHYrZ33LJ7RUHj_h-qkAFL92bcVjtIdVa-UlsCw"", ""Interns!D:D""), 
   IMPORTRANGE(""1RdEdgHYrZ33LJ7RUHj_h-qkAFL92bcVjtIdVa-UlsCw"", ""Interns!N:N""), 
   ""Not Found"")"),"")</f>
        <v/>
      </c>
      <c r="AM995" s="23" t="str">
        <f>IFERROR(__xludf.DUMMYFUNCTION("XLOOKUP(C995, 
   IMPORTRANGE(""1RdEdgHYrZ33LJ7RUHj_h-qkAFL92bcVjtIdVa-UlsCw"", ""Interns!D:D""), 
   IMPORTRANGE(""1RdEdgHYrZ33LJ7RUHj_h-qkAFL92bcVjtIdVa-UlsCw"", ""Interns!O:O""), 
   ""Not Found"")"),"")</f>
        <v/>
      </c>
      <c r="AN995" s="23"/>
      <c r="AO995" s="23" t="s">
        <v>11560</v>
      </c>
      <c r="AP995" s="28" t="s">
        <v>5191</v>
      </c>
      <c r="AQ995" s="28" t="s">
        <v>8801</v>
      </c>
      <c r="AR995" s="23" t="s">
        <v>11561</v>
      </c>
      <c r="AS995" s="23"/>
      <c r="AT995" s="23"/>
      <c r="AU995" s="23"/>
      <c r="AV995" s="23"/>
    </row>
    <row r="996">
      <c r="A996" s="28" t="s">
        <v>5161</v>
      </c>
      <c r="B996" s="28" t="s">
        <v>5162</v>
      </c>
      <c r="C996" s="23" t="str">
        <f t="shared" si="1"/>
        <v>Emiliano Hernandez</v>
      </c>
      <c r="D996" s="28" t="s">
        <v>9107</v>
      </c>
      <c r="E996" s="28" t="s">
        <v>2168</v>
      </c>
      <c r="F996" s="23">
        <f t="array" ref="F996">IFERROR(
    INDEX('Hub Interns 226'!A:A, MATCH(C996, 'Hub Interns 226'!B:B, 0)),"")</f>
        <v>1351</v>
      </c>
      <c r="G996" s="23">
        <f t="array" ref="G996">IFERROR(
    INDEX('Hub Users 226'!A:A, MATCH(C996, 'Hub Users 226'!B:B, 0)),"")</f>
        <v>1879</v>
      </c>
      <c r="H996" s="28">
        <v>1766.0</v>
      </c>
      <c r="I996" s="28" t="s">
        <v>107</v>
      </c>
      <c r="J996" s="28" t="s">
        <v>11105</v>
      </c>
      <c r="K996" s="28" t="s">
        <v>5177</v>
      </c>
      <c r="L996" s="28" t="s">
        <v>5165</v>
      </c>
      <c r="M996" s="56" t="s">
        <v>11562</v>
      </c>
      <c r="N996" s="57">
        <v>45299.97708333333</v>
      </c>
      <c r="O996" s="58">
        <v>39125.0</v>
      </c>
      <c r="P996" s="28">
        <f t="shared" si="30"/>
        <v>19</v>
      </c>
      <c r="Q996" s="28" t="s">
        <v>11563</v>
      </c>
      <c r="R996" s="28" t="s">
        <v>11564</v>
      </c>
      <c r="S996" s="28">
        <v>11.0</v>
      </c>
      <c r="T996" s="28">
        <v>23.0</v>
      </c>
      <c r="U996" s="28">
        <v>61.0</v>
      </c>
      <c r="V996" s="28">
        <v>49.0</v>
      </c>
      <c r="W996" s="28" t="s">
        <v>9112</v>
      </c>
      <c r="X996" s="28" t="s">
        <v>272</v>
      </c>
      <c r="Y996" s="28">
        <v>3.475443827E9</v>
      </c>
      <c r="Z996" s="28" t="s">
        <v>5259</v>
      </c>
      <c r="AA996" s="28" t="s">
        <v>704</v>
      </c>
      <c r="AB996" s="28">
        <v>2.0</v>
      </c>
      <c r="AC996" s="28" t="s">
        <v>25</v>
      </c>
      <c r="AD996" s="23"/>
      <c r="AE996" s="28" t="s">
        <v>18</v>
      </c>
      <c r="AF996" s="23" t="str">
        <f>IFERROR(__xludf.DUMMYFUNCTION("TEXTJOIN("", "", TRUE,
  FILTER(Champions!C:C,
    ISNUMBER(SEARCH(C996, Champions!W:W))
  )
)"),"Bhavna Mohan Agnihotri, Sharon Shi")</f>
        <v>Bhavna Mohan Agnihotri, Sharon Shi</v>
      </c>
      <c r="AG996" s="23"/>
      <c r="AH996" s="23" t="str">
        <f>IFERROR(__xludf.DUMMYFUNCTION("IF(
ISNUMBER(MATCH(
C996,
IMPORTRANGE(""https://docs.google.com/spreadsheets/d/1yTh1ELC33JHYOeEdgIiEclxPRyh0zOKtlawDltfUay8"",""'Interns'!A:A""),
0
)),
""Outreach Conducted"",
"""")"),"")</f>
        <v/>
      </c>
      <c r="AI996" s="23"/>
      <c r="AJ996" s="23"/>
      <c r="AK996" s="23" t="str">
        <f>IFERROR(__xludf.DUMMYFUNCTION("XLOOKUP(C996, 
   IMPORTRANGE(""1RdEdgHYrZ33LJ7RUHj_h-qkAFL92bcVjtIdVa-UlsCw"", ""Interns!D:D""), 
   IMPORTRANGE(""1RdEdgHYrZ33LJ7RUHj_h-qkAFL92bcVjtIdVa-UlsCw"", ""Interns!M:M""), 
   ""Not Found"")"),"Contacted")</f>
        <v>Contacted</v>
      </c>
      <c r="AL996" s="23" t="str">
        <f>IFERROR(__xludf.DUMMYFUNCTION("XLOOKUP(C996, 
   IMPORTRANGE(""1RdEdgHYrZ33LJ7RUHj_h-qkAFL92bcVjtIdVa-UlsCw"", ""Interns!D:D""), 
   IMPORTRANGE(""1RdEdgHYrZ33LJ7RUHj_h-qkAFL92bcVjtIdVa-UlsCw"", ""Interns!N:N""), 
   ""Not Found"")"),"#Cheers4Careers")</f>
        <v>#Cheers4Careers</v>
      </c>
      <c r="AM996" s="23" t="str">
        <f>IFERROR(__xludf.DUMMYFUNCTION("XLOOKUP(C996, 
   IMPORTRANGE(""1RdEdgHYrZ33LJ7RUHj_h-qkAFL92bcVjtIdVa-UlsCw"", ""Interns!D:D""), 
   IMPORTRANGE(""1RdEdgHYrZ33LJ7RUHj_h-qkAFL92bcVjtIdVa-UlsCw"", ""Interns!O:O""), 
   ""Not Found"")"),"Ousmane reached out by email 3/26 and reach out by text 3/28
Hetal reached out on 4/10 by whatsapp for April 18th #Cheers4Careers")</f>
        <v>Ousmane reached out by email 3/26 and reach out by text 3/28
Hetal reached out on 4/10 by whatsapp for April 18th #Cheers4Careers</v>
      </c>
      <c r="AN996" s="23"/>
      <c r="AO996" s="23" t="s">
        <v>11565</v>
      </c>
      <c r="AP996" s="28" t="s">
        <v>5182</v>
      </c>
      <c r="AQ996" s="28" t="s">
        <v>11566</v>
      </c>
      <c r="AR996" s="23">
        <v>3.475443828E9</v>
      </c>
      <c r="AS996" s="23"/>
      <c r="AT996" s="23"/>
      <c r="AU996" s="23"/>
      <c r="AV996" s="23"/>
    </row>
    <row r="997">
      <c r="A997" s="28" t="s">
        <v>5161</v>
      </c>
      <c r="B997" s="28" t="s">
        <v>5162</v>
      </c>
      <c r="C997" s="23" t="str">
        <f t="shared" si="1"/>
        <v>Kohen Álvarez Reyes</v>
      </c>
      <c r="D997" s="28" t="s">
        <v>11567</v>
      </c>
      <c r="E997" s="28" t="s">
        <v>11568</v>
      </c>
      <c r="F997" s="23">
        <f t="array" ref="F997">IFERROR(
    INDEX('Hub Interns 226'!A:A, MATCH(C997, 'Hub Interns 226'!B:B, 0)),"")</f>
        <v>1786</v>
      </c>
      <c r="G997" s="28">
        <v>2616.0</v>
      </c>
      <c r="H997" s="28">
        <v>1630.0</v>
      </c>
      <c r="I997" s="28" t="s">
        <v>239</v>
      </c>
      <c r="J997" s="28" t="s">
        <v>11105</v>
      </c>
      <c r="K997" s="28" t="s">
        <v>5177</v>
      </c>
      <c r="L997" s="28" t="s">
        <v>5165</v>
      </c>
      <c r="M997" s="56" t="s">
        <v>11569</v>
      </c>
      <c r="N997" s="57">
        <v>45116.49513888889</v>
      </c>
      <c r="O997" s="58">
        <v>39396.0</v>
      </c>
      <c r="P997" s="28">
        <f t="shared" si="30"/>
        <v>18</v>
      </c>
      <c r="Q997" s="28" t="s">
        <v>11570</v>
      </c>
      <c r="R997" s="28" t="s">
        <v>11571</v>
      </c>
      <c r="S997" s="28">
        <v>11.0</v>
      </c>
      <c r="T997" s="28">
        <v>23.0</v>
      </c>
      <c r="U997" s="28">
        <v>64.0</v>
      </c>
      <c r="V997" s="28">
        <v>50.0</v>
      </c>
      <c r="W997" s="28" t="s">
        <v>9112</v>
      </c>
      <c r="X997" s="28" t="s">
        <v>272</v>
      </c>
      <c r="Y997" s="28" t="s">
        <v>11572</v>
      </c>
      <c r="Z997" s="28" t="s">
        <v>11573</v>
      </c>
      <c r="AA997" s="28" t="s">
        <v>5639</v>
      </c>
      <c r="AB997" s="28">
        <v>50.0</v>
      </c>
      <c r="AC997" s="28" t="s">
        <v>27</v>
      </c>
      <c r="AD997" s="23"/>
      <c r="AE997" s="28" t="s">
        <v>18</v>
      </c>
      <c r="AF997" s="23"/>
      <c r="AG997" s="23"/>
      <c r="AH997" s="23" t="str">
        <f>IFERROR(__xludf.DUMMYFUNCTION("IF(
ISNUMBER(MATCH(
C997,
IMPORTRANGE(""https://docs.google.com/spreadsheets/d/1yTh1ELC33JHYOeEdgIiEclxPRyh0zOKtlawDltfUay8"",""'Interns'!A:A""),
0
)),
""Outreach Conducted"",
"""")"),"")</f>
        <v/>
      </c>
      <c r="AI997" s="23"/>
      <c r="AJ997" s="23"/>
      <c r="AK997" s="23" t="str">
        <f>IFERROR(__xludf.DUMMYFUNCTION("XLOOKUP(C997, 
   IMPORTRANGE(""1RdEdgHYrZ33LJ7RUHj_h-qkAFL92bcVjtIdVa-UlsCw"", ""Interns!D:D""), 
   IMPORTRANGE(""1RdEdgHYrZ33LJ7RUHj_h-qkAFL92bcVjtIdVa-UlsCw"", ""Interns!M:M""), 
   ""Not Found"")"),"Contacted")</f>
        <v>Contacted</v>
      </c>
      <c r="AL997" s="23" t="str">
        <f>IFERROR(__xludf.DUMMYFUNCTION("XLOOKUP(C997, 
   IMPORTRANGE(""1RdEdgHYrZ33LJ7RUHj_h-qkAFL92bcVjtIdVa-UlsCw"", ""Interns!D:D""), 
   IMPORTRANGE(""1RdEdgHYrZ33LJ7RUHj_h-qkAFL92bcVjtIdVa-UlsCw"", ""Interns!N:N""), 
   ""Not Found"")"),"#Cheers4Careers")</f>
        <v>#Cheers4Careers</v>
      </c>
      <c r="AM997" s="23" t="str">
        <f>IFERROR(__xludf.DUMMYFUNCTION("XLOOKUP(C997, 
   IMPORTRANGE(""1RdEdgHYrZ33LJ7RUHj_h-qkAFL92bcVjtIdVa-UlsCw"", ""Interns!D:D""), 
   IMPORTRANGE(""1RdEdgHYrZ33LJ7RUHj_h-qkAFL92bcVjtIdVa-UlsCw"", ""Interns!O:O""), 
   ""Not Found"")"),"Hetal reached out by text 3/27 for #Cheers4Careers")</f>
        <v>Hetal reached out by text 3/27 for #Cheers4Careers</v>
      </c>
      <c r="AN997" s="23"/>
      <c r="AO997" s="23" t="s">
        <v>11574</v>
      </c>
      <c r="AP997" s="28" t="s">
        <v>5182</v>
      </c>
      <c r="AQ997" s="28" t="s">
        <v>11575</v>
      </c>
      <c r="AR997" s="23" t="s">
        <v>11576</v>
      </c>
      <c r="AS997" s="23"/>
      <c r="AT997" s="23"/>
      <c r="AU997" s="23"/>
      <c r="AV997" s="23"/>
    </row>
    <row r="998">
      <c r="A998" s="28" t="s">
        <v>5161</v>
      </c>
      <c r="B998" s="28" t="s">
        <v>5162</v>
      </c>
      <c r="C998" s="23" t="str">
        <f t="shared" si="1"/>
        <v>Christopher Mendoza</v>
      </c>
      <c r="D998" s="28" t="s">
        <v>976</v>
      </c>
      <c r="E998" s="28" t="s">
        <v>4503</v>
      </c>
      <c r="F998" s="23">
        <f t="array" ref="F998">IFERROR(
    INDEX('Hub Interns 226'!A:A, MATCH(C998, 'Hub Interns 226'!B:B, 0)),"")</f>
        <v>365</v>
      </c>
      <c r="G998" s="23">
        <f t="array" ref="G998">IFERROR(
    INDEX('Hub Users 226'!A:A, MATCH(C998, 'Hub Users 226'!B:B, 0)),"")</f>
        <v>798</v>
      </c>
      <c r="H998" s="28">
        <v>539.0</v>
      </c>
      <c r="I998" s="28" t="s">
        <v>260</v>
      </c>
      <c r="J998" s="28" t="s">
        <v>11105</v>
      </c>
      <c r="K998" s="28" t="s">
        <v>5177</v>
      </c>
      <c r="L998" s="28" t="s">
        <v>5165</v>
      </c>
      <c r="M998" s="56" t="s">
        <v>11577</v>
      </c>
      <c r="N998" s="57">
        <v>44477.544444444444</v>
      </c>
      <c r="O998" s="58">
        <v>38476.0</v>
      </c>
      <c r="P998" s="28">
        <f t="shared" si="30"/>
        <v>21</v>
      </c>
      <c r="Q998" s="28" t="s">
        <v>240</v>
      </c>
      <c r="R998" s="28" t="s">
        <v>11578</v>
      </c>
      <c r="S998" s="28">
        <v>6.0</v>
      </c>
      <c r="T998" s="28">
        <v>16.0</v>
      </c>
      <c r="U998" s="28">
        <v>40.0</v>
      </c>
      <c r="V998" s="28">
        <v>20.0</v>
      </c>
      <c r="W998" s="28" t="s">
        <v>1173</v>
      </c>
      <c r="X998" s="28" t="s">
        <v>272</v>
      </c>
      <c r="Y998" s="28" t="s">
        <v>11579</v>
      </c>
      <c r="Z998" s="28" t="s">
        <v>5189</v>
      </c>
      <c r="AA998" s="28" t="s">
        <v>619</v>
      </c>
      <c r="AB998" s="28">
        <v>20.0</v>
      </c>
      <c r="AC998" s="28" t="s">
        <v>25</v>
      </c>
      <c r="AD998" s="23"/>
      <c r="AE998" s="28" t="s">
        <v>10</v>
      </c>
      <c r="AF998" s="23" t="str">
        <f>IFERROR(__xludf.DUMMYFUNCTION("TEXTJOIN("", "", TRUE,
  FILTER(Champions!C:C,
    ISNUMBER(SEARCH(C998, Champions!W:W))
  )
)"),"Chetna Bail, Adelina Longoria")</f>
        <v>Chetna Bail, Adelina Longoria</v>
      </c>
      <c r="AG998" s="23"/>
      <c r="AH998" s="23" t="str">
        <f>IFERROR(__xludf.DUMMYFUNCTION("IF(
ISNUMBER(MATCH(
C998,
IMPORTRANGE(""https://docs.google.com/spreadsheets/d/1yTh1ELC33JHYOeEdgIiEclxPRyh0zOKtlawDltfUay8"",""'Interns'!A:A""),
0
)),
""Outreach Conducted"",
"""")"),"")</f>
        <v/>
      </c>
      <c r="AI998" s="23"/>
      <c r="AJ998" s="23"/>
      <c r="AK998" s="23" t="str">
        <f>IFERROR(__xludf.DUMMYFUNCTION("XLOOKUP(C998, 
   IMPORTRANGE(""1RdEdgHYrZ33LJ7RUHj_h-qkAFL92bcVjtIdVa-UlsCw"", ""Interns!D:D""), 
   IMPORTRANGE(""1RdEdgHYrZ33LJ7RUHj_h-qkAFL92bcVjtIdVa-UlsCw"", ""Interns!M:M""), 
   ""Not Found"")"),"Contacted")</f>
        <v>Contacted</v>
      </c>
      <c r="AL998" s="23" t="str">
        <f>IFERROR(__xludf.DUMMYFUNCTION("XLOOKUP(C998, 
   IMPORTRANGE(""1RdEdgHYrZ33LJ7RUHj_h-qkAFL92bcVjtIdVa-UlsCw"", ""Interns!D:D""), 
   IMPORTRANGE(""1RdEdgHYrZ33LJ7RUHj_h-qkAFL92bcVjtIdVa-UlsCw"", ""Interns!N:N""), 
   ""Not Found"")"),"#Cheers4Careers")</f>
        <v>#Cheers4Careers</v>
      </c>
      <c r="AM998" s="23" t="str">
        <f>IFERROR(__xludf.DUMMYFUNCTION("XLOOKUP(C998, 
   IMPORTRANGE(""1RdEdgHYrZ33LJ7RUHj_h-qkAFL92bcVjtIdVa-UlsCw"", ""Interns!D:D""), 
   IMPORTRANGE(""1RdEdgHYrZ33LJ7RUHj_h-qkAFL92bcVjtIdVa-UlsCw"", ""Interns!O:O""), 
   ""Not Found"")"),"Hetal reached out by email 3/27 followed by text")</f>
        <v>Hetal reached out by email 3/27 followed by text</v>
      </c>
      <c r="AN998" s="23"/>
      <c r="AO998" s="23" t="s">
        <v>11580</v>
      </c>
      <c r="AP998" s="28" t="s">
        <v>5191</v>
      </c>
      <c r="AQ998" s="28" t="s">
        <v>11581</v>
      </c>
      <c r="AR998" s="23" t="s">
        <v>11579</v>
      </c>
      <c r="AS998" s="23"/>
      <c r="AT998" s="23"/>
      <c r="AU998" s="23"/>
      <c r="AV998" s="23"/>
    </row>
    <row r="999">
      <c r="A999" s="28" t="s">
        <v>5202</v>
      </c>
      <c r="B999" s="28" t="s">
        <v>5162</v>
      </c>
      <c r="C999" s="23" t="str">
        <f t="shared" si="1"/>
        <v>Bidhata Tripathi</v>
      </c>
      <c r="D999" s="28" t="s">
        <v>11582</v>
      </c>
      <c r="E999" s="28" t="s">
        <v>3428</v>
      </c>
      <c r="F999" s="23">
        <f t="array" ref="F999">IFERROR(
    INDEX('Hub Interns 226'!A:A, MATCH(C999, 'Hub Interns 226'!B:B, 0)),"")</f>
        <v>298</v>
      </c>
      <c r="G999" s="23">
        <f t="array" ref="G999">IFERROR(
    INDEX('Hub Users 226'!A:A, MATCH(C999, 'Hub Users 226'!B:B, 0)),"")</f>
        <v>731</v>
      </c>
      <c r="H999" s="28">
        <v>78.0</v>
      </c>
      <c r="I999" s="28" t="s">
        <v>239</v>
      </c>
      <c r="J999" s="28" t="s">
        <v>3265</v>
      </c>
      <c r="K999" s="28" t="s">
        <v>5186</v>
      </c>
      <c r="L999" s="28" t="s">
        <v>5196</v>
      </c>
      <c r="M999" s="56" t="s">
        <v>11583</v>
      </c>
      <c r="N999" s="57">
        <v>43741.63125</v>
      </c>
      <c r="O999" s="58"/>
      <c r="P999" s="28"/>
      <c r="Q999" s="28" t="s">
        <v>240</v>
      </c>
      <c r="R999" s="23"/>
      <c r="S999" s="28"/>
      <c r="T999" s="28"/>
      <c r="U999" s="28"/>
      <c r="V999" s="28"/>
      <c r="W999" s="28" t="s">
        <v>294</v>
      </c>
      <c r="X999" s="28" t="s">
        <v>272</v>
      </c>
      <c r="Y999" s="28">
        <v>3.47299681E9</v>
      </c>
      <c r="Z999" s="28" t="s">
        <v>11343</v>
      </c>
      <c r="AA999" s="28" t="s">
        <v>11343</v>
      </c>
      <c r="AB999" s="28">
        <v>17.0</v>
      </c>
      <c r="AC999" s="28" t="s">
        <v>25</v>
      </c>
      <c r="AD999" s="23"/>
      <c r="AE999" s="28" t="s">
        <v>6</v>
      </c>
      <c r="AF999" s="23" t="str">
        <f>IFERROR(__xludf.DUMMYFUNCTION("TEXTJOIN("", "", TRUE,
  FILTER(Champions!C:C,
    ISNUMBER(SEARCH(C999, Champions!W:W))
  )
)"),"#N/A")</f>
        <v>#N/A</v>
      </c>
      <c r="AG999" s="23"/>
      <c r="AH999" s="23" t="str">
        <f>IFERROR(__xludf.DUMMYFUNCTION("IF(
ISNUMBER(MATCH(
C999,
IMPORTRANGE(""https://docs.google.com/spreadsheets/d/1yTh1ELC33JHYOeEdgIiEclxPRyh0zOKtlawDltfUay8"",""'Interns'!A:A""),
0
)),
""Outreach Conducted"",
"""")"),"")</f>
        <v/>
      </c>
      <c r="AI999" s="23"/>
      <c r="AJ999" s="23"/>
      <c r="AK999" s="23" t="str">
        <f>IFERROR(__xludf.DUMMYFUNCTION("XLOOKUP(C999, 
   IMPORTRANGE(""1RdEdgHYrZ33LJ7RUHj_h-qkAFL92bcVjtIdVa-UlsCw"", ""Interns!D:D""), 
   IMPORTRANGE(""1RdEdgHYrZ33LJ7RUHj_h-qkAFL92bcVjtIdVa-UlsCw"", ""Interns!M:M""), 
   ""Not Found"")"),"")</f>
        <v/>
      </c>
      <c r="AL999" s="23" t="str">
        <f>IFERROR(__xludf.DUMMYFUNCTION("XLOOKUP(C999, 
   IMPORTRANGE(""1RdEdgHYrZ33LJ7RUHj_h-qkAFL92bcVjtIdVa-UlsCw"", ""Interns!D:D""), 
   IMPORTRANGE(""1RdEdgHYrZ33LJ7RUHj_h-qkAFL92bcVjtIdVa-UlsCw"", ""Interns!N:N""), 
   ""Not Found"")"),"")</f>
        <v/>
      </c>
      <c r="AM999" s="23" t="str">
        <f>IFERROR(__xludf.DUMMYFUNCTION("XLOOKUP(C999, 
   IMPORTRANGE(""1RdEdgHYrZ33LJ7RUHj_h-qkAFL92bcVjtIdVa-UlsCw"", ""Interns!D:D""), 
   IMPORTRANGE(""1RdEdgHYrZ33LJ7RUHj_h-qkAFL92bcVjtIdVa-UlsCw"", ""Interns!O:O""), 
   ""Not Found"")"),"")</f>
        <v/>
      </c>
      <c r="AN999" s="23"/>
      <c r="AO999" s="23" t="s">
        <v>11584</v>
      </c>
      <c r="AP999" s="28" t="s">
        <v>5182</v>
      </c>
      <c r="AQ999" s="28" t="s">
        <v>11584</v>
      </c>
      <c r="AR999" s="23">
        <v>3.47299681E9</v>
      </c>
      <c r="AS999" s="23"/>
      <c r="AT999" s="23"/>
      <c r="AU999" s="23"/>
      <c r="AV999" s="23"/>
    </row>
    <row r="1000">
      <c r="A1000" s="28" t="s">
        <v>5202</v>
      </c>
      <c r="B1000" s="28" t="s">
        <v>5162</v>
      </c>
      <c r="C1000" s="23" t="str">
        <f t="shared" si="1"/>
        <v>Manar Alsalihi</v>
      </c>
      <c r="D1000" s="28" t="s">
        <v>11585</v>
      </c>
      <c r="E1000" s="28" t="s">
        <v>11586</v>
      </c>
      <c r="F1000" s="23" t="str">
        <f t="array" ref="F1000">IFERROR(
    INDEX('Hub Interns 226'!A:A, MATCH(C1000, 'Hub Interns 226'!B:B, 0)),"")</f>
        <v/>
      </c>
      <c r="G1000" s="23" t="str">
        <f t="array" ref="G1000">IFERROR(
    INDEX('Hub Users 226'!A:A, MATCH(C1000, 'Hub Users 226'!B:B, 0)),"")</f>
        <v/>
      </c>
      <c r="H1000" s="28">
        <v>35.0</v>
      </c>
      <c r="I1000" s="28" t="s">
        <v>260</v>
      </c>
      <c r="J1000" s="28" t="s">
        <v>11587</v>
      </c>
      <c r="K1000" s="28" t="s">
        <v>5186</v>
      </c>
      <c r="L1000" s="28" t="s">
        <v>5196</v>
      </c>
      <c r="M1000" s="23"/>
      <c r="N1000" s="57">
        <v>43741.63055555556</v>
      </c>
      <c r="O1000" s="58"/>
      <c r="P1000" s="28"/>
      <c r="Q1000" s="28" t="s">
        <v>240</v>
      </c>
      <c r="R1000" s="23"/>
      <c r="S1000" s="28"/>
      <c r="T1000" s="28"/>
      <c r="U1000" s="28"/>
      <c r="V1000" s="28"/>
      <c r="W1000" s="28" t="s">
        <v>380</v>
      </c>
      <c r="X1000" s="28" t="s">
        <v>381</v>
      </c>
      <c r="Y1000" s="28" t="s">
        <v>11588</v>
      </c>
      <c r="Z1000" s="28" t="s">
        <v>5491</v>
      </c>
      <c r="AA1000" s="28" t="s">
        <v>5492</v>
      </c>
      <c r="AB1000" s="28">
        <v>47.0</v>
      </c>
      <c r="AC1000" s="28" t="s">
        <v>25</v>
      </c>
      <c r="AD1000" s="23"/>
      <c r="AE1000" s="28" t="s">
        <v>4</v>
      </c>
      <c r="AF1000" s="23" t="str">
        <f>IFERROR(__xludf.DUMMYFUNCTION("TEXTJOIN("", "", TRUE,
  FILTER(Champions!C:C,
    ISNUMBER(SEARCH(C1000, Champions!W:W))
  )
)"),"#N/A")</f>
        <v>#N/A</v>
      </c>
      <c r="AG1000" s="23"/>
      <c r="AH1000" s="23" t="str">
        <f>IFERROR(__xludf.DUMMYFUNCTION("IF(
ISNUMBER(MATCH(
C1000,
IMPORTRANGE(""https://docs.google.com/spreadsheets/d/1yTh1ELC33JHYOeEdgIiEclxPRyh0zOKtlawDltfUay8"",""'Interns'!A:A""),
0
)),
""Outreach Conducted"",
"""")"),"")</f>
        <v/>
      </c>
      <c r="AI1000" s="23"/>
      <c r="AJ1000" s="23"/>
      <c r="AK1000" s="23" t="str">
        <f>IFERROR(__xludf.DUMMYFUNCTION("XLOOKUP(C1000, 
   IMPORTRANGE(""1RdEdgHYrZ33LJ7RUHj_h-qkAFL92bcVjtIdVa-UlsCw"", ""Interns!D:D""), 
   IMPORTRANGE(""1RdEdgHYrZ33LJ7RUHj_h-qkAFL92bcVjtIdVa-UlsCw"", ""Interns!M:M""), 
   ""Not Found"")"),"")</f>
        <v/>
      </c>
      <c r="AL1000" s="23" t="str">
        <f>IFERROR(__xludf.DUMMYFUNCTION("XLOOKUP(C1000, 
   IMPORTRANGE(""1RdEdgHYrZ33LJ7RUHj_h-qkAFL92bcVjtIdVa-UlsCw"", ""Interns!D:D""), 
   IMPORTRANGE(""1RdEdgHYrZ33LJ7RUHj_h-qkAFL92bcVjtIdVa-UlsCw"", ""Interns!N:N""), 
   ""Not Found"")"),"")</f>
        <v/>
      </c>
      <c r="AM1000" s="23" t="str">
        <f>IFERROR(__xludf.DUMMYFUNCTION("XLOOKUP(C1000, 
   IMPORTRANGE(""1RdEdgHYrZ33LJ7RUHj_h-qkAFL92bcVjtIdVa-UlsCw"", ""Interns!D:D""), 
   IMPORTRANGE(""1RdEdgHYrZ33LJ7RUHj_h-qkAFL92bcVjtIdVa-UlsCw"", ""Interns!O:O""), 
   ""Not Found"")"),"")</f>
        <v/>
      </c>
      <c r="AN1000" s="23"/>
      <c r="AO1000" s="23" t="s">
        <v>11589</v>
      </c>
      <c r="AP1000" s="28" t="s">
        <v>5182</v>
      </c>
      <c r="AQ1000" s="28" t="s">
        <v>11589</v>
      </c>
      <c r="AR1000" s="23" t="s">
        <v>11590</v>
      </c>
      <c r="AS1000" s="23"/>
      <c r="AT1000" s="23"/>
      <c r="AU1000" s="23"/>
      <c r="AV1000" s="23"/>
    </row>
    <row r="1001">
      <c r="A1001" s="28" t="s">
        <v>5161</v>
      </c>
      <c r="B1001" s="28" t="s">
        <v>5162</v>
      </c>
      <c r="C1001" s="23" t="str">
        <f t="shared" si="1"/>
        <v>Stephanie Mendoza</v>
      </c>
      <c r="D1001" s="28" t="s">
        <v>3108</v>
      </c>
      <c r="E1001" s="28" t="s">
        <v>4503</v>
      </c>
      <c r="F1001" s="23">
        <f t="array" ref="F1001">IFERROR(
    INDEX('Hub Interns 226'!A:A, MATCH(C1001, 'Hub Interns 226'!B:B, 0)),"")</f>
        <v>876</v>
      </c>
      <c r="G1001" s="23">
        <f t="array" ref="G1001">IFERROR(
    INDEX('Hub Users 226'!A:A, MATCH(C1001, 'Hub Users 226'!B:B, 0)),"")</f>
        <v>1309</v>
      </c>
      <c r="H1001" s="28">
        <v>720.0</v>
      </c>
      <c r="I1001" s="28" t="s">
        <v>785</v>
      </c>
      <c r="J1001" s="28" t="s">
        <v>11105</v>
      </c>
      <c r="K1001" s="28" t="s">
        <v>5177</v>
      </c>
      <c r="L1001" s="28" t="s">
        <v>5196</v>
      </c>
      <c r="M1001" s="56" t="s">
        <v>11591</v>
      </c>
      <c r="N1001" s="59">
        <v>44548.99236111111</v>
      </c>
      <c r="O1001" s="58">
        <v>38591.0</v>
      </c>
      <c r="P1001" s="28">
        <f t="shared" ref="P1001:P1036" si="31">DATEDIF(O1001, TODAY(), "Y")</f>
        <v>20</v>
      </c>
      <c r="Q1001" s="28" t="s">
        <v>240</v>
      </c>
      <c r="R1001" s="28" t="s">
        <v>11592</v>
      </c>
      <c r="S1001" s="28">
        <v>14.0</v>
      </c>
      <c r="T1001" s="28">
        <v>13.0</v>
      </c>
      <c r="U1001" s="28">
        <v>34.0</v>
      </c>
      <c r="V1001" s="28">
        <v>21.0</v>
      </c>
      <c r="W1001" s="28" t="s">
        <v>1173</v>
      </c>
      <c r="X1001" s="28" t="s">
        <v>272</v>
      </c>
      <c r="Y1001" s="28" t="s">
        <v>11593</v>
      </c>
      <c r="Z1001" s="28" t="s">
        <v>5483</v>
      </c>
      <c r="AA1001" s="28" t="s">
        <v>457</v>
      </c>
      <c r="AB1001" s="28">
        <v>25.0</v>
      </c>
      <c r="AC1001" s="28" t="s">
        <v>25</v>
      </c>
      <c r="AD1001" s="23"/>
      <c r="AE1001" s="28" t="s">
        <v>10</v>
      </c>
      <c r="AF1001" s="23" t="str">
        <f>IFERROR(__xludf.DUMMYFUNCTION("TEXTJOIN("", "", TRUE,
  FILTER(Champions!C:C,
    ISNUMBER(SEARCH(C1001, Champions!W:W))
  )
)"),"Ryane Montanez, Sarah Anne Mead Lupberger")</f>
        <v>Ryane Montanez, Sarah Anne Mead Lupberger</v>
      </c>
      <c r="AG1001" s="23"/>
      <c r="AH1001" s="23" t="str">
        <f>IFERROR(__xludf.DUMMYFUNCTION("IF(
ISNUMBER(MATCH(
C1001,
IMPORTRANGE(""https://docs.google.com/spreadsheets/d/1yTh1ELC33JHYOeEdgIiEclxPRyh0zOKtlawDltfUay8"",""'Interns'!A:A""),
0
)),
""Outreach Conducted"",
"""")"),"")</f>
        <v/>
      </c>
      <c r="AI1001" s="23"/>
      <c r="AJ1001" s="23"/>
      <c r="AK1001" s="23" t="str">
        <f>IFERROR(__xludf.DUMMYFUNCTION("XLOOKUP(C1001, 
   IMPORTRANGE(""1RdEdgHYrZ33LJ7RUHj_h-qkAFL92bcVjtIdVa-UlsCw"", ""Interns!D:D""), 
   IMPORTRANGE(""1RdEdgHYrZ33LJ7RUHj_h-qkAFL92bcVjtIdVa-UlsCw"", ""Interns!M:M""), 
   ""Not Found"")"),"Contacted")</f>
        <v>Contacted</v>
      </c>
      <c r="AL1001" s="23" t="str">
        <f>IFERROR(__xludf.DUMMYFUNCTION("XLOOKUP(C1001, 
   IMPORTRANGE(""1RdEdgHYrZ33LJ7RUHj_h-qkAFL92bcVjtIdVa-UlsCw"", ""Interns!D:D""), 
   IMPORTRANGE(""1RdEdgHYrZ33LJ7RUHj_h-qkAFL92bcVjtIdVa-UlsCw"", ""Interns!N:N""), 
   ""Not Found"")"),"#Cheers4Careers")</f>
        <v>#Cheers4Careers</v>
      </c>
      <c r="AM1001" s="23" t="str">
        <f>IFERROR(__xludf.DUMMYFUNCTION("XLOOKUP(C1001, 
   IMPORTRANGE(""1RdEdgHYrZ33LJ7RUHj_h-qkAFL92bcVjtIdVa-UlsCw"", ""Interns!D:D""), 
   IMPORTRANGE(""1RdEdgHYrZ33LJ7RUHj_h-qkAFL92bcVjtIdVa-UlsCw"", ""Interns!O:O""), 
   ""Not Found"")"),"Hetal reached out by email 3/27")</f>
        <v>Hetal reached out by email 3/27</v>
      </c>
      <c r="AN1001" s="23"/>
      <c r="AO1001" s="23" t="s">
        <v>11594</v>
      </c>
      <c r="AP1001" s="28" t="s">
        <v>5191</v>
      </c>
      <c r="AQ1001" s="28" t="s">
        <v>11595</v>
      </c>
      <c r="AR1001" s="23" t="s">
        <v>11596</v>
      </c>
      <c r="AS1001" s="23"/>
      <c r="AT1001" s="23"/>
      <c r="AU1001" s="23"/>
      <c r="AV1001" s="23"/>
    </row>
    <row r="1002">
      <c r="A1002" s="28" t="s">
        <v>5161</v>
      </c>
      <c r="B1002" s="28" t="s">
        <v>5162</v>
      </c>
      <c r="C1002" s="23" t="str">
        <f t="shared" si="1"/>
        <v>Mishelle Carol</v>
      </c>
      <c r="D1002" s="28" t="s">
        <v>11597</v>
      </c>
      <c r="E1002" s="28" t="s">
        <v>11598</v>
      </c>
      <c r="F1002" s="23">
        <f t="array" ref="F1002">IFERROR(
    INDEX('Hub Interns 226'!A:A, MATCH(C1002, 'Hub Interns 226'!B:B, 0)),"")</f>
        <v>338</v>
      </c>
      <c r="G1002" s="23">
        <f t="array" ref="G1002">IFERROR(
    INDEX('Hub Users 226'!A:A, MATCH(C1002, 'Hub Users 226'!B:B, 0)),"")</f>
        <v>771</v>
      </c>
      <c r="H1002" s="28">
        <v>650.0</v>
      </c>
      <c r="I1002" s="28" t="s">
        <v>290</v>
      </c>
      <c r="J1002" s="28" t="s">
        <v>11105</v>
      </c>
      <c r="K1002" s="28" t="s">
        <v>5177</v>
      </c>
      <c r="L1002" s="28" t="s">
        <v>5196</v>
      </c>
      <c r="M1002" s="56" t="s">
        <v>11599</v>
      </c>
      <c r="N1002" s="57">
        <v>44508.68819444445</v>
      </c>
      <c r="O1002" s="58">
        <v>37764.0</v>
      </c>
      <c r="P1002" s="28">
        <f t="shared" si="31"/>
        <v>22</v>
      </c>
      <c r="Q1002" s="28" t="s">
        <v>11600</v>
      </c>
      <c r="R1002" s="28" t="s">
        <v>11601</v>
      </c>
      <c r="S1002" s="28">
        <v>14.0</v>
      </c>
      <c r="T1002" s="28">
        <v>13.0</v>
      </c>
      <c r="U1002" s="28">
        <v>39.0</v>
      </c>
      <c r="V1002" s="28">
        <v>21.0</v>
      </c>
      <c r="W1002" s="28" t="s">
        <v>1173</v>
      </c>
      <c r="X1002" s="28" t="s">
        <v>272</v>
      </c>
      <c r="Y1002" s="28" t="s">
        <v>11602</v>
      </c>
      <c r="Z1002" s="28" t="s">
        <v>5189</v>
      </c>
      <c r="AA1002" s="28" t="s">
        <v>619</v>
      </c>
      <c r="AB1002" s="28">
        <v>20.0</v>
      </c>
      <c r="AC1002" s="28" t="s">
        <v>25</v>
      </c>
      <c r="AD1002" s="23"/>
      <c r="AE1002" s="28" t="s">
        <v>10</v>
      </c>
      <c r="AF1002" s="23" t="str">
        <f>IFERROR(__xludf.DUMMYFUNCTION("TEXTJOIN("", "", TRUE,
  FILTER(Champions!C:C,
    ISNUMBER(SEARCH(C1002, Champions!W:W))
  )
)"),"Arturo Paniagua, AUGUSTO SALCEDO")</f>
        <v>Arturo Paniagua, AUGUSTO SALCEDO</v>
      </c>
      <c r="AG1002" s="23"/>
      <c r="AH1002" s="23" t="str">
        <f>IFERROR(__xludf.DUMMYFUNCTION("IF(
ISNUMBER(MATCH(
C1002,
IMPORTRANGE(""https://docs.google.com/spreadsheets/d/1yTh1ELC33JHYOeEdgIiEclxPRyh0zOKtlawDltfUay8"",""'Interns'!A:A""),
0
)),
""Outreach Conducted"",
"""")"),"")</f>
        <v/>
      </c>
      <c r="AI1002" s="23"/>
      <c r="AJ1002" s="23"/>
      <c r="AK1002" s="23" t="str">
        <f>IFERROR(__xludf.DUMMYFUNCTION("XLOOKUP(C1002, 
   IMPORTRANGE(""1RdEdgHYrZ33LJ7RUHj_h-qkAFL92bcVjtIdVa-UlsCw"", ""Interns!D:D""), 
   IMPORTRANGE(""1RdEdgHYrZ33LJ7RUHj_h-qkAFL92bcVjtIdVa-UlsCw"", ""Interns!M:M""), 
   ""Not Found"")"),"Contacted")</f>
        <v>Contacted</v>
      </c>
      <c r="AL1002" s="23" t="str">
        <f>IFERROR(__xludf.DUMMYFUNCTION("XLOOKUP(C1002, 
   IMPORTRANGE(""1RdEdgHYrZ33LJ7RUHj_h-qkAFL92bcVjtIdVa-UlsCw"", ""Interns!D:D""), 
   IMPORTRANGE(""1RdEdgHYrZ33LJ7RUHj_h-qkAFL92bcVjtIdVa-UlsCw"", ""Interns!N:N""), 
   ""Not Found"")"),"#Cheers4Careers")</f>
        <v>#Cheers4Careers</v>
      </c>
      <c r="AM1002" s="23" t="str">
        <f>IFERROR(__xludf.DUMMYFUNCTION("XLOOKUP(C1002, 
   IMPORTRANGE(""1RdEdgHYrZ33LJ7RUHj_h-qkAFL92bcVjtIdVa-UlsCw"", ""Interns!D:D""), 
   IMPORTRANGE(""1RdEdgHYrZ33LJ7RUHj_h-qkAFL92bcVjtIdVa-UlsCw"", ""Interns!O:O""), 
   ""Not Found"")"),"Hetal reached out by email 3/27 followed by text")</f>
        <v>Hetal reached out by email 3/27 followed by text</v>
      </c>
      <c r="AN1002" s="23"/>
      <c r="AO1002" s="23" t="s">
        <v>11603</v>
      </c>
      <c r="AP1002" s="28" t="s">
        <v>5989</v>
      </c>
      <c r="AQ1002" s="28" t="s">
        <v>11604</v>
      </c>
      <c r="AR1002" s="23" t="s">
        <v>11605</v>
      </c>
      <c r="AS1002" s="23"/>
      <c r="AT1002" s="23"/>
      <c r="AU1002" s="23"/>
      <c r="AV1002" s="23"/>
    </row>
    <row r="1003">
      <c r="A1003" s="28" t="s">
        <v>5202</v>
      </c>
      <c r="B1003" s="28" t="s">
        <v>5162</v>
      </c>
      <c r="C1003" s="23" t="str">
        <f t="shared" si="1"/>
        <v>Jahzion Plummer</v>
      </c>
      <c r="D1003" s="28" t="s">
        <v>11606</v>
      </c>
      <c r="E1003" s="28" t="s">
        <v>11607</v>
      </c>
      <c r="F1003" s="23">
        <f t="array" ref="F1003">IFERROR(
    INDEX('Hub Interns 226'!A:A, MATCH(C1003, 'Hub Interns 226'!B:B, 0)),"")</f>
        <v>619</v>
      </c>
      <c r="G1003" s="23">
        <f t="array" ref="G1003">IFERROR(
    INDEX('Hub Users 226'!A:A, MATCH(C1003, 'Hub Users 226'!B:B, 0)),"")</f>
        <v>1052</v>
      </c>
      <c r="H1003" s="28">
        <v>387.0</v>
      </c>
      <c r="I1003" s="28" t="s">
        <v>290</v>
      </c>
      <c r="J1003" s="28" t="s">
        <v>3791</v>
      </c>
      <c r="K1003" s="28" t="s">
        <v>5177</v>
      </c>
      <c r="L1003" s="28" t="s">
        <v>5165</v>
      </c>
      <c r="M1003" s="56" t="s">
        <v>11608</v>
      </c>
      <c r="N1003" s="57">
        <v>44259.61736111111</v>
      </c>
      <c r="O1003" s="58">
        <v>38085.0</v>
      </c>
      <c r="P1003" s="28">
        <f t="shared" si="31"/>
        <v>22</v>
      </c>
      <c r="Q1003" s="28" t="s">
        <v>11609</v>
      </c>
      <c r="R1003" s="28" t="s">
        <v>11610</v>
      </c>
      <c r="S1003" s="28">
        <v>4.0</v>
      </c>
      <c r="T1003" s="28">
        <v>14.0</v>
      </c>
      <c r="U1003" s="28">
        <v>29.0</v>
      </c>
      <c r="V1003" s="28">
        <v>31.0</v>
      </c>
      <c r="W1003" s="28" t="s">
        <v>1173</v>
      </c>
      <c r="X1003" s="28" t="s">
        <v>272</v>
      </c>
      <c r="Y1003" s="28" t="s">
        <v>11611</v>
      </c>
      <c r="Z1003" s="28" t="s">
        <v>5332</v>
      </c>
      <c r="AA1003" s="28" t="s">
        <v>421</v>
      </c>
      <c r="AB1003" s="28">
        <v>31.0</v>
      </c>
      <c r="AC1003" s="28" t="s">
        <v>25</v>
      </c>
      <c r="AD1003" s="23"/>
      <c r="AE1003" s="28" t="s">
        <v>8</v>
      </c>
      <c r="AF1003" s="23" t="str">
        <f>IFERROR(__xludf.DUMMYFUNCTION("TEXTJOIN("", "", TRUE,
  FILTER(Champions!C:C,
    ISNUMBER(SEARCH(C1003, Champions!W:W))
  )
)"),"Jacob Makola, Sumeyya Ashraf Khan")</f>
        <v>Jacob Makola, Sumeyya Ashraf Khan</v>
      </c>
      <c r="AG1003" s="23"/>
      <c r="AH1003" s="23" t="str">
        <f>IFERROR(__xludf.DUMMYFUNCTION("IF(
ISNUMBER(MATCH(
C1003,
IMPORTRANGE(""https://docs.google.com/spreadsheets/d/1yTh1ELC33JHYOeEdgIiEclxPRyh0zOKtlawDltfUay8"",""'Interns'!A:A""),
0
)),
""Outreach Conducted"",
"""")"),"")</f>
        <v/>
      </c>
      <c r="AI1003" s="23"/>
      <c r="AJ1003" s="23"/>
      <c r="AK1003" s="23" t="str">
        <f>IFERROR(__xludf.DUMMYFUNCTION("XLOOKUP(C1003, 
   IMPORTRANGE(""1RdEdgHYrZ33LJ7RUHj_h-qkAFL92bcVjtIdVa-UlsCw"", ""Interns!D:D""), 
   IMPORTRANGE(""1RdEdgHYrZ33LJ7RUHj_h-qkAFL92bcVjtIdVa-UlsCw"", ""Interns!M:M""), 
   ""Not Found"")"),"")</f>
        <v/>
      </c>
      <c r="AL1003" s="23" t="str">
        <f>IFERROR(__xludf.DUMMYFUNCTION("XLOOKUP(C1003, 
   IMPORTRANGE(""1RdEdgHYrZ33LJ7RUHj_h-qkAFL92bcVjtIdVa-UlsCw"", ""Interns!D:D""), 
   IMPORTRANGE(""1RdEdgHYrZ33LJ7RUHj_h-qkAFL92bcVjtIdVa-UlsCw"", ""Interns!N:N""), 
   ""Not Found"")"),"")</f>
        <v/>
      </c>
      <c r="AM1003" s="23" t="str">
        <f>IFERROR(__xludf.DUMMYFUNCTION("XLOOKUP(C1003, 
   IMPORTRANGE(""1RdEdgHYrZ33LJ7RUHj_h-qkAFL92bcVjtIdVa-UlsCw"", ""Interns!D:D""), 
   IMPORTRANGE(""1RdEdgHYrZ33LJ7RUHj_h-qkAFL92bcVjtIdVa-UlsCw"", ""Interns!O:O""), 
   ""Not Found"")"),"")</f>
        <v/>
      </c>
      <c r="AN1003" s="23"/>
      <c r="AO1003" s="23" t="s">
        <v>11612</v>
      </c>
      <c r="AP1003" s="28" t="s">
        <v>5182</v>
      </c>
      <c r="AQ1003" s="28" t="s">
        <v>11613</v>
      </c>
      <c r="AR1003" s="23" t="s">
        <v>11614</v>
      </c>
      <c r="AS1003" s="23"/>
      <c r="AT1003" s="23"/>
      <c r="AU1003" s="23"/>
      <c r="AV1003" s="23"/>
    </row>
    <row r="1004">
      <c r="A1004" s="28" t="s">
        <v>5161</v>
      </c>
      <c r="B1004" s="28" t="s">
        <v>5162</v>
      </c>
      <c r="C1004" s="23" t="str">
        <f t="shared" si="1"/>
        <v>Edwin Melendez</v>
      </c>
      <c r="D1004" s="28" t="s">
        <v>9094</v>
      </c>
      <c r="E1004" s="28" t="s">
        <v>11615</v>
      </c>
      <c r="F1004" s="23" t="str">
        <f t="array" ref="F1004">IFERROR(
    INDEX('Hub Interns 226'!A:A, MATCH(C1004, 'Hub Interns 226'!B:B, 0)),"")</f>
        <v/>
      </c>
      <c r="G1004" s="23">
        <f t="array" ref="G1004">IFERROR(
    INDEX('Hub Users 226'!A:A, MATCH(C1004, 'Hub Users 226'!B:B, 0)),"")</f>
        <v>1927</v>
      </c>
      <c r="H1004" s="28">
        <v>1792.0</v>
      </c>
      <c r="I1004" s="28" t="s">
        <v>290</v>
      </c>
      <c r="J1004" s="28" t="s">
        <v>11105</v>
      </c>
      <c r="K1004" s="28" t="s">
        <v>5177</v>
      </c>
      <c r="L1004" s="28" t="s">
        <v>5165</v>
      </c>
      <c r="M1004" s="56" t="s">
        <v>11616</v>
      </c>
      <c r="N1004" s="57">
        <v>45314.938888888886</v>
      </c>
      <c r="O1004" s="58">
        <v>39190.0</v>
      </c>
      <c r="P1004" s="28">
        <f t="shared" si="31"/>
        <v>19</v>
      </c>
      <c r="Q1004" s="28" t="s">
        <v>11617</v>
      </c>
      <c r="R1004" s="28" t="s">
        <v>11618</v>
      </c>
      <c r="S1004" s="28">
        <v>13.0</v>
      </c>
      <c r="T1004" s="28">
        <v>31.0</v>
      </c>
      <c r="U1004" s="28">
        <v>72.0</v>
      </c>
      <c r="V1004" s="28">
        <v>10.0</v>
      </c>
      <c r="W1004" s="28" t="s">
        <v>271</v>
      </c>
      <c r="X1004" s="28" t="s">
        <v>272</v>
      </c>
      <c r="Y1004" s="28">
        <v>3.475893202E9</v>
      </c>
      <c r="Z1004" s="28" t="s">
        <v>5259</v>
      </c>
      <c r="AA1004" s="28" t="s">
        <v>704</v>
      </c>
      <c r="AB1004" s="28">
        <v>2.0</v>
      </c>
      <c r="AC1004" s="28" t="s">
        <v>27</v>
      </c>
      <c r="AD1004" s="28" t="s">
        <v>101</v>
      </c>
      <c r="AE1004" s="28" t="s">
        <v>18</v>
      </c>
      <c r="AF1004" s="23"/>
      <c r="AG1004" s="23"/>
      <c r="AH1004" s="23" t="str">
        <f>IFERROR(__xludf.DUMMYFUNCTION("IF(
ISNUMBER(MATCH(
C1004,
IMPORTRANGE(""https://docs.google.com/spreadsheets/d/1yTh1ELC33JHYOeEdgIiEclxPRyh0zOKtlawDltfUay8"",""'Interns'!A:A""),
0
)),
""Outreach Conducted"",
"""")"),"")</f>
        <v/>
      </c>
      <c r="AI1004" s="23"/>
      <c r="AJ1004" s="23"/>
      <c r="AK1004" s="23" t="str">
        <f>IFERROR(__xludf.DUMMYFUNCTION("XLOOKUP(C1004, 
   IMPORTRANGE(""1RdEdgHYrZ33LJ7RUHj_h-qkAFL92bcVjtIdVa-UlsCw"", ""Interns!D:D""), 
   IMPORTRANGE(""1RdEdgHYrZ33LJ7RUHj_h-qkAFL92bcVjtIdVa-UlsCw"", ""Interns!M:M""), 
   ""Not Found"")"),"Contacted")</f>
        <v>Contacted</v>
      </c>
      <c r="AL1004" s="23" t="str">
        <f>IFERROR(__xludf.DUMMYFUNCTION("XLOOKUP(C1004, 
   IMPORTRANGE(""1RdEdgHYrZ33LJ7RUHj_h-qkAFL92bcVjtIdVa-UlsCw"", ""Interns!D:D""), 
   IMPORTRANGE(""1RdEdgHYrZ33LJ7RUHj_h-qkAFL92bcVjtIdVa-UlsCw"", ""Interns!N:N""), 
   ""Not Found"")"),"#Cheers4Careers")</f>
        <v>#Cheers4Careers</v>
      </c>
      <c r="AM1004" s="23" t="str">
        <f>IFERROR(__xludf.DUMMYFUNCTION("XLOOKUP(C1004, 
   IMPORTRANGE(""1RdEdgHYrZ33LJ7RUHj_h-qkAFL92bcVjtIdVa-UlsCw"", ""Interns!D:D""), 
   IMPORTRANGE(""1RdEdgHYrZ33LJ7RUHj_h-qkAFL92bcVjtIdVa-UlsCw"", ""Interns!O:O""), 
   ""Not Found"")"),"Ousmane reached out by email 3/26 and reach out by text 3/28")</f>
        <v>Ousmane reached out by email 3/26 and reach out by text 3/28</v>
      </c>
      <c r="AN1004" s="23"/>
      <c r="AO1004" s="23" t="s">
        <v>11619</v>
      </c>
      <c r="AP1004" s="28" t="s">
        <v>5182</v>
      </c>
      <c r="AQ1004" s="28" t="s">
        <v>11620</v>
      </c>
      <c r="AR1004" s="23">
        <v>9.173198896E9</v>
      </c>
      <c r="AS1004" s="23"/>
      <c r="AT1004" s="23"/>
      <c r="AU1004" s="23"/>
      <c r="AV1004" s="23"/>
    </row>
    <row r="1005">
      <c r="A1005" s="28" t="s">
        <v>5202</v>
      </c>
      <c r="B1005" s="28" t="s">
        <v>5162</v>
      </c>
      <c r="C1005" s="23" t="str">
        <f t="shared" si="1"/>
        <v>D'marjia Rankine</v>
      </c>
      <c r="D1005" s="28" t="s">
        <v>11621</v>
      </c>
      <c r="E1005" s="28" t="s">
        <v>10739</v>
      </c>
      <c r="F1005" s="23">
        <f t="array" ref="F1005">IFERROR(
    INDEX('Hub Interns 226'!A:A, MATCH(C1005, 'Hub Interns 226'!B:B, 0)),"")</f>
        <v>457</v>
      </c>
      <c r="G1005" s="23">
        <f t="array" ref="G1005">IFERROR(
    INDEX('Hub Users 226'!A:A, MATCH(C1005, 'Hub Users 226'!B:B, 0)),"")</f>
        <v>890</v>
      </c>
      <c r="H1005" s="28">
        <v>388.0</v>
      </c>
      <c r="I1005" s="28" t="s">
        <v>260</v>
      </c>
      <c r="J1005" s="28" t="s">
        <v>3791</v>
      </c>
      <c r="K1005" s="28" t="s">
        <v>5177</v>
      </c>
      <c r="L1005" s="28" t="s">
        <v>5196</v>
      </c>
      <c r="M1005" s="56" t="s">
        <v>10740</v>
      </c>
      <c r="N1005" s="57">
        <v>44259.64375</v>
      </c>
      <c r="O1005" s="58">
        <v>38583.0</v>
      </c>
      <c r="P1005" s="28">
        <f t="shared" si="31"/>
        <v>20</v>
      </c>
      <c r="Q1005" s="28" t="s">
        <v>11622</v>
      </c>
      <c r="R1005" s="28" t="s">
        <v>11623</v>
      </c>
      <c r="S1005" s="28">
        <v>5.0</v>
      </c>
      <c r="T1005" s="28">
        <v>10.0</v>
      </c>
      <c r="U1005" s="28">
        <v>31.0</v>
      </c>
      <c r="V1005" s="28">
        <v>31.0</v>
      </c>
      <c r="W1005" s="28" t="s">
        <v>1173</v>
      </c>
      <c r="X1005" s="28" t="s">
        <v>272</v>
      </c>
      <c r="Y1005" s="23"/>
      <c r="Z1005" s="28" t="s">
        <v>5332</v>
      </c>
      <c r="AA1005" s="28" t="s">
        <v>421</v>
      </c>
      <c r="AB1005" s="28">
        <v>31.0</v>
      </c>
      <c r="AC1005" s="28" t="s">
        <v>25</v>
      </c>
      <c r="AD1005" s="23"/>
      <c r="AE1005" s="28" t="s">
        <v>16</v>
      </c>
      <c r="AF1005" s="23" t="str">
        <f>IFERROR(__xludf.DUMMYFUNCTION("TEXTJOIN("", "", TRUE,
  FILTER(Champions!C:C,
    ISNUMBER(SEARCH(C1005, Champions!W:W))
  )
)"),"Dominique Kagele, Joan Marie Cadenhead, Soraya Senosier")</f>
        <v>Dominique Kagele, Joan Marie Cadenhead, Soraya Senosier</v>
      </c>
      <c r="AG1005" s="23"/>
      <c r="AH1005" s="23" t="str">
        <f>IFERROR(__xludf.DUMMYFUNCTION("IF(
ISNUMBER(MATCH(
C1005,
IMPORTRANGE(""https://docs.google.com/spreadsheets/d/1yTh1ELC33JHYOeEdgIiEclxPRyh0zOKtlawDltfUay8"",""'Interns'!A:A""),
0
)),
""Outreach Conducted"",
"""")"),"")</f>
        <v/>
      </c>
      <c r="AI1005" s="23"/>
      <c r="AJ1005" s="23"/>
      <c r="AK1005" s="23" t="str">
        <f>IFERROR(__xludf.DUMMYFUNCTION("XLOOKUP(C1005, 
   IMPORTRANGE(""1RdEdgHYrZ33LJ7RUHj_h-qkAFL92bcVjtIdVa-UlsCw"", ""Interns!D:D""), 
   IMPORTRANGE(""1RdEdgHYrZ33LJ7RUHj_h-qkAFL92bcVjtIdVa-UlsCw"", ""Interns!M:M""), 
   ""Not Found"")"),"")</f>
        <v/>
      </c>
      <c r="AL1005" s="23" t="str">
        <f>IFERROR(__xludf.DUMMYFUNCTION("XLOOKUP(C1005, 
   IMPORTRANGE(""1RdEdgHYrZ33LJ7RUHj_h-qkAFL92bcVjtIdVa-UlsCw"", ""Interns!D:D""), 
   IMPORTRANGE(""1RdEdgHYrZ33LJ7RUHj_h-qkAFL92bcVjtIdVa-UlsCw"", ""Interns!N:N""), 
   ""Not Found"")"),"")</f>
        <v/>
      </c>
      <c r="AM1005" s="23" t="str">
        <f>IFERROR(__xludf.DUMMYFUNCTION("XLOOKUP(C1005, 
   IMPORTRANGE(""1RdEdgHYrZ33LJ7RUHj_h-qkAFL92bcVjtIdVa-UlsCw"", ""Interns!D:D""), 
   IMPORTRANGE(""1RdEdgHYrZ33LJ7RUHj_h-qkAFL92bcVjtIdVa-UlsCw"", ""Interns!O:O""), 
   ""Not Found"")"),"")</f>
        <v/>
      </c>
      <c r="AN1005" s="23"/>
      <c r="AO1005" s="23" t="s">
        <v>10743</v>
      </c>
      <c r="AP1005" s="28" t="s">
        <v>5191</v>
      </c>
      <c r="AQ1005" s="28" t="s">
        <v>11624</v>
      </c>
      <c r="AR1005" s="23" t="s">
        <v>10742</v>
      </c>
      <c r="AS1005" s="23"/>
      <c r="AT1005" s="23"/>
      <c r="AU1005" s="23"/>
      <c r="AV1005" s="23"/>
    </row>
    <row r="1006">
      <c r="A1006" s="28" t="s">
        <v>5161</v>
      </c>
      <c r="B1006" s="28" t="s">
        <v>5162</v>
      </c>
      <c r="C1006" s="23" t="str">
        <f t="shared" si="1"/>
        <v>Jose Castaneda</v>
      </c>
      <c r="D1006" s="22" t="s">
        <v>6697</v>
      </c>
      <c r="E1006" s="22" t="s">
        <v>1462</v>
      </c>
      <c r="F1006" s="23"/>
      <c r="G1006" s="23"/>
      <c r="H1006" s="22">
        <v>1987.0</v>
      </c>
      <c r="I1006" s="28"/>
      <c r="J1006" s="28" t="s">
        <v>11105</v>
      </c>
      <c r="K1006" s="28" t="s">
        <v>5177</v>
      </c>
      <c r="L1006" s="28" t="s">
        <v>5165</v>
      </c>
      <c r="M1006" s="29" t="s">
        <v>11625</v>
      </c>
      <c r="N1006" s="61">
        <v>45631.49513888889</v>
      </c>
      <c r="O1006" s="25">
        <v>40570.0</v>
      </c>
      <c r="P1006" s="28">
        <f t="shared" si="31"/>
        <v>15</v>
      </c>
      <c r="Q1006" s="62" t="s">
        <v>240</v>
      </c>
      <c r="R1006" s="22" t="s">
        <v>11626</v>
      </c>
      <c r="S1006" s="28">
        <v>6.0</v>
      </c>
      <c r="T1006" s="28">
        <v>13.0</v>
      </c>
      <c r="U1006" s="28">
        <v>30.0</v>
      </c>
      <c r="V1006" s="28">
        <v>25.0</v>
      </c>
      <c r="W1006" s="28" t="s">
        <v>1173</v>
      </c>
      <c r="X1006" s="28" t="s">
        <v>272</v>
      </c>
      <c r="Y1006" s="22" t="s">
        <v>8135</v>
      </c>
      <c r="Z1006" s="22" t="s">
        <v>5520</v>
      </c>
      <c r="AA1006" s="28" t="s">
        <v>5171</v>
      </c>
      <c r="AB1006" s="28">
        <v>30.0</v>
      </c>
      <c r="AC1006" s="28" t="s">
        <v>23</v>
      </c>
      <c r="AD1006" s="23"/>
      <c r="AE1006" s="28" t="s">
        <v>19</v>
      </c>
      <c r="AF1006" s="23"/>
      <c r="AG1006" s="23"/>
      <c r="AH1006" s="23" t="str">
        <f>IFERROR(__xludf.DUMMYFUNCTION("IF(
ISNUMBER(MATCH(
C1006,
IMPORTRANGE(""https://docs.google.com/spreadsheets/d/1yTh1ELC33JHYOeEdgIiEclxPRyh0zOKtlawDltfUay8"",""'Interns'!A:A""),
0
)),
""Outreach Conducted"",
"""")"),"")</f>
        <v/>
      </c>
      <c r="AI1006" s="23"/>
      <c r="AJ1006" s="23"/>
      <c r="AK1006" s="23"/>
      <c r="AL1006" s="23" t="str">
        <f>IFERROR(__xludf.DUMMYFUNCTION("XLOOKUP(C1006, 
   IMPORTRANGE(""1RdEdgHYrZ33LJ7RUHj_h-qkAFL92bcVjtIdVa-UlsCw"", ""Interns!D:D""), 
   IMPORTRANGE(""1RdEdgHYrZ33LJ7RUHj_h-qkAFL92bcVjtIdVa-UlsCw"", ""Interns!N:N""), 
   ""Not Found"")"),"Not Found")</f>
        <v>Not Found</v>
      </c>
      <c r="AM1006" s="23" t="str">
        <f>IFERROR(__xludf.DUMMYFUNCTION("XLOOKUP(C1006, 
   IMPORTRANGE(""1RdEdgHYrZ33LJ7RUHj_h-qkAFL92bcVjtIdVa-UlsCw"", ""Interns!D:D""), 
   IMPORTRANGE(""1RdEdgHYrZ33LJ7RUHj_h-qkAFL92bcVjtIdVa-UlsCw"", ""Interns!O:O""), 
   ""Not Found"")"),"Not Found")</f>
        <v>Not Found</v>
      </c>
      <c r="AN1006" s="23"/>
      <c r="AO1006" s="23" t="s">
        <v>11627</v>
      </c>
      <c r="AP1006" s="28" t="s">
        <v>5182</v>
      </c>
      <c r="AQ1006" s="28" t="s">
        <v>11628</v>
      </c>
      <c r="AR1006" s="23" t="s">
        <v>11629</v>
      </c>
      <c r="AS1006" s="23"/>
      <c r="AT1006" s="23"/>
      <c r="AU1006" s="23"/>
      <c r="AV1006" s="23"/>
    </row>
    <row r="1007">
      <c r="A1007" s="28" t="s">
        <v>5161</v>
      </c>
      <c r="B1007" s="28" t="s">
        <v>5162</v>
      </c>
      <c r="C1007" s="23" t="str">
        <f t="shared" si="1"/>
        <v>lizbeth Luna Luna</v>
      </c>
      <c r="D1007" s="28" t="s">
        <v>11630</v>
      </c>
      <c r="E1007" s="28" t="s">
        <v>3924</v>
      </c>
      <c r="F1007" s="23">
        <f t="array" ref="F1007">IFERROR(
    INDEX('Hub Interns 226'!A:A, MATCH(C1007, 'Hub Interns 226'!B:B, 0)),"")</f>
        <v>788</v>
      </c>
      <c r="G1007" s="23">
        <f t="array" ref="G1007">IFERROR(
    INDEX('Hub Users 226'!A:A, MATCH(C1007, 'Hub Users 226'!B:B, 0)),"")</f>
        <v>1221</v>
      </c>
      <c r="H1007" s="28">
        <v>927.0</v>
      </c>
      <c r="I1007" s="28" t="s">
        <v>260</v>
      </c>
      <c r="J1007" s="28" t="s">
        <v>11105</v>
      </c>
      <c r="K1007" s="28" t="s">
        <v>5177</v>
      </c>
      <c r="L1007" s="28" t="s">
        <v>5196</v>
      </c>
      <c r="M1007" s="56" t="s">
        <v>11631</v>
      </c>
      <c r="N1007" s="57">
        <v>44603.47638888889</v>
      </c>
      <c r="O1007" s="58">
        <v>38229.0</v>
      </c>
      <c r="P1007" s="28">
        <f t="shared" si="31"/>
        <v>21</v>
      </c>
      <c r="Q1007" s="28" t="s">
        <v>240</v>
      </c>
      <c r="R1007" s="28" t="s">
        <v>11632</v>
      </c>
      <c r="S1007" s="28">
        <v>15.0</v>
      </c>
      <c r="T1007" s="28">
        <v>29.0</v>
      </c>
      <c r="U1007" s="28">
        <v>84.0</v>
      </c>
      <c r="V1007" s="28">
        <v>17.0</v>
      </c>
      <c r="W1007" s="28" t="s">
        <v>859</v>
      </c>
      <c r="X1007" s="28" t="s">
        <v>272</v>
      </c>
      <c r="Y1007" s="28" t="s">
        <v>11633</v>
      </c>
      <c r="Z1007" s="28" t="s">
        <v>5208</v>
      </c>
      <c r="AA1007" s="28" t="s">
        <v>2141</v>
      </c>
      <c r="AB1007" s="28">
        <v>8.0</v>
      </c>
      <c r="AC1007" s="28" t="s">
        <v>24</v>
      </c>
      <c r="AD1007" s="23"/>
      <c r="AE1007" s="28" t="s">
        <v>10</v>
      </c>
      <c r="AF1007" s="23"/>
      <c r="AG1007" s="23"/>
      <c r="AH1007" s="23" t="str">
        <f>IFERROR(__xludf.DUMMYFUNCTION("IF(
ISNUMBER(MATCH(
C1007,
IMPORTRANGE(""https://docs.google.com/spreadsheets/d/1yTh1ELC33JHYOeEdgIiEclxPRyh0zOKtlawDltfUay8"",""'Interns'!A:A""),
0
)),
""Outreach Conducted"",
"""")"),"")</f>
        <v/>
      </c>
      <c r="AI1007" s="23"/>
      <c r="AJ1007" s="23"/>
      <c r="AK1007" s="23" t="str">
        <f>IFERROR(__xludf.DUMMYFUNCTION("XLOOKUP(C1007, 
   IMPORTRANGE(""1RdEdgHYrZ33LJ7RUHj_h-qkAFL92bcVjtIdVa-UlsCw"", ""Interns!D:D""), 
   IMPORTRANGE(""1RdEdgHYrZ33LJ7RUHj_h-qkAFL92bcVjtIdVa-UlsCw"", ""Interns!M:M""), 
   ""Not Found"")"),"Contacted")</f>
        <v>Contacted</v>
      </c>
      <c r="AL1007" s="23" t="str">
        <f>IFERROR(__xludf.DUMMYFUNCTION("XLOOKUP(C1007, 
   IMPORTRANGE(""1RdEdgHYrZ33LJ7RUHj_h-qkAFL92bcVjtIdVa-UlsCw"", ""Interns!D:D""), 
   IMPORTRANGE(""1RdEdgHYrZ33LJ7RUHj_h-qkAFL92bcVjtIdVa-UlsCw"", ""Interns!N:N""), 
   ""Not Found"")"),"#Cheers4Careers")</f>
        <v>#Cheers4Careers</v>
      </c>
      <c r="AM1007" s="23" t="str">
        <f>IFERROR(__xludf.DUMMYFUNCTION("XLOOKUP(C1007, 
   IMPORTRANGE(""1RdEdgHYrZ33LJ7RUHj_h-qkAFL92bcVjtIdVa-UlsCw"", ""Interns!D:D""), 
   IMPORTRANGE(""1RdEdgHYrZ33LJ7RUHj_h-qkAFL92bcVjtIdVa-UlsCw"", ""Interns!O:O""), 
   ""Not Found"")"),"Hetal reached out by email 3/27")</f>
        <v>Hetal reached out by email 3/27</v>
      </c>
      <c r="AN1007" s="23"/>
      <c r="AO1007" s="23" t="s">
        <v>11634</v>
      </c>
      <c r="AP1007" s="28" t="s">
        <v>5191</v>
      </c>
      <c r="AQ1007" s="28"/>
      <c r="AR1007" s="23"/>
      <c r="AS1007" s="23"/>
      <c r="AT1007" s="23"/>
      <c r="AU1007" s="23"/>
      <c r="AV1007" s="23"/>
    </row>
    <row r="1008">
      <c r="A1008" s="28" t="s">
        <v>5161</v>
      </c>
      <c r="B1008" s="28" t="s">
        <v>31</v>
      </c>
      <c r="C1008" s="23" t="str">
        <f t="shared" si="1"/>
        <v>helena. bedward</v>
      </c>
      <c r="D1008" s="28" t="s">
        <v>11635</v>
      </c>
      <c r="E1008" s="28" t="s">
        <v>11636</v>
      </c>
      <c r="F1008" s="23">
        <f t="array" ref="F1008">IFERROR(
    INDEX('Hub Interns 226'!A:A, MATCH("helena bedward", 'Hub Interns 226'!B:B, 0)),"")</f>
        <v>575</v>
      </c>
      <c r="G1008" s="23">
        <f t="array" ref="G1008">IFERROR(
    INDEX('Hub Users 226'!A:A, MATCH("helena bedward", 'Hub Users 226'!B:B, 0)),"")</f>
        <v>1008</v>
      </c>
      <c r="H1008" s="28">
        <v>819.0</v>
      </c>
      <c r="I1008" s="28" t="s">
        <v>239</v>
      </c>
      <c r="J1008" s="28"/>
      <c r="K1008" s="28"/>
      <c r="L1008" s="28" t="s">
        <v>5196</v>
      </c>
      <c r="M1008" s="56" t="s">
        <v>11637</v>
      </c>
      <c r="N1008" s="57">
        <v>44572.39791666667</v>
      </c>
      <c r="O1008" s="58">
        <v>38671.0</v>
      </c>
      <c r="P1008" s="28">
        <f t="shared" si="31"/>
        <v>20</v>
      </c>
      <c r="Q1008" s="28" t="s">
        <v>240</v>
      </c>
      <c r="R1008" s="28" t="s">
        <v>11638</v>
      </c>
      <c r="S1008" s="28"/>
      <c r="T1008" s="28"/>
      <c r="U1008" s="28"/>
      <c r="V1008" s="28"/>
      <c r="W1008" s="28" t="s">
        <v>1173</v>
      </c>
      <c r="X1008" s="28" t="s">
        <v>272</v>
      </c>
      <c r="Y1008" s="28" t="s">
        <v>11639</v>
      </c>
      <c r="Z1008" s="28" t="s">
        <v>5332</v>
      </c>
      <c r="AA1008" s="28" t="s">
        <v>421</v>
      </c>
      <c r="AB1008" s="28">
        <v>31.0</v>
      </c>
      <c r="AC1008" s="28" t="s">
        <v>24</v>
      </c>
      <c r="AD1008" s="23"/>
      <c r="AE1008" s="28" t="s">
        <v>10</v>
      </c>
      <c r="AF1008" s="23"/>
      <c r="AG1008" s="23"/>
      <c r="AH1008" s="23" t="str">
        <f>IFERROR(__xludf.DUMMYFUNCTION("IF(
ISNUMBER(MATCH(
C1008,
IMPORTRANGE(""https://docs.google.com/spreadsheets/d/1yTh1ELC33JHYOeEdgIiEclxPRyh0zOKtlawDltfUay8"",""'Interns'!A:A""),
0
)),
""Outreach Conducted"",
"""")"),"")</f>
        <v/>
      </c>
      <c r="AI1008" s="23"/>
      <c r="AJ1008" s="23"/>
      <c r="AK1008" s="23" t="str">
        <f>IFERROR(__xludf.DUMMYFUNCTION("XLOOKUP(C1008, 
   IMPORTRANGE(""1RdEdgHYrZ33LJ7RUHj_h-qkAFL92bcVjtIdVa-UlsCw"", ""Interns!D:D""), 
   IMPORTRANGE(""1RdEdgHYrZ33LJ7RUHj_h-qkAFL92bcVjtIdVa-UlsCw"", ""Interns!M:M""), 
   ""Not Found"")"),"")</f>
        <v/>
      </c>
      <c r="AL1008" s="23" t="str">
        <f>IFERROR(__xludf.DUMMYFUNCTION("XLOOKUP(C1008, 
   IMPORTRANGE(""1RdEdgHYrZ33LJ7RUHj_h-qkAFL92bcVjtIdVa-UlsCw"", ""Interns!D:D""), 
   IMPORTRANGE(""1RdEdgHYrZ33LJ7RUHj_h-qkAFL92bcVjtIdVa-UlsCw"", ""Interns!N:N""), 
   ""Not Found"")"),"")</f>
        <v/>
      </c>
      <c r="AM1008" s="23" t="str">
        <f>IFERROR(__xludf.DUMMYFUNCTION("XLOOKUP(C1008, 
   IMPORTRANGE(""1RdEdgHYrZ33LJ7RUHj_h-qkAFL92bcVjtIdVa-UlsCw"", ""Interns!D:D""), 
   IMPORTRANGE(""1RdEdgHYrZ33LJ7RUHj_h-qkAFL92bcVjtIdVa-UlsCw"", ""Interns!O:O""), 
   ""Not Found"")"),"")</f>
        <v/>
      </c>
      <c r="AN1008" s="23"/>
      <c r="AO1008" s="23" t="s">
        <v>11640</v>
      </c>
      <c r="AP1008" s="28" t="s">
        <v>5191</v>
      </c>
      <c r="AQ1008" s="28"/>
      <c r="AR1008" s="23"/>
      <c r="AS1008" s="23"/>
      <c r="AT1008" s="23"/>
      <c r="AU1008" s="23"/>
      <c r="AV1008" s="23"/>
    </row>
    <row r="1009">
      <c r="A1009" s="28" t="s">
        <v>5161</v>
      </c>
      <c r="B1009" s="28" t="s">
        <v>5162</v>
      </c>
      <c r="C1009" s="23" t="str">
        <f t="shared" si="1"/>
        <v>Epiphania Jarquin</v>
      </c>
      <c r="D1009" s="28" t="s">
        <v>11641</v>
      </c>
      <c r="E1009" s="28" t="s">
        <v>11642</v>
      </c>
      <c r="F1009" s="23">
        <f t="array" ref="F1009">IFERROR(
    INDEX('Hub Interns 226'!A:A, MATCH(C1009, 'Hub Interns 226'!B:B, 0)),"")</f>
        <v>494</v>
      </c>
      <c r="G1009" s="23">
        <f t="array" ref="G1009">IFERROR(
    INDEX('Hub Users 226'!A:A, MATCH(C1009, 'Hub Users 226'!B:B, 0)),"")</f>
        <v>927</v>
      </c>
      <c r="H1009" s="28">
        <v>57.0</v>
      </c>
      <c r="I1009" s="28" t="s">
        <v>260</v>
      </c>
      <c r="J1009" s="28" t="s">
        <v>11105</v>
      </c>
      <c r="K1009" s="28" t="s">
        <v>5177</v>
      </c>
      <c r="L1009" s="28" t="s">
        <v>5196</v>
      </c>
      <c r="M1009" s="56" t="s">
        <v>11643</v>
      </c>
      <c r="N1009" s="57">
        <v>43741.63125</v>
      </c>
      <c r="O1009" s="58">
        <v>37622.0</v>
      </c>
      <c r="P1009" s="28">
        <f t="shared" si="31"/>
        <v>23</v>
      </c>
      <c r="Q1009" s="28" t="s">
        <v>11644</v>
      </c>
      <c r="R1009" s="28" t="s">
        <v>11645</v>
      </c>
      <c r="S1009" s="28">
        <v>9.0</v>
      </c>
      <c r="T1009" s="28">
        <v>20.0</v>
      </c>
      <c r="U1009" s="28">
        <v>43.0</v>
      </c>
      <c r="V1009" s="28">
        <v>40.0</v>
      </c>
      <c r="W1009" s="28" t="s">
        <v>294</v>
      </c>
      <c r="X1009" s="28" t="s">
        <v>272</v>
      </c>
      <c r="Y1009" s="28" t="s">
        <v>11646</v>
      </c>
      <c r="Z1009" s="28" t="s">
        <v>10736</v>
      </c>
      <c r="AA1009" s="28" t="s">
        <v>10736</v>
      </c>
      <c r="AB1009" s="28">
        <v>35.0</v>
      </c>
      <c r="AC1009" s="28" t="s">
        <v>25</v>
      </c>
      <c r="AD1009" s="23"/>
      <c r="AE1009" s="28" t="s">
        <v>4</v>
      </c>
      <c r="AF1009" s="23" t="str">
        <f>IFERROR(__xludf.DUMMYFUNCTION("TEXTJOIN("", "", TRUE,
  FILTER(Champions!C:C,
    ISNUMBER(SEARCH(C1009, Champions!W:W))
  )
)"),"Rashmi  Gupta, Rashmi Gupta")</f>
        <v>Rashmi  Gupta, Rashmi Gupta</v>
      </c>
      <c r="AG1009" s="26" t="s">
        <v>7320</v>
      </c>
      <c r="AH1009" s="23" t="str">
        <f>IFERROR(__xludf.DUMMYFUNCTION("IF(
ISNUMBER(MATCH(
C1009,
IMPORTRANGE(""https://docs.google.com/spreadsheets/d/1yTh1ELC33JHYOeEdgIiEclxPRyh0zOKtlawDltfUay8"",""'Interns'!A:A""),
0
)),
""Outreach Conducted"",
"""")"),"")</f>
        <v/>
      </c>
      <c r="AI1009" s="23"/>
      <c r="AJ1009" s="23"/>
      <c r="AK1009" s="23" t="str">
        <f>IFERROR(__xludf.DUMMYFUNCTION("XLOOKUP(C1009, 
   IMPORTRANGE(""1RdEdgHYrZ33LJ7RUHj_h-qkAFL92bcVjtIdVa-UlsCw"", ""Interns!D:D""), 
   IMPORTRANGE(""1RdEdgHYrZ33LJ7RUHj_h-qkAFL92bcVjtIdVa-UlsCw"", ""Interns!M:M""), 
   ""Not Found"")"),"Contacted")</f>
        <v>Contacted</v>
      </c>
      <c r="AL1009" s="23" t="str">
        <f>IFERROR(__xludf.DUMMYFUNCTION("XLOOKUP(C1009, 
   IMPORTRANGE(""1RdEdgHYrZ33LJ7RUHj_h-qkAFL92bcVjtIdVa-UlsCw"", ""Interns!D:D""), 
   IMPORTRANGE(""1RdEdgHYrZ33LJ7RUHj_h-qkAFL92bcVjtIdVa-UlsCw"", ""Interns!N:N""), 
   ""Not Found"")"),"#Cheers4Careers")</f>
        <v>#Cheers4Careers</v>
      </c>
      <c r="AM1009" s="23" t="str">
        <f>IFERROR(__xludf.DUMMYFUNCTION("XLOOKUP(C1009, 
   IMPORTRANGE(""1RdEdgHYrZ33LJ7RUHj_h-qkAFL92bcVjtIdVa-UlsCw"", ""Interns!D:D""), 
   IMPORTRANGE(""1RdEdgHYrZ33LJ7RUHj_h-qkAFL92bcVjtIdVa-UlsCw"", ""Interns!O:O""), 
   ""Not Found"")"),"Hetal reached out by email 3/27")</f>
        <v>Hetal reached out by email 3/27</v>
      </c>
      <c r="AN1009" s="23"/>
      <c r="AO1009" s="23" t="s">
        <v>11647</v>
      </c>
      <c r="AP1009" s="28" t="s">
        <v>5240</v>
      </c>
      <c r="AQ1009" s="28" t="s">
        <v>11648</v>
      </c>
      <c r="AR1009" s="23" t="s">
        <v>11649</v>
      </c>
      <c r="AS1009" s="23"/>
      <c r="AT1009" s="23"/>
      <c r="AU1009" s="23"/>
      <c r="AV1009" s="23"/>
    </row>
    <row r="1010">
      <c r="A1010" s="28" t="s">
        <v>5161</v>
      </c>
      <c r="B1010" s="28" t="s">
        <v>5162</v>
      </c>
      <c r="C1010" s="23" t="str">
        <f t="shared" si="1"/>
        <v>Daniel Martinez</v>
      </c>
      <c r="D1010" s="22" t="s">
        <v>4968</v>
      </c>
      <c r="E1010" s="22" t="s">
        <v>2010</v>
      </c>
      <c r="F1010" s="23"/>
      <c r="G1010" s="23"/>
      <c r="H1010" s="22">
        <v>2011.0</v>
      </c>
      <c r="I1010" s="28"/>
      <c r="J1010" s="28" t="s">
        <v>11105</v>
      </c>
      <c r="K1010" s="28" t="s">
        <v>5177</v>
      </c>
      <c r="L1010" s="28" t="s">
        <v>5165</v>
      </c>
      <c r="M1010" s="29" t="s">
        <v>11650</v>
      </c>
      <c r="N1010" s="63">
        <v>45615.50902777778</v>
      </c>
      <c r="O1010" s="25">
        <v>45615.0</v>
      </c>
      <c r="P1010" s="28">
        <f t="shared" si="31"/>
        <v>1</v>
      </c>
      <c r="Q1010" s="62" t="s">
        <v>11651</v>
      </c>
      <c r="R1010" s="22" t="s">
        <v>11652</v>
      </c>
      <c r="S1010" s="28">
        <v>7.0</v>
      </c>
      <c r="T1010" s="28">
        <v>12.0</v>
      </c>
      <c r="U1010" s="28">
        <v>37.0</v>
      </c>
      <c r="V1010" s="28">
        <v>26.0</v>
      </c>
      <c r="W1010" s="28" t="s">
        <v>1173</v>
      </c>
      <c r="X1010" s="28" t="s">
        <v>272</v>
      </c>
      <c r="Y1010" s="22">
        <v>3.479048075E9</v>
      </c>
      <c r="Z1010" s="22" t="s">
        <v>5536</v>
      </c>
      <c r="AA1010" s="28" t="s">
        <v>5287</v>
      </c>
      <c r="AB1010" s="28">
        <v>26.0</v>
      </c>
      <c r="AC1010" s="28" t="s">
        <v>27</v>
      </c>
      <c r="AD1010" s="23"/>
      <c r="AE1010" s="28" t="s">
        <v>19</v>
      </c>
      <c r="AF1010" s="23"/>
      <c r="AG1010" s="23"/>
      <c r="AH1010" s="23" t="str">
        <f>IFERROR(__xludf.DUMMYFUNCTION("IF(
ISNUMBER(MATCH(
C1010,
IMPORTRANGE(""https://docs.google.com/spreadsheets/d/1yTh1ELC33JHYOeEdgIiEclxPRyh0zOKtlawDltfUay8"",""'Interns'!A:A""),
0
)),
""Outreach Conducted"",
"""")"),"")</f>
        <v/>
      </c>
      <c r="AI1010" s="23"/>
      <c r="AJ1010" s="23"/>
      <c r="AK1010" s="23" t="str">
        <f>IFERROR(__xludf.DUMMYFUNCTION("XLOOKUP(C1010, 
   IMPORTRANGE(""1RdEdgHYrZ33LJ7RUHj_h-qkAFL92bcVjtIdVa-UlsCw"", ""Interns!D:D""), 
   IMPORTRANGE(""1RdEdgHYrZ33LJ7RUHj_h-qkAFL92bcVjtIdVa-UlsCw"", ""Interns!M:M""), 
   ""Not Found"")"),"Not Found")</f>
        <v>Not Found</v>
      </c>
      <c r="AL1010" s="23" t="str">
        <f>IFERROR(__xludf.DUMMYFUNCTION("XLOOKUP(C1010, 
   IMPORTRANGE(""1RdEdgHYrZ33LJ7RUHj_h-qkAFL92bcVjtIdVa-UlsCw"", ""Interns!D:D""), 
   IMPORTRANGE(""1RdEdgHYrZ33LJ7RUHj_h-qkAFL92bcVjtIdVa-UlsCw"", ""Interns!N:N""), 
   ""Not Found"")"),"Not Found")</f>
        <v>Not Found</v>
      </c>
      <c r="AM1010" s="23" t="str">
        <f>IFERROR(__xludf.DUMMYFUNCTION("XLOOKUP(C1010, 
   IMPORTRANGE(""1RdEdgHYrZ33LJ7RUHj_h-qkAFL92bcVjtIdVa-UlsCw"", ""Interns!D:D""), 
   IMPORTRANGE(""1RdEdgHYrZ33LJ7RUHj_h-qkAFL92bcVjtIdVa-UlsCw"", ""Interns!O:O""), 
   ""Not Found"")"),"Not Found")</f>
        <v>Not Found</v>
      </c>
      <c r="AN1010" s="23"/>
      <c r="AO1010" s="23" t="s">
        <v>11653</v>
      </c>
      <c r="AP1010" s="28" t="s">
        <v>5182</v>
      </c>
      <c r="AQ1010" s="28" t="s">
        <v>11654</v>
      </c>
      <c r="AR1010" s="23" t="s">
        <v>11655</v>
      </c>
      <c r="AS1010" s="23"/>
      <c r="AT1010" s="23"/>
      <c r="AU1010" s="23"/>
      <c r="AV1010" s="23"/>
    </row>
    <row r="1011">
      <c r="A1011" s="28" t="s">
        <v>5161</v>
      </c>
      <c r="B1011" s="28" t="s">
        <v>5162</v>
      </c>
      <c r="C1011" s="23" t="str">
        <f t="shared" si="1"/>
        <v>Uriel Garcia Hernandez</v>
      </c>
      <c r="D1011" s="22" t="s">
        <v>11656</v>
      </c>
      <c r="E1011" s="22" t="s">
        <v>11657</v>
      </c>
      <c r="F1011" s="23"/>
      <c r="G1011" s="23"/>
      <c r="H1011" s="22">
        <v>1911.0</v>
      </c>
      <c r="I1011" s="28"/>
      <c r="J1011" s="28" t="s">
        <v>11105</v>
      </c>
      <c r="K1011" s="28" t="s">
        <v>5177</v>
      </c>
      <c r="L1011" s="28" t="s">
        <v>5165</v>
      </c>
      <c r="M1011" s="29" t="s">
        <v>11658</v>
      </c>
      <c r="N1011" s="61">
        <v>45806.49236111111</v>
      </c>
      <c r="O1011" s="25">
        <v>40575.0</v>
      </c>
      <c r="P1011" s="28">
        <f t="shared" si="31"/>
        <v>15</v>
      </c>
      <c r="Q1011" s="62" t="s">
        <v>11659</v>
      </c>
      <c r="R1011" s="22" t="s">
        <v>11660</v>
      </c>
      <c r="S1011" s="28">
        <v>7.0</v>
      </c>
      <c r="T1011" s="28">
        <v>12.0</v>
      </c>
      <c r="U1011" s="28">
        <v>37.0</v>
      </c>
      <c r="V1011" s="28">
        <v>26.0</v>
      </c>
      <c r="W1011" s="28" t="s">
        <v>1173</v>
      </c>
      <c r="X1011" s="28" t="s">
        <v>272</v>
      </c>
      <c r="Y1011" s="24"/>
      <c r="Z1011" s="22" t="s">
        <v>11661</v>
      </c>
      <c r="AA1011" s="28" t="s">
        <v>5287</v>
      </c>
      <c r="AB1011" s="28">
        <v>26.0</v>
      </c>
      <c r="AC1011" s="28" t="s">
        <v>22</v>
      </c>
      <c r="AD1011" s="23"/>
      <c r="AE1011" s="28" t="s">
        <v>19</v>
      </c>
      <c r="AF1011" s="23"/>
      <c r="AG1011" s="23"/>
      <c r="AH1011" s="23" t="str">
        <f>IFERROR(__xludf.DUMMYFUNCTION("IF(
ISNUMBER(MATCH(
C1011,
IMPORTRANGE(""https://docs.google.com/spreadsheets/d/1yTh1ELC33JHYOeEdgIiEclxPRyh0zOKtlawDltfUay8"",""'Interns'!A:A""),
0
)),
""Outreach Conducted"",
"""")"),"")</f>
        <v/>
      </c>
      <c r="AI1011" s="23"/>
      <c r="AJ1011" s="23"/>
      <c r="AK1011" s="23"/>
      <c r="AL1011" s="23" t="str">
        <f>IFERROR(__xludf.DUMMYFUNCTION("XLOOKUP(C1011, 
   IMPORTRANGE(""1RdEdgHYrZ33LJ7RUHj_h-qkAFL92bcVjtIdVa-UlsCw"", ""Interns!D:D""), 
   IMPORTRANGE(""1RdEdgHYrZ33LJ7RUHj_h-qkAFL92bcVjtIdVa-UlsCw"", ""Interns!N:N""), 
   ""Not Found"")"),"#Cheers4Careers")</f>
        <v>#Cheers4Careers</v>
      </c>
      <c r="AM1011" s="23" t="str">
        <f>IFERROR(__xludf.DUMMYFUNCTION("XLOOKUP(C1011, 
   IMPORTRANGE(""1RdEdgHYrZ33LJ7RUHj_h-qkAFL92bcVjtIdVa-UlsCw"", ""Interns!D:D""), 
   IMPORTRANGE(""1RdEdgHYrZ33LJ7RUHj_h-qkAFL92bcVjtIdVa-UlsCw"", ""Interns!O:O""), 
   ""Not Found"")"),"Hetal reached out March 27 for March #Cheers4 Careers ")</f>
        <v>Hetal reached out March 27 for March #Cheers4 Careers </v>
      </c>
      <c r="AN1011" s="23"/>
      <c r="AO1011" s="23" t="s">
        <v>11662</v>
      </c>
      <c r="AP1011" s="28" t="s">
        <v>5182</v>
      </c>
      <c r="AQ1011" s="28" t="s">
        <v>11663</v>
      </c>
      <c r="AR1011" s="23" t="s">
        <v>11664</v>
      </c>
      <c r="AS1011" s="23"/>
      <c r="AT1011" s="23"/>
      <c r="AU1011" s="23"/>
      <c r="AV1011" s="23"/>
    </row>
    <row r="1012">
      <c r="A1012" s="28" t="s">
        <v>5161</v>
      </c>
      <c r="B1012" s="28" t="s">
        <v>5162</v>
      </c>
      <c r="C1012" s="23" t="str">
        <f t="shared" si="1"/>
        <v>Carlos Martinez</v>
      </c>
      <c r="D1012" s="28" t="s">
        <v>846</v>
      </c>
      <c r="E1012" s="28" t="s">
        <v>2010</v>
      </c>
      <c r="F1012" s="23">
        <f t="array" ref="F1012">IFERROR(
    INDEX('Hub Interns 226'!A:A, MATCH(C1012, 'Hub Interns 226'!B:B, 0)),"")</f>
        <v>337</v>
      </c>
      <c r="G1012" s="23">
        <f t="array" ref="G1012">IFERROR(
    INDEX('Hub Users 226'!A:A, MATCH(C1012, 'Hub Users 226'!B:B, 0)),"")</f>
        <v>770</v>
      </c>
      <c r="H1012" s="28">
        <v>1617.0</v>
      </c>
      <c r="I1012" s="28"/>
      <c r="J1012" s="28" t="s">
        <v>11105</v>
      </c>
      <c r="K1012" s="28" t="s">
        <v>5177</v>
      </c>
      <c r="L1012" s="28" t="s">
        <v>5165</v>
      </c>
      <c r="M1012" s="56" t="s">
        <v>9838</v>
      </c>
      <c r="N1012" s="57">
        <v>45084.365277777775</v>
      </c>
      <c r="O1012" s="58">
        <v>40423.0</v>
      </c>
      <c r="P1012" s="28">
        <f t="shared" si="31"/>
        <v>15</v>
      </c>
      <c r="Q1012" s="28" t="s">
        <v>240</v>
      </c>
      <c r="R1012" s="28" t="s">
        <v>11665</v>
      </c>
      <c r="S1012" s="28">
        <v>7.0</v>
      </c>
      <c r="T1012" s="28">
        <v>12.0</v>
      </c>
      <c r="U1012" s="28">
        <v>37.0</v>
      </c>
      <c r="V1012" s="28">
        <v>26.0</v>
      </c>
      <c r="W1012" s="28" t="s">
        <v>1173</v>
      </c>
      <c r="X1012" s="28" t="s">
        <v>272</v>
      </c>
      <c r="Y1012" s="28" t="s">
        <v>11666</v>
      </c>
      <c r="Z1012" s="28" t="s">
        <v>5352</v>
      </c>
      <c r="AA1012" s="28" t="s">
        <v>5287</v>
      </c>
      <c r="AB1012" s="28">
        <v>26.0</v>
      </c>
      <c r="AC1012" s="28" t="s">
        <v>23</v>
      </c>
      <c r="AD1012" s="23"/>
      <c r="AE1012" s="28" t="s">
        <v>15</v>
      </c>
      <c r="AF1012" s="23"/>
      <c r="AG1012" s="23"/>
      <c r="AH1012" s="23" t="str">
        <f>IFERROR(__xludf.DUMMYFUNCTION("IF(
ISNUMBER(MATCH(
C1012,
IMPORTRANGE(""https://docs.google.com/spreadsheets/d/1yTh1ELC33JHYOeEdgIiEclxPRyh0zOKtlawDltfUay8"",""'Interns'!A:A""),
0
)),
""Outreach Conducted"",
"""")"),"")</f>
        <v/>
      </c>
      <c r="AI1012" s="23"/>
      <c r="AJ1012" s="23"/>
      <c r="AK1012" s="23" t="str">
        <f>IFERROR(__xludf.DUMMYFUNCTION("XLOOKUP(C1012, 
   IMPORTRANGE(""1RdEdgHYrZ33LJ7RUHj_h-qkAFL92bcVjtIdVa-UlsCw"", ""Interns!D:D""), 
   IMPORTRANGE(""1RdEdgHYrZ33LJ7RUHj_h-qkAFL92bcVjtIdVa-UlsCw"", ""Interns!M:M""), 
   ""Not Found"")"),"Contacted")</f>
        <v>Contacted</v>
      </c>
      <c r="AL1012" s="23" t="str">
        <f>IFERROR(__xludf.DUMMYFUNCTION("XLOOKUP(C1012, 
   IMPORTRANGE(""1RdEdgHYrZ33LJ7RUHj_h-qkAFL92bcVjtIdVa-UlsCw"", ""Interns!D:D""), 
   IMPORTRANGE(""1RdEdgHYrZ33LJ7RUHj_h-qkAFL92bcVjtIdVa-UlsCw"", ""Interns!N:N""), 
   ""Not Found"")"),"#Cheers4Careers")</f>
        <v>#Cheers4Careers</v>
      </c>
      <c r="AM1012" s="23" t="str">
        <f>IFERROR(__xludf.DUMMYFUNCTION("XLOOKUP(C1012, 
   IMPORTRANGE(""1RdEdgHYrZ33LJ7RUHj_h-qkAFL92bcVjtIdVa-UlsCw"", ""Interns!D:D""), 
   IMPORTRANGE(""1RdEdgHYrZ33LJ7RUHj_h-qkAFL92bcVjtIdVa-UlsCw"", ""Interns!O:O""), 
   ""Not Found"")"),"Hetal reached out by email 3/27")</f>
        <v>Hetal reached out by email 3/27</v>
      </c>
      <c r="AN1012" s="23"/>
      <c r="AO1012" s="23" t="s">
        <v>11667</v>
      </c>
      <c r="AP1012" s="28" t="s">
        <v>5641</v>
      </c>
      <c r="AQ1012" s="28"/>
      <c r="AR1012" s="23"/>
      <c r="AS1012" s="23"/>
      <c r="AT1012" s="23"/>
      <c r="AU1012" s="23"/>
      <c r="AV1012" s="23"/>
    </row>
    <row r="1013">
      <c r="A1013" s="28" t="s">
        <v>5202</v>
      </c>
      <c r="B1013" s="28" t="s">
        <v>5162</v>
      </c>
      <c r="C1013" s="23" t="str">
        <f t="shared" si="1"/>
        <v>Amir Soman</v>
      </c>
      <c r="D1013" s="28" t="s">
        <v>11668</v>
      </c>
      <c r="E1013" s="28" t="s">
        <v>11669</v>
      </c>
      <c r="F1013" s="23">
        <f t="array" ref="F1013">IFERROR(
    INDEX('Hub Interns 226'!A:A, MATCH(C1013, 'Hub Interns 226'!B:B, 0)),"")</f>
        <v>210</v>
      </c>
      <c r="G1013" s="23">
        <f t="array" ref="G1013">IFERROR(
    INDEX('Hub Users 226'!A:A, MATCH(C1013, 'Hub Users 226'!B:B, 0)),"")</f>
        <v>643</v>
      </c>
      <c r="H1013" s="28">
        <v>384.0</v>
      </c>
      <c r="I1013" s="28" t="s">
        <v>302</v>
      </c>
      <c r="J1013" s="28" t="s">
        <v>3791</v>
      </c>
      <c r="K1013" s="28" t="s">
        <v>5177</v>
      </c>
      <c r="L1013" s="28" t="s">
        <v>5165</v>
      </c>
      <c r="M1013" s="56" t="s">
        <v>11670</v>
      </c>
      <c r="N1013" s="57">
        <v>44256.81597222222</v>
      </c>
      <c r="O1013" s="58">
        <v>37854.0</v>
      </c>
      <c r="P1013" s="28">
        <f t="shared" si="31"/>
        <v>22</v>
      </c>
      <c r="Q1013" s="28" t="s">
        <v>240</v>
      </c>
      <c r="R1013" s="28" t="s">
        <v>11671</v>
      </c>
      <c r="S1013" s="28">
        <v>5.0</v>
      </c>
      <c r="T1013" s="28">
        <v>10.0</v>
      </c>
      <c r="U1013" s="28">
        <v>32.0</v>
      </c>
      <c r="V1013" s="28">
        <v>28.0</v>
      </c>
      <c r="W1013" s="28" t="s">
        <v>1173</v>
      </c>
      <c r="X1013" s="28" t="s">
        <v>272</v>
      </c>
      <c r="Y1013" s="28" t="s">
        <v>11672</v>
      </c>
      <c r="Z1013" s="28" t="s">
        <v>5332</v>
      </c>
      <c r="AA1013" s="28" t="s">
        <v>421</v>
      </c>
      <c r="AB1013" s="28">
        <v>31.0</v>
      </c>
      <c r="AC1013" s="28" t="s">
        <v>25</v>
      </c>
      <c r="AD1013" s="23"/>
      <c r="AE1013" s="28" t="s">
        <v>8</v>
      </c>
      <c r="AF1013" s="23" t="str">
        <f>IFERROR(__xludf.DUMMYFUNCTION("TEXTJOIN("", "", TRUE,
  FILTER(Champions!C:C,
    ISNUMBER(SEARCH(C1013, Champions!W:W))
  )
)"),"Dragana Glumac, Jacob Makola")</f>
        <v>Dragana Glumac, Jacob Makola</v>
      </c>
      <c r="AG1013" s="23"/>
      <c r="AH1013" s="23" t="str">
        <f>IFERROR(__xludf.DUMMYFUNCTION("IF(
ISNUMBER(MATCH(
C1013,
IMPORTRANGE(""https://docs.google.com/spreadsheets/d/1yTh1ELC33JHYOeEdgIiEclxPRyh0zOKtlawDltfUay8"",""'Interns'!A:A""),
0
)),
""Outreach Conducted"",
"""")"),"")</f>
        <v/>
      </c>
      <c r="AI1013" s="23"/>
      <c r="AJ1013" s="23"/>
      <c r="AK1013" s="23" t="str">
        <f>IFERROR(__xludf.DUMMYFUNCTION("XLOOKUP(C1013, 
   IMPORTRANGE(""1RdEdgHYrZ33LJ7RUHj_h-qkAFL92bcVjtIdVa-UlsCw"", ""Interns!D:D""), 
   IMPORTRANGE(""1RdEdgHYrZ33LJ7RUHj_h-qkAFL92bcVjtIdVa-UlsCw"", ""Interns!M:M""), 
   ""Not Found"")"),"")</f>
        <v/>
      </c>
      <c r="AL1013" s="23" t="str">
        <f>IFERROR(__xludf.DUMMYFUNCTION("XLOOKUP(C1013, 
   IMPORTRANGE(""1RdEdgHYrZ33LJ7RUHj_h-qkAFL92bcVjtIdVa-UlsCw"", ""Interns!D:D""), 
   IMPORTRANGE(""1RdEdgHYrZ33LJ7RUHj_h-qkAFL92bcVjtIdVa-UlsCw"", ""Interns!N:N""), 
   ""Not Found"")"),"")</f>
        <v/>
      </c>
      <c r="AM1013" s="23" t="str">
        <f>IFERROR(__xludf.DUMMYFUNCTION("XLOOKUP(C1013, 
   IMPORTRANGE(""1RdEdgHYrZ33LJ7RUHj_h-qkAFL92bcVjtIdVa-UlsCw"", ""Interns!D:D""), 
   IMPORTRANGE(""1RdEdgHYrZ33LJ7RUHj_h-qkAFL92bcVjtIdVa-UlsCw"", ""Interns!O:O""), 
   ""Not Found"")"),"")</f>
        <v/>
      </c>
      <c r="AN1013" s="23"/>
      <c r="AO1013" s="23" t="s">
        <v>11673</v>
      </c>
      <c r="AP1013" s="28" t="s">
        <v>5182</v>
      </c>
      <c r="AQ1013" s="28" t="s">
        <v>11674</v>
      </c>
      <c r="AR1013" s="23" t="s">
        <v>11675</v>
      </c>
      <c r="AS1013" s="23"/>
      <c r="AT1013" s="23"/>
      <c r="AU1013" s="23"/>
      <c r="AV1013" s="23"/>
    </row>
    <row r="1014">
      <c r="A1014" s="28" t="s">
        <v>5161</v>
      </c>
      <c r="B1014" s="28" t="s">
        <v>5162</v>
      </c>
      <c r="C1014" s="23" t="str">
        <f t="shared" si="1"/>
        <v>Alexander Aguilar</v>
      </c>
      <c r="D1014" s="28" t="s">
        <v>11676</v>
      </c>
      <c r="E1014" s="28" t="s">
        <v>11677</v>
      </c>
      <c r="F1014" s="23" t="str">
        <f t="array" ref="F1014">IFERROR(
    INDEX('Hub Interns 226'!A:A, MATCH(C1014, 'Hub Interns 226'!B:B, 0)),"")</f>
        <v/>
      </c>
      <c r="G1014" s="23">
        <f t="array" ref="G1014">IFERROR(
    INDEX('Hub Users 226'!A:A, MATCH(C1014, 'Hub Users 226'!B:B, 0)),"")</f>
        <v>1826</v>
      </c>
      <c r="H1014" s="28">
        <v>1706.0</v>
      </c>
      <c r="I1014" s="28" t="s">
        <v>260</v>
      </c>
      <c r="J1014" s="28" t="s">
        <v>11105</v>
      </c>
      <c r="K1014" s="28" t="s">
        <v>5177</v>
      </c>
      <c r="L1014" s="28" t="s">
        <v>5165</v>
      </c>
      <c r="M1014" s="56" t="s">
        <v>11678</v>
      </c>
      <c r="N1014" s="59">
        <v>45250.98472222222</v>
      </c>
      <c r="O1014" s="58">
        <v>40155.0</v>
      </c>
      <c r="P1014" s="28">
        <f t="shared" si="31"/>
        <v>16</v>
      </c>
      <c r="Q1014" s="28" t="s">
        <v>240</v>
      </c>
      <c r="R1014" s="28" t="s">
        <v>11679</v>
      </c>
      <c r="S1014" s="28">
        <v>6.0</v>
      </c>
      <c r="T1014" s="28">
        <v>12.0</v>
      </c>
      <c r="U1014" s="28">
        <v>30.0</v>
      </c>
      <c r="V1014" s="28">
        <v>30.0</v>
      </c>
      <c r="W1014" s="28" t="s">
        <v>1173</v>
      </c>
      <c r="X1014" s="28" t="s">
        <v>272</v>
      </c>
      <c r="Y1014" s="28" t="s">
        <v>8135</v>
      </c>
      <c r="Z1014" s="28" t="s">
        <v>5170</v>
      </c>
      <c r="AA1014" s="28" t="s">
        <v>5171</v>
      </c>
      <c r="AB1014" s="28">
        <v>30.0</v>
      </c>
      <c r="AC1014" s="28" t="s">
        <v>23</v>
      </c>
      <c r="AD1014" s="23"/>
      <c r="AE1014" s="28" t="s">
        <v>18</v>
      </c>
      <c r="AF1014" s="23"/>
      <c r="AG1014" s="23"/>
      <c r="AH1014" s="23" t="str">
        <f>IFERROR(__xludf.DUMMYFUNCTION("IF(
ISNUMBER(MATCH(
C1014,
IMPORTRANGE(""https://docs.google.com/spreadsheets/d/1yTh1ELC33JHYOeEdgIiEclxPRyh0zOKtlawDltfUay8"",""'Interns'!A:A""),
0
)),
""Outreach Conducted"",
"""")"),"")</f>
        <v/>
      </c>
      <c r="AI1014" s="23"/>
      <c r="AJ1014" s="23"/>
      <c r="AK1014" s="23" t="str">
        <f>IFERROR(__xludf.DUMMYFUNCTION("XLOOKUP(C1014, 
   IMPORTRANGE(""1RdEdgHYrZ33LJ7RUHj_h-qkAFL92bcVjtIdVa-UlsCw"", ""Interns!D:D""), 
   IMPORTRANGE(""1RdEdgHYrZ33LJ7RUHj_h-qkAFL92bcVjtIdVa-UlsCw"", ""Interns!M:M""), 
   ""Not Found"")"),"Contacted")</f>
        <v>Contacted</v>
      </c>
      <c r="AL1014" s="23" t="str">
        <f>IFERROR(__xludf.DUMMYFUNCTION("XLOOKUP(C1014, 
   IMPORTRANGE(""1RdEdgHYrZ33LJ7RUHj_h-qkAFL92bcVjtIdVa-UlsCw"", ""Interns!D:D""), 
   IMPORTRANGE(""1RdEdgHYrZ33LJ7RUHj_h-qkAFL92bcVjtIdVa-UlsCw"", ""Interns!N:N""), 
   ""Not Found"")"),"#Cheers4Careers")</f>
        <v>#Cheers4Careers</v>
      </c>
      <c r="AM1014" s="23" t="str">
        <f>IFERROR(__xludf.DUMMYFUNCTION("XLOOKUP(C1014, 
   IMPORTRANGE(""1RdEdgHYrZ33LJ7RUHj_h-qkAFL92bcVjtIdVa-UlsCw"", ""Interns!D:D""), 
   IMPORTRANGE(""1RdEdgHYrZ33LJ7RUHj_h-qkAFL92bcVjtIdVa-UlsCw"", ""Interns!O:O""), 
   ""Not Found"")"),"Hetal reached out March 27 for March #Cheers4 Careers ")</f>
        <v>Hetal reached out March 27 for March #Cheers4 Careers </v>
      </c>
      <c r="AN1014" s="23"/>
      <c r="AO1014" s="23" t="s">
        <v>11680</v>
      </c>
      <c r="AP1014" s="28" t="s">
        <v>5182</v>
      </c>
      <c r="AQ1014" s="28" t="s">
        <v>11681</v>
      </c>
      <c r="AR1014" s="23" t="s">
        <v>11682</v>
      </c>
      <c r="AS1014" s="23"/>
      <c r="AT1014" s="23"/>
      <c r="AU1014" s="23"/>
      <c r="AV1014" s="23"/>
    </row>
    <row r="1015">
      <c r="A1015" s="28" t="s">
        <v>5161</v>
      </c>
      <c r="B1015" s="28" t="s">
        <v>5162</v>
      </c>
      <c r="C1015" s="23" t="str">
        <f t="shared" si="1"/>
        <v>Ethan Muniz</v>
      </c>
      <c r="D1015" s="28" t="s">
        <v>6342</v>
      </c>
      <c r="E1015" s="28" t="s">
        <v>11683</v>
      </c>
      <c r="F1015" s="23">
        <f t="array" ref="F1015">IFERROR(
    INDEX('Hub Interns 226'!A:A, MATCH(C1015, 'Hub Interns 226'!B:B, 0)),"")</f>
        <v>1322</v>
      </c>
      <c r="G1015" s="23">
        <f t="array" ref="G1015">IFERROR(
    INDEX('Hub Users 226'!A:A, MATCH(C1015, 'Hub Users 226'!B:B, 0)),"")</f>
        <v>1817</v>
      </c>
      <c r="H1015" s="28">
        <v>1705.0</v>
      </c>
      <c r="I1015" s="28" t="s">
        <v>239</v>
      </c>
      <c r="J1015" s="28" t="s">
        <v>11105</v>
      </c>
      <c r="K1015" s="28" t="s">
        <v>5177</v>
      </c>
      <c r="L1015" s="28" t="s">
        <v>5165</v>
      </c>
      <c r="M1015" s="56" t="s">
        <v>11684</v>
      </c>
      <c r="N1015" s="59">
        <v>45250.981944444444</v>
      </c>
      <c r="O1015" s="58">
        <v>40254.0</v>
      </c>
      <c r="P1015" s="28">
        <f t="shared" si="31"/>
        <v>16</v>
      </c>
      <c r="Q1015" s="28" t="s">
        <v>240</v>
      </c>
      <c r="R1015" s="28" t="s">
        <v>11685</v>
      </c>
      <c r="S1015" s="28">
        <v>6.0</v>
      </c>
      <c r="T1015" s="28">
        <v>12.0</v>
      </c>
      <c r="U1015" s="28">
        <v>30.0</v>
      </c>
      <c r="V1015" s="28">
        <v>30.0</v>
      </c>
      <c r="W1015" s="28" t="s">
        <v>1173</v>
      </c>
      <c r="X1015" s="28" t="s">
        <v>272</v>
      </c>
      <c r="Y1015" s="28">
        <v>7.182056788E9</v>
      </c>
      <c r="Z1015" s="28" t="s">
        <v>5170</v>
      </c>
      <c r="AA1015" s="28" t="s">
        <v>5171</v>
      </c>
      <c r="AB1015" s="28">
        <v>30.0</v>
      </c>
      <c r="AC1015" s="28" t="s">
        <v>23</v>
      </c>
      <c r="AD1015" s="23"/>
      <c r="AE1015" s="28" t="s">
        <v>18</v>
      </c>
      <c r="AF1015" s="23"/>
      <c r="AG1015" s="23"/>
      <c r="AH1015" s="23" t="str">
        <f>IFERROR(__xludf.DUMMYFUNCTION("IF(
ISNUMBER(MATCH(
C1015,
IMPORTRANGE(""https://docs.google.com/spreadsheets/d/1yTh1ELC33JHYOeEdgIiEclxPRyh0zOKtlawDltfUay8"",""'Interns'!A:A""),
0
)),
""Outreach Conducted"",
"""")"),"")</f>
        <v/>
      </c>
      <c r="AI1015" s="23"/>
      <c r="AJ1015" s="23"/>
      <c r="AK1015" s="23" t="str">
        <f>IFERROR(__xludf.DUMMYFUNCTION("XLOOKUP(C1015, 
   IMPORTRANGE(""1RdEdgHYrZ33LJ7RUHj_h-qkAFL92bcVjtIdVa-UlsCw"", ""Interns!D:D""), 
   IMPORTRANGE(""1RdEdgHYrZ33LJ7RUHj_h-qkAFL92bcVjtIdVa-UlsCw"", ""Interns!M:M""), 
   ""Not Found"")"),"Contacted")</f>
        <v>Contacted</v>
      </c>
      <c r="AL1015" s="23" t="str">
        <f>IFERROR(__xludf.DUMMYFUNCTION("XLOOKUP(C1015, 
   IMPORTRANGE(""1RdEdgHYrZ33LJ7RUHj_h-qkAFL92bcVjtIdVa-UlsCw"", ""Interns!D:D""), 
   IMPORTRANGE(""1RdEdgHYrZ33LJ7RUHj_h-qkAFL92bcVjtIdVa-UlsCw"", ""Interns!N:N""), 
   ""Not Found"")"),"#Cheers4Careers")</f>
        <v>#Cheers4Careers</v>
      </c>
      <c r="AM1015" s="23" t="str">
        <f>IFERROR(__xludf.DUMMYFUNCTION("XLOOKUP(C1015, 
   IMPORTRANGE(""1RdEdgHYrZ33LJ7RUHj_h-qkAFL92bcVjtIdVa-UlsCw"", ""Interns!D:D""), 
   IMPORTRANGE(""1RdEdgHYrZ33LJ7RUHj_h-qkAFL92bcVjtIdVa-UlsCw"", ""Interns!O:O""), 
   ""Not Found"")"),"Hetal reached out March 27 for March #Cheers4 Careers ")</f>
        <v>Hetal reached out March 27 for March #Cheers4 Careers </v>
      </c>
      <c r="AN1015" s="23"/>
      <c r="AO1015" s="23" t="s">
        <v>6342</v>
      </c>
      <c r="AP1015" s="28" t="s">
        <v>11686</v>
      </c>
      <c r="AQ1015" s="28" t="s">
        <v>11684</v>
      </c>
      <c r="AR1015" s="23">
        <v>7.182056788E9</v>
      </c>
      <c r="AS1015" s="23"/>
      <c r="AT1015" s="23"/>
      <c r="AU1015" s="23"/>
      <c r="AV1015" s="23"/>
    </row>
    <row r="1016">
      <c r="A1016" s="28" t="s">
        <v>5161</v>
      </c>
      <c r="B1016" s="28" t="s">
        <v>5162</v>
      </c>
      <c r="C1016" s="23" t="str">
        <f t="shared" si="1"/>
        <v>Jose Hernandez Hernandez</v>
      </c>
      <c r="D1016" s="28" t="s">
        <v>10902</v>
      </c>
      <c r="E1016" s="28" t="s">
        <v>2168</v>
      </c>
      <c r="F1016" s="23">
        <f t="array" ref="F1016">IFERROR(
    INDEX('Hub Interns 226'!A:A, MATCH(C1016, 'Hub Interns 226'!B:B, 0)),"")</f>
        <v>686</v>
      </c>
      <c r="G1016" s="23">
        <f t="array" ref="G1016">IFERROR(
    INDEX('Hub Users 226'!A:A, MATCH(C1016, 'Hub Users 226'!B:B, 0)),"")</f>
        <v>1119</v>
      </c>
      <c r="H1016" s="28">
        <v>1594.0</v>
      </c>
      <c r="I1016" s="28"/>
      <c r="J1016" s="28" t="s">
        <v>11105</v>
      </c>
      <c r="K1016" s="28" t="s">
        <v>5177</v>
      </c>
      <c r="L1016" s="28" t="s">
        <v>5165</v>
      </c>
      <c r="M1016" s="56" t="s">
        <v>11687</v>
      </c>
      <c r="N1016" s="57">
        <v>45016.39097222222</v>
      </c>
      <c r="O1016" s="58">
        <v>40315.0</v>
      </c>
      <c r="P1016" s="28">
        <f t="shared" si="31"/>
        <v>16</v>
      </c>
      <c r="Q1016" s="28" t="s">
        <v>240</v>
      </c>
      <c r="R1016" s="28" t="s">
        <v>11688</v>
      </c>
      <c r="S1016" s="60">
        <v>6.0</v>
      </c>
      <c r="T1016" s="60">
        <v>12.0</v>
      </c>
      <c r="U1016" s="60">
        <v>30.0</v>
      </c>
      <c r="V1016" s="28">
        <v>30.0</v>
      </c>
      <c r="W1016" s="28" t="s">
        <v>1173</v>
      </c>
      <c r="X1016" s="28" t="s">
        <v>272</v>
      </c>
      <c r="Y1016" s="28" t="s">
        <v>5169</v>
      </c>
      <c r="Z1016" s="28" t="s">
        <v>5170</v>
      </c>
      <c r="AA1016" s="28" t="s">
        <v>5171</v>
      </c>
      <c r="AB1016" s="28">
        <v>30.0</v>
      </c>
      <c r="AC1016" s="28" t="s">
        <v>23</v>
      </c>
      <c r="AD1016" s="23"/>
      <c r="AE1016" s="28" t="s">
        <v>15</v>
      </c>
      <c r="AF1016" s="23"/>
      <c r="AG1016" s="23"/>
      <c r="AH1016" s="23" t="str">
        <f>IFERROR(__xludf.DUMMYFUNCTION("IF(
ISNUMBER(MATCH(
C1016,
IMPORTRANGE(""https://docs.google.com/spreadsheets/d/1yTh1ELC33JHYOeEdgIiEclxPRyh0zOKtlawDltfUay8"",""'Interns'!A:A""),
0
)),
""Outreach Conducted"",
"""")"),"")</f>
        <v/>
      </c>
      <c r="AI1016" s="23"/>
      <c r="AJ1016" s="23"/>
      <c r="AK1016" s="23" t="str">
        <f>IFERROR(__xludf.DUMMYFUNCTION("XLOOKUP(C1016, 
   IMPORTRANGE(""1RdEdgHYrZ33LJ7RUHj_h-qkAFL92bcVjtIdVa-UlsCw"", ""Interns!D:D""), 
   IMPORTRANGE(""1RdEdgHYrZ33LJ7RUHj_h-qkAFL92bcVjtIdVa-UlsCw"", ""Interns!M:M""), 
   ""Not Found"")"),"Contacted")</f>
        <v>Contacted</v>
      </c>
      <c r="AL1016" s="23" t="str">
        <f>IFERROR(__xludf.DUMMYFUNCTION("XLOOKUP(C1016, 
   IMPORTRANGE(""1RdEdgHYrZ33LJ7RUHj_h-qkAFL92bcVjtIdVa-UlsCw"", ""Interns!D:D""), 
   IMPORTRANGE(""1RdEdgHYrZ33LJ7RUHj_h-qkAFL92bcVjtIdVa-UlsCw"", ""Interns!N:N""), 
   ""Not Found"")"),"#Cheers4Careers")</f>
        <v>#Cheers4Careers</v>
      </c>
      <c r="AM1016" s="23" t="str">
        <f>IFERROR(__xludf.DUMMYFUNCTION("XLOOKUP(C1016, 
   IMPORTRANGE(""1RdEdgHYrZ33LJ7RUHj_h-qkAFL92bcVjtIdVa-UlsCw"", ""Interns!D:D""), 
   IMPORTRANGE(""1RdEdgHYrZ33LJ7RUHj_h-qkAFL92bcVjtIdVa-UlsCw"", ""Interns!O:O""), 
   ""Not Found"")"),"Hetal reached out March 27 for March #Cheers4 Careers ")</f>
        <v>Hetal reached out March 27 for March #Cheers4 Careers </v>
      </c>
      <c r="AN1016" s="23"/>
      <c r="AO1016" s="23" t="s">
        <v>11689</v>
      </c>
      <c r="AP1016" s="28" t="s">
        <v>5191</v>
      </c>
      <c r="AQ1016" s="28"/>
      <c r="AR1016" s="23"/>
      <c r="AS1016" s="23"/>
      <c r="AT1016" s="23"/>
      <c r="AU1016" s="23"/>
      <c r="AV1016" s="23"/>
    </row>
    <row r="1017">
      <c r="A1017" s="28" t="s">
        <v>5161</v>
      </c>
      <c r="B1017" s="28" t="s">
        <v>5162</v>
      </c>
      <c r="C1017" s="23" t="str">
        <f t="shared" si="1"/>
        <v>Max Jimenez</v>
      </c>
      <c r="D1017" s="28" t="s">
        <v>11690</v>
      </c>
      <c r="E1017" s="28" t="s">
        <v>6785</v>
      </c>
      <c r="F1017" s="23" t="str">
        <f t="array" ref="F1017">IFERROR(
    INDEX('Hub Interns 226'!A:A, MATCH(C1017, 'Hub Interns 226'!B:B, 0)),"")</f>
        <v/>
      </c>
      <c r="G1017" s="23">
        <f t="array" ref="G1017">IFERROR(
    INDEX('Hub Users 226'!A:A, MATCH(C1017, 'Hub Users 226'!B:B, 0)),"")</f>
        <v>1825</v>
      </c>
      <c r="H1017" s="28">
        <v>1692.0</v>
      </c>
      <c r="I1017" s="28" t="s">
        <v>239</v>
      </c>
      <c r="J1017" s="28" t="s">
        <v>11105</v>
      </c>
      <c r="K1017" s="28" t="s">
        <v>5177</v>
      </c>
      <c r="L1017" s="28" t="s">
        <v>8087</v>
      </c>
      <c r="M1017" s="56" t="s">
        <v>11691</v>
      </c>
      <c r="N1017" s="59">
        <v>45250.00277777778</v>
      </c>
      <c r="O1017" s="58">
        <v>40209.0</v>
      </c>
      <c r="P1017" s="28">
        <f t="shared" si="31"/>
        <v>16</v>
      </c>
      <c r="Q1017" s="28" t="s">
        <v>240</v>
      </c>
      <c r="R1017" s="28" t="s">
        <v>11692</v>
      </c>
      <c r="S1017" s="60">
        <v>6.0</v>
      </c>
      <c r="T1017" s="60">
        <v>12.0</v>
      </c>
      <c r="U1017" s="60">
        <v>30.0</v>
      </c>
      <c r="V1017" s="28">
        <v>30.0</v>
      </c>
      <c r="W1017" s="28" t="s">
        <v>1173</v>
      </c>
      <c r="X1017" s="28" t="s">
        <v>272</v>
      </c>
      <c r="Y1017" s="28">
        <v>7.182056788E9</v>
      </c>
      <c r="Z1017" s="28" t="s">
        <v>5170</v>
      </c>
      <c r="AA1017" s="28" t="s">
        <v>5171</v>
      </c>
      <c r="AB1017" s="28">
        <v>30.0</v>
      </c>
      <c r="AC1017" s="28" t="s">
        <v>23</v>
      </c>
      <c r="AD1017" s="23"/>
      <c r="AE1017" s="28" t="s">
        <v>18</v>
      </c>
      <c r="AF1017" s="23"/>
      <c r="AG1017" s="23"/>
      <c r="AH1017" s="23" t="str">
        <f>IFERROR(__xludf.DUMMYFUNCTION("IF(
ISNUMBER(MATCH(
C1017,
IMPORTRANGE(""https://docs.google.com/spreadsheets/d/1yTh1ELC33JHYOeEdgIiEclxPRyh0zOKtlawDltfUay8"",""'Interns'!A:A""),
0
)),
""Outreach Conducted"",
"""")"),"")</f>
        <v/>
      </c>
      <c r="AI1017" s="23"/>
      <c r="AJ1017" s="23"/>
      <c r="AK1017" s="23" t="str">
        <f>IFERROR(__xludf.DUMMYFUNCTION("XLOOKUP(C1017, 
   IMPORTRANGE(""1RdEdgHYrZ33LJ7RUHj_h-qkAFL92bcVjtIdVa-UlsCw"", ""Interns!D:D""), 
   IMPORTRANGE(""1RdEdgHYrZ33LJ7RUHj_h-qkAFL92bcVjtIdVa-UlsCw"", ""Interns!M:M""), 
   ""Not Found"")"),"Contacted")</f>
        <v>Contacted</v>
      </c>
      <c r="AL1017" s="23" t="str">
        <f>IFERROR(__xludf.DUMMYFUNCTION("XLOOKUP(C1017, 
   IMPORTRANGE(""1RdEdgHYrZ33LJ7RUHj_h-qkAFL92bcVjtIdVa-UlsCw"", ""Interns!D:D""), 
   IMPORTRANGE(""1RdEdgHYrZ33LJ7RUHj_h-qkAFL92bcVjtIdVa-UlsCw"", ""Interns!N:N""), 
   ""Not Found"")"),"#Cheers4Careers")</f>
        <v>#Cheers4Careers</v>
      </c>
      <c r="AM1017" s="23" t="str">
        <f>IFERROR(__xludf.DUMMYFUNCTION("XLOOKUP(C1017, 
   IMPORTRANGE(""1RdEdgHYrZ33LJ7RUHj_h-qkAFL92bcVjtIdVa-UlsCw"", ""Interns!D:D""), 
   IMPORTRANGE(""1RdEdgHYrZ33LJ7RUHj_h-qkAFL92bcVjtIdVa-UlsCw"", ""Interns!O:O""), 
   ""Not Found"")"),"Hetal reached out March 27 for March #Cheers4 Careers ")</f>
        <v>Hetal reached out March 27 for March #Cheers4 Careers </v>
      </c>
      <c r="AN1017" s="23"/>
      <c r="AO1017" s="23" t="s">
        <v>11693</v>
      </c>
      <c r="AP1017" s="28" t="s">
        <v>5182</v>
      </c>
      <c r="AQ1017" s="28" t="s">
        <v>11694</v>
      </c>
      <c r="AR1017" s="23">
        <v>6.462044953E9</v>
      </c>
      <c r="AS1017" s="23"/>
      <c r="AT1017" s="23"/>
      <c r="AU1017" s="23"/>
      <c r="AV1017" s="23"/>
    </row>
    <row r="1018">
      <c r="A1018" s="28" t="s">
        <v>5161</v>
      </c>
      <c r="B1018" s="28" t="s">
        <v>5162</v>
      </c>
      <c r="C1018" s="23" t="str">
        <f t="shared" si="1"/>
        <v>Geovani (Geo) Paz</v>
      </c>
      <c r="D1018" s="28" t="s">
        <v>11695</v>
      </c>
      <c r="E1018" s="28" t="s">
        <v>11696</v>
      </c>
      <c r="F1018" s="23">
        <f t="array" ref="F1018">IFERROR(
    INDEX('Hub Interns 226'!A:A, MATCH("Geo", 'Hub Interns 226'!B:B, 0)),"")</f>
        <v>1316</v>
      </c>
      <c r="G1018" s="23">
        <f t="array" ref="G1018">IFERROR(
    INDEX('Hub Users 226'!A:A, MATCH("Geovani Paz", 'Hub Users 226'!B:B, 0)),"")</f>
        <v>1827</v>
      </c>
      <c r="H1018" s="28">
        <v>1699.0</v>
      </c>
      <c r="I1018" s="28" t="s">
        <v>239</v>
      </c>
      <c r="J1018" s="28" t="s">
        <v>11105</v>
      </c>
      <c r="K1018" s="28" t="s">
        <v>5177</v>
      </c>
      <c r="L1018" s="28" t="s">
        <v>5165</v>
      </c>
      <c r="M1018" s="56" t="s">
        <v>11697</v>
      </c>
      <c r="N1018" s="59">
        <v>45250.94583333333</v>
      </c>
      <c r="O1018" s="58">
        <v>45233.0</v>
      </c>
      <c r="P1018" s="28">
        <f t="shared" si="31"/>
        <v>2</v>
      </c>
      <c r="Q1018" s="28" t="s">
        <v>240</v>
      </c>
      <c r="R1018" s="28" t="s">
        <v>11698</v>
      </c>
      <c r="S1018" s="60">
        <v>6.0</v>
      </c>
      <c r="T1018" s="60">
        <v>12.0</v>
      </c>
      <c r="U1018" s="60">
        <v>30.0</v>
      </c>
      <c r="V1018" s="28">
        <v>30.0</v>
      </c>
      <c r="W1018" s="28" t="s">
        <v>1173</v>
      </c>
      <c r="X1018" s="28" t="s">
        <v>272</v>
      </c>
      <c r="Y1018" s="28">
        <v>7.182056788E9</v>
      </c>
      <c r="Z1018" s="28" t="s">
        <v>5170</v>
      </c>
      <c r="AA1018" s="28" t="s">
        <v>5171</v>
      </c>
      <c r="AB1018" s="28">
        <v>30.0</v>
      </c>
      <c r="AC1018" s="28" t="s">
        <v>23</v>
      </c>
      <c r="AD1018" s="23"/>
      <c r="AE1018" s="28" t="s">
        <v>18</v>
      </c>
      <c r="AF1018" s="23"/>
      <c r="AG1018" s="23"/>
      <c r="AH1018" s="23" t="str">
        <f>IFERROR(__xludf.DUMMYFUNCTION("IF(
ISNUMBER(MATCH(
C1018,
IMPORTRANGE(""https://docs.google.com/spreadsheets/d/1yTh1ELC33JHYOeEdgIiEclxPRyh0zOKtlawDltfUay8"",""'Interns'!A:A""),
0
)),
""Outreach Conducted"",
"""")"),"")</f>
        <v/>
      </c>
      <c r="AI1018" s="23"/>
      <c r="AJ1018" s="23"/>
      <c r="AK1018" s="23" t="str">
        <f>IFERROR(__xludf.DUMMYFUNCTION("XLOOKUP(C1018, 
   IMPORTRANGE(""1RdEdgHYrZ33LJ7RUHj_h-qkAFL92bcVjtIdVa-UlsCw"", ""Interns!D:D""), 
   IMPORTRANGE(""1RdEdgHYrZ33LJ7RUHj_h-qkAFL92bcVjtIdVa-UlsCw"", ""Interns!M:M""), 
   ""Not Found"")"),"Contacted")</f>
        <v>Contacted</v>
      </c>
      <c r="AL1018" s="23" t="str">
        <f>IFERROR(__xludf.DUMMYFUNCTION("XLOOKUP(C1018, 
   IMPORTRANGE(""1RdEdgHYrZ33LJ7RUHj_h-qkAFL92bcVjtIdVa-UlsCw"", ""Interns!D:D""), 
   IMPORTRANGE(""1RdEdgHYrZ33LJ7RUHj_h-qkAFL92bcVjtIdVa-UlsCw"", ""Interns!N:N""), 
   ""Not Found"")"),"#Cheers4Careers")</f>
        <v>#Cheers4Careers</v>
      </c>
      <c r="AM1018" s="23" t="str">
        <f>IFERROR(__xludf.DUMMYFUNCTION("XLOOKUP(C1018, 
   IMPORTRANGE(""1RdEdgHYrZ33LJ7RUHj_h-qkAFL92bcVjtIdVa-UlsCw"", ""Interns!D:D""), 
   IMPORTRANGE(""1RdEdgHYrZ33LJ7RUHj_h-qkAFL92bcVjtIdVa-UlsCw"", ""Interns!O:O""), 
   ""Not Found"")"),"Hetal reached out March 27 for March #Cheers4 Careers ")</f>
        <v>Hetal reached out March 27 for March #Cheers4 Careers </v>
      </c>
      <c r="AN1018" s="23"/>
      <c r="AO1018" s="23" t="s">
        <v>11699</v>
      </c>
      <c r="AP1018" s="28" t="s">
        <v>5182</v>
      </c>
      <c r="AQ1018" s="28" t="s">
        <v>11700</v>
      </c>
      <c r="AR1018" s="23" t="s">
        <v>8135</v>
      </c>
      <c r="AS1018" s="23"/>
      <c r="AT1018" s="23"/>
      <c r="AU1018" s="23"/>
      <c r="AV1018" s="23"/>
    </row>
    <row r="1019">
      <c r="A1019" s="28" t="s">
        <v>5161</v>
      </c>
      <c r="B1019" s="28" t="s">
        <v>5162</v>
      </c>
      <c r="C1019" s="23" t="str">
        <f t="shared" si="1"/>
        <v>Marcia Varilla</v>
      </c>
      <c r="D1019" s="28" t="s">
        <v>10935</v>
      </c>
      <c r="E1019" s="28" t="s">
        <v>11701</v>
      </c>
      <c r="F1019" s="23" t="str">
        <f t="array" ref="F1019">IFERROR(
    INDEX('Hub Interns 226'!A:A, MATCH(C1019, 'Hub Interns 226'!B:B, 0)),"")</f>
        <v/>
      </c>
      <c r="G1019" s="23">
        <f t="array" ref="G1019">IFERROR(
    INDEX('Hub Users 226'!A:A, MATCH(C1019, 'Hub Users 226'!B:B, 0)),"")</f>
        <v>1812</v>
      </c>
      <c r="H1019" s="28">
        <v>1693.0</v>
      </c>
      <c r="I1019" s="28" t="s">
        <v>260</v>
      </c>
      <c r="J1019" s="28" t="s">
        <v>11105</v>
      </c>
      <c r="K1019" s="28" t="s">
        <v>5177</v>
      </c>
      <c r="L1019" s="28" t="s">
        <v>5196</v>
      </c>
      <c r="M1019" s="56" t="s">
        <v>11702</v>
      </c>
      <c r="N1019" s="59">
        <v>45250.01111111111</v>
      </c>
      <c r="O1019" s="58"/>
      <c r="P1019" s="28">
        <f t="shared" si="31"/>
        <v>126</v>
      </c>
      <c r="Q1019" s="28" t="s">
        <v>240</v>
      </c>
      <c r="R1019" s="28" t="s">
        <v>11703</v>
      </c>
      <c r="S1019" s="60">
        <v>6.0</v>
      </c>
      <c r="T1019" s="60">
        <v>12.0</v>
      </c>
      <c r="U1019" s="60">
        <v>30.0</v>
      </c>
      <c r="V1019" s="28">
        <v>30.0</v>
      </c>
      <c r="W1019" s="28" t="s">
        <v>1173</v>
      </c>
      <c r="X1019" s="28" t="s">
        <v>272</v>
      </c>
      <c r="Y1019" s="28" t="s">
        <v>8135</v>
      </c>
      <c r="Z1019" s="28" t="s">
        <v>5170</v>
      </c>
      <c r="AA1019" s="28" t="s">
        <v>5171</v>
      </c>
      <c r="AB1019" s="28">
        <v>30.0</v>
      </c>
      <c r="AC1019" s="28" t="s">
        <v>23</v>
      </c>
      <c r="AD1019" s="23"/>
      <c r="AE1019" s="28" t="s">
        <v>18</v>
      </c>
      <c r="AF1019" s="23"/>
      <c r="AG1019" s="23"/>
      <c r="AH1019" s="23" t="str">
        <f>IFERROR(__xludf.DUMMYFUNCTION("IF(
ISNUMBER(MATCH(
C1019,
IMPORTRANGE(""https://docs.google.com/spreadsheets/d/1yTh1ELC33JHYOeEdgIiEclxPRyh0zOKtlawDltfUay8"",""'Interns'!A:A""),
0
)),
""Outreach Conducted"",
"""")"),"")</f>
        <v/>
      </c>
      <c r="AI1019" s="23"/>
      <c r="AJ1019" s="23"/>
      <c r="AK1019" s="23" t="str">
        <f>IFERROR(__xludf.DUMMYFUNCTION("XLOOKUP(C1019, 
   IMPORTRANGE(""1RdEdgHYrZ33LJ7RUHj_h-qkAFL92bcVjtIdVa-UlsCw"", ""Interns!D:D""), 
   IMPORTRANGE(""1RdEdgHYrZ33LJ7RUHj_h-qkAFL92bcVjtIdVa-UlsCw"", ""Interns!M:M""), 
   ""Not Found"")"),"Contacted")</f>
        <v>Contacted</v>
      </c>
      <c r="AL1019" s="23" t="str">
        <f>IFERROR(__xludf.DUMMYFUNCTION("XLOOKUP(C1019, 
   IMPORTRANGE(""1RdEdgHYrZ33LJ7RUHj_h-qkAFL92bcVjtIdVa-UlsCw"", ""Interns!D:D""), 
   IMPORTRANGE(""1RdEdgHYrZ33LJ7RUHj_h-qkAFL92bcVjtIdVa-UlsCw"", ""Interns!N:N""), 
   ""Not Found"")"),"#Cheers4Careers")</f>
        <v>#Cheers4Careers</v>
      </c>
      <c r="AM1019" s="23" t="str">
        <f>IFERROR(__xludf.DUMMYFUNCTION("XLOOKUP(C1019, 
   IMPORTRANGE(""1RdEdgHYrZ33LJ7RUHj_h-qkAFL92bcVjtIdVa-UlsCw"", ""Interns!D:D""), 
   IMPORTRANGE(""1RdEdgHYrZ33LJ7RUHj_h-qkAFL92bcVjtIdVa-UlsCw"", ""Interns!O:O""), 
   ""Not Found"")"),"Hetal reached out March 27 for March #Cheers4 Careers ")</f>
        <v>Hetal reached out March 27 for March #Cheers4 Careers </v>
      </c>
      <c r="AN1019" s="23"/>
      <c r="AO1019" s="23" t="s">
        <v>11704</v>
      </c>
      <c r="AP1019" s="28" t="s">
        <v>5182</v>
      </c>
      <c r="AQ1019" s="28" t="s">
        <v>11705</v>
      </c>
      <c r="AR1019" s="23" t="s">
        <v>11706</v>
      </c>
      <c r="AS1019" s="23"/>
      <c r="AT1019" s="23"/>
      <c r="AU1019" s="23"/>
      <c r="AV1019" s="23"/>
    </row>
    <row r="1020">
      <c r="A1020" s="28" t="s">
        <v>5161</v>
      </c>
      <c r="B1020" s="28" t="s">
        <v>5162</v>
      </c>
      <c r="C1020" s="23" t="str">
        <f t="shared" si="1"/>
        <v>Jasmine Molina</v>
      </c>
      <c r="D1020" s="28" t="s">
        <v>1872</v>
      </c>
      <c r="E1020" s="28" t="s">
        <v>6357</v>
      </c>
      <c r="F1020" s="23" t="str">
        <f t="array" ref="F1020">IFERROR(
    INDEX('Hub Interns 226'!A:A, MATCH(C1020, 'Hub Interns 226'!B:B, 0)),"")</f>
        <v/>
      </c>
      <c r="G1020" s="23">
        <f t="array" ref="G1020">IFERROR(
    INDEX('Hub Users 226'!A:A, MATCH(C1020, 'Hub Users 226'!B:B, 0)),"")</f>
        <v>1810</v>
      </c>
      <c r="H1020" s="28">
        <v>1701.0</v>
      </c>
      <c r="I1020" s="28" t="s">
        <v>260</v>
      </c>
      <c r="J1020" s="28" t="s">
        <v>11105</v>
      </c>
      <c r="K1020" s="28" t="s">
        <v>5177</v>
      </c>
      <c r="L1020" s="28" t="s">
        <v>5196</v>
      </c>
      <c r="M1020" s="56" t="s">
        <v>11707</v>
      </c>
      <c r="N1020" s="59">
        <v>45250.95208333333</v>
      </c>
      <c r="O1020" s="58">
        <v>40406.0</v>
      </c>
      <c r="P1020" s="28">
        <f t="shared" si="31"/>
        <v>15</v>
      </c>
      <c r="Q1020" s="28" t="s">
        <v>240</v>
      </c>
      <c r="R1020" s="28" t="s">
        <v>11708</v>
      </c>
      <c r="S1020" s="60">
        <v>6.0</v>
      </c>
      <c r="T1020" s="60">
        <v>12.0</v>
      </c>
      <c r="U1020" s="60">
        <v>30.0</v>
      </c>
      <c r="V1020" s="28">
        <v>30.0</v>
      </c>
      <c r="W1020" s="28" t="s">
        <v>1173</v>
      </c>
      <c r="X1020" s="28" t="s">
        <v>272</v>
      </c>
      <c r="Y1020" s="28">
        <v>7.182056788E9</v>
      </c>
      <c r="Z1020" s="28" t="s">
        <v>5170</v>
      </c>
      <c r="AA1020" s="28" t="s">
        <v>5171</v>
      </c>
      <c r="AB1020" s="28">
        <v>30.0</v>
      </c>
      <c r="AC1020" s="28" t="s">
        <v>23</v>
      </c>
      <c r="AD1020" s="23"/>
      <c r="AE1020" s="28" t="s">
        <v>18</v>
      </c>
      <c r="AF1020" s="23"/>
      <c r="AG1020" s="23"/>
      <c r="AH1020" s="23" t="str">
        <f>IFERROR(__xludf.DUMMYFUNCTION("IF(
ISNUMBER(MATCH(
C1020,
IMPORTRANGE(""https://docs.google.com/spreadsheets/d/1yTh1ELC33JHYOeEdgIiEclxPRyh0zOKtlawDltfUay8"",""'Interns'!A:A""),
0
)),
""Outreach Conducted"",
"""")"),"")</f>
        <v/>
      </c>
      <c r="AI1020" s="23"/>
      <c r="AJ1020" s="23"/>
      <c r="AK1020" s="23" t="str">
        <f>IFERROR(__xludf.DUMMYFUNCTION("XLOOKUP(C1020, 
   IMPORTRANGE(""1RdEdgHYrZ33LJ7RUHj_h-qkAFL92bcVjtIdVa-UlsCw"", ""Interns!D:D""), 
   IMPORTRANGE(""1RdEdgHYrZ33LJ7RUHj_h-qkAFL92bcVjtIdVa-UlsCw"", ""Interns!M:M""), 
   ""Not Found"")"),"Contacted")</f>
        <v>Contacted</v>
      </c>
      <c r="AL1020" s="23" t="str">
        <f>IFERROR(__xludf.DUMMYFUNCTION("XLOOKUP(C1020, 
   IMPORTRANGE(""1RdEdgHYrZ33LJ7RUHj_h-qkAFL92bcVjtIdVa-UlsCw"", ""Interns!D:D""), 
   IMPORTRANGE(""1RdEdgHYrZ33LJ7RUHj_h-qkAFL92bcVjtIdVa-UlsCw"", ""Interns!N:N""), 
   ""Not Found"")"),"#Cheers4Careers")</f>
        <v>#Cheers4Careers</v>
      </c>
      <c r="AM1020" s="23" t="str">
        <f>IFERROR(__xludf.DUMMYFUNCTION("XLOOKUP(C1020, 
   IMPORTRANGE(""1RdEdgHYrZ33LJ7RUHj_h-qkAFL92bcVjtIdVa-UlsCw"", ""Interns!D:D""), 
   IMPORTRANGE(""1RdEdgHYrZ33LJ7RUHj_h-qkAFL92bcVjtIdVa-UlsCw"", ""Interns!O:O""), 
   ""Not Found"")"),"Hetal reached out March 27 for March #Cheers4 Careers ")</f>
        <v>Hetal reached out March 27 for March #Cheers4 Careers </v>
      </c>
      <c r="AN1020" s="23"/>
      <c r="AO1020" s="23" t="s">
        <v>11709</v>
      </c>
      <c r="AP1020" s="28" t="s">
        <v>5182</v>
      </c>
      <c r="AQ1020" s="28" t="s">
        <v>11707</v>
      </c>
      <c r="AR1020" s="23">
        <v>9.146254406E9</v>
      </c>
      <c r="AS1020" s="23"/>
      <c r="AT1020" s="23"/>
      <c r="AU1020" s="23"/>
      <c r="AV1020" s="23"/>
    </row>
    <row r="1021">
      <c r="A1021" s="28" t="s">
        <v>5161</v>
      </c>
      <c r="B1021" s="28" t="s">
        <v>5162</v>
      </c>
      <c r="C1021" s="23" t="str">
        <f t="shared" si="1"/>
        <v>Reina Orozco</v>
      </c>
      <c r="D1021" s="28" t="s">
        <v>3744</v>
      </c>
      <c r="E1021" s="28" t="s">
        <v>10379</v>
      </c>
      <c r="F1021" s="23">
        <f t="array" ref="F1021">IFERROR(
    INDEX('Hub Interns 226'!A:A, MATCH(C1021, 'Hub Interns 226'!B:B, 0)),"")</f>
        <v>1321</v>
      </c>
      <c r="G1021" s="23">
        <f t="array" ref="G1021">IFERROR(
    INDEX('Hub Users 226'!A:A, MATCH(C1021, 'Hub Users 226'!B:B, 0)),"")</f>
        <v>1807</v>
      </c>
      <c r="H1021" s="28">
        <v>1698.0</v>
      </c>
      <c r="I1021" s="28" t="s">
        <v>107</v>
      </c>
      <c r="J1021" s="28" t="s">
        <v>11105</v>
      </c>
      <c r="K1021" s="28" t="s">
        <v>5177</v>
      </c>
      <c r="L1021" s="28" t="s">
        <v>5196</v>
      </c>
      <c r="M1021" s="56" t="s">
        <v>11710</v>
      </c>
      <c r="N1021" s="59">
        <v>45250.94236111111</v>
      </c>
      <c r="O1021" s="58">
        <v>40527.0</v>
      </c>
      <c r="P1021" s="28">
        <f t="shared" si="31"/>
        <v>15</v>
      </c>
      <c r="Q1021" s="28" t="s">
        <v>240</v>
      </c>
      <c r="R1021" s="28" t="s">
        <v>11711</v>
      </c>
      <c r="S1021" s="60">
        <v>6.0</v>
      </c>
      <c r="T1021" s="60">
        <v>12.0</v>
      </c>
      <c r="U1021" s="60">
        <v>30.0</v>
      </c>
      <c r="V1021" s="28">
        <v>30.0</v>
      </c>
      <c r="W1021" s="28" t="s">
        <v>1173</v>
      </c>
      <c r="X1021" s="28" t="s">
        <v>272</v>
      </c>
      <c r="Y1021" s="28" t="s">
        <v>11712</v>
      </c>
      <c r="Z1021" s="28" t="s">
        <v>5170</v>
      </c>
      <c r="AA1021" s="28" t="s">
        <v>5171</v>
      </c>
      <c r="AB1021" s="28">
        <v>30.0</v>
      </c>
      <c r="AC1021" s="28" t="s">
        <v>23</v>
      </c>
      <c r="AD1021" s="23"/>
      <c r="AE1021" s="28" t="s">
        <v>18</v>
      </c>
      <c r="AF1021" s="23"/>
      <c r="AG1021" s="23"/>
      <c r="AH1021" s="23" t="str">
        <f>IFERROR(__xludf.DUMMYFUNCTION("IF(
ISNUMBER(MATCH(
C1021,
IMPORTRANGE(""https://docs.google.com/spreadsheets/d/1yTh1ELC33JHYOeEdgIiEclxPRyh0zOKtlawDltfUay8"",""'Interns'!A:A""),
0
)),
""Outreach Conducted"",
"""")"),"")</f>
        <v/>
      </c>
      <c r="AI1021" s="23"/>
      <c r="AJ1021" s="23"/>
      <c r="AK1021" s="23" t="str">
        <f>IFERROR(__xludf.DUMMYFUNCTION("XLOOKUP(C1021, 
   IMPORTRANGE(""1RdEdgHYrZ33LJ7RUHj_h-qkAFL92bcVjtIdVa-UlsCw"", ""Interns!D:D""), 
   IMPORTRANGE(""1RdEdgHYrZ33LJ7RUHj_h-qkAFL92bcVjtIdVa-UlsCw"", ""Interns!M:M""), 
   ""Not Found"")"),"Contacted")</f>
        <v>Contacted</v>
      </c>
      <c r="AL1021" s="23" t="str">
        <f>IFERROR(__xludf.DUMMYFUNCTION("XLOOKUP(C1021, 
   IMPORTRANGE(""1RdEdgHYrZ33LJ7RUHj_h-qkAFL92bcVjtIdVa-UlsCw"", ""Interns!D:D""), 
   IMPORTRANGE(""1RdEdgHYrZ33LJ7RUHj_h-qkAFL92bcVjtIdVa-UlsCw"", ""Interns!N:N""), 
   ""Not Found"")"),"#Cheers4Careers")</f>
        <v>#Cheers4Careers</v>
      </c>
      <c r="AM1021" s="23" t="str">
        <f>IFERROR(__xludf.DUMMYFUNCTION("XLOOKUP(C1021, 
   IMPORTRANGE(""1RdEdgHYrZ33LJ7RUHj_h-qkAFL92bcVjtIdVa-UlsCw"", ""Interns!D:D""), 
   IMPORTRANGE(""1RdEdgHYrZ33LJ7RUHj_h-qkAFL92bcVjtIdVa-UlsCw"", ""Interns!O:O""), 
   ""Not Found"")"),"Hetal reached out March 27 for March #Cheers4 Careers ")</f>
        <v>Hetal reached out March 27 for March #Cheers4 Careers </v>
      </c>
      <c r="AN1021" s="23"/>
      <c r="AO1021" s="23" t="s">
        <v>11713</v>
      </c>
      <c r="AP1021" s="28" t="s">
        <v>5182</v>
      </c>
      <c r="AQ1021" s="28" t="s">
        <v>11714</v>
      </c>
      <c r="AR1021" s="23" t="s">
        <v>11715</v>
      </c>
      <c r="AS1021" s="23"/>
      <c r="AT1021" s="23"/>
      <c r="AU1021" s="23"/>
      <c r="AV1021" s="23"/>
    </row>
    <row r="1022">
      <c r="A1022" s="28" t="s">
        <v>5202</v>
      </c>
      <c r="B1022" s="28" t="s">
        <v>5162</v>
      </c>
      <c r="C1022" s="23" t="str">
        <f t="shared" si="1"/>
        <v>Dijonay Mogg</v>
      </c>
      <c r="D1022" s="28" t="s">
        <v>11716</v>
      </c>
      <c r="E1022" s="28" t="s">
        <v>11717</v>
      </c>
      <c r="F1022" s="28">
        <v>448.0</v>
      </c>
      <c r="G1022" s="28">
        <v>881.0</v>
      </c>
      <c r="H1022" s="28">
        <v>364.0</v>
      </c>
      <c r="I1022" s="28" t="s">
        <v>260</v>
      </c>
      <c r="J1022" s="28" t="s">
        <v>3791</v>
      </c>
      <c r="K1022" s="28" t="s">
        <v>5177</v>
      </c>
      <c r="L1022" s="28" t="s">
        <v>5196</v>
      </c>
      <c r="M1022" s="56" t="s">
        <v>11718</v>
      </c>
      <c r="N1022" s="57">
        <v>44252.631944444445</v>
      </c>
      <c r="O1022" s="58">
        <v>37868.0</v>
      </c>
      <c r="P1022" s="28">
        <f t="shared" si="31"/>
        <v>22</v>
      </c>
      <c r="Q1022" s="28" t="s">
        <v>240</v>
      </c>
      <c r="R1022" s="28" t="s">
        <v>11719</v>
      </c>
      <c r="S1022" s="28">
        <v>5.0</v>
      </c>
      <c r="T1022" s="28">
        <v>14.0</v>
      </c>
      <c r="U1022" s="28">
        <v>33.0</v>
      </c>
      <c r="V1022" s="28">
        <v>27.0</v>
      </c>
      <c r="W1022" s="28" t="s">
        <v>1173</v>
      </c>
      <c r="X1022" s="28" t="s">
        <v>272</v>
      </c>
      <c r="Y1022" s="28" t="s">
        <v>11720</v>
      </c>
      <c r="Z1022" s="28" t="s">
        <v>5332</v>
      </c>
      <c r="AA1022" s="28" t="s">
        <v>421</v>
      </c>
      <c r="AB1022" s="28">
        <v>31.0</v>
      </c>
      <c r="AC1022" s="28" t="s">
        <v>25</v>
      </c>
      <c r="AD1022" s="23"/>
      <c r="AE1022" s="28" t="s">
        <v>8</v>
      </c>
      <c r="AF1022" s="23" t="str">
        <f>IFERROR(__xludf.DUMMYFUNCTION("TEXTJOIN("", "", TRUE,
  FILTER(Champions!C:C,
    ISNUMBER(SEARCH(C1022, Champions!W:W))
  )
)"),"Sana Ahmad")</f>
        <v>Sana Ahmad</v>
      </c>
      <c r="AG1022" s="23"/>
      <c r="AH1022" s="23" t="str">
        <f>IFERROR(__xludf.DUMMYFUNCTION("IF(
ISNUMBER(MATCH(
C1022,
IMPORTRANGE(""https://docs.google.com/spreadsheets/d/1yTh1ELC33JHYOeEdgIiEclxPRyh0zOKtlawDltfUay8"",""'Interns'!A:A""),
0
)),
""Outreach Conducted"",
"""")"),"")</f>
        <v/>
      </c>
      <c r="AI1022" s="23"/>
      <c r="AJ1022" s="23"/>
      <c r="AK1022" s="23" t="str">
        <f>IFERROR(__xludf.DUMMYFUNCTION("XLOOKUP(C1022, 
   IMPORTRANGE(""1RdEdgHYrZ33LJ7RUHj_h-qkAFL92bcVjtIdVa-UlsCw"", ""Interns!D:D""), 
   IMPORTRANGE(""1RdEdgHYrZ33LJ7RUHj_h-qkAFL92bcVjtIdVa-UlsCw"", ""Interns!M:M""), 
   ""Not Found"")"),"")</f>
        <v/>
      </c>
      <c r="AL1022" s="23" t="str">
        <f>IFERROR(__xludf.DUMMYFUNCTION("XLOOKUP(C1022, 
   IMPORTRANGE(""1RdEdgHYrZ33LJ7RUHj_h-qkAFL92bcVjtIdVa-UlsCw"", ""Interns!D:D""), 
   IMPORTRANGE(""1RdEdgHYrZ33LJ7RUHj_h-qkAFL92bcVjtIdVa-UlsCw"", ""Interns!N:N""), 
   ""Not Found"")"),"")</f>
        <v/>
      </c>
      <c r="AM1022" s="23" t="str">
        <f>IFERROR(__xludf.DUMMYFUNCTION("XLOOKUP(C1022, 
   IMPORTRANGE(""1RdEdgHYrZ33LJ7RUHj_h-qkAFL92bcVjtIdVa-UlsCw"", ""Interns!D:D""), 
   IMPORTRANGE(""1RdEdgHYrZ33LJ7RUHj_h-qkAFL92bcVjtIdVa-UlsCw"", ""Interns!O:O""), 
   ""Not Found"")"),"")</f>
        <v/>
      </c>
      <c r="AN1022" s="23"/>
      <c r="AO1022" s="23" t="s">
        <v>11721</v>
      </c>
      <c r="AP1022" s="28" t="s">
        <v>5191</v>
      </c>
      <c r="AQ1022" s="28" t="s">
        <v>11722</v>
      </c>
      <c r="AR1022" s="23" t="s">
        <v>11723</v>
      </c>
      <c r="AS1022" s="23"/>
      <c r="AT1022" s="23"/>
      <c r="AU1022" s="23"/>
      <c r="AV1022" s="23"/>
    </row>
    <row r="1023">
      <c r="A1023" s="28" t="s">
        <v>5161</v>
      </c>
      <c r="B1023" s="28" t="s">
        <v>5162</v>
      </c>
      <c r="C1023" s="23" t="str">
        <f t="shared" si="1"/>
        <v>Alex Garcia</v>
      </c>
      <c r="D1023" s="28" t="s">
        <v>11724</v>
      </c>
      <c r="E1023" s="28" t="s">
        <v>1484</v>
      </c>
      <c r="F1023" s="23">
        <f t="array" ref="F1023">IFERROR(
    INDEX('Hub Interns 226'!A:A, MATCH(C1023, 'Hub Interns 226'!B:B, 0)),"")</f>
        <v>188</v>
      </c>
      <c r="G1023" s="23">
        <f t="array" ref="G1023">IFERROR(
    INDEX('Hub Users 226'!A:A, MATCH(C1023, 'Hub Users 226'!B:B, 0)),"")</f>
        <v>621</v>
      </c>
      <c r="H1023" s="28">
        <v>1587.0</v>
      </c>
      <c r="I1023" s="28"/>
      <c r="J1023" s="28" t="s">
        <v>11105</v>
      </c>
      <c r="K1023" s="28" t="s">
        <v>5177</v>
      </c>
      <c r="L1023" s="28" t="s">
        <v>5196</v>
      </c>
      <c r="M1023" s="56" t="s">
        <v>11725</v>
      </c>
      <c r="N1023" s="57">
        <v>45016.38680555556</v>
      </c>
      <c r="O1023" s="58">
        <v>40318.0</v>
      </c>
      <c r="P1023" s="28">
        <f t="shared" si="31"/>
        <v>15</v>
      </c>
      <c r="Q1023" s="28" t="s">
        <v>240</v>
      </c>
      <c r="R1023" s="28" t="s">
        <v>11726</v>
      </c>
      <c r="S1023" s="60">
        <v>6.0</v>
      </c>
      <c r="T1023" s="60">
        <v>12.0</v>
      </c>
      <c r="U1023" s="60">
        <v>30.0</v>
      </c>
      <c r="V1023" s="28">
        <v>30.0</v>
      </c>
      <c r="W1023" s="28" t="s">
        <v>1173</v>
      </c>
      <c r="X1023" s="28" t="s">
        <v>272</v>
      </c>
      <c r="Y1023" s="28" t="s">
        <v>5169</v>
      </c>
      <c r="Z1023" s="28" t="s">
        <v>5170</v>
      </c>
      <c r="AA1023" s="28" t="s">
        <v>5171</v>
      </c>
      <c r="AB1023" s="28">
        <v>30.0</v>
      </c>
      <c r="AC1023" s="28" t="s">
        <v>23</v>
      </c>
      <c r="AD1023" s="23"/>
      <c r="AE1023" s="28" t="s">
        <v>15</v>
      </c>
      <c r="AF1023" s="23"/>
      <c r="AG1023" s="23"/>
      <c r="AH1023" s="23" t="str">
        <f>IFERROR(__xludf.DUMMYFUNCTION("IF(
ISNUMBER(MATCH(
C1023,
IMPORTRANGE(""https://docs.google.com/spreadsheets/d/1yTh1ELC33JHYOeEdgIiEclxPRyh0zOKtlawDltfUay8"",""'Interns'!A:A""),
0
)),
""Outreach Conducted"",
"""")"),"")</f>
        <v/>
      </c>
      <c r="AI1023" s="23"/>
      <c r="AJ1023" s="23"/>
      <c r="AK1023" s="23" t="str">
        <f>IFERROR(__xludf.DUMMYFUNCTION("XLOOKUP(C1023, 
   IMPORTRANGE(""1RdEdgHYrZ33LJ7RUHj_h-qkAFL92bcVjtIdVa-UlsCw"", ""Interns!D:D""), 
   IMPORTRANGE(""1RdEdgHYrZ33LJ7RUHj_h-qkAFL92bcVjtIdVa-UlsCw"", ""Interns!M:M""), 
   ""Not Found"")"),"Contacted")</f>
        <v>Contacted</v>
      </c>
      <c r="AL1023" s="23" t="str">
        <f>IFERROR(__xludf.DUMMYFUNCTION("XLOOKUP(C1023, 
   IMPORTRANGE(""1RdEdgHYrZ33LJ7RUHj_h-qkAFL92bcVjtIdVa-UlsCw"", ""Interns!D:D""), 
   IMPORTRANGE(""1RdEdgHYrZ33LJ7RUHj_h-qkAFL92bcVjtIdVa-UlsCw"", ""Interns!N:N""), 
   ""Not Found"")"),"#Cheers4Careers")</f>
        <v>#Cheers4Careers</v>
      </c>
      <c r="AM1023" s="23" t="str">
        <f>IFERROR(__xludf.DUMMYFUNCTION("XLOOKUP(C1023, 
   IMPORTRANGE(""1RdEdgHYrZ33LJ7RUHj_h-qkAFL92bcVjtIdVa-UlsCw"", ""Interns!D:D""), 
   IMPORTRANGE(""1RdEdgHYrZ33LJ7RUHj_h-qkAFL92bcVjtIdVa-UlsCw"", ""Interns!O:O""), 
   ""Not Found"")"),"Hetal reached out March 27 for March #Cheers4 Careers ")</f>
        <v>Hetal reached out March 27 for March #Cheers4 Careers </v>
      </c>
      <c r="AN1023" s="23"/>
      <c r="AO1023" s="23" t="s">
        <v>11727</v>
      </c>
      <c r="AP1023" s="28" t="s">
        <v>5182</v>
      </c>
      <c r="AQ1023" s="28"/>
      <c r="AR1023" s="23"/>
      <c r="AS1023" s="23"/>
      <c r="AT1023" s="23"/>
      <c r="AU1023" s="23"/>
      <c r="AV1023" s="23"/>
    </row>
    <row r="1024">
      <c r="A1024" s="28" t="s">
        <v>5161</v>
      </c>
      <c r="B1024" s="28" t="s">
        <v>5162</v>
      </c>
      <c r="C1024" s="23" t="str">
        <f t="shared" si="1"/>
        <v>Julian Ramirez</v>
      </c>
      <c r="D1024" s="28" t="s">
        <v>6630</v>
      </c>
      <c r="E1024" s="28" t="s">
        <v>2127</v>
      </c>
      <c r="F1024" s="23" t="str">
        <f t="array" ref="F1024">IFERROR(
    INDEX('Hub Interns 226'!A:A, MATCH(C1024, 'Hub Interns 226'!B:B, 0)),"")</f>
        <v/>
      </c>
      <c r="G1024" s="23">
        <f t="array" ref="G1024">IFERROR(
    INDEX('Hub Users 226'!A:A, MATCH(C1024, 'Hub Users 226'!B:B, 0)),"")</f>
        <v>1821</v>
      </c>
      <c r="H1024" s="28">
        <v>1696.0</v>
      </c>
      <c r="I1024" s="28" t="s">
        <v>269</v>
      </c>
      <c r="J1024" s="28" t="s">
        <v>11105</v>
      </c>
      <c r="K1024" s="28" t="s">
        <v>5177</v>
      </c>
      <c r="L1024" s="28" t="s">
        <v>5165</v>
      </c>
      <c r="M1024" s="56" t="s">
        <v>11728</v>
      </c>
      <c r="N1024" s="59">
        <v>45250.93680555555</v>
      </c>
      <c r="O1024" s="58">
        <v>45233.0</v>
      </c>
      <c r="P1024" s="28">
        <f t="shared" si="31"/>
        <v>2</v>
      </c>
      <c r="Q1024" s="28" t="s">
        <v>240</v>
      </c>
      <c r="R1024" s="28" t="s">
        <v>11729</v>
      </c>
      <c r="S1024" s="60">
        <v>6.0</v>
      </c>
      <c r="T1024" s="60">
        <v>12.0</v>
      </c>
      <c r="U1024" s="60">
        <v>30.0</v>
      </c>
      <c r="V1024" s="28">
        <v>30.0</v>
      </c>
      <c r="W1024" s="28" t="s">
        <v>1173</v>
      </c>
      <c r="X1024" s="28" t="s">
        <v>272</v>
      </c>
      <c r="Y1024" s="28">
        <v>7.182056788E9</v>
      </c>
      <c r="Z1024" s="28" t="s">
        <v>5170</v>
      </c>
      <c r="AA1024" s="28" t="s">
        <v>5171</v>
      </c>
      <c r="AB1024" s="28">
        <v>30.0</v>
      </c>
      <c r="AC1024" s="28" t="s">
        <v>23</v>
      </c>
      <c r="AD1024" s="23"/>
      <c r="AE1024" s="28" t="s">
        <v>18</v>
      </c>
      <c r="AF1024" s="23"/>
      <c r="AG1024" s="23"/>
      <c r="AH1024" s="23" t="str">
        <f>IFERROR(__xludf.DUMMYFUNCTION("IF(
ISNUMBER(MATCH(
C1024,
IMPORTRANGE(""https://docs.google.com/spreadsheets/d/1yTh1ELC33JHYOeEdgIiEclxPRyh0zOKtlawDltfUay8"",""'Interns'!A:A""),
0
)),
""Outreach Conducted"",
"""")"),"")</f>
        <v/>
      </c>
      <c r="AI1024" s="23"/>
      <c r="AJ1024" s="23"/>
      <c r="AK1024" s="23" t="str">
        <f>IFERROR(__xludf.DUMMYFUNCTION("XLOOKUP(C1024, 
   IMPORTRANGE(""1RdEdgHYrZ33LJ7RUHj_h-qkAFL92bcVjtIdVa-UlsCw"", ""Interns!D:D""), 
   IMPORTRANGE(""1RdEdgHYrZ33LJ7RUHj_h-qkAFL92bcVjtIdVa-UlsCw"", ""Interns!M:M""), 
   ""Not Found"")"),"Contacted")</f>
        <v>Contacted</v>
      </c>
      <c r="AL1024" s="23" t="str">
        <f>IFERROR(__xludf.DUMMYFUNCTION("XLOOKUP(C1024, 
   IMPORTRANGE(""1RdEdgHYrZ33LJ7RUHj_h-qkAFL92bcVjtIdVa-UlsCw"", ""Interns!D:D""), 
   IMPORTRANGE(""1RdEdgHYrZ33LJ7RUHj_h-qkAFL92bcVjtIdVa-UlsCw"", ""Interns!N:N""), 
   ""Not Found"")"),"#Cheers4Careers")</f>
        <v>#Cheers4Careers</v>
      </c>
      <c r="AM1024" s="23" t="str">
        <f>IFERROR(__xludf.DUMMYFUNCTION("XLOOKUP(C1024, 
   IMPORTRANGE(""1RdEdgHYrZ33LJ7RUHj_h-qkAFL92bcVjtIdVa-UlsCw"", ""Interns!D:D""), 
   IMPORTRANGE(""1RdEdgHYrZ33LJ7RUHj_h-qkAFL92bcVjtIdVa-UlsCw"", ""Interns!O:O""), 
   ""Not Found"")"),"Hetal reached out March 27 for March #Cheers4 Careers ")</f>
        <v>Hetal reached out March 27 for March #Cheers4 Careers </v>
      </c>
      <c r="AN1024" s="23"/>
      <c r="AO1024" s="23" t="s">
        <v>11730</v>
      </c>
      <c r="AP1024" s="28" t="s">
        <v>5191</v>
      </c>
      <c r="AQ1024" s="28" t="s">
        <v>11731</v>
      </c>
      <c r="AR1024" s="23">
        <v>7.182056788E9</v>
      </c>
      <c r="AS1024" s="23"/>
      <c r="AT1024" s="23"/>
      <c r="AU1024" s="23"/>
      <c r="AV1024" s="23"/>
    </row>
    <row r="1025">
      <c r="A1025" s="28" t="s">
        <v>5161</v>
      </c>
      <c r="B1025" s="28" t="s">
        <v>5162</v>
      </c>
      <c r="C1025" s="23" t="str">
        <f t="shared" si="1"/>
        <v>Cristal Ruiz</v>
      </c>
      <c r="D1025" s="28" t="s">
        <v>10717</v>
      </c>
      <c r="E1025" s="28" t="s">
        <v>10306</v>
      </c>
      <c r="F1025" s="23" t="str">
        <f t="array" ref="F1025">IFERROR(
    INDEX('Hub Interns 226'!A:A, MATCH(C1025, 'Hub Interns 226'!B:B, 0)),"")</f>
        <v/>
      </c>
      <c r="G1025" s="23">
        <f t="array" ref="G1025">IFERROR(
    INDEX('Hub Users 226'!A:A, MATCH(C1025, 'Hub Users 226'!B:B, 0)),"")</f>
        <v>1820</v>
      </c>
      <c r="H1025" s="28">
        <v>1828.0</v>
      </c>
      <c r="I1025" s="28" t="s">
        <v>407</v>
      </c>
      <c r="J1025" s="28" t="s">
        <v>11105</v>
      </c>
      <c r="K1025" s="28" t="s">
        <v>5177</v>
      </c>
      <c r="L1025" s="28" t="s">
        <v>5196</v>
      </c>
      <c r="M1025" s="56" t="s">
        <v>11732</v>
      </c>
      <c r="N1025" s="57">
        <v>45430.666666666664</v>
      </c>
      <c r="O1025" s="58">
        <v>40335.0</v>
      </c>
      <c r="P1025" s="28">
        <f t="shared" si="31"/>
        <v>15</v>
      </c>
      <c r="Q1025" s="28" t="s">
        <v>240</v>
      </c>
      <c r="R1025" s="28" t="s">
        <v>11733</v>
      </c>
      <c r="S1025" s="60">
        <v>6.0</v>
      </c>
      <c r="T1025" s="60">
        <v>12.0</v>
      </c>
      <c r="U1025" s="60">
        <v>30.0</v>
      </c>
      <c r="V1025" s="28">
        <v>30.0</v>
      </c>
      <c r="W1025" s="28" t="s">
        <v>271</v>
      </c>
      <c r="X1025" s="28" t="s">
        <v>272</v>
      </c>
      <c r="Y1025" s="28">
        <v>3.47485651E9</v>
      </c>
      <c r="Z1025" s="28" t="s">
        <v>5170</v>
      </c>
      <c r="AA1025" s="28" t="s">
        <v>5171</v>
      </c>
      <c r="AB1025" s="28">
        <v>30.0</v>
      </c>
      <c r="AC1025" s="28" t="s">
        <v>23</v>
      </c>
      <c r="AD1025" s="23"/>
      <c r="AE1025" s="28" t="s">
        <v>18</v>
      </c>
      <c r="AF1025" s="23"/>
      <c r="AG1025" s="23"/>
      <c r="AH1025" s="23" t="str">
        <f>IFERROR(__xludf.DUMMYFUNCTION("IF(
ISNUMBER(MATCH(
C1025,
IMPORTRANGE(""https://docs.google.com/spreadsheets/d/1yTh1ELC33JHYOeEdgIiEclxPRyh0zOKtlawDltfUay8"",""'Interns'!A:A""),
0
)),
""Outreach Conducted"",
"""")"),"")</f>
        <v/>
      </c>
      <c r="AI1025" s="23"/>
      <c r="AJ1025" s="23"/>
      <c r="AK1025" s="23" t="str">
        <f>IFERROR(__xludf.DUMMYFUNCTION("XLOOKUP(C1025, 
   IMPORTRANGE(""1RdEdgHYrZ33LJ7RUHj_h-qkAFL92bcVjtIdVa-UlsCw"", ""Interns!D:D""), 
   IMPORTRANGE(""1RdEdgHYrZ33LJ7RUHj_h-qkAFL92bcVjtIdVa-UlsCw"", ""Interns!M:M""), 
   ""Not Found"")"),"Contacted")</f>
        <v>Contacted</v>
      </c>
      <c r="AL1025" s="23" t="str">
        <f>IFERROR(__xludf.DUMMYFUNCTION("XLOOKUP(C1025, 
   IMPORTRANGE(""1RdEdgHYrZ33LJ7RUHj_h-qkAFL92bcVjtIdVa-UlsCw"", ""Interns!D:D""), 
   IMPORTRANGE(""1RdEdgHYrZ33LJ7RUHj_h-qkAFL92bcVjtIdVa-UlsCw"", ""Interns!N:N""), 
   ""Not Found"")"),"#Cheers4Careers")</f>
        <v>#Cheers4Careers</v>
      </c>
      <c r="AM1025" s="23" t="str">
        <f>IFERROR(__xludf.DUMMYFUNCTION("XLOOKUP(C1025, 
   IMPORTRANGE(""1RdEdgHYrZ33LJ7RUHj_h-qkAFL92bcVjtIdVa-UlsCw"", ""Interns!D:D""), 
   IMPORTRANGE(""1RdEdgHYrZ33LJ7RUHj_h-qkAFL92bcVjtIdVa-UlsCw"", ""Interns!O:O""), 
   ""Not Found"")"),"Hetal reached out March 27 for March #Cheers4 Careers ")</f>
        <v>Hetal reached out March 27 for March #Cheers4 Careers </v>
      </c>
      <c r="AN1025" s="23"/>
      <c r="AO1025" s="23" t="s">
        <v>11734</v>
      </c>
      <c r="AP1025" s="28" t="s">
        <v>5182</v>
      </c>
      <c r="AQ1025" s="28" t="s">
        <v>11735</v>
      </c>
      <c r="AR1025" s="23" t="s">
        <v>11736</v>
      </c>
      <c r="AS1025" s="23"/>
      <c r="AT1025" s="23"/>
      <c r="AU1025" s="23"/>
      <c r="AV1025" s="23"/>
    </row>
    <row r="1026">
      <c r="A1026" s="28" t="s">
        <v>5161</v>
      </c>
      <c r="B1026" s="28" t="s">
        <v>5162</v>
      </c>
      <c r="C1026" s="23" t="str">
        <f t="shared" si="1"/>
        <v>Alexander Torres</v>
      </c>
      <c r="D1026" s="28" t="s">
        <v>11676</v>
      </c>
      <c r="E1026" s="28" t="s">
        <v>6739</v>
      </c>
      <c r="F1026" s="23">
        <f t="array" ref="F1026">IFERROR(
    INDEX('Hub Interns 226'!A:A, MATCH(C1026, 'Hub Interns 226'!B:B, 0)),"")</f>
        <v>73</v>
      </c>
      <c r="G1026" s="23">
        <f t="array" ref="G1026">IFERROR(
    INDEX('Hub Users 226'!A:A, MATCH(C1026, 'Hub Users 226'!B:B, 0)),"")</f>
        <v>506</v>
      </c>
      <c r="H1026" s="28">
        <v>1486.0</v>
      </c>
      <c r="I1026" s="28" t="s">
        <v>1235</v>
      </c>
      <c r="J1026" s="28" t="s">
        <v>11105</v>
      </c>
      <c r="K1026" s="28" t="s">
        <v>5177</v>
      </c>
      <c r="L1026" s="28" t="s">
        <v>5165</v>
      </c>
      <c r="M1026" s="56" t="s">
        <v>11737</v>
      </c>
      <c r="N1026" s="57">
        <v>44943.50902777778</v>
      </c>
      <c r="O1026" s="58">
        <v>38832.0</v>
      </c>
      <c r="P1026" s="28">
        <f t="shared" si="31"/>
        <v>20</v>
      </c>
      <c r="Q1026" s="28" t="s">
        <v>11738</v>
      </c>
      <c r="R1026" s="28" t="s">
        <v>11739</v>
      </c>
      <c r="S1026" s="28">
        <v>10.0</v>
      </c>
      <c r="T1026" s="28">
        <v>26.0</v>
      </c>
      <c r="U1026" s="28">
        <v>51.0</v>
      </c>
      <c r="V1026" s="28">
        <v>38.0</v>
      </c>
      <c r="W1026" s="28" t="s">
        <v>294</v>
      </c>
      <c r="X1026" s="28" t="s">
        <v>272</v>
      </c>
      <c r="Y1026" s="28" t="s">
        <v>11740</v>
      </c>
      <c r="Z1026" s="28" t="s">
        <v>5259</v>
      </c>
      <c r="AA1026" s="28" t="s">
        <v>704</v>
      </c>
      <c r="AB1026" s="28">
        <v>2.0</v>
      </c>
      <c r="AC1026" s="28" t="s">
        <v>25</v>
      </c>
      <c r="AD1026" s="23"/>
      <c r="AE1026" s="28" t="s">
        <v>15</v>
      </c>
      <c r="AF1026" s="23" t="str">
        <f>IFERROR(__xludf.DUMMYFUNCTION("TEXTJOIN("", "", TRUE,
  FILTER(Champions!C:C,
    ISNUMBER(SEARCH(C1026, Champions!W:W))
  )
)"),"Ritika Naik, Vignesh Sundar")</f>
        <v>Ritika Naik, Vignesh Sundar</v>
      </c>
      <c r="AG1026" s="23"/>
      <c r="AH1026" s="23" t="str">
        <f>IFERROR(__xludf.DUMMYFUNCTION("IF(
ISNUMBER(MATCH(
C1026,
IMPORTRANGE(""https://docs.google.com/spreadsheets/d/1yTh1ELC33JHYOeEdgIiEclxPRyh0zOKtlawDltfUay8"",""'Interns'!A:A""),
0
)),
""Outreach Conducted"",
"""")"),"")</f>
        <v/>
      </c>
      <c r="AI1026" s="23"/>
      <c r="AJ1026" s="23"/>
      <c r="AK1026" s="23" t="str">
        <f>IFERROR(__xludf.DUMMYFUNCTION("XLOOKUP(C1026, 
   IMPORTRANGE(""1RdEdgHYrZ33LJ7RUHj_h-qkAFL92bcVjtIdVa-UlsCw"", ""Interns!D:D""), 
   IMPORTRANGE(""1RdEdgHYrZ33LJ7RUHj_h-qkAFL92bcVjtIdVa-UlsCw"", ""Interns!M:M""), 
   ""Not Found"")"),"")</f>
        <v/>
      </c>
      <c r="AL1026" s="23" t="str">
        <f>IFERROR(__xludf.DUMMYFUNCTION("XLOOKUP(C1026, 
   IMPORTRANGE(""1RdEdgHYrZ33LJ7RUHj_h-qkAFL92bcVjtIdVa-UlsCw"", ""Interns!D:D""), 
   IMPORTRANGE(""1RdEdgHYrZ33LJ7RUHj_h-qkAFL92bcVjtIdVa-UlsCw"", ""Interns!N:N""), 
   ""Not Found"")"),"")</f>
        <v/>
      </c>
      <c r="AM1026" s="23" t="str">
        <f>IFERROR(__xludf.DUMMYFUNCTION("XLOOKUP(C1026, 
   IMPORTRANGE(""1RdEdgHYrZ33LJ7RUHj_h-qkAFL92bcVjtIdVa-UlsCw"", ""Interns!D:D""), 
   IMPORTRANGE(""1RdEdgHYrZ33LJ7RUHj_h-qkAFL92bcVjtIdVa-UlsCw"", ""Interns!O:O""), 
   ""Not Found"")"),"")</f>
        <v/>
      </c>
      <c r="AN1026" s="23"/>
      <c r="AO1026" s="23" t="s">
        <v>11741</v>
      </c>
      <c r="AP1026" s="28" t="s">
        <v>5182</v>
      </c>
      <c r="AQ1026" s="28" t="s">
        <v>11742</v>
      </c>
      <c r="AR1026" s="23" t="s">
        <v>11743</v>
      </c>
      <c r="AS1026" s="23"/>
      <c r="AT1026" s="23"/>
      <c r="AU1026" s="23"/>
      <c r="AV1026" s="23"/>
    </row>
    <row r="1027">
      <c r="A1027" s="28" t="s">
        <v>5161</v>
      </c>
      <c r="B1027" s="28" t="s">
        <v>5162</v>
      </c>
      <c r="C1027" s="23" t="str">
        <f t="shared" si="1"/>
        <v>Sergio Avila</v>
      </c>
      <c r="D1027" s="28" t="s">
        <v>11744</v>
      </c>
      <c r="E1027" s="28" t="s">
        <v>11745</v>
      </c>
      <c r="F1027" s="23">
        <f t="array" ref="F1027">IFERROR(
    INDEX('Hub Interns 226'!A:A, MATCH(C1027, 'Hub Interns 226'!B:B, 0)),"")</f>
        <v>1075</v>
      </c>
      <c r="G1027" s="23">
        <f t="array" ref="G1027">IFERROR(
    INDEX('Hub Users 226'!A:A, MATCH(C1027, 'Hub Users 226'!B:B, 0)),"")</f>
        <v>1508</v>
      </c>
      <c r="H1027" s="28">
        <v>502.0</v>
      </c>
      <c r="I1027" s="28" t="s">
        <v>608</v>
      </c>
      <c r="J1027" s="28" t="s">
        <v>11105</v>
      </c>
      <c r="K1027" s="28" t="s">
        <v>5177</v>
      </c>
      <c r="L1027" s="28" t="s">
        <v>5165</v>
      </c>
      <c r="M1027" s="56" t="s">
        <v>11746</v>
      </c>
      <c r="N1027" s="57">
        <v>44475.66527777778</v>
      </c>
      <c r="O1027" s="58">
        <v>38086.0</v>
      </c>
      <c r="P1027" s="28">
        <f t="shared" si="31"/>
        <v>22</v>
      </c>
      <c r="Q1027" s="28" t="s">
        <v>11747</v>
      </c>
      <c r="R1027" s="28" t="s">
        <v>11748</v>
      </c>
      <c r="S1027" s="28">
        <v>15.0</v>
      </c>
      <c r="T1027" s="28">
        <v>33.0</v>
      </c>
      <c r="U1027" s="28">
        <v>78.0</v>
      </c>
      <c r="V1027" s="28">
        <v>15.0</v>
      </c>
      <c r="W1027" s="28" t="s">
        <v>859</v>
      </c>
      <c r="X1027" s="28" t="s">
        <v>272</v>
      </c>
      <c r="Y1027" s="28" t="s">
        <v>11749</v>
      </c>
      <c r="Z1027" s="28" t="s">
        <v>5918</v>
      </c>
      <c r="AA1027" s="28" t="s">
        <v>477</v>
      </c>
      <c r="AB1027" s="28">
        <v>15.0</v>
      </c>
      <c r="AC1027" s="28" t="s">
        <v>25</v>
      </c>
      <c r="AD1027" s="23"/>
      <c r="AE1027" s="28" t="s">
        <v>10</v>
      </c>
      <c r="AF1027" s="23" t="str">
        <f>IFERROR(__xludf.DUMMYFUNCTION("TEXTJOIN("", "", TRUE,
  FILTER(Champions!C:C,
    ISNUMBER(SEARCH(C1027, Champions!W:W))
  )
)"),"Lata Murti, Priyanka Dixit, Sarah Anne Mead Lupberger")</f>
        <v>Lata Murti, Priyanka Dixit, Sarah Anne Mead Lupberger</v>
      </c>
      <c r="AG1027" s="23"/>
      <c r="AH1027" s="23" t="str">
        <f>IFERROR(__xludf.DUMMYFUNCTION("IF(
ISNUMBER(MATCH(
C1027,
IMPORTRANGE(""https://docs.google.com/spreadsheets/d/1yTh1ELC33JHYOeEdgIiEclxPRyh0zOKtlawDltfUay8"",""'Interns'!A:A""),
0
)),
""Outreach Conducted"",
"""")"),"")</f>
        <v/>
      </c>
      <c r="AI1027" s="23"/>
      <c r="AJ1027" s="23"/>
      <c r="AK1027" s="23" t="str">
        <f>IFERROR(__xludf.DUMMYFUNCTION("XLOOKUP(C1027, 
   IMPORTRANGE(""1RdEdgHYrZ33LJ7RUHj_h-qkAFL92bcVjtIdVa-UlsCw"", ""Interns!D:D""), 
   IMPORTRANGE(""1RdEdgHYrZ33LJ7RUHj_h-qkAFL92bcVjtIdVa-UlsCw"", ""Interns!M:M""), 
   ""Not Found"")"),"")</f>
        <v/>
      </c>
      <c r="AL1027" s="23" t="str">
        <f>IFERROR(__xludf.DUMMYFUNCTION("XLOOKUP(C1027, 
   IMPORTRANGE(""1RdEdgHYrZ33LJ7RUHj_h-qkAFL92bcVjtIdVa-UlsCw"", ""Interns!D:D""), 
   IMPORTRANGE(""1RdEdgHYrZ33LJ7RUHj_h-qkAFL92bcVjtIdVa-UlsCw"", ""Interns!N:N""), 
   ""Not Found"")"),"")</f>
        <v/>
      </c>
      <c r="AM1027" s="23" t="str">
        <f>IFERROR(__xludf.DUMMYFUNCTION("XLOOKUP(C1027, 
   IMPORTRANGE(""1RdEdgHYrZ33LJ7RUHj_h-qkAFL92bcVjtIdVa-UlsCw"", ""Interns!D:D""), 
   IMPORTRANGE(""1RdEdgHYrZ33LJ7RUHj_h-qkAFL92bcVjtIdVa-UlsCw"", ""Interns!O:O""), 
   ""Not Found"")"),"")</f>
        <v/>
      </c>
      <c r="AN1027" s="23"/>
      <c r="AO1027" s="23" t="s">
        <v>11750</v>
      </c>
      <c r="AP1027" s="28" t="s">
        <v>5240</v>
      </c>
      <c r="AQ1027" s="28" t="s">
        <v>11746</v>
      </c>
      <c r="AR1027" s="23" t="s">
        <v>11751</v>
      </c>
      <c r="AS1027" s="23"/>
      <c r="AT1027" s="23"/>
      <c r="AU1027" s="23"/>
      <c r="AV1027" s="23"/>
    </row>
    <row r="1028">
      <c r="A1028" s="28" t="s">
        <v>5161</v>
      </c>
      <c r="B1028" s="28" t="s">
        <v>5162</v>
      </c>
      <c r="C1028" s="23" t="str">
        <f t="shared" si="1"/>
        <v>Maria Barrera</v>
      </c>
      <c r="D1028" s="28" t="s">
        <v>2308</v>
      </c>
      <c r="E1028" s="28" t="s">
        <v>11752</v>
      </c>
      <c r="F1028" s="23" t="str">
        <f t="array" ref="F1028">IFERROR(
    INDEX('Hub Interns 226'!A:A, MATCH(C1028, 'Hub Interns 226'!B:B, 0)),"")</f>
        <v/>
      </c>
      <c r="G1028" s="23">
        <f t="array" ref="G1028">IFERROR(
    INDEX('Hub Users 226'!A:A, MATCH(C1028, 'Hub Users 226'!B:B, 0)),"")</f>
        <v>1277</v>
      </c>
      <c r="H1028" s="28">
        <v>59.0</v>
      </c>
      <c r="I1028" s="28" t="s">
        <v>239</v>
      </c>
      <c r="J1028" s="28" t="s">
        <v>11105</v>
      </c>
      <c r="K1028" s="28" t="s">
        <v>5177</v>
      </c>
      <c r="L1028" s="28" t="s">
        <v>5196</v>
      </c>
      <c r="M1028" s="56" t="s">
        <v>11753</v>
      </c>
      <c r="N1028" s="57">
        <v>43741.63125</v>
      </c>
      <c r="O1028" s="58">
        <v>37622.0</v>
      </c>
      <c r="P1028" s="28">
        <f t="shared" si="31"/>
        <v>23</v>
      </c>
      <c r="Q1028" s="28" t="s">
        <v>11754</v>
      </c>
      <c r="R1028" s="28" t="s">
        <v>11755</v>
      </c>
      <c r="S1028" s="28">
        <v>9.0</v>
      </c>
      <c r="T1028" s="28">
        <v>21.0</v>
      </c>
      <c r="U1028" s="28">
        <v>42.0</v>
      </c>
      <c r="V1028" s="28">
        <v>40.0</v>
      </c>
      <c r="W1028" s="28" t="s">
        <v>294</v>
      </c>
      <c r="X1028" s="28" t="s">
        <v>272</v>
      </c>
      <c r="Y1028" s="28" t="s">
        <v>11756</v>
      </c>
      <c r="Z1028" s="28" t="s">
        <v>10736</v>
      </c>
      <c r="AA1028" s="28" t="s">
        <v>10736</v>
      </c>
      <c r="AB1028" s="28">
        <v>35.0</v>
      </c>
      <c r="AC1028" s="28" t="s">
        <v>26</v>
      </c>
      <c r="AD1028" s="23"/>
      <c r="AE1028" s="28" t="s">
        <v>5</v>
      </c>
      <c r="AF1028" s="23" t="str">
        <f>IFERROR(__xludf.DUMMYFUNCTION("TEXTJOIN("", "", TRUE,
  FILTER(Champions!C:C,
    ISNUMBER(SEARCH(C1028, Champions!W:W))
  )
)"),"Weina Chen")</f>
        <v>Weina Chen</v>
      </c>
      <c r="AG1028" s="23"/>
      <c r="AH1028" s="23" t="str">
        <f>IFERROR(__xludf.DUMMYFUNCTION("IF(
ISNUMBER(MATCH(
C1028,
IMPORTRANGE(""https://docs.google.com/spreadsheets/d/1yTh1ELC33JHYOeEdgIiEclxPRyh0zOKtlawDltfUay8"",""'Interns'!A:A""),
0
)),
""Outreach Conducted"",
"""")"),"")</f>
        <v/>
      </c>
      <c r="AI1028" s="23"/>
      <c r="AJ1028" s="23"/>
      <c r="AK1028" s="23" t="str">
        <f>IFERROR(__xludf.DUMMYFUNCTION("XLOOKUP(C1028, 
   IMPORTRANGE(""1RdEdgHYrZ33LJ7RUHj_h-qkAFL92bcVjtIdVa-UlsCw"", ""Interns!D:D""), 
   IMPORTRANGE(""1RdEdgHYrZ33LJ7RUHj_h-qkAFL92bcVjtIdVa-UlsCw"", ""Interns!M:M""), 
   ""Not Found"")"),"Contacted")</f>
        <v>Contacted</v>
      </c>
      <c r="AL1028" s="23" t="str">
        <f>IFERROR(__xludf.DUMMYFUNCTION("XLOOKUP(C1028, 
   IMPORTRANGE(""1RdEdgHYrZ33LJ7RUHj_h-qkAFL92bcVjtIdVa-UlsCw"", ""Interns!D:D""), 
   IMPORTRANGE(""1RdEdgHYrZ33LJ7RUHj_h-qkAFL92bcVjtIdVa-UlsCw"", ""Interns!N:N""), 
   ""Not Found"")"),"#Cheers4Careers")</f>
        <v>#Cheers4Careers</v>
      </c>
      <c r="AM1028" s="23" t="str">
        <f>IFERROR(__xludf.DUMMYFUNCTION("XLOOKUP(C1028, 
   IMPORTRANGE(""1RdEdgHYrZ33LJ7RUHj_h-qkAFL92bcVjtIdVa-UlsCw"", ""Interns!D:D""), 
   IMPORTRANGE(""1RdEdgHYrZ33LJ7RUHj_h-qkAFL92bcVjtIdVa-UlsCw"", ""Interns!O:O""), 
   ""Not Found"")"),"Hetal reached out by email 3/27")</f>
        <v>Hetal reached out by email 3/27</v>
      </c>
      <c r="AN1028" s="23"/>
      <c r="AO1028" s="23" t="s">
        <v>11757</v>
      </c>
      <c r="AP1028" s="28" t="s">
        <v>5182</v>
      </c>
      <c r="AQ1028" s="28" t="s">
        <v>11753</v>
      </c>
      <c r="AR1028" s="23" t="s">
        <v>11758</v>
      </c>
      <c r="AS1028" s="23"/>
      <c r="AT1028" s="23"/>
      <c r="AU1028" s="23"/>
      <c r="AV1028" s="23"/>
    </row>
    <row r="1029">
      <c r="A1029" s="28" t="s">
        <v>5161</v>
      </c>
      <c r="B1029" s="28" t="s">
        <v>5162</v>
      </c>
      <c r="C1029" s="23" t="str">
        <f t="shared" si="1"/>
        <v>Yoana Reyes</v>
      </c>
      <c r="D1029" s="28" t="s">
        <v>11759</v>
      </c>
      <c r="E1029" s="28" t="s">
        <v>4325</v>
      </c>
      <c r="F1029" s="23">
        <f t="array" ref="F1029">IFERROR(
    INDEX('Hub Interns 226'!A:A, MATCH(C1029, 'Hub Interns 226'!B:B, 0)),"")</f>
        <v>1233</v>
      </c>
      <c r="G1029" s="23">
        <f t="array" ref="G1029">IFERROR(
    INDEX('Hub Users 226'!A:A, MATCH(C1029, 'Hub Users 226'!B:B, 0)),"")</f>
        <v>1666</v>
      </c>
      <c r="H1029" s="28">
        <v>1240.0</v>
      </c>
      <c r="I1029" s="28" t="s">
        <v>260</v>
      </c>
      <c r="J1029" s="28" t="s">
        <v>11105</v>
      </c>
      <c r="K1029" s="28" t="s">
        <v>5177</v>
      </c>
      <c r="L1029" s="28" t="s">
        <v>5196</v>
      </c>
      <c r="M1029" s="56" t="s">
        <v>11760</v>
      </c>
      <c r="N1029" s="57">
        <v>44838.464583333334</v>
      </c>
      <c r="O1029" s="58">
        <v>39016.0</v>
      </c>
      <c r="P1029" s="28">
        <f t="shared" si="31"/>
        <v>19</v>
      </c>
      <c r="Q1029" s="28" t="s">
        <v>11761</v>
      </c>
      <c r="R1029" s="28" t="s">
        <v>11762</v>
      </c>
      <c r="S1029" s="28">
        <v>13.0</v>
      </c>
      <c r="T1029" s="28">
        <v>31.0</v>
      </c>
      <c r="U1029" s="28">
        <v>72.0</v>
      </c>
      <c r="V1029" s="28">
        <v>10.0</v>
      </c>
      <c r="W1029" s="28" t="s">
        <v>271</v>
      </c>
      <c r="X1029" s="28" t="s">
        <v>272</v>
      </c>
      <c r="Y1029" s="28" t="s">
        <v>11763</v>
      </c>
      <c r="Z1029" s="28" t="s">
        <v>5341</v>
      </c>
      <c r="AA1029" s="28" t="s">
        <v>1085</v>
      </c>
      <c r="AB1029" s="28">
        <v>10.0</v>
      </c>
      <c r="AC1029" s="28" t="s">
        <v>25</v>
      </c>
      <c r="AD1029" s="23"/>
      <c r="AE1029" s="28" t="s">
        <v>15</v>
      </c>
      <c r="AF1029" s="23" t="str">
        <f>IFERROR(__xludf.DUMMYFUNCTION("TEXTJOIN("", "", TRUE,
  FILTER(Champions!C:C,
    ISNUMBER(SEARCH(C1029, Champions!W:W))
  )
)"),"Joanne Hsu, Min Jung Park, Natalie Jane Miller")</f>
        <v>Joanne Hsu, Min Jung Park, Natalie Jane Miller</v>
      </c>
      <c r="AG1029" s="23"/>
      <c r="AH1029" s="23" t="str">
        <f>IFERROR(__xludf.DUMMYFUNCTION("IF(
ISNUMBER(MATCH(
C1029,
IMPORTRANGE(""https://docs.google.com/spreadsheets/d/1yTh1ELC33JHYOeEdgIiEclxPRyh0zOKtlawDltfUay8"",""'Interns'!A:A""),
0
)),
""Outreach Conducted"",
"""")"),"")</f>
        <v/>
      </c>
      <c r="AI1029" s="23"/>
      <c r="AJ1029" s="23"/>
      <c r="AK1029" s="23" t="str">
        <f>IFERROR(__xludf.DUMMYFUNCTION("XLOOKUP(C1029, 
   IMPORTRANGE(""1RdEdgHYrZ33LJ7RUHj_h-qkAFL92bcVjtIdVa-UlsCw"", ""Interns!D:D""), 
   IMPORTRANGE(""1RdEdgHYrZ33LJ7RUHj_h-qkAFL92bcVjtIdVa-UlsCw"", ""Interns!M:M""), 
   ""Not Found"")"),"Contacted")</f>
        <v>Contacted</v>
      </c>
      <c r="AL1029" s="23" t="str">
        <f>IFERROR(__xludf.DUMMYFUNCTION("XLOOKUP(C1029, 
   IMPORTRANGE(""1RdEdgHYrZ33LJ7RUHj_h-qkAFL92bcVjtIdVa-UlsCw"", ""Interns!D:D""), 
   IMPORTRANGE(""1RdEdgHYrZ33LJ7RUHj_h-qkAFL92bcVjtIdVa-UlsCw"", ""Interns!N:N""), 
   ""Not Found"")"),"#Cheers4Careers")</f>
        <v>#Cheers4Careers</v>
      </c>
      <c r="AM1029" s="23" t="str">
        <f>IFERROR(__xludf.DUMMYFUNCTION("XLOOKUP(C1029, 
   IMPORTRANGE(""1RdEdgHYrZ33LJ7RUHj_h-qkAFL92bcVjtIdVa-UlsCw"", ""Interns!D:D""), 
   IMPORTRANGE(""1RdEdgHYrZ33LJ7RUHj_h-qkAFL92bcVjtIdVa-UlsCw"", ""Interns!O:O""), 
   ""Not Found"")"),"Texted on April 12 for #Cheers4Careers event")</f>
        <v>Texted on April 12 for #Cheers4Careers event</v>
      </c>
      <c r="AN1029" s="23"/>
      <c r="AO1029" s="23" t="s">
        <v>11764</v>
      </c>
      <c r="AP1029" s="28" t="s">
        <v>5182</v>
      </c>
      <c r="AQ1029" s="28" t="s">
        <v>11765</v>
      </c>
      <c r="AR1029" s="23" t="s">
        <v>11766</v>
      </c>
      <c r="AS1029" s="23"/>
      <c r="AT1029" s="23"/>
      <c r="AU1029" s="23"/>
      <c r="AV1029" s="23"/>
    </row>
    <row r="1030">
      <c r="A1030" s="28" t="s">
        <v>5161</v>
      </c>
      <c r="B1030" s="28" t="s">
        <v>5162</v>
      </c>
      <c r="C1030" s="23" t="str">
        <f t="shared" si="1"/>
        <v>Victoriano Sosa</v>
      </c>
      <c r="D1030" s="28" t="s">
        <v>11767</v>
      </c>
      <c r="E1030" s="28" t="s">
        <v>7381</v>
      </c>
      <c r="F1030" s="23">
        <f t="array" ref="F1030">IFERROR(
    INDEX('Hub Interns 226'!A:A, MATCH(C1030, 'Hub Interns 226'!B:B, 0)),"")</f>
        <v>1177</v>
      </c>
      <c r="G1030" s="23">
        <f t="array" ref="G1030">IFERROR(
    INDEX('Hub Users 226'!A:A, MATCH(C1030, 'Hub Users 226'!B:B, 0)),"")</f>
        <v>1610</v>
      </c>
      <c r="H1030" s="28">
        <v>1288.0</v>
      </c>
      <c r="I1030" s="28" t="s">
        <v>269</v>
      </c>
      <c r="J1030" s="28" t="s">
        <v>11105</v>
      </c>
      <c r="K1030" s="28" t="s">
        <v>5177</v>
      </c>
      <c r="L1030" s="28" t="s">
        <v>5165</v>
      </c>
      <c r="M1030" s="56" t="s">
        <v>11768</v>
      </c>
      <c r="N1030" s="59">
        <v>44845.75208333333</v>
      </c>
      <c r="O1030" s="58">
        <v>38408.0</v>
      </c>
      <c r="P1030" s="28">
        <f t="shared" si="31"/>
        <v>21</v>
      </c>
      <c r="Q1030" s="28" t="s">
        <v>11769</v>
      </c>
      <c r="R1030" s="28" t="s">
        <v>11770</v>
      </c>
      <c r="S1030" s="28">
        <v>13.0</v>
      </c>
      <c r="T1030" s="28">
        <v>31.0</v>
      </c>
      <c r="U1030" s="28">
        <v>72.0</v>
      </c>
      <c r="V1030" s="28">
        <v>10.0</v>
      </c>
      <c r="W1030" s="28" t="s">
        <v>271</v>
      </c>
      <c r="X1030" s="28" t="s">
        <v>272</v>
      </c>
      <c r="Y1030" s="28" t="s">
        <v>11771</v>
      </c>
      <c r="Z1030" s="28" t="s">
        <v>5341</v>
      </c>
      <c r="AA1030" s="28" t="s">
        <v>1085</v>
      </c>
      <c r="AB1030" s="28">
        <v>10.0</v>
      </c>
      <c r="AC1030" s="28" t="s">
        <v>25</v>
      </c>
      <c r="AD1030" s="23"/>
      <c r="AE1030" s="28" t="s">
        <v>15</v>
      </c>
      <c r="AF1030" s="23" t="str">
        <f>IFERROR(__xludf.DUMMYFUNCTION("TEXTJOIN("", "", TRUE,
  FILTER(Champions!C:C,
    ISNUMBER(SEARCH(C1030, Champions!W:W))
  )
)"),"Kunal Jani, Mikey Bedney, Robert Wadams")</f>
        <v>Kunal Jani, Mikey Bedney, Robert Wadams</v>
      </c>
      <c r="AG1030" s="26" t="s">
        <v>5342</v>
      </c>
      <c r="AH1030" s="23" t="str">
        <f>IFERROR(__xludf.DUMMYFUNCTION("IF(
ISNUMBER(MATCH(
C1030,
IMPORTRANGE(""https://docs.google.com/spreadsheets/d/1yTh1ELC33JHYOeEdgIiEclxPRyh0zOKtlawDltfUay8"",""'Interns'!A:A""),
0
)),
""Outreach Conducted"",
"""")"),"")</f>
        <v/>
      </c>
      <c r="AI1030" s="23"/>
      <c r="AJ1030" s="23"/>
      <c r="AK1030" s="23" t="str">
        <f>IFERROR(__xludf.DUMMYFUNCTION("XLOOKUP(C1030, 
   IMPORTRANGE(""1RdEdgHYrZ33LJ7RUHj_h-qkAFL92bcVjtIdVa-UlsCw"", ""Interns!D:D""), 
   IMPORTRANGE(""1RdEdgHYrZ33LJ7RUHj_h-qkAFL92bcVjtIdVa-UlsCw"", ""Interns!M:M""), 
   ""Not Found"")"),"Contacted")</f>
        <v>Contacted</v>
      </c>
      <c r="AL1030" s="23" t="str">
        <f>IFERROR(__xludf.DUMMYFUNCTION("XLOOKUP(C1030, 
   IMPORTRANGE(""1RdEdgHYrZ33LJ7RUHj_h-qkAFL92bcVjtIdVa-UlsCw"", ""Interns!D:D""), 
   IMPORTRANGE(""1RdEdgHYrZ33LJ7RUHj_h-qkAFL92bcVjtIdVa-UlsCw"", ""Interns!N:N""), 
   ""Not Found"")"),"#Cheers4Careers")</f>
        <v>#Cheers4Careers</v>
      </c>
      <c r="AM1030" s="23" t="str">
        <f>IFERROR(__xludf.DUMMYFUNCTION("XLOOKUP(C1030, 
   IMPORTRANGE(""1RdEdgHYrZ33LJ7RUHj_h-qkAFL92bcVjtIdVa-UlsCw"", ""Interns!D:D""), 
   IMPORTRANGE(""1RdEdgHYrZ33LJ7RUHj_h-qkAFL92bcVjtIdVa-UlsCw"", ""Interns!O:O""), 
   ""Not Found"")"),"Texted on April 14 for #Cheers4Careers event")</f>
        <v>Texted on April 14 for #Cheers4Careers event</v>
      </c>
      <c r="AN1030" s="23"/>
      <c r="AO1030" s="23" t="s">
        <v>5175</v>
      </c>
      <c r="AP1030" s="28" t="s">
        <v>5182</v>
      </c>
      <c r="AQ1030" s="28" t="s">
        <v>11772</v>
      </c>
      <c r="AR1030" s="23" t="s">
        <v>11773</v>
      </c>
      <c r="AS1030" s="23"/>
      <c r="AT1030" s="23"/>
      <c r="AU1030" s="23"/>
      <c r="AV1030" s="23"/>
    </row>
    <row r="1031">
      <c r="A1031" s="28" t="s">
        <v>5161</v>
      </c>
      <c r="B1031" s="28" t="s">
        <v>5162</v>
      </c>
      <c r="C1031" s="23" t="str">
        <f t="shared" si="1"/>
        <v>Jishel Mendoza</v>
      </c>
      <c r="D1031" s="28" t="s">
        <v>11774</v>
      </c>
      <c r="E1031" s="28" t="s">
        <v>4503</v>
      </c>
      <c r="F1031" s="23">
        <f t="array" ref="F1031">IFERROR(
    INDEX('Hub Interns 226'!A:A, MATCH(C1031, 'Hub Interns 226'!B:B, 0)),"")</f>
        <v>1414</v>
      </c>
      <c r="G1031" s="23">
        <f t="array" ref="G1031">IFERROR(
    INDEX('Hub Users 226'!A:A, MATCH(C1031, 'Hub Users 226'!B:B, 0)),"")</f>
        <v>1972</v>
      </c>
      <c r="H1031" s="28">
        <v>1818.0</v>
      </c>
      <c r="I1031" s="28"/>
      <c r="J1031" s="28" t="s">
        <v>11105</v>
      </c>
      <c r="K1031" s="28" t="s">
        <v>5177</v>
      </c>
      <c r="L1031" s="28" t="s">
        <v>5196</v>
      </c>
      <c r="M1031" s="56" t="s">
        <v>11775</v>
      </c>
      <c r="N1031" s="57">
        <v>45386.674305555556</v>
      </c>
      <c r="O1031" s="58">
        <v>39281.0</v>
      </c>
      <c r="P1031" s="28">
        <f t="shared" si="31"/>
        <v>18</v>
      </c>
      <c r="Q1031" s="28" t="s">
        <v>240</v>
      </c>
      <c r="R1031" s="28" t="s">
        <v>10458</v>
      </c>
      <c r="S1031" s="28">
        <v>13.0</v>
      </c>
      <c r="T1031" s="28">
        <v>30.0</v>
      </c>
      <c r="U1031" s="28">
        <v>70.0</v>
      </c>
      <c r="V1031" s="28">
        <v>9.0</v>
      </c>
      <c r="W1031" s="28" t="s">
        <v>271</v>
      </c>
      <c r="X1031" s="28" t="s">
        <v>272</v>
      </c>
      <c r="Y1031" s="23"/>
      <c r="Z1031" s="28" t="s">
        <v>6876</v>
      </c>
      <c r="AA1031" s="28" t="s">
        <v>6863</v>
      </c>
      <c r="AB1031" s="28">
        <v>9.0</v>
      </c>
      <c r="AC1031" s="28" t="s">
        <v>27</v>
      </c>
      <c r="AD1031" s="23"/>
      <c r="AE1031" s="28" t="s">
        <v>18</v>
      </c>
      <c r="AF1031" s="23"/>
      <c r="AG1031" s="23"/>
      <c r="AH1031" s="23" t="str">
        <f>IFERROR(__xludf.DUMMYFUNCTION("IF(
ISNUMBER(MATCH(
C1031,
IMPORTRANGE(""https://docs.google.com/spreadsheets/d/1yTh1ELC33JHYOeEdgIiEclxPRyh0zOKtlawDltfUay8"",""'Interns'!A:A""),
0
)),
""Outreach Conducted"",
"""")"),"")</f>
        <v/>
      </c>
      <c r="AI1031" s="23"/>
      <c r="AJ1031" s="23"/>
      <c r="AK1031" s="23" t="str">
        <f>IFERROR(__xludf.DUMMYFUNCTION("XLOOKUP(C1031, 
   IMPORTRANGE(""1RdEdgHYrZ33LJ7RUHj_h-qkAFL92bcVjtIdVa-UlsCw"", ""Interns!D:D""), 
   IMPORTRANGE(""1RdEdgHYrZ33LJ7RUHj_h-qkAFL92bcVjtIdVa-UlsCw"", ""Interns!M:M""), 
   ""Not Found"")"),"Contacted")</f>
        <v>Contacted</v>
      </c>
      <c r="AL1031" s="23" t="str">
        <f>IFERROR(__xludf.DUMMYFUNCTION("XLOOKUP(C1031, 
   IMPORTRANGE(""1RdEdgHYrZ33LJ7RUHj_h-qkAFL92bcVjtIdVa-UlsCw"", ""Interns!D:D""), 
   IMPORTRANGE(""1RdEdgHYrZ33LJ7RUHj_h-qkAFL92bcVjtIdVa-UlsCw"", ""Interns!N:N""), 
   ""Not Found"")"),"#Cheers4Careers")</f>
        <v>#Cheers4Careers</v>
      </c>
      <c r="AM1031" s="23" t="str">
        <f>IFERROR(__xludf.DUMMYFUNCTION("XLOOKUP(C1031, 
   IMPORTRANGE(""1RdEdgHYrZ33LJ7RUHj_h-qkAFL92bcVjtIdVa-UlsCw"", ""Interns!D:D""), 
   IMPORTRANGE(""1RdEdgHYrZ33LJ7RUHj_h-qkAFL92bcVjtIdVa-UlsCw"", ""Interns!O:O""), 
   ""Not Found"")"),"Hetal reached out March 27 for March #Cheers4 Careers")</f>
        <v>Hetal reached out March 27 for March #Cheers4 Careers</v>
      </c>
      <c r="AN1031" s="23"/>
      <c r="AO1031" s="23" t="s">
        <v>9685</v>
      </c>
      <c r="AP1031" s="28" t="s">
        <v>11776</v>
      </c>
      <c r="AQ1031" s="28" t="s">
        <v>9687</v>
      </c>
      <c r="AR1031" s="23">
        <v>2.12694602E9</v>
      </c>
      <c r="AS1031" s="23"/>
      <c r="AT1031" s="23"/>
      <c r="AU1031" s="23"/>
      <c r="AV1031" s="23"/>
    </row>
    <row r="1032">
      <c r="A1032" s="28" t="s">
        <v>5161</v>
      </c>
      <c r="B1032" s="28" t="s">
        <v>5162</v>
      </c>
      <c r="C1032" s="23" t="str">
        <f t="shared" si="1"/>
        <v>Leydy Pinzon</v>
      </c>
      <c r="D1032" s="22" t="s">
        <v>11777</v>
      </c>
      <c r="E1032" s="22" t="s">
        <v>6573</v>
      </c>
      <c r="F1032" s="23"/>
      <c r="G1032" s="23"/>
      <c r="H1032" s="22">
        <v>1979.0</v>
      </c>
      <c r="I1032" s="28"/>
      <c r="J1032" s="28" t="s">
        <v>11105</v>
      </c>
      <c r="K1032" s="28" t="s">
        <v>5177</v>
      </c>
      <c r="L1032" s="28" t="s">
        <v>5196</v>
      </c>
      <c r="M1032" s="29" t="s">
        <v>11778</v>
      </c>
      <c r="N1032" s="61">
        <v>45632.50555555556</v>
      </c>
      <c r="O1032" s="25">
        <v>39466.0</v>
      </c>
      <c r="P1032" s="28">
        <f t="shared" si="31"/>
        <v>18</v>
      </c>
      <c r="Q1032" s="62" t="s">
        <v>240</v>
      </c>
      <c r="R1032" s="22" t="s">
        <v>10458</v>
      </c>
      <c r="S1032" s="28">
        <v>13.0</v>
      </c>
      <c r="T1032" s="28">
        <v>30.0</v>
      </c>
      <c r="U1032" s="28">
        <v>70.0</v>
      </c>
      <c r="V1032" s="28">
        <v>9.0</v>
      </c>
      <c r="W1032" s="23"/>
      <c r="X1032" s="23"/>
      <c r="Y1032" s="24"/>
      <c r="Z1032" s="22" t="s">
        <v>9625</v>
      </c>
      <c r="AA1032" s="28" t="s">
        <v>6863</v>
      </c>
      <c r="AB1032" s="28">
        <v>9.0</v>
      </c>
      <c r="AC1032" s="28" t="s">
        <v>27</v>
      </c>
      <c r="AD1032" s="23"/>
      <c r="AE1032" s="28" t="s">
        <v>19</v>
      </c>
      <c r="AF1032" s="23"/>
      <c r="AG1032" s="23"/>
      <c r="AH1032" s="23" t="str">
        <f>IFERROR(__xludf.DUMMYFUNCTION("IF(
ISNUMBER(MATCH(
C1032,
IMPORTRANGE(""https://docs.google.com/spreadsheets/d/1yTh1ELC33JHYOeEdgIiEclxPRyh0zOKtlawDltfUay8"",""'Interns'!A:A""),
0
)),
""Outreach Conducted"",
"""")"),"")</f>
        <v/>
      </c>
      <c r="AI1032" s="23"/>
      <c r="AJ1032" s="23"/>
      <c r="AK1032" s="23"/>
      <c r="AL1032" s="23" t="str">
        <f>IFERROR(__xludf.DUMMYFUNCTION("XLOOKUP(C1032, 
   IMPORTRANGE(""1RdEdgHYrZ33LJ7RUHj_h-qkAFL92bcVjtIdVa-UlsCw"", ""Interns!D:D""), 
   IMPORTRANGE(""1RdEdgHYrZ33LJ7RUHj_h-qkAFL92bcVjtIdVa-UlsCw"", ""Interns!N:N""), 
   ""Not Found"")"),"Not Found")</f>
        <v>Not Found</v>
      </c>
      <c r="AM1032" s="23" t="str">
        <f>IFERROR(__xludf.DUMMYFUNCTION("XLOOKUP(C1032, 
   IMPORTRANGE(""1RdEdgHYrZ33LJ7RUHj_h-qkAFL92bcVjtIdVa-UlsCw"", ""Interns!D:D""), 
   IMPORTRANGE(""1RdEdgHYrZ33LJ7RUHj_h-qkAFL92bcVjtIdVa-UlsCw"", ""Interns!O:O""), 
   ""Not Found"")"),"Not Found")</f>
        <v>Not Found</v>
      </c>
      <c r="AN1032" s="23"/>
      <c r="AO1032" s="23" t="s">
        <v>11779</v>
      </c>
      <c r="AP1032" s="28" t="s">
        <v>5240</v>
      </c>
      <c r="AQ1032" s="28" t="s">
        <v>11780</v>
      </c>
      <c r="AR1032" s="23">
        <v>6.463534124E9</v>
      </c>
      <c r="AS1032" s="23"/>
      <c r="AT1032" s="23"/>
      <c r="AU1032" s="23"/>
      <c r="AV1032" s="23"/>
    </row>
    <row r="1033">
      <c r="A1033" s="28" t="s">
        <v>5161</v>
      </c>
      <c r="B1033" s="28" t="s">
        <v>5162</v>
      </c>
      <c r="C1033" s="23" t="str">
        <f t="shared" si="1"/>
        <v>Melany Lopez</v>
      </c>
      <c r="D1033" s="28" t="s">
        <v>8984</v>
      </c>
      <c r="E1033" s="28" t="s">
        <v>2778</v>
      </c>
      <c r="F1033" s="23">
        <f t="array" ref="F1033">IFERROR(
    INDEX('Hub Interns 226'!A:A, MATCH("Melany Alcala Lopez", 'Hub Interns 226'!B:B, 0)),"")</f>
        <v>97</v>
      </c>
      <c r="G1033" s="23">
        <f t="array" ref="G1033">IFERROR(
    INDEX('Hub Users 226'!A:A, MATCH("Melany Alcala Lopez", 'Hub Users 226'!B:B, 0)),"")</f>
        <v>530</v>
      </c>
      <c r="H1033" s="28">
        <v>1463.0</v>
      </c>
      <c r="I1033" s="28" t="s">
        <v>785</v>
      </c>
      <c r="J1033" s="28" t="s">
        <v>11105</v>
      </c>
      <c r="K1033" s="28" t="s">
        <v>5177</v>
      </c>
      <c r="L1033" s="28" t="s">
        <v>5196</v>
      </c>
      <c r="M1033" s="56" t="s">
        <v>11781</v>
      </c>
      <c r="N1033" s="57">
        <v>44935.65416666667</v>
      </c>
      <c r="O1033" s="58">
        <v>38954.0</v>
      </c>
      <c r="P1033" s="28">
        <f t="shared" si="31"/>
        <v>19</v>
      </c>
      <c r="Q1033" s="28" t="s">
        <v>11782</v>
      </c>
      <c r="R1033" s="28" t="s">
        <v>11783</v>
      </c>
      <c r="S1033" s="28">
        <v>11.0</v>
      </c>
      <c r="T1033" s="28">
        <v>17.0</v>
      </c>
      <c r="U1033" s="28">
        <v>49.0</v>
      </c>
      <c r="V1033" s="28">
        <v>26.0</v>
      </c>
      <c r="W1033" s="28" t="s">
        <v>294</v>
      </c>
      <c r="X1033" s="28" t="s">
        <v>272</v>
      </c>
      <c r="Y1033" s="28" t="s">
        <v>11784</v>
      </c>
      <c r="Z1033" s="28" t="s">
        <v>5259</v>
      </c>
      <c r="AA1033" s="28" t="s">
        <v>704</v>
      </c>
      <c r="AB1033" s="28">
        <v>2.0</v>
      </c>
      <c r="AC1033" s="28" t="s">
        <v>25</v>
      </c>
      <c r="AD1033" s="23"/>
      <c r="AE1033" s="28" t="s">
        <v>15</v>
      </c>
      <c r="AF1033" s="23" t="str">
        <f>IFERROR(__xludf.DUMMYFUNCTION("TEXTJOIN("", "", TRUE,
  FILTER(Champions!C:C,
    ISNUMBER(SEARCH(C1033, Champions!W:W))
  )
)"),"Jennifer Nguyen, Prithvi Mattur")</f>
        <v>Jennifer Nguyen, Prithvi Mattur</v>
      </c>
      <c r="AG1033" s="23"/>
      <c r="AH1033" s="23" t="str">
        <f>IFERROR(__xludf.DUMMYFUNCTION("IF(
ISNUMBER(MATCH(
C1033,
IMPORTRANGE(""https://docs.google.com/spreadsheets/d/1yTh1ELC33JHYOeEdgIiEclxPRyh0zOKtlawDltfUay8"",""'Interns'!A:A""),
0
)),
""Outreach Conducted"",
"""")"),"")</f>
        <v/>
      </c>
      <c r="AI1033" s="23"/>
      <c r="AJ1033" s="23"/>
      <c r="AK1033" s="23" t="str">
        <f>IFERROR(__xludf.DUMMYFUNCTION("XLOOKUP(C1033, 
   IMPORTRANGE(""1RdEdgHYrZ33LJ7RUHj_h-qkAFL92bcVjtIdVa-UlsCw"", ""Interns!D:D""), 
   IMPORTRANGE(""1RdEdgHYrZ33LJ7RUHj_h-qkAFL92bcVjtIdVa-UlsCw"", ""Interns!M:M""), 
   ""Not Found"")"),"")</f>
        <v/>
      </c>
      <c r="AL1033" s="23" t="str">
        <f>IFERROR(__xludf.DUMMYFUNCTION("XLOOKUP(C1033, 
   IMPORTRANGE(""1RdEdgHYrZ33LJ7RUHj_h-qkAFL92bcVjtIdVa-UlsCw"", ""Interns!D:D""), 
   IMPORTRANGE(""1RdEdgHYrZ33LJ7RUHj_h-qkAFL92bcVjtIdVa-UlsCw"", ""Interns!N:N""), 
   ""Not Found"")"),"")</f>
        <v/>
      </c>
      <c r="AM1033" s="23" t="str">
        <f>IFERROR(__xludf.DUMMYFUNCTION("XLOOKUP(C1033, 
   IMPORTRANGE(""1RdEdgHYrZ33LJ7RUHj_h-qkAFL92bcVjtIdVa-UlsCw"", ""Interns!D:D""), 
   IMPORTRANGE(""1RdEdgHYrZ33LJ7RUHj_h-qkAFL92bcVjtIdVa-UlsCw"", ""Interns!O:O""), 
   ""Not Found"")"),"")</f>
        <v/>
      </c>
      <c r="AN1033" s="23"/>
      <c r="AO1033" s="23" t="s">
        <v>11785</v>
      </c>
      <c r="AP1033" s="28" t="s">
        <v>5182</v>
      </c>
      <c r="AQ1033" s="28" t="s">
        <v>11786</v>
      </c>
      <c r="AR1033" s="23" t="s">
        <v>11787</v>
      </c>
      <c r="AS1033" s="23"/>
      <c r="AT1033" s="23"/>
      <c r="AU1033" s="23"/>
      <c r="AV1033" s="23"/>
    </row>
    <row r="1034">
      <c r="A1034" s="28" t="s">
        <v>5161</v>
      </c>
      <c r="B1034" s="28" t="s">
        <v>5162</v>
      </c>
      <c r="C1034" s="23" t="str">
        <f t="shared" si="1"/>
        <v>Maria Jose Caprio</v>
      </c>
      <c r="D1034" s="28" t="s">
        <v>2308</v>
      </c>
      <c r="E1034" s="28" t="s">
        <v>11788</v>
      </c>
      <c r="F1034" s="23">
        <f t="array" ref="F1034">IFERROR(
    INDEX('Hub Interns 226'!A:A, MATCH(C1034, 'Hub Interns 226'!B:B, 0)),"")</f>
        <v>96</v>
      </c>
      <c r="G1034" s="23">
        <f t="array" ref="G1034">IFERROR(
    INDEX('Hub Users 226'!A:A, MATCH(C1034, 'Hub Users 226'!B:B, 0)),"")</f>
        <v>529</v>
      </c>
      <c r="H1034" s="28">
        <v>1150.0</v>
      </c>
      <c r="I1034" s="28"/>
      <c r="J1034" s="28" t="s">
        <v>2388</v>
      </c>
      <c r="K1034" s="28" t="s">
        <v>5463</v>
      </c>
      <c r="L1034" s="28" t="s">
        <v>5196</v>
      </c>
      <c r="M1034" s="56" t="s">
        <v>11789</v>
      </c>
      <c r="N1034" s="57">
        <v>44749.569444444445</v>
      </c>
      <c r="O1034" s="58">
        <v>38579.0</v>
      </c>
      <c r="P1034" s="28">
        <f t="shared" si="31"/>
        <v>20</v>
      </c>
      <c r="Q1034" s="28" t="s">
        <v>240</v>
      </c>
      <c r="R1034" s="28" t="s">
        <v>11790</v>
      </c>
      <c r="S1034" s="28">
        <v>7.0</v>
      </c>
      <c r="T1034" s="28">
        <v>18.0</v>
      </c>
      <c r="U1034" s="28">
        <v>53.0</v>
      </c>
      <c r="V1034" s="28">
        <v>37.0</v>
      </c>
      <c r="W1034" s="28" t="s">
        <v>294</v>
      </c>
      <c r="X1034" s="28" t="s">
        <v>272</v>
      </c>
      <c r="Y1034" s="28" t="s">
        <v>11791</v>
      </c>
      <c r="Z1034" s="28" t="s">
        <v>5259</v>
      </c>
      <c r="AA1034" s="28" t="s">
        <v>704</v>
      </c>
      <c r="AB1034" s="28">
        <v>2.0</v>
      </c>
      <c r="AC1034" s="28" t="s">
        <v>23</v>
      </c>
      <c r="AD1034" s="23"/>
      <c r="AE1034" s="28" t="s">
        <v>15</v>
      </c>
      <c r="AF1034" s="23"/>
      <c r="AG1034" s="23"/>
      <c r="AH1034" s="23" t="str">
        <f>IFERROR(__xludf.DUMMYFUNCTION("IF(
ISNUMBER(MATCH(
C1034,
IMPORTRANGE(""https://docs.google.com/spreadsheets/d/1yTh1ELC33JHYOeEdgIiEclxPRyh0zOKtlawDltfUay8"",""'Interns'!A:A""),
0
)),
""Outreach Conducted"",
"""")"),"")</f>
        <v/>
      </c>
      <c r="AI1034" s="23"/>
      <c r="AJ1034" s="23"/>
      <c r="AK1034" s="23" t="str">
        <f>IFERROR(__xludf.DUMMYFUNCTION("XLOOKUP(C1034, 
   IMPORTRANGE(""1RdEdgHYrZ33LJ7RUHj_h-qkAFL92bcVjtIdVa-UlsCw"", ""Interns!D:D""), 
   IMPORTRANGE(""1RdEdgHYrZ33LJ7RUHj_h-qkAFL92bcVjtIdVa-UlsCw"", ""Interns!M:M""), 
   ""Not Found"")"),"Contacted")</f>
        <v>Contacted</v>
      </c>
      <c r="AL1034" s="23" t="str">
        <f>IFERROR(__xludf.DUMMYFUNCTION("XLOOKUP(C1034, 
   IMPORTRANGE(""1RdEdgHYrZ33LJ7RUHj_h-qkAFL92bcVjtIdVa-UlsCw"", ""Interns!D:D""), 
   IMPORTRANGE(""1RdEdgHYrZ33LJ7RUHj_h-qkAFL92bcVjtIdVa-UlsCw"", ""Interns!N:N""), 
   ""Not Found"")"),"#Cheers4Careers")</f>
        <v>#Cheers4Careers</v>
      </c>
      <c r="AM1034" s="23" t="str">
        <f>IFERROR(__xludf.DUMMYFUNCTION("XLOOKUP(C1034, 
   IMPORTRANGE(""1RdEdgHYrZ33LJ7RUHj_h-qkAFL92bcVjtIdVa-UlsCw"", ""Interns!D:D""), 
   IMPORTRANGE(""1RdEdgHYrZ33LJ7RUHj_h-qkAFL92bcVjtIdVa-UlsCw"", ""Interns!O:O""), 
   ""Not Found"")"),"Ousmane reached out by email 3/26 and reach out by text 3/28")</f>
        <v>Ousmane reached out by email 3/26 and reach out by text 3/28</v>
      </c>
      <c r="AN1034" s="23"/>
      <c r="AO1034" s="23" t="s">
        <v>11792</v>
      </c>
      <c r="AP1034" s="28" t="s">
        <v>5182</v>
      </c>
      <c r="AQ1034" s="28"/>
      <c r="AR1034" s="23"/>
      <c r="AS1034" s="23"/>
      <c r="AT1034" s="23"/>
      <c r="AU1034" s="23"/>
      <c r="AV1034" s="23"/>
    </row>
    <row r="1035">
      <c r="A1035" s="28" t="s">
        <v>5161</v>
      </c>
      <c r="B1035" s="28" t="s">
        <v>5162</v>
      </c>
      <c r="C1035" s="23" t="str">
        <f t="shared" si="1"/>
        <v>Rafat Galeana</v>
      </c>
      <c r="D1035" s="28" t="s">
        <v>11793</v>
      </c>
      <c r="E1035" s="28" t="s">
        <v>11794</v>
      </c>
      <c r="F1035" s="23">
        <f t="array" ref="F1035">IFERROR(
    INDEX('Hub Interns 226'!A:A, MATCH(C1035, 'Hub Interns 226'!B:B, 0)),"")</f>
        <v>13</v>
      </c>
      <c r="G1035" s="23">
        <f t="array" ref="G1035">IFERROR(
    INDEX('Hub Users 226'!A:A, MATCH(C1035, 'Hub Users 226'!B:B, 0)),"")</f>
        <v>24</v>
      </c>
      <c r="H1035" s="28">
        <v>1627.0</v>
      </c>
      <c r="I1035" s="28" t="s">
        <v>239</v>
      </c>
      <c r="J1035" s="28" t="s">
        <v>11105</v>
      </c>
      <c r="K1035" s="28" t="s">
        <v>5177</v>
      </c>
      <c r="L1035" s="28" t="s">
        <v>5165</v>
      </c>
      <c r="M1035" s="56" t="s">
        <v>11795</v>
      </c>
      <c r="N1035" s="57">
        <v>45104.58611111111</v>
      </c>
      <c r="O1035" s="58">
        <v>37728.0</v>
      </c>
      <c r="P1035" s="28">
        <f t="shared" si="31"/>
        <v>23</v>
      </c>
      <c r="Q1035" s="28" t="s">
        <v>11796</v>
      </c>
      <c r="R1035" s="28" t="s">
        <v>11797</v>
      </c>
      <c r="S1035" s="28">
        <v>15.0</v>
      </c>
      <c r="T1035" s="28">
        <v>32.0</v>
      </c>
      <c r="U1035" s="28">
        <v>79.0</v>
      </c>
      <c r="V1035" s="28">
        <v>17.0</v>
      </c>
      <c r="W1035" s="28" t="s">
        <v>859</v>
      </c>
      <c r="X1035" s="28" t="s">
        <v>272</v>
      </c>
      <c r="Y1035" s="28" t="s">
        <v>11798</v>
      </c>
      <c r="Z1035" s="28" t="s">
        <v>5208</v>
      </c>
      <c r="AA1035" s="28" t="s">
        <v>2141</v>
      </c>
      <c r="AB1035" s="28">
        <v>8.0</v>
      </c>
      <c r="AC1035" s="28" t="s">
        <v>25</v>
      </c>
      <c r="AD1035" s="23"/>
      <c r="AE1035" s="28" t="s">
        <v>18</v>
      </c>
      <c r="AF1035" s="23" t="str">
        <f>IFERROR(__xludf.DUMMYFUNCTION("TEXTJOIN("", "", TRUE,
  FILTER(Champions!C:C,
    ISNUMBER(SEARCH(C1035, Champions!W:W))
  )
)"),"AUGUSTO SALCEDO, Wendy Velasquez Ebanks")</f>
        <v>AUGUSTO SALCEDO, Wendy Velasquez Ebanks</v>
      </c>
      <c r="AG1035" s="26" t="s">
        <v>7320</v>
      </c>
      <c r="AH1035" s="23" t="str">
        <f>IFERROR(__xludf.DUMMYFUNCTION("IF(
ISNUMBER(MATCH(
C1035,
IMPORTRANGE(""https://docs.google.com/spreadsheets/d/1yTh1ELC33JHYOeEdgIiEclxPRyh0zOKtlawDltfUay8"",""'Interns'!A:A""),
0
)),
""Outreach Conducted"",
"""")"),"")</f>
        <v/>
      </c>
      <c r="AI1035" s="23"/>
      <c r="AJ1035" s="23"/>
      <c r="AK1035" s="23" t="str">
        <f>IFERROR(__xludf.DUMMYFUNCTION("XLOOKUP(C1035, 
   IMPORTRANGE(""1RdEdgHYrZ33LJ7RUHj_h-qkAFL92bcVjtIdVa-UlsCw"", ""Interns!D:D""), 
   IMPORTRANGE(""1RdEdgHYrZ33LJ7RUHj_h-qkAFL92bcVjtIdVa-UlsCw"", ""Interns!M:M""), 
   ""Not Found"")"),"Contacted")</f>
        <v>Contacted</v>
      </c>
      <c r="AL1035" s="23" t="str">
        <f>IFERROR(__xludf.DUMMYFUNCTION("XLOOKUP(C1035, 
   IMPORTRANGE(""1RdEdgHYrZ33LJ7RUHj_h-qkAFL92bcVjtIdVa-UlsCw"", ""Interns!D:D""), 
   IMPORTRANGE(""1RdEdgHYrZ33LJ7RUHj_h-qkAFL92bcVjtIdVa-UlsCw"", ""Interns!N:N""), 
   ""Not Found"")"),"#Cheers4Careers")</f>
        <v>#Cheers4Careers</v>
      </c>
      <c r="AM1035" s="23" t="str">
        <f>IFERROR(__xludf.DUMMYFUNCTION("XLOOKUP(C1035, 
   IMPORTRANGE(""1RdEdgHYrZ33LJ7RUHj_h-qkAFL92bcVjtIdVa-UlsCw"", ""Interns!D:D""), 
   IMPORTRANGE(""1RdEdgHYrZ33LJ7RUHj_h-qkAFL92bcVjtIdVa-UlsCw"", ""Interns!O:O""), 
   ""Not Found"")"),"Hetal reached out by email 3/27")</f>
        <v>Hetal reached out by email 3/27</v>
      </c>
      <c r="AN1035" s="23"/>
      <c r="AO1035" s="23" t="s">
        <v>11799</v>
      </c>
      <c r="AP1035" s="28" t="s">
        <v>5641</v>
      </c>
      <c r="AQ1035" s="28" t="s">
        <v>11798</v>
      </c>
      <c r="AR1035" s="23">
        <v>9.293095111E9</v>
      </c>
      <c r="AS1035" s="28" t="s">
        <v>11800</v>
      </c>
      <c r="AT1035" s="23"/>
      <c r="AU1035" s="23"/>
      <c r="AV1035" s="23"/>
    </row>
    <row r="1036">
      <c r="A1036" s="28" t="s">
        <v>5161</v>
      </c>
      <c r="B1036" s="28" t="s">
        <v>5162</v>
      </c>
      <c r="C1036" s="23" t="str">
        <f t="shared" si="1"/>
        <v>Alberto De leon lopez</v>
      </c>
      <c r="D1036" s="28" t="s">
        <v>11801</v>
      </c>
      <c r="E1036" s="28" t="s">
        <v>11802</v>
      </c>
      <c r="F1036" s="23">
        <f t="array" ref="F1036">IFERROR(
    INDEX('Hub Interns 226'!A:A, MATCH(C1036, 'Hub Interns 226'!B:B, 0)),"")</f>
        <v>1753</v>
      </c>
      <c r="G1036" s="23">
        <f t="array" ref="G1036">IFERROR(
    INDEX('Hub Users 226'!A:A, MATCH(C1036, 'Hub Users 226'!B:B, 0)),"")</f>
        <v>2583</v>
      </c>
      <c r="H1036" s="28">
        <v>1750.0</v>
      </c>
      <c r="I1036" s="28"/>
      <c r="J1036" s="28" t="s">
        <v>11105</v>
      </c>
      <c r="K1036" s="28" t="s">
        <v>5177</v>
      </c>
      <c r="L1036" s="28" t="s">
        <v>5165</v>
      </c>
      <c r="M1036" s="56" t="s">
        <v>11803</v>
      </c>
      <c r="N1036" s="57">
        <v>45267.43472222222</v>
      </c>
      <c r="O1036" s="58">
        <v>40345.0</v>
      </c>
      <c r="P1036" s="28">
        <f t="shared" si="31"/>
        <v>15</v>
      </c>
      <c r="Q1036" s="28" t="s">
        <v>240</v>
      </c>
      <c r="R1036" s="28" t="s">
        <v>9869</v>
      </c>
      <c r="S1036" s="28"/>
      <c r="T1036" s="28"/>
      <c r="U1036" s="28"/>
      <c r="V1036" s="28"/>
      <c r="W1036" s="23"/>
      <c r="X1036" s="23"/>
      <c r="Y1036" s="28" t="s">
        <v>5351</v>
      </c>
      <c r="Z1036" s="28" t="s">
        <v>5352</v>
      </c>
      <c r="AA1036" s="28" t="s">
        <v>5287</v>
      </c>
      <c r="AB1036" s="28">
        <v>26.0</v>
      </c>
      <c r="AC1036" s="28" t="s">
        <v>27</v>
      </c>
      <c r="AD1036" s="23"/>
      <c r="AE1036" s="28" t="s">
        <v>18</v>
      </c>
      <c r="AF1036" s="23"/>
      <c r="AG1036" s="23"/>
      <c r="AH1036" s="23" t="str">
        <f>IFERROR(__xludf.DUMMYFUNCTION("IF(
ISNUMBER(MATCH(
C1036,
IMPORTRANGE(""https://docs.google.com/spreadsheets/d/1yTh1ELC33JHYOeEdgIiEclxPRyh0zOKtlawDltfUay8"",""'Interns'!A:A""),
0
)),
""Outreach Conducted"",
"""")"),"")</f>
        <v/>
      </c>
      <c r="AI1036" s="23"/>
      <c r="AJ1036" s="23"/>
      <c r="AK1036" s="23" t="str">
        <f>IFERROR(__xludf.DUMMYFUNCTION("XLOOKUP(C1036, 
   IMPORTRANGE(""1RdEdgHYrZ33LJ7RUHj_h-qkAFL92bcVjtIdVa-UlsCw"", ""Interns!D:D""), 
   IMPORTRANGE(""1RdEdgHYrZ33LJ7RUHj_h-qkAFL92bcVjtIdVa-UlsCw"", ""Interns!M:M""), 
   ""Not Found"")"),"Contacted")</f>
        <v>Contacted</v>
      </c>
      <c r="AL1036" s="23" t="str">
        <f>IFERROR(__xludf.DUMMYFUNCTION("XLOOKUP(C1036, 
   IMPORTRANGE(""1RdEdgHYrZ33LJ7RUHj_h-qkAFL92bcVjtIdVa-UlsCw"", ""Interns!D:D""), 
   IMPORTRANGE(""1RdEdgHYrZ33LJ7RUHj_h-qkAFL92bcVjtIdVa-UlsCw"", ""Interns!N:N""), 
   ""Not Found"")"),"#Cheers4Careers")</f>
        <v>#Cheers4Careers</v>
      </c>
      <c r="AM1036" s="23" t="str">
        <f>IFERROR(__xludf.DUMMYFUNCTION("XLOOKUP(C1036, 
   IMPORTRANGE(""1RdEdgHYrZ33LJ7RUHj_h-qkAFL92bcVjtIdVa-UlsCw"", ""Interns!D:D""), 
   IMPORTRANGE(""1RdEdgHYrZ33LJ7RUHj_h-qkAFL92bcVjtIdVa-UlsCw"", ""Interns!O:O""), 
   ""Not Found"")"),"Hetal reached out by email 3/27")</f>
        <v>Hetal reached out by email 3/27</v>
      </c>
      <c r="AN1036" s="23"/>
      <c r="AO1036" s="23" t="s">
        <v>11804</v>
      </c>
      <c r="AP1036" s="28" t="s">
        <v>5182</v>
      </c>
      <c r="AQ1036" s="28"/>
      <c r="AR1036" s="23"/>
      <c r="AS1036" s="23"/>
      <c r="AT1036" s="23"/>
      <c r="AU1036" s="23"/>
      <c r="AV1036" s="23"/>
    </row>
    <row r="1037">
      <c r="A1037" s="28" t="s">
        <v>5161</v>
      </c>
      <c r="B1037" s="28" t="s">
        <v>5162</v>
      </c>
      <c r="C1037" s="23" t="str">
        <f t="shared" si="1"/>
        <v>Reina Guardado</v>
      </c>
      <c r="D1037" s="28" t="s">
        <v>3744</v>
      </c>
      <c r="E1037" s="28" t="s">
        <v>11805</v>
      </c>
      <c r="F1037" s="23" t="str">
        <f t="array" ref="F1037">IFERROR(
    INDEX('Hub Interns 226'!A:A, MATCH(C1037, 'Hub Interns 226'!B:B, 0)),"")</f>
        <v/>
      </c>
      <c r="G1037" s="23" t="str">
        <f t="array" ref="G1037">IFERROR(
    INDEX('Hub Users 226'!A:A, MATCH(C1037, 'Hub Users 226'!B:B, 0)),"")</f>
        <v/>
      </c>
      <c r="H1037" s="28">
        <v>46.0</v>
      </c>
      <c r="I1037" s="28" t="s">
        <v>1153</v>
      </c>
      <c r="J1037" s="28" t="s">
        <v>11105</v>
      </c>
      <c r="K1037" s="28" t="s">
        <v>5177</v>
      </c>
      <c r="L1037" s="28"/>
      <c r="M1037" s="56" t="s">
        <v>11806</v>
      </c>
      <c r="N1037" s="57">
        <v>43741.63055555556</v>
      </c>
      <c r="O1037" s="28">
        <v>15.0</v>
      </c>
      <c r="P1037" s="28">
        <f>YEAR(TODAY())-2018+O1037</f>
        <v>23</v>
      </c>
      <c r="Q1037" s="28" t="s">
        <v>240</v>
      </c>
      <c r="R1037" s="23"/>
      <c r="S1037" s="28"/>
      <c r="T1037" s="28"/>
      <c r="U1037" s="28"/>
      <c r="V1037" s="28"/>
      <c r="W1037" s="28" t="s">
        <v>2633</v>
      </c>
      <c r="X1037" s="28" t="s">
        <v>241</v>
      </c>
      <c r="Y1037" s="28" t="s">
        <v>11807</v>
      </c>
      <c r="Z1037" s="28" t="s">
        <v>5294</v>
      </c>
      <c r="AA1037" s="28" t="s">
        <v>5294</v>
      </c>
      <c r="AB1037" s="28" t="s">
        <v>5295</v>
      </c>
      <c r="AC1037" s="28" t="s">
        <v>25</v>
      </c>
      <c r="AD1037" s="23"/>
      <c r="AE1037" s="28" t="s">
        <v>4</v>
      </c>
      <c r="AF1037" s="23" t="str">
        <f>IFERROR(__xludf.DUMMYFUNCTION("TEXTJOIN("", "", TRUE,
  FILTER(Champions!C:C,
    ISNUMBER(SEARCH(C1037, Champions!W:W))
  )
)"),"Tania Lopez")</f>
        <v>Tania Lopez</v>
      </c>
      <c r="AG1037" s="23"/>
      <c r="AH1037" s="23" t="str">
        <f>IFERROR(__xludf.DUMMYFUNCTION("IF(
ISNUMBER(MATCH(
C1037,
IMPORTRANGE(""https://docs.google.com/spreadsheets/d/1yTh1ELC33JHYOeEdgIiEclxPRyh0zOKtlawDltfUay8"",""'Interns'!A:A""),
0
)),
""Outreach Conducted"",
"""")"),"")</f>
        <v/>
      </c>
      <c r="AI1037" s="23"/>
      <c r="AJ1037" s="23"/>
      <c r="AK1037" s="23" t="str">
        <f>IFERROR(__xludf.DUMMYFUNCTION("XLOOKUP(C1037, 
   IMPORTRANGE(""1RdEdgHYrZ33LJ7RUHj_h-qkAFL92bcVjtIdVa-UlsCw"", ""Interns!D:D""), 
   IMPORTRANGE(""1RdEdgHYrZ33LJ7RUHj_h-qkAFL92bcVjtIdVa-UlsCw"", ""Interns!M:M""), 
   ""Not Found"")"),"")</f>
        <v/>
      </c>
      <c r="AL1037" s="23" t="str">
        <f>IFERROR(__xludf.DUMMYFUNCTION("XLOOKUP(C1037, 
   IMPORTRANGE(""1RdEdgHYrZ33LJ7RUHj_h-qkAFL92bcVjtIdVa-UlsCw"", ""Interns!D:D""), 
   IMPORTRANGE(""1RdEdgHYrZ33LJ7RUHj_h-qkAFL92bcVjtIdVa-UlsCw"", ""Interns!N:N""), 
   ""Not Found"")"),"")</f>
        <v/>
      </c>
      <c r="AM1037" s="23" t="str">
        <f>IFERROR(__xludf.DUMMYFUNCTION("XLOOKUP(C1037, 
   IMPORTRANGE(""1RdEdgHYrZ33LJ7RUHj_h-qkAFL92bcVjtIdVa-UlsCw"", ""Interns!D:D""), 
   IMPORTRANGE(""1RdEdgHYrZ33LJ7RUHj_h-qkAFL92bcVjtIdVa-UlsCw"", ""Interns!O:O""), 
   ""Not Found"")"),"")</f>
        <v/>
      </c>
      <c r="AN1037" s="23"/>
      <c r="AO1037" s="23" t="s">
        <v>11808</v>
      </c>
      <c r="AP1037" s="28" t="s">
        <v>5182</v>
      </c>
      <c r="AQ1037" s="28" t="s">
        <v>11808</v>
      </c>
      <c r="AR1037" s="23" t="s">
        <v>11809</v>
      </c>
      <c r="AS1037" s="23"/>
      <c r="AT1037" s="23"/>
      <c r="AU1037" s="23"/>
      <c r="AV1037" s="23"/>
    </row>
    <row r="1038">
      <c r="A1038" s="28" t="s">
        <v>5202</v>
      </c>
      <c r="B1038" s="28" t="s">
        <v>5162</v>
      </c>
      <c r="C1038" s="23" t="str">
        <f t="shared" si="1"/>
        <v>Jevaughnie francis</v>
      </c>
      <c r="D1038" s="28" t="s">
        <v>11810</v>
      </c>
      <c r="E1038" s="28" t="s">
        <v>11811</v>
      </c>
      <c r="F1038" s="23">
        <f t="array" ref="F1038">IFERROR(
    INDEX('Hub Interns 226'!A:A, MATCH(C1038, 'Hub Interns 226'!B:B, 0)),"")</f>
        <v>463</v>
      </c>
      <c r="G1038" s="23">
        <f t="array" ref="G1038">IFERROR(
    INDEX('Hub Users 226'!A:A, MATCH(C1038, 'Hub Users 226'!B:B, 0)),"")</f>
        <v>896</v>
      </c>
      <c r="H1038" s="28">
        <v>1374.0</v>
      </c>
      <c r="I1038" s="28"/>
      <c r="J1038" s="28" t="s">
        <v>3791</v>
      </c>
      <c r="K1038" s="28" t="s">
        <v>5177</v>
      </c>
      <c r="L1038" s="28" t="s">
        <v>5165</v>
      </c>
      <c r="M1038" s="56" t="s">
        <v>11812</v>
      </c>
      <c r="N1038" s="59">
        <v>44860.46805555555</v>
      </c>
      <c r="O1038" s="58">
        <v>39507.0</v>
      </c>
      <c r="P1038" s="28">
        <f>DATEDIF(O1038, TODAY(), "Y")</f>
        <v>18</v>
      </c>
      <c r="Q1038" s="28" t="s">
        <v>240</v>
      </c>
      <c r="R1038" s="28" t="s">
        <v>11813</v>
      </c>
      <c r="S1038" s="28"/>
      <c r="T1038" s="28"/>
      <c r="U1038" s="28"/>
      <c r="V1038" s="28"/>
      <c r="W1038" s="28" t="s">
        <v>1173</v>
      </c>
      <c r="X1038" s="28" t="s">
        <v>272</v>
      </c>
      <c r="Y1038" s="28" t="s">
        <v>11814</v>
      </c>
      <c r="Z1038" s="28" t="s">
        <v>5332</v>
      </c>
      <c r="AA1038" s="28" t="s">
        <v>421</v>
      </c>
      <c r="AB1038" s="28">
        <v>31.0</v>
      </c>
      <c r="AC1038" s="28" t="s">
        <v>23</v>
      </c>
      <c r="AD1038" s="23"/>
      <c r="AE1038" s="28" t="s">
        <v>15</v>
      </c>
      <c r="AF1038" s="23"/>
      <c r="AG1038" s="23"/>
      <c r="AH1038" s="23" t="str">
        <f>IFERROR(__xludf.DUMMYFUNCTION("IF(
ISNUMBER(MATCH(
C1038,
IMPORTRANGE(""https://docs.google.com/spreadsheets/d/1yTh1ELC33JHYOeEdgIiEclxPRyh0zOKtlawDltfUay8"",""'Interns'!A:A""),
0
)),
""Outreach Conducted"",
"""")"),"")</f>
        <v/>
      </c>
      <c r="AI1038" s="23"/>
      <c r="AJ1038" s="23"/>
      <c r="AK1038" s="23" t="str">
        <f>IFERROR(__xludf.DUMMYFUNCTION("XLOOKUP(C1038, 
   IMPORTRANGE(""1RdEdgHYrZ33LJ7RUHj_h-qkAFL92bcVjtIdVa-UlsCw"", ""Interns!D:D""), 
   IMPORTRANGE(""1RdEdgHYrZ33LJ7RUHj_h-qkAFL92bcVjtIdVa-UlsCw"", ""Interns!M:M""), 
   ""Not Found"")"),"")</f>
        <v/>
      </c>
      <c r="AL1038" s="23" t="str">
        <f>IFERROR(__xludf.DUMMYFUNCTION("XLOOKUP(C1038, 
   IMPORTRANGE(""1RdEdgHYrZ33LJ7RUHj_h-qkAFL92bcVjtIdVa-UlsCw"", ""Interns!D:D""), 
   IMPORTRANGE(""1RdEdgHYrZ33LJ7RUHj_h-qkAFL92bcVjtIdVa-UlsCw"", ""Interns!N:N""), 
   ""Not Found"")"),"")</f>
        <v/>
      </c>
      <c r="AM1038" s="23" t="str">
        <f>IFERROR(__xludf.DUMMYFUNCTION("XLOOKUP(C1038, 
   IMPORTRANGE(""1RdEdgHYrZ33LJ7RUHj_h-qkAFL92bcVjtIdVa-UlsCw"", ""Interns!D:D""), 
   IMPORTRANGE(""1RdEdgHYrZ33LJ7RUHj_h-qkAFL92bcVjtIdVa-UlsCw"", ""Interns!O:O""), 
   ""Not Found"")"),"")</f>
        <v/>
      </c>
      <c r="AN1038" s="23"/>
      <c r="AO1038" s="23" t="s">
        <v>11815</v>
      </c>
      <c r="AP1038" s="28" t="s">
        <v>5191</v>
      </c>
      <c r="AQ1038" s="28"/>
      <c r="AR1038" s="23"/>
      <c r="AS1038" s="23"/>
      <c r="AT1038" s="23"/>
      <c r="AU1038" s="23"/>
      <c r="AV1038" s="23"/>
    </row>
    <row r="1039">
      <c r="A1039" s="28" t="s">
        <v>5161</v>
      </c>
      <c r="B1039" s="28" t="s">
        <v>5162</v>
      </c>
      <c r="C1039" s="23" t="str">
        <f t="shared" si="1"/>
        <v>Sheyla Linares</v>
      </c>
      <c r="D1039" s="28" t="s">
        <v>11816</v>
      </c>
      <c r="E1039" s="28" t="s">
        <v>11817</v>
      </c>
      <c r="F1039" s="23" t="str">
        <f t="array" ref="F1039">IFERROR(
    INDEX('Hub Interns 226'!A:A, MATCH(C1039, 'Hub Interns 226'!B:B, 0)),"")</f>
        <v/>
      </c>
      <c r="G1039" s="23" t="str">
        <f t="array" ref="G1039">IFERROR(
    INDEX('Hub Users 226'!A:A, MATCH(C1039, 'Hub Users 226'!B:B, 0)),"")</f>
        <v/>
      </c>
      <c r="H1039" s="28">
        <v>50.0</v>
      </c>
      <c r="I1039" s="28" t="s">
        <v>608</v>
      </c>
      <c r="J1039" s="28" t="s">
        <v>11105</v>
      </c>
      <c r="K1039" s="28" t="s">
        <v>5177</v>
      </c>
      <c r="L1039" s="28"/>
      <c r="M1039" s="23"/>
      <c r="N1039" s="57">
        <v>43741.63125</v>
      </c>
      <c r="O1039" s="58"/>
      <c r="P1039" s="28"/>
      <c r="Q1039" s="28" t="s">
        <v>11818</v>
      </c>
      <c r="R1039" s="23"/>
      <c r="S1039" s="28"/>
      <c r="T1039" s="28"/>
      <c r="U1039" s="28"/>
      <c r="V1039" s="28"/>
      <c r="W1039" s="28" t="s">
        <v>2633</v>
      </c>
      <c r="X1039" s="28" t="s">
        <v>241</v>
      </c>
      <c r="Y1039" s="28" t="s">
        <v>11819</v>
      </c>
      <c r="Z1039" s="28" t="s">
        <v>5294</v>
      </c>
      <c r="AA1039" s="28" t="s">
        <v>5294</v>
      </c>
      <c r="AB1039" s="28" t="s">
        <v>5295</v>
      </c>
      <c r="AC1039" s="28" t="s">
        <v>25</v>
      </c>
      <c r="AD1039" s="23"/>
      <c r="AE1039" s="28" t="s">
        <v>4</v>
      </c>
      <c r="AF1039" s="23" t="str">
        <f>IFERROR(__xludf.DUMMYFUNCTION("TEXTJOIN("", "", TRUE,
  FILTER(Champions!C:C,
    ISNUMBER(SEARCH(C1039, Champions!W:W))
  )
)"),"Tiffany Suarez")</f>
        <v>Tiffany Suarez</v>
      </c>
      <c r="AG1039" s="23"/>
      <c r="AH1039" s="23" t="str">
        <f>IFERROR(__xludf.DUMMYFUNCTION("IF(
ISNUMBER(MATCH(
C1039,
IMPORTRANGE(""https://docs.google.com/spreadsheets/d/1yTh1ELC33JHYOeEdgIiEclxPRyh0zOKtlawDltfUay8"",""'Interns'!A:A""),
0
)),
""Outreach Conducted"",
"""")"),"")</f>
        <v/>
      </c>
      <c r="AI1039" s="23"/>
      <c r="AJ1039" s="23"/>
      <c r="AK1039" s="23" t="str">
        <f>IFERROR(__xludf.DUMMYFUNCTION("XLOOKUP(C1039, 
   IMPORTRANGE(""1RdEdgHYrZ33LJ7RUHj_h-qkAFL92bcVjtIdVa-UlsCw"", ""Interns!D:D""), 
   IMPORTRANGE(""1RdEdgHYrZ33LJ7RUHj_h-qkAFL92bcVjtIdVa-UlsCw"", ""Interns!M:M""), 
   ""Not Found"")"),"")</f>
        <v/>
      </c>
      <c r="AL1039" s="23" t="str">
        <f>IFERROR(__xludf.DUMMYFUNCTION("XLOOKUP(C1039, 
   IMPORTRANGE(""1RdEdgHYrZ33LJ7RUHj_h-qkAFL92bcVjtIdVa-UlsCw"", ""Interns!D:D""), 
   IMPORTRANGE(""1RdEdgHYrZ33LJ7RUHj_h-qkAFL92bcVjtIdVa-UlsCw"", ""Interns!N:N""), 
   ""Not Found"")"),"")</f>
        <v/>
      </c>
      <c r="AM1039" s="23" t="str">
        <f>IFERROR(__xludf.DUMMYFUNCTION("XLOOKUP(C1039, 
   IMPORTRANGE(""1RdEdgHYrZ33LJ7RUHj_h-qkAFL92bcVjtIdVa-UlsCw"", ""Interns!D:D""), 
   IMPORTRANGE(""1RdEdgHYrZ33LJ7RUHj_h-qkAFL92bcVjtIdVa-UlsCw"", ""Interns!O:O""), 
   ""Not Found"")"),"")</f>
        <v/>
      </c>
      <c r="AN1039" s="23"/>
      <c r="AO1039" s="23" t="s">
        <v>11820</v>
      </c>
      <c r="AP1039" s="28" t="s">
        <v>5182</v>
      </c>
      <c r="AQ1039" s="28" t="s">
        <v>11820</v>
      </c>
      <c r="AR1039" s="23" t="s">
        <v>11821</v>
      </c>
      <c r="AS1039" s="23"/>
      <c r="AT1039" s="23"/>
      <c r="AU1039" s="23"/>
      <c r="AV1039" s="23"/>
    </row>
    <row r="1040">
      <c r="A1040" s="28" t="s">
        <v>5161</v>
      </c>
      <c r="B1040" s="28" t="s">
        <v>5162</v>
      </c>
      <c r="C1040" s="23" t="str">
        <f t="shared" si="1"/>
        <v>Jhoana Carrillo</v>
      </c>
      <c r="D1040" s="28" t="s">
        <v>11104</v>
      </c>
      <c r="E1040" s="28" t="s">
        <v>11822</v>
      </c>
      <c r="F1040" s="23" t="str">
        <f t="array" ref="F1040">IFERROR(
    INDEX('Hub Interns 226'!A:A, MATCH(C1040, 'Hub Interns 226'!B:B, 0)),"")</f>
        <v/>
      </c>
      <c r="G1040" s="23">
        <f t="array" ref="G1040">IFERROR(
    INDEX('Hub Users 226'!A:A, MATCH(C1040, 'Hub Users 226'!B:B, 0)),"")</f>
        <v>1824</v>
      </c>
      <c r="H1040" s="28">
        <v>1711.0</v>
      </c>
      <c r="I1040" s="28" t="s">
        <v>290</v>
      </c>
      <c r="J1040" s="28" t="s">
        <v>11823</v>
      </c>
      <c r="K1040" s="28" t="s">
        <v>5177</v>
      </c>
      <c r="L1040" s="28" t="s">
        <v>5196</v>
      </c>
      <c r="M1040" s="56" t="s">
        <v>11824</v>
      </c>
      <c r="N1040" s="59">
        <v>45250.99652777778</v>
      </c>
      <c r="O1040" s="58">
        <v>40331.0</v>
      </c>
      <c r="P1040" s="28">
        <f t="shared" ref="P1040:P1168" si="32">DATEDIF(O1040, TODAY(), "Y")</f>
        <v>15</v>
      </c>
      <c r="Q1040" s="28" t="s">
        <v>240</v>
      </c>
      <c r="R1040" s="28" t="s">
        <v>11825</v>
      </c>
      <c r="S1040" s="60">
        <v>6.0</v>
      </c>
      <c r="T1040" s="60">
        <v>12.0</v>
      </c>
      <c r="U1040" s="60">
        <v>30.0</v>
      </c>
      <c r="V1040" s="28">
        <v>30.0</v>
      </c>
      <c r="W1040" s="28" t="s">
        <v>1173</v>
      </c>
      <c r="X1040" s="28" t="s">
        <v>272</v>
      </c>
      <c r="Y1040" s="28" t="s">
        <v>8135</v>
      </c>
      <c r="Z1040" s="28" t="s">
        <v>5170</v>
      </c>
      <c r="AA1040" s="28" t="s">
        <v>5171</v>
      </c>
      <c r="AB1040" s="28">
        <v>30.0</v>
      </c>
      <c r="AC1040" s="28" t="s">
        <v>23</v>
      </c>
      <c r="AD1040" s="28" t="s">
        <v>101</v>
      </c>
      <c r="AE1040" s="28" t="s">
        <v>18</v>
      </c>
      <c r="AF1040" s="23"/>
      <c r="AG1040" s="23"/>
      <c r="AH1040" s="23" t="str">
        <f>IFERROR(__xludf.DUMMYFUNCTION("IF(
ISNUMBER(MATCH(
C1040,
IMPORTRANGE(""https://docs.google.com/spreadsheets/d/1yTh1ELC33JHYOeEdgIiEclxPRyh0zOKtlawDltfUay8"",""'Interns'!A:A""),
0
)),
""Outreach Conducted"",
"""")"),"")</f>
        <v/>
      </c>
      <c r="AI1040" s="23"/>
      <c r="AJ1040" s="23"/>
      <c r="AK1040" s="23" t="str">
        <f>IFERROR(__xludf.DUMMYFUNCTION("XLOOKUP(C1040, 
   IMPORTRANGE(""1RdEdgHYrZ33LJ7RUHj_h-qkAFL92bcVjtIdVa-UlsCw"", ""Interns!D:D""), 
   IMPORTRANGE(""1RdEdgHYrZ33LJ7RUHj_h-qkAFL92bcVjtIdVa-UlsCw"", ""Interns!M:M""), 
   ""Not Found"")"),"Contacted")</f>
        <v>Contacted</v>
      </c>
      <c r="AL1040" s="23" t="str">
        <f>IFERROR(__xludf.DUMMYFUNCTION("XLOOKUP(C1040, 
   IMPORTRANGE(""1RdEdgHYrZ33LJ7RUHj_h-qkAFL92bcVjtIdVa-UlsCw"", ""Interns!D:D""), 
   IMPORTRANGE(""1RdEdgHYrZ33LJ7RUHj_h-qkAFL92bcVjtIdVa-UlsCw"", ""Interns!N:N""), 
   ""Not Found"")"),"#Cheers4Careers")</f>
        <v>#Cheers4Careers</v>
      </c>
      <c r="AM1040" s="23" t="str">
        <f>IFERROR(__xludf.DUMMYFUNCTION("XLOOKUP(C1040, 
   IMPORTRANGE(""1RdEdgHYrZ33LJ7RUHj_h-qkAFL92bcVjtIdVa-UlsCw"", ""Interns!D:D""), 
   IMPORTRANGE(""1RdEdgHYrZ33LJ7RUHj_h-qkAFL92bcVjtIdVa-UlsCw"", ""Interns!O:O""), 
   ""Not Found"")"),"Hetal reached out March 27 for March #Cheers4 Careers ")</f>
        <v>Hetal reached out March 27 for March #Cheers4 Careers </v>
      </c>
      <c r="AN1040" s="23"/>
      <c r="AO1040" s="23" t="s">
        <v>11826</v>
      </c>
      <c r="AP1040" s="28" t="s">
        <v>5182</v>
      </c>
      <c r="AQ1040" s="28" t="s">
        <v>11824</v>
      </c>
      <c r="AR1040" s="23" t="s">
        <v>8135</v>
      </c>
      <c r="AS1040" s="23"/>
      <c r="AT1040" s="23"/>
      <c r="AU1040" s="23"/>
      <c r="AV1040" s="23"/>
    </row>
    <row r="1041">
      <c r="A1041" s="28" t="s">
        <v>5161</v>
      </c>
      <c r="B1041" s="28" t="s">
        <v>5162</v>
      </c>
      <c r="C1041" s="23" t="str">
        <f t="shared" si="1"/>
        <v>Catalina Nunez De Caceres</v>
      </c>
      <c r="D1041" s="28" t="s">
        <v>11827</v>
      </c>
      <c r="E1041" s="28" t="s">
        <v>11828</v>
      </c>
      <c r="F1041" s="23">
        <f t="array" ref="F1041">IFERROR(
    INDEX('Hub Interns 226'!A:A, MATCH(C1041, 'Hub Interns 226'!B:B, 0)),"")</f>
        <v>342</v>
      </c>
      <c r="G1041" s="23">
        <f t="array" ref="G1041">IFERROR(
    INDEX('Hub Users 226'!A:A, MATCH(C1041, 'Hub Users 226'!B:B, 0)),"")</f>
        <v>775</v>
      </c>
      <c r="H1041" s="28">
        <v>311.0</v>
      </c>
      <c r="I1041" s="28" t="s">
        <v>107</v>
      </c>
      <c r="J1041" s="28" t="s">
        <v>11829</v>
      </c>
      <c r="K1041" s="28" t="s">
        <v>5177</v>
      </c>
      <c r="L1041" s="28" t="s">
        <v>5196</v>
      </c>
      <c r="M1041" s="56" t="s">
        <v>11830</v>
      </c>
      <c r="N1041" s="57">
        <v>44234.84930555556</v>
      </c>
      <c r="O1041" s="58">
        <v>37940.0</v>
      </c>
      <c r="P1041" s="28">
        <f t="shared" si="32"/>
        <v>22</v>
      </c>
      <c r="Q1041" s="28" t="s">
        <v>240</v>
      </c>
      <c r="R1041" s="28" t="s">
        <v>11831</v>
      </c>
      <c r="S1041" s="28">
        <v>14.0</v>
      </c>
      <c r="T1041" s="28">
        <v>34.0</v>
      </c>
      <c r="U1041" s="28">
        <v>82.0</v>
      </c>
      <c r="V1041" s="28">
        <v>13.0</v>
      </c>
      <c r="W1041" s="28" t="s">
        <v>859</v>
      </c>
      <c r="X1041" s="28" t="s">
        <v>272</v>
      </c>
      <c r="Y1041" s="28" t="s">
        <v>11832</v>
      </c>
      <c r="Z1041" s="28" t="s">
        <v>5310</v>
      </c>
      <c r="AA1041" s="28" t="s">
        <v>362</v>
      </c>
      <c r="AB1041" s="28">
        <v>16.0</v>
      </c>
      <c r="AC1041" s="28" t="s">
        <v>25</v>
      </c>
      <c r="AD1041" s="23"/>
      <c r="AE1041" s="28" t="s">
        <v>8</v>
      </c>
      <c r="AF1041" s="23" t="str">
        <f>IFERROR(__xludf.DUMMYFUNCTION("TEXTJOIN("", "", TRUE,
  FILTER(Champions!C:C,
    ISNUMBER(SEARCH(C1041, Champions!W:W))
  )
)"),"Carolina Chamorro, Chiemela Okwandu")</f>
        <v>Carolina Chamorro, Chiemela Okwandu</v>
      </c>
      <c r="AG1041" s="23"/>
      <c r="AH1041" s="23" t="str">
        <f>IFERROR(__xludf.DUMMYFUNCTION("IF(
ISNUMBER(MATCH(
C1041,
IMPORTRANGE(""https://docs.google.com/spreadsheets/d/1yTh1ELC33JHYOeEdgIiEclxPRyh0zOKtlawDltfUay8"",""'Interns'!A:A""),
0
)),
""Outreach Conducted"",
"""")"),"")</f>
        <v/>
      </c>
      <c r="AI1041" s="23"/>
      <c r="AJ1041" s="23"/>
      <c r="AK1041" s="23" t="str">
        <f>IFERROR(__xludf.DUMMYFUNCTION("XLOOKUP(C1041, 
   IMPORTRANGE(""1RdEdgHYrZ33LJ7RUHj_h-qkAFL92bcVjtIdVa-UlsCw"", ""Interns!D:D""), 
   IMPORTRANGE(""1RdEdgHYrZ33LJ7RUHj_h-qkAFL92bcVjtIdVa-UlsCw"", ""Interns!M:M""), 
   ""Not Found"")"),"")</f>
        <v/>
      </c>
      <c r="AL1041" s="23" t="str">
        <f>IFERROR(__xludf.DUMMYFUNCTION("XLOOKUP(C1041, 
   IMPORTRANGE(""1RdEdgHYrZ33LJ7RUHj_h-qkAFL92bcVjtIdVa-UlsCw"", ""Interns!D:D""), 
   IMPORTRANGE(""1RdEdgHYrZ33LJ7RUHj_h-qkAFL92bcVjtIdVa-UlsCw"", ""Interns!N:N""), 
   ""Not Found"")"),"")</f>
        <v/>
      </c>
      <c r="AM1041" s="23" t="str">
        <f>IFERROR(__xludf.DUMMYFUNCTION("XLOOKUP(C1041, 
   IMPORTRANGE(""1RdEdgHYrZ33LJ7RUHj_h-qkAFL92bcVjtIdVa-UlsCw"", ""Interns!D:D""), 
   IMPORTRANGE(""1RdEdgHYrZ33LJ7RUHj_h-qkAFL92bcVjtIdVa-UlsCw"", ""Interns!O:O""), 
   ""Not Found"")"),"")</f>
        <v/>
      </c>
      <c r="AN1041" s="23"/>
      <c r="AO1041" s="23" t="s">
        <v>11833</v>
      </c>
      <c r="AP1041" s="28" t="s">
        <v>5182</v>
      </c>
      <c r="AQ1041" s="28" t="s">
        <v>11834</v>
      </c>
      <c r="AR1041" s="23" t="s">
        <v>11835</v>
      </c>
      <c r="AS1041" s="23"/>
      <c r="AT1041" s="23"/>
      <c r="AU1041" s="23"/>
      <c r="AV1041" s="23"/>
    </row>
    <row r="1042">
      <c r="A1042" s="28" t="s">
        <v>5161</v>
      </c>
      <c r="B1042" s="28" t="s">
        <v>5162</v>
      </c>
      <c r="C1042" s="23" t="str">
        <f t="shared" si="1"/>
        <v>Aya Khoukhou</v>
      </c>
      <c r="D1042" s="22" t="s">
        <v>653</v>
      </c>
      <c r="E1042" s="22" t="s">
        <v>11836</v>
      </c>
      <c r="F1042" s="23"/>
      <c r="G1042" s="23"/>
      <c r="H1042" s="22">
        <v>1899.0</v>
      </c>
      <c r="I1042" s="28"/>
      <c r="J1042" s="28" t="s">
        <v>11837</v>
      </c>
      <c r="K1042" s="28" t="s">
        <v>5245</v>
      </c>
      <c r="L1042" s="28" t="s">
        <v>5196</v>
      </c>
      <c r="M1042" s="29" t="s">
        <v>11838</v>
      </c>
      <c r="N1042" s="61">
        <v>45845.59652777778</v>
      </c>
      <c r="O1042" s="25">
        <v>45845.0</v>
      </c>
      <c r="P1042" s="28">
        <f t="shared" si="32"/>
        <v>0</v>
      </c>
      <c r="Q1042" s="62" t="s">
        <v>11839</v>
      </c>
      <c r="R1042" s="22" t="s">
        <v>11840</v>
      </c>
      <c r="S1042" s="28">
        <v>11.0</v>
      </c>
      <c r="T1042" s="28">
        <v>23.0</v>
      </c>
      <c r="U1042" s="28">
        <v>61.0</v>
      </c>
      <c r="V1042" s="28">
        <v>49.0</v>
      </c>
      <c r="W1042" s="23"/>
      <c r="X1042" s="23"/>
      <c r="Y1042" s="22" t="s">
        <v>11841</v>
      </c>
      <c r="Z1042" s="22" t="s">
        <v>5822</v>
      </c>
      <c r="AA1042" s="28" t="s">
        <v>5822</v>
      </c>
      <c r="AB1042" s="28">
        <v>30.0</v>
      </c>
      <c r="AC1042" s="28" t="s">
        <v>27</v>
      </c>
      <c r="AD1042" s="23"/>
      <c r="AE1042" s="28" t="s">
        <v>20</v>
      </c>
      <c r="AF1042" s="23"/>
      <c r="AG1042" s="23"/>
      <c r="AH1042" s="23" t="str">
        <f>IFERROR(__xludf.DUMMYFUNCTION("IF(
ISNUMBER(MATCH(
C1042,
IMPORTRANGE(""https://docs.google.com/spreadsheets/d/1yTh1ELC33JHYOeEdgIiEclxPRyh0zOKtlawDltfUay8"",""'Interns'!A:A""),
0
)),
""Outreach Conducted"",
"""")"),"")</f>
        <v/>
      </c>
      <c r="AI1042" s="23"/>
      <c r="AJ1042" s="23"/>
      <c r="AK1042" s="23"/>
      <c r="AL1042" s="23" t="str">
        <f>IFERROR(__xludf.DUMMYFUNCTION("XLOOKUP(C1042, 
   IMPORTRANGE(""1RdEdgHYrZ33LJ7RUHj_h-qkAFL92bcVjtIdVa-UlsCw"", ""Interns!D:D""), 
   IMPORTRANGE(""1RdEdgHYrZ33LJ7RUHj_h-qkAFL92bcVjtIdVa-UlsCw"", ""Interns!N:N""), 
   ""Not Found"")"),"#Cheers4Careers")</f>
        <v>#Cheers4Careers</v>
      </c>
      <c r="AM1042" s="23" t="str">
        <f>IFERROR(__xludf.DUMMYFUNCTION("XLOOKUP(C1042, 
   IMPORTRANGE(""1RdEdgHYrZ33LJ7RUHj_h-qkAFL92bcVjtIdVa-UlsCw"", ""Interns!D:D""), 
   IMPORTRANGE(""1RdEdgHYrZ33LJ7RUHj_h-qkAFL92bcVjtIdVa-UlsCw"", ""Interns!O:O""), 
   ""Not Found"")"),"Hetal reached out March 27 for March #Cheers4 Careers ")</f>
        <v>Hetal reached out March 27 for March #Cheers4 Careers </v>
      </c>
      <c r="AN1042" s="23"/>
      <c r="AO1042" s="23" t="s">
        <v>11842</v>
      </c>
      <c r="AP1042" s="28" t="s">
        <v>5182</v>
      </c>
      <c r="AQ1042" s="28" t="s">
        <v>11843</v>
      </c>
      <c r="AR1042" s="23" t="s">
        <v>11844</v>
      </c>
      <c r="AS1042" s="23"/>
      <c r="AT1042" s="23"/>
      <c r="AU1042" s="23"/>
      <c r="AV1042" s="23"/>
    </row>
    <row r="1043">
      <c r="A1043" s="28" t="s">
        <v>5202</v>
      </c>
      <c r="B1043" s="28" t="s">
        <v>5162</v>
      </c>
      <c r="C1043" s="23" t="str">
        <f t="shared" si="1"/>
        <v>Dania Alshami</v>
      </c>
      <c r="D1043" s="28" t="s">
        <v>11845</v>
      </c>
      <c r="E1043" s="28" t="s">
        <v>11846</v>
      </c>
      <c r="F1043" s="23">
        <f t="array" ref="F1043">IFERROR(
    INDEX('Hub Interns 226'!A:A, MATCH(C1043, 'Hub Interns 226'!B:B, 0)),"")</f>
        <v>406</v>
      </c>
      <c r="G1043" s="23">
        <f t="array" ref="G1043">IFERROR(
    INDEX('Hub Users 226'!A:A, MATCH(C1043, 'Hub Users 226'!B:B, 0)),"")</f>
        <v>839</v>
      </c>
      <c r="H1043" s="28">
        <v>736.0</v>
      </c>
      <c r="I1043" s="28" t="s">
        <v>1235</v>
      </c>
      <c r="J1043" s="28" t="s">
        <v>9072</v>
      </c>
      <c r="K1043" s="28" t="s">
        <v>5186</v>
      </c>
      <c r="L1043" s="28" t="s">
        <v>5196</v>
      </c>
      <c r="M1043" s="56" t="s">
        <v>11847</v>
      </c>
      <c r="N1043" s="59">
        <v>44550.9625</v>
      </c>
      <c r="O1043" s="58">
        <v>38084.0</v>
      </c>
      <c r="P1043" s="28">
        <f t="shared" si="32"/>
        <v>22</v>
      </c>
      <c r="Q1043" s="28" t="s">
        <v>240</v>
      </c>
      <c r="R1043" s="28" t="s">
        <v>11848</v>
      </c>
      <c r="S1043" s="28"/>
      <c r="T1043" s="28"/>
      <c r="U1043" s="28"/>
      <c r="V1043" s="28"/>
      <c r="W1043" s="28" t="s">
        <v>380</v>
      </c>
      <c r="X1043" s="28" t="s">
        <v>381</v>
      </c>
      <c r="Y1043" s="28" t="s">
        <v>11849</v>
      </c>
      <c r="Z1043" s="28" t="s">
        <v>5272</v>
      </c>
      <c r="AA1043" s="28" t="s">
        <v>629</v>
      </c>
      <c r="AB1043" s="28" t="s">
        <v>5221</v>
      </c>
      <c r="AC1043" s="28" t="s">
        <v>25</v>
      </c>
      <c r="AD1043" s="23"/>
      <c r="AE1043" s="28" t="s">
        <v>10</v>
      </c>
      <c r="AF1043" s="23" t="str">
        <f>IFERROR(__xludf.DUMMYFUNCTION("TEXTJOIN("", "", TRUE,
  FILTER(Champions!C:C,
    ISNUMBER(SEARCH(C1043, Champions!W:W))
  )
)"),"Loic Uriel Nguoghia, Ryane Montanez")</f>
        <v>Loic Uriel Nguoghia, Ryane Montanez</v>
      </c>
      <c r="AG1043" s="23"/>
      <c r="AH1043" s="23" t="str">
        <f>IFERROR(__xludf.DUMMYFUNCTION("IF(
ISNUMBER(MATCH(
C1043,
IMPORTRANGE(""https://docs.google.com/spreadsheets/d/1yTh1ELC33JHYOeEdgIiEclxPRyh0zOKtlawDltfUay8"",""'Interns'!A:A""),
0
)),
""Outreach Conducted"",
"""")"),"")</f>
        <v/>
      </c>
      <c r="AI1043" s="23"/>
      <c r="AJ1043" s="23"/>
      <c r="AK1043" s="23" t="str">
        <f>IFERROR(__xludf.DUMMYFUNCTION("XLOOKUP(C1043, 
   IMPORTRANGE(""1RdEdgHYrZ33LJ7RUHj_h-qkAFL92bcVjtIdVa-UlsCw"", ""Interns!D:D""), 
   IMPORTRANGE(""1RdEdgHYrZ33LJ7RUHj_h-qkAFL92bcVjtIdVa-UlsCw"", ""Interns!M:M""), 
   ""Not Found"")"),"")</f>
        <v/>
      </c>
      <c r="AL1043" s="23" t="str">
        <f>IFERROR(__xludf.DUMMYFUNCTION("XLOOKUP(C1043, 
   IMPORTRANGE(""1RdEdgHYrZ33LJ7RUHj_h-qkAFL92bcVjtIdVa-UlsCw"", ""Interns!D:D""), 
   IMPORTRANGE(""1RdEdgHYrZ33LJ7RUHj_h-qkAFL92bcVjtIdVa-UlsCw"", ""Interns!N:N""), 
   ""Not Found"")"),"")</f>
        <v/>
      </c>
      <c r="AM1043" s="23" t="str">
        <f>IFERROR(__xludf.DUMMYFUNCTION("XLOOKUP(C1043, 
   IMPORTRANGE(""1RdEdgHYrZ33LJ7RUHj_h-qkAFL92bcVjtIdVa-UlsCw"", ""Interns!D:D""), 
   IMPORTRANGE(""1RdEdgHYrZ33LJ7RUHj_h-qkAFL92bcVjtIdVa-UlsCw"", ""Interns!O:O""), 
   ""Not Found"")"),"")</f>
        <v/>
      </c>
      <c r="AN1043" s="23"/>
      <c r="AO1043" s="23" t="s">
        <v>11850</v>
      </c>
      <c r="AP1043" s="28" t="s">
        <v>5182</v>
      </c>
      <c r="AQ1043" s="28" t="s">
        <v>11851</v>
      </c>
      <c r="AR1043" s="23" t="s">
        <v>11852</v>
      </c>
      <c r="AS1043" s="23"/>
      <c r="AT1043" s="23"/>
      <c r="AU1043" s="23"/>
      <c r="AV1043" s="23"/>
    </row>
    <row r="1044">
      <c r="A1044" s="28" t="s">
        <v>5161</v>
      </c>
      <c r="B1044" s="28" t="s">
        <v>5162</v>
      </c>
      <c r="C1044" s="23" t="str">
        <f t="shared" si="1"/>
        <v>Yasmine El himdi</v>
      </c>
      <c r="D1044" s="28" t="s">
        <v>11853</v>
      </c>
      <c r="E1044" s="28" t="s">
        <v>11854</v>
      </c>
      <c r="F1044" s="23">
        <f t="array" ref="F1044">IFERROR(
    INDEX('Hub Interns 226'!A:A, MATCH(C1044, 'Hub Interns 226'!B:B, 0)),"")</f>
        <v>1225</v>
      </c>
      <c r="G1044" s="23">
        <f t="array" ref="G1044">IFERROR(
    INDEX('Hub Users 226'!A:A, MATCH(C1044, 'Hub Users 226'!B:B, 0)),"")</f>
        <v>1658</v>
      </c>
      <c r="H1044" s="28">
        <v>702.0</v>
      </c>
      <c r="I1044" s="28" t="s">
        <v>290</v>
      </c>
      <c r="J1044" s="28" t="s">
        <v>11837</v>
      </c>
      <c r="K1044" s="28" t="s">
        <v>5245</v>
      </c>
      <c r="L1044" s="28" t="s">
        <v>5196</v>
      </c>
      <c r="M1044" s="56" t="s">
        <v>11855</v>
      </c>
      <c r="N1044" s="59">
        <v>44546.56597222222</v>
      </c>
      <c r="O1044" s="58">
        <v>38810.0</v>
      </c>
      <c r="P1044" s="28">
        <f t="shared" si="32"/>
        <v>20</v>
      </c>
      <c r="Q1044" s="28" t="s">
        <v>240</v>
      </c>
      <c r="R1044" s="28" t="s">
        <v>11856</v>
      </c>
      <c r="S1044" s="28">
        <v>9.0</v>
      </c>
      <c r="T1044" s="28">
        <v>20.0</v>
      </c>
      <c r="U1044" s="28">
        <v>42.0</v>
      </c>
      <c r="V1044" s="28">
        <v>40.0</v>
      </c>
      <c r="W1044" s="28" t="s">
        <v>294</v>
      </c>
      <c r="X1044" s="28" t="s">
        <v>272</v>
      </c>
      <c r="Y1044" s="28" t="s">
        <v>11857</v>
      </c>
      <c r="Z1044" s="28" t="s">
        <v>5386</v>
      </c>
      <c r="AA1044" s="28" t="s">
        <v>1887</v>
      </c>
      <c r="AB1044" s="28">
        <v>47.0</v>
      </c>
      <c r="AC1044" s="28" t="s">
        <v>25</v>
      </c>
      <c r="AD1044" s="23"/>
      <c r="AE1044" s="28" t="s">
        <v>10</v>
      </c>
      <c r="AF1044" s="23" t="str">
        <f>IFERROR(__xludf.DUMMYFUNCTION("TEXTJOIN("", "", TRUE,
  FILTER(Champions!C:C,
    ISNUMBER(SEARCH(C1044, Champions!W:W))
  )
)"),"Annie Camey Kuo, Maryana Ivlev")</f>
        <v>Annie Camey Kuo, Maryana Ivlev</v>
      </c>
      <c r="AG1044" s="23"/>
      <c r="AH1044" s="23" t="str">
        <f>IFERROR(__xludf.DUMMYFUNCTION("IF(
ISNUMBER(MATCH(
C1044,
IMPORTRANGE(""https://docs.google.com/spreadsheets/d/1yTh1ELC33JHYOeEdgIiEclxPRyh0zOKtlawDltfUay8"",""'Interns'!A:A""),
0
)),
""Outreach Conducted"",
"""")"),"")</f>
        <v/>
      </c>
      <c r="AI1044" s="23"/>
      <c r="AJ1044" s="23"/>
      <c r="AK1044" s="23" t="str">
        <f>IFERROR(__xludf.DUMMYFUNCTION("XLOOKUP(C1044, 
   IMPORTRANGE(""1RdEdgHYrZ33LJ7RUHj_h-qkAFL92bcVjtIdVa-UlsCw"", ""Interns!D:D""), 
   IMPORTRANGE(""1RdEdgHYrZ33LJ7RUHj_h-qkAFL92bcVjtIdVa-UlsCw"", ""Interns!M:M""), 
   ""Not Found"")"),"Contacted")</f>
        <v>Contacted</v>
      </c>
      <c r="AL1044" s="23" t="str">
        <f>IFERROR(__xludf.DUMMYFUNCTION("XLOOKUP(C1044, 
   IMPORTRANGE(""1RdEdgHYrZ33LJ7RUHj_h-qkAFL92bcVjtIdVa-UlsCw"", ""Interns!D:D""), 
   IMPORTRANGE(""1RdEdgHYrZ33LJ7RUHj_h-qkAFL92bcVjtIdVa-UlsCw"", ""Interns!N:N""), 
   ""Not Found"")"),"#Cheers4Careers")</f>
        <v>#Cheers4Careers</v>
      </c>
      <c r="AM1044" s="23" t="str">
        <f>IFERROR(__xludf.DUMMYFUNCTION("XLOOKUP(C1044, 
   IMPORTRANGE(""1RdEdgHYrZ33LJ7RUHj_h-qkAFL92bcVjtIdVa-UlsCw"", ""Interns!D:D""), 
   IMPORTRANGE(""1RdEdgHYrZ33LJ7RUHj_h-qkAFL92bcVjtIdVa-UlsCw"", ""Interns!O:O""), 
   ""Not Found"")"),"Hetal reached out by email 3/27")</f>
        <v>Hetal reached out by email 3/27</v>
      </c>
      <c r="AN1044" s="23"/>
      <c r="AO1044" s="23" t="s">
        <v>11858</v>
      </c>
      <c r="AP1044" s="28" t="s">
        <v>5191</v>
      </c>
      <c r="AQ1044" s="28" t="s">
        <v>11859</v>
      </c>
      <c r="AR1044" s="23" t="s">
        <v>11860</v>
      </c>
      <c r="AS1044" s="23"/>
      <c r="AT1044" s="23"/>
      <c r="AU1044" s="23"/>
      <c r="AV1044" s="23"/>
    </row>
    <row r="1045">
      <c r="A1045" s="28" t="s">
        <v>5161</v>
      </c>
      <c r="B1045" s="28" t="s">
        <v>5162</v>
      </c>
      <c r="C1045" s="23" t="str">
        <f t="shared" si="1"/>
        <v>Diego Dinardi</v>
      </c>
      <c r="D1045" s="28" t="s">
        <v>8097</v>
      </c>
      <c r="E1045" s="28" t="s">
        <v>11861</v>
      </c>
      <c r="F1045" s="23">
        <f t="array" ref="F1045">IFERROR(
    INDEX('Hub Interns 226'!A:A, MATCH(C1045, 'Hub Interns 226'!B:B, 0)),"")</f>
        <v>447</v>
      </c>
      <c r="G1045" s="23">
        <f t="array" ref="G1045">IFERROR(
    INDEX('Hub Users 226'!A:A, MATCH(C1045, 'Hub Users 226'!B:B, 0)),"")</f>
        <v>880</v>
      </c>
      <c r="H1045" s="28">
        <v>846.0</v>
      </c>
      <c r="I1045" s="28" t="s">
        <v>290</v>
      </c>
      <c r="J1045" s="28" t="s">
        <v>11862</v>
      </c>
      <c r="K1045" s="28" t="s">
        <v>5952</v>
      </c>
      <c r="L1045" s="28" t="s">
        <v>5165</v>
      </c>
      <c r="M1045" s="56" t="s">
        <v>11863</v>
      </c>
      <c r="N1045" s="57">
        <v>44585.36111111111</v>
      </c>
      <c r="O1045" s="58">
        <v>44582.0</v>
      </c>
      <c r="P1045" s="28">
        <f t="shared" si="32"/>
        <v>4</v>
      </c>
      <c r="Q1045" s="28" t="s">
        <v>240</v>
      </c>
      <c r="R1045" s="28" t="s">
        <v>11864</v>
      </c>
      <c r="S1045" s="28">
        <v>15.0</v>
      </c>
      <c r="T1045" s="28">
        <v>33.0</v>
      </c>
      <c r="U1045" s="28">
        <v>86.0</v>
      </c>
      <c r="V1045" s="28">
        <v>14.0</v>
      </c>
      <c r="W1045" s="28" t="s">
        <v>859</v>
      </c>
      <c r="X1045" s="28" t="s">
        <v>272</v>
      </c>
      <c r="Y1045" s="28" t="s">
        <v>11865</v>
      </c>
      <c r="Z1045" s="28" t="s">
        <v>5310</v>
      </c>
      <c r="AA1045" s="28" t="s">
        <v>362</v>
      </c>
      <c r="AB1045" s="28">
        <v>16.0</v>
      </c>
      <c r="AC1045" s="28" t="s">
        <v>25</v>
      </c>
      <c r="AD1045" s="23"/>
      <c r="AE1045" s="28" t="s">
        <v>10</v>
      </c>
      <c r="AF1045" s="23" t="str">
        <f>IFERROR(__xludf.DUMMYFUNCTION("TEXTJOIN("", "", TRUE,
  FILTER(Champions!C:C,
    ISNUMBER(SEARCH(C1045, Champions!W:W))
  )
)"),"Albert Rocco, Prithvi Mattur")</f>
        <v>Albert Rocco, Prithvi Mattur</v>
      </c>
      <c r="AG1045" s="23"/>
      <c r="AH1045" s="23" t="str">
        <f>IFERROR(__xludf.DUMMYFUNCTION("IF(
ISNUMBER(MATCH(
C1045,
IMPORTRANGE(""https://docs.google.com/spreadsheets/d/1yTh1ELC33JHYOeEdgIiEclxPRyh0zOKtlawDltfUay8"",""'Interns'!A:A""),
0
)),
""Outreach Conducted"",
"""")"),"")</f>
        <v/>
      </c>
      <c r="AI1045" s="23"/>
      <c r="AJ1045" s="23"/>
      <c r="AK1045" s="23" t="str">
        <f>IFERROR(__xludf.DUMMYFUNCTION("XLOOKUP(C1045, 
   IMPORTRANGE(""1RdEdgHYrZ33LJ7RUHj_h-qkAFL92bcVjtIdVa-UlsCw"", ""Interns!D:D""), 
   IMPORTRANGE(""1RdEdgHYrZ33LJ7RUHj_h-qkAFL92bcVjtIdVa-UlsCw"", ""Interns!M:M""), 
   ""Not Found"")"),"")</f>
        <v/>
      </c>
      <c r="AL1045" s="23" t="str">
        <f>IFERROR(__xludf.DUMMYFUNCTION("XLOOKUP(C1045, 
   IMPORTRANGE(""1RdEdgHYrZ33LJ7RUHj_h-qkAFL92bcVjtIdVa-UlsCw"", ""Interns!D:D""), 
   IMPORTRANGE(""1RdEdgHYrZ33LJ7RUHj_h-qkAFL92bcVjtIdVa-UlsCw"", ""Interns!N:N""), 
   ""Not Found"")"),"")</f>
        <v/>
      </c>
      <c r="AM1045" s="23" t="str">
        <f>IFERROR(__xludf.DUMMYFUNCTION("XLOOKUP(C1045, 
   IMPORTRANGE(""1RdEdgHYrZ33LJ7RUHj_h-qkAFL92bcVjtIdVa-UlsCw"", ""Interns!D:D""), 
   IMPORTRANGE(""1RdEdgHYrZ33LJ7RUHj_h-qkAFL92bcVjtIdVa-UlsCw"", ""Interns!O:O""), 
   ""Not Found"")"),"")</f>
        <v/>
      </c>
      <c r="AN1045" s="23"/>
      <c r="AO1045" s="23" t="s">
        <v>11866</v>
      </c>
      <c r="AP1045" s="28" t="s">
        <v>5191</v>
      </c>
      <c r="AQ1045" s="28" t="s">
        <v>11867</v>
      </c>
      <c r="AR1045" s="23" t="s">
        <v>11868</v>
      </c>
      <c r="AS1045" s="23"/>
      <c r="AT1045" s="23"/>
      <c r="AU1045" s="23"/>
      <c r="AV1045" s="23"/>
    </row>
    <row r="1046">
      <c r="A1046" s="28" t="s">
        <v>5161</v>
      </c>
      <c r="B1046" s="28" t="s">
        <v>5162</v>
      </c>
      <c r="C1046" s="23" t="str">
        <f t="shared" si="1"/>
        <v>Chanely Astacio</v>
      </c>
      <c r="D1046" s="28" t="s">
        <v>11869</v>
      </c>
      <c r="E1046" s="28" t="s">
        <v>11870</v>
      </c>
      <c r="F1046" s="23">
        <f t="array" ref="F1046">IFERROR(
    INDEX('Hub Interns 226'!A:A, MATCH(C1046, 'Hub Interns 226'!B:B, 0)),"")</f>
        <v>353</v>
      </c>
      <c r="G1046" s="23">
        <f t="array" ref="G1046">IFERROR(
    INDEX('Hub Users 226'!A:A, MATCH(C1046, 'Hub Users 226'!B:B, 0)),"")</f>
        <v>786</v>
      </c>
      <c r="H1046" s="28">
        <v>622.0</v>
      </c>
      <c r="I1046" s="28" t="s">
        <v>107</v>
      </c>
      <c r="J1046" s="28" t="s">
        <v>5336</v>
      </c>
      <c r="K1046" s="28" t="s">
        <v>5177</v>
      </c>
      <c r="L1046" s="28" t="s">
        <v>5196</v>
      </c>
      <c r="M1046" s="56" t="s">
        <v>11871</v>
      </c>
      <c r="N1046" s="59">
        <v>44495.66458333333</v>
      </c>
      <c r="O1046" s="58">
        <v>38341.0</v>
      </c>
      <c r="P1046" s="28">
        <f t="shared" si="32"/>
        <v>21</v>
      </c>
      <c r="Q1046" s="28" t="s">
        <v>240</v>
      </c>
      <c r="R1046" s="28" t="s">
        <v>11872</v>
      </c>
      <c r="S1046" s="28">
        <v>15.0</v>
      </c>
      <c r="T1046" s="28">
        <v>32.0</v>
      </c>
      <c r="U1046" s="28">
        <v>79.0</v>
      </c>
      <c r="V1046" s="28">
        <v>17.0</v>
      </c>
      <c r="W1046" s="28" t="s">
        <v>859</v>
      </c>
      <c r="X1046" s="28" t="s">
        <v>272</v>
      </c>
      <c r="Y1046" s="28" t="s">
        <v>11873</v>
      </c>
      <c r="Z1046" s="28" t="s">
        <v>7670</v>
      </c>
      <c r="AA1046" s="28" t="s">
        <v>7671</v>
      </c>
      <c r="AB1046" s="28">
        <v>10.0</v>
      </c>
      <c r="AC1046" s="28" t="s">
        <v>25</v>
      </c>
      <c r="AD1046" s="23"/>
      <c r="AE1046" s="28" t="s">
        <v>10</v>
      </c>
      <c r="AF1046" s="23" t="str">
        <f>IFERROR(__xludf.DUMMYFUNCTION("TEXTJOIN("", "", TRUE,
  FILTER(Champions!C:C,
    ISNUMBER(SEARCH(C1046, Champions!W:W))
  )
)"),"Bhavna Mohan Agnihotri, Enrique Linan, Tania Lopez")</f>
        <v>Bhavna Mohan Agnihotri, Enrique Linan, Tania Lopez</v>
      </c>
      <c r="AG1046" s="23"/>
      <c r="AH1046" s="23" t="str">
        <f>IFERROR(__xludf.DUMMYFUNCTION("IF(
ISNUMBER(MATCH(
C1046,
IMPORTRANGE(""https://docs.google.com/spreadsheets/d/1yTh1ELC33JHYOeEdgIiEclxPRyh0zOKtlawDltfUay8"",""'Interns'!A:A""),
0
)),
""Outreach Conducted"",
"""")"),"")</f>
        <v/>
      </c>
      <c r="AI1046" s="23"/>
      <c r="AJ1046" s="23"/>
      <c r="AK1046" s="23" t="str">
        <f>IFERROR(__xludf.DUMMYFUNCTION("XLOOKUP(C1046, 
   IMPORTRANGE(""1RdEdgHYrZ33LJ7RUHj_h-qkAFL92bcVjtIdVa-UlsCw"", ""Interns!D:D""), 
   IMPORTRANGE(""1RdEdgHYrZ33LJ7RUHj_h-qkAFL92bcVjtIdVa-UlsCw"", ""Interns!M:M""), 
   ""Not Found"")"),"Contacted")</f>
        <v>Contacted</v>
      </c>
      <c r="AL1046" s="23" t="str">
        <f>IFERROR(__xludf.DUMMYFUNCTION("XLOOKUP(C1046, 
   IMPORTRANGE(""1RdEdgHYrZ33LJ7RUHj_h-qkAFL92bcVjtIdVa-UlsCw"", ""Interns!D:D""), 
   IMPORTRANGE(""1RdEdgHYrZ33LJ7RUHj_h-qkAFL92bcVjtIdVa-UlsCw"", ""Interns!N:N""), 
   ""Not Found"")"),"#Cheers4Careers")</f>
        <v>#Cheers4Careers</v>
      </c>
      <c r="AM1046" s="23" t="str">
        <f>IFERROR(__xludf.DUMMYFUNCTION("XLOOKUP(C1046, 
   IMPORTRANGE(""1RdEdgHYrZ33LJ7RUHj_h-qkAFL92bcVjtIdVa-UlsCw"", ""Interns!D:D""), 
   IMPORTRANGE(""1RdEdgHYrZ33LJ7RUHj_h-qkAFL92bcVjtIdVa-UlsCw"", ""Interns!O:O""), 
   ""Not Found"")"),"Hetal reached out by email 3/27")</f>
        <v>Hetal reached out by email 3/27</v>
      </c>
      <c r="AN1046" s="23"/>
      <c r="AO1046" s="23" t="s">
        <v>11874</v>
      </c>
      <c r="AP1046" s="28" t="s">
        <v>5182</v>
      </c>
      <c r="AQ1046" s="28" t="s">
        <v>11875</v>
      </c>
      <c r="AR1046" s="23" t="s">
        <v>11876</v>
      </c>
      <c r="AS1046" s="23"/>
      <c r="AT1046" s="23"/>
      <c r="AU1046" s="23"/>
      <c r="AV1046" s="23"/>
    </row>
    <row r="1047">
      <c r="A1047" s="28" t="s">
        <v>5161</v>
      </c>
      <c r="B1047" s="28" t="s">
        <v>5162</v>
      </c>
      <c r="C1047" s="23" t="str">
        <f t="shared" si="1"/>
        <v>Leo Monnier</v>
      </c>
      <c r="D1047" s="28" t="s">
        <v>9942</v>
      </c>
      <c r="E1047" s="28" t="s">
        <v>9943</v>
      </c>
      <c r="F1047" s="23">
        <f t="array" ref="F1047">IFERROR(
    INDEX('Hub Interns 226'!A:A, MATCH(C1047, 'Hub Interns 226'!B:B, 0)),"")</f>
        <v>51</v>
      </c>
      <c r="G1047" s="23">
        <f t="array" ref="G1047">IFERROR(
    INDEX('Hub Users 226'!A:A, MATCH(C1047, 'Hub Users 226'!B:B, 0)),"")</f>
        <v>484</v>
      </c>
      <c r="H1047" s="28">
        <v>730.0</v>
      </c>
      <c r="I1047" s="28" t="s">
        <v>239</v>
      </c>
      <c r="J1047" s="28" t="s">
        <v>11877</v>
      </c>
      <c r="K1047" s="28" t="s">
        <v>11878</v>
      </c>
      <c r="L1047" s="28" t="s">
        <v>5165</v>
      </c>
      <c r="M1047" s="56" t="s">
        <v>9944</v>
      </c>
      <c r="N1047" s="59">
        <v>44550.54791666667</v>
      </c>
      <c r="O1047" s="58">
        <v>38194.0</v>
      </c>
      <c r="P1047" s="28">
        <f t="shared" si="32"/>
        <v>21</v>
      </c>
      <c r="Q1047" s="28" t="s">
        <v>9945</v>
      </c>
      <c r="R1047" s="28" t="s">
        <v>9946</v>
      </c>
      <c r="S1047" s="28">
        <v>7.0</v>
      </c>
      <c r="T1047" s="28">
        <v>18.0</v>
      </c>
      <c r="U1047" s="28">
        <v>50.0</v>
      </c>
      <c r="V1047" s="28">
        <v>34.0</v>
      </c>
      <c r="W1047" s="28" t="s">
        <v>294</v>
      </c>
      <c r="X1047" s="28" t="s">
        <v>272</v>
      </c>
      <c r="Y1047" s="28" t="s">
        <v>9947</v>
      </c>
      <c r="Z1047" s="28" t="s">
        <v>5259</v>
      </c>
      <c r="AA1047" s="28" t="s">
        <v>704</v>
      </c>
      <c r="AB1047" s="28">
        <v>2.0</v>
      </c>
      <c r="AC1047" s="28" t="s">
        <v>25</v>
      </c>
      <c r="AD1047" s="28" t="s">
        <v>101</v>
      </c>
      <c r="AE1047" s="28" t="s">
        <v>10</v>
      </c>
      <c r="AF1047" s="23" t="str">
        <f>IFERROR(__xludf.DUMMYFUNCTION("TEXTJOIN("", "", TRUE,
  FILTER(Champions!C:C,
    ISNUMBER(SEARCH(C1047, Champions!W:W))
  )
)"),"Benazir Fateh, Harshitha Girithara Gopalan")</f>
        <v>Benazir Fateh, Harshitha Girithara Gopalan</v>
      </c>
      <c r="AG1047" s="23"/>
      <c r="AH1047" s="23" t="str">
        <f>IFERROR(__xludf.DUMMYFUNCTION("IF(
ISNUMBER(MATCH(
C1047,
IMPORTRANGE(""https://docs.google.com/spreadsheets/d/1yTh1ELC33JHYOeEdgIiEclxPRyh0zOKtlawDltfUay8"",""'Interns'!A:A""),
0
)),
""Outreach Conducted"",
"""")"),"")</f>
        <v/>
      </c>
      <c r="AI1047" s="23"/>
      <c r="AJ1047" s="23"/>
      <c r="AK1047" s="23" t="str">
        <f>IFERROR(__xludf.DUMMYFUNCTION("XLOOKUP(C1047, 
   IMPORTRANGE(""1RdEdgHYrZ33LJ7RUHj_h-qkAFL92bcVjtIdVa-UlsCw"", ""Interns!D:D""), 
   IMPORTRANGE(""1RdEdgHYrZ33LJ7RUHj_h-qkAFL92bcVjtIdVa-UlsCw"", ""Interns!M:M""), 
   ""Not Found"")"),"")</f>
        <v/>
      </c>
      <c r="AL1047" s="23" t="str">
        <f>IFERROR(__xludf.DUMMYFUNCTION("XLOOKUP(C1047, 
   IMPORTRANGE(""1RdEdgHYrZ33LJ7RUHj_h-qkAFL92bcVjtIdVa-UlsCw"", ""Interns!D:D""), 
   IMPORTRANGE(""1RdEdgHYrZ33LJ7RUHj_h-qkAFL92bcVjtIdVa-UlsCw"", ""Interns!N:N""), 
   ""Not Found"")"),"")</f>
        <v/>
      </c>
      <c r="AM1047" s="23" t="str">
        <f>IFERROR(__xludf.DUMMYFUNCTION("XLOOKUP(C1047, 
   IMPORTRANGE(""1RdEdgHYrZ33LJ7RUHj_h-qkAFL92bcVjtIdVa-UlsCw"", ""Interns!D:D""), 
   IMPORTRANGE(""1RdEdgHYrZ33LJ7RUHj_h-qkAFL92bcVjtIdVa-UlsCw"", ""Interns!O:O""), 
   ""Not Found"")"),"")</f>
        <v/>
      </c>
      <c r="AN1047" s="23"/>
      <c r="AO1047" s="23" t="s">
        <v>9948</v>
      </c>
      <c r="AP1047" s="28" t="s">
        <v>5182</v>
      </c>
      <c r="AQ1047" s="28" t="s">
        <v>9949</v>
      </c>
      <c r="AR1047" s="23" t="s">
        <v>9950</v>
      </c>
      <c r="AS1047" s="23"/>
      <c r="AT1047" s="23"/>
      <c r="AU1047" s="23"/>
      <c r="AV1047" s="23"/>
    </row>
    <row r="1048">
      <c r="A1048" s="28" t="s">
        <v>5161</v>
      </c>
      <c r="B1048" s="28" t="s">
        <v>5162</v>
      </c>
      <c r="C1048" s="23" t="str">
        <f t="shared" si="1"/>
        <v>Awa Ndiaye</v>
      </c>
      <c r="D1048" s="28" t="s">
        <v>11879</v>
      </c>
      <c r="E1048" s="28" t="s">
        <v>11880</v>
      </c>
      <c r="F1048" s="23">
        <f t="array" ref="F1048">IFERROR(
    INDEX('Hub Interns 226'!A:A, MATCH(C1048, 'Hub Interns 226'!B:B, 0)),"")</f>
        <v>278</v>
      </c>
      <c r="G1048" s="23">
        <f t="array" ref="G1048">IFERROR(
    INDEX('Hub Users 226'!A:A, MATCH(C1048, 'Hub Users 226'!B:B, 0)),"")</f>
        <v>711</v>
      </c>
      <c r="H1048" s="28">
        <v>1094.0</v>
      </c>
      <c r="I1048" s="28" t="s">
        <v>425</v>
      </c>
      <c r="J1048" s="28" t="s">
        <v>8907</v>
      </c>
      <c r="K1048" s="28" t="s">
        <v>5245</v>
      </c>
      <c r="L1048" s="28" t="s">
        <v>5196</v>
      </c>
      <c r="M1048" s="56" t="s">
        <v>11881</v>
      </c>
      <c r="N1048" s="57">
        <v>44715.03402777778</v>
      </c>
      <c r="O1048" s="58">
        <v>37149.0</v>
      </c>
      <c r="P1048" s="28">
        <f t="shared" si="32"/>
        <v>24</v>
      </c>
      <c r="Q1048" s="28" t="s">
        <v>11882</v>
      </c>
      <c r="R1048" s="28" t="s">
        <v>11883</v>
      </c>
      <c r="S1048" s="28">
        <v>15.0</v>
      </c>
      <c r="T1048" s="28">
        <v>32.0</v>
      </c>
      <c r="U1048" s="28">
        <v>77.0</v>
      </c>
      <c r="V1048" s="28">
        <v>16.0</v>
      </c>
      <c r="W1048" s="28" t="s">
        <v>859</v>
      </c>
      <c r="X1048" s="28" t="s">
        <v>272</v>
      </c>
      <c r="Y1048" s="28" t="s">
        <v>11884</v>
      </c>
      <c r="Z1048" s="28" t="s">
        <v>7670</v>
      </c>
      <c r="AA1048" s="28" t="s">
        <v>7671</v>
      </c>
      <c r="AB1048" s="28">
        <v>10.0</v>
      </c>
      <c r="AC1048" s="28" t="s">
        <v>25</v>
      </c>
      <c r="AD1048" s="23"/>
      <c r="AE1048" s="28" t="s">
        <v>15</v>
      </c>
      <c r="AF1048" s="23" t="str">
        <f>IFERROR(__xludf.DUMMYFUNCTION("TEXTJOIN("", "", TRUE,
  FILTER(Champions!C:C,
    ISNUMBER(SEARCH(C1048, Champions!W:W))
  )
)"),"Joseph Temowo, Divya Padgaonkar, Oheneba Afriyie")</f>
        <v>Joseph Temowo, Divya Padgaonkar, Oheneba Afriyie</v>
      </c>
      <c r="AG1048" s="23"/>
      <c r="AH1048" s="23" t="str">
        <f>IFERROR(__xludf.DUMMYFUNCTION("IF(
ISNUMBER(MATCH(
C1048,
IMPORTRANGE(""https://docs.google.com/spreadsheets/d/1yTh1ELC33JHYOeEdgIiEclxPRyh0zOKtlawDltfUay8"",""'Interns'!A:A""),
0
)),
""Outreach Conducted"",
"""")"),"")</f>
        <v/>
      </c>
      <c r="AI1048" s="23"/>
      <c r="AJ1048" s="23"/>
      <c r="AK1048" s="23" t="str">
        <f>IFERROR(__xludf.DUMMYFUNCTION("XLOOKUP(C1048, 
   IMPORTRANGE(""1RdEdgHYrZ33LJ7RUHj_h-qkAFL92bcVjtIdVa-UlsCw"", ""Interns!D:D""), 
   IMPORTRANGE(""1RdEdgHYrZ33LJ7RUHj_h-qkAFL92bcVjtIdVa-UlsCw"", ""Interns!M:M""), 
   ""Not Found"")"),"Contacted")</f>
        <v>Contacted</v>
      </c>
      <c r="AL1048" s="23" t="str">
        <f>IFERROR(__xludf.DUMMYFUNCTION("XLOOKUP(C1048, 
   IMPORTRANGE(""1RdEdgHYrZ33LJ7RUHj_h-qkAFL92bcVjtIdVa-UlsCw"", ""Interns!D:D""), 
   IMPORTRANGE(""1RdEdgHYrZ33LJ7RUHj_h-qkAFL92bcVjtIdVa-UlsCw"", ""Interns!N:N""), 
   ""Not Found"")"),"#Cheers4Careers")</f>
        <v>#Cheers4Careers</v>
      </c>
      <c r="AM1048" s="23" t="str">
        <f>IFERROR(__xludf.DUMMYFUNCTION("XLOOKUP(C1048, 
   IMPORTRANGE(""1RdEdgHYrZ33LJ7RUHj_h-qkAFL92bcVjtIdVa-UlsCw"", ""Interns!D:D""), 
   IMPORTRANGE(""1RdEdgHYrZ33LJ7RUHj_h-qkAFL92bcVjtIdVa-UlsCw"", ""Interns!O:O""), 
   ""Not Found"")"),"Hetal reached out by email 3/27")</f>
        <v>Hetal reached out by email 3/27</v>
      </c>
      <c r="AN1048" s="23"/>
      <c r="AO1048" s="23" t="s">
        <v>11885</v>
      </c>
      <c r="AP1048" s="28" t="s">
        <v>5240</v>
      </c>
      <c r="AQ1048" s="28" t="s">
        <v>11886</v>
      </c>
      <c r="AR1048" s="23" t="s">
        <v>11887</v>
      </c>
      <c r="AS1048" s="23"/>
      <c r="AT1048" s="23"/>
      <c r="AU1048" s="23"/>
      <c r="AV1048" s="23"/>
    </row>
    <row r="1049">
      <c r="A1049" s="28" t="s">
        <v>5161</v>
      </c>
      <c r="B1049" s="28" t="s">
        <v>5162</v>
      </c>
      <c r="C1049" s="23" t="str">
        <f t="shared" si="1"/>
        <v>Luis Rodriguez</v>
      </c>
      <c r="D1049" s="28" t="s">
        <v>6689</v>
      </c>
      <c r="E1049" s="28" t="s">
        <v>536</v>
      </c>
      <c r="F1049" s="23">
        <f t="array" ref="F1049">IFERROR(
    INDEX('Hub Interns 226'!A:A, MATCH(C1049, 'Hub Interns 226'!B:B, 0)),"")</f>
        <v>796</v>
      </c>
      <c r="G1049" s="23">
        <f t="array" ref="G1049">IFERROR(
    INDEX('Hub Users 226'!A:A, MATCH(C1049, 'Hub Users 226'!B:B, 0)),"")</f>
        <v>1229</v>
      </c>
      <c r="H1049" s="28">
        <v>707.0</v>
      </c>
      <c r="I1049" s="28" t="s">
        <v>260</v>
      </c>
      <c r="J1049" s="28" t="s">
        <v>5766</v>
      </c>
      <c r="K1049" s="28" t="s">
        <v>5463</v>
      </c>
      <c r="L1049" s="28" t="s">
        <v>5165</v>
      </c>
      <c r="M1049" s="56" t="s">
        <v>11888</v>
      </c>
      <c r="N1049" s="59">
        <v>44546.96875</v>
      </c>
      <c r="O1049" s="58">
        <v>38595.0</v>
      </c>
      <c r="P1049" s="28">
        <f t="shared" si="32"/>
        <v>20</v>
      </c>
      <c r="Q1049" s="28" t="s">
        <v>240</v>
      </c>
      <c r="R1049" s="28" t="s">
        <v>11889</v>
      </c>
      <c r="S1049" s="28">
        <v>6.0</v>
      </c>
      <c r="T1049" s="28">
        <v>13.0</v>
      </c>
      <c r="U1049" s="28">
        <v>39.0</v>
      </c>
      <c r="V1049" s="28">
        <v>25.0</v>
      </c>
      <c r="W1049" s="28" t="s">
        <v>1173</v>
      </c>
      <c r="X1049" s="28" t="s">
        <v>272</v>
      </c>
      <c r="Y1049" s="28" t="s">
        <v>11890</v>
      </c>
      <c r="Z1049" s="28" t="s">
        <v>5483</v>
      </c>
      <c r="AA1049" s="28" t="s">
        <v>457</v>
      </c>
      <c r="AB1049" s="28">
        <v>25.0</v>
      </c>
      <c r="AC1049" s="28" t="s">
        <v>25</v>
      </c>
      <c r="AD1049" s="23"/>
      <c r="AE1049" s="28" t="s">
        <v>10</v>
      </c>
      <c r="AF1049" s="23" t="str">
        <f>IFERROR(__xludf.DUMMYFUNCTION("TEXTJOIN("", "", TRUE,
  FILTER(Champions!C:C,
    ISNUMBER(SEARCH(C1049, Champions!W:W))
  )
)"),"Vanessa Ballenas, Wendy Velasquez Ebanks")</f>
        <v>Vanessa Ballenas, Wendy Velasquez Ebanks</v>
      </c>
      <c r="AG1049" s="23"/>
      <c r="AH1049" s="23" t="str">
        <f>IFERROR(__xludf.DUMMYFUNCTION("IF(
ISNUMBER(MATCH(
C1049,
IMPORTRANGE(""https://docs.google.com/spreadsheets/d/1yTh1ELC33JHYOeEdgIiEclxPRyh0zOKtlawDltfUay8"",""'Interns'!A:A""),
0
)),
""Outreach Conducted"",
"""")"),"")</f>
        <v/>
      </c>
      <c r="AI1049" s="23"/>
      <c r="AJ1049" s="23"/>
      <c r="AK1049" s="23" t="str">
        <f>IFERROR(__xludf.DUMMYFUNCTION("XLOOKUP(C1049, 
   IMPORTRANGE(""1RdEdgHYrZ33LJ7RUHj_h-qkAFL92bcVjtIdVa-UlsCw"", ""Interns!D:D""), 
   IMPORTRANGE(""1RdEdgHYrZ33LJ7RUHj_h-qkAFL92bcVjtIdVa-UlsCw"", ""Interns!M:M""), 
   ""Not Found"")"),"Contacted")</f>
        <v>Contacted</v>
      </c>
      <c r="AL1049" s="23" t="str">
        <f>IFERROR(__xludf.DUMMYFUNCTION("XLOOKUP(C1049, 
   IMPORTRANGE(""1RdEdgHYrZ33LJ7RUHj_h-qkAFL92bcVjtIdVa-UlsCw"", ""Interns!D:D""), 
   IMPORTRANGE(""1RdEdgHYrZ33LJ7RUHj_h-qkAFL92bcVjtIdVa-UlsCw"", ""Interns!N:N""), 
   ""Not Found"")"),"#Cheers4Careers")</f>
        <v>#Cheers4Careers</v>
      </c>
      <c r="AM1049" s="23" t="str">
        <f>IFERROR(__xludf.DUMMYFUNCTION("XLOOKUP(C1049, 
   IMPORTRANGE(""1RdEdgHYrZ33LJ7RUHj_h-qkAFL92bcVjtIdVa-UlsCw"", ""Interns!D:D""), 
   IMPORTRANGE(""1RdEdgHYrZ33LJ7RUHj_h-qkAFL92bcVjtIdVa-UlsCw"", ""Interns!O:O""), 
   ""Not Found"")"),"Hetal reached out by email 3/27")</f>
        <v>Hetal reached out by email 3/27</v>
      </c>
      <c r="AN1049" s="23"/>
      <c r="AO1049" s="23" t="s">
        <v>11891</v>
      </c>
      <c r="AP1049" s="28" t="s">
        <v>5182</v>
      </c>
      <c r="AQ1049" s="28" t="s">
        <v>7524</v>
      </c>
      <c r="AR1049" s="23" t="s">
        <v>11892</v>
      </c>
      <c r="AS1049" s="23"/>
      <c r="AT1049" s="23"/>
      <c r="AU1049" s="23"/>
      <c r="AV1049" s="23"/>
    </row>
    <row r="1050">
      <c r="A1050" s="28" t="s">
        <v>5161</v>
      </c>
      <c r="B1050" s="28" t="s">
        <v>5162</v>
      </c>
      <c r="C1050" s="23" t="str">
        <f t="shared" si="1"/>
        <v>Anjalie Ramkissoon</v>
      </c>
      <c r="D1050" s="28" t="s">
        <v>11893</v>
      </c>
      <c r="E1050" s="28" t="s">
        <v>11894</v>
      </c>
      <c r="F1050" s="23">
        <f t="array" ref="F1050">IFERROR(
    INDEX('Hub Interns 226'!A:A, MATCH(C1050, 'Hub Interns 226'!B:B, 0)),"")</f>
        <v>245</v>
      </c>
      <c r="G1050" s="23">
        <f t="array" ref="G1050">IFERROR(
    INDEX('Hub Users 226'!A:A, MATCH(C1050, 'Hub Users 226'!B:B, 0)),"")</f>
        <v>678</v>
      </c>
      <c r="H1050" s="28">
        <v>768.0</v>
      </c>
      <c r="I1050" s="28" t="s">
        <v>608</v>
      </c>
      <c r="J1050" s="28" t="s">
        <v>11895</v>
      </c>
      <c r="K1050" s="28" t="s">
        <v>5463</v>
      </c>
      <c r="L1050" s="28" t="s">
        <v>5196</v>
      </c>
      <c r="M1050" s="56" t="s">
        <v>11896</v>
      </c>
      <c r="N1050" s="59">
        <v>44552.614583333336</v>
      </c>
      <c r="O1050" s="58">
        <v>38509.0</v>
      </c>
      <c r="P1050" s="28">
        <f t="shared" si="32"/>
        <v>20</v>
      </c>
      <c r="Q1050" s="28" t="s">
        <v>240</v>
      </c>
      <c r="R1050" s="28" t="s">
        <v>11897</v>
      </c>
      <c r="S1050" s="28">
        <v>13.0</v>
      </c>
      <c r="T1050" s="28">
        <v>31.0</v>
      </c>
      <c r="U1050" s="28">
        <v>71.0</v>
      </c>
      <c r="V1050" s="28">
        <v>10.0</v>
      </c>
      <c r="W1050" s="28" t="s">
        <v>271</v>
      </c>
      <c r="X1050" s="28" t="s">
        <v>272</v>
      </c>
      <c r="Y1050" s="28" t="s">
        <v>11898</v>
      </c>
      <c r="Z1050" s="28" t="s">
        <v>5341</v>
      </c>
      <c r="AA1050" s="28" t="s">
        <v>1085</v>
      </c>
      <c r="AB1050" s="28">
        <v>10.0</v>
      </c>
      <c r="AC1050" s="28" t="s">
        <v>25</v>
      </c>
      <c r="AD1050" s="23"/>
      <c r="AE1050" s="28" t="s">
        <v>10</v>
      </c>
      <c r="AF1050" s="23" t="str">
        <f>IFERROR(__xludf.DUMMYFUNCTION("TEXTJOIN("", "", TRUE,
  FILTER(Champions!C:C,
    ISNUMBER(SEARCH(C1050, Champions!W:W))
  )
)"),"David Temple, Fatima Ramadan Sanz")</f>
        <v>David Temple, Fatima Ramadan Sanz</v>
      </c>
      <c r="AG1050" s="23"/>
      <c r="AH1050" s="23" t="str">
        <f>IFERROR(__xludf.DUMMYFUNCTION("IF(
ISNUMBER(MATCH(
C1050,
IMPORTRANGE(""https://docs.google.com/spreadsheets/d/1yTh1ELC33JHYOeEdgIiEclxPRyh0zOKtlawDltfUay8"",""'Interns'!A:A""),
0
)),
""Outreach Conducted"",
"""")"),"")</f>
        <v/>
      </c>
      <c r="AI1050" s="23"/>
      <c r="AJ1050" s="23"/>
      <c r="AK1050" s="23" t="str">
        <f>IFERROR(__xludf.DUMMYFUNCTION("XLOOKUP(C1050, 
   IMPORTRANGE(""1RdEdgHYrZ33LJ7RUHj_h-qkAFL92bcVjtIdVa-UlsCw"", ""Interns!D:D""), 
   IMPORTRANGE(""1RdEdgHYrZ33LJ7RUHj_h-qkAFL92bcVjtIdVa-UlsCw"", ""Interns!M:M""), 
   ""Not Found"")"),"In Communication")</f>
        <v>In Communication</v>
      </c>
      <c r="AL1050" s="23" t="str">
        <f>IFERROR(__xludf.DUMMYFUNCTION("XLOOKUP(C1050, 
   IMPORTRANGE(""1RdEdgHYrZ33LJ7RUHj_h-qkAFL92bcVjtIdVa-UlsCw"", ""Interns!D:D""), 
   IMPORTRANGE(""1RdEdgHYrZ33LJ7RUHj_h-qkAFL92bcVjtIdVa-UlsCw"", ""Interns!N:N""), 
   ""Not Found"")"),"#Cheers4Careers")</f>
        <v>#Cheers4Careers</v>
      </c>
      <c r="AM1050" s="23" t="str">
        <f>IFERROR(__xludf.DUMMYFUNCTION("XLOOKUP(C1050, 
   IMPORTRANGE(""1RdEdgHYrZ33LJ7RUHj_h-qkAFL92bcVjtIdVa-UlsCw"", ""Interns!D:D""), 
   IMPORTRANGE(""1RdEdgHYrZ33LJ7RUHj_h-qkAFL92bcVjtIdVa-UlsCw"", ""Interns!O:O""), 
   ""Not Found"")"),"Texted on April 12 for #Cheers4Careers event. Interested but unable to attend due schadule conflict. Open to future events.")</f>
        <v>Texted on April 12 for #Cheers4Careers event. Interested but unable to attend due schadule conflict. Open to future events.</v>
      </c>
      <c r="AN1050" s="23"/>
      <c r="AO1050" s="23" t="s">
        <v>11899</v>
      </c>
      <c r="AP1050" s="28" t="s">
        <v>5182</v>
      </c>
      <c r="AQ1050" s="28" t="s">
        <v>11900</v>
      </c>
      <c r="AR1050" s="23" t="s">
        <v>11901</v>
      </c>
      <c r="AS1050" s="23"/>
      <c r="AT1050" s="23"/>
      <c r="AU1050" s="23"/>
      <c r="AV1050" s="23"/>
    </row>
    <row r="1051">
      <c r="A1051" s="28" t="s">
        <v>5202</v>
      </c>
      <c r="B1051" s="28" t="s">
        <v>5162</v>
      </c>
      <c r="C1051" s="23" t="str">
        <f t="shared" si="1"/>
        <v>Sezim Bolotbekova</v>
      </c>
      <c r="D1051" s="28" t="s">
        <v>11902</v>
      </c>
      <c r="E1051" s="28" t="s">
        <v>11369</v>
      </c>
      <c r="F1051" s="28">
        <v>1088.0</v>
      </c>
      <c r="G1051" s="28">
        <v>1521.0</v>
      </c>
      <c r="H1051" s="28">
        <v>258.0</v>
      </c>
      <c r="I1051" s="28" t="s">
        <v>260</v>
      </c>
      <c r="J1051" s="28" t="s">
        <v>11363</v>
      </c>
      <c r="K1051" s="28" t="s">
        <v>5186</v>
      </c>
      <c r="L1051" s="28" t="s">
        <v>5196</v>
      </c>
      <c r="M1051" s="56" t="s">
        <v>11903</v>
      </c>
      <c r="N1051" s="59">
        <v>44175.55138888889</v>
      </c>
      <c r="O1051" s="58">
        <v>37280.0</v>
      </c>
      <c r="P1051" s="28">
        <f t="shared" si="32"/>
        <v>24</v>
      </c>
      <c r="Q1051" s="28" t="s">
        <v>11904</v>
      </c>
      <c r="R1051" s="28" t="s">
        <v>11371</v>
      </c>
      <c r="S1051" s="28"/>
      <c r="T1051" s="28"/>
      <c r="U1051" s="28"/>
      <c r="V1051" s="28"/>
      <c r="W1051" s="28" t="s">
        <v>380</v>
      </c>
      <c r="X1051" s="28" t="s">
        <v>381</v>
      </c>
      <c r="Y1051" s="28">
        <v>2.672126434E9</v>
      </c>
      <c r="Z1051" s="28" t="s">
        <v>5272</v>
      </c>
      <c r="AA1051" s="28" t="s">
        <v>629</v>
      </c>
      <c r="AB1051" s="28" t="s">
        <v>5221</v>
      </c>
      <c r="AC1051" s="28" t="s">
        <v>25</v>
      </c>
      <c r="AD1051" s="23"/>
      <c r="AE1051" s="28" t="s">
        <v>8</v>
      </c>
      <c r="AF1051" s="23" t="str">
        <f>IFERROR(__xludf.DUMMYFUNCTION("TEXTJOIN("", "", TRUE,
  FILTER(Champions!C:C,
    ISNUMBER(SEARCH(C1051, Champions!W:W))
  )
)"),"Rachel Schochet")</f>
        <v>Rachel Schochet</v>
      </c>
      <c r="AG1051" s="23"/>
      <c r="AH1051" s="23" t="str">
        <f>IFERROR(__xludf.DUMMYFUNCTION("IF(
ISNUMBER(MATCH(
C1051,
IMPORTRANGE(""https://docs.google.com/spreadsheets/d/1yTh1ELC33JHYOeEdgIiEclxPRyh0zOKtlawDltfUay8"",""'Interns'!A:A""),
0
)),
""Outreach Conducted"",
"""")"),"")</f>
        <v/>
      </c>
      <c r="AI1051" s="23"/>
      <c r="AJ1051" s="23"/>
      <c r="AK1051" s="23" t="str">
        <f>IFERROR(__xludf.DUMMYFUNCTION("XLOOKUP(C1051, 
   IMPORTRANGE(""1RdEdgHYrZ33LJ7RUHj_h-qkAFL92bcVjtIdVa-UlsCw"", ""Interns!D:D""), 
   IMPORTRANGE(""1RdEdgHYrZ33LJ7RUHj_h-qkAFL92bcVjtIdVa-UlsCw"", ""Interns!M:M""), 
   ""Not Found"")"),"")</f>
        <v/>
      </c>
      <c r="AL1051" s="23" t="str">
        <f>IFERROR(__xludf.DUMMYFUNCTION("XLOOKUP(C1051, 
   IMPORTRANGE(""1RdEdgHYrZ33LJ7RUHj_h-qkAFL92bcVjtIdVa-UlsCw"", ""Interns!D:D""), 
   IMPORTRANGE(""1RdEdgHYrZ33LJ7RUHj_h-qkAFL92bcVjtIdVa-UlsCw"", ""Interns!N:N""), 
   ""Not Found"")"),"")</f>
        <v/>
      </c>
      <c r="AM1051" s="23" t="str">
        <f>IFERROR(__xludf.DUMMYFUNCTION("XLOOKUP(C1051, 
   IMPORTRANGE(""1RdEdgHYrZ33LJ7RUHj_h-qkAFL92bcVjtIdVa-UlsCw"", ""Interns!D:D""), 
   IMPORTRANGE(""1RdEdgHYrZ33LJ7RUHj_h-qkAFL92bcVjtIdVa-UlsCw"", ""Interns!O:O""), 
   ""Not Found"")"),"")</f>
        <v/>
      </c>
      <c r="AN1051" s="23"/>
      <c r="AO1051" s="23" t="s">
        <v>11372</v>
      </c>
      <c r="AP1051" s="28" t="s">
        <v>5182</v>
      </c>
      <c r="AQ1051" s="28" t="s">
        <v>11373</v>
      </c>
      <c r="AR1051" s="23">
        <v>2.672707217E9</v>
      </c>
      <c r="AS1051" s="23"/>
      <c r="AT1051" s="23"/>
      <c r="AU1051" s="23"/>
      <c r="AV1051" s="23"/>
    </row>
    <row r="1052">
      <c r="A1052" s="28" t="s">
        <v>5202</v>
      </c>
      <c r="B1052" s="28" t="s">
        <v>5162</v>
      </c>
      <c r="C1052" s="23" t="str">
        <f t="shared" si="1"/>
        <v>Bibi Borber</v>
      </c>
      <c r="D1052" s="28" t="s">
        <v>11905</v>
      </c>
      <c r="E1052" s="28" t="s">
        <v>11906</v>
      </c>
      <c r="F1052" s="23">
        <f t="array" ref="F1052">IFERROR(
    INDEX('Hub Interns 226'!A:A, MATCH(C1052, 'Hub Interns 226'!B:B, 0)),"")</f>
        <v>117</v>
      </c>
      <c r="G1052" s="23">
        <f t="array" ref="G1052">IFERROR(
    INDEX('Hub Users 226'!A:A, MATCH(C1052, 'Hub Users 226'!B:B, 0)),"")</f>
        <v>550</v>
      </c>
      <c r="H1052" s="28">
        <v>247.0</v>
      </c>
      <c r="I1052" s="28" t="s">
        <v>290</v>
      </c>
      <c r="J1052" s="28" t="s">
        <v>11907</v>
      </c>
      <c r="K1052" s="28" t="s">
        <v>5245</v>
      </c>
      <c r="L1052" s="28" t="s">
        <v>5196</v>
      </c>
      <c r="M1052" s="56" t="s">
        <v>11908</v>
      </c>
      <c r="N1052" s="57">
        <v>44139.589583333334</v>
      </c>
      <c r="O1052" s="58">
        <v>37890.0</v>
      </c>
      <c r="P1052" s="28">
        <f t="shared" si="32"/>
        <v>22</v>
      </c>
      <c r="Q1052" s="28" t="s">
        <v>11909</v>
      </c>
      <c r="R1052" s="28" t="s">
        <v>11910</v>
      </c>
      <c r="S1052" s="28"/>
      <c r="T1052" s="28"/>
      <c r="U1052" s="28"/>
      <c r="V1052" s="28"/>
      <c r="W1052" s="28" t="s">
        <v>380</v>
      </c>
      <c r="X1052" s="28" t="s">
        <v>381</v>
      </c>
      <c r="Y1052" s="28">
        <v>2.674236676E9</v>
      </c>
      <c r="Z1052" s="28" t="s">
        <v>5220</v>
      </c>
      <c r="AA1052" s="28" t="s">
        <v>1570</v>
      </c>
      <c r="AB1052" s="28" t="s">
        <v>5221</v>
      </c>
      <c r="AC1052" s="28" t="s">
        <v>25</v>
      </c>
      <c r="AD1052" s="23"/>
      <c r="AE1052" s="28" t="s">
        <v>8</v>
      </c>
      <c r="AF1052" s="23" t="str">
        <f>IFERROR(__xludf.DUMMYFUNCTION("TEXTJOIN("", "", TRUE,
  FILTER(Champions!C:C,
    ISNUMBER(SEARCH(C1052, Champions!W:W))
  )
)"),"Ian Paratore, Ritika Naik, Tanya Toko")</f>
        <v>Ian Paratore, Ritika Naik, Tanya Toko</v>
      </c>
      <c r="AG1052" s="23"/>
      <c r="AH1052" s="23" t="str">
        <f>IFERROR(__xludf.DUMMYFUNCTION("IF(
ISNUMBER(MATCH(
C1052,
IMPORTRANGE(""https://docs.google.com/spreadsheets/d/1yTh1ELC33JHYOeEdgIiEclxPRyh0zOKtlawDltfUay8"",""'Interns'!A:A""),
0
)),
""Outreach Conducted"",
"""")"),"")</f>
        <v/>
      </c>
      <c r="AI1052" s="23"/>
      <c r="AJ1052" s="23"/>
      <c r="AK1052" s="23" t="str">
        <f>IFERROR(__xludf.DUMMYFUNCTION("XLOOKUP(C1052, 
   IMPORTRANGE(""1RdEdgHYrZ33LJ7RUHj_h-qkAFL92bcVjtIdVa-UlsCw"", ""Interns!D:D""), 
   IMPORTRANGE(""1RdEdgHYrZ33LJ7RUHj_h-qkAFL92bcVjtIdVa-UlsCw"", ""Interns!M:M""), 
   ""Not Found"")"),"")</f>
        <v/>
      </c>
      <c r="AL1052" s="23" t="str">
        <f>IFERROR(__xludf.DUMMYFUNCTION("XLOOKUP(C1052, 
   IMPORTRANGE(""1RdEdgHYrZ33LJ7RUHj_h-qkAFL92bcVjtIdVa-UlsCw"", ""Interns!D:D""), 
   IMPORTRANGE(""1RdEdgHYrZ33LJ7RUHj_h-qkAFL92bcVjtIdVa-UlsCw"", ""Interns!N:N""), 
   ""Not Found"")"),"")</f>
        <v/>
      </c>
      <c r="AM1052" s="23" t="str">
        <f>IFERROR(__xludf.DUMMYFUNCTION("XLOOKUP(C1052, 
   IMPORTRANGE(""1RdEdgHYrZ33LJ7RUHj_h-qkAFL92bcVjtIdVa-UlsCw"", ""Interns!D:D""), 
   IMPORTRANGE(""1RdEdgHYrZ33LJ7RUHj_h-qkAFL92bcVjtIdVa-UlsCw"", ""Interns!O:O""), 
   ""Not Found"")"),"")</f>
        <v/>
      </c>
      <c r="AN1052" s="23"/>
      <c r="AO1052" s="23" t="s">
        <v>11911</v>
      </c>
      <c r="AP1052" s="28" t="s">
        <v>5182</v>
      </c>
      <c r="AQ1052" s="28" t="s">
        <v>11908</v>
      </c>
      <c r="AR1052" s="23">
        <v>2.152688338E9</v>
      </c>
      <c r="AS1052" s="23"/>
      <c r="AT1052" s="23"/>
      <c r="AU1052" s="23"/>
      <c r="AV1052" s="23"/>
    </row>
    <row r="1053">
      <c r="A1053" s="28" t="s">
        <v>5161</v>
      </c>
      <c r="B1053" s="28" t="s">
        <v>5162</v>
      </c>
      <c r="C1053" s="23" t="str">
        <f t="shared" si="1"/>
        <v>Phue Naing</v>
      </c>
      <c r="D1053" s="28" t="s">
        <v>11912</v>
      </c>
      <c r="E1053" s="28" t="s">
        <v>11913</v>
      </c>
      <c r="F1053" s="23">
        <f t="array" ref="F1053">IFERROR(
    INDEX('Hub Interns 226'!A:A, MATCH(C1053, 'Hub Interns 226'!B:B, 0)),"")</f>
        <v>994</v>
      </c>
      <c r="G1053" s="23">
        <f t="array" ref="G1053">IFERROR(
    INDEX('Hub Users 226'!A:A, MATCH(C1053, 'Hub Users 226'!B:B, 0)),"")</f>
        <v>1427</v>
      </c>
      <c r="H1053" s="28">
        <v>642.0</v>
      </c>
      <c r="I1053" s="28" t="s">
        <v>260</v>
      </c>
      <c r="J1053" s="28" t="s">
        <v>11914</v>
      </c>
      <c r="K1053" s="28" t="s">
        <v>5186</v>
      </c>
      <c r="L1053" s="28" t="s">
        <v>5196</v>
      </c>
      <c r="M1053" s="56" t="s">
        <v>11915</v>
      </c>
      <c r="N1053" s="59">
        <v>44498.626388888886</v>
      </c>
      <c r="O1053" s="58">
        <v>38253.0</v>
      </c>
      <c r="P1053" s="28">
        <f t="shared" si="32"/>
        <v>21</v>
      </c>
      <c r="Q1053" s="28" t="s">
        <v>11916</v>
      </c>
      <c r="R1053" s="28" t="s">
        <v>11917</v>
      </c>
      <c r="S1053" s="28">
        <v>9.0</v>
      </c>
      <c r="T1053" s="28">
        <v>17.0</v>
      </c>
      <c r="U1053" s="28">
        <v>47.0</v>
      </c>
      <c r="V1053" s="28">
        <v>44.0</v>
      </c>
      <c r="W1053" s="28" t="s">
        <v>294</v>
      </c>
      <c r="X1053" s="28" t="s">
        <v>272</v>
      </c>
      <c r="Y1053" s="28" t="s">
        <v>11918</v>
      </c>
      <c r="Z1053" s="28" t="s">
        <v>5963</v>
      </c>
      <c r="AA1053" s="28" t="s">
        <v>1923</v>
      </c>
      <c r="AB1053" s="28">
        <v>1.0</v>
      </c>
      <c r="AC1053" s="28" t="s">
        <v>25</v>
      </c>
      <c r="AD1053" s="23"/>
      <c r="AE1053" s="28" t="s">
        <v>10</v>
      </c>
      <c r="AF1053" s="23"/>
      <c r="AG1053" s="23"/>
      <c r="AH1053" s="23" t="str">
        <f>IFERROR(__xludf.DUMMYFUNCTION("IF(
ISNUMBER(MATCH(
C1053,
IMPORTRANGE(""https://docs.google.com/spreadsheets/d/1yTh1ELC33JHYOeEdgIiEclxPRyh0zOKtlawDltfUay8"",""'Interns'!A:A""),
0
)),
""Outreach Conducted"",
"""")"),"")</f>
        <v/>
      </c>
      <c r="AI1053" s="23"/>
      <c r="AJ1053" s="23"/>
      <c r="AK1053" s="23" t="str">
        <f>IFERROR(__xludf.DUMMYFUNCTION("XLOOKUP(C1053, 
   IMPORTRANGE(""1RdEdgHYrZ33LJ7RUHj_h-qkAFL92bcVjtIdVa-UlsCw"", ""Interns!D:D""), 
   IMPORTRANGE(""1RdEdgHYrZ33LJ7RUHj_h-qkAFL92bcVjtIdVa-UlsCw"", ""Interns!M:M""), 
   ""Not Found"")"),"")</f>
        <v/>
      </c>
      <c r="AL1053" s="23" t="str">
        <f>IFERROR(__xludf.DUMMYFUNCTION("XLOOKUP(C1053, 
   IMPORTRANGE(""1RdEdgHYrZ33LJ7RUHj_h-qkAFL92bcVjtIdVa-UlsCw"", ""Interns!D:D""), 
   IMPORTRANGE(""1RdEdgHYrZ33LJ7RUHj_h-qkAFL92bcVjtIdVa-UlsCw"", ""Interns!N:N""), 
   ""Not Found"")"),"")</f>
        <v/>
      </c>
      <c r="AM1053" s="23" t="str">
        <f>IFERROR(__xludf.DUMMYFUNCTION("XLOOKUP(C1053, 
   IMPORTRANGE(""1RdEdgHYrZ33LJ7RUHj_h-qkAFL92bcVjtIdVa-UlsCw"", ""Interns!D:D""), 
   IMPORTRANGE(""1RdEdgHYrZ33LJ7RUHj_h-qkAFL92bcVjtIdVa-UlsCw"", ""Interns!O:O""), 
   ""Not Found"")"),"")</f>
        <v/>
      </c>
      <c r="AN1053" s="23"/>
      <c r="AO1053" s="23" t="s">
        <v>11919</v>
      </c>
      <c r="AP1053" s="28" t="s">
        <v>5191</v>
      </c>
      <c r="AQ1053" s="28" t="s">
        <v>11920</v>
      </c>
      <c r="AR1053" s="23" t="s">
        <v>11921</v>
      </c>
      <c r="AS1053" s="23"/>
      <c r="AT1053" s="23"/>
      <c r="AU1053" s="23"/>
      <c r="AV1053" s="23"/>
    </row>
    <row r="1054">
      <c r="A1054" s="28" t="s">
        <v>5161</v>
      </c>
      <c r="B1054" s="28" t="s">
        <v>5162</v>
      </c>
      <c r="C1054" s="23" t="str">
        <f t="shared" si="1"/>
        <v>Shikha Chauhan</v>
      </c>
      <c r="D1054" s="28" t="s">
        <v>11922</v>
      </c>
      <c r="E1054" s="28" t="s">
        <v>11923</v>
      </c>
      <c r="F1054" s="23">
        <f t="array" ref="F1054">IFERROR(
    INDEX('Hub Interns 226'!A:A, MATCH(C1054, 'Hub Interns 226'!B:B, 0)),"")</f>
        <v>1049</v>
      </c>
      <c r="G1054" s="23">
        <f t="array" ref="G1054">IFERROR(
    INDEX('Hub Users 226'!A:A, MATCH(C1054, 'Hub Users 226'!B:B, 0)),"")</f>
        <v>1482</v>
      </c>
      <c r="H1054" s="28">
        <v>345.0</v>
      </c>
      <c r="I1054" s="28" t="s">
        <v>260</v>
      </c>
      <c r="J1054" s="28" t="s">
        <v>11070</v>
      </c>
      <c r="K1054" s="28" t="s">
        <v>5186</v>
      </c>
      <c r="L1054" s="28" t="s">
        <v>5196</v>
      </c>
      <c r="M1054" s="56" t="s">
        <v>11924</v>
      </c>
      <c r="N1054" s="57">
        <v>44244.558333333334</v>
      </c>
      <c r="O1054" s="58">
        <v>38174.0</v>
      </c>
      <c r="P1054" s="28">
        <f t="shared" si="32"/>
        <v>21</v>
      </c>
      <c r="Q1054" s="28" t="s">
        <v>11925</v>
      </c>
      <c r="R1054" s="28" t="s">
        <v>11926</v>
      </c>
      <c r="S1054" s="28">
        <v>14.0</v>
      </c>
      <c r="T1054" s="28">
        <v>13.0</v>
      </c>
      <c r="U1054" s="28">
        <v>35.0</v>
      </c>
      <c r="V1054" s="28">
        <v>21.0</v>
      </c>
      <c r="W1054" s="28" t="s">
        <v>1173</v>
      </c>
      <c r="X1054" s="28" t="s">
        <v>272</v>
      </c>
      <c r="Y1054" s="28" t="s">
        <v>11927</v>
      </c>
      <c r="Z1054" s="28" t="s">
        <v>5189</v>
      </c>
      <c r="AA1054" s="28" t="s">
        <v>619</v>
      </c>
      <c r="AB1054" s="28">
        <v>20.0</v>
      </c>
      <c r="AC1054" s="28" t="s">
        <v>25</v>
      </c>
      <c r="AD1054" s="23"/>
      <c r="AE1054" s="28" t="s">
        <v>8</v>
      </c>
      <c r="AF1054" s="23" t="str">
        <f>IFERROR(__xludf.DUMMYFUNCTION("TEXTJOIN("", "", TRUE,
  FILTER(Champions!C:C,
    ISNUMBER(SEARCH(C1054, Champions!W:W))
  )
)"),"Louise Malone, Melody Jia Fang")</f>
        <v>Louise Malone, Melody Jia Fang</v>
      </c>
      <c r="AG1054" s="23"/>
      <c r="AH1054" s="23" t="str">
        <f>IFERROR(__xludf.DUMMYFUNCTION("IF(
ISNUMBER(MATCH(
C1054,
IMPORTRANGE(""https://docs.google.com/spreadsheets/d/1yTh1ELC33JHYOeEdgIiEclxPRyh0zOKtlawDltfUay8"",""'Interns'!A:A""),
0
)),
""Outreach Conducted"",
"""")"),"")</f>
        <v/>
      </c>
      <c r="AI1054" s="23"/>
      <c r="AJ1054" s="28" t="s">
        <v>11928</v>
      </c>
      <c r="AK1054" s="23" t="str">
        <f>IFERROR(__xludf.DUMMYFUNCTION("XLOOKUP(C1054, 
   IMPORTRANGE(""1RdEdgHYrZ33LJ7RUHj_h-qkAFL92bcVjtIdVa-UlsCw"", ""Interns!D:D""), 
   IMPORTRANGE(""1RdEdgHYrZ33LJ7RUHj_h-qkAFL92bcVjtIdVa-UlsCw"", ""Interns!M:M""), 
   ""Not Found"")"),"Contacted")</f>
        <v>Contacted</v>
      </c>
      <c r="AL1054" s="23" t="str">
        <f>IFERROR(__xludf.DUMMYFUNCTION("XLOOKUP(C1054, 
   IMPORTRANGE(""1RdEdgHYrZ33LJ7RUHj_h-qkAFL92bcVjtIdVa-UlsCw"", ""Interns!D:D""), 
   IMPORTRANGE(""1RdEdgHYrZ33LJ7RUHj_h-qkAFL92bcVjtIdVa-UlsCw"", ""Interns!N:N""), 
   ""Not Found"")"),"#Cheers4Careers")</f>
        <v>#Cheers4Careers</v>
      </c>
      <c r="AM1054" s="23" t="str">
        <f>IFERROR(__xludf.DUMMYFUNCTION("XLOOKUP(C1054, 
   IMPORTRANGE(""1RdEdgHYrZ33LJ7RUHj_h-qkAFL92bcVjtIdVa-UlsCw"", ""Interns!D:D""), 
   IMPORTRANGE(""1RdEdgHYrZ33LJ7RUHj_h-qkAFL92bcVjtIdVa-UlsCw"", ""Interns!O:O""), 
   ""Not Found"")"),"Hetal reached out by email 3/27 followed by text")</f>
        <v>Hetal reached out by email 3/27 followed by text</v>
      </c>
      <c r="AN1054" s="23"/>
      <c r="AO1054" s="23" t="s">
        <v>11929</v>
      </c>
      <c r="AP1054" s="28" t="s">
        <v>5240</v>
      </c>
      <c r="AQ1054" s="28" t="s">
        <v>11930</v>
      </c>
      <c r="AR1054" s="23" t="s">
        <v>11931</v>
      </c>
      <c r="AS1054" s="28" t="s">
        <v>11932</v>
      </c>
      <c r="AT1054" s="23"/>
      <c r="AU1054" s="23"/>
      <c r="AV1054" s="23"/>
    </row>
    <row r="1055">
      <c r="A1055" s="28" t="s">
        <v>5161</v>
      </c>
      <c r="B1055" s="28" t="s">
        <v>5162</v>
      </c>
      <c r="C1055" s="23" t="str">
        <f t="shared" si="1"/>
        <v>Esha Neupane</v>
      </c>
      <c r="D1055" s="28" t="s">
        <v>11933</v>
      </c>
      <c r="E1055" s="28" t="s">
        <v>11934</v>
      </c>
      <c r="F1055" s="23">
        <f t="array" ref="F1055">IFERROR(
    INDEX('Hub Interns 226'!A:A, MATCH(C1055, 'Hub Interns 226'!B:B, 0)),"")</f>
        <v>537</v>
      </c>
      <c r="G1055" s="23">
        <f t="array" ref="G1055">IFERROR(
    INDEX('Hub Users 226'!A:A, MATCH(C1055, 'Hub Users 226'!B:B, 0)),"")</f>
        <v>970</v>
      </c>
      <c r="H1055" s="28">
        <v>981.0</v>
      </c>
      <c r="I1055" s="28" t="s">
        <v>239</v>
      </c>
      <c r="J1055" s="28" t="s">
        <v>11070</v>
      </c>
      <c r="K1055" s="28" t="s">
        <v>5186</v>
      </c>
      <c r="L1055" s="28" t="s">
        <v>5196</v>
      </c>
      <c r="M1055" s="56" t="s">
        <v>11935</v>
      </c>
      <c r="N1055" s="57">
        <v>44643.55069444444</v>
      </c>
      <c r="O1055" s="58">
        <v>39917.0</v>
      </c>
      <c r="P1055" s="28">
        <f t="shared" si="32"/>
        <v>17</v>
      </c>
      <c r="Q1055" s="28" t="s">
        <v>240</v>
      </c>
      <c r="R1055" s="28" t="s">
        <v>11936</v>
      </c>
      <c r="S1055" s="28">
        <v>7.0</v>
      </c>
      <c r="T1055" s="28">
        <v>18.0</v>
      </c>
      <c r="U1055" s="28">
        <v>38.0</v>
      </c>
      <c r="V1055" s="28">
        <v>34.0</v>
      </c>
      <c r="W1055" s="28" t="s">
        <v>1173</v>
      </c>
      <c r="X1055" s="28" t="s">
        <v>272</v>
      </c>
      <c r="Y1055" s="28" t="s">
        <v>11937</v>
      </c>
      <c r="Z1055" s="28" t="s">
        <v>7427</v>
      </c>
      <c r="AA1055" s="28" t="s">
        <v>7428</v>
      </c>
      <c r="AB1055" s="28">
        <v>34.0</v>
      </c>
      <c r="AC1055" s="28" t="s">
        <v>24</v>
      </c>
      <c r="AD1055" s="23"/>
      <c r="AE1055" s="28" t="s">
        <v>10</v>
      </c>
      <c r="AF1055" s="23"/>
      <c r="AG1055" s="23"/>
      <c r="AH1055" s="23" t="str">
        <f>IFERROR(__xludf.DUMMYFUNCTION("IF(
ISNUMBER(MATCH(
C1055,
IMPORTRANGE(""https://docs.google.com/spreadsheets/d/1yTh1ELC33JHYOeEdgIiEclxPRyh0zOKtlawDltfUay8"",""'Interns'!A:A""),
0
)),
""Outreach Conducted"",
"""")"),"")</f>
        <v/>
      </c>
      <c r="AI1055" s="23"/>
      <c r="AJ1055" s="23"/>
      <c r="AK1055" s="23" t="str">
        <f>IFERROR(__xludf.DUMMYFUNCTION("XLOOKUP(C1055, 
   IMPORTRANGE(""1RdEdgHYrZ33LJ7RUHj_h-qkAFL92bcVjtIdVa-UlsCw"", ""Interns!D:D""), 
   IMPORTRANGE(""1RdEdgHYrZ33LJ7RUHj_h-qkAFL92bcVjtIdVa-UlsCw"", ""Interns!M:M""), 
   ""Not Found"")"),"Contacted")</f>
        <v>Contacted</v>
      </c>
      <c r="AL1055" s="23" t="str">
        <f>IFERROR(__xludf.DUMMYFUNCTION("XLOOKUP(C1055, 
   IMPORTRANGE(""1RdEdgHYrZ33LJ7RUHj_h-qkAFL92bcVjtIdVa-UlsCw"", ""Interns!D:D""), 
   IMPORTRANGE(""1RdEdgHYrZ33LJ7RUHj_h-qkAFL92bcVjtIdVa-UlsCw"", ""Interns!N:N""), 
   ""Not Found"")"),"#Cheers4Careers")</f>
        <v>#Cheers4Careers</v>
      </c>
      <c r="AM1055" s="23" t="str">
        <f>IFERROR(__xludf.DUMMYFUNCTION("XLOOKUP(C1055, 
   IMPORTRANGE(""1RdEdgHYrZ33LJ7RUHj_h-qkAFL92bcVjtIdVa-UlsCw"", ""Interns!D:D""), 
   IMPORTRANGE(""1RdEdgHYrZ33LJ7RUHj_h-qkAFL92bcVjtIdVa-UlsCw"", ""Interns!O:O""), 
   ""Not Found"")"),"Hetal reached out by email 3/27")</f>
        <v>Hetal reached out by email 3/27</v>
      </c>
      <c r="AN1055" s="23"/>
      <c r="AO1055" s="23" t="s">
        <v>11938</v>
      </c>
      <c r="AP1055" s="28" t="s">
        <v>5191</v>
      </c>
      <c r="AQ1055" s="28"/>
      <c r="AR1055" s="23"/>
      <c r="AS1055" s="23"/>
      <c r="AT1055" s="23"/>
      <c r="AU1055" s="23"/>
      <c r="AV1055" s="23"/>
    </row>
    <row r="1056">
      <c r="A1056" s="28" t="s">
        <v>5161</v>
      </c>
      <c r="B1056" s="28" t="s">
        <v>5162</v>
      </c>
      <c r="C1056" s="23" t="str">
        <f t="shared" si="1"/>
        <v>sherya pandey</v>
      </c>
      <c r="D1056" s="28" t="s">
        <v>11939</v>
      </c>
      <c r="E1056" s="28" t="s">
        <v>11940</v>
      </c>
      <c r="F1056" s="23">
        <f t="array" ref="F1056">IFERROR(
    INDEX('Hub Interns 226'!A:A, MATCH(C1056, 'Hub Interns 226'!B:B, 0)),"")</f>
        <v>1073</v>
      </c>
      <c r="G1056" s="23">
        <f t="array" ref="G1056">IFERROR(
    INDEX('Hub Users 226'!A:A, MATCH(C1056, 'Hub Users 226'!B:B, 0)),"")</f>
        <v>1506</v>
      </c>
      <c r="H1056" s="28">
        <v>1020.0</v>
      </c>
      <c r="I1056" s="28"/>
      <c r="J1056" s="28" t="s">
        <v>11070</v>
      </c>
      <c r="K1056" s="28" t="s">
        <v>5186</v>
      </c>
      <c r="L1056" s="28" t="s">
        <v>5196</v>
      </c>
      <c r="M1056" s="56" t="s">
        <v>11941</v>
      </c>
      <c r="N1056" s="57">
        <v>44658.40347222222</v>
      </c>
      <c r="O1056" s="58">
        <v>39513.0</v>
      </c>
      <c r="P1056" s="28">
        <f t="shared" si="32"/>
        <v>18</v>
      </c>
      <c r="Q1056" s="28" t="s">
        <v>240</v>
      </c>
      <c r="R1056" s="28" t="s">
        <v>11942</v>
      </c>
      <c r="S1056" s="28">
        <v>6.0</v>
      </c>
      <c r="T1056" s="28">
        <v>12.0</v>
      </c>
      <c r="U1056" s="28">
        <v>30.0</v>
      </c>
      <c r="V1056" s="28">
        <v>25.0</v>
      </c>
      <c r="W1056" s="28" t="s">
        <v>1173</v>
      </c>
      <c r="X1056" s="28" t="s">
        <v>272</v>
      </c>
      <c r="Y1056" s="28" t="s">
        <v>11943</v>
      </c>
      <c r="Z1056" s="28" t="s">
        <v>5352</v>
      </c>
      <c r="AA1056" s="28" t="s">
        <v>5287</v>
      </c>
      <c r="AB1056" s="28">
        <v>26.0</v>
      </c>
      <c r="AC1056" s="28" t="s">
        <v>24</v>
      </c>
      <c r="AD1056" s="23"/>
      <c r="AE1056" s="28" t="s">
        <v>10</v>
      </c>
      <c r="AF1056" s="23"/>
      <c r="AG1056" s="23"/>
      <c r="AH1056" s="23" t="str">
        <f>IFERROR(__xludf.DUMMYFUNCTION("IF(
ISNUMBER(MATCH(
C1056,
IMPORTRANGE(""https://docs.google.com/spreadsheets/d/1yTh1ELC33JHYOeEdgIiEclxPRyh0zOKtlawDltfUay8"",""'Interns'!A:A""),
0
)),
""Outreach Conducted"",
"""")"),"")</f>
        <v/>
      </c>
      <c r="AI1056" s="23"/>
      <c r="AJ1056" s="23"/>
      <c r="AK1056" s="23" t="str">
        <f>IFERROR(__xludf.DUMMYFUNCTION("XLOOKUP(C1056, 
   IMPORTRANGE(""1RdEdgHYrZ33LJ7RUHj_h-qkAFL92bcVjtIdVa-UlsCw"", ""Interns!D:D""), 
   IMPORTRANGE(""1RdEdgHYrZ33LJ7RUHj_h-qkAFL92bcVjtIdVa-UlsCw"", ""Interns!M:M""), 
   ""Not Found"")"),"Contacted")</f>
        <v>Contacted</v>
      </c>
      <c r="AL1056" s="23" t="str">
        <f>IFERROR(__xludf.DUMMYFUNCTION("XLOOKUP(C1056, 
   IMPORTRANGE(""1RdEdgHYrZ33LJ7RUHj_h-qkAFL92bcVjtIdVa-UlsCw"", ""Interns!D:D""), 
   IMPORTRANGE(""1RdEdgHYrZ33LJ7RUHj_h-qkAFL92bcVjtIdVa-UlsCw"", ""Interns!N:N""), 
   ""Not Found"")"),"#Cheers4Careers")</f>
        <v>#Cheers4Careers</v>
      </c>
      <c r="AM1056" s="23" t="str">
        <f>IFERROR(__xludf.DUMMYFUNCTION("XLOOKUP(C1056, 
   IMPORTRANGE(""1RdEdgHYrZ33LJ7RUHj_h-qkAFL92bcVjtIdVa-UlsCw"", ""Interns!D:D""), 
   IMPORTRANGE(""1RdEdgHYrZ33LJ7RUHj_h-qkAFL92bcVjtIdVa-UlsCw"", ""Interns!O:O""), 
   ""Not Found"")"),"Hetal reached out by email 3/27")</f>
        <v>Hetal reached out by email 3/27</v>
      </c>
      <c r="AN1056" s="23"/>
      <c r="AO1056" s="23" t="s">
        <v>11944</v>
      </c>
      <c r="AP1056" s="28" t="s">
        <v>5182</v>
      </c>
      <c r="AQ1056" s="28"/>
      <c r="AR1056" s="23"/>
      <c r="AS1056" s="23"/>
      <c r="AT1056" s="23"/>
      <c r="AU1056" s="23"/>
      <c r="AV1056" s="23"/>
    </row>
    <row r="1057">
      <c r="A1057" s="28" t="s">
        <v>5161</v>
      </c>
      <c r="B1057" s="28" t="s">
        <v>5162</v>
      </c>
      <c r="C1057" s="23" t="str">
        <f t="shared" si="1"/>
        <v>Dipson Khatri Chhetri</v>
      </c>
      <c r="D1057" s="28" t="s">
        <v>11945</v>
      </c>
      <c r="E1057" s="28" t="s">
        <v>11946</v>
      </c>
      <c r="F1057" s="23">
        <f t="array" ref="F1057">IFERROR(
    INDEX('Hub Interns 226'!A:A, MATCH(C1057, 'Hub Interns 226'!B:B, 0)),"")</f>
        <v>452</v>
      </c>
      <c r="G1057" s="23">
        <f t="array" ref="G1057">IFERROR(
    INDEX('Hub Users 226'!A:A, MATCH(C1057, 'Hub Users 226'!B:B, 0)),"")</f>
        <v>885</v>
      </c>
      <c r="H1057" s="28">
        <v>747.0</v>
      </c>
      <c r="I1057" s="28" t="s">
        <v>290</v>
      </c>
      <c r="J1057" s="28" t="s">
        <v>11070</v>
      </c>
      <c r="K1057" s="28" t="s">
        <v>5186</v>
      </c>
      <c r="L1057" s="28" t="s">
        <v>5165</v>
      </c>
      <c r="M1057" s="56" t="s">
        <v>11947</v>
      </c>
      <c r="N1057" s="59">
        <v>44551.51458333333</v>
      </c>
      <c r="O1057" s="58">
        <v>38559.0</v>
      </c>
      <c r="P1057" s="28">
        <f t="shared" si="32"/>
        <v>20</v>
      </c>
      <c r="Q1057" s="28" t="s">
        <v>240</v>
      </c>
      <c r="R1057" s="28" t="s">
        <v>11948</v>
      </c>
      <c r="S1057" s="28">
        <v>6.0</v>
      </c>
      <c r="T1057" s="28">
        <v>13.0</v>
      </c>
      <c r="U1057" s="28">
        <v>39.0</v>
      </c>
      <c r="V1057" s="28">
        <v>25.0</v>
      </c>
      <c r="W1057" s="28" t="s">
        <v>1173</v>
      </c>
      <c r="X1057" s="28" t="s">
        <v>272</v>
      </c>
      <c r="Y1057" s="28" t="s">
        <v>11949</v>
      </c>
      <c r="Z1057" s="28" t="s">
        <v>5483</v>
      </c>
      <c r="AA1057" s="28" t="s">
        <v>457</v>
      </c>
      <c r="AB1057" s="28">
        <v>25.0</v>
      </c>
      <c r="AC1057" s="28" t="s">
        <v>25</v>
      </c>
      <c r="AD1057" s="23"/>
      <c r="AE1057" s="28" t="s">
        <v>10</v>
      </c>
      <c r="AF1057" s="23" t="str">
        <f>IFERROR(__xludf.DUMMYFUNCTION("TEXTJOIN("", "", TRUE,
  FILTER(Champions!C:C,
    ISNUMBER(SEARCH(C1057, Champions!W:W))
  )
)"),"Chetana Manjunath Kaushik, Oheneba Afriyie")</f>
        <v>Chetana Manjunath Kaushik, Oheneba Afriyie</v>
      </c>
      <c r="AG1057" s="23"/>
      <c r="AH1057" s="23" t="str">
        <f>IFERROR(__xludf.DUMMYFUNCTION("IF(
ISNUMBER(MATCH(
C1057,
IMPORTRANGE(""https://docs.google.com/spreadsheets/d/1yTh1ELC33JHYOeEdgIiEclxPRyh0zOKtlawDltfUay8"",""'Interns'!A:A""),
0
)),
""Outreach Conducted"",
"""")"),"")</f>
        <v/>
      </c>
      <c r="AI1057" s="23"/>
      <c r="AJ1057" s="23"/>
      <c r="AK1057" s="23" t="str">
        <f>IFERROR(__xludf.DUMMYFUNCTION("XLOOKUP(C1057, 
   IMPORTRANGE(""1RdEdgHYrZ33LJ7RUHj_h-qkAFL92bcVjtIdVa-UlsCw"", ""Interns!D:D""), 
   IMPORTRANGE(""1RdEdgHYrZ33LJ7RUHj_h-qkAFL92bcVjtIdVa-UlsCw"", ""Interns!M:M""), 
   ""Not Found"")"),"Contacted")</f>
        <v>Contacted</v>
      </c>
      <c r="AL1057" s="23" t="str">
        <f>IFERROR(__xludf.DUMMYFUNCTION("XLOOKUP(C1057, 
   IMPORTRANGE(""1RdEdgHYrZ33LJ7RUHj_h-qkAFL92bcVjtIdVa-UlsCw"", ""Interns!D:D""), 
   IMPORTRANGE(""1RdEdgHYrZ33LJ7RUHj_h-qkAFL92bcVjtIdVa-UlsCw"", ""Interns!N:N""), 
   ""Not Found"")"),"#Cheers4Careers")</f>
        <v>#Cheers4Careers</v>
      </c>
      <c r="AM1057" s="23" t="str">
        <f>IFERROR(__xludf.DUMMYFUNCTION("XLOOKUP(C1057, 
   IMPORTRANGE(""1RdEdgHYrZ33LJ7RUHj_h-qkAFL92bcVjtIdVa-UlsCw"", ""Interns!D:D""), 
   IMPORTRANGE(""1RdEdgHYrZ33LJ7RUHj_h-qkAFL92bcVjtIdVa-UlsCw"", ""Interns!O:O""), 
   ""Not Found"")"),"Hetal reached out by email 3/27")</f>
        <v>Hetal reached out by email 3/27</v>
      </c>
      <c r="AN1057" s="23"/>
      <c r="AO1057" s="23" t="s">
        <v>11950</v>
      </c>
      <c r="AP1057" s="28" t="s">
        <v>5191</v>
      </c>
      <c r="AQ1057" s="28" t="s">
        <v>11951</v>
      </c>
      <c r="AR1057" s="23" t="s">
        <v>11952</v>
      </c>
      <c r="AS1057" s="23"/>
      <c r="AT1057" s="23"/>
      <c r="AU1057" s="23"/>
      <c r="AV1057" s="23"/>
    </row>
    <row r="1058">
      <c r="A1058" s="28" t="s">
        <v>5161</v>
      </c>
      <c r="B1058" s="28" t="s">
        <v>5162</v>
      </c>
      <c r="C1058" s="23" t="str">
        <f t="shared" si="1"/>
        <v>Aarjit Oli</v>
      </c>
      <c r="D1058" s="22" t="s">
        <v>11953</v>
      </c>
      <c r="E1058" s="22" t="s">
        <v>11954</v>
      </c>
      <c r="F1058" s="23"/>
      <c r="G1058" s="23"/>
      <c r="H1058" s="22">
        <v>2005.0</v>
      </c>
      <c r="I1058" s="28"/>
      <c r="J1058" s="28" t="s">
        <v>11070</v>
      </c>
      <c r="K1058" s="28" t="s">
        <v>5186</v>
      </c>
      <c r="L1058" s="28" t="s">
        <v>5165</v>
      </c>
      <c r="M1058" s="29" t="s">
        <v>11955</v>
      </c>
      <c r="N1058" s="63">
        <v>45615.509722222225</v>
      </c>
      <c r="O1058" s="25">
        <v>41600.0</v>
      </c>
      <c r="P1058" s="28">
        <f t="shared" si="32"/>
        <v>12</v>
      </c>
      <c r="Q1058" s="62" t="s">
        <v>11956</v>
      </c>
      <c r="R1058" s="22" t="s">
        <v>11957</v>
      </c>
      <c r="S1058" s="28"/>
      <c r="T1058" s="28"/>
      <c r="U1058" s="28"/>
      <c r="V1058" s="28"/>
      <c r="W1058" s="28"/>
      <c r="X1058" s="28"/>
      <c r="Y1058" s="64"/>
      <c r="Z1058" s="22" t="s">
        <v>5536</v>
      </c>
      <c r="AA1058" s="28" t="s">
        <v>5287</v>
      </c>
      <c r="AB1058" s="28">
        <v>26.0</v>
      </c>
      <c r="AC1058" s="28" t="s">
        <v>27</v>
      </c>
      <c r="AD1058" s="23"/>
      <c r="AE1058" s="28" t="s">
        <v>19</v>
      </c>
      <c r="AF1058" s="23"/>
      <c r="AG1058" s="23"/>
      <c r="AH1058" s="23" t="str">
        <f>IFERROR(__xludf.DUMMYFUNCTION("IF(
ISNUMBER(MATCH(
C1058,
IMPORTRANGE(""https://docs.google.com/spreadsheets/d/1yTh1ELC33JHYOeEdgIiEclxPRyh0zOKtlawDltfUay8"",""'Interns'!A:A""),
0
)),
""Outreach Conducted"",
"""")"),"")</f>
        <v/>
      </c>
      <c r="AI1058" s="23"/>
      <c r="AJ1058" s="23"/>
      <c r="AK1058" s="23" t="str">
        <f>IFERROR(__xludf.DUMMYFUNCTION("XLOOKUP(C1058, 
   IMPORTRANGE(""1RdEdgHYrZ33LJ7RUHj_h-qkAFL92bcVjtIdVa-UlsCw"", ""Interns!D:D""), 
   IMPORTRANGE(""1RdEdgHYrZ33LJ7RUHj_h-qkAFL92bcVjtIdVa-UlsCw"", ""Interns!M:M""), 
   ""Not Found"")"),"Not Found")</f>
        <v>Not Found</v>
      </c>
      <c r="AL1058" s="23" t="str">
        <f>IFERROR(__xludf.DUMMYFUNCTION("XLOOKUP(C1058, 
   IMPORTRANGE(""1RdEdgHYrZ33LJ7RUHj_h-qkAFL92bcVjtIdVa-UlsCw"", ""Interns!D:D""), 
   IMPORTRANGE(""1RdEdgHYrZ33LJ7RUHj_h-qkAFL92bcVjtIdVa-UlsCw"", ""Interns!N:N""), 
   ""Not Found"")"),"Not Found")</f>
        <v>Not Found</v>
      </c>
      <c r="AM1058" s="23" t="str">
        <f>IFERROR(__xludf.DUMMYFUNCTION("XLOOKUP(C1058, 
   IMPORTRANGE(""1RdEdgHYrZ33LJ7RUHj_h-qkAFL92bcVjtIdVa-UlsCw"", ""Interns!D:D""), 
   IMPORTRANGE(""1RdEdgHYrZ33LJ7RUHj_h-qkAFL92bcVjtIdVa-UlsCw"", ""Interns!O:O""), 
   ""Not Found"")"),"Not Found")</f>
        <v>Not Found</v>
      </c>
      <c r="AN1058" s="23"/>
      <c r="AO1058" s="23" t="s">
        <v>11958</v>
      </c>
      <c r="AP1058" s="28" t="s">
        <v>5182</v>
      </c>
      <c r="AQ1058" s="28" t="s">
        <v>11959</v>
      </c>
      <c r="AR1058" s="23" t="s">
        <v>11960</v>
      </c>
      <c r="AS1058" s="23"/>
      <c r="AT1058" s="23"/>
      <c r="AU1058" s="23"/>
      <c r="AV1058" s="23"/>
    </row>
    <row r="1059">
      <c r="A1059" s="28" t="s">
        <v>5161</v>
      </c>
      <c r="B1059" s="28" t="s">
        <v>5162</v>
      </c>
      <c r="C1059" s="23" t="str">
        <f t="shared" si="1"/>
        <v>Yogesh Karki</v>
      </c>
      <c r="D1059" s="28" t="s">
        <v>11961</v>
      </c>
      <c r="E1059" s="28" t="s">
        <v>1168</v>
      </c>
      <c r="F1059" s="23">
        <f t="array" ref="F1059">IFERROR(
    INDEX('Hub Interns 226'!A:A, MATCH(C1059, 'Hub Interns 226'!B:B, 0)),"")</f>
        <v>1597</v>
      </c>
      <c r="G1059" s="23">
        <f t="array" ref="G1059">IFERROR(
    INDEX('Hub Users 226'!A:A, MATCH(C1059, 'Hub Users 226'!B:B, 0)),"")</f>
        <v>2203</v>
      </c>
      <c r="H1059" s="28">
        <v>1722.0</v>
      </c>
      <c r="I1059" s="28"/>
      <c r="J1059" s="28" t="s">
        <v>11070</v>
      </c>
      <c r="K1059" s="28" t="s">
        <v>5186</v>
      </c>
      <c r="L1059" s="28" t="s">
        <v>5165</v>
      </c>
      <c r="M1059" s="56" t="s">
        <v>11962</v>
      </c>
      <c r="N1059" s="57">
        <v>45266.58263888889</v>
      </c>
      <c r="O1059" s="58">
        <v>40229.0</v>
      </c>
      <c r="P1059" s="28">
        <f t="shared" si="32"/>
        <v>16</v>
      </c>
      <c r="Q1059" s="28" t="s">
        <v>240</v>
      </c>
      <c r="R1059" s="28" t="s">
        <v>11963</v>
      </c>
      <c r="S1059" s="28">
        <v>7.0</v>
      </c>
      <c r="T1059" s="28">
        <v>12.0</v>
      </c>
      <c r="U1059" s="28">
        <v>37.0</v>
      </c>
      <c r="V1059" s="28">
        <v>26.0</v>
      </c>
      <c r="W1059" s="28" t="s">
        <v>1173</v>
      </c>
      <c r="X1059" s="28" t="s">
        <v>272</v>
      </c>
      <c r="Y1059" s="28" t="s">
        <v>5351</v>
      </c>
      <c r="Z1059" s="28" t="s">
        <v>5352</v>
      </c>
      <c r="AA1059" s="28" t="s">
        <v>5287</v>
      </c>
      <c r="AB1059" s="28">
        <v>26.0</v>
      </c>
      <c r="AC1059" s="28" t="s">
        <v>27</v>
      </c>
      <c r="AD1059" s="23"/>
      <c r="AE1059" s="28" t="s">
        <v>18</v>
      </c>
      <c r="AF1059" s="23"/>
      <c r="AG1059" s="23"/>
      <c r="AH1059" s="23" t="str">
        <f>IFERROR(__xludf.DUMMYFUNCTION("IF(
ISNUMBER(MATCH(
C1059,
IMPORTRANGE(""https://docs.google.com/spreadsheets/d/1yTh1ELC33JHYOeEdgIiEclxPRyh0zOKtlawDltfUay8"",""'Interns'!A:A""),
0
)),
""Outreach Conducted"",
"""")"),"")</f>
        <v/>
      </c>
      <c r="AI1059" s="23"/>
      <c r="AJ1059" s="23"/>
      <c r="AK1059" s="23" t="str">
        <f>IFERROR(__xludf.DUMMYFUNCTION("XLOOKUP(C1059, 
   IMPORTRANGE(""1RdEdgHYrZ33LJ7RUHj_h-qkAFL92bcVjtIdVa-UlsCw"", ""Interns!D:D""), 
   IMPORTRANGE(""1RdEdgHYrZ33LJ7RUHj_h-qkAFL92bcVjtIdVa-UlsCw"", ""Interns!M:M""), 
   ""Not Found"")"),"Contacted")</f>
        <v>Contacted</v>
      </c>
      <c r="AL1059" s="23" t="str">
        <f>IFERROR(__xludf.DUMMYFUNCTION("XLOOKUP(C1059, 
   IMPORTRANGE(""1RdEdgHYrZ33LJ7RUHj_h-qkAFL92bcVjtIdVa-UlsCw"", ""Interns!D:D""), 
   IMPORTRANGE(""1RdEdgHYrZ33LJ7RUHj_h-qkAFL92bcVjtIdVa-UlsCw"", ""Interns!N:N""), 
   ""Not Found"")"),"#Cheers4Careers")</f>
        <v>#Cheers4Careers</v>
      </c>
      <c r="AM1059" s="23" t="str">
        <f>IFERROR(__xludf.DUMMYFUNCTION("XLOOKUP(C1059, 
   IMPORTRANGE(""1RdEdgHYrZ33LJ7RUHj_h-qkAFL92bcVjtIdVa-UlsCw"", ""Interns!D:D""), 
   IMPORTRANGE(""1RdEdgHYrZ33LJ7RUHj_h-qkAFL92bcVjtIdVa-UlsCw"", ""Interns!O:O""), 
   ""Not Found"")"),"Hetal reached out by email 3/27")</f>
        <v>Hetal reached out by email 3/27</v>
      </c>
      <c r="AN1059" s="23"/>
      <c r="AO1059" s="23" t="s">
        <v>11964</v>
      </c>
      <c r="AP1059" s="28" t="s">
        <v>5191</v>
      </c>
      <c r="AQ1059" s="28"/>
      <c r="AR1059" s="23"/>
      <c r="AS1059" s="23"/>
      <c r="AT1059" s="23"/>
      <c r="AU1059" s="23"/>
      <c r="AV1059" s="23"/>
    </row>
    <row r="1060">
      <c r="A1060" s="28" t="s">
        <v>5202</v>
      </c>
      <c r="B1060" s="28" t="s">
        <v>5162</v>
      </c>
      <c r="C1060" s="23" t="str">
        <f t="shared" si="1"/>
        <v>Zhenhua Tan</v>
      </c>
      <c r="D1060" s="28" t="s">
        <v>11965</v>
      </c>
      <c r="E1060" s="28" t="s">
        <v>1819</v>
      </c>
      <c r="F1060" s="23">
        <f t="array" ref="F1060">IFERROR(
    INDEX('Hub Interns 226'!A:A, MATCH(C1060, 'Hub Interns 226'!B:B, 0)),"")</f>
        <v>1161</v>
      </c>
      <c r="G1060" s="23">
        <f t="array" ref="G1060">IFERROR(
    INDEX('Hub Users 226'!A:A, MATCH(C1060, 'Hub Users 226'!B:B, 0)),"")</f>
        <v>1594</v>
      </c>
      <c r="H1060" s="28">
        <v>987.0</v>
      </c>
      <c r="I1060" s="28"/>
      <c r="J1060" s="28" t="s">
        <v>11399</v>
      </c>
      <c r="K1060" s="28" t="s">
        <v>5186</v>
      </c>
      <c r="L1060" s="28" t="s">
        <v>5196</v>
      </c>
      <c r="M1060" s="56" t="s">
        <v>11966</v>
      </c>
      <c r="N1060" s="57">
        <v>44643.856944444444</v>
      </c>
      <c r="O1060" s="58">
        <v>38195.0</v>
      </c>
      <c r="P1060" s="28">
        <f t="shared" si="32"/>
        <v>21</v>
      </c>
      <c r="Q1060" s="28" t="s">
        <v>240</v>
      </c>
      <c r="R1060" s="28" t="s">
        <v>11967</v>
      </c>
      <c r="S1060" s="28">
        <v>14.0</v>
      </c>
      <c r="T1060" s="28">
        <v>11.0</v>
      </c>
      <c r="U1060" s="28">
        <v>27.0</v>
      </c>
      <c r="V1060" s="28">
        <v>19.0</v>
      </c>
      <c r="W1060" s="28" t="s">
        <v>1173</v>
      </c>
      <c r="X1060" s="28" t="s">
        <v>272</v>
      </c>
      <c r="Y1060" s="28" t="s">
        <v>11968</v>
      </c>
      <c r="Z1060" s="28" t="s">
        <v>5189</v>
      </c>
      <c r="AA1060" s="28" t="s">
        <v>619</v>
      </c>
      <c r="AB1060" s="28">
        <v>20.0</v>
      </c>
      <c r="AC1060" s="28" t="s">
        <v>24</v>
      </c>
      <c r="AD1060" s="23"/>
      <c r="AE1060" s="28" t="s">
        <v>10</v>
      </c>
      <c r="AF1060" s="23"/>
      <c r="AG1060" s="23"/>
      <c r="AH1060" s="23" t="str">
        <f>IFERROR(__xludf.DUMMYFUNCTION("IF(
ISNUMBER(MATCH(
C1060,
IMPORTRANGE(""https://docs.google.com/spreadsheets/d/1yTh1ELC33JHYOeEdgIiEclxPRyh0zOKtlawDltfUay8"",""'Interns'!A:A""),
0
)),
""Outreach Conducted"",
"""")"),"")</f>
        <v/>
      </c>
      <c r="AI1060" s="23"/>
      <c r="AJ1060" s="23"/>
      <c r="AK1060" s="23" t="str">
        <f>IFERROR(__xludf.DUMMYFUNCTION("XLOOKUP(C1060, 
   IMPORTRANGE(""1RdEdgHYrZ33LJ7RUHj_h-qkAFL92bcVjtIdVa-UlsCw"", ""Interns!D:D""), 
   IMPORTRANGE(""1RdEdgHYrZ33LJ7RUHj_h-qkAFL92bcVjtIdVa-UlsCw"", ""Interns!M:M""), 
   ""Not Found"")"),"")</f>
        <v/>
      </c>
      <c r="AL1060" s="23" t="str">
        <f>IFERROR(__xludf.DUMMYFUNCTION("XLOOKUP(C1060, 
   IMPORTRANGE(""1RdEdgHYrZ33LJ7RUHj_h-qkAFL92bcVjtIdVa-UlsCw"", ""Interns!D:D""), 
   IMPORTRANGE(""1RdEdgHYrZ33LJ7RUHj_h-qkAFL92bcVjtIdVa-UlsCw"", ""Interns!N:N""), 
   ""Not Found"")"),"")</f>
        <v/>
      </c>
      <c r="AM1060" s="23" t="str">
        <f>IFERROR(__xludf.DUMMYFUNCTION("XLOOKUP(C1060, 
   IMPORTRANGE(""1RdEdgHYrZ33LJ7RUHj_h-qkAFL92bcVjtIdVa-UlsCw"", ""Interns!D:D""), 
   IMPORTRANGE(""1RdEdgHYrZ33LJ7RUHj_h-qkAFL92bcVjtIdVa-UlsCw"", ""Interns!O:O""), 
   ""Not Found"")"),"")</f>
        <v/>
      </c>
      <c r="AN1060" s="23"/>
      <c r="AO1060" s="23" t="s">
        <v>11969</v>
      </c>
      <c r="AP1060" s="28" t="s">
        <v>5173</v>
      </c>
      <c r="AQ1060" s="28"/>
      <c r="AR1060" s="23"/>
      <c r="AS1060" s="23"/>
      <c r="AT1060" s="23"/>
      <c r="AU1060" s="23"/>
      <c r="AV1060" s="23"/>
    </row>
    <row r="1061">
      <c r="A1061" s="28" t="s">
        <v>5161</v>
      </c>
      <c r="B1061" s="28" t="s">
        <v>5162</v>
      </c>
      <c r="C1061" s="23" t="str">
        <f t="shared" si="1"/>
        <v>Yoban Pakhrin</v>
      </c>
      <c r="D1061" s="28" t="s">
        <v>11068</v>
      </c>
      <c r="E1061" s="28" t="s">
        <v>11069</v>
      </c>
      <c r="F1061" s="23">
        <f t="array" ref="F1061">IFERROR(
    INDEX('Hub Interns 226'!A:A, MATCH(C1061, 'Hub Interns 226'!B:B, 0)),"")</f>
        <v>1244</v>
      </c>
      <c r="G1061" s="23">
        <f t="array" ref="G1061">IFERROR(
    INDEX('Hub Users 226'!A:A, MATCH(C1061, 'Hub Users 226'!B:B, 0)),"")</f>
        <v>1677</v>
      </c>
      <c r="H1061" s="28">
        <v>1385.0</v>
      </c>
      <c r="I1061" s="28"/>
      <c r="J1061" s="28" t="s">
        <v>11070</v>
      </c>
      <c r="K1061" s="28" t="s">
        <v>5186</v>
      </c>
      <c r="L1061" s="28" t="s">
        <v>5165</v>
      </c>
      <c r="M1061" s="56" t="s">
        <v>11970</v>
      </c>
      <c r="N1061" s="59">
        <v>44862.525</v>
      </c>
      <c r="O1061" s="58">
        <v>40446.0</v>
      </c>
      <c r="P1061" s="28">
        <f t="shared" si="32"/>
        <v>15</v>
      </c>
      <c r="Q1061" s="28" t="s">
        <v>240</v>
      </c>
      <c r="R1061" s="28" t="s">
        <v>11971</v>
      </c>
      <c r="S1061" s="28">
        <v>7.0</v>
      </c>
      <c r="T1061" s="28">
        <v>12.0</v>
      </c>
      <c r="U1061" s="28">
        <v>37.0</v>
      </c>
      <c r="V1061" s="28">
        <v>26.0</v>
      </c>
      <c r="W1061" s="28" t="s">
        <v>1173</v>
      </c>
      <c r="X1061" s="28" t="s">
        <v>272</v>
      </c>
      <c r="Y1061" s="28" t="s">
        <v>11972</v>
      </c>
      <c r="Z1061" s="28" t="s">
        <v>5352</v>
      </c>
      <c r="AA1061" s="28" t="s">
        <v>5287</v>
      </c>
      <c r="AB1061" s="28">
        <v>26.0</v>
      </c>
      <c r="AC1061" s="28" t="s">
        <v>23</v>
      </c>
      <c r="AD1061" s="23"/>
      <c r="AE1061" s="28" t="s">
        <v>15</v>
      </c>
      <c r="AF1061" s="23"/>
      <c r="AG1061" s="23"/>
      <c r="AH1061" s="23" t="str">
        <f>IFERROR(__xludf.DUMMYFUNCTION("IF(
ISNUMBER(MATCH(
C1061,
IMPORTRANGE(""https://docs.google.com/spreadsheets/d/1yTh1ELC33JHYOeEdgIiEclxPRyh0zOKtlawDltfUay8"",""'Interns'!A:A""),
0
)),
""Outreach Conducted"",
"""")"),"")</f>
        <v/>
      </c>
      <c r="AI1061" s="23"/>
      <c r="AJ1061" s="23"/>
      <c r="AK1061" s="23" t="str">
        <f>IFERROR(__xludf.DUMMYFUNCTION("XLOOKUP(C1061, 
   IMPORTRANGE(""1RdEdgHYrZ33LJ7RUHj_h-qkAFL92bcVjtIdVa-UlsCw"", ""Interns!D:D""), 
   IMPORTRANGE(""1RdEdgHYrZ33LJ7RUHj_h-qkAFL92bcVjtIdVa-UlsCw"", ""Interns!M:M""), 
   ""Not Found"")"),"Contacted")</f>
        <v>Contacted</v>
      </c>
      <c r="AL1061" s="23" t="str">
        <f>IFERROR(__xludf.DUMMYFUNCTION("XLOOKUP(C1061, 
   IMPORTRANGE(""1RdEdgHYrZ33LJ7RUHj_h-qkAFL92bcVjtIdVa-UlsCw"", ""Interns!D:D""), 
   IMPORTRANGE(""1RdEdgHYrZ33LJ7RUHj_h-qkAFL92bcVjtIdVa-UlsCw"", ""Interns!N:N""), 
   ""Not Found"")"),"#Cheers4Careers")</f>
        <v>#Cheers4Careers</v>
      </c>
      <c r="AM1061" s="23" t="str">
        <f>IFERROR(__xludf.DUMMYFUNCTION("XLOOKUP(C1061,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1061" s="23"/>
      <c r="AO1061" s="23" t="s">
        <v>11961</v>
      </c>
      <c r="AP1061" s="28" t="s">
        <v>5182</v>
      </c>
      <c r="AQ1061" s="28"/>
      <c r="AR1061" s="23"/>
      <c r="AS1061" s="23"/>
      <c r="AT1061" s="23"/>
      <c r="AU1061" s="23"/>
      <c r="AV1061" s="23"/>
    </row>
    <row r="1062">
      <c r="A1062" s="28" t="s">
        <v>5161</v>
      </c>
      <c r="B1062" s="28" t="s">
        <v>5162</v>
      </c>
      <c r="C1062" s="23" t="str">
        <f t="shared" si="1"/>
        <v>Sovana Dahal</v>
      </c>
      <c r="D1062" s="28" t="s">
        <v>11973</v>
      </c>
      <c r="E1062" s="28" t="s">
        <v>11974</v>
      </c>
      <c r="F1062" s="23">
        <f t="array" ref="F1062">IFERROR(
    INDEX('Hub Interns 226'!A:A, MATCH(C1062, 'Hub Interns 226'!B:B, 0)),"")</f>
        <v>1116</v>
      </c>
      <c r="G1062" s="23">
        <f t="array" ref="G1062">IFERROR(
    INDEX('Hub Users 226'!A:A, MATCH(C1062, 'Hub Users 226'!B:B, 0)),"")</f>
        <v>1549</v>
      </c>
      <c r="H1062" s="28">
        <v>75.0</v>
      </c>
      <c r="I1062" s="28" t="s">
        <v>260</v>
      </c>
      <c r="J1062" s="28" t="s">
        <v>11070</v>
      </c>
      <c r="K1062" s="28" t="s">
        <v>5186</v>
      </c>
      <c r="L1062" s="28" t="s">
        <v>5196</v>
      </c>
      <c r="M1062" s="56" t="s">
        <v>11975</v>
      </c>
      <c r="N1062" s="57">
        <v>43741.63125</v>
      </c>
      <c r="O1062" s="58">
        <v>37622.0</v>
      </c>
      <c r="P1062" s="28">
        <f t="shared" si="32"/>
        <v>23</v>
      </c>
      <c r="Q1062" s="28" t="s">
        <v>11976</v>
      </c>
      <c r="R1062" s="28" t="s">
        <v>11977</v>
      </c>
      <c r="S1062" s="28">
        <v>7.0</v>
      </c>
      <c r="T1062" s="28">
        <v>12.0</v>
      </c>
      <c r="U1062" s="28">
        <v>37.0</v>
      </c>
      <c r="V1062" s="28">
        <v>26.0</v>
      </c>
      <c r="W1062" s="28" t="s">
        <v>294</v>
      </c>
      <c r="X1062" s="28" t="s">
        <v>272</v>
      </c>
      <c r="Y1062" s="28" t="s">
        <v>11978</v>
      </c>
      <c r="Z1062" s="28" t="s">
        <v>10736</v>
      </c>
      <c r="AA1062" s="28" t="s">
        <v>10736</v>
      </c>
      <c r="AB1062" s="28">
        <v>35.0</v>
      </c>
      <c r="AC1062" s="28" t="s">
        <v>25</v>
      </c>
      <c r="AD1062" s="23"/>
      <c r="AE1062" s="28" t="s">
        <v>4</v>
      </c>
      <c r="AF1062" s="23" t="str">
        <f>IFERROR(__xludf.DUMMYFUNCTION("TEXTJOIN("", "", TRUE,
  FILTER(Champions!C:C,
    ISNUMBER(SEARCH(C1062, Champions!W:W))
  )
)"),"Naina Mehta")</f>
        <v>Naina Mehta</v>
      </c>
      <c r="AG1062" s="23"/>
      <c r="AH1062" s="23" t="str">
        <f>IFERROR(__xludf.DUMMYFUNCTION("IF(
ISNUMBER(MATCH(
C1062,
IMPORTRANGE(""https://docs.google.com/spreadsheets/d/1yTh1ELC33JHYOeEdgIiEclxPRyh0zOKtlawDltfUay8"",""'Interns'!A:A""),
0
)),
""Outreach Conducted"",
"""")"),"")</f>
        <v/>
      </c>
      <c r="AI1062" s="23"/>
      <c r="AJ1062" s="23"/>
      <c r="AK1062" s="23" t="str">
        <f>IFERROR(__xludf.DUMMYFUNCTION("XLOOKUP(C1062, 
   IMPORTRANGE(""1RdEdgHYrZ33LJ7RUHj_h-qkAFL92bcVjtIdVa-UlsCw"", ""Interns!D:D""), 
   IMPORTRANGE(""1RdEdgHYrZ33LJ7RUHj_h-qkAFL92bcVjtIdVa-UlsCw"", ""Interns!M:M""), 
   ""Not Found"")"),"Contacted")</f>
        <v>Contacted</v>
      </c>
      <c r="AL1062" s="23" t="str">
        <f>IFERROR(__xludf.DUMMYFUNCTION("XLOOKUP(C1062, 
   IMPORTRANGE(""1RdEdgHYrZ33LJ7RUHj_h-qkAFL92bcVjtIdVa-UlsCw"", ""Interns!D:D""), 
   IMPORTRANGE(""1RdEdgHYrZ33LJ7RUHj_h-qkAFL92bcVjtIdVa-UlsCw"", ""Interns!N:N""), 
   ""Not Found"")"),"#Cheers4Careers")</f>
        <v>#Cheers4Careers</v>
      </c>
      <c r="AM1062" s="23" t="str">
        <f>IFERROR(__xludf.DUMMYFUNCTION("XLOOKUP(C1062, 
   IMPORTRANGE(""1RdEdgHYrZ33LJ7RUHj_h-qkAFL92bcVjtIdVa-UlsCw"", ""Interns!D:D""), 
   IMPORTRANGE(""1RdEdgHYrZ33LJ7RUHj_h-qkAFL92bcVjtIdVa-UlsCw"", ""Interns!O:O""), 
   ""Not Found"")"),"Hetal reached out by email 3/27")</f>
        <v>Hetal reached out by email 3/27</v>
      </c>
      <c r="AN1062" s="23"/>
      <c r="AO1062" s="23" t="s">
        <v>11979</v>
      </c>
      <c r="AP1062" s="28" t="s">
        <v>5191</v>
      </c>
      <c r="AQ1062" s="28" t="s">
        <v>11980</v>
      </c>
      <c r="AR1062" s="23" t="s">
        <v>11981</v>
      </c>
      <c r="AS1062" s="23"/>
      <c r="AT1062" s="23"/>
      <c r="AU1062" s="23"/>
      <c r="AV1062" s="23"/>
    </row>
    <row r="1063">
      <c r="A1063" s="28" t="s">
        <v>5161</v>
      </c>
      <c r="B1063" s="28" t="s">
        <v>5162</v>
      </c>
      <c r="C1063" s="23" t="str">
        <f t="shared" si="1"/>
        <v>Europe Oli</v>
      </c>
      <c r="D1063" s="28" t="s">
        <v>5255</v>
      </c>
      <c r="E1063" s="28" t="s">
        <v>11954</v>
      </c>
      <c r="F1063" s="23">
        <f t="array" ref="F1063">IFERROR(
    INDEX('Hub Interns 226'!A:A, MATCH(C1063, 'Hub Interns 226'!B:B, 0)),"")</f>
        <v>502</v>
      </c>
      <c r="G1063" s="23">
        <f t="array" ref="G1063">IFERROR(
    INDEX('Hub Users 226'!A:A, MATCH(C1063, 'Hub Users 226'!B:B, 0)),"")</f>
        <v>935</v>
      </c>
      <c r="H1063" s="28">
        <v>750.0</v>
      </c>
      <c r="I1063" s="28" t="s">
        <v>290</v>
      </c>
      <c r="J1063" s="28" t="s">
        <v>11070</v>
      </c>
      <c r="K1063" s="28" t="s">
        <v>5186</v>
      </c>
      <c r="L1063" s="28" t="s">
        <v>5165</v>
      </c>
      <c r="M1063" s="56" t="s">
        <v>11982</v>
      </c>
      <c r="N1063" s="59">
        <v>44551.56527777778</v>
      </c>
      <c r="O1063" s="58">
        <v>38218.0</v>
      </c>
      <c r="P1063" s="28">
        <f t="shared" si="32"/>
        <v>21</v>
      </c>
      <c r="Q1063" s="28" t="s">
        <v>240</v>
      </c>
      <c r="R1063" s="28" t="s">
        <v>11983</v>
      </c>
      <c r="S1063" s="28">
        <v>7.0</v>
      </c>
      <c r="T1063" s="28">
        <v>12.0</v>
      </c>
      <c r="U1063" s="28">
        <v>37.0</v>
      </c>
      <c r="V1063" s="28">
        <v>26.0</v>
      </c>
      <c r="W1063" s="28" t="s">
        <v>1173</v>
      </c>
      <c r="X1063" s="28" t="s">
        <v>272</v>
      </c>
      <c r="Y1063" s="28" t="s">
        <v>11984</v>
      </c>
      <c r="Z1063" s="28" t="s">
        <v>5483</v>
      </c>
      <c r="AA1063" s="28" t="s">
        <v>457</v>
      </c>
      <c r="AB1063" s="28">
        <v>25.0</v>
      </c>
      <c r="AC1063" s="28" t="s">
        <v>25</v>
      </c>
      <c r="AD1063" s="23"/>
      <c r="AE1063" s="28" t="s">
        <v>10</v>
      </c>
      <c r="AF1063" s="23" t="str">
        <f>IFERROR(__xludf.DUMMYFUNCTION("TEXTJOIN("", "", TRUE,
  FILTER(Champions!C:C,
    ISNUMBER(SEARCH(C1063, Champions!W:W))
  )
)"),"Olga Patel, Sahabia Ahmed")</f>
        <v>Olga Patel, Sahabia Ahmed</v>
      </c>
      <c r="AG1063" s="23"/>
      <c r="AH1063" s="23" t="str">
        <f>IFERROR(__xludf.DUMMYFUNCTION("IF(
ISNUMBER(MATCH(
C1063,
IMPORTRANGE(""https://docs.google.com/spreadsheets/d/1yTh1ELC33JHYOeEdgIiEclxPRyh0zOKtlawDltfUay8"",""'Interns'!A:A""),
0
)),
""Outreach Conducted"",
"""")"),"")</f>
        <v/>
      </c>
      <c r="AI1063" s="23"/>
      <c r="AJ1063" s="23"/>
      <c r="AK1063" s="23" t="str">
        <f>IFERROR(__xludf.DUMMYFUNCTION("XLOOKUP(C1063, 
   IMPORTRANGE(""1RdEdgHYrZ33LJ7RUHj_h-qkAFL92bcVjtIdVa-UlsCw"", ""Interns!D:D""), 
   IMPORTRANGE(""1RdEdgHYrZ33LJ7RUHj_h-qkAFL92bcVjtIdVa-UlsCw"", ""Interns!M:M""), 
   ""Not Found"")"),"Contacted")</f>
        <v>Contacted</v>
      </c>
      <c r="AL1063" s="23" t="str">
        <f>IFERROR(__xludf.DUMMYFUNCTION("XLOOKUP(C1063, 
   IMPORTRANGE(""1RdEdgHYrZ33LJ7RUHj_h-qkAFL92bcVjtIdVa-UlsCw"", ""Interns!D:D""), 
   IMPORTRANGE(""1RdEdgHYrZ33LJ7RUHj_h-qkAFL92bcVjtIdVa-UlsCw"", ""Interns!N:N""), 
   ""Not Found"")"),"#Cheers4Careers")</f>
        <v>#Cheers4Careers</v>
      </c>
      <c r="AM1063" s="23" t="str">
        <f>IFERROR(__xludf.DUMMYFUNCTION("XLOOKUP(C1063, 
   IMPORTRANGE(""1RdEdgHYrZ33LJ7RUHj_h-qkAFL92bcVjtIdVa-UlsCw"", ""Interns!D:D""), 
   IMPORTRANGE(""1RdEdgHYrZ33LJ7RUHj_h-qkAFL92bcVjtIdVa-UlsCw"", ""Interns!O:O""), 
   ""Not Found"")"),"Hetal reached out by email 3/27")</f>
        <v>Hetal reached out by email 3/27</v>
      </c>
      <c r="AN1063" s="23"/>
      <c r="AO1063" s="23" t="s">
        <v>11985</v>
      </c>
      <c r="AP1063" s="28" t="s">
        <v>5191</v>
      </c>
      <c r="AQ1063" s="28" t="s">
        <v>11986</v>
      </c>
      <c r="AR1063" s="23" t="s">
        <v>11987</v>
      </c>
      <c r="AS1063" s="23"/>
      <c r="AT1063" s="23"/>
      <c r="AU1063" s="23"/>
      <c r="AV1063" s="23"/>
    </row>
    <row r="1064">
      <c r="A1064" s="28" t="s">
        <v>5202</v>
      </c>
      <c r="B1064" s="28" t="s">
        <v>5162</v>
      </c>
      <c r="C1064" s="23" t="str">
        <f t="shared" si="1"/>
        <v>Assetou (Assia) Sacko</v>
      </c>
      <c r="D1064" s="28" t="s">
        <v>11988</v>
      </c>
      <c r="E1064" s="28" t="s">
        <v>11989</v>
      </c>
      <c r="F1064" s="23">
        <f t="array" ref="F1064">IFERROR(
    INDEX('Hub Interns 226'!A:A, MATCH("Assia", 'Hub Interns 226'!B:B, 0)),"")</f>
        <v>2</v>
      </c>
      <c r="G1064" s="23">
        <f t="array" ref="G1064">IFERROR(
    INDEX('Hub Users 226'!A:A, MATCH("Assetou Sacko", 'Hub Users 226'!B:B, 0)),"")</f>
        <v>10</v>
      </c>
      <c r="H1064" s="28">
        <v>1624.0</v>
      </c>
      <c r="I1064" s="28" t="s">
        <v>239</v>
      </c>
      <c r="J1064" s="28" t="s">
        <v>11408</v>
      </c>
      <c r="K1064" s="28" t="s">
        <v>5245</v>
      </c>
      <c r="L1064" s="28" t="s">
        <v>5196</v>
      </c>
      <c r="M1064" s="56" t="s">
        <v>11990</v>
      </c>
      <c r="N1064" s="57">
        <v>45099.93472222222</v>
      </c>
      <c r="O1064" s="58">
        <v>38800.0</v>
      </c>
      <c r="P1064" s="28">
        <f t="shared" si="32"/>
        <v>20</v>
      </c>
      <c r="Q1064" s="28" t="s">
        <v>11991</v>
      </c>
      <c r="R1064" s="28" t="s">
        <v>11992</v>
      </c>
      <c r="S1064" s="28">
        <v>14.0</v>
      </c>
      <c r="T1064" s="28">
        <v>32.0</v>
      </c>
      <c r="U1064" s="28">
        <v>85.0</v>
      </c>
      <c r="V1064" s="28">
        <v>18.0</v>
      </c>
      <c r="W1064" s="28" t="s">
        <v>859</v>
      </c>
      <c r="X1064" s="28" t="s">
        <v>272</v>
      </c>
      <c r="Y1064" s="28" t="s">
        <v>11993</v>
      </c>
      <c r="Z1064" s="28" t="s">
        <v>5208</v>
      </c>
      <c r="AA1064" s="28" t="s">
        <v>2141</v>
      </c>
      <c r="AB1064" s="28">
        <v>8.0</v>
      </c>
      <c r="AC1064" s="28" t="s">
        <v>25</v>
      </c>
      <c r="AD1064" s="23"/>
      <c r="AE1064" s="28" t="s">
        <v>18</v>
      </c>
      <c r="AF1064" s="23" t="str">
        <f>IFERROR(__xludf.DUMMYFUNCTION("TEXTJOIN("", "", TRUE,
  FILTER(Champions!C:C,
    ISNUMBER(SEARCH(C1064, Champions!W:W))
  )
)"),"Anna Butuzova, Diane French")</f>
        <v>Anna Butuzova, Diane French</v>
      </c>
      <c r="AG1064" s="23"/>
      <c r="AH1064" s="23" t="str">
        <f>IFERROR(__xludf.DUMMYFUNCTION("IF(
ISNUMBER(MATCH(
C1064,
IMPORTRANGE(""https://docs.google.com/spreadsheets/d/1yTh1ELC33JHYOeEdgIiEclxPRyh0zOKtlawDltfUay8"",""'Interns'!A:A""),
0
)),
""Outreach Conducted"",
"""")"),"")</f>
        <v/>
      </c>
      <c r="AI1064" s="23"/>
      <c r="AJ1064" s="23"/>
      <c r="AK1064" s="23" t="str">
        <f>IFERROR(__xludf.DUMMYFUNCTION("XLOOKUP(C1064, 
   IMPORTRANGE(""1RdEdgHYrZ33LJ7RUHj_h-qkAFL92bcVjtIdVa-UlsCw"", ""Interns!D:D""), 
   IMPORTRANGE(""1RdEdgHYrZ33LJ7RUHj_h-qkAFL92bcVjtIdVa-UlsCw"", ""Interns!M:M""), 
   ""Not Found"")"),"")</f>
        <v/>
      </c>
      <c r="AL1064" s="23" t="str">
        <f>IFERROR(__xludf.DUMMYFUNCTION("XLOOKUP(C1064, 
   IMPORTRANGE(""1RdEdgHYrZ33LJ7RUHj_h-qkAFL92bcVjtIdVa-UlsCw"", ""Interns!D:D""), 
   IMPORTRANGE(""1RdEdgHYrZ33LJ7RUHj_h-qkAFL92bcVjtIdVa-UlsCw"", ""Interns!N:N""), 
   ""Not Found"")"),"")</f>
        <v/>
      </c>
      <c r="AM1064" s="23" t="str">
        <f>IFERROR(__xludf.DUMMYFUNCTION("XLOOKUP(C1064, 
   IMPORTRANGE(""1RdEdgHYrZ33LJ7RUHj_h-qkAFL92bcVjtIdVa-UlsCw"", ""Interns!D:D""), 
   IMPORTRANGE(""1RdEdgHYrZ33LJ7RUHj_h-qkAFL92bcVjtIdVa-UlsCw"", ""Interns!O:O""), 
   ""Not Found"")"),"")</f>
        <v/>
      </c>
      <c r="AN1064" s="23"/>
      <c r="AO1064" s="23" t="s">
        <v>11994</v>
      </c>
      <c r="AP1064" s="28" t="s">
        <v>5240</v>
      </c>
      <c r="AQ1064" s="28" t="s">
        <v>11995</v>
      </c>
      <c r="AR1064" s="23" t="s">
        <v>11996</v>
      </c>
      <c r="AS1064" s="23"/>
      <c r="AT1064" s="23"/>
      <c r="AU1064" s="23"/>
      <c r="AV1064" s="23"/>
    </row>
    <row r="1065">
      <c r="A1065" s="28" t="s">
        <v>5202</v>
      </c>
      <c r="B1065" s="28" t="s">
        <v>5162</v>
      </c>
      <c r="C1065" s="23" t="str">
        <f t="shared" si="1"/>
        <v>Halimatou Sacko</v>
      </c>
      <c r="D1065" s="28" t="s">
        <v>11997</v>
      </c>
      <c r="E1065" s="28" t="s">
        <v>11989</v>
      </c>
      <c r="F1065" s="23">
        <f t="array" ref="F1065">IFERROR(
    INDEX('Hub Interns 226'!A:A, MATCH(C1065, 'Hub Interns 226'!B:B, 0)),"")</f>
        <v>561</v>
      </c>
      <c r="G1065" s="23">
        <f t="array" ref="G1065">IFERROR(
    INDEX('Hub Users 226'!A:A, MATCH(C1065, 'Hub Users 226'!B:B, 0)),"")</f>
        <v>994</v>
      </c>
      <c r="H1065" s="28">
        <v>652.0</v>
      </c>
      <c r="I1065" s="28" t="s">
        <v>260</v>
      </c>
      <c r="J1065" s="28" t="s">
        <v>11408</v>
      </c>
      <c r="K1065" s="28" t="s">
        <v>5245</v>
      </c>
      <c r="L1065" s="28" t="s">
        <v>5196</v>
      </c>
      <c r="M1065" s="56" t="s">
        <v>11998</v>
      </c>
      <c r="N1065" s="59">
        <v>44511.913194444445</v>
      </c>
      <c r="O1065" s="58">
        <v>36918.0</v>
      </c>
      <c r="P1065" s="28">
        <f t="shared" si="32"/>
        <v>25</v>
      </c>
      <c r="Q1065" s="28" t="s">
        <v>240</v>
      </c>
      <c r="R1065" s="28" t="s">
        <v>11999</v>
      </c>
      <c r="S1065" s="28">
        <v>15.0</v>
      </c>
      <c r="T1065" s="28">
        <v>32.0</v>
      </c>
      <c r="U1065" s="28">
        <v>79.0</v>
      </c>
      <c r="V1065" s="28">
        <v>15.0</v>
      </c>
      <c r="W1065" s="28" t="s">
        <v>859</v>
      </c>
      <c r="X1065" s="28" t="s">
        <v>272</v>
      </c>
      <c r="Y1065" s="28" t="s">
        <v>12000</v>
      </c>
      <c r="Z1065" s="28" t="s">
        <v>5435</v>
      </c>
      <c r="AA1065" s="28" t="s">
        <v>5436</v>
      </c>
      <c r="AB1065" s="28">
        <v>10.0</v>
      </c>
      <c r="AC1065" s="28" t="s">
        <v>25</v>
      </c>
      <c r="AD1065" s="23"/>
      <c r="AE1065" s="28" t="s">
        <v>10</v>
      </c>
      <c r="AF1065" s="23" t="str">
        <f>IFERROR(__xludf.DUMMYFUNCTION("TEXTJOIN("", "", TRUE,
  FILTER(Champions!C:C,
    ISNUMBER(SEARCH(C1065, Champions!W:W))
  )
)"),"Kerry-Ann Henry, Nishika Vidanage-Lulejian")</f>
        <v>Kerry-Ann Henry, Nishika Vidanage-Lulejian</v>
      </c>
      <c r="AG1065" s="23"/>
      <c r="AH1065" s="23" t="str">
        <f>IFERROR(__xludf.DUMMYFUNCTION("IF(
ISNUMBER(MATCH(
C1065,
IMPORTRANGE(""https://docs.google.com/spreadsheets/d/1yTh1ELC33JHYOeEdgIiEclxPRyh0zOKtlawDltfUay8"",""'Interns'!A:A""),
0
)),
""Outreach Conducted"",
"""")"),"")</f>
        <v/>
      </c>
      <c r="AI1065" s="23"/>
      <c r="AJ1065" s="23"/>
      <c r="AK1065" s="23" t="str">
        <f>IFERROR(__xludf.DUMMYFUNCTION("XLOOKUP(C1065, 
   IMPORTRANGE(""1RdEdgHYrZ33LJ7RUHj_h-qkAFL92bcVjtIdVa-UlsCw"", ""Interns!D:D""), 
   IMPORTRANGE(""1RdEdgHYrZ33LJ7RUHj_h-qkAFL92bcVjtIdVa-UlsCw"", ""Interns!M:M""), 
   ""Not Found"")"),"")</f>
        <v/>
      </c>
      <c r="AL1065" s="23" t="str">
        <f>IFERROR(__xludf.DUMMYFUNCTION("XLOOKUP(C1065, 
   IMPORTRANGE(""1RdEdgHYrZ33LJ7RUHj_h-qkAFL92bcVjtIdVa-UlsCw"", ""Interns!D:D""), 
   IMPORTRANGE(""1RdEdgHYrZ33LJ7RUHj_h-qkAFL92bcVjtIdVa-UlsCw"", ""Interns!N:N""), 
   ""Not Found"")"),"")</f>
        <v/>
      </c>
      <c r="AM1065" s="23" t="str">
        <f>IFERROR(__xludf.DUMMYFUNCTION("XLOOKUP(C1065, 
   IMPORTRANGE(""1RdEdgHYrZ33LJ7RUHj_h-qkAFL92bcVjtIdVa-UlsCw"", ""Interns!D:D""), 
   IMPORTRANGE(""1RdEdgHYrZ33LJ7RUHj_h-qkAFL92bcVjtIdVa-UlsCw"", ""Interns!O:O""), 
   ""Not Found"")"),"")</f>
        <v/>
      </c>
      <c r="AN1065" s="23"/>
      <c r="AO1065" s="23" t="s">
        <v>12001</v>
      </c>
      <c r="AP1065" s="28" t="s">
        <v>5182</v>
      </c>
      <c r="AQ1065" s="28" t="s">
        <v>11998</v>
      </c>
      <c r="AR1065" s="23" t="s">
        <v>12002</v>
      </c>
      <c r="AS1065" s="28" t="s">
        <v>12003</v>
      </c>
      <c r="AT1065" s="23"/>
      <c r="AU1065" s="23"/>
      <c r="AV1065" s="23"/>
    </row>
    <row r="1066">
      <c r="A1066" s="28" t="s">
        <v>5202</v>
      </c>
      <c r="B1066" s="28" t="s">
        <v>5162</v>
      </c>
      <c r="C1066" s="23" t="str">
        <f t="shared" si="1"/>
        <v>Takezo Fujita Ostman</v>
      </c>
      <c r="D1066" s="28" t="s">
        <v>10045</v>
      </c>
      <c r="E1066" s="28" t="s">
        <v>10046</v>
      </c>
      <c r="F1066" s="23">
        <f t="array" ref="F1066">IFERROR(
    INDEX('Hub Interns 226'!A:A, MATCH(C1066, 'Hub Interns 226'!B:B, 0)),"")</f>
        <v>66</v>
      </c>
      <c r="G1066" s="23">
        <f t="array" ref="G1066">IFERROR(
    INDEX('Hub Users 226'!A:A, MATCH(C1066, 'Hub Users 226'!B:B, 0)),"")</f>
        <v>499</v>
      </c>
      <c r="H1066" s="28">
        <v>835.0</v>
      </c>
      <c r="I1066" s="28" t="s">
        <v>785</v>
      </c>
      <c r="J1066" s="28" t="s">
        <v>12004</v>
      </c>
      <c r="K1066" s="28" t="s">
        <v>11878</v>
      </c>
      <c r="L1066" s="28" t="s">
        <v>5165</v>
      </c>
      <c r="M1066" s="56" t="s">
        <v>10047</v>
      </c>
      <c r="N1066" s="57">
        <v>44575.61041666667</v>
      </c>
      <c r="O1066" s="58">
        <v>38009.0</v>
      </c>
      <c r="P1066" s="28">
        <f t="shared" si="32"/>
        <v>22</v>
      </c>
      <c r="Q1066" s="28" t="s">
        <v>240</v>
      </c>
      <c r="R1066" s="28" t="s">
        <v>10048</v>
      </c>
      <c r="S1066" s="28">
        <v>13.0</v>
      </c>
      <c r="T1066" s="28">
        <v>30.0</v>
      </c>
      <c r="U1066" s="28">
        <v>70.0</v>
      </c>
      <c r="V1066" s="28">
        <v>4.0</v>
      </c>
      <c r="W1066" s="28" t="s">
        <v>271</v>
      </c>
      <c r="X1066" s="28" t="s">
        <v>272</v>
      </c>
      <c r="Y1066" s="28" t="s">
        <v>10049</v>
      </c>
      <c r="Z1066" s="28" t="s">
        <v>5259</v>
      </c>
      <c r="AA1066" s="28" t="s">
        <v>704</v>
      </c>
      <c r="AB1066" s="28">
        <v>2.0</v>
      </c>
      <c r="AC1066" s="28" t="s">
        <v>25</v>
      </c>
      <c r="AD1066" s="23"/>
      <c r="AE1066" s="28" t="s">
        <v>10</v>
      </c>
      <c r="AF1066" s="23" t="str">
        <f>IFERROR(__xludf.DUMMYFUNCTION("TEXTJOIN("", "", TRUE,
  FILTER(Champions!C:C,
    ISNUMBER(SEARCH(C1066, Champions!W:W))
  )
)"),"John Mix, Scotney Young")</f>
        <v>John Mix, Scotney Young</v>
      </c>
      <c r="AG1066" s="23"/>
      <c r="AH1066" s="23" t="str">
        <f>IFERROR(__xludf.DUMMYFUNCTION("IF(
ISNUMBER(MATCH(
C1066,
IMPORTRANGE(""https://docs.google.com/spreadsheets/d/1yTh1ELC33JHYOeEdgIiEclxPRyh0zOKtlawDltfUay8"",""'Interns'!A:A""),
0
)),
""Outreach Conducted"",
"""")"),"")</f>
        <v/>
      </c>
      <c r="AI1066" s="23"/>
      <c r="AJ1066" s="23"/>
      <c r="AK1066" s="23" t="str">
        <f>IFERROR(__xludf.DUMMYFUNCTION("XLOOKUP(C1066, 
   IMPORTRANGE(""1RdEdgHYrZ33LJ7RUHj_h-qkAFL92bcVjtIdVa-UlsCw"", ""Interns!D:D""), 
   IMPORTRANGE(""1RdEdgHYrZ33LJ7RUHj_h-qkAFL92bcVjtIdVa-UlsCw"", ""Interns!M:M""), 
   ""Not Found"")"),"")</f>
        <v/>
      </c>
      <c r="AL1066" s="23" t="str">
        <f>IFERROR(__xludf.DUMMYFUNCTION("XLOOKUP(C1066, 
   IMPORTRANGE(""1RdEdgHYrZ33LJ7RUHj_h-qkAFL92bcVjtIdVa-UlsCw"", ""Interns!D:D""), 
   IMPORTRANGE(""1RdEdgHYrZ33LJ7RUHj_h-qkAFL92bcVjtIdVa-UlsCw"", ""Interns!N:N""), 
   ""Not Found"")"),"")</f>
        <v/>
      </c>
      <c r="AM1066" s="23" t="str">
        <f>IFERROR(__xludf.DUMMYFUNCTION("XLOOKUP(C1066, 
   IMPORTRANGE(""1RdEdgHYrZ33LJ7RUHj_h-qkAFL92bcVjtIdVa-UlsCw"", ""Interns!D:D""), 
   IMPORTRANGE(""1RdEdgHYrZ33LJ7RUHj_h-qkAFL92bcVjtIdVa-UlsCw"", ""Interns!O:O""), 
   ""Not Found"")"),"")</f>
        <v/>
      </c>
      <c r="AN1066" s="23"/>
      <c r="AO1066" s="23" t="s">
        <v>10050</v>
      </c>
      <c r="AP1066" s="28" t="s">
        <v>5191</v>
      </c>
      <c r="AQ1066" s="28" t="s">
        <v>10051</v>
      </c>
      <c r="AR1066" s="23" t="s">
        <v>10052</v>
      </c>
      <c r="AS1066" s="23"/>
      <c r="AT1066" s="23"/>
      <c r="AU1066" s="23"/>
      <c r="AV1066" s="23"/>
    </row>
    <row r="1067">
      <c r="A1067" s="28" t="s">
        <v>5161</v>
      </c>
      <c r="B1067" s="28" t="s">
        <v>5162</v>
      </c>
      <c r="C1067" s="23" t="str">
        <f t="shared" si="1"/>
        <v>Akarsan Gurung</v>
      </c>
      <c r="D1067" s="22" t="s">
        <v>12005</v>
      </c>
      <c r="E1067" s="22" t="s">
        <v>5348</v>
      </c>
      <c r="F1067" s="23"/>
      <c r="G1067" s="23"/>
      <c r="H1067" s="22">
        <v>2010.0</v>
      </c>
      <c r="I1067" s="28"/>
      <c r="J1067" s="28" t="s">
        <v>11070</v>
      </c>
      <c r="K1067" s="28" t="s">
        <v>5186</v>
      </c>
      <c r="L1067" s="28" t="s">
        <v>5165</v>
      </c>
      <c r="M1067" s="29" t="s">
        <v>12006</v>
      </c>
      <c r="N1067" s="63">
        <v>45615.50902777778</v>
      </c>
      <c r="O1067" s="25">
        <v>41286.0</v>
      </c>
      <c r="P1067" s="28">
        <f t="shared" si="32"/>
        <v>13</v>
      </c>
      <c r="Q1067" s="62" t="s">
        <v>240</v>
      </c>
      <c r="R1067" s="22" t="s">
        <v>12007</v>
      </c>
      <c r="S1067" s="28">
        <v>7.0</v>
      </c>
      <c r="T1067" s="28">
        <v>12.0</v>
      </c>
      <c r="U1067" s="28">
        <v>37.0</v>
      </c>
      <c r="V1067" s="28">
        <v>26.0</v>
      </c>
      <c r="W1067" s="28" t="s">
        <v>1173</v>
      </c>
      <c r="X1067" s="28" t="s">
        <v>272</v>
      </c>
      <c r="Y1067" s="64"/>
      <c r="Z1067" s="22" t="s">
        <v>5536</v>
      </c>
      <c r="AA1067" s="28" t="s">
        <v>5287</v>
      </c>
      <c r="AB1067" s="28">
        <v>26.0</v>
      </c>
      <c r="AC1067" s="28" t="s">
        <v>27</v>
      </c>
      <c r="AD1067" s="23"/>
      <c r="AE1067" s="28" t="s">
        <v>19</v>
      </c>
      <c r="AF1067" s="23"/>
      <c r="AG1067" s="23"/>
      <c r="AH1067" s="23" t="str">
        <f>IFERROR(__xludf.DUMMYFUNCTION("IF(
ISNUMBER(MATCH(
C1067,
IMPORTRANGE(""https://docs.google.com/spreadsheets/d/1yTh1ELC33JHYOeEdgIiEclxPRyh0zOKtlawDltfUay8"",""'Interns'!A:A""),
0
)),
""Outreach Conducted"",
"""")"),"")</f>
        <v/>
      </c>
      <c r="AI1067" s="23"/>
      <c r="AJ1067" s="23"/>
      <c r="AK1067" s="23" t="str">
        <f>IFERROR(__xludf.DUMMYFUNCTION("XLOOKUP(C1067, 
   IMPORTRANGE(""1RdEdgHYrZ33LJ7RUHj_h-qkAFL92bcVjtIdVa-UlsCw"", ""Interns!D:D""), 
   IMPORTRANGE(""1RdEdgHYrZ33LJ7RUHj_h-qkAFL92bcVjtIdVa-UlsCw"", ""Interns!M:M""), 
   ""Not Found"")"),"Not Found")</f>
        <v>Not Found</v>
      </c>
      <c r="AL1067" s="23" t="str">
        <f>IFERROR(__xludf.DUMMYFUNCTION("XLOOKUP(C1067, 
   IMPORTRANGE(""1RdEdgHYrZ33LJ7RUHj_h-qkAFL92bcVjtIdVa-UlsCw"", ""Interns!D:D""), 
   IMPORTRANGE(""1RdEdgHYrZ33LJ7RUHj_h-qkAFL92bcVjtIdVa-UlsCw"", ""Interns!N:N""), 
   ""Not Found"")"),"Not Found")</f>
        <v>Not Found</v>
      </c>
      <c r="AM1067" s="23" t="str">
        <f>IFERROR(__xludf.DUMMYFUNCTION("XLOOKUP(C1067, 
   IMPORTRANGE(""1RdEdgHYrZ33LJ7RUHj_h-qkAFL92bcVjtIdVa-UlsCw"", ""Interns!D:D""), 
   IMPORTRANGE(""1RdEdgHYrZ33LJ7RUHj_h-qkAFL92bcVjtIdVa-UlsCw"", ""Interns!O:O""), 
   ""Not Found"")"),"Not Found")</f>
        <v>Not Found</v>
      </c>
      <c r="AN1067" s="23"/>
      <c r="AO1067" s="23" t="s">
        <v>12008</v>
      </c>
      <c r="AP1067" s="28" t="s">
        <v>5240</v>
      </c>
      <c r="AQ1067" s="28" t="s">
        <v>12009</v>
      </c>
      <c r="AR1067" s="23">
        <v>9.298883432E9</v>
      </c>
      <c r="AS1067" s="23"/>
      <c r="AT1067" s="23"/>
      <c r="AU1067" s="23"/>
      <c r="AV1067" s="23"/>
    </row>
    <row r="1068">
      <c r="A1068" s="28" t="s">
        <v>5161</v>
      </c>
      <c r="B1068" s="28" t="s">
        <v>31</v>
      </c>
      <c r="C1068" s="23" t="str">
        <f t="shared" si="1"/>
        <v>Katerin Vasquez</v>
      </c>
      <c r="D1068" s="28" t="s">
        <v>10297</v>
      </c>
      <c r="E1068" s="28" t="s">
        <v>7764</v>
      </c>
      <c r="F1068" s="23">
        <f t="array" ref="F1068">IFERROR(
    INDEX('Hub Interns 226'!A:A, MATCH(C1068, 'Hub Interns 226'!B:B, 0)),"")</f>
        <v>730</v>
      </c>
      <c r="G1068" s="23">
        <f t="array" ref="G1068">IFERROR(
    INDEX('Hub Users 226'!A:A, MATCH(C1068, 'Hub Users 226'!B:B, 0)),"")</f>
        <v>1163</v>
      </c>
      <c r="H1068" s="28">
        <v>1135.0</v>
      </c>
      <c r="I1068" s="28" t="s">
        <v>407</v>
      </c>
      <c r="J1068" s="28"/>
      <c r="K1068" s="28"/>
      <c r="L1068" s="28" t="s">
        <v>5196</v>
      </c>
      <c r="M1068" s="56" t="s">
        <v>10298</v>
      </c>
      <c r="N1068" s="57">
        <v>44739.62152777778</v>
      </c>
      <c r="O1068" s="58">
        <v>38528.0</v>
      </c>
      <c r="P1068" s="28">
        <f t="shared" si="32"/>
        <v>20</v>
      </c>
      <c r="Q1068" s="28" t="s">
        <v>10299</v>
      </c>
      <c r="R1068" s="28" t="s">
        <v>10300</v>
      </c>
      <c r="S1068" s="28"/>
      <c r="T1068" s="28"/>
      <c r="U1068" s="28"/>
      <c r="V1068" s="28"/>
      <c r="W1068" s="28" t="s">
        <v>859</v>
      </c>
      <c r="X1068" s="28" t="s">
        <v>272</v>
      </c>
      <c r="Y1068" s="28" t="s">
        <v>10301</v>
      </c>
      <c r="Z1068" s="28" t="s">
        <v>5208</v>
      </c>
      <c r="AA1068" s="28" t="s">
        <v>2141</v>
      </c>
      <c r="AB1068" s="28">
        <v>8.0</v>
      </c>
      <c r="AC1068" s="28" t="s">
        <v>28</v>
      </c>
      <c r="AD1068" s="23"/>
      <c r="AE1068" s="28" t="s">
        <v>15</v>
      </c>
      <c r="AF1068" s="23"/>
      <c r="AG1068" s="23"/>
      <c r="AH1068" s="23" t="str">
        <f>IFERROR(__xludf.DUMMYFUNCTION("IF(
ISNUMBER(MATCH(
C1068,
IMPORTRANGE(""https://docs.google.com/spreadsheets/d/1yTh1ELC33JHYOeEdgIiEclxPRyh0zOKtlawDltfUay8"",""'Interns'!A:A""),
0
)),
""Outreach Conducted"",
"""")"),"")</f>
        <v/>
      </c>
      <c r="AI1068" s="23"/>
      <c r="AJ1068" s="23"/>
      <c r="AK1068" s="23" t="str">
        <f>IFERROR(__xludf.DUMMYFUNCTION("XLOOKUP(C1068, 
   IMPORTRANGE(""1RdEdgHYrZ33LJ7RUHj_h-qkAFL92bcVjtIdVa-UlsCw"", ""Interns!D:D""), 
   IMPORTRANGE(""1RdEdgHYrZ33LJ7RUHj_h-qkAFL92bcVjtIdVa-UlsCw"", ""Interns!M:M""), 
   ""Not Found"")"),"Contacted")</f>
        <v>Contacted</v>
      </c>
      <c r="AL1068" s="23" t="str">
        <f>IFERROR(__xludf.DUMMYFUNCTION("XLOOKUP(C1068, 
   IMPORTRANGE(""1RdEdgHYrZ33LJ7RUHj_h-qkAFL92bcVjtIdVa-UlsCw"", ""Interns!D:D""), 
   IMPORTRANGE(""1RdEdgHYrZ33LJ7RUHj_h-qkAFL92bcVjtIdVa-UlsCw"", ""Interns!N:N""), 
   ""Not Found"")"),"#Cheers4Careers")</f>
        <v>#Cheers4Careers</v>
      </c>
      <c r="AM1068" s="23" t="str">
        <f>IFERROR(__xludf.DUMMYFUNCTION("XLOOKUP(C1068, 
   IMPORTRANGE(""1RdEdgHYrZ33LJ7RUHj_h-qkAFL92bcVjtIdVa-UlsCw"", ""Interns!D:D""), 
   IMPORTRANGE(""1RdEdgHYrZ33LJ7RUHj_h-qkAFL92bcVjtIdVa-UlsCw"", ""Interns!O:O""), 
   ""Not Found"")"),"Hetal reached out by email 3/27 and text")</f>
        <v>Hetal reached out by email 3/27 and text</v>
      </c>
      <c r="AN1068" s="23"/>
      <c r="AO1068" s="23" t="s">
        <v>10302</v>
      </c>
      <c r="AP1068" s="28" t="s">
        <v>5182</v>
      </c>
      <c r="AQ1068" s="28" t="s">
        <v>10303</v>
      </c>
      <c r="AR1068" s="23" t="s">
        <v>10304</v>
      </c>
      <c r="AS1068" s="23"/>
      <c r="AT1068" s="23"/>
      <c r="AU1068" s="23"/>
      <c r="AV1068" s="23"/>
    </row>
    <row r="1069">
      <c r="A1069" s="28" t="s">
        <v>5161</v>
      </c>
      <c r="B1069" s="28" t="s">
        <v>5162</v>
      </c>
      <c r="C1069" s="23" t="str">
        <f t="shared" si="1"/>
        <v>Aashish Acharya</v>
      </c>
      <c r="D1069" s="28" t="s">
        <v>12010</v>
      </c>
      <c r="E1069" s="28" t="s">
        <v>12011</v>
      </c>
      <c r="F1069" s="23">
        <f t="array" ref="F1069">IFERROR(
    INDEX('Hub Interns 226'!A:A, MATCH(C1069, 'Hub Interns 226'!B:B, 0)),"")</f>
        <v>752</v>
      </c>
      <c r="G1069" s="23">
        <f t="array" ref="G1069">IFERROR(
    INDEX('Hub Users 226'!A:A, MATCH(C1069, 'Hub Users 226'!B:B, 0)),"")</f>
        <v>1185</v>
      </c>
      <c r="H1069" s="28">
        <v>1579.0</v>
      </c>
      <c r="I1069" s="28"/>
      <c r="J1069" s="28" t="s">
        <v>11070</v>
      </c>
      <c r="K1069" s="28" t="s">
        <v>5186</v>
      </c>
      <c r="L1069" s="28" t="s">
        <v>5165</v>
      </c>
      <c r="M1069" s="56" t="s">
        <v>12012</v>
      </c>
      <c r="N1069" s="57">
        <v>45016.38333333333</v>
      </c>
      <c r="O1069" s="58">
        <v>40437.0</v>
      </c>
      <c r="P1069" s="28">
        <f t="shared" si="32"/>
        <v>15</v>
      </c>
      <c r="Q1069" s="28" t="s">
        <v>240</v>
      </c>
      <c r="R1069" s="28" t="s">
        <v>12013</v>
      </c>
      <c r="S1069" s="28">
        <v>6.0</v>
      </c>
      <c r="T1069" s="28">
        <v>12.0</v>
      </c>
      <c r="U1069" s="28">
        <v>30.0</v>
      </c>
      <c r="V1069" s="28">
        <v>30.0</v>
      </c>
      <c r="W1069" s="28" t="s">
        <v>1173</v>
      </c>
      <c r="X1069" s="28" t="s">
        <v>272</v>
      </c>
      <c r="Y1069" s="28" t="s">
        <v>5169</v>
      </c>
      <c r="Z1069" s="28" t="s">
        <v>5170</v>
      </c>
      <c r="AA1069" s="28" t="s">
        <v>5171</v>
      </c>
      <c r="AB1069" s="28">
        <v>30.0</v>
      </c>
      <c r="AC1069" s="28" t="s">
        <v>23</v>
      </c>
      <c r="AD1069" s="28" t="s">
        <v>101</v>
      </c>
      <c r="AE1069" s="28" t="s">
        <v>15</v>
      </c>
      <c r="AF1069" s="23"/>
      <c r="AG1069" s="23"/>
      <c r="AH1069" s="23" t="str">
        <f>IFERROR(__xludf.DUMMYFUNCTION("IF(
ISNUMBER(MATCH(
C1069,
IMPORTRANGE(""https://docs.google.com/spreadsheets/d/1yTh1ELC33JHYOeEdgIiEclxPRyh0zOKtlawDltfUay8"",""'Interns'!A:A""),
0
)),
""Outreach Conducted"",
"""")"),"")</f>
        <v/>
      </c>
      <c r="AI1069" s="23"/>
      <c r="AJ1069" s="23"/>
      <c r="AK1069" s="23" t="str">
        <f>IFERROR(__xludf.DUMMYFUNCTION("XLOOKUP(C1069, 
   IMPORTRANGE(""1RdEdgHYrZ33LJ7RUHj_h-qkAFL92bcVjtIdVa-UlsCw"", ""Interns!D:D""), 
   IMPORTRANGE(""1RdEdgHYrZ33LJ7RUHj_h-qkAFL92bcVjtIdVa-UlsCw"", ""Interns!M:M""), 
   ""Not Found"")"),"Contacted")</f>
        <v>Contacted</v>
      </c>
      <c r="AL1069" s="23" t="str">
        <f>IFERROR(__xludf.DUMMYFUNCTION("XLOOKUP(C1069, 
   IMPORTRANGE(""1RdEdgHYrZ33LJ7RUHj_h-qkAFL92bcVjtIdVa-UlsCw"", ""Interns!D:D""), 
   IMPORTRANGE(""1RdEdgHYrZ33LJ7RUHj_h-qkAFL92bcVjtIdVa-UlsCw"", ""Interns!N:N""), 
   ""Not Found"")"),"#Cheers4Careers")</f>
        <v>#Cheers4Careers</v>
      </c>
      <c r="AM1069" s="23" t="str">
        <f>IFERROR(__xludf.DUMMYFUNCTION("XLOOKUP(C1069, 
   IMPORTRANGE(""1RdEdgHYrZ33LJ7RUHj_h-qkAFL92bcVjtIdVa-UlsCw"", ""Interns!D:D""), 
   IMPORTRANGE(""1RdEdgHYrZ33LJ7RUHj_h-qkAFL92bcVjtIdVa-UlsCw"", ""Interns!O:O""), 
   ""Not Found"")"),"Hetal reached out March 27 for March #Cheers4 Careers ")</f>
        <v>Hetal reached out March 27 for March #Cheers4 Careers </v>
      </c>
      <c r="AN1069" s="23"/>
      <c r="AO1069" s="23" t="s">
        <v>12014</v>
      </c>
      <c r="AP1069" s="28" t="s">
        <v>5182</v>
      </c>
      <c r="AQ1069" s="28"/>
      <c r="AR1069" s="23"/>
      <c r="AS1069" s="23"/>
      <c r="AT1069" s="23"/>
      <c r="AU1069" s="23"/>
      <c r="AV1069" s="23"/>
    </row>
    <row r="1070">
      <c r="A1070" s="28" t="s">
        <v>5161</v>
      </c>
      <c r="B1070" s="28" t="s">
        <v>5162</v>
      </c>
      <c r="C1070" s="23" t="str">
        <f t="shared" si="1"/>
        <v>Sushil Magar</v>
      </c>
      <c r="D1070" s="28" t="s">
        <v>12015</v>
      </c>
      <c r="E1070" s="28" t="s">
        <v>12016</v>
      </c>
      <c r="F1070" s="23">
        <f t="array" ref="F1070">IFERROR(
    INDEX('Hub Interns 226'!A:A, MATCH(C1070, 'Hub Interns 226'!B:B, 0)),"")</f>
        <v>820</v>
      </c>
      <c r="G1070" s="23">
        <f t="array" ref="G1070">IFERROR(
    INDEX('Hub Users 226'!A:A, MATCH(C1070, 'Hub Users 226'!B:B, 0)),"")</f>
        <v>1253</v>
      </c>
      <c r="H1070" s="28">
        <v>909.0</v>
      </c>
      <c r="I1070" s="28" t="s">
        <v>269</v>
      </c>
      <c r="J1070" s="28" t="s">
        <v>11070</v>
      </c>
      <c r="K1070" s="28" t="s">
        <v>5186</v>
      </c>
      <c r="L1070" s="28" t="s">
        <v>5165</v>
      </c>
      <c r="M1070" s="56" t="s">
        <v>12017</v>
      </c>
      <c r="N1070" s="57">
        <v>44601.57916666667</v>
      </c>
      <c r="O1070" s="58">
        <v>38028.0</v>
      </c>
      <c r="P1070" s="28">
        <f t="shared" si="32"/>
        <v>22</v>
      </c>
      <c r="Q1070" s="28" t="s">
        <v>240</v>
      </c>
      <c r="R1070" s="28" t="s">
        <v>12018</v>
      </c>
      <c r="S1070" s="28">
        <v>6.0</v>
      </c>
      <c r="T1070" s="28">
        <v>12.0</v>
      </c>
      <c r="U1070" s="28">
        <v>30.0</v>
      </c>
      <c r="V1070" s="28">
        <v>26.0</v>
      </c>
      <c r="W1070" s="28" t="s">
        <v>1173</v>
      </c>
      <c r="X1070" s="28" t="s">
        <v>272</v>
      </c>
      <c r="Y1070" s="28" t="s">
        <v>12019</v>
      </c>
      <c r="Z1070" s="28" t="s">
        <v>5483</v>
      </c>
      <c r="AA1070" s="28" t="s">
        <v>457</v>
      </c>
      <c r="AB1070" s="28">
        <v>25.0</v>
      </c>
      <c r="AC1070" s="28" t="s">
        <v>25</v>
      </c>
      <c r="AD1070" s="23"/>
      <c r="AE1070" s="28" t="s">
        <v>10</v>
      </c>
      <c r="AF1070" s="23" t="str">
        <f>IFERROR(__xludf.DUMMYFUNCTION("TEXTJOIN("", "", TRUE,
  FILTER(Champions!C:C,
    ISNUMBER(SEARCH(C1070, Champions!W:W))
  )
)"),"Loren Hernandez, Seema Dixit")</f>
        <v>Loren Hernandez, Seema Dixit</v>
      </c>
      <c r="AG1070" s="23"/>
      <c r="AH1070" s="23" t="str">
        <f>IFERROR(__xludf.DUMMYFUNCTION("IF(
ISNUMBER(MATCH(
C1070,
IMPORTRANGE(""https://docs.google.com/spreadsheets/d/1yTh1ELC33JHYOeEdgIiEclxPRyh0zOKtlawDltfUay8"",""'Interns'!A:A""),
0
)),
""Outreach Conducted"",
"""")"),"")</f>
        <v/>
      </c>
      <c r="AI1070" s="23"/>
      <c r="AJ1070" s="23"/>
      <c r="AK1070" s="23" t="str">
        <f>IFERROR(__xludf.DUMMYFUNCTION("XLOOKUP(C1070, 
   IMPORTRANGE(""1RdEdgHYrZ33LJ7RUHj_h-qkAFL92bcVjtIdVa-UlsCw"", ""Interns!D:D""), 
   IMPORTRANGE(""1RdEdgHYrZ33LJ7RUHj_h-qkAFL92bcVjtIdVa-UlsCw"", ""Interns!M:M""), 
   ""Not Found"")"),"Contacted")</f>
        <v>Contacted</v>
      </c>
      <c r="AL1070" s="23" t="str">
        <f>IFERROR(__xludf.DUMMYFUNCTION("XLOOKUP(C1070, 
   IMPORTRANGE(""1RdEdgHYrZ33LJ7RUHj_h-qkAFL92bcVjtIdVa-UlsCw"", ""Interns!D:D""), 
   IMPORTRANGE(""1RdEdgHYrZ33LJ7RUHj_h-qkAFL92bcVjtIdVa-UlsCw"", ""Interns!N:N""), 
   ""Not Found"")"),"#Cheers4Careers")</f>
        <v>#Cheers4Careers</v>
      </c>
      <c r="AM1070" s="23" t="str">
        <f>IFERROR(__xludf.DUMMYFUNCTION("XLOOKUP(C1070, 
   IMPORTRANGE(""1RdEdgHYrZ33LJ7RUHj_h-qkAFL92bcVjtIdVa-UlsCw"", ""Interns!D:D""), 
   IMPORTRANGE(""1RdEdgHYrZ33LJ7RUHj_h-qkAFL92bcVjtIdVa-UlsCw"", ""Interns!O:O""), 
   ""Not Found"")"),"Hetal reached out by email 3/27")</f>
        <v>Hetal reached out by email 3/27</v>
      </c>
      <c r="AN1070" s="23"/>
      <c r="AO1070" s="23" t="s">
        <v>12020</v>
      </c>
      <c r="AP1070" s="28" t="s">
        <v>5240</v>
      </c>
      <c r="AQ1070" s="28" t="s">
        <v>12021</v>
      </c>
      <c r="AR1070" s="23" t="s">
        <v>12022</v>
      </c>
      <c r="AS1070" s="23"/>
      <c r="AT1070" s="23"/>
      <c r="AU1070" s="23"/>
      <c r="AV1070" s="23"/>
    </row>
    <row r="1071">
      <c r="A1071" s="28" t="s">
        <v>5161</v>
      </c>
      <c r="B1071" s="28" t="s">
        <v>5162</v>
      </c>
      <c r="C1071" s="23" t="str">
        <f t="shared" si="1"/>
        <v>ICHYA Subedi</v>
      </c>
      <c r="D1071" s="28" t="s">
        <v>12023</v>
      </c>
      <c r="E1071" s="28" t="s">
        <v>12024</v>
      </c>
      <c r="F1071" s="23">
        <f t="array" ref="F1071">IFERROR(
    INDEX('Hub Interns 226'!A:A, MATCH(C1071, 'Hub Interns 226'!B:B, 0)),"")</f>
        <v>1496</v>
      </c>
      <c r="G1071" s="23">
        <f t="array" ref="G1071">IFERROR(
    INDEX('Hub Users 226'!A:A, MATCH(C1071, 'Hub Users 226'!B:B, 0)),"")</f>
        <v>2030</v>
      </c>
      <c r="H1071" s="28">
        <v>1825.0</v>
      </c>
      <c r="I1071" s="28" t="s">
        <v>260</v>
      </c>
      <c r="J1071" s="28" t="s">
        <v>11070</v>
      </c>
      <c r="K1071" s="28" t="s">
        <v>5186</v>
      </c>
      <c r="L1071" s="28" t="s">
        <v>5196</v>
      </c>
      <c r="M1071" s="56" t="s">
        <v>12025</v>
      </c>
      <c r="N1071" s="57">
        <v>45422.58472222222</v>
      </c>
      <c r="O1071" s="58">
        <v>40007.0</v>
      </c>
      <c r="P1071" s="28">
        <f t="shared" si="32"/>
        <v>16</v>
      </c>
      <c r="Q1071" s="28" t="s">
        <v>12026</v>
      </c>
      <c r="R1071" s="28" t="s">
        <v>12027</v>
      </c>
      <c r="S1071" s="28">
        <v>6.0</v>
      </c>
      <c r="T1071" s="28">
        <v>12.0</v>
      </c>
      <c r="U1071" s="28">
        <v>30.0</v>
      </c>
      <c r="V1071" s="28">
        <v>26.0</v>
      </c>
      <c r="W1071" s="28" t="s">
        <v>1173</v>
      </c>
      <c r="X1071" s="28" t="s">
        <v>272</v>
      </c>
      <c r="Y1071" s="28" t="s">
        <v>12028</v>
      </c>
      <c r="Z1071" s="28" t="s">
        <v>5352</v>
      </c>
      <c r="AA1071" s="28" t="s">
        <v>5287</v>
      </c>
      <c r="AB1071" s="28">
        <v>26.0</v>
      </c>
      <c r="AC1071" s="28" t="s">
        <v>27</v>
      </c>
      <c r="AD1071" s="23"/>
      <c r="AE1071" s="28" t="s">
        <v>18</v>
      </c>
      <c r="AF1071" s="23"/>
      <c r="AG1071" s="23"/>
      <c r="AH1071" s="23" t="str">
        <f>IFERROR(__xludf.DUMMYFUNCTION("IF(
ISNUMBER(MATCH(
C1071,
IMPORTRANGE(""https://docs.google.com/spreadsheets/d/1yTh1ELC33JHYOeEdgIiEclxPRyh0zOKtlawDltfUay8"",""'Interns'!A:A""),
0
)),
""Outreach Conducted"",
"""")"),"")</f>
        <v/>
      </c>
      <c r="AI1071" s="23"/>
      <c r="AJ1071" s="23"/>
      <c r="AK1071" s="23" t="str">
        <f>IFERROR(__xludf.DUMMYFUNCTION("XLOOKUP(C1071, 
   IMPORTRANGE(""1RdEdgHYrZ33LJ7RUHj_h-qkAFL92bcVjtIdVa-UlsCw"", ""Interns!D:D""), 
   IMPORTRANGE(""1RdEdgHYrZ33LJ7RUHj_h-qkAFL92bcVjtIdVa-UlsCw"", ""Interns!M:M""), 
   ""Not Found"")"),"Contacted")</f>
        <v>Contacted</v>
      </c>
      <c r="AL1071" s="23" t="str">
        <f>IFERROR(__xludf.DUMMYFUNCTION("XLOOKUP(C1071, 
   IMPORTRANGE(""1RdEdgHYrZ33LJ7RUHj_h-qkAFL92bcVjtIdVa-UlsCw"", ""Interns!D:D""), 
   IMPORTRANGE(""1RdEdgHYrZ33LJ7RUHj_h-qkAFL92bcVjtIdVa-UlsCw"", ""Interns!N:N""), 
   ""Not Found"")"),"#Cheers4Careers")</f>
        <v>#Cheers4Careers</v>
      </c>
      <c r="AM1071" s="23" t="str">
        <f>IFERROR(__xludf.DUMMYFUNCTION("XLOOKUP(C1071, 
   IMPORTRANGE(""1RdEdgHYrZ33LJ7RUHj_h-qkAFL92bcVjtIdVa-UlsCw"", ""Interns!D:D""), 
   IMPORTRANGE(""1RdEdgHYrZ33LJ7RUHj_h-qkAFL92bcVjtIdVa-UlsCw"", ""Interns!O:O""), 
   ""Not Found"")"),"Hetal reached out by email 3/27")</f>
        <v>Hetal reached out by email 3/27</v>
      </c>
      <c r="AN1071" s="23"/>
      <c r="AO1071" s="23" t="s">
        <v>12029</v>
      </c>
      <c r="AP1071" s="28" t="s">
        <v>5182</v>
      </c>
      <c r="AQ1071" s="28"/>
      <c r="AR1071" s="23" t="s">
        <v>12030</v>
      </c>
      <c r="AS1071" s="23"/>
      <c r="AT1071" s="23"/>
      <c r="AU1071" s="23"/>
      <c r="AV1071" s="23"/>
    </row>
    <row r="1072">
      <c r="A1072" s="28" t="s">
        <v>5161</v>
      </c>
      <c r="B1072" s="28" t="s">
        <v>5162</v>
      </c>
      <c r="C1072" s="23" t="str">
        <f t="shared" si="1"/>
        <v>Subham Saud</v>
      </c>
      <c r="D1072" s="28" t="s">
        <v>12031</v>
      </c>
      <c r="E1072" s="28" t="s">
        <v>12032</v>
      </c>
      <c r="F1072" s="23">
        <f t="array" ref="F1072">IFERROR(
    INDEX('Hub Interns 226'!A:A, MATCH(C1072, 'Hub Interns 226'!B:B, 0)),"")</f>
        <v>1130</v>
      </c>
      <c r="G1072" s="23">
        <f t="array" ref="G1072">IFERROR(
    INDEX('Hub Users 226'!A:A, MATCH(C1072, 'Hub Users 226'!B:B, 0)),"")</f>
        <v>1563</v>
      </c>
      <c r="H1072" s="28">
        <v>738.0</v>
      </c>
      <c r="I1072" s="28" t="s">
        <v>290</v>
      </c>
      <c r="J1072" s="28" t="s">
        <v>11070</v>
      </c>
      <c r="K1072" s="28" t="s">
        <v>5186</v>
      </c>
      <c r="L1072" s="28" t="s">
        <v>5165</v>
      </c>
      <c r="M1072" s="56" t="s">
        <v>12033</v>
      </c>
      <c r="N1072" s="59">
        <v>44551.396527777775</v>
      </c>
      <c r="O1072" s="58">
        <v>38689.0</v>
      </c>
      <c r="P1072" s="28">
        <f t="shared" si="32"/>
        <v>20</v>
      </c>
      <c r="Q1072" s="28" t="s">
        <v>240</v>
      </c>
      <c r="R1072" s="28" t="s">
        <v>12034</v>
      </c>
      <c r="S1072" s="28">
        <v>6.0</v>
      </c>
      <c r="T1072" s="28">
        <v>13.0</v>
      </c>
      <c r="U1072" s="28">
        <v>35.0</v>
      </c>
      <c r="V1072" s="28">
        <v>21.0</v>
      </c>
      <c r="W1072" s="28" t="s">
        <v>1173</v>
      </c>
      <c r="X1072" s="28" t="s">
        <v>272</v>
      </c>
      <c r="Y1072" s="23"/>
      <c r="Z1072" s="28" t="s">
        <v>5483</v>
      </c>
      <c r="AA1072" s="28" t="s">
        <v>457</v>
      </c>
      <c r="AB1072" s="28">
        <v>25.0</v>
      </c>
      <c r="AC1072" s="28" t="s">
        <v>25</v>
      </c>
      <c r="AD1072" s="23"/>
      <c r="AE1072" s="28" t="s">
        <v>10</v>
      </c>
      <c r="AF1072" s="23" t="str">
        <f>IFERROR(__xludf.DUMMYFUNCTION("TEXTJOIN("", "", TRUE,
  FILTER(Champions!C:C,
    ISNUMBER(SEARCH(C1072, Champions!W:W))
  )
)"),"Olga Patel, Saima Malik, Saima Malik (D)")</f>
        <v>Olga Patel, Saima Malik, Saima Malik (D)</v>
      </c>
      <c r="AG1072" s="23"/>
      <c r="AH1072" s="23" t="str">
        <f>IFERROR(__xludf.DUMMYFUNCTION("IF(
ISNUMBER(MATCH(
C1072,
IMPORTRANGE(""https://docs.google.com/spreadsheets/d/1yTh1ELC33JHYOeEdgIiEclxPRyh0zOKtlawDltfUay8"",""'Interns'!A:A""),
0
)),
""Outreach Conducted"",
"""")"),"")</f>
        <v/>
      </c>
      <c r="AI1072" s="23"/>
      <c r="AJ1072" s="23"/>
      <c r="AK1072" s="23" t="str">
        <f>IFERROR(__xludf.DUMMYFUNCTION("XLOOKUP(C1072, 
   IMPORTRANGE(""1RdEdgHYrZ33LJ7RUHj_h-qkAFL92bcVjtIdVa-UlsCw"", ""Interns!D:D""), 
   IMPORTRANGE(""1RdEdgHYrZ33LJ7RUHj_h-qkAFL92bcVjtIdVa-UlsCw"", ""Interns!M:M""), 
   ""Not Found"")"),"Contacted")</f>
        <v>Contacted</v>
      </c>
      <c r="AL1072" s="23" t="str">
        <f>IFERROR(__xludf.DUMMYFUNCTION("XLOOKUP(C1072, 
   IMPORTRANGE(""1RdEdgHYrZ33LJ7RUHj_h-qkAFL92bcVjtIdVa-UlsCw"", ""Interns!D:D""), 
   IMPORTRANGE(""1RdEdgHYrZ33LJ7RUHj_h-qkAFL92bcVjtIdVa-UlsCw"", ""Interns!N:N""), 
   ""Not Found"")"),"#Cheers4Careers")</f>
        <v>#Cheers4Careers</v>
      </c>
      <c r="AM1072" s="23" t="str">
        <f>IFERROR(__xludf.DUMMYFUNCTION("XLOOKUP(C1072, 
   IMPORTRANGE(""1RdEdgHYrZ33LJ7RUHj_h-qkAFL92bcVjtIdVa-UlsCw"", ""Interns!D:D""), 
   IMPORTRANGE(""1RdEdgHYrZ33LJ7RUHj_h-qkAFL92bcVjtIdVa-UlsCw"", ""Interns!O:O""), 
   ""Not Found"")"),"Hetal reached out by email 3/27")</f>
        <v>Hetal reached out by email 3/27</v>
      </c>
      <c r="AN1072" s="23"/>
      <c r="AO1072" s="23" t="s">
        <v>12035</v>
      </c>
      <c r="AP1072" s="28" t="s">
        <v>5191</v>
      </c>
      <c r="AQ1072" s="28" t="s">
        <v>12036</v>
      </c>
      <c r="AR1072" s="23" t="s">
        <v>12037</v>
      </c>
      <c r="AS1072" s="23"/>
      <c r="AT1072" s="23"/>
      <c r="AU1072" s="23"/>
      <c r="AV1072" s="23"/>
    </row>
    <row r="1073">
      <c r="A1073" s="28" t="s">
        <v>5161</v>
      </c>
      <c r="B1073" s="28" t="s">
        <v>5162</v>
      </c>
      <c r="C1073" s="23" t="str">
        <f t="shared" si="1"/>
        <v>Shobha Gurung</v>
      </c>
      <c r="D1073" s="28" t="s">
        <v>12038</v>
      </c>
      <c r="E1073" s="28" t="s">
        <v>5348</v>
      </c>
      <c r="F1073" s="23">
        <f t="array" ref="F1073">IFERROR(
    INDEX('Hub Interns 226'!A:A, MATCH(C1073, 'Hub Interns 226'!B:B, 0)),"")</f>
        <v>1101</v>
      </c>
      <c r="G1073" s="23">
        <f t="array" ref="G1073">IFERROR(
    INDEX('Hub Users 226'!A:A, MATCH(C1073, 'Hub Users 226'!B:B, 0)),"")</f>
        <v>1534</v>
      </c>
      <c r="H1073" s="28">
        <v>708.0</v>
      </c>
      <c r="I1073" s="28" t="s">
        <v>407</v>
      </c>
      <c r="J1073" s="28" t="s">
        <v>11070</v>
      </c>
      <c r="K1073" s="28" t="s">
        <v>5186</v>
      </c>
      <c r="L1073" s="28" t="s">
        <v>5196</v>
      </c>
      <c r="M1073" s="56" t="s">
        <v>12039</v>
      </c>
      <c r="N1073" s="59">
        <v>44546.97638888889</v>
      </c>
      <c r="O1073" s="58">
        <v>38190.0</v>
      </c>
      <c r="P1073" s="28">
        <f t="shared" si="32"/>
        <v>21</v>
      </c>
      <c r="Q1073" s="28" t="s">
        <v>12040</v>
      </c>
      <c r="R1073" s="28" t="s">
        <v>12041</v>
      </c>
      <c r="S1073" s="28">
        <v>6.0</v>
      </c>
      <c r="T1073" s="28">
        <v>13.0</v>
      </c>
      <c r="U1073" s="28">
        <v>35.0</v>
      </c>
      <c r="V1073" s="28">
        <v>21.0</v>
      </c>
      <c r="W1073" s="28" t="s">
        <v>1173</v>
      </c>
      <c r="X1073" s="28" t="s">
        <v>272</v>
      </c>
      <c r="Y1073" s="28" t="s">
        <v>12042</v>
      </c>
      <c r="Z1073" s="28" t="s">
        <v>5483</v>
      </c>
      <c r="AA1073" s="28" t="s">
        <v>457</v>
      </c>
      <c r="AB1073" s="28">
        <v>25.0</v>
      </c>
      <c r="AC1073" s="28" t="s">
        <v>25</v>
      </c>
      <c r="AD1073" s="23"/>
      <c r="AE1073" s="28" t="s">
        <v>10</v>
      </c>
      <c r="AF1073" s="23" t="str">
        <f>IFERROR(__xludf.DUMMYFUNCTION("TEXTJOIN("", "", TRUE,
  FILTER(Champions!C:C,
    ISNUMBER(SEARCH(C1073, Champions!W:W))
  )
)"),"Loren Hernandez, Sahabia Ahmed")</f>
        <v>Loren Hernandez, Sahabia Ahmed</v>
      </c>
      <c r="AG1073" s="23"/>
      <c r="AH1073" s="23" t="str">
        <f>IFERROR(__xludf.DUMMYFUNCTION("IF(
ISNUMBER(MATCH(
C1073,
IMPORTRANGE(""https://docs.google.com/spreadsheets/d/1yTh1ELC33JHYOeEdgIiEclxPRyh0zOKtlawDltfUay8"",""'Interns'!A:A""),
0
)),
""Outreach Conducted"",
"""")"),"")</f>
        <v/>
      </c>
      <c r="AI1073" s="23"/>
      <c r="AJ1073" s="23"/>
      <c r="AK1073" s="23" t="str">
        <f>IFERROR(__xludf.DUMMYFUNCTION("XLOOKUP(C1073, 
   IMPORTRANGE(""1RdEdgHYrZ33LJ7RUHj_h-qkAFL92bcVjtIdVa-UlsCw"", ""Interns!D:D""), 
   IMPORTRANGE(""1RdEdgHYrZ33LJ7RUHj_h-qkAFL92bcVjtIdVa-UlsCw"", ""Interns!M:M""), 
   ""Not Found"")"),"Contacted")</f>
        <v>Contacted</v>
      </c>
      <c r="AL1073" s="23" t="str">
        <f>IFERROR(__xludf.DUMMYFUNCTION("XLOOKUP(C1073, 
   IMPORTRANGE(""1RdEdgHYrZ33LJ7RUHj_h-qkAFL92bcVjtIdVa-UlsCw"", ""Interns!D:D""), 
   IMPORTRANGE(""1RdEdgHYrZ33LJ7RUHj_h-qkAFL92bcVjtIdVa-UlsCw"", ""Interns!N:N""), 
   ""Not Found"")"),"#Cheers4Careers")</f>
        <v>#Cheers4Careers</v>
      </c>
      <c r="AM1073" s="23" t="str">
        <f>IFERROR(__xludf.DUMMYFUNCTION("XLOOKUP(C1073, 
   IMPORTRANGE(""1RdEdgHYrZ33LJ7RUHj_h-qkAFL92bcVjtIdVa-UlsCw"", ""Interns!D:D""), 
   IMPORTRANGE(""1RdEdgHYrZ33LJ7RUHj_h-qkAFL92bcVjtIdVa-UlsCw"", ""Interns!O:O""), 
   ""Not Found"")"),"Hetal reached out by email 3/27")</f>
        <v>Hetal reached out by email 3/27</v>
      </c>
      <c r="AN1073" s="23"/>
      <c r="AO1073" s="23" t="s">
        <v>12043</v>
      </c>
      <c r="AP1073" s="28" t="s">
        <v>5182</v>
      </c>
      <c r="AQ1073" s="28" t="s">
        <v>12044</v>
      </c>
      <c r="AR1073" s="23" t="s">
        <v>12045</v>
      </c>
      <c r="AS1073" s="23"/>
      <c r="AT1073" s="23"/>
      <c r="AU1073" s="23"/>
      <c r="AV1073" s="23"/>
    </row>
    <row r="1074">
      <c r="A1074" s="28" t="s">
        <v>5161</v>
      </c>
      <c r="B1074" s="28" t="s">
        <v>31</v>
      </c>
      <c r="C1074" s="23" t="str">
        <f t="shared" si="1"/>
        <v>Jahzion. Plummer</v>
      </c>
      <c r="D1074" s="28" t="s">
        <v>12046</v>
      </c>
      <c r="E1074" s="28" t="s">
        <v>11607</v>
      </c>
      <c r="F1074" s="23">
        <f t="array" ref="F1074">IFERROR(
    INDEX('Hub Interns 226'!A:A, MATCH("Jahzion Plummer", 'Hub Interns 226'!B:B, 0)),"")</f>
        <v>619</v>
      </c>
      <c r="G1074" s="23">
        <f t="array" ref="G1074">IFERROR(
    INDEX('Hub Users 226'!A:A, MATCH("Jahzion Plummer", 'Hub Users 226'!B:B, 0)),"")</f>
        <v>1052</v>
      </c>
      <c r="H1074" s="28">
        <v>413.0</v>
      </c>
      <c r="I1074" s="28" t="s">
        <v>290</v>
      </c>
      <c r="J1074" s="28"/>
      <c r="K1074" s="28"/>
      <c r="L1074" s="28" t="s">
        <v>5165</v>
      </c>
      <c r="M1074" s="56" t="s">
        <v>11608</v>
      </c>
      <c r="N1074" s="57">
        <v>44305.81458333333</v>
      </c>
      <c r="O1074" s="58">
        <v>38085.0</v>
      </c>
      <c r="P1074" s="28">
        <f t="shared" si="32"/>
        <v>22</v>
      </c>
      <c r="Q1074" s="28" t="s">
        <v>240</v>
      </c>
      <c r="R1074" s="28" t="s">
        <v>11610</v>
      </c>
      <c r="S1074" s="28"/>
      <c r="T1074" s="28"/>
      <c r="U1074" s="28"/>
      <c r="V1074" s="28"/>
      <c r="W1074" s="28" t="s">
        <v>1173</v>
      </c>
      <c r="X1074" s="28" t="s">
        <v>272</v>
      </c>
      <c r="Y1074" s="28" t="s">
        <v>11611</v>
      </c>
      <c r="Z1074" s="28" t="s">
        <v>5332</v>
      </c>
      <c r="AA1074" s="28" t="s">
        <v>421</v>
      </c>
      <c r="AB1074" s="28">
        <v>31.0</v>
      </c>
      <c r="AC1074" s="28" t="s">
        <v>24</v>
      </c>
      <c r="AD1074" s="23"/>
      <c r="AE1074" s="28" t="s">
        <v>8</v>
      </c>
      <c r="AF1074" s="23"/>
      <c r="AG1074" s="23"/>
      <c r="AH1074" s="23" t="str">
        <f>IFERROR(__xludf.DUMMYFUNCTION("IF(
ISNUMBER(MATCH(
C1074,
IMPORTRANGE(""https://docs.google.com/spreadsheets/d/1yTh1ELC33JHYOeEdgIiEclxPRyh0zOKtlawDltfUay8"",""'Interns'!A:A""),
0
)),
""Outreach Conducted"",
"""")"),"")</f>
        <v/>
      </c>
      <c r="AI1074" s="23"/>
      <c r="AJ1074" s="23"/>
      <c r="AK1074" s="23" t="str">
        <f>IFERROR(__xludf.DUMMYFUNCTION("XLOOKUP(C1074, 
   IMPORTRANGE(""1RdEdgHYrZ33LJ7RUHj_h-qkAFL92bcVjtIdVa-UlsCw"", ""Interns!D:D""), 
   IMPORTRANGE(""1RdEdgHYrZ33LJ7RUHj_h-qkAFL92bcVjtIdVa-UlsCw"", ""Interns!M:M""), 
   ""Not Found"")"),"")</f>
        <v/>
      </c>
      <c r="AL1074" s="23" t="str">
        <f>IFERROR(__xludf.DUMMYFUNCTION("XLOOKUP(C1074, 
   IMPORTRANGE(""1RdEdgHYrZ33LJ7RUHj_h-qkAFL92bcVjtIdVa-UlsCw"", ""Interns!D:D""), 
   IMPORTRANGE(""1RdEdgHYrZ33LJ7RUHj_h-qkAFL92bcVjtIdVa-UlsCw"", ""Interns!N:N""), 
   ""Not Found"")"),"")</f>
        <v/>
      </c>
      <c r="AM1074" s="23" t="str">
        <f>IFERROR(__xludf.DUMMYFUNCTION("XLOOKUP(C1074, 
   IMPORTRANGE(""1RdEdgHYrZ33LJ7RUHj_h-qkAFL92bcVjtIdVa-UlsCw"", ""Interns!D:D""), 
   IMPORTRANGE(""1RdEdgHYrZ33LJ7RUHj_h-qkAFL92bcVjtIdVa-UlsCw"", ""Interns!O:O""), 
   ""Not Found"")"),"")</f>
        <v/>
      </c>
      <c r="AN1074" s="23"/>
      <c r="AO1074" s="23" t="s">
        <v>11612</v>
      </c>
      <c r="AP1074" s="28" t="s">
        <v>5182</v>
      </c>
      <c r="AQ1074" s="28" t="s">
        <v>11613</v>
      </c>
      <c r="AR1074" s="23" t="s">
        <v>11614</v>
      </c>
      <c r="AS1074" s="23"/>
      <c r="AT1074" s="23"/>
      <c r="AU1074" s="23"/>
      <c r="AV1074" s="23"/>
    </row>
    <row r="1075">
      <c r="A1075" s="28" t="s">
        <v>5161</v>
      </c>
      <c r="B1075" s="28" t="s">
        <v>5162</v>
      </c>
      <c r="C1075" s="23" t="str">
        <f t="shared" si="1"/>
        <v>Kritika Gurung</v>
      </c>
      <c r="D1075" s="28" t="s">
        <v>5347</v>
      </c>
      <c r="E1075" s="28" t="s">
        <v>5348</v>
      </c>
      <c r="F1075" s="23">
        <f t="array" ref="F1075">IFERROR(
    INDEX('Hub Interns 226'!A:A, MATCH(C1075, 'Hub Interns 226'!B:B, 0)),"")</f>
        <v>753</v>
      </c>
      <c r="G1075" s="23">
        <f t="array" ref="G1075">IFERROR(
    INDEX('Hub Users 226'!A:A, MATCH(C1075, 'Hub Users 226'!B:B, 0)),"")</f>
        <v>1186</v>
      </c>
      <c r="H1075" s="28">
        <v>1742.0</v>
      </c>
      <c r="I1075" s="28" t="s">
        <v>260</v>
      </c>
      <c r="J1075" s="28" t="s">
        <v>11070</v>
      </c>
      <c r="K1075" s="28" t="s">
        <v>5186</v>
      </c>
      <c r="L1075" s="28" t="s">
        <v>5196</v>
      </c>
      <c r="M1075" s="56" t="s">
        <v>5349</v>
      </c>
      <c r="N1075" s="57">
        <v>45267.41458333333</v>
      </c>
      <c r="O1075" s="58">
        <v>40228.0</v>
      </c>
      <c r="P1075" s="28">
        <f t="shared" si="32"/>
        <v>16</v>
      </c>
      <c r="Q1075" s="28" t="s">
        <v>240</v>
      </c>
      <c r="R1075" s="28" t="s">
        <v>12047</v>
      </c>
      <c r="S1075" s="28"/>
      <c r="T1075" s="28"/>
      <c r="U1075" s="28"/>
      <c r="V1075" s="28"/>
      <c r="W1075" s="28" t="s">
        <v>1173</v>
      </c>
      <c r="X1075" s="28" t="s">
        <v>272</v>
      </c>
      <c r="Y1075" s="28" t="s">
        <v>5351</v>
      </c>
      <c r="Z1075" s="28" t="s">
        <v>5352</v>
      </c>
      <c r="AA1075" s="28" t="s">
        <v>5287</v>
      </c>
      <c r="AB1075" s="28">
        <v>26.0</v>
      </c>
      <c r="AC1075" s="28" t="s">
        <v>27</v>
      </c>
      <c r="AD1075" s="23"/>
      <c r="AE1075" s="28" t="s">
        <v>18</v>
      </c>
      <c r="AF1075" s="23"/>
      <c r="AG1075" s="23"/>
      <c r="AH1075" s="23" t="str">
        <f>IFERROR(__xludf.DUMMYFUNCTION("IF(
ISNUMBER(MATCH(
C1075,
IMPORTRANGE(""https://docs.google.com/spreadsheets/d/1yTh1ELC33JHYOeEdgIiEclxPRyh0zOKtlawDltfUay8"",""'Interns'!A:A""),
0
)),
""Outreach Conducted"",
"""")"),"")</f>
        <v/>
      </c>
      <c r="AI1075" s="23"/>
      <c r="AJ1075" s="23"/>
      <c r="AK1075" s="23" t="str">
        <f>IFERROR(__xludf.DUMMYFUNCTION("XLOOKUP(C1075, 
   IMPORTRANGE(""1RdEdgHYrZ33LJ7RUHj_h-qkAFL92bcVjtIdVa-UlsCw"", ""Interns!D:D""), 
   IMPORTRANGE(""1RdEdgHYrZ33LJ7RUHj_h-qkAFL92bcVjtIdVa-UlsCw"", ""Interns!M:M""), 
   ""Not Found"")"),"Contacted")</f>
        <v>Contacted</v>
      </c>
      <c r="AL1075" s="23" t="str">
        <f>IFERROR(__xludf.DUMMYFUNCTION("XLOOKUP(C1075, 
   IMPORTRANGE(""1RdEdgHYrZ33LJ7RUHj_h-qkAFL92bcVjtIdVa-UlsCw"", ""Interns!D:D""), 
   IMPORTRANGE(""1RdEdgHYrZ33LJ7RUHj_h-qkAFL92bcVjtIdVa-UlsCw"", ""Interns!N:N""), 
   ""Not Found"")"),"#Cheers4Careers")</f>
        <v>#Cheers4Careers</v>
      </c>
      <c r="AM1075" s="23" t="str">
        <f>IFERROR(__xludf.DUMMYFUNCTION("XLOOKUP(C1075, 
   IMPORTRANGE(""1RdEdgHYrZ33LJ7RUHj_h-qkAFL92bcVjtIdVa-UlsCw"", ""Interns!D:D""), 
   IMPORTRANGE(""1RdEdgHYrZ33LJ7RUHj_h-qkAFL92bcVjtIdVa-UlsCw"", ""Interns!O:O""), 
   ""Not Found"")"),"Hetal reached out by email 3/27")</f>
        <v>Hetal reached out by email 3/27</v>
      </c>
      <c r="AN1075" s="23"/>
      <c r="AO1075" s="23" t="s">
        <v>12048</v>
      </c>
      <c r="AP1075" s="28" t="s">
        <v>5191</v>
      </c>
      <c r="AQ1075" s="28"/>
      <c r="AR1075" s="23" t="s">
        <v>12049</v>
      </c>
      <c r="AS1075" s="23"/>
      <c r="AT1075" s="23"/>
      <c r="AU1075" s="23"/>
      <c r="AV1075" s="23"/>
    </row>
    <row r="1076">
      <c r="A1076" s="28" t="s">
        <v>5161</v>
      </c>
      <c r="B1076" s="28" t="s">
        <v>5162</v>
      </c>
      <c r="C1076" s="23" t="str">
        <f t="shared" si="1"/>
        <v>Anderson Martinez</v>
      </c>
      <c r="D1076" s="28" t="s">
        <v>9749</v>
      </c>
      <c r="E1076" s="28" t="s">
        <v>2010</v>
      </c>
      <c r="F1076" s="23">
        <f t="array" ref="F1076">IFERROR(
    INDEX('Hub Interns 226'!A:A, MATCH(C1076, 'Hub Interns 226'!B:B, 0)),"")</f>
        <v>227</v>
      </c>
      <c r="G1076" s="23">
        <f t="array" ref="G1076">IFERROR(
    INDEX('Hub Users 226'!A:A, MATCH(C1076, 'Hub Users 226'!B:B, 0)),"")</f>
        <v>660</v>
      </c>
      <c r="H1076" s="28">
        <v>607.0</v>
      </c>
      <c r="I1076" s="28" t="s">
        <v>302</v>
      </c>
      <c r="J1076" s="28" t="s">
        <v>12050</v>
      </c>
      <c r="K1076" s="28" t="s">
        <v>5177</v>
      </c>
      <c r="L1076" s="28" t="s">
        <v>5165</v>
      </c>
      <c r="M1076" s="56" t="s">
        <v>12051</v>
      </c>
      <c r="N1076" s="59">
        <v>44490.65347222222</v>
      </c>
      <c r="O1076" s="58">
        <v>38305.0</v>
      </c>
      <c r="P1076" s="28">
        <f t="shared" si="32"/>
        <v>21</v>
      </c>
      <c r="Q1076" s="28" t="s">
        <v>12052</v>
      </c>
      <c r="R1076" s="28" t="s">
        <v>12053</v>
      </c>
      <c r="S1076" s="28">
        <v>6.0</v>
      </c>
      <c r="T1076" s="28">
        <v>16.0</v>
      </c>
      <c r="U1076" s="28">
        <v>40.0</v>
      </c>
      <c r="V1076" s="28">
        <v>20.0</v>
      </c>
      <c r="W1076" s="28" t="s">
        <v>1173</v>
      </c>
      <c r="X1076" s="28" t="s">
        <v>272</v>
      </c>
      <c r="Y1076" s="28" t="s">
        <v>12054</v>
      </c>
      <c r="Z1076" s="28" t="s">
        <v>5189</v>
      </c>
      <c r="AA1076" s="28" t="s">
        <v>619</v>
      </c>
      <c r="AB1076" s="28">
        <v>20.0</v>
      </c>
      <c r="AC1076" s="28" t="s">
        <v>25</v>
      </c>
      <c r="AD1076" s="23"/>
      <c r="AE1076" s="28" t="s">
        <v>10</v>
      </c>
      <c r="AF1076" s="23" t="str">
        <f>IFERROR(__xludf.DUMMYFUNCTION("TEXTJOIN("", "", TRUE,
  FILTER(Champions!C:C,
    ISNUMBER(SEARCH(C1076, Champions!W:W))
  )
)"),"Bela Madrigal")</f>
        <v>Bela Madrigal</v>
      </c>
      <c r="AG1076" s="23"/>
      <c r="AH1076" s="23" t="str">
        <f>IFERROR(__xludf.DUMMYFUNCTION("IF(
ISNUMBER(MATCH(
C1076,
IMPORTRANGE(""https://docs.google.com/spreadsheets/d/1yTh1ELC33JHYOeEdgIiEclxPRyh0zOKtlawDltfUay8"",""'Interns'!A:A""),
0
)),
""Outreach Conducted"",
"""")"),"")</f>
        <v/>
      </c>
      <c r="AI1076" s="23"/>
      <c r="AJ1076" s="23"/>
      <c r="AK1076" s="23" t="str">
        <f>IFERROR(__xludf.DUMMYFUNCTION("XLOOKUP(C1076, 
   IMPORTRANGE(""1RdEdgHYrZ33LJ7RUHj_h-qkAFL92bcVjtIdVa-UlsCw"", ""Interns!D:D""), 
   IMPORTRANGE(""1RdEdgHYrZ33LJ7RUHj_h-qkAFL92bcVjtIdVa-UlsCw"", ""Interns!M:M""), 
   ""Not Found"")"),"Contacted")</f>
        <v>Contacted</v>
      </c>
      <c r="AL1076" s="23" t="str">
        <f>IFERROR(__xludf.DUMMYFUNCTION("XLOOKUP(C1076, 
   IMPORTRANGE(""1RdEdgHYrZ33LJ7RUHj_h-qkAFL92bcVjtIdVa-UlsCw"", ""Interns!D:D""), 
   IMPORTRANGE(""1RdEdgHYrZ33LJ7RUHj_h-qkAFL92bcVjtIdVa-UlsCw"", ""Interns!N:N""), 
   ""Not Found"")"),"#Cheers4Careers")</f>
        <v>#Cheers4Careers</v>
      </c>
      <c r="AM1076" s="23" t="str">
        <f>IFERROR(__xludf.DUMMYFUNCTION("XLOOKUP(C1076, 
   IMPORTRANGE(""1RdEdgHYrZ33LJ7RUHj_h-qkAFL92bcVjtIdVa-UlsCw"", ""Interns!D:D""), 
   IMPORTRANGE(""1RdEdgHYrZ33LJ7RUHj_h-qkAFL92bcVjtIdVa-UlsCw"", ""Interns!O:O""), 
   ""Not Found"")"),"Hetal reached out by email 3/27")</f>
        <v>Hetal reached out by email 3/27</v>
      </c>
      <c r="AN1076" s="23"/>
      <c r="AO1076" s="23" t="s">
        <v>12055</v>
      </c>
      <c r="AP1076" s="28" t="s">
        <v>5191</v>
      </c>
      <c r="AQ1076" s="28" t="s">
        <v>12051</v>
      </c>
      <c r="AR1076" s="23" t="s">
        <v>12056</v>
      </c>
      <c r="AS1076" s="23"/>
      <c r="AT1076" s="23"/>
      <c r="AU1076" s="23"/>
      <c r="AV1076" s="23"/>
    </row>
    <row r="1077">
      <c r="A1077" s="28" t="s">
        <v>5161</v>
      </c>
      <c r="B1077" s="28" t="s">
        <v>5162</v>
      </c>
      <c r="C1077" s="23" t="str">
        <f t="shared" si="1"/>
        <v>Emmanuel Aguirre</v>
      </c>
      <c r="D1077" s="28" t="s">
        <v>9859</v>
      </c>
      <c r="E1077" s="28" t="s">
        <v>12057</v>
      </c>
      <c r="F1077" s="23">
        <f t="array" ref="F1077">IFERROR(
    INDEX('Hub Interns 226'!A:A, MATCH(C1077, 'Hub Interns 226'!B:B, 0)),"")</f>
        <v>490</v>
      </c>
      <c r="G1077" s="23">
        <f t="array" ref="G1077">IFERROR(
    INDEX('Hub Users 226'!A:A, MATCH(C1077, 'Hub Users 226'!B:B, 0)),"")</f>
        <v>923</v>
      </c>
      <c r="H1077" s="28">
        <v>1419.0</v>
      </c>
      <c r="I1077" s="28" t="s">
        <v>107</v>
      </c>
      <c r="J1077" s="28" t="s">
        <v>12050</v>
      </c>
      <c r="K1077" s="28" t="s">
        <v>5177</v>
      </c>
      <c r="L1077" s="28" t="s">
        <v>5165</v>
      </c>
      <c r="M1077" s="56" t="s">
        <v>12058</v>
      </c>
      <c r="N1077" s="57">
        <v>44866.384722222225</v>
      </c>
      <c r="O1077" s="58">
        <v>40219.0</v>
      </c>
      <c r="P1077" s="28">
        <f t="shared" si="32"/>
        <v>16</v>
      </c>
      <c r="Q1077" s="28" t="s">
        <v>12059</v>
      </c>
      <c r="R1077" s="28" t="s">
        <v>12060</v>
      </c>
      <c r="S1077" s="28">
        <v>7.0</v>
      </c>
      <c r="T1077" s="28">
        <v>12.0</v>
      </c>
      <c r="U1077" s="28">
        <v>37.0</v>
      </c>
      <c r="V1077" s="28">
        <v>26.0</v>
      </c>
      <c r="W1077" s="28" t="s">
        <v>1173</v>
      </c>
      <c r="X1077" s="28" t="s">
        <v>272</v>
      </c>
      <c r="Y1077" s="28" t="s">
        <v>5351</v>
      </c>
      <c r="Z1077" s="28" t="s">
        <v>5352</v>
      </c>
      <c r="AA1077" s="28" t="s">
        <v>5287</v>
      </c>
      <c r="AB1077" s="28">
        <v>26.0</v>
      </c>
      <c r="AC1077" s="28" t="s">
        <v>23</v>
      </c>
      <c r="AD1077" s="23"/>
      <c r="AE1077" s="28" t="s">
        <v>15</v>
      </c>
      <c r="AF1077" s="23"/>
      <c r="AG1077" s="23"/>
      <c r="AH1077" s="23" t="str">
        <f>IFERROR(__xludf.DUMMYFUNCTION("IF(
ISNUMBER(MATCH(
C1077,
IMPORTRANGE(""https://docs.google.com/spreadsheets/d/1yTh1ELC33JHYOeEdgIiEclxPRyh0zOKtlawDltfUay8"",""'Interns'!A:A""),
0
)),
""Outreach Conducted"",
"""")"),"")</f>
        <v/>
      </c>
      <c r="AI1077" s="23"/>
      <c r="AJ1077" s="23"/>
      <c r="AK1077" s="23" t="str">
        <f>IFERROR(__xludf.DUMMYFUNCTION("XLOOKUP(C1077, 
   IMPORTRANGE(""1RdEdgHYrZ33LJ7RUHj_h-qkAFL92bcVjtIdVa-UlsCw"", ""Interns!D:D""), 
   IMPORTRANGE(""1RdEdgHYrZ33LJ7RUHj_h-qkAFL92bcVjtIdVa-UlsCw"", ""Interns!M:M""), 
   ""Not Found"")"),"Contacted")</f>
        <v>Contacted</v>
      </c>
      <c r="AL1077" s="23" t="str">
        <f>IFERROR(__xludf.DUMMYFUNCTION("XLOOKUP(C1077, 
   IMPORTRANGE(""1RdEdgHYrZ33LJ7RUHj_h-qkAFL92bcVjtIdVa-UlsCw"", ""Interns!D:D""), 
   IMPORTRANGE(""1RdEdgHYrZ33LJ7RUHj_h-qkAFL92bcVjtIdVa-UlsCw"", ""Interns!N:N""), 
   ""Not Found"")"),"#Cheers4Careers")</f>
        <v>#Cheers4Careers</v>
      </c>
      <c r="AM1077" s="23" t="str">
        <f>IFERROR(__xludf.DUMMYFUNCTION("XLOOKUP(C1077, 
   IMPORTRANGE(""1RdEdgHYrZ33LJ7RUHj_h-qkAFL92bcVjtIdVa-UlsCw"", ""Interns!D:D""), 
   IMPORTRANGE(""1RdEdgHYrZ33LJ7RUHj_h-qkAFL92bcVjtIdVa-UlsCw"", ""Interns!O:O""), 
   ""Not Found"")"),"Hetal reached out by email 3/27")</f>
        <v>Hetal reached out by email 3/27</v>
      </c>
      <c r="AN1077" s="23"/>
      <c r="AO1077" s="23" t="s">
        <v>12061</v>
      </c>
      <c r="AP1077" s="28" t="s">
        <v>5182</v>
      </c>
      <c r="AQ1077" s="28"/>
      <c r="AR1077" s="23"/>
      <c r="AS1077" s="23"/>
      <c r="AT1077" s="23"/>
      <c r="AU1077" s="23"/>
      <c r="AV1077" s="23"/>
    </row>
    <row r="1078">
      <c r="A1078" s="28" t="s">
        <v>5161</v>
      </c>
      <c r="B1078" s="28" t="s">
        <v>5162</v>
      </c>
      <c r="C1078" s="23" t="str">
        <f t="shared" si="1"/>
        <v>Dayra Ayala</v>
      </c>
      <c r="D1078" s="28" t="s">
        <v>6825</v>
      </c>
      <c r="E1078" s="28" t="s">
        <v>12062</v>
      </c>
      <c r="F1078" s="23" t="str">
        <f t="array" ref="F1078">IFERROR(
    INDEX('Hub Interns 226'!A:A, MATCH(C1078, 'Hub Interns 226'!B:B, 0)),"")</f>
        <v/>
      </c>
      <c r="G1078" s="23">
        <f t="array" ref="G1078">IFERROR(
    INDEX('Hub Users 226'!A:A, MATCH(C1078, 'Hub Users 226'!B:B, 0)),"")</f>
        <v>1928</v>
      </c>
      <c r="H1078" s="28">
        <v>1791.0</v>
      </c>
      <c r="I1078" s="28" t="s">
        <v>260</v>
      </c>
      <c r="J1078" s="28" t="s">
        <v>12050</v>
      </c>
      <c r="K1078" s="28" t="s">
        <v>5177</v>
      </c>
      <c r="L1078" s="28" t="s">
        <v>5196</v>
      </c>
      <c r="M1078" s="56" t="s">
        <v>12063</v>
      </c>
      <c r="N1078" s="57">
        <v>45314.93194444444</v>
      </c>
      <c r="O1078" s="58">
        <v>38920.0</v>
      </c>
      <c r="P1078" s="28">
        <f t="shared" si="32"/>
        <v>19</v>
      </c>
      <c r="Q1078" s="28" t="s">
        <v>12064</v>
      </c>
      <c r="R1078" s="28" t="s">
        <v>12065</v>
      </c>
      <c r="S1078" s="28">
        <v>13.0</v>
      </c>
      <c r="T1078" s="28">
        <v>31.0</v>
      </c>
      <c r="U1078" s="28">
        <v>71.0</v>
      </c>
      <c r="V1078" s="28">
        <v>10.0</v>
      </c>
      <c r="W1078" s="28" t="s">
        <v>271</v>
      </c>
      <c r="X1078" s="28" t="s">
        <v>272</v>
      </c>
      <c r="Y1078" s="28" t="s">
        <v>12066</v>
      </c>
      <c r="Z1078" s="28" t="s">
        <v>5259</v>
      </c>
      <c r="AA1078" s="28" t="s">
        <v>704</v>
      </c>
      <c r="AB1078" s="28">
        <v>2.0</v>
      </c>
      <c r="AC1078" s="28" t="s">
        <v>27</v>
      </c>
      <c r="AD1078" s="28" t="s">
        <v>101</v>
      </c>
      <c r="AE1078" s="28" t="s">
        <v>18</v>
      </c>
      <c r="AF1078" s="23"/>
      <c r="AG1078" s="26" t="s">
        <v>5615</v>
      </c>
      <c r="AH1078" s="23" t="str">
        <f>IFERROR(__xludf.DUMMYFUNCTION("IF(
ISNUMBER(MATCH(
C1078,
IMPORTRANGE(""https://docs.google.com/spreadsheets/d/1yTh1ELC33JHYOeEdgIiEclxPRyh0zOKtlawDltfUay8"",""'Interns'!A:A""),
0
)),
""Outreach Conducted"",
"""")"),"")</f>
        <v/>
      </c>
      <c r="AI1078" s="23"/>
      <c r="AJ1078" s="23"/>
      <c r="AK1078" s="23" t="str">
        <f>IFERROR(__xludf.DUMMYFUNCTION("XLOOKUP(C1078, 
   IMPORTRANGE(""1RdEdgHYrZ33LJ7RUHj_h-qkAFL92bcVjtIdVa-UlsCw"", ""Interns!D:D""), 
   IMPORTRANGE(""1RdEdgHYrZ33LJ7RUHj_h-qkAFL92bcVjtIdVa-UlsCw"", ""Interns!M:M""), 
   ""Not Found"")"),"Contacted")</f>
        <v>Contacted</v>
      </c>
      <c r="AL1078" s="23" t="str">
        <f>IFERROR(__xludf.DUMMYFUNCTION("XLOOKUP(C1078, 
   IMPORTRANGE(""1RdEdgHYrZ33LJ7RUHj_h-qkAFL92bcVjtIdVa-UlsCw"", ""Interns!D:D""), 
   IMPORTRANGE(""1RdEdgHYrZ33LJ7RUHj_h-qkAFL92bcVjtIdVa-UlsCw"", ""Interns!N:N""), 
   ""Not Found"")"),"#Cheers4Careers")</f>
        <v>#Cheers4Careers</v>
      </c>
      <c r="AM1078" s="23" t="str">
        <f>IFERROR(__xludf.DUMMYFUNCTION("XLOOKUP(C1078, 
   IMPORTRANGE(""1RdEdgHYrZ33LJ7RUHj_h-qkAFL92bcVjtIdVa-UlsCw"", ""Interns!D:D""), 
   IMPORTRANGE(""1RdEdgHYrZ33LJ7RUHj_h-qkAFL92bcVjtIdVa-UlsCw"", ""Interns!O:O""), 
   ""Not Found"")"),"Ousmane reached out by email 3/26 and reach out by text 3/28")</f>
        <v>Ousmane reached out by email 3/26 and reach out by text 3/28</v>
      </c>
      <c r="AN1078" s="23"/>
      <c r="AO1078" s="23" t="s">
        <v>12067</v>
      </c>
      <c r="AP1078" s="28" t="s">
        <v>5182</v>
      </c>
      <c r="AQ1078" s="28" t="s">
        <v>12068</v>
      </c>
      <c r="AR1078" s="23" t="s">
        <v>12069</v>
      </c>
      <c r="AS1078" s="23"/>
      <c r="AT1078" s="23"/>
      <c r="AU1078" s="23"/>
      <c r="AV1078" s="23"/>
    </row>
    <row r="1079">
      <c r="A1079" s="28" t="s">
        <v>5161</v>
      </c>
      <c r="B1079" s="28" t="s">
        <v>5162</v>
      </c>
      <c r="C1079" s="23" t="str">
        <f t="shared" si="1"/>
        <v>David Noguera</v>
      </c>
      <c r="D1079" s="28" t="s">
        <v>1068</v>
      </c>
      <c r="E1079" s="28" t="s">
        <v>12070</v>
      </c>
      <c r="F1079" s="23" t="str">
        <f t="array" ref="F1079">IFERROR(
    INDEX('Hub Interns 226'!A:A, MATCH(C1079, 'Hub Interns 226'!B:B, 0)),"")</f>
        <v/>
      </c>
      <c r="G1079" s="23">
        <f t="array" ref="G1079">IFERROR(
    INDEX('Hub Users 226'!A:A, MATCH(C1079, 'Hub Users 226'!B:B, 0)),"")</f>
        <v>1960</v>
      </c>
      <c r="H1079" s="28">
        <v>1809.0</v>
      </c>
      <c r="I1079" s="28"/>
      <c r="J1079" s="28" t="s">
        <v>12050</v>
      </c>
      <c r="K1079" s="28" t="s">
        <v>5177</v>
      </c>
      <c r="L1079" s="28" t="s">
        <v>5165</v>
      </c>
      <c r="M1079" s="56" t="s">
        <v>12071</v>
      </c>
      <c r="N1079" s="57">
        <v>45379.71527777778</v>
      </c>
      <c r="O1079" s="58">
        <v>39123.0</v>
      </c>
      <c r="P1079" s="28">
        <f t="shared" si="32"/>
        <v>19</v>
      </c>
      <c r="Q1079" s="28" t="s">
        <v>240</v>
      </c>
      <c r="R1079" s="28" t="s">
        <v>12072</v>
      </c>
      <c r="S1079" s="28">
        <v>13.0</v>
      </c>
      <c r="T1079" s="28">
        <v>30.0</v>
      </c>
      <c r="U1079" s="28">
        <v>70.0</v>
      </c>
      <c r="V1079" s="28">
        <v>9.0</v>
      </c>
      <c r="W1079" s="28" t="s">
        <v>271</v>
      </c>
      <c r="X1079" s="28" t="s">
        <v>272</v>
      </c>
      <c r="Y1079" s="28" t="s">
        <v>12073</v>
      </c>
      <c r="Z1079" s="28" t="s">
        <v>6876</v>
      </c>
      <c r="AA1079" s="28" t="s">
        <v>6863</v>
      </c>
      <c r="AB1079" s="28">
        <v>9.0</v>
      </c>
      <c r="AC1079" s="28" t="s">
        <v>27</v>
      </c>
      <c r="AD1079" s="28" t="s">
        <v>101</v>
      </c>
      <c r="AE1079" s="28" t="s">
        <v>18</v>
      </c>
      <c r="AF1079" s="23"/>
      <c r="AG1079" s="26" t="s">
        <v>5615</v>
      </c>
      <c r="AH1079" s="23" t="str">
        <f>IFERROR(__xludf.DUMMYFUNCTION("IF(
ISNUMBER(MATCH(
C1079,
IMPORTRANGE(""https://docs.google.com/spreadsheets/d/1yTh1ELC33JHYOeEdgIiEclxPRyh0zOKtlawDltfUay8"",""'Interns'!A:A""),
0
)),
""Outreach Conducted"",
"""")"),"")</f>
        <v/>
      </c>
      <c r="AI1079" s="23"/>
      <c r="AJ1079" s="23"/>
      <c r="AK1079" s="23" t="str">
        <f>IFERROR(__xludf.DUMMYFUNCTION("XLOOKUP(C1079, 
   IMPORTRANGE(""1RdEdgHYrZ33LJ7RUHj_h-qkAFL92bcVjtIdVa-UlsCw"", ""Interns!D:D""), 
   IMPORTRANGE(""1RdEdgHYrZ33LJ7RUHj_h-qkAFL92bcVjtIdVa-UlsCw"", ""Interns!M:M""), 
   ""Not Found"")"),"Contacted")</f>
        <v>Contacted</v>
      </c>
      <c r="AL1079" s="23" t="str">
        <f>IFERROR(__xludf.DUMMYFUNCTION("XLOOKUP(C1079, 
   IMPORTRANGE(""1RdEdgHYrZ33LJ7RUHj_h-qkAFL92bcVjtIdVa-UlsCw"", ""Interns!D:D""), 
   IMPORTRANGE(""1RdEdgHYrZ33LJ7RUHj_h-qkAFL92bcVjtIdVa-UlsCw"", ""Interns!N:N""), 
   ""Not Found"")"),"#Cheers4Careers")</f>
        <v>#Cheers4Careers</v>
      </c>
      <c r="AM1079" s="23" t="str">
        <f>IFERROR(__xludf.DUMMYFUNCTION("XLOOKUP(C1079, 
   IMPORTRANGE(""1RdEdgHYrZ33LJ7RUHj_h-qkAFL92bcVjtIdVa-UlsCw"", ""Interns!D:D""), 
   IMPORTRANGE(""1RdEdgHYrZ33LJ7RUHj_h-qkAFL92bcVjtIdVa-UlsCw"", ""Interns!O:O""), 
   ""Not Found"")"),"Hetal reached out March 27 for March #Cheers4 Careers and Hetal reached out by Whatsapp on 3/28
Hetal reached out on 4/10 by whatsapp for April 18th #Cheers4Careers")</f>
        <v>Hetal reached out March 27 for March #Cheers4 Careers and Hetal reached out by Whatsapp on 3/28
Hetal reached out on 4/10 by whatsapp for April 18th #Cheers4Careers</v>
      </c>
      <c r="AN1079" s="23"/>
      <c r="AO1079" s="23" t="s">
        <v>738</v>
      </c>
      <c r="AP1079" s="28" t="s">
        <v>5182</v>
      </c>
      <c r="AQ1079" s="28" t="s">
        <v>12074</v>
      </c>
      <c r="AR1079" s="23" t="s">
        <v>12075</v>
      </c>
      <c r="AS1079" s="23"/>
      <c r="AT1079" s="23"/>
      <c r="AU1079" s="23"/>
      <c r="AV1079" s="23"/>
    </row>
    <row r="1080">
      <c r="A1080" s="28" t="s">
        <v>5161</v>
      </c>
      <c r="B1080" s="28" t="s">
        <v>5162</v>
      </c>
      <c r="C1080" s="23" t="str">
        <f t="shared" si="1"/>
        <v>Mary Anene</v>
      </c>
      <c r="D1080" s="28" t="s">
        <v>5634</v>
      </c>
      <c r="E1080" s="28" t="s">
        <v>5635</v>
      </c>
      <c r="F1080" s="23">
        <f t="array" ref="F1080">IFERROR(
    INDEX('Hub Interns 226'!A:A, MATCH(C1080, 'Hub Interns 226'!B:B, 0)),"")</f>
        <v>853</v>
      </c>
      <c r="G1080" s="23">
        <f t="array" ref="G1080">IFERROR(
    INDEX('Hub Users 226'!A:A, MATCH(C1080, 'Hub Users 226'!B:B, 0)),"")</f>
        <v>1286</v>
      </c>
      <c r="H1080" s="28">
        <v>1409.0</v>
      </c>
      <c r="I1080" s="28" t="s">
        <v>260</v>
      </c>
      <c r="J1080" s="28" t="s">
        <v>12076</v>
      </c>
      <c r="K1080" s="28" t="s">
        <v>5245</v>
      </c>
      <c r="L1080" s="28" t="s">
        <v>5196</v>
      </c>
      <c r="M1080" s="56" t="s">
        <v>5636</v>
      </c>
      <c r="N1080" s="59">
        <v>44865.475</v>
      </c>
      <c r="O1080" s="58">
        <v>39308.0</v>
      </c>
      <c r="P1080" s="28">
        <f t="shared" si="32"/>
        <v>18</v>
      </c>
      <c r="Q1080" s="28" t="s">
        <v>240</v>
      </c>
      <c r="R1080" s="28" t="s">
        <v>5637</v>
      </c>
      <c r="S1080" s="28">
        <v>5.0</v>
      </c>
      <c r="T1080" s="28">
        <v>14.0</v>
      </c>
      <c r="U1080" s="28">
        <v>33.0</v>
      </c>
      <c r="V1080" s="28">
        <v>27.0</v>
      </c>
      <c r="W1080" s="28" t="s">
        <v>1173</v>
      </c>
      <c r="X1080" s="28" t="s">
        <v>272</v>
      </c>
      <c r="Y1080" s="28" t="s">
        <v>5638</v>
      </c>
      <c r="Z1080" s="28" t="s">
        <v>5332</v>
      </c>
      <c r="AA1080" s="28" t="s">
        <v>421</v>
      </c>
      <c r="AB1080" s="28">
        <v>31.0</v>
      </c>
      <c r="AC1080" s="28" t="s">
        <v>23</v>
      </c>
      <c r="AD1080" s="23"/>
      <c r="AE1080" s="28" t="s">
        <v>15</v>
      </c>
      <c r="AF1080" s="23"/>
      <c r="AG1080" s="23"/>
      <c r="AH1080" s="23" t="str">
        <f>IFERROR(__xludf.DUMMYFUNCTION("IF(
ISNUMBER(MATCH(
C1080,
IMPORTRANGE(""https://docs.google.com/spreadsheets/d/1yTh1ELC33JHYOeEdgIiEclxPRyh0zOKtlawDltfUay8"",""'Interns'!A:A""),
0
)),
""Outreach Conducted"",
"""")"),"")</f>
        <v/>
      </c>
      <c r="AI1080" s="23"/>
      <c r="AJ1080" s="23"/>
      <c r="AK1080" s="23" t="str">
        <f>IFERROR(__xludf.DUMMYFUNCTION("XLOOKUP(C1080, 
   IMPORTRANGE(""1RdEdgHYrZ33LJ7RUHj_h-qkAFL92bcVjtIdVa-UlsCw"", ""Interns!D:D""), 
   IMPORTRANGE(""1RdEdgHYrZ33LJ7RUHj_h-qkAFL92bcVjtIdVa-UlsCw"", ""Interns!M:M""), 
   ""Not Found"")"),"Contacted")</f>
        <v>Contacted</v>
      </c>
      <c r="AL1080" s="23" t="str">
        <f>IFERROR(__xludf.DUMMYFUNCTION("XLOOKUP(C1080, 
   IMPORTRANGE(""1RdEdgHYrZ33LJ7RUHj_h-qkAFL92bcVjtIdVa-UlsCw"", ""Interns!D:D""), 
   IMPORTRANGE(""1RdEdgHYrZ33LJ7RUHj_h-qkAFL92bcVjtIdVa-UlsCw"", ""Interns!N:N""), 
   ""Not Found"")"),"#Cheers4Careers")</f>
        <v>#Cheers4Careers</v>
      </c>
      <c r="AM1080" s="23" t="str">
        <f>IFERROR(__xludf.DUMMYFUNCTION("XLOOKUP(C1080, 
   IMPORTRANGE(""1RdEdgHYrZ33LJ7RUHj_h-qkAFL92bcVjtIdVa-UlsCw"", ""Interns!D:D""), 
   IMPORTRANGE(""1RdEdgHYrZ33LJ7RUHj_h-qkAFL92bcVjtIdVa-UlsCw"", ""Interns!O:O""), 
   ""Not Found"")"),"Hetal reached out by text 3/27 for #Cheers4Careers")</f>
        <v>Hetal reached out by text 3/27 for #Cheers4Careers</v>
      </c>
      <c r="AN1080" s="23"/>
      <c r="AO1080" s="23" t="s">
        <v>5640</v>
      </c>
      <c r="AP1080" s="28" t="s">
        <v>5641</v>
      </c>
      <c r="AQ1080" s="28" t="s">
        <v>5642</v>
      </c>
      <c r="AR1080" s="23" t="s">
        <v>5643</v>
      </c>
      <c r="AS1080" s="23"/>
      <c r="AT1080" s="23"/>
      <c r="AU1080" s="23"/>
      <c r="AV1080" s="23"/>
    </row>
    <row r="1081">
      <c r="A1081" s="28" t="s">
        <v>5161</v>
      </c>
      <c r="B1081" s="28" t="s">
        <v>31</v>
      </c>
      <c r="C1081" s="23" t="str">
        <f t="shared" si="1"/>
        <v>Alexander Torres</v>
      </c>
      <c r="D1081" s="28" t="s">
        <v>11676</v>
      </c>
      <c r="E1081" s="28" t="s">
        <v>6739</v>
      </c>
      <c r="F1081" s="23">
        <f t="array" ref="F1081">IFERROR(
    INDEX('Hub Interns 226'!A:A, MATCH(C1081, 'Hub Interns 226'!B:B, 0)),"")</f>
        <v>73</v>
      </c>
      <c r="G1081" s="23">
        <f t="array" ref="G1081">IFERROR(
    INDEX('Hub Users 226'!A:A, MATCH(C1081, 'Hub Users 226'!B:B, 0)),"")</f>
        <v>506</v>
      </c>
      <c r="H1081" s="28">
        <v>1486.0</v>
      </c>
      <c r="I1081" s="28" t="s">
        <v>1235</v>
      </c>
      <c r="J1081" s="28"/>
      <c r="K1081" s="28"/>
      <c r="L1081" s="28" t="s">
        <v>5165</v>
      </c>
      <c r="M1081" s="56" t="s">
        <v>11737</v>
      </c>
      <c r="N1081" s="57">
        <v>44943.50902777778</v>
      </c>
      <c r="O1081" s="58">
        <v>38832.0</v>
      </c>
      <c r="P1081" s="28">
        <f t="shared" si="32"/>
        <v>20</v>
      </c>
      <c r="Q1081" s="28" t="s">
        <v>11738</v>
      </c>
      <c r="R1081" s="28" t="s">
        <v>11739</v>
      </c>
      <c r="S1081" s="28"/>
      <c r="T1081" s="28"/>
      <c r="U1081" s="28"/>
      <c r="V1081" s="28"/>
      <c r="W1081" s="28" t="s">
        <v>294</v>
      </c>
      <c r="X1081" s="28" t="s">
        <v>272</v>
      </c>
      <c r="Y1081" s="28" t="s">
        <v>11740</v>
      </c>
      <c r="Z1081" s="28" t="s">
        <v>5259</v>
      </c>
      <c r="AA1081" s="28" t="s">
        <v>704</v>
      </c>
      <c r="AB1081" s="28">
        <v>2.0</v>
      </c>
      <c r="AC1081" s="28" t="s">
        <v>28</v>
      </c>
      <c r="AD1081" s="23"/>
      <c r="AE1081" s="28" t="s">
        <v>15</v>
      </c>
      <c r="AF1081" s="23"/>
      <c r="AG1081" s="23"/>
      <c r="AH1081" s="23" t="str">
        <f>IFERROR(__xludf.DUMMYFUNCTION("IF(
ISNUMBER(MATCH(
C1081,
IMPORTRANGE(""https://docs.google.com/spreadsheets/d/1yTh1ELC33JHYOeEdgIiEclxPRyh0zOKtlawDltfUay8"",""'Interns'!A:A""),
0
)),
""Outreach Conducted"",
"""")"),"")</f>
        <v/>
      </c>
      <c r="AI1081" s="23"/>
      <c r="AJ1081" s="23"/>
      <c r="AK1081" s="23" t="str">
        <f>IFERROR(__xludf.DUMMYFUNCTION("XLOOKUP(C1081, 
   IMPORTRANGE(""1RdEdgHYrZ33LJ7RUHj_h-qkAFL92bcVjtIdVa-UlsCw"", ""Interns!D:D""), 
   IMPORTRANGE(""1RdEdgHYrZ33LJ7RUHj_h-qkAFL92bcVjtIdVa-UlsCw"", ""Interns!M:M""), 
   ""Not Found"")"),"")</f>
        <v/>
      </c>
      <c r="AL1081" s="23" t="str">
        <f>IFERROR(__xludf.DUMMYFUNCTION("XLOOKUP(C1081, 
   IMPORTRANGE(""1RdEdgHYrZ33LJ7RUHj_h-qkAFL92bcVjtIdVa-UlsCw"", ""Interns!D:D""), 
   IMPORTRANGE(""1RdEdgHYrZ33LJ7RUHj_h-qkAFL92bcVjtIdVa-UlsCw"", ""Interns!N:N""), 
   ""Not Found"")"),"")</f>
        <v/>
      </c>
      <c r="AM1081" s="23" t="str">
        <f>IFERROR(__xludf.DUMMYFUNCTION("XLOOKUP(C1081, 
   IMPORTRANGE(""1RdEdgHYrZ33LJ7RUHj_h-qkAFL92bcVjtIdVa-UlsCw"", ""Interns!D:D""), 
   IMPORTRANGE(""1RdEdgHYrZ33LJ7RUHj_h-qkAFL92bcVjtIdVa-UlsCw"", ""Interns!O:O""), 
   ""Not Found"")"),"")</f>
        <v/>
      </c>
      <c r="AN1081" s="23"/>
      <c r="AO1081" s="23" t="s">
        <v>11741</v>
      </c>
      <c r="AP1081" s="28" t="s">
        <v>5182</v>
      </c>
      <c r="AQ1081" s="28" t="s">
        <v>11742</v>
      </c>
      <c r="AR1081" s="23" t="s">
        <v>11743</v>
      </c>
      <c r="AS1081" s="23"/>
      <c r="AT1081" s="23"/>
      <c r="AU1081" s="23"/>
      <c r="AV1081" s="23"/>
    </row>
    <row r="1082">
      <c r="A1082" s="28" t="s">
        <v>5161</v>
      </c>
      <c r="B1082" s="28" t="s">
        <v>5162</v>
      </c>
      <c r="C1082" s="23" t="str">
        <f t="shared" si="1"/>
        <v>Ephraim Orisakiya</v>
      </c>
      <c r="D1082" s="28" t="s">
        <v>12077</v>
      </c>
      <c r="E1082" s="28" t="s">
        <v>12078</v>
      </c>
      <c r="F1082" s="23">
        <f t="array" ref="F1082">IFERROR(
    INDEX('Hub Interns 226'!A:A, MATCH(C1082, 'Hub Interns 226'!B:B, 0)),"")</f>
        <v>493</v>
      </c>
      <c r="G1082" s="23">
        <f t="array" ref="G1082">IFERROR(
    INDEX('Hub Users 226'!A:A, MATCH(C1082, 'Hub Users 226'!B:B, 0)),"")</f>
        <v>926</v>
      </c>
      <c r="H1082" s="28">
        <v>1367.0</v>
      </c>
      <c r="I1082" s="28" t="s">
        <v>290</v>
      </c>
      <c r="J1082" s="28" t="s">
        <v>12076</v>
      </c>
      <c r="K1082" s="28" t="s">
        <v>5245</v>
      </c>
      <c r="L1082" s="28" t="s">
        <v>5165</v>
      </c>
      <c r="M1082" s="56" t="s">
        <v>12079</v>
      </c>
      <c r="N1082" s="59">
        <v>44859.62847222222</v>
      </c>
      <c r="O1082" s="58">
        <v>39410.0</v>
      </c>
      <c r="P1082" s="28">
        <f t="shared" si="32"/>
        <v>18</v>
      </c>
      <c r="Q1082" s="28" t="s">
        <v>12080</v>
      </c>
      <c r="R1082" s="28" t="s">
        <v>12081</v>
      </c>
      <c r="S1082" s="28">
        <v>5.0</v>
      </c>
      <c r="T1082" s="28">
        <v>10.0</v>
      </c>
      <c r="U1082" s="28">
        <v>29.0</v>
      </c>
      <c r="V1082" s="28">
        <v>27.0</v>
      </c>
      <c r="W1082" s="28" t="s">
        <v>1173</v>
      </c>
      <c r="X1082" s="28" t="s">
        <v>272</v>
      </c>
      <c r="Y1082" s="28" t="s">
        <v>12082</v>
      </c>
      <c r="Z1082" s="28" t="s">
        <v>5332</v>
      </c>
      <c r="AA1082" s="28" t="s">
        <v>421</v>
      </c>
      <c r="AB1082" s="28">
        <v>31.0</v>
      </c>
      <c r="AC1082" s="28" t="s">
        <v>25</v>
      </c>
      <c r="AD1082" s="23"/>
      <c r="AE1082" s="28" t="s">
        <v>15</v>
      </c>
      <c r="AF1082" s="23" t="str">
        <f>IFERROR(__xludf.DUMMYFUNCTION("TEXTJOIN("", "", TRUE,
  FILTER(Champions!C:C,
    ISNUMBER(SEARCH(C1082, Champions!W:W))
  )
)"),"Mark Swift, Suzette Nicole Bennett, Wendy Velasquez Ebanks")</f>
        <v>Mark Swift, Suzette Nicole Bennett, Wendy Velasquez Ebanks</v>
      </c>
      <c r="AG1082" s="23"/>
      <c r="AH1082" s="23" t="str">
        <f>IFERROR(__xludf.DUMMYFUNCTION("IF(
ISNUMBER(MATCH(
C1082,
IMPORTRANGE(""https://docs.google.com/spreadsheets/d/1yTh1ELC33JHYOeEdgIiEclxPRyh0zOKtlawDltfUay8"",""'Interns'!A:A""),
0
)),
""Outreach Conducted"",
"""")"),"")</f>
        <v/>
      </c>
      <c r="AI1082" s="23"/>
      <c r="AJ1082" s="23"/>
      <c r="AK1082" s="23" t="str">
        <f>IFERROR(__xludf.DUMMYFUNCTION("XLOOKUP(C1082, 
   IMPORTRANGE(""1RdEdgHYrZ33LJ7RUHj_h-qkAFL92bcVjtIdVa-UlsCw"", ""Interns!D:D""), 
   IMPORTRANGE(""1RdEdgHYrZ33LJ7RUHj_h-qkAFL92bcVjtIdVa-UlsCw"", ""Interns!M:M""), 
   ""Not Found"")"),"Contacted")</f>
        <v>Contacted</v>
      </c>
      <c r="AL1082" s="23" t="str">
        <f>IFERROR(__xludf.DUMMYFUNCTION("XLOOKUP(C1082, 
   IMPORTRANGE(""1RdEdgHYrZ33LJ7RUHj_h-qkAFL92bcVjtIdVa-UlsCw"", ""Interns!D:D""), 
   IMPORTRANGE(""1RdEdgHYrZ33LJ7RUHj_h-qkAFL92bcVjtIdVa-UlsCw"", ""Interns!N:N""), 
   ""Not Found"")"),"#Cheers4Careers")</f>
        <v>#Cheers4Careers</v>
      </c>
      <c r="AM1082" s="23" t="str">
        <f>IFERROR(__xludf.DUMMYFUNCTION("XLOOKUP(C1082, 
   IMPORTRANGE(""1RdEdgHYrZ33LJ7RUHj_h-qkAFL92bcVjtIdVa-UlsCw"", ""Interns!D:D""), 
   IMPORTRANGE(""1RdEdgHYrZ33LJ7RUHj_h-qkAFL92bcVjtIdVa-UlsCw"", ""Interns!O:O""), 
   ""Not Found"")"),"Hetal reached out March 27 for March #Cheers4 Careers  and texted")</f>
        <v>Hetal reached out March 27 for March #Cheers4 Careers  and texted</v>
      </c>
      <c r="AN1082" s="23"/>
      <c r="AO1082" s="23" t="s">
        <v>12083</v>
      </c>
      <c r="AP1082" s="28" t="s">
        <v>5182</v>
      </c>
      <c r="AQ1082" s="28" t="s">
        <v>12084</v>
      </c>
      <c r="AR1082" s="23" t="s">
        <v>12085</v>
      </c>
      <c r="AS1082" s="23"/>
      <c r="AT1082" s="23"/>
      <c r="AU1082" s="23"/>
      <c r="AV1082" s="23"/>
    </row>
    <row r="1083">
      <c r="A1083" s="28" t="s">
        <v>5161</v>
      </c>
      <c r="B1083" s="28" t="s">
        <v>5162</v>
      </c>
      <c r="C1083" s="23" t="str">
        <f t="shared" si="1"/>
        <v>Aliyah Maliq</v>
      </c>
      <c r="D1083" s="28" t="s">
        <v>12086</v>
      </c>
      <c r="E1083" s="28" t="s">
        <v>12087</v>
      </c>
      <c r="F1083" s="23">
        <f t="array" ref="F1083">IFERROR(
    INDEX('Hub Interns 226'!A:A, MATCH(C1083, 'Hub Interns 226'!B:B, 0)),"")</f>
        <v>195</v>
      </c>
      <c r="G1083" s="23">
        <f t="array" ref="G1083">IFERROR(
    INDEX('Hub Users 226'!A:A, MATCH(C1083, 'Hub Users 226'!B:B, 0)),"")</f>
        <v>628</v>
      </c>
      <c r="H1083" s="28">
        <v>482.0</v>
      </c>
      <c r="I1083" s="28" t="s">
        <v>260</v>
      </c>
      <c r="J1083" s="28" t="s">
        <v>12076</v>
      </c>
      <c r="K1083" s="28" t="s">
        <v>5245</v>
      </c>
      <c r="L1083" s="28" t="s">
        <v>5196</v>
      </c>
      <c r="M1083" s="56" t="s">
        <v>12088</v>
      </c>
      <c r="N1083" s="57">
        <v>44368.91180555556</v>
      </c>
      <c r="O1083" s="58">
        <v>38640.0</v>
      </c>
      <c r="P1083" s="28">
        <f t="shared" si="32"/>
        <v>20</v>
      </c>
      <c r="Q1083" s="28" t="s">
        <v>12089</v>
      </c>
      <c r="R1083" s="28" t="s">
        <v>12090</v>
      </c>
      <c r="S1083" s="28">
        <v>5.0</v>
      </c>
      <c r="T1083" s="28">
        <v>14.0</v>
      </c>
      <c r="U1083" s="28">
        <v>29.0</v>
      </c>
      <c r="V1083" s="28">
        <v>31.0</v>
      </c>
      <c r="W1083" s="28" t="s">
        <v>271</v>
      </c>
      <c r="X1083" s="28" t="s">
        <v>272</v>
      </c>
      <c r="Y1083" s="28" t="s">
        <v>12091</v>
      </c>
      <c r="Z1083" s="28" t="s">
        <v>5332</v>
      </c>
      <c r="AA1083" s="28" t="s">
        <v>421</v>
      </c>
      <c r="AB1083" s="28">
        <v>31.0</v>
      </c>
      <c r="AC1083" s="28" t="s">
        <v>25</v>
      </c>
      <c r="AD1083" s="28" t="s">
        <v>101</v>
      </c>
      <c r="AE1083" s="26" t="s">
        <v>12</v>
      </c>
      <c r="AF1083" s="23" t="str">
        <f>IFERROR(__xludf.DUMMYFUNCTION("TEXTJOIN("", "", TRUE,
  FILTER(Champions!C:C,
    ISNUMBER(SEARCH(C1083, Champions!W:W))
  )
)"),"CHRISTINA BROOMES, Mark Swift, Natsumi Komatani, Soraya Senosier, Prasanna Vijayanathan, Weina Chen")</f>
        <v>CHRISTINA BROOMES, Mark Swift, Natsumi Komatani, Soraya Senosier, Prasanna Vijayanathan, Weina Chen</v>
      </c>
      <c r="AG1083" s="26" t="s">
        <v>9929</v>
      </c>
      <c r="AH1083" s="23" t="str">
        <f>IFERROR(__xludf.DUMMYFUNCTION("IF(
ISNUMBER(MATCH(
C1083,
IMPORTRANGE(""https://docs.google.com/spreadsheets/d/1yTh1ELC33JHYOeEdgIiEclxPRyh0zOKtlawDltfUay8"",""'Interns'!A:A""),
0
)),
""Outreach Conducted"",
"""")"),"")</f>
        <v/>
      </c>
      <c r="AI1083" s="23"/>
      <c r="AJ1083" s="23"/>
      <c r="AK1083" s="23" t="str">
        <f>IFERROR(__xludf.DUMMYFUNCTION("XLOOKUP(C1083, 
   IMPORTRANGE(""1RdEdgHYrZ33LJ7RUHj_h-qkAFL92bcVjtIdVa-UlsCw"", ""Interns!D:D""), 
   IMPORTRANGE(""1RdEdgHYrZ33LJ7RUHj_h-qkAFL92bcVjtIdVa-UlsCw"", ""Interns!M:M""), 
   ""Not Found"")"),"Contacted")</f>
        <v>Contacted</v>
      </c>
      <c r="AL1083" s="23" t="str">
        <f>IFERROR(__xludf.DUMMYFUNCTION("XLOOKUP(C1083, 
   IMPORTRANGE(""1RdEdgHYrZ33LJ7RUHj_h-qkAFL92bcVjtIdVa-UlsCw"", ""Interns!D:D""), 
   IMPORTRANGE(""1RdEdgHYrZ33LJ7RUHj_h-qkAFL92bcVjtIdVa-UlsCw"", ""Interns!N:N""), 
   ""Not Found"")"),"#Cheers4Careers")</f>
        <v>#Cheers4Careers</v>
      </c>
      <c r="AM1083" s="23" t="str">
        <f>IFERROR(__xludf.DUMMYFUNCTION("XLOOKUP(C1083, 
   IMPORTRANGE(""1RdEdgHYrZ33LJ7RUHj_h-qkAFL92bcVjtIdVa-UlsCw"", ""Interns!D:D""), 
   IMPORTRANGE(""1RdEdgHYrZ33LJ7RUHj_h-qkAFL92bcVjtIdVa-UlsCw"", ""Interns!O:O""), 
   ""Not Found"")"),"Hetal reached out March 27 for March #Cheers4 Careers and texted")</f>
        <v>Hetal reached out March 27 for March #Cheers4 Careers and texted</v>
      </c>
      <c r="AN1083" s="23"/>
      <c r="AO1083" s="23" t="s">
        <v>12092</v>
      </c>
      <c r="AP1083" s="28" t="s">
        <v>5182</v>
      </c>
      <c r="AQ1083" s="28" t="s">
        <v>12093</v>
      </c>
      <c r="AR1083" s="23" t="s">
        <v>12094</v>
      </c>
      <c r="AS1083" s="23"/>
      <c r="AT1083" s="23"/>
      <c r="AU1083" s="23"/>
      <c r="AV1083" s="23"/>
    </row>
    <row r="1084">
      <c r="A1084" s="28" t="s">
        <v>5161</v>
      </c>
      <c r="B1084" s="28" t="s">
        <v>5162</v>
      </c>
      <c r="C1084" s="23" t="str">
        <f t="shared" si="1"/>
        <v>Oluwateniayo - Tenny Maraiyesa</v>
      </c>
      <c r="D1084" s="28" t="s">
        <v>12095</v>
      </c>
      <c r="E1084" s="28" t="s">
        <v>12096</v>
      </c>
      <c r="F1084" s="23">
        <f t="array" ref="F1084">IFERROR(
    INDEX('Hub Interns 226'!A:A, MATCH(C1084, 'Hub Interns 226'!B:B, 0)),"")</f>
        <v>1143</v>
      </c>
      <c r="G1084" s="23">
        <f t="array" ref="G1084">IFERROR(
    INDEX('Hub Users 226'!A:A, MATCH(C1084, 'Hub Users 226'!B:B, 0)),"")</f>
        <v>1576</v>
      </c>
      <c r="H1084" s="28">
        <v>1383.0</v>
      </c>
      <c r="I1084" s="28" t="s">
        <v>239</v>
      </c>
      <c r="J1084" s="28" t="s">
        <v>12076</v>
      </c>
      <c r="K1084" s="28" t="s">
        <v>5245</v>
      </c>
      <c r="L1084" s="28" t="s">
        <v>5196</v>
      </c>
      <c r="M1084" s="56" t="s">
        <v>12097</v>
      </c>
      <c r="N1084" s="59">
        <v>44861.57083333333</v>
      </c>
      <c r="O1084" s="58">
        <v>39797.0</v>
      </c>
      <c r="P1084" s="28">
        <f t="shared" si="32"/>
        <v>17</v>
      </c>
      <c r="Q1084" s="28" t="s">
        <v>12098</v>
      </c>
      <c r="R1084" s="28" t="s">
        <v>12099</v>
      </c>
      <c r="S1084" s="28">
        <v>5.0</v>
      </c>
      <c r="T1084" s="28">
        <v>10.0</v>
      </c>
      <c r="U1084" s="28">
        <v>31.0</v>
      </c>
      <c r="V1084" s="28">
        <v>31.0</v>
      </c>
      <c r="W1084" s="28" t="s">
        <v>1173</v>
      </c>
      <c r="X1084" s="28" t="s">
        <v>272</v>
      </c>
      <c r="Y1084" s="28" t="s">
        <v>12100</v>
      </c>
      <c r="Z1084" s="28" t="s">
        <v>5332</v>
      </c>
      <c r="AA1084" s="28" t="s">
        <v>421</v>
      </c>
      <c r="AB1084" s="28">
        <v>31.0</v>
      </c>
      <c r="AC1084" s="28" t="s">
        <v>23</v>
      </c>
      <c r="AD1084" s="28" t="s">
        <v>101</v>
      </c>
      <c r="AE1084" s="28" t="s">
        <v>15</v>
      </c>
      <c r="AF1084" s="23"/>
      <c r="AG1084" s="23"/>
      <c r="AH1084" s="23" t="str">
        <f>IFERROR(__xludf.DUMMYFUNCTION("IF(
ISNUMBER(MATCH(
C1084,
IMPORTRANGE(""https://docs.google.com/spreadsheets/d/1yTh1ELC33JHYOeEdgIiEclxPRyh0zOKtlawDltfUay8"",""'Interns'!A:A""),
0
)),
""Outreach Conducted"",
"""")"),"")</f>
        <v/>
      </c>
      <c r="AI1084" s="23"/>
      <c r="AJ1084" s="23"/>
      <c r="AK1084" s="23" t="str">
        <f>IFERROR(__xludf.DUMMYFUNCTION("XLOOKUP(C1084, 
   IMPORTRANGE(""1RdEdgHYrZ33LJ7RUHj_h-qkAFL92bcVjtIdVa-UlsCw"", ""Interns!D:D""), 
   IMPORTRANGE(""1RdEdgHYrZ33LJ7RUHj_h-qkAFL92bcVjtIdVa-UlsCw"", ""Interns!M:M""), 
   ""Not Found"")"),"Contacted")</f>
        <v>Contacted</v>
      </c>
      <c r="AL1084" s="23" t="str">
        <f>IFERROR(__xludf.DUMMYFUNCTION("XLOOKUP(C1084, 
   IMPORTRANGE(""1RdEdgHYrZ33LJ7RUHj_h-qkAFL92bcVjtIdVa-UlsCw"", ""Interns!D:D""), 
   IMPORTRANGE(""1RdEdgHYrZ33LJ7RUHj_h-qkAFL92bcVjtIdVa-UlsCw"", ""Interns!N:N""), 
   ""Not Found"")"),"#Cheers4Careers")</f>
        <v>#Cheers4Careers</v>
      </c>
      <c r="AM1084" s="23" t="str">
        <f>IFERROR(__xludf.DUMMYFUNCTION("XLOOKUP(C1084, 
   IMPORTRANGE(""1RdEdgHYrZ33LJ7RUHj_h-qkAFL92bcVjtIdVa-UlsCw"", ""Interns!D:D""), 
   IMPORTRANGE(""1RdEdgHYrZ33LJ7RUHj_h-qkAFL92bcVjtIdVa-UlsCw"", ""Interns!O:O""), 
   ""Not Found"")"),"Hetal reached out March 27 for March #Cheers4 Careers  and texted and Hetal reached out by whatsapp on 3/28
Hetal reached out on 4/10 by whatsapp for April 18th #Cheers4Careers")</f>
        <v>Hetal reached out March 27 for March #Cheers4 Careers  and texted and Hetal reached out by whatsapp on 3/28
Hetal reached out on 4/10 by whatsapp for April 18th #Cheers4Careers</v>
      </c>
      <c r="AN1084" s="23"/>
      <c r="AO1084" s="23" t="s">
        <v>12101</v>
      </c>
      <c r="AP1084" s="28" t="s">
        <v>5182</v>
      </c>
      <c r="AQ1084" s="28"/>
      <c r="AR1084" s="23"/>
      <c r="AS1084" s="23"/>
      <c r="AT1084" s="23"/>
      <c r="AU1084" s="23"/>
      <c r="AV1084" s="23"/>
    </row>
    <row r="1085">
      <c r="A1085" s="28" t="s">
        <v>5161</v>
      </c>
      <c r="B1085" s="28" t="s">
        <v>5162</v>
      </c>
      <c r="C1085" s="23" t="str">
        <f t="shared" si="1"/>
        <v>Cynthia Akanaga</v>
      </c>
      <c r="D1085" s="28" t="s">
        <v>8893</v>
      </c>
      <c r="E1085" s="28" t="s">
        <v>12102</v>
      </c>
      <c r="F1085" s="23">
        <f t="array" ref="F1085">IFERROR(
    INDEX('Hub Interns 226'!A:A, MATCH(C1085, 'Hub Interns 226'!B:B, 0)),"")</f>
        <v>399</v>
      </c>
      <c r="G1085" s="23">
        <f t="array" ref="G1085">IFERROR(
    INDEX('Hub Users 226'!A:A, MATCH(C1085, 'Hub Users 226'!B:B, 0)),"")</f>
        <v>832</v>
      </c>
      <c r="H1085" s="28">
        <v>402.0</v>
      </c>
      <c r="I1085" s="28" t="s">
        <v>260</v>
      </c>
      <c r="J1085" s="28" t="s">
        <v>12076</v>
      </c>
      <c r="K1085" s="28" t="s">
        <v>5245</v>
      </c>
      <c r="L1085" s="28" t="s">
        <v>5196</v>
      </c>
      <c r="M1085" s="56" t="s">
        <v>12103</v>
      </c>
      <c r="N1085" s="57">
        <v>44299.24791666667</v>
      </c>
      <c r="O1085" s="58">
        <v>37826.0</v>
      </c>
      <c r="P1085" s="28">
        <f t="shared" si="32"/>
        <v>22</v>
      </c>
      <c r="Q1085" s="28" t="s">
        <v>12104</v>
      </c>
      <c r="R1085" s="28" t="s">
        <v>12105</v>
      </c>
      <c r="S1085" s="28">
        <v>5.0</v>
      </c>
      <c r="T1085" s="28">
        <v>10.0</v>
      </c>
      <c r="U1085" s="28">
        <v>29.0</v>
      </c>
      <c r="V1085" s="28">
        <v>31.0</v>
      </c>
      <c r="W1085" s="28" t="s">
        <v>1173</v>
      </c>
      <c r="X1085" s="28" t="s">
        <v>272</v>
      </c>
      <c r="Y1085" s="28" t="s">
        <v>12106</v>
      </c>
      <c r="Z1085" s="28" t="s">
        <v>5332</v>
      </c>
      <c r="AA1085" s="28" t="s">
        <v>421</v>
      </c>
      <c r="AB1085" s="28">
        <v>31.0</v>
      </c>
      <c r="AC1085" s="28" t="s">
        <v>24</v>
      </c>
      <c r="AD1085" s="23"/>
      <c r="AE1085" s="28" t="s">
        <v>8</v>
      </c>
      <c r="AF1085" s="23"/>
      <c r="AG1085" s="23"/>
      <c r="AH1085" s="23" t="str">
        <f>IFERROR(__xludf.DUMMYFUNCTION("IF(
ISNUMBER(MATCH(
C1085,
IMPORTRANGE(""https://docs.google.com/spreadsheets/d/1yTh1ELC33JHYOeEdgIiEclxPRyh0zOKtlawDltfUay8"",""'Interns'!A:A""),
0
)),
""Outreach Conducted"",
"""")"),"")</f>
        <v/>
      </c>
      <c r="AI1085" s="23"/>
      <c r="AJ1085" s="23"/>
      <c r="AK1085" s="23" t="str">
        <f>IFERROR(__xludf.DUMMYFUNCTION("XLOOKUP(C1085, 
   IMPORTRANGE(""1RdEdgHYrZ33LJ7RUHj_h-qkAFL92bcVjtIdVa-UlsCw"", ""Interns!D:D""), 
   IMPORTRANGE(""1RdEdgHYrZ33LJ7RUHj_h-qkAFL92bcVjtIdVa-UlsCw"", ""Interns!M:M""), 
   ""Not Found"")"),"Contacted")</f>
        <v>Contacted</v>
      </c>
      <c r="AL1085" s="23" t="str">
        <f>IFERROR(__xludf.DUMMYFUNCTION("XLOOKUP(C1085, 
   IMPORTRANGE(""1RdEdgHYrZ33LJ7RUHj_h-qkAFL92bcVjtIdVa-UlsCw"", ""Interns!D:D""), 
   IMPORTRANGE(""1RdEdgHYrZ33LJ7RUHj_h-qkAFL92bcVjtIdVa-UlsCw"", ""Interns!N:N""), 
   ""Not Found"")"),"#Cheers4Careers")</f>
        <v>#Cheers4Careers</v>
      </c>
      <c r="AM1085" s="23" t="str">
        <f>IFERROR(__xludf.DUMMYFUNCTION("XLOOKUP(C1085, 
   IMPORTRANGE(""1RdEdgHYrZ33LJ7RUHj_h-qkAFL92bcVjtIdVa-UlsCw"", ""Interns!D:D""), 
   IMPORTRANGE(""1RdEdgHYrZ33LJ7RUHj_h-qkAFL92bcVjtIdVa-UlsCw"", ""Interns!O:O""), 
   ""Not Found"")"),"Hetal reached out March 27 for March #Cheers4 Careers and texted")</f>
        <v>Hetal reached out March 27 for March #Cheers4 Careers and texted</v>
      </c>
      <c r="AN1085" s="23"/>
      <c r="AO1085" s="23" t="s">
        <v>12107</v>
      </c>
      <c r="AP1085" s="28" t="s">
        <v>5191</v>
      </c>
      <c r="AQ1085" s="28"/>
      <c r="AR1085" s="23"/>
      <c r="AS1085" s="23"/>
      <c r="AT1085" s="23"/>
      <c r="AU1085" s="23"/>
      <c r="AV1085" s="23"/>
    </row>
    <row r="1086">
      <c r="A1086" s="28" t="s">
        <v>5161</v>
      </c>
      <c r="B1086" s="28" t="s">
        <v>31</v>
      </c>
      <c r="C1086" s="23" t="str">
        <f t="shared" si="1"/>
        <v>Ana Almeida</v>
      </c>
      <c r="D1086" s="28" t="s">
        <v>4816</v>
      </c>
      <c r="E1086" s="28" t="s">
        <v>8805</v>
      </c>
      <c r="F1086" s="23">
        <f t="array" ref="F1086">IFERROR(
    INDEX('Hub Interns 226'!A:A, MATCH(C1086, 'Hub Interns 226'!B:B, 0)),"")</f>
        <v>76</v>
      </c>
      <c r="G1086" s="23">
        <f t="array" ref="G1086">IFERROR(
    INDEX('Hub Users 226'!A:A, MATCH(C1086, 'Hub Users 226'!B:B, 0)),"")</f>
        <v>509</v>
      </c>
      <c r="H1086" s="28">
        <v>1461.0</v>
      </c>
      <c r="I1086" s="28" t="s">
        <v>107</v>
      </c>
      <c r="J1086" s="28"/>
      <c r="K1086" s="28"/>
      <c r="L1086" s="28" t="s">
        <v>5196</v>
      </c>
      <c r="M1086" s="56" t="s">
        <v>8832</v>
      </c>
      <c r="N1086" s="57">
        <v>44935.65069444444</v>
      </c>
      <c r="O1086" s="58">
        <v>37830.0</v>
      </c>
      <c r="P1086" s="28">
        <f t="shared" si="32"/>
        <v>22</v>
      </c>
      <c r="Q1086" s="28" t="s">
        <v>8833</v>
      </c>
      <c r="R1086" s="28" t="s">
        <v>8834</v>
      </c>
      <c r="S1086" s="28"/>
      <c r="T1086" s="28"/>
      <c r="U1086" s="28"/>
      <c r="V1086" s="28"/>
      <c r="W1086" s="28" t="s">
        <v>294</v>
      </c>
      <c r="X1086" s="28" t="s">
        <v>272</v>
      </c>
      <c r="Y1086" s="28" t="s">
        <v>8835</v>
      </c>
      <c r="Z1086" s="28" t="s">
        <v>5259</v>
      </c>
      <c r="AA1086" s="28" t="s">
        <v>704</v>
      </c>
      <c r="AB1086" s="28">
        <v>2.0</v>
      </c>
      <c r="AC1086" s="28" t="s">
        <v>28</v>
      </c>
      <c r="AD1086" s="23"/>
      <c r="AE1086" s="28" t="s">
        <v>15</v>
      </c>
      <c r="AF1086" s="23"/>
      <c r="AG1086" s="23"/>
      <c r="AH1086" s="23" t="str">
        <f>IFERROR(__xludf.DUMMYFUNCTION("IF(
ISNUMBER(MATCH(
C1086,
IMPORTRANGE(""https://docs.google.com/spreadsheets/d/1yTh1ELC33JHYOeEdgIiEclxPRyh0zOKtlawDltfUay8"",""'Interns'!A:A""),
0
)),
""Outreach Conducted"",
"""")"),"")</f>
        <v/>
      </c>
      <c r="AI1086" s="23"/>
      <c r="AJ1086" s="23"/>
      <c r="AK1086" s="23" t="str">
        <f>IFERROR(__xludf.DUMMYFUNCTION("XLOOKUP(C1086, 
   IMPORTRANGE(""1RdEdgHYrZ33LJ7RUHj_h-qkAFL92bcVjtIdVa-UlsCw"", ""Interns!D:D""), 
   IMPORTRANGE(""1RdEdgHYrZ33LJ7RUHj_h-qkAFL92bcVjtIdVa-UlsCw"", ""Interns!M:M""), 
   ""Not Found"")"),"")</f>
        <v/>
      </c>
      <c r="AL1086" s="23" t="str">
        <f>IFERROR(__xludf.DUMMYFUNCTION("XLOOKUP(C1086, 
   IMPORTRANGE(""1RdEdgHYrZ33LJ7RUHj_h-qkAFL92bcVjtIdVa-UlsCw"", ""Interns!D:D""), 
   IMPORTRANGE(""1RdEdgHYrZ33LJ7RUHj_h-qkAFL92bcVjtIdVa-UlsCw"", ""Interns!N:N""), 
   ""Not Found"")"),"")</f>
        <v/>
      </c>
      <c r="AM1086" s="23" t="str">
        <f>IFERROR(__xludf.DUMMYFUNCTION("XLOOKUP(C1086, 
   IMPORTRANGE(""1RdEdgHYrZ33LJ7RUHj_h-qkAFL92bcVjtIdVa-UlsCw"", ""Interns!D:D""), 
   IMPORTRANGE(""1RdEdgHYrZ33LJ7RUHj_h-qkAFL92bcVjtIdVa-UlsCw"", ""Interns!O:O""), 
   ""Not Found"")"),"")</f>
        <v/>
      </c>
      <c r="AN1086" s="23"/>
      <c r="AO1086" s="23" t="s">
        <v>8836</v>
      </c>
      <c r="AP1086" s="28" t="s">
        <v>5182</v>
      </c>
      <c r="AQ1086" s="28" t="s">
        <v>8832</v>
      </c>
      <c r="AR1086" s="23" t="s">
        <v>8837</v>
      </c>
      <c r="AS1086" s="23"/>
      <c r="AT1086" s="23"/>
      <c r="AU1086" s="23"/>
      <c r="AV1086" s="23"/>
    </row>
    <row r="1087">
      <c r="A1087" s="28" t="s">
        <v>5161</v>
      </c>
      <c r="B1087" s="28" t="s">
        <v>5162</v>
      </c>
      <c r="C1087" s="23" t="str">
        <f t="shared" si="1"/>
        <v>Michelle Iduseri</v>
      </c>
      <c r="D1087" s="22" t="s">
        <v>4483</v>
      </c>
      <c r="E1087" s="22" t="s">
        <v>12108</v>
      </c>
      <c r="F1087" s="23"/>
      <c r="G1087" s="23"/>
      <c r="H1087" s="22">
        <v>1879.0</v>
      </c>
      <c r="I1087" s="28" t="s">
        <v>260</v>
      </c>
      <c r="J1087" s="28" t="s">
        <v>12076</v>
      </c>
      <c r="K1087" s="28" t="s">
        <v>5245</v>
      </c>
      <c r="L1087" s="28" t="s">
        <v>5196</v>
      </c>
      <c r="M1087" s="29" t="s">
        <v>12109</v>
      </c>
      <c r="N1087" s="22" t="s">
        <v>240</v>
      </c>
      <c r="O1087" s="25">
        <v>45861.0</v>
      </c>
      <c r="P1087" s="28">
        <f t="shared" si="32"/>
        <v>0</v>
      </c>
      <c r="Q1087" s="62" t="s">
        <v>240</v>
      </c>
      <c r="R1087" s="22" t="s">
        <v>12110</v>
      </c>
      <c r="S1087" s="28">
        <v>15.0</v>
      </c>
      <c r="T1087" s="28">
        <v>36.0</v>
      </c>
      <c r="U1087" s="28">
        <v>83.0</v>
      </c>
      <c r="V1087" s="28">
        <v>11.0</v>
      </c>
      <c r="W1087" s="28" t="s">
        <v>859</v>
      </c>
      <c r="X1087" s="28" t="s">
        <v>272</v>
      </c>
      <c r="Y1087" s="22" t="s">
        <v>12111</v>
      </c>
      <c r="Z1087" s="22" t="s">
        <v>5822</v>
      </c>
      <c r="AA1087" s="28" t="s">
        <v>5822</v>
      </c>
      <c r="AB1087" s="28">
        <v>30.0</v>
      </c>
      <c r="AC1087" s="28" t="s">
        <v>27</v>
      </c>
      <c r="AD1087" s="23"/>
      <c r="AE1087" s="28" t="s">
        <v>20</v>
      </c>
      <c r="AF1087" s="23"/>
      <c r="AG1087" s="23"/>
      <c r="AH1087" s="23" t="str">
        <f>IFERROR(__xludf.DUMMYFUNCTION("IF(
ISNUMBER(MATCH(
C1087,
IMPORTRANGE(""https://docs.google.com/spreadsheets/d/1yTh1ELC33JHYOeEdgIiEclxPRyh0zOKtlawDltfUay8"",""'Interns'!A:A""),
0
)),
""Outreach Conducted"",
"""")"),"")</f>
        <v/>
      </c>
      <c r="AI1087" s="23"/>
      <c r="AJ1087" s="23"/>
      <c r="AK1087" s="23"/>
      <c r="AL1087" s="23" t="str">
        <f>IFERROR(__xludf.DUMMYFUNCTION("XLOOKUP(C1087, 
   IMPORTRANGE(""1RdEdgHYrZ33LJ7RUHj_h-qkAFL92bcVjtIdVa-UlsCw"", ""Interns!D:D""), 
   IMPORTRANGE(""1RdEdgHYrZ33LJ7RUHj_h-qkAFL92bcVjtIdVa-UlsCw"", ""Interns!N:N""), 
   ""Not Found"")"),"#Cheers4Careers")</f>
        <v>#Cheers4Careers</v>
      </c>
      <c r="AM1087" s="23" t="str">
        <f>IFERROR(__xludf.DUMMYFUNCTION("XLOOKUP(C1087, 
   IMPORTRANGE(""1RdEdgHYrZ33LJ7RUHj_h-qkAFL92bcVjtIdVa-UlsCw"", ""Interns!D:D""), 
   IMPORTRANGE(""1RdEdgHYrZ33LJ7RUHj_h-qkAFL92bcVjtIdVa-UlsCw"", ""Interns!O:O""), 
   ""Not Found"")"),"Hetal reached out March 27 for March #Cheers4 Careers ")</f>
        <v>Hetal reached out March 27 for March #Cheers4 Careers </v>
      </c>
      <c r="AN1087" s="23"/>
      <c r="AO1087" s="23" t="s">
        <v>12112</v>
      </c>
      <c r="AP1087" s="28" t="s">
        <v>5182</v>
      </c>
      <c r="AQ1087" s="28" t="s">
        <v>12113</v>
      </c>
      <c r="AR1087" s="23" t="s">
        <v>12114</v>
      </c>
      <c r="AS1087" s="23"/>
      <c r="AT1087" s="23"/>
      <c r="AU1087" s="23"/>
      <c r="AV1087" s="23"/>
    </row>
    <row r="1088">
      <c r="A1088" s="28" t="s">
        <v>5161</v>
      </c>
      <c r="B1088" s="28" t="s">
        <v>5162</v>
      </c>
      <c r="C1088" s="23" t="str">
        <f t="shared" si="1"/>
        <v>Angel Ojo</v>
      </c>
      <c r="D1088" s="22" t="s">
        <v>6000</v>
      </c>
      <c r="E1088" s="22" t="s">
        <v>12115</v>
      </c>
      <c r="F1088" s="23"/>
      <c r="G1088" s="23"/>
      <c r="H1088" s="22">
        <v>1903.0</v>
      </c>
      <c r="I1088" s="28"/>
      <c r="J1088" s="28" t="s">
        <v>12076</v>
      </c>
      <c r="K1088" s="28" t="s">
        <v>5245</v>
      </c>
      <c r="L1088" s="28" t="s">
        <v>5196</v>
      </c>
      <c r="M1088" s="29" t="s">
        <v>12116</v>
      </c>
      <c r="N1088" s="61">
        <v>45845.59583333333</v>
      </c>
      <c r="O1088" s="25">
        <v>45845.0</v>
      </c>
      <c r="P1088" s="28">
        <f t="shared" si="32"/>
        <v>0</v>
      </c>
      <c r="Q1088" s="62" t="s">
        <v>12117</v>
      </c>
      <c r="R1088" s="22" t="s">
        <v>12118</v>
      </c>
      <c r="S1088" s="28">
        <v>8.0</v>
      </c>
      <c r="T1088" s="28">
        <v>19.0</v>
      </c>
      <c r="U1088" s="28">
        <v>60.0</v>
      </c>
      <c r="V1088" s="28">
        <v>42.0</v>
      </c>
      <c r="W1088" s="28" t="s">
        <v>294</v>
      </c>
      <c r="X1088" s="28" t="s">
        <v>272</v>
      </c>
      <c r="Y1088" s="22" t="s">
        <v>12119</v>
      </c>
      <c r="Z1088" s="22" t="s">
        <v>5822</v>
      </c>
      <c r="AA1088" s="28" t="s">
        <v>5822</v>
      </c>
      <c r="AB1088" s="28">
        <v>30.0</v>
      </c>
      <c r="AC1088" s="28" t="s">
        <v>27</v>
      </c>
      <c r="AD1088" s="23"/>
      <c r="AE1088" s="28" t="s">
        <v>20</v>
      </c>
      <c r="AF1088" s="23"/>
      <c r="AG1088" s="23"/>
      <c r="AH1088" s="23" t="str">
        <f>IFERROR(__xludf.DUMMYFUNCTION("IF(
ISNUMBER(MATCH(
C1088,
IMPORTRANGE(""https://docs.google.com/spreadsheets/d/1yTh1ELC33JHYOeEdgIiEclxPRyh0zOKtlawDltfUay8"",""'Interns'!A:A""),
0
)),
""Outreach Conducted"",
"""")"),"")</f>
        <v/>
      </c>
      <c r="AI1088" s="23"/>
      <c r="AJ1088" s="23"/>
      <c r="AK1088" s="23"/>
      <c r="AL1088" s="23" t="str">
        <f>IFERROR(__xludf.DUMMYFUNCTION("XLOOKUP(C1088, 
   IMPORTRANGE(""1RdEdgHYrZ33LJ7RUHj_h-qkAFL92bcVjtIdVa-UlsCw"", ""Interns!D:D""), 
   IMPORTRANGE(""1RdEdgHYrZ33LJ7RUHj_h-qkAFL92bcVjtIdVa-UlsCw"", ""Interns!N:N""), 
   ""Not Found"")"),"#Cheers4Careers")</f>
        <v>#Cheers4Careers</v>
      </c>
      <c r="AM1088" s="23" t="str">
        <f>IFERROR(__xludf.DUMMYFUNCTION("XLOOKUP(C1088, 
   IMPORTRANGE(""1RdEdgHYrZ33LJ7RUHj_h-qkAFL92bcVjtIdVa-UlsCw"", ""Interns!D:D""), 
   IMPORTRANGE(""1RdEdgHYrZ33LJ7RUHj_h-qkAFL92bcVjtIdVa-UlsCw"", ""Interns!O:O""), 
   ""Not Found"")"),"Hetal reached out March 27 for March #Cheers4 Careers ")</f>
        <v>Hetal reached out March 27 for March #Cheers4 Careers </v>
      </c>
      <c r="AN1088" s="23"/>
      <c r="AO1088" s="23" t="s">
        <v>12120</v>
      </c>
      <c r="AP1088" s="28" t="s">
        <v>5182</v>
      </c>
      <c r="AQ1088" s="28" t="s">
        <v>12121</v>
      </c>
      <c r="AR1088" s="23" t="s">
        <v>12122</v>
      </c>
      <c r="AS1088" s="23"/>
      <c r="AT1088" s="23"/>
      <c r="AU1088" s="23"/>
      <c r="AV1088" s="23"/>
    </row>
    <row r="1089">
      <c r="A1089" s="28" t="s">
        <v>5161</v>
      </c>
      <c r="B1089" s="28" t="s">
        <v>5162</v>
      </c>
      <c r="C1089" s="23" t="str">
        <f t="shared" si="1"/>
        <v>sm ahnaf shahriar</v>
      </c>
      <c r="D1089" s="28" t="s">
        <v>12123</v>
      </c>
      <c r="E1089" s="28" t="s">
        <v>12124</v>
      </c>
      <c r="F1089" s="23">
        <f t="array" ref="F1089">IFERROR(
    INDEX('Hub Interns 226'!A:A, MATCH(C1089, 'Hub Interns 226'!B:B, 0)),"")</f>
        <v>1111</v>
      </c>
      <c r="G1089" s="23">
        <f t="array" ref="G1089">IFERROR(
    INDEX('Hub Users 226'!A:A, MATCH(C1089, 'Hub Users 226'!B:B, 0)),"")</f>
        <v>1544</v>
      </c>
      <c r="H1089" s="28">
        <v>1573.0</v>
      </c>
      <c r="I1089" s="28" t="s">
        <v>239</v>
      </c>
      <c r="J1089" s="28"/>
      <c r="K1089" s="28" t="s">
        <v>5177</v>
      </c>
      <c r="L1089" s="28" t="s">
        <v>5165</v>
      </c>
      <c r="M1089" s="56" t="s">
        <v>12125</v>
      </c>
      <c r="N1089" s="57">
        <v>45016.36319444444</v>
      </c>
      <c r="O1089" s="58">
        <v>40533.0</v>
      </c>
      <c r="P1089" s="28">
        <f t="shared" si="32"/>
        <v>15</v>
      </c>
      <c r="Q1089" s="28" t="s">
        <v>240</v>
      </c>
      <c r="R1089" s="28">
        <v>193733.0</v>
      </c>
      <c r="S1089" s="28"/>
      <c r="T1089" s="28"/>
      <c r="U1089" s="28"/>
      <c r="V1089" s="28"/>
      <c r="W1089" s="28" t="s">
        <v>1173</v>
      </c>
      <c r="X1089" s="28" t="s">
        <v>272</v>
      </c>
      <c r="Y1089" s="28" t="s">
        <v>12126</v>
      </c>
      <c r="Z1089" s="28" t="s">
        <v>5170</v>
      </c>
      <c r="AA1089" s="28" t="s">
        <v>5171</v>
      </c>
      <c r="AB1089" s="28">
        <v>30.0</v>
      </c>
      <c r="AC1089" s="28" t="s">
        <v>23</v>
      </c>
      <c r="AD1089" s="28" t="s">
        <v>101</v>
      </c>
      <c r="AE1089" s="28" t="s">
        <v>15</v>
      </c>
      <c r="AF1089" s="23"/>
      <c r="AG1089" s="23"/>
      <c r="AH1089" s="23" t="str">
        <f>IFERROR(__xludf.DUMMYFUNCTION("IF(
ISNUMBER(MATCH(
C1089,
IMPORTRANGE(""https://docs.google.com/spreadsheets/d/1yTh1ELC33JHYOeEdgIiEclxPRyh0zOKtlawDltfUay8"",""'Interns'!A:A""),
0
)),
""Outreach Conducted"",
"""")"),"")</f>
        <v/>
      </c>
      <c r="AI1089" s="23"/>
      <c r="AJ1089" s="23"/>
      <c r="AK1089" s="23" t="str">
        <f>IFERROR(__xludf.DUMMYFUNCTION("XLOOKUP(C1089, 
   IMPORTRANGE(""1RdEdgHYrZ33LJ7RUHj_h-qkAFL92bcVjtIdVa-UlsCw"", ""Interns!D:D""), 
   IMPORTRANGE(""1RdEdgHYrZ33LJ7RUHj_h-qkAFL92bcVjtIdVa-UlsCw"", ""Interns!M:M""), 
   ""Not Found"")"),"Contacted")</f>
        <v>Contacted</v>
      </c>
      <c r="AL1089" s="23" t="str">
        <f>IFERROR(__xludf.DUMMYFUNCTION("XLOOKUP(C1089, 
   IMPORTRANGE(""1RdEdgHYrZ33LJ7RUHj_h-qkAFL92bcVjtIdVa-UlsCw"", ""Interns!D:D""), 
   IMPORTRANGE(""1RdEdgHYrZ33LJ7RUHj_h-qkAFL92bcVjtIdVa-UlsCw"", ""Interns!N:N""), 
   ""Not Found"")"),"#Cheers4Careers")</f>
        <v>#Cheers4Careers</v>
      </c>
      <c r="AM1089" s="23" t="str">
        <f>IFERROR(__xludf.DUMMYFUNCTION("XLOOKUP(C1089, 
   IMPORTRANGE(""1RdEdgHYrZ33LJ7RUHj_h-qkAFL92bcVjtIdVa-UlsCw"", ""Interns!D:D""), 
   IMPORTRANGE(""1RdEdgHYrZ33LJ7RUHj_h-qkAFL92bcVjtIdVa-UlsCw"", ""Interns!O:O""), 
   ""Not Found"")"),"Hetal reached out March 27 for March #Cheers4 Careers ")</f>
        <v>Hetal reached out March 27 for March #Cheers4 Careers </v>
      </c>
      <c r="AN1089" s="23"/>
      <c r="AO1089" s="23" t="s">
        <v>12127</v>
      </c>
      <c r="AP1089" s="28" t="s">
        <v>5191</v>
      </c>
      <c r="AQ1089" s="28"/>
      <c r="AR1089" s="23"/>
      <c r="AS1089" s="23"/>
      <c r="AT1089" s="23"/>
      <c r="AU1089" s="23"/>
      <c r="AV1089" s="23"/>
    </row>
    <row r="1090">
      <c r="A1090" s="28" t="s">
        <v>5161</v>
      </c>
      <c r="B1090" s="28" t="s">
        <v>31</v>
      </c>
      <c r="C1090" s="23" t="str">
        <f t="shared" si="1"/>
        <v>Christopher Auquilla</v>
      </c>
      <c r="D1090" s="28" t="s">
        <v>976</v>
      </c>
      <c r="E1090" s="28" t="s">
        <v>9639</v>
      </c>
      <c r="F1090" s="23">
        <f t="array" ref="F1090">IFERROR(
    INDEX('Hub Interns 226'!A:A, MATCH(C1090, 'Hub Interns 226'!B:B, 0)),"")</f>
        <v>80</v>
      </c>
      <c r="G1090" s="23">
        <f t="array" ref="G1090">IFERROR(
    INDEX('Hub Users 226'!A:A, MATCH(C1090, 'Hub Users 226'!B:B, 0)),"")</f>
        <v>513</v>
      </c>
      <c r="H1090" s="28">
        <v>1462.0</v>
      </c>
      <c r="I1090" s="28" t="s">
        <v>1235</v>
      </c>
      <c r="J1090" s="28"/>
      <c r="K1090" s="28"/>
      <c r="L1090" s="28" t="s">
        <v>5165</v>
      </c>
      <c r="M1090" s="56" t="s">
        <v>9640</v>
      </c>
      <c r="N1090" s="57">
        <v>44935.65138888889</v>
      </c>
      <c r="O1090" s="58">
        <v>38380.0</v>
      </c>
      <c r="P1090" s="28">
        <f t="shared" si="32"/>
        <v>21</v>
      </c>
      <c r="Q1090" s="28" t="s">
        <v>9641</v>
      </c>
      <c r="R1090" s="28" t="s">
        <v>9642</v>
      </c>
      <c r="S1090" s="28"/>
      <c r="T1090" s="28"/>
      <c r="U1090" s="28"/>
      <c r="V1090" s="28"/>
      <c r="W1090" s="28" t="s">
        <v>1173</v>
      </c>
      <c r="X1090" s="28" t="s">
        <v>272</v>
      </c>
      <c r="Y1090" s="28" t="s">
        <v>9643</v>
      </c>
      <c r="Z1090" s="28" t="s">
        <v>5259</v>
      </c>
      <c r="AA1090" s="28" t="s">
        <v>704</v>
      </c>
      <c r="AB1090" s="28">
        <v>2.0</v>
      </c>
      <c r="AC1090" s="28" t="s">
        <v>28</v>
      </c>
      <c r="AD1090" s="23"/>
      <c r="AE1090" s="28" t="s">
        <v>15</v>
      </c>
      <c r="AF1090" s="23"/>
      <c r="AG1090" s="23"/>
      <c r="AH1090" s="23" t="str">
        <f>IFERROR(__xludf.DUMMYFUNCTION("IF(
ISNUMBER(MATCH(
C1090,
IMPORTRANGE(""https://docs.google.com/spreadsheets/d/1yTh1ELC33JHYOeEdgIiEclxPRyh0zOKtlawDltfUay8"",""'Interns'!A:A""),
0
)),
""Outreach Conducted"",
"""")"),"")</f>
        <v/>
      </c>
      <c r="AI1090" s="23"/>
      <c r="AJ1090" s="23"/>
      <c r="AK1090" s="23" t="str">
        <f>IFERROR(__xludf.DUMMYFUNCTION("XLOOKUP(C1090, 
   IMPORTRANGE(""1RdEdgHYrZ33LJ7RUHj_h-qkAFL92bcVjtIdVa-UlsCw"", ""Interns!D:D""), 
   IMPORTRANGE(""1RdEdgHYrZ33LJ7RUHj_h-qkAFL92bcVjtIdVa-UlsCw"", ""Interns!M:M""), 
   ""Not Found"")"),"")</f>
        <v/>
      </c>
      <c r="AL1090" s="23" t="str">
        <f>IFERROR(__xludf.DUMMYFUNCTION("XLOOKUP(C1090, 
   IMPORTRANGE(""1RdEdgHYrZ33LJ7RUHj_h-qkAFL92bcVjtIdVa-UlsCw"", ""Interns!D:D""), 
   IMPORTRANGE(""1RdEdgHYrZ33LJ7RUHj_h-qkAFL92bcVjtIdVa-UlsCw"", ""Interns!N:N""), 
   ""Not Found"")"),"")</f>
        <v/>
      </c>
      <c r="AM1090" s="23" t="str">
        <f>IFERROR(__xludf.DUMMYFUNCTION("XLOOKUP(C1090, 
   IMPORTRANGE(""1RdEdgHYrZ33LJ7RUHj_h-qkAFL92bcVjtIdVa-UlsCw"", ""Interns!D:D""), 
   IMPORTRANGE(""1RdEdgHYrZ33LJ7RUHj_h-qkAFL92bcVjtIdVa-UlsCw"", ""Interns!O:O""), 
   ""Not Found"")"),"")</f>
        <v/>
      </c>
      <c r="AN1090" s="23"/>
      <c r="AO1090" s="23" t="s">
        <v>9644</v>
      </c>
      <c r="AP1090" s="28" t="s">
        <v>5182</v>
      </c>
      <c r="AQ1090" s="28" t="s">
        <v>9645</v>
      </c>
      <c r="AR1090" s="23" t="s">
        <v>9646</v>
      </c>
      <c r="AS1090" s="23"/>
      <c r="AT1090" s="23"/>
      <c r="AU1090" s="23"/>
      <c r="AV1090" s="23"/>
    </row>
    <row r="1091">
      <c r="A1091" s="28" t="s">
        <v>5161</v>
      </c>
      <c r="B1091" s="28" t="s">
        <v>5162</v>
      </c>
      <c r="C1091" s="23" t="str">
        <f t="shared" si="1"/>
        <v>Samar Chaudhry</v>
      </c>
      <c r="D1091" s="28" t="s">
        <v>3003</v>
      </c>
      <c r="E1091" s="28" t="s">
        <v>12128</v>
      </c>
      <c r="F1091" s="23">
        <f t="array" ref="F1091">IFERROR(
    INDEX('Hub Interns 226'!A:A, MATCH(C1091, 'Hub Interns 226'!B:B, 0)),"")</f>
        <v>1079</v>
      </c>
      <c r="G1091" s="23">
        <f t="array" ref="G1091">IFERROR(
    INDEX('Hub Users 226'!A:A, MATCH(C1091, 'Hub Users 226'!B:B, 0)),"")</f>
        <v>1512</v>
      </c>
      <c r="H1091" s="28">
        <v>374.0</v>
      </c>
      <c r="I1091" s="28" t="s">
        <v>107</v>
      </c>
      <c r="J1091" s="28" t="s">
        <v>12129</v>
      </c>
      <c r="K1091" s="28" t="s">
        <v>5186</v>
      </c>
      <c r="L1091" s="28" t="s">
        <v>5196</v>
      </c>
      <c r="M1091" s="56" t="s">
        <v>12130</v>
      </c>
      <c r="N1091" s="57">
        <v>44252.694444444445</v>
      </c>
      <c r="O1091" s="58">
        <v>37572.0</v>
      </c>
      <c r="P1091" s="28">
        <f t="shared" si="32"/>
        <v>23</v>
      </c>
      <c r="Q1091" s="28" t="s">
        <v>240</v>
      </c>
      <c r="R1091" s="28" t="s">
        <v>12131</v>
      </c>
      <c r="S1091" s="28">
        <v>6.0</v>
      </c>
      <c r="T1091" s="28">
        <v>16.0</v>
      </c>
      <c r="U1091" s="28">
        <v>40.0</v>
      </c>
      <c r="V1091" s="28">
        <v>20.0</v>
      </c>
      <c r="W1091" s="28" t="s">
        <v>1173</v>
      </c>
      <c r="X1091" s="28" t="s">
        <v>272</v>
      </c>
      <c r="Y1091" s="28" t="s">
        <v>12132</v>
      </c>
      <c r="Z1091" s="28" t="s">
        <v>5189</v>
      </c>
      <c r="AA1091" s="28" t="s">
        <v>619</v>
      </c>
      <c r="AB1091" s="28">
        <v>20.0</v>
      </c>
      <c r="AC1091" s="28" t="s">
        <v>25</v>
      </c>
      <c r="AD1091" s="23"/>
      <c r="AE1091" s="28" t="s">
        <v>8</v>
      </c>
      <c r="AF1091" s="23" t="str">
        <f>IFERROR(__xludf.DUMMYFUNCTION("TEXTJOIN("", "", TRUE,
  FILTER(Champions!C:C,
    ISNUMBER(SEARCH(C1091, Champions!W:W))
  )
)"),"Lien Nguyen, Olga Patel")</f>
        <v>Lien Nguyen, Olga Patel</v>
      </c>
      <c r="AG1091" s="23"/>
      <c r="AH1091" s="23" t="str">
        <f>IFERROR(__xludf.DUMMYFUNCTION("IF(
ISNUMBER(MATCH(
C1091,
IMPORTRANGE(""https://docs.google.com/spreadsheets/d/1yTh1ELC33JHYOeEdgIiEclxPRyh0zOKtlawDltfUay8"",""'Interns'!A:A""),
0
)),
""Outreach Conducted"",
"""")"),"")</f>
        <v/>
      </c>
      <c r="AI1091" s="23"/>
      <c r="AJ1091" s="23"/>
      <c r="AK1091" s="23" t="str">
        <f>IFERROR(__xludf.DUMMYFUNCTION("XLOOKUP(C1091, 
   IMPORTRANGE(""1RdEdgHYrZ33LJ7RUHj_h-qkAFL92bcVjtIdVa-UlsCw"", ""Interns!D:D""), 
   IMPORTRANGE(""1RdEdgHYrZ33LJ7RUHj_h-qkAFL92bcVjtIdVa-UlsCw"", ""Interns!M:M""), 
   ""Not Found"")"),"Contacted")</f>
        <v>Contacted</v>
      </c>
      <c r="AL1091" s="23" t="str">
        <f>IFERROR(__xludf.DUMMYFUNCTION("XLOOKUP(C1091, 
   IMPORTRANGE(""1RdEdgHYrZ33LJ7RUHj_h-qkAFL92bcVjtIdVa-UlsCw"", ""Interns!D:D""), 
   IMPORTRANGE(""1RdEdgHYrZ33LJ7RUHj_h-qkAFL92bcVjtIdVa-UlsCw"", ""Interns!N:N""), 
   ""Not Found"")"),"#Cheers4Careers")</f>
        <v>#Cheers4Careers</v>
      </c>
      <c r="AM1091" s="23" t="str">
        <f>IFERROR(__xludf.DUMMYFUNCTION("XLOOKUP(C1091, 
   IMPORTRANGE(""1RdEdgHYrZ33LJ7RUHj_h-qkAFL92bcVjtIdVa-UlsCw"", ""Interns!D:D""), 
   IMPORTRANGE(""1RdEdgHYrZ33LJ7RUHj_h-qkAFL92bcVjtIdVa-UlsCw"", ""Interns!O:O""), 
   ""Not Found"")"),"Hetal reached out by email 3/27 followed by text")</f>
        <v>Hetal reached out by email 3/27 followed by text</v>
      </c>
      <c r="AN1091" s="23"/>
      <c r="AO1091" s="23" t="s">
        <v>12133</v>
      </c>
      <c r="AP1091" s="28" t="s">
        <v>5182</v>
      </c>
      <c r="AQ1091" s="28" t="s">
        <v>12134</v>
      </c>
      <c r="AR1091" s="23" t="s">
        <v>12135</v>
      </c>
      <c r="AS1091" s="23"/>
      <c r="AT1091" s="23"/>
      <c r="AU1091" s="23"/>
      <c r="AV1091" s="23"/>
    </row>
    <row r="1092">
      <c r="A1092" s="28" t="s">
        <v>5161</v>
      </c>
      <c r="B1092" s="28" t="s">
        <v>5162</v>
      </c>
      <c r="C1092" s="23" t="str">
        <f t="shared" si="1"/>
        <v>Masooma Chaudhry</v>
      </c>
      <c r="D1092" s="28" t="s">
        <v>12136</v>
      </c>
      <c r="E1092" s="28" t="s">
        <v>12128</v>
      </c>
      <c r="F1092" s="23">
        <f t="array" ref="F1092">IFERROR(
    INDEX('Hub Interns 226'!A:A, MATCH(C1092, 'Hub Interns 226'!B:B, 0)),"")</f>
        <v>810</v>
      </c>
      <c r="G1092" s="23">
        <f t="array" ref="G1092">IFERROR(
    INDEX('Hub Users 226'!A:A, MATCH(C1092, 'Hub Users 226'!B:B, 0)),"")</f>
        <v>1243</v>
      </c>
      <c r="H1092" s="28">
        <v>362.0</v>
      </c>
      <c r="I1092" s="28" t="s">
        <v>260</v>
      </c>
      <c r="J1092" s="28" t="s">
        <v>12129</v>
      </c>
      <c r="K1092" s="28" t="s">
        <v>5186</v>
      </c>
      <c r="L1092" s="28" t="s">
        <v>5196</v>
      </c>
      <c r="M1092" s="56" t="s">
        <v>12137</v>
      </c>
      <c r="N1092" s="57">
        <v>44251.586805555555</v>
      </c>
      <c r="O1092" s="58">
        <v>38218.0</v>
      </c>
      <c r="P1092" s="28">
        <f t="shared" si="32"/>
        <v>21</v>
      </c>
      <c r="Q1092" s="28" t="s">
        <v>240</v>
      </c>
      <c r="R1092" s="28" t="s">
        <v>12138</v>
      </c>
      <c r="S1092" s="28">
        <v>6.0</v>
      </c>
      <c r="T1092" s="28">
        <v>16.0</v>
      </c>
      <c r="U1092" s="28">
        <v>40.0</v>
      </c>
      <c r="V1092" s="28">
        <v>20.0</v>
      </c>
      <c r="W1092" s="28" t="s">
        <v>1173</v>
      </c>
      <c r="X1092" s="28" t="s">
        <v>272</v>
      </c>
      <c r="Y1092" s="28" t="s">
        <v>12139</v>
      </c>
      <c r="Z1092" s="28" t="s">
        <v>5189</v>
      </c>
      <c r="AA1092" s="28" t="s">
        <v>619</v>
      </c>
      <c r="AB1092" s="28">
        <v>20.0</v>
      </c>
      <c r="AC1092" s="28" t="s">
        <v>25</v>
      </c>
      <c r="AD1092" s="23"/>
      <c r="AE1092" s="28" t="s">
        <v>8</v>
      </c>
      <c r="AF1092" s="23" t="str">
        <f>IFERROR(__xludf.DUMMYFUNCTION("TEXTJOIN("", "", TRUE,
  FILTER(Champions!C:C,
    ISNUMBER(SEARCH(C1092, Champions!W:W))
  )
)"),"Chiemela Okwandu, Sana Ahmad, Suze Vilsaint")</f>
        <v>Chiemela Okwandu, Sana Ahmad, Suze Vilsaint</v>
      </c>
      <c r="AG1092" s="23"/>
      <c r="AH1092" s="23" t="str">
        <f>IFERROR(__xludf.DUMMYFUNCTION("IF(
ISNUMBER(MATCH(
C1092,
IMPORTRANGE(""https://docs.google.com/spreadsheets/d/1yTh1ELC33JHYOeEdgIiEclxPRyh0zOKtlawDltfUay8"",""'Interns'!A:A""),
0
)),
""Outreach Conducted"",
"""")"),"")</f>
        <v/>
      </c>
      <c r="AI1092" s="23"/>
      <c r="AJ1092" s="23"/>
      <c r="AK1092" s="23" t="str">
        <f>IFERROR(__xludf.DUMMYFUNCTION("XLOOKUP(C1092, 
   IMPORTRANGE(""1RdEdgHYrZ33LJ7RUHj_h-qkAFL92bcVjtIdVa-UlsCw"", ""Interns!D:D""), 
   IMPORTRANGE(""1RdEdgHYrZ33LJ7RUHj_h-qkAFL92bcVjtIdVa-UlsCw"", ""Interns!M:M""), 
   ""Not Found"")"),"Contacted")</f>
        <v>Contacted</v>
      </c>
      <c r="AL1092" s="23" t="str">
        <f>IFERROR(__xludf.DUMMYFUNCTION("XLOOKUP(C1092, 
   IMPORTRANGE(""1RdEdgHYrZ33LJ7RUHj_h-qkAFL92bcVjtIdVa-UlsCw"", ""Interns!D:D""), 
   IMPORTRANGE(""1RdEdgHYrZ33LJ7RUHj_h-qkAFL92bcVjtIdVa-UlsCw"", ""Interns!N:N""), 
   ""Not Found"")"),"#Cheers4Careers")</f>
        <v>#Cheers4Careers</v>
      </c>
      <c r="AM1092" s="23" t="str">
        <f>IFERROR(__xludf.DUMMYFUNCTION("XLOOKUP(C1092, 
   IMPORTRANGE(""1RdEdgHYrZ33LJ7RUHj_h-qkAFL92bcVjtIdVa-UlsCw"", ""Interns!D:D""), 
   IMPORTRANGE(""1RdEdgHYrZ33LJ7RUHj_h-qkAFL92bcVjtIdVa-UlsCw"", ""Interns!O:O""), 
   ""Not Found"")"),"Hetal reached out by email 3/27 followed by text")</f>
        <v>Hetal reached out by email 3/27 followed by text</v>
      </c>
      <c r="AN1092" s="23"/>
      <c r="AO1092" s="23" t="s">
        <v>12133</v>
      </c>
      <c r="AP1092" s="28" t="s">
        <v>5182</v>
      </c>
      <c r="AQ1092" s="28" t="s">
        <v>12134</v>
      </c>
      <c r="AR1092" s="23" t="s">
        <v>12140</v>
      </c>
      <c r="AS1092" s="23"/>
      <c r="AT1092" s="23"/>
      <c r="AU1092" s="23"/>
      <c r="AV1092" s="23"/>
    </row>
    <row r="1093">
      <c r="A1093" s="28" t="s">
        <v>5161</v>
      </c>
      <c r="B1093" s="28" t="s">
        <v>5162</v>
      </c>
      <c r="C1093" s="23" t="str">
        <f t="shared" si="1"/>
        <v>Syeda Zaidi</v>
      </c>
      <c r="D1093" s="28" t="s">
        <v>12141</v>
      </c>
      <c r="E1093" s="28" t="s">
        <v>12142</v>
      </c>
      <c r="F1093" s="23">
        <f t="array" ref="F1093">IFERROR(
    INDEX('Hub Interns 226'!A:A, MATCH(C1093, 'Hub Interns 226'!B:B, 0)),"")</f>
        <v>1136</v>
      </c>
      <c r="G1093" s="23">
        <f t="array" ref="G1093">IFERROR(
    INDEX('Hub Users 226'!A:A, MATCH(C1093, 'Hub Users 226'!B:B, 0)),"")</f>
        <v>1569</v>
      </c>
      <c r="H1093" s="28">
        <v>1335.0</v>
      </c>
      <c r="I1093" s="28" t="s">
        <v>260</v>
      </c>
      <c r="J1093" s="28" t="s">
        <v>12129</v>
      </c>
      <c r="K1093" s="28" t="s">
        <v>5186</v>
      </c>
      <c r="L1093" s="28" t="s">
        <v>5196</v>
      </c>
      <c r="M1093" s="56" t="s">
        <v>12143</v>
      </c>
      <c r="N1093" s="59">
        <v>44855.614583333336</v>
      </c>
      <c r="O1093" s="58">
        <v>38265.0</v>
      </c>
      <c r="P1093" s="28">
        <f t="shared" si="32"/>
        <v>21</v>
      </c>
      <c r="Q1093" s="28" t="s">
        <v>240</v>
      </c>
      <c r="R1093" s="28" t="s">
        <v>12144</v>
      </c>
      <c r="S1093" s="28">
        <v>5.0</v>
      </c>
      <c r="T1093" s="28">
        <v>11.0</v>
      </c>
      <c r="U1093" s="28">
        <v>29.0</v>
      </c>
      <c r="V1093" s="28">
        <v>27.0</v>
      </c>
      <c r="W1093" s="28" t="s">
        <v>1173</v>
      </c>
      <c r="X1093" s="28" t="s">
        <v>272</v>
      </c>
      <c r="Y1093" s="28" t="s">
        <v>12145</v>
      </c>
      <c r="Z1093" s="28" t="s">
        <v>5332</v>
      </c>
      <c r="AA1093" s="28" t="s">
        <v>421</v>
      </c>
      <c r="AB1093" s="28">
        <v>31.0</v>
      </c>
      <c r="AC1093" s="28" t="s">
        <v>23</v>
      </c>
      <c r="AD1093" s="28" t="s">
        <v>101</v>
      </c>
      <c r="AE1093" s="28" t="s">
        <v>15</v>
      </c>
      <c r="AF1093" s="23"/>
      <c r="AG1093" s="23"/>
      <c r="AH1093" s="23" t="str">
        <f>IFERROR(__xludf.DUMMYFUNCTION("IF(
ISNUMBER(MATCH(
C1093,
IMPORTRANGE(""https://docs.google.com/spreadsheets/d/1yTh1ELC33JHYOeEdgIiEclxPRyh0zOKtlawDltfUay8"",""'Interns'!A:A""),
0
)),
""Outreach Conducted"",
"""")"),"")</f>
        <v/>
      </c>
      <c r="AI1093" s="23"/>
      <c r="AJ1093" s="23"/>
      <c r="AK1093" s="23" t="str">
        <f>IFERROR(__xludf.DUMMYFUNCTION("XLOOKUP(C1093, 
   IMPORTRANGE(""1RdEdgHYrZ33LJ7RUHj_h-qkAFL92bcVjtIdVa-UlsCw"", ""Interns!D:D""), 
   IMPORTRANGE(""1RdEdgHYrZ33LJ7RUHj_h-qkAFL92bcVjtIdVa-UlsCw"", ""Interns!M:M""), 
   ""Not Found"")"),"Contacted")</f>
        <v>Contacted</v>
      </c>
      <c r="AL1093" s="23" t="str">
        <f>IFERROR(__xludf.DUMMYFUNCTION("XLOOKUP(C1093, 
   IMPORTRANGE(""1RdEdgHYrZ33LJ7RUHj_h-qkAFL92bcVjtIdVa-UlsCw"", ""Interns!D:D""), 
   IMPORTRANGE(""1RdEdgHYrZ33LJ7RUHj_h-qkAFL92bcVjtIdVa-UlsCw"", ""Interns!N:N""), 
   ""Not Found"")"),"#Cheers4Careers")</f>
        <v>#Cheers4Careers</v>
      </c>
      <c r="AM1093" s="23" t="str">
        <f>IFERROR(__xludf.DUMMYFUNCTION("XLOOKUP(C1093, 
   IMPORTRANGE(""1RdEdgHYrZ33LJ7RUHj_h-qkAFL92bcVjtIdVa-UlsCw"", ""Interns!D:D""), 
   IMPORTRANGE(""1RdEdgHYrZ33LJ7RUHj_h-qkAFL92bcVjtIdVa-UlsCw"", ""Interns!O:O""), 
   ""Not Found"")"),"")</f>
        <v/>
      </c>
      <c r="AN1093" s="23"/>
      <c r="AO1093" s="23" t="s">
        <v>12146</v>
      </c>
      <c r="AP1093" s="28" t="s">
        <v>5182</v>
      </c>
      <c r="AQ1093" s="28"/>
      <c r="AR1093" s="23"/>
      <c r="AS1093" s="23"/>
      <c r="AT1093" s="23"/>
      <c r="AU1093" s="23"/>
      <c r="AV1093" s="23"/>
    </row>
    <row r="1094">
      <c r="A1094" s="28" t="s">
        <v>5161</v>
      </c>
      <c r="B1094" s="28" t="s">
        <v>31</v>
      </c>
      <c r="C1094" s="23" t="str">
        <f t="shared" si="1"/>
        <v>Diarra Fall</v>
      </c>
      <c r="D1094" s="28" t="s">
        <v>8905</v>
      </c>
      <c r="E1094" s="28" t="s">
        <v>8906</v>
      </c>
      <c r="F1094" s="23">
        <f t="array" ref="F1094">IFERROR(
    INDEX('Hub Interns 226'!A:A, MATCH(C1094, 'Hub Interns 226'!B:B, 0)),"")</f>
        <v>82</v>
      </c>
      <c r="G1094" s="23">
        <f t="array" ref="G1094">IFERROR(
    INDEX('Hub Users 226'!A:A, MATCH(C1094, 'Hub Users 226'!B:B, 0)),"")</f>
        <v>515</v>
      </c>
      <c r="H1094" s="28">
        <v>1460.0</v>
      </c>
      <c r="I1094" s="28" t="s">
        <v>290</v>
      </c>
      <c r="J1094" s="28"/>
      <c r="K1094" s="28"/>
      <c r="L1094" s="28" t="s">
        <v>5196</v>
      </c>
      <c r="M1094" s="56" t="s">
        <v>12147</v>
      </c>
      <c r="N1094" s="57">
        <v>44935.643055555556</v>
      </c>
      <c r="O1094" s="58">
        <v>38802.0</v>
      </c>
      <c r="P1094" s="28">
        <f t="shared" si="32"/>
        <v>20</v>
      </c>
      <c r="Q1094" s="28" t="s">
        <v>12148</v>
      </c>
      <c r="R1094" s="28" t="s">
        <v>271</v>
      </c>
      <c r="S1094" s="28"/>
      <c r="T1094" s="28"/>
      <c r="U1094" s="28"/>
      <c r="V1094" s="28"/>
      <c r="W1094" s="28" t="s">
        <v>271</v>
      </c>
      <c r="X1094" s="28" t="s">
        <v>272</v>
      </c>
      <c r="Y1094" s="28" t="s">
        <v>8910</v>
      </c>
      <c r="Z1094" s="28" t="s">
        <v>5259</v>
      </c>
      <c r="AA1094" s="28" t="s">
        <v>704</v>
      </c>
      <c r="AB1094" s="28">
        <v>2.0</v>
      </c>
      <c r="AC1094" s="28" t="s">
        <v>28</v>
      </c>
      <c r="AD1094" s="23"/>
      <c r="AE1094" s="28" t="s">
        <v>15</v>
      </c>
      <c r="AF1094" s="23"/>
      <c r="AG1094" s="23"/>
      <c r="AH1094" s="23" t="str">
        <f>IFERROR(__xludf.DUMMYFUNCTION("IF(
ISNUMBER(MATCH(
C1094,
IMPORTRANGE(""https://docs.google.com/spreadsheets/d/1yTh1ELC33JHYOeEdgIiEclxPRyh0zOKtlawDltfUay8"",""'Interns'!A:A""),
0
)),
""Outreach Conducted"",
"""")"),"")</f>
        <v/>
      </c>
      <c r="AI1094" s="23"/>
      <c r="AJ1094" s="23"/>
      <c r="AK1094" s="23" t="str">
        <f>IFERROR(__xludf.DUMMYFUNCTION("XLOOKUP(C1094, 
   IMPORTRANGE(""1RdEdgHYrZ33LJ7RUHj_h-qkAFL92bcVjtIdVa-UlsCw"", ""Interns!D:D""), 
   IMPORTRANGE(""1RdEdgHYrZ33LJ7RUHj_h-qkAFL92bcVjtIdVa-UlsCw"", ""Interns!M:M""), 
   ""Not Found"")"),"")</f>
        <v/>
      </c>
      <c r="AL1094" s="23" t="str">
        <f>IFERROR(__xludf.DUMMYFUNCTION("XLOOKUP(C1094, 
   IMPORTRANGE(""1RdEdgHYrZ33LJ7RUHj_h-qkAFL92bcVjtIdVa-UlsCw"", ""Interns!D:D""), 
   IMPORTRANGE(""1RdEdgHYrZ33LJ7RUHj_h-qkAFL92bcVjtIdVa-UlsCw"", ""Interns!N:N""), 
   ""Not Found"")"),"")</f>
        <v/>
      </c>
      <c r="AM1094" s="23" t="str">
        <f>IFERROR(__xludf.DUMMYFUNCTION("XLOOKUP(C1094, 
   IMPORTRANGE(""1RdEdgHYrZ33LJ7RUHj_h-qkAFL92bcVjtIdVa-UlsCw"", ""Interns!D:D""), 
   IMPORTRANGE(""1RdEdgHYrZ33LJ7RUHj_h-qkAFL92bcVjtIdVa-UlsCw"", ""Interns!O:O""), 
   ""Not Found"")"),"")</f>
        <v/>
      </c>
      <c r="AN1094" s="23"/>
      <c r="AO1094" s="23" t="s">
        <v>8911</v>
      </c>
      <c r="AP1094" s="28" t="s">
        <v>5182</v>
      </c>
      <c r="AQ1094" s="28" t="s">
        <v>12149</v>
      </c>
      <c r="AR1094" s="23" t="s">
        <v>12150</v>
      </c>
      <c r="AS1094" s="23"/>
      <c r="AT1094" s="23"/>
      <c r="AU1094" s="23"/>
      <c r="AV1094" s="23"/>
    </row>
    <row r="1095">
      <c r="A1095" s="28" t="s">
        <v>5161</v>
      </c>
      <c r="B1095" s="28" t="s">
        <v>5162</v>
      </c>
      <c r="C1095" s="23" t="str">
        <f t="shared" si="1"/>
        <v>Syed Zaidi</v>
      </c>
      <c r="D1095" s="28" t="s">
        <v>3311</v>
      </c>
      <c r="E1095" s="28" t="s">
        <v>12142</v>
      </c>
      <c r="F1095" s="23">
        <f t="array" ref="F1095">IFERROR(
    INDEX('Hub Interns 226'!A:A, MATCH(C1095, 'Hub Interns 226'!B:B, 0)),"")</f>
        <v>1777</v>
      </c>
      <c r="G1095" s="23">
        <f t="array" ref="G1095">IFERROR(
    INDEX('Hub Users 226'!A:A, MATCH(C1095, 'Hub Users 226'!B:B, 0)),"")</f>
        <v>2607</v>
      </c>
      <c r="H1095" s="28">
        <v>1645.0</v>
      </c>
      <c r="I1095" s="28" t="s">
        <v>239</v>
      </c>
      <c r="J1095" s="28" t="s">
        <v>12129</v>
      </c>
      <c r="K1095" s="28" t="s">
        <v>5186</v>
      </c>
      <c r="L1095" s="28" t="s">
        <v>5165</v>
      </c>
      <c r="M1095" s="56" t="s">
        <v>12151</v>
      </c>
      <c r="N1095" s="57">
        <v>45116.959027777775</v>
      </c>
      <c r="O1095" s="58">
        <v>38652.0</v>
      </c>
      <c r="P1095" s="28">
        <f t="shared" si="32"/>
        <v>20</v>
      </c>
      <c r="Q1095" s="28" t="s">
        <v>12152</v>
      </c>
      <c r="R1095" s="28" t="s">
        <v>12153</v>
      </c>
      <c r="S1095" s="28">
        <v>5.0</v>
      </c>
      <c r="T1095" s="28">
        <v>11.0</v>
      </c>
      <c r="U1095" s="28">
        <v>29.0</v>
      </c>
      <c r="V1095" s="28">
        <v>27.0</v>
      </c>
      <c r="W1095" s="28" t="s">
        <v>1173</v>
      </c>
      <c r="X1095" s="28" t="s">
        <v>272</v>
      </c>
      <c r="Y1095" s="28" t="s">
        <v>12154</v>
      </c>
      <c r="Z1095" s="28" t="s">
        <v>5332</v>
      </c>
      <c r="AA1095" s="28" t="s">
        <v>5639</v>
      </c>
      <c r="AB1095" s="23"/>
      <c r="AC1095" s="28" t="s">
        <v>27</v>
      </c>
      <c r="AD1095" s="23"/>
      <c r="AE1095" s="28" t="s">
        <v>18</v>
      </c>
      <c r="AF1095" s="23"/>
      <c r="AG1095" s="23"/>
      <c r="AH1095" s="23" t="str">
        <f>IFERROR(__xludf.DUMMYFUNCTION("IF(
ISNUMBER(MATCH(
C1095,
IMPORTRANGE(""https://docs.google.com/spreadsheets/d/1yTh1ELC33JHYOeEdgIiEclxPRyh0zOKtlawDltfUay8"",""'Interns'!A:A""),
0
)),
""Outreach Conducted"",
"""")"),"")</f>
        <v/>
      </c>
      <c r="AI1095" s="23"/>
      <c r="AJ1095" s="23"/>
      <c r="AK1095" s="23" t="str">
        <f>IFERROR(__xludf.DUMMYFUNCTION("XLOOKUP(C1095, 
   IMPORTRANGE(""1RdEdgHYrZ33LJ7RUHj_h-qkAFL92bcVjtIdVa-UlsCw"", ""Interns!D:D""), 
   IMPORTRANGE(""1RdEdgHYrZ33LJ7RUHj_h-qkAFL92bcVjtIdVa-UlsCw"", ""Interns!M:M""), 
   ""Not Found"")"),"Contacted")</f>
        <v>Contacted</v>
      </c>
      <c r="AL1095" s="23" t="str">
        <f>IFERROR(__xludf.DUMMYFUNCTION("XLOOKUP(C1095, 
   IMPORTRANGE(""1RdEdgHYrZ33LJ7RUHj_h-qkAFL92bcVjtIdVa-UlsCw"", ""Interns!D:D""), 
   IMPORTRANGE(""1RdEdgHYrZ33LJ7RUHj_h-qkAFL92bcVjtIdVa-UlsCw"", ""Interns!N:N""), 
   ""Not Found"")"),"#Cheers4Careers")</f>
        <v>#Cheers4Careers</v>
      </c>
      <c r="AM1095" s="23" t="str">
        <f>IFERROR(__xludf.DUMMYFUNCTION("XLOOKUP(C1095, 
   IMPORTRANGE(""1RdEdgHYrZ33LJ7RUHj_h-qkAFL92bcVjtIdVa-UlsCw"", ""Interns!D:D""), 
   IMPORTRANGE(""1RdEdgHYrZ33LJ7RUHj_h-qkAFL92bcVjtIdVa-UlsCw"", ""Interns!O:O""), 
   ""Not Found"")"),"Hetal reached out by text 3/27 for #Cheers4Careers")</f>
        <v>Hetal reached out by text 3/27 for #Cheers4Careers</v>
      </c>
      <c r="AN1095" s="23"/>
      <c r="AO1095" s="23" t="s">
        <v>12155</v>
      </c>
      <c r="AP1095" s="28" t="s">
        <v>5191</v>
      </c>
      <c r="AQ1095" s="28"/>
      <c r="AR1095" s="23"/>
      <c r="AS1095" s="23"/>
      <c r="AT1095" s="23"/>
      <c r="AU1095" s="23"/>
      <c r="AV1095" s="23"/>
    </row>
    <row r="1096">
      <c r="A1096" s="28" t="s">
        <v>5161</v>
      </c>
      <c r="B1096" s="28" t="s">
        <v>5162</v>
      </c>
      <c r="C1096" s="23" t="str">
        <f t="shared" si="1"/>
        <v>Abbah Fatima</v>
      </c>
      <c r="D1096" s="28" t="s">
        <v>12156</v>
      </c>
      <c r="E1096" s="28" t="s">
        <v>3045</v>
      </c>
      <c r="F1096" s="23">
        <f t="array" ref="F1096">IFERROR(
    INDEX('Hub Interns 226'!A:A, MATCH(C1096, 'Hub Interns 226'!B:B, 0)),"")</f>
        <v>153</v>
      </c>
      <c r="G1096" s="23">
        <f t="array" ref="G1096">IFERROR(
    INDEX('Hub Users 226'!A:A, MATCH(C1096, 'Hub Users 226'!B:B, 0)),"")</f>
        <v>586</v>
      </c>
      <c r="H1096" s="28">
        <v>699.0</v>
      </c>
      <c r="I1096" s="28" t="s">
        <v>260</v>
      </c>
      <c r="J1096" s="28" t="s">
        <v>12129</v>
      </c>
      <c r="K1096" s="28" t="s">
        <v>5186</v>
      </c>
      <c r="L1096" s="28" t="s">
        <v>5196</v>
      </c>
      <c r="M1096" s="56" t="s">
        <v>12157</v>
      </c>
      <c r="N1096" s="59">
        <v>44546.56319444445</v>
      </c>
      <c r="O1096" s="58">
        <v>39026.0</v>
      </c>
      <c r="P1096" s="28">
        <f t="shared" si="32"/>
        <v>19</v>
      </c>
      <c r="Q1096" s="28" t="s">
        <v>240</v>
      </c>
      <c r="R1096" s="28" t="s">
        <v>12158</v>
      </c>
      <c r="S1096" s="28">
        <v>11.0</v>
      </c>
      <c r="T1096" s="28">
        <v>17.0</v>
      </c>
      <c r="U1096" s="28">
        <v>47.0</v>
      </c>
      <c r="V1096" s="28">
        <v>47.0</v>
      </c>
      <c r="W1096" s="28" t="s">
        <v>294</v>
      </c>
      <c r="X1096" s="28" t="s">
        <v>272</v>
      </c>
      <c r="Y1096" s="28" t="s">
        <v>12159</v>
      </c>
      <c r="Z1096" s="28" t="s">
        <v>5386</v>
      </c>
      <c r="AA1096" s="28" t="s">
        <v>1887</v>
      </c>
      <c r="AB1096" s="28">
        <v>47.0</v>
      </c>
      <c r="AC1096" s="28" t="s">
        <v>25</v>
      </c>
      <c r="AD1096" s="23"/>
      <c r="AE1096" s="28" t="s">
        <v>10</v>
      </c>
      <c r="AF1096" s="23" t="str">
        <f>IFERROR(__xludf.DUMMYFUNCTION("TEXTJOIN("", "", TRUE,
  FILTER(Champions!C:C,
    ISNUMBER(SEARCH(C1096, Champions!W:W))
  )
)"),"Weina Chen, Wendy Velasquez Ebanks")</f>
        <v>Weina Chen, Wendy Velasquez Ebanks</v>
      </c>
      <c r="AG1096" s="23"/>
      <c r="AH1096" s="23" t="str">
        <f>IFERROR(__xludf.DUMMYFUNCTION("IF(
ISNUMBER(MATCH(
C1096,
IMPORTRANGE(""https://docs.google.com/spreadsheets/d/1yTh1ELC33JHYOeEdgIiEclxPRyh0zOKtlawDltfUay8"",""'Interns'!A:A""),
0
)),
""Outreach Conducted"",
"""")"),"")</f>
        <v/>
      </c>
      <c r="AI1096" s="23"/>
      <c r="AJ1096" s="23"/>
      <c r="AK1096" s="23" t="str">
        <f>IFERROR(__xludf.DUMMYFUNCTION("XLOOKUP(C1096, 
   IMPORTRANGE(""1RdEdgHYrZ33LJ7RUHj_h-qkAFL92bcVjtIdVa-UlsCw"", ""Interns!D:D""), 
   IMPORTRANGE(""1RdEdgHYrZ33LJ7RUHj_h-qkAFL92bcVjtIdVa-UlsCw"", ""Interns!M:M""), 
   ""Not Found"")"),"Contacted")</f>
        <v>Contacted</v>
      </c>
      <c r="AL1096" s="23" t="str">
        <f>IFERROR(__xludf.DUMMYFUNCTION("XLOOKUP(C1096, 
   IMPORTRANGE(""1RdEdgHYrZ33LJ7RUHj_h-qkAFL92bcVjtIdVa-UlsCw"", ""Interns!D:D""), 
   IMPORTRANGE(""1RdEdgHYrZ33LJ7RUHj_h-qkAFL92bcVjtIdVa-UlsCw"", ""Interns!N:N""), 
   ""Not Found"")"),"#Cheers4Careers")</f>
        <v>#Cheers4Careers</v>
      </c>
      <c r="AM1096" s="23" t="str">
        <f>IFERROR(__xludf.DUMMYFUNCTION("XLOOKUP(C1096, 
   IMPORTRANGE(""1RdEdgHYrZ33LJ7RUHj_h-qkAFL92bcVjtIdVa-UlsCw"", ""Interns!D:D""), 
   IMPORTRANGE(""1RdEdgHYrZ33LJ7RUHj_h-qkAFL92bcVjtIdVa-UlsCw"", ""Interns!O:O""), 
   ""Not Found"")"),"Hetal reached out by email 3/27")</f>
        <v>Hetal reached out by email 3/27</v>
      </c>
      <c r="AN1096" s="23"/>
      <c r="AO1096" s="23" t="s">
        <v>12160</v>
      </c>
      <c r="AP1096" s="28" t="s">
        <v>5182</v>
      </c>
      <c r="AQ1096" s="28" t="s">
        <v>12161</v>
      </c>
      <c r="AR1096" s="23" t="s">
        <v>12162</v>
      </c>
      <c r="AS1096" s="23"/>
      <c r="AT1096" s="23"/>
      <c r="AU1096" s="23"/>
      <c r="AV1096" s="23"/>
    </row>
    <row r="1097">
      <c r="A1097" s="28" t="s">
        <v>5161</v>
      </c>
      <c r="B1097" s="28" t="s">
        <v>31</v>
      </c>
      <c r="C1097" s="23" t="str">
        <f t="shared" si="1"/>
        <v>El Hadji Ndong</v>
      </c>
      <c r="D1097" s="28" t="s">
        <v>12163</v>
      </c>
      <c r="E1097" s="28" t="s">
        <v>12164</v>
      </c>
      <c r="F1097" s="23">
        <f t="array" ref="F1097">IFERROR(
    INDEX('Hub Interns 226'!A:A, MATCH(C1097, 'Hub Interns 226'!B:B, 0)),"")</f>
        <v>84</v>
      </c>
      <c r="G1097" s="23">
        <f t="array" ref="G1097">IFERROR(
    INDEX('Hub Users 226'!A:A, MATCH(C1097, 'Hub Users 226'!B:B, 0)),"")</f>
        <v>517</v>
      </c>
      <c r="H1097" s="28">
        <v>1485.0</v>
      </c>
      <c r="I1097" s="28" t="s">
        <v>290</v>
      </c>
      <c r="J1097" s="28"/>
      <c r="K1097" s="28"/>
      <c r="L1097" s="28" t="s">
        <v>5165</v>
      </c>
      <c r="M1097" s="56" t="s">
        <v>12165</v>
      </c>
      <c r="N1097" s="57">
        <v>44939.631944444445</v>
      </c>
      <c r="O1097" s="58">
        <v>37898.0</v>
      </c>
      <c r="P1097" s="28">
        <f t="shared" si="32"/>
        <v>22</v>
      </c>
      <c r="Q1097" s="28" t="s">
        <v>12166</v>
      </c>
      <c r="R1097" s="28" t="s">
        <v>12167</v>
      </c>
      <c r="S1097" s="28"/>
      <c r="T1097" s="28"/>
      <c r="U1097" s="28"/>
      <c r="V1097" s="28"/>
      <c r="W1097" s="28" t="s">
        <v>271</v>
      </c>
      <c r="X1097" s="28" t="s">
        <v>272</v>
      </c>
      <c r="Y1097" s="28" t="s">
        <v>12168</v>
      </c>
      <c r="Z1097" s="28" t="s">
        <v>5259</v>
      </c>
      <c r="AA1097" s="28" t="s">
        <v>704</v>
      </c>
      <c r="AB1097" s="28">
        <v>2.0</v>
      </c>
      <c r="AC1097" s="28" t="s">
        <v>28</v>
      </c>
      <c r="AD1097" s="23"/>
      <c r="AE1097" s="28" t="s">
        <v>15</v>
      </c>
      <c r="AF1097" s="23"/>
      <c r="AG1097" s="23"/>
      <c r="AH1097" s="23" t="str">
        <f>IFERROR(__xludf.DUMMYFUNCTION("IF(
ISNUMBER(MATCH(
C1097,
IMPORTRANGE(""https://docs.google.com/spreadsheets/d/1yTh1ELC33JHYOeEdgIiEclxPRyh0zOKtlawDltfUay8"",""'Interns'!A:A""),
0
)),
""Outreach Conducted"",
"""")"),"")</f>
        <v/>
      </c>
      <c r="AI1097" s="23"/>
      <c r="AJ1097" s="23"/>
      <c r="AK1097" s="23" t="str">
        <f>IFERROR(__xludf.DUMMYFUNCTION("XLOOKUP(C1097, 
   IMPORTRANGE(""1RdEdgHYrZ33LJ7RUHj_h-qkAFL92bcVjtIdVa-UlsCw"", ""Interns!D:D""), 
   IMPORTRANGE(""1RdEdgHYrZ33LJ7RUHj_h-qkAFL92bcVjtIdVa-UlsCw"", ""Interns!M:M""), 
   ""Not Found"")"),"")</f>
        <v/>
      </c>
      <c r="AL1097" s="23" t="str">
        <f>IFERROR(__xludf.DUMMYFUNCTION("XLOOKUP(C1097, 
   IMPORTRANGE(""1RdEdgHYrZ33LJ7RUHj_h-qkAFL92bcVjtIdVa-UlsCw"", ""Interns!D:D""), 
   IMPORTRANGE(""1RdEdgHYrZ33LJ7RUHj_h-qkAFL92bcVjtIdVa-UlsCw"", ""Interns!N:N""), 
   ""Not Found"")"),"")</f>
        <v/>
      </c>
      <c r="AM1097" s="23" t="str">
        <f>IFERROR(__xludf.DUMMYFUNCTION("XLOOKUP(C1097, 
   IMPORTRANGE(""1RdEdgHYrZ33LJ7RUHj_h-qkAFL92bcVjtIdVa-UlsCw"", ""Interns!D:D""), 
   IMPORTRANGE(""1RdEdgHYrZ33LJ7RUHj_h-qkAFL92bcVjtIdVa-UlsCw"", ""Interns!O:O""), 
   ""Not Found"")"),"")</f>
        <v/>
      </c>
      <c r="AN1097" s="23"/>
      <c r="AO1097" s="23" t="s">
        <v>12164</v>
      </c>
      <c r="AP1097" s="28" t="s">
        <v>5908</v>
      </c>
      <c r="AQ1097" s="28" t="s">
        <v>12165</v>
      </c>
      <c r="AR1097" s="23" t="s">
        <v>12168</v>
      </c>
      <c r="AS1097" s="23"/>
      <c r="AT1097" s="23"/>
      <c r="AU1097" s="23"/>
      <c r="AV1097" s="23"/>
    </row>
    <row r="1098">
      <c r="A1098" s="28" t="s">
        <v>5161</v>
      </c>
      <c r="B1098" s="28" t="s">
        <v>5162</v>
      </c>
      <c r="C1098" s="23" t="str">
        <f t="shared" si="1"/>
        <v>Muhammad (Ibaad) Sddique</v>
      </c>
      <c r="D1098" s="22" t="s">
        <v>12169</v>
      </c>
      <c r="E1098" s="22" t="s">
        <v>12170</v>
      </c>
      <c r="F1098" s="23"/>
      <c r="G1098" s="23"/>
      <c r="H1098" s="22">
        <v>2006.0</v>
      </c>
      <c r="I1098" s="28"/>
      <c r="J1098" s="28" t="s">
        <v>12129</v>
      </c>
      <c r="K1098" s="28" t="s">
        <v>5186</v>
      </c>
      <c r="L1098" s="28" t="s">
        <v>5165</v>
      </c>
      <c r="M1098" s="29" t="s">
        <v>12171</v>
      </c>
      <c r="N1098" s="63">
        <v>45615.509722222225</v>
      </c>
      <c r="O1098" s="25">
        <v>45615.0</v>
      </c>
      <c r="P1098" s="28">
        <f t="shared" si="32"/>
        <v>1</v>
      </c>
      <c r="Q1098" s="62" t="s">
        <v>12172</v>
      </c>
      <c r="R1098" s="22" t="s">
        <v>12173</v>
      </c>
      <c r="S1098" s="28">
        <v>7.0</v>
      </c>
      <c r="T1098" s="28">
        <v>12.0</v>
      </c>
      <c r="U1098" s="28">
        <v>37.0</v>
      </c>
      <c r="V1098" s="28">
        <v>26.0</v>
      </c>
      <c r="W1098" s="28" t="s">
        <v>1173</v>
      </c>
      <c r="X1098" s="28" t="s">
        <v>272</v>
      </c>
      <c r="Y1098" s="64"/>
      <c r="Z1098" s="22" t="s">
        <v>5536</v>
      </c>
      <c r="AA1098" s="28" t="s">
        <v>5287</v>
      </c>
      <c r="AB1098" s="28">
        <v>26.0</v>
      </c>
      <c r="AC1098" s="28" t="s">
        <v>27</v>
      </c>
      <c r="AD1098" s="23"/>
      <c r="AE1098" s="28" t="s">
        <v>19</v>
      </c>
      <c r="AF1098" s="23"/>
      <c r="AG1098" s="23"/>
      <c r="AH1098" s="23" t="str">
        <f>IFERROR(__xludf.DUMMYFUNCTION("IF(
ISNUMBER(MATCH(
C1098,
IMPORTRANGE(""https://docs.google.com/spreadsheets/d/1yTh1ELC33JHYOeEdgIiEclxPRyh0zOKtlawDltfUay8"",""'Interns'!A:A""),
0
)),
""Outreach Conducted"",
"""")"),"")</f>
        <v/>
      </c>
      <c r="AI1098" s="23"/>
      <c r="AJ1098" s="23"/>
      <c r="AK1098" s="23" t="str">
        <f>IFERROR(__xludf.DUMMYFUNCTION("XLOOKUP(C1098, 
   IMPORTRANGE(""1RdEdgHYrZ33LJ7RUHj_h-qkAFL92bcVjtIdVa-UlsCw"", ""Interns!D:D""), 
   IMPORTRANGE(""1RdEdgHYrZ33LJ7RUHj_h-qkAFL92bcVjtIdVa-UlsCw"", ""Interns!M:M""), 
   ""Not Found"")"),"Not Found")</f>
        <v>Not Found</v>
      </c>
      <c r="AL1098" s="23" t="str">
        <f>IFERROR(__xludf.DUMMYFUNCTION("XLOOKUP(C1098, 
   IMPORTRANGE(""1RdEdgHYrZ33LJ7RUHj_h-qkAFL92bcVjtIdVa-UlsCw"", ""Interns!D:D""), 
   IMPORTRANGE(""1RdEdgHYrZ33LJ7RUHj_h-qkAFL92bcVjtIdVa-UlsCw"", ""Interns!N:N""), 
   ""Not Found"")"),"Not Found")</f>
        <v>Not Found</v>
      </c>
      <c r="AM1098" s="23" t="str">
        <f>IFERROR(__xludf.DUMMYFUNCTION("XLOOKUP(C1098, 
   IMPORTRANGE(""1RdEdgHYrZ33LJ7RUHj_h-qkAFL92bcVjtIdVa-UlsCw"", ""Interns!D:D""), 
   IMPORTRANGE(""1RdEdgHYrZ33LJ7RUHj_h-qkAFL92bcVjtIdVa-UlsCw"", ""Interns!O:O""), 
   ""Not Found"")"),"Not Found")</f>
        <v>Not Found</v>
      </c>
      <c r="AN1098" s="23"/>
      <c r="AO1098" s="23" t="s">
        <v>12174</v>
      </c>
      <c r="AP1098" s="28" t="s">
        <v>5191</v>
      </c>
      <c r="AQ1098" s="28" t="s">
        <v>12175</v>
      </c>
      <c r="AR1098" s="23"/>
      <c r="AS1098" s="23"/>
      <c r="AT1098" s="23"/>
      <c r="AU1098" s="23"/>
      <c r="AV1098" s="23"/>
    </row>
    <row r="1099">
      <c r="A1099" s="28" t="s">
        <v>5161</v>
      </c>
      <c r="B1099" s="28" t="s">
        <v>5162</v>
      </c>
      <c r="C1099" s="23" t="str">
        <f t="shared" si="1"/>
        <v>Hanan Awad</v>
      </c>
      <c r="D1099" s="28" t="s">
        <v>12176</v>
      </c>
      <c r="E1099" s="28" t="s">
        <v>12177</v>
      </c>
      <c r="F1099" s="23">
        <f t="array" ref="F1099">IFERROR(
    INDEX('Hub Interns 226'!A:A, MATCH(C1099, 'Hub Interns 226'!B:B, 0)),"")</f>
        <v>564</v>
      </c>
      <c r="G1099" s="23">
        <f t="array" ref="G1099">IFERROR(
    INDEX('Hub Users 226'!A:A, MATCH(C1099, 'Hub Users 226'!B:B, 0)),"")</f>
        <v>997</v>
      </c>
      <c r="H1099" s="28">
        <v>1242.0</v>
      </c>
      <c r="I1099" s="28" t="s">
        <v>107</v>
      </c>
      <c r="J1099" s="28" t="s">
        <v>12178</v>
      </c>
      <c r="K1099" s="28" t="s">
        <v>5186</v>
      </c>
      <c r="L1099" s="28" t="s">
        <v>5196</v>
      </c>
      <c r="M1099" s="56" t="s">
        <v>12179</v>
      </c>
      <c r="N1099" s="57">
        <v>44838.665972222225</v>
      </c>
      <c r="O1099" s="58">
        <v>38837.0</v>
      </c>
      <c r="P1099" s="28">
        <f t="shared" si="32"/>
        <v>20</v>
      </c>
      <c r="Q1099" s="28" t="s">
        <v>240</v>
      </c>
      <c r="R1099" s="28" t="s">
        <v>12180</v>
      </c>
      <c r="S1099" s="28">
        <v>13.0</v>
      </c>
      <c r="T1099" s="28">
        <v>31.0</v>
      </c>
      <c r="U1099" s="28">
        <v>72.0</v>
      </c>
      <c r="V1099" s="28">
        <v>10.0</v>
      </c>
      <c r="W1099" s="28" t="s">
        <v>271</v>
      </c>
      <c r="X1099" s="28" t="s">
        <v>272</v>
      </c>
      <c r="Y1099" s="23"/>
      <c r="Z1099" s="28" t="s">
        <v>5341</v>
      </c>
      <c r="AA1099" s="28" t="s">
        <v>1085</v>
      </c>
      <c r="AB1099" s="28">
        <v>10.0</v>
      </c>
      <c r="AC1099" s="28" t="s">
        <v>23</v>
      </c>
      <c r="AD1099" s="28" t="s">
        <v>101</v>
      </c>
      <c r="AE1099" s="28" t="s">
        <v>15</v>
      </c>
      <c r="AF1099" s="23"/>
      <c r="AG1099" s="23"/>
      <c r="AH1099" s="23" t="str">
        <f>IFERROR(__xludf.DUMMYFUNCTION("IF(
ISNUMBER(MATCH(
C1099,
IMPORTRANGE(""https://docs.google.com/spreadsheets/d/1yTh1ELC33JHYOeEdgIiEclxPRyh0zOKtlawDltfUay8"",""'Interns'!A:A""),
0
)),
""Outreach Conducted"",
"""")"),"")</f>
        <v/>
      </c>
      <c r="AI1099" s="23"/>
      <c r="AJ1099" s="23"/>
      <c r="AK1099" s="23" t="str">
        <f>IFERROR(__xludf.DUMMYFUNCTION("XLOOKUP(C1099, 
   IMPORTRANGE(""1RdEdgHYrZ33LJ7RUHj_h-qkAFL92bcVjtIdVa-UlsCw"", ""Interns!D:D""), 
   IMPORTRANGE(""1RdEdgHYrZ33LJ7RUHj_h-qkAFL92bcVjtIdVa-UlsCw"", ""Interns!M:M""), 
   ""Not Found"")"),"")</f>
        <v/>
      </c>
      <c r="AL1099" s="23" t="str">
        <f>IFERROR(__xludf.DUMMYFUNCTION("XLOOKUP(C1099, 
   IMPORTRANGE(""1RdEdgHYrZ33LJ7RUHj_h-qkAFL92bcVjtIdVa-UlsCw"", ""Interns!D:D""), 
   IMPORTRANGE(""1RdEdgHYrZ33LJ7RUHj_h-qkAFL92bcVjtIdVa-UlsCw"", ""Interns!N:N""), 
   ""Not Found"")"),"")</f>
        <v/>
      </c>
      <c r="AM1099" s="23" t="str">
        <f>IFERROR(__xludf.DUMMYFUNCTION("XLOOKUP(C1099, 
   IMPORTRANGE(""1RdEdgHYrZ33LJ7RUHj_h-qkAFL92bcVjtIdVa-UlsCw"", ""Interns!D:D""), 
   IMPORTRANGE(""1RdEdgHYrZ33LJ7RUHj_h-qkAFL92bcVjtIdVa-UlsCw"", ""Interns!O:O""), 
   ""Not Found"")"),"")</f>
        <v/>
      </c>
      <c r="AN1099" s="23"/>
      <c r="AO1099" s="23" t="s">
        <v>12181</v>
      </c>
      <c r="AP1099" s="28" t="s">
        <v>5182</v>
      </c>
      <c r="AQ1099" s="28" t="s">
        <v>12182</v>
      </c>
      <c r="AR1099" s="23" t="s">
        <v>12183</v>
      </c>
      <c r="AS1099" s="28" t="s">
        <v>12184</v>
      </c>
      <c r="AT1099" s="23"/>
      <c r="AU1099" s="23"/>
      <c r="AV1099" s="23"/>
    </row>
    <row r="1100">
      <c r="A1100" s="28" t="s">
        <v>5161</v>
      </c>
      <c r="B1100" s="28" t="s">
        <v>5162</v>
      </c>
      <c r="C1100" s="23" t="str">
        <f t="shared" si="1"/>
        <v>Joshuar Samaniego</v>
      </c>
      <c r="D1100" s="28" t="s">
        <v>12185</v>
      </c>
      <c r="E1100" s="28" t="s">
        <v>12186</v>
      </c>
      <c r="F1100" s="23">
        <f t="array" ref="F1100">IFERROR(
    INDEX('Hub Interns 226'!A:A, MATCH(C1100, 'Hub Interns 226'!B:B, 0)),"")</f>
        <v>694</v>
      </c>
      <c r="G1100" s="23">
        <f t="array" ref="G1100">IFERROR(
    INDEX('Hub Users 226'!A:A, MATCH(C1100, 'Hub Users 226'!B:B, 0)),"")</f>
        <v>1127</v>
      </c>
      <c r="H1100" s="28">
        <v>1330.0</v>
      </c>
      <c r="I1100" s="28" t="s">
        <v>269</v>
      </c>
      <c r="J1100" s="28" t="s">
        <v>12187</v>
      </c>
      <c r="K1100" s="28" t="s">
        <v>5177</v>
      </c>
      <c r="L1100" s="28" t="s">
        <v>5165</v>
      </c>
      <c r="M1100" s="56" t="s">
        <v>12188</v>
      </c>
      <c r="N1100" s="59">
        <v>44852.600694444445</v>
      </c>
      <c r="O1100" s="58">
        <v>44572.0</v>
      </c>
      <c r="P1100" s="28">
        <f t="shared" si="32"/>
        <v>4</v>
      </c>
      <c r="Q1100" s="28" t="s">
        <v>240</v>
      </c>
      <c r="R1100" s="28" t="s">
        <v>12189</v>
      </c>
      <c r="S1100" s="28">
        <v>4.0</v>
      </c>
      <c r="T1100" s="28">
        <v>6.0</v>
      </c>
      <c r="U1100" s="28">
        <v>21.0</v>
      </c>
      <c r="V1100" s="28">
        <v>27.0</v>
      </c>
      <c r="W1100" s="28" t="s">
        <v>1173</v>
      </c>
      <c r="X1100" s="28" t="s">
        <v>272</v>
      </c>
      <c r="Y1100" s="28" t="s">
        <v>12190</v>
      </c>
      <c r="Z1100" s="28" t="s">
        <v>5332</v>
      </c>
      <c r="AA1100" s="28" t="s">
        <v>421</v>
      </c>
      <c r="AB1100" s="28">
        <v>31.0</v>
      </c>
      <c r="AC1100" s="28" t="s">
        <v>23</v>
      </c>
      <c r="AD1100" s="23"/>
      <c r="AE1100" s="28" t="s">
        <v>15</v>
      </c>
      <c r="AF1100" s="23"/>
      <c r="AG1100" s="23"/>
      <c r="AH1100" s="23" t="str">
        <f>IFERROR(__xludf.DUMMYFUNCTION("IF(
ISNUMBER(MATCH(
C1100,
IMPORTRANGE(""https://docs.google.com/spreadsheets/d/1yTh1ELC33JHYOeEdgIiEclxPRyh0zOKtlawDltfUay8"",""'Interns'!A:A""),
0
)),
""Outreach Conducted"",
"""")"),"")</f>
        <v/>
      </c>
      <c r="AI1100" s="23"/>
      <c r="AJ1100" s="23"/>
      <c r="AK1100" s="23" t="str">
        <f>IFERROR(__xludf.DUMMYFUNCTION("XLOOKUP(C1100, 
   IMPORTRANGE(""1RdEdgHYrZ33LJ7RUHj_h-qkAFL92bcVjtIdVa-UlsCw"", ""Interns!D:D""), 
   IMPORTRANGE(""1RdEdgHYrZ33LJ7RUHj_h-qkAFL92bcVjtIdVa-UlsCw"", ""Interns!M:M""), 
   ""Not Found"")"),"Contacted")</f>
        <v>Contacted</v>
      </c>
      <c r="AL1100" s="23" t="str">
        <f>IFERROR(__xludf.DUMMYFUNCTION("XLOOKUP(C1100, 
   IMPORTRANGE(""1RdEdgHYrZ33LJ7RUHj_h-qkAFL92bcVjtIdVa-UlsCw"", ""Interns!D:D""), 
   IMPORTRANGE(""1RdEdgHYrZ33LJ7RUHj_h-qkAFL92bcVjtIdVa-UlsCw"", ""Interns!N:N""), 
   ""Not Found"")"),"#Cheers4Careers")</f>
        <v>#Cheers4Careers</v>
      </c>
      <c r="AM1100" s="23" t="str">
        <f>IFERROR(__xludf.DUMMYFUNCTION("XLOOKUP(C1100, 
   IMPORTRANGE(""1RdEdgHYrZ33LJ7RUHj_h-qkAFL92bcVjtIdVa-UlsCw"", ""Interns!D:D""), 
   IMPORTRANGE(""1RdEdgHYrZ33LJ7RUHj_h-qkAFL92bcVjtIdVa-UlsCw"", ""Interns!O:O""), 
   ""Not Found"")"),"Hetal reached out March 27 for March #Cheers4 Careers ")</f>
        <v>Hetal reached out March 27 for March #Cheers4 Careers </v>
      </c>
      <c r="AN1100" s="23"/>
      <c r="AO1100" s="23" t="s">
        <v>12191</v>
      </c>
      <c r="AP1100" s="28" t="s">
        <v>5191</v>
      </c>
      <c r="AQ1100" s="28"/>
      <c r="AR1100" s="23"/>
      <c r="AS1100" s="23"/>
      <c r="AT1100" s="23"/>
      <c r="AU1100" s="23"/>
      <c r="AV1100" s="23"/>
    </row>
    <row r="1101">
      <c r="A1101" s="28" t="s">
        <v>5161</v>
      </c>
      <c r="B1101" s="28" t="s">
        <v>5162</v>
      </c>
      <c r="C1101" s="23" t="str">
        <f t="shared" si="1"/>
        <v>Barbara Antúnez</v>
      </c>
      <c r="D1101" s="22" t="s">
        <v>12192</v>
      </c>
      <c r="E1101" s="22" t="s">
        <v>12193</v>
      </c>
      <c r="F1101" s="23"/>
      <c r="G1101" s="23"/>
      <c r="H1101" s="22">
        <v>1945.0</v>
      </c>
      <c r="I1101" s="28"/>
      <c r="J1101" s="28" t="s">
        <v>12194</v>
      </c>
      <c r="K1101" s="28" t="s">
        <v>5245</v>
      </c>
      <c r="L1101" s="28" t="s">
        <v>5196</v>
      </c>
      <c r="M1101" s="29" t="s">
        <v>12195</v>
      </c>
      <c r="N1101" s="61">
        <v>45727.53333333333</v>
      </c>
      <c r="O1101" s="25">
        <v>45727.0</v>
      </c>
      <c r="P1101" s="28">
        <f t="shared" si="32"/>
        <v>1</v>
      </c>
      <c r="Q1101" s="62" t="s">
        <v>240</v>
      </c>
      <c r="R1101" s="22" t="s">
        <v>12196</v>
      </c>
      <c r="S1101" s="28">
        <v>7.0</v>
      </c>
      <c r="T1101" s="28">
        <v>12.0</v>
      </c>
      <c r="U1101" s="28">
        <v>37.0</v>
      </c>
      <c r="V1101" s="28">
        <v>26.0</v>
      </c>
      <c r="W1101" s="23"/>
      <c r="X1101" s="23"/>
      <c r="Y1101" s="22" t="s">
        <v>12197</v>
      </c>
      <c r="Z1101" s="22" t="s">
        <v>5365</v>
      </c>
      <c r="AA1101" s="28" t="s">
        <v>5366</v>
      </c>
      <c r="AB1101" s="28">
        <v>26.0</v>
      </c>
      <c r="AC1101" s="28" t="s">
        <v>23</v>
      </c>
      <c r="AD1101" s="23"/>
      <c r="AE1101" s="28" t="s">
        <v>19</v>
      </c>
      <c r="AF1101" s="23"/>
      <c r="AG1101" s="23"/>
      <c r="AH1101" s="23" t="str">
        <f>IFERROR(__xludf.DUMMYFUNCTION("IF(
ISNUMBER(MATCH(
C1101,
IMPORTRANGE(""https://docs.google.com/spreadsheets/d/1yTh1ELC33JHYOeEdgIiEclxPRyh0zOKtlawDltfUay8"",""'Interns'!A:A""),
0
)),
""Outreach Conducted"",
"""")"),"")</f>
        <v/>
      </c>
      <c r="AI1101" s="23"/>
      <c r="AJ1101" s="23"/>
      <c r="AK1101" s="23"/>
      <c r="AL1101" s="23" t="str">
        <f>IFERROR(__xludf.DUMMYFUNCTION("XLOOKUP(C1101, 
   IMPORTRANGE(""1RdEdgHYrZ33LJ7RUHj_h-qkAFL92bcVjtIdVa-UlsCw"", ""Interns!D:D""), 
   IMPORTRANGE(""1RdEdgHYrZ33LJ7RUHj_h-qkAFL92bcVjtIdVa-UlsCw"", ""Interns!N:N""), 
   ""Not Found"")"),"#Cheers4Careers")</f>
        <v>#Cheers4Careers</v>
      </c>
      <c r="AM1101" s="23" t="str">
        <f>IFERROR(__xludf.DUMMYFUNCTION("XLOOKUP(C1101, 
   IMPORTRANGE(""1RdEdgHYrZ33LJ7RUHj_h-qkAFL92bcVjtIdVa-UlsCw"", ""Interns!D:D""), 
   IMPORTRANGE(""1RdEdgHYrZ33LJ7RUHj_h-qkAFL92bcVjtIdVa-UlsCw"", ""Interns!O:O""), 
   ""Not Found"")"),"Hetal reached out March 27 for March #Cheers4 Careers ")</f>
        <v>Hetal reached out March 27 for March #Cheers4 Careers </v>
      </c>
      <c r="AN1101" s="23"/>
      <c r="AO1101" s="23" t="s">
        <v>12198</v>
      </c>
      <c r="AP1101" s="28" t="s">
        <v>5182</v>
      </c>
      <c r="AQ1101" s="28" t="s">
        <v>12195</v>
      </c>
      <c r="AR1101" s="23" t="s">
        <v>12197</v>
      </c>
      <c r="AS1101" s="23"/>
      <c r="AT1101" s="23"/>
      <c r="AU1101" s="23"/>
      <c r="AV1101" s="23"/>
    </row>
    <row r="1102">
      <c r="A1102" s="28" t="s">
        <v>5161</v>
      </c>
      <c r="B1102" s="28" t="s">
        <v>5162</v>
      </c>
      <c r="C1102" s="23" t="str">
        <f t="shared" si="1"/>
        <v>Luz Gutierrez</v>
      </c>
      <c r="D1102" s="28" t="s">
        <v>2177</v>
      </c>
      <c r="E1102" s="28" t="s">
        <v>6489</v>
      </c>
      <c r="F1102" s="28">
        <v>1607.0</v>
      </c>
      <c r="G1102" s="23">
        <f t="array" ref="G1102">IFERROR(
    INDEX('Hub Users 226'!A:A, MATCH(C1102, 'Hub Users 226'!B:B, 0)),"")</f>
        <v>2218</v>
      </c>
      <c r="H1102" s="28">
        <v>1874.0</v>
      </c>
      <c r="I1102" s="28"/>
      <c r="J1102" s="28" t="s">
        <v>12199</v>
      </c>
      <c r="K1102" s="28" t="s">
        <v>5463</v>
      </c>
      <c r="L1102" s="28" t="s">
        <v>5196</v>
      </c>
      <c r="M1102" s="56" t="s">
        <v>12200</v>
      </c>
      <c r="N1102" s="62">
        <v>45692.58888888889</v>
      </c>
      <c r="O1102" s="58">
        <v>45692.0</v>
      </c>
      <c r="P1102" s="28">
        <f t="shared" si="32"/>
        <v>1</v>
      </c>
      <c r="Q1102" s="23"/>
      <c r="R1102" s="28" t="s">
        <v>12201</v>
      </c>
      <c r="S1102" s="28">
        <v>6.0</v>
      </c>
      <c r="T1102" s="28">
        <v>14.0</v>
      </c>
      <c r="U1102" s="28">
        <v>24.0</v>
      </c>
      <c r="V1102" s="28">
        <v>24.0</v>
      </c>
      <c r="W1102" s="28" t="s">
        <v>271</v>
      </c>
      <c r="X1102" s="28" t="s">
        <v>272</v>
      </c>
      <c r="Y1102" s="28" t="s">
        <v>12202</v>
      </c>
      <c r="Z1102" s="28" t="s">
        <v>5853</v>
      </c>
      <c r="AA1102" s="28" t="s">
        <v>704</v>
      </c>
      <c r="AB1102" s="28">
        <v>2.0</v>
      </c>
      <c r="AC1102" s="28" t="s">
        <v>25</v>
      </c>
      <c r="AD1102" s="23"/>
      <c r="AE1102" s="28" t="s">
        <v>19</v>
      </c>
      <c r="AF1102" s="23" t="str">
        <f>IFERROR(__xludf.DUMMYFUNCTION("TEXTJOIN("", "", TRUE,
  FILTER(Champions!C:C,
    ISNUMBER(SEARCH(C1102, Champions!W:W))
  )
)"),"Prasanna Vijayanathan, Fernanda Montane Azpiri")</f>
        <v>Prasanna Vijayanathan, Fernanda Montane Azpiri</v>
      </c>
      <c r="AG1102" s="23"/>
      <c r="AH1102" s="23" t="str">
        <f>IFERROR(__xludf.DUMMYFUNCTION("IF(
ISNUMBER(MATCH(
C1102,
IMPORTRANGE(""https://docs.google.com/spreadsheets/d/1yTh1ELC33JHYOeEdgIiEclxPRyh0zOKtlawDltfUay8"",""'Interns'!A:A""),
0
)),
""Outreach Conducted"",
"""")"),"")</f>
        <v/>
      </c>
      <c r="AI1102" s="23"/>
      <c r="AJ1102" s="23"/>
      <c r="AK1102" s="23" t="str">
        <f>IFERROR(__xludf.DUMMYFUNCTION("XLOOKUP(C1102, 
   IMPORTRANGE(""1RdEdgHYrZ33LJ7RUHj_h-qkAFL92bcVjtIdVa-UlsCw"", ""Interns!D:D""), 
   IMPORTRANGE(""1RdEdgHYrZ33LJ7RUHj_h-qkAFL92bcVjtIdVa-UlsCw"", ""Interns!M:M""), 
   ""Not Found"")"),"Contacted")</f>
        <v>Contacted</v>
      </c>
      <c r="AL1102" s="23" t="str">
        <f>IFERROR(__xludf.DUMMYFUNCTION("XLOOKUP(C1102, 
   IMPORTRANGE(""1RdEdgHYrZ33LJ7RUHj_h-qkAFL92bcVjtIdVa-UlsCw"", ""Interns!D:D""), 
   IMPORTRANGE(""1RdEdgHYrZ33LJ7RUHj_h-qkAFL92bcVjtIdVa-UlsCw"", ""Interns!N:N""), 
   ""Not Found"")"),"#Cheers4Careers")</f>
        <v>#Cheers4Careers</v>
      </c>
      <c r="AM1102" s="23" t="str">
        <f>IFERROR(__xludf.DUMMYFUNCTION("XLOOKUP(C1102, 
   IMPORTRANGE(""1RdEdgHYrZ33LJ7RUHj_h-qkAFL92bcVjtIdVa-UlsCw"", ""Interns!D:D""), 
   IMPORTRANGE(""1RdEdgHYrZ33LJ7RUHj_h-qkAFL92bcVjtIdVa-UlsCw"", ""Interns!O:O""), 
   ""Not Found"")"),"Ousmane reached out by email 3/26 and reach out by text 3/28")</f>
        <v>Ousmane reached out by email 3/26 and reach out by text 3/28</v>
      </c>
      <c r="AN1102" s="23"/>
      <c r="AO1102" s="23" t="s">
        <v>12203</v>
      </c>
      <c r="AP1102" s="28" t="s">
        <v>5182</v>
      </c>
      <c r="AQ1102" s="28" t="s">
        <v>12204</v>
      </c>
      <c r="AR1102" s="23" t="s">
        <v>12205</v>
      </c>
      <c r="AS1102" s="23"/>
      <c r="AT1102" s="23"/>
      <c r="AU1102" s="23"/>
      <c r="AV1102" s="23"/>
    </row>
    <row r="1103">
      <c r="A1103" s="28" t="s">
        <v>5161</v>
      </c>
      <c r="B1103" s="28" t="s">
        <v>5162</v>
      </c>
      <c r="C1103" s="23" t="str">
        <f t="shared" si="1"/>
        <v>Patricia Manrique</v>
      </c>
      <c r="D1103" s="28" t="s">
        <v>10822</v>
      </c>
      <c r="E1103" s="28" t="s">
        <v>12206</v>
      </c>
      <c r="F1103" s="23">
        <f t="array" ref="F1103">IFERROR(
    INDEX('Hub Interns 226'!A:A, MATCH(C1103, 'Hub Interns 226'!B:B, 0)),"")</f>
        <v>1024</v>
      </c>
      <c r="G1103" s="23">
        <f t="array" ref="G1103">IFERROR(
    INDEX('Hub Users 226'!A:A, MATCH(C1103, 'Hub Users 226'!B:B, 0)),"")</f>
        <v>1457</v>
      </c>
      <c r="H1103" s="28">
        <v>668.0</v>
      </c>
      <c r="I1103" s="28" t="s">
        <v>260</v>
      </c>
      <c r="J1103" s="28" t="s">
        <v>12199</v>
      </c>
      <c r="K1103" s="28" t="s">
        <v>5463</v>
      </c>
      <c r="L1103" s="28" t="s">
        <v>8087</v>
      </c>
      <c r="M1103" s="56" t="s">
        <v>12207</v>
      </c>
      <c r="N1103" s="59">
        <v>44544.870833333334</v>
      </c>
      <c r="O1103" s="58">
        <v>37663.0</v>
      </c>
      <c r="P1103" s="28">
        <f t="shared" si="32"/>
        <v>23</v>
      </c>
      <c r="Q1103" s="28" t="s">
        <v>12208</v>
      </c>
      <c r="R1103" s="28" t="s">
        <v>12209</v>
      </c>
      <c r="S1103" s="28">
        <v>14.0</v>
      </c>
      <c r="T1103" s="28">
        <v>13.0</v>
      </c>
      <c r="U1103" s="28">
        <v>35.0</v>
      </c>
      <c r="V1103" s="28">
        <v>22.0</v>
      </c>
      <c r="W1103" s="28" t="s">
        <v>1173</v>
      </c>
      <c r="X1103" s="28" t="s">
        <v>272</v>
      </c>
      <c r="Y1103" s="28" t="s">
        <v>12210</v>
      </c>
      <c r="Z1103" s="28" t="s">
        <v>5483</v>
      </c>
      <c r="AA1103" s="28" t="s">
        <v>457</v>
      </c>
      <c r="AB1103" s="28">
        <v>25.0</v>
      </c>
      <c r="AC1103" s="28" t="s">
        <v>25</v>
      </c>
      <c r="AD1103" s="28" t="s">
        <v>101</v>
      </c>
      <c r="AE1103" s="28" t="s">
        <v>10</v>
      </c>
      <c r="AF1103" s="23" t="str">
        <f>IFERROR(__xludf.DUMMYFUNCTION("TEXTJOIN("", "", TRUE,
  FILTER(Champions!C:C,
    ISNUMBER(SEARCH(C1103, Champions!W:W))
  )
)"),"Ibtesam Khan, Frank Weber")</f>
        <v>Ibtesam Khan, Frank Weber</v>
      </c>
      <c r="AG1103" s="23"/>
      <c r="AH1103" s="23" t="str">
        <f>IFERROR(__xludf.DUMMYFUNCTION("IF(
ISNUMBER(MATCH(
C1103,
IMPORTRANGE(""https://docs.google.com/spreadsheets/d/1yTh1ELC33JHYOeEdgIiEclxPRyh0zOKtlawDltfUay8"",""'Interns'!A:A""),
0
)),
""Outreach Conducted"",
"""")"),"")</f>
        <v/>
      </c>
      <c r="AI1103" s="23"/>
      <c r="AJ1103" s="23"/>
      <c r="AK1103" s="23" t="str">
        <f>IFERROR(__xludf.DUMMYFUNCTION("XLOOKUP(C1103, 
   IMPORTRANGE(""1RdEdgHYrZ33LJ7RUHj_h-qkAFL92bcVjtIdVa-UlsCw"", ""Interns!D:D""), 
   IMPORTRANGE(""1RdEdgHYrZ33LJ7RUHj_h-qkAFL92bcVjtIdVa-UlsCw"", ""Interns!M:M""), 
   ""Not Found"")"),"Contacted")</f>
        <v>Contacted</v>
      </c>
      <c r="AL1103" s="23" t="str">
        <f>IFERROR(__xludf.DUMMYFUNCTION("XLOOKUP(C1103, 
   IMPORTRANGE(""1RdEdgHYrZ33LJ7RUHj_h-qkAFL92bcVjtIdVa-UlsCw"", ""Interns!D:D""), 
   IMPORTRANGE(""1RdEdgHYrZ33LJ7RUHj_h-qkAFL92bcVjtIdVa-UlsCw"", ""Interns!N:N""), 
   ""Not Found"")"),"#Cheers4Careers")</f>
        <v>#Cheers4Careers</v>
      </c>
      <c r="AM1103" s="23" t="str">
        <f>IFERROR(__xludf.DUMMYFUNCTION("XLOOKUP(C1103, 
   IMPORTRANGE(""1RdEdgHYrZ33LJ7RUHj_h-qkAFL92bcVjtIdVa-UlsCw"", ""Interns!D:D""), 
   IMPORTRANGE(""1RdEdgHYrZ33LJ7RUHj_h-qkAFL92bcVjtIdVa-UlsCw"", ""Interns!O:O""), 
   ""Not Found"")"),"Hetal reached out by email 3/27")</f>
        <v>Hetal reached out by email 3/27</v>
      </c>
      <c r="AN1103" s="23"/>
      <c r="AO1103" s="23" t="s">
        <v>12211</v>
      </c>
      <c r="AP1103" s="28" t="s">
        <v>5182</v>
      </c>
      <c r="AQ1103" s="28" t="s">
        <v>12212</v>
      </c>
      <c r="AR1103" s="23" t="s">
        <v>12213</v>
      </c>
      <c r="AS1103" s="23"/>
      <c r="AT1103" s="23"/>
      <c r="AU1103" s="23"/>
      <c r="AV1103" s="23"/>
    </row>
    <row r="1104">
      <c r="A1104" s="28" t="s">
        <v>5161</v>
      </c>
      <c r="B1104" s="28" t="s">
        <v>31</v>
      </c>
      <c r="C1104" s="23" t="str">
        <f t="shared" si="1"/>
        <v>Hendry Bello</v>
      </c>
      <c r="D1104" s="28" t="s">
        <v>7260</v>
      </c>
      <c r="E1104" s="28" t="s">
        <v>7261</v>
      </c>
      <c r="F1104" s="23">
        <f t="array" ref="F1104">IFERROR(
    INDEX('Hub Interns 226'!A:A, MATCH(C1104, 'Hub Interns 226'!B:B, 0)),"")</f>
        <v>90</v>
      </c>
      <c r="G1104" s="23">
        <f t="array" ref="G1104">IFERROR(
    INDEX('Hub Users 226'!A:A, MATCH(C1104, 'Hub Users 226'!B:B, 0)),"")</f>
        <v>523</v>
      </c>
      <c r="H1104" s="28">
        <v>1483.0</v>
      </c>
      <c r="I1104" s="28" t="s">
        <v>407</v>
      </c>
      <c r="J1104" s="28"/>
      <c r="K1104" s="28"/>
      <c r="L1104" s="28" t="s">
        <v>5165</v>
      </c>
      <c r="M1104" s="56" t="s">
        <v>7262</v>
      </c>
      <c r="N1104" s="57">
        <v>44939.61944444444</v>
      </c>
      <c r="O1104" s="58">
        <v>38897.0</v>
      </c>
      <c r="P1104" s="28">
        <f t="shared" si="32"/>
        <v>19</v>
      </c>
      <c r="Q1104" s="28" t="s">
        <v>7263</v>
      </c>
      <c r="R1104" s="28" t="s">
        <v>7264</v>
      </c>
      <c r="S1104" s="28"/>
      <c r="T1104" s="28"/>
      <c r="U1104" s="28"/>
      <c r="V1104" s="28"/>
      <c r="W1104" s="28" t="s">
        <v>271</v>
      </c>
      <c r="X1104" s="28" t="s">
        <v>272</v>
      </c>
      <c r="Y1104" s="28" t="s">
        <v>7265</v>
      </c>
      <c r="Z1104" s="28" t="s">
        <v>5259</v>
      </c>
      <c r="AA1104" s="28" t="s">
        <v>704</v>
      </c>
      <c r="AB1104" s="28">
        <v>2.0</v>
      </c>
      <c r="AC1104" s="28" t="s">
        <v>28</v>
      </c>
      <c r="AD1104" s="23"/>
      <c r="AE1104" s="28" t="s">
        <v>15</v>
      </c>
      <c r="AF1104" s="23"/>
      <c r="AG1104" s="23"/>
      <c r="AH1104" s="23" t="str">
        <f>IFERROR(__xludf.DUMMYFUNCTION("IF(
ISNUMBER(MATCH(
C1104,
IMPORTRANGE(""https://docs.google.com/spreadsheets/d/1yTh1ELC33JHYOeEdgIiEclxPRyh0zOKtlawDltfUay8"",""'Interns'!A:A""),
0
)),
""Outreach Conducted"",
"""")"),"")</f>
        <v/>
      </c>
      <c r="AI1104" s="23"/>
      <c r="AJ1104" s="28" t="s">
        <v>12214</v>
      </c>
      <c r="AK1104" s="23" t="str">
        <f>IFERROR(__xludf.DUMMYFUNCTION("XLOOKUP(C1104, 
   IMPORTRANGE(""1RdEdgHYrZ33LJ7RUHj_h-qkAFL92bcVjtIdVa-UlsCw"", ""Interns!D:D""), 
   IMPORTRANGE(""1RdEdgHYrZ33LJ7RUHj_h-qkAFL92bcVjtIdVa-UlsCw"", ""Interns!M:M""), 
   ""Not Found"")"),"")</f>
        <v/>
      </c>
      <c r="AL1104" s="23" t="str">
        <f>IFERROR(__xludf.DUMMYFUNCTION("XLOOKUP(C1104, 
   IMPORTRANGE(""1RdEdgHYrZ33LJ7RUHj_h-qkAFL92bcVjtIdVa-UlsCw"", ""Interns!D:D""), 
   IMPORTRANGE(""1RdEdgHYrZ33LJ7RUHj_h-qkAFL92bcVjtIdVa-UlsCw"", ""Interns!N:N""), 
   ""Not Found"")"),"")</f>
        <v/>
      </c>
      <c r="AM1104" s="23" t="str">
        <f>IFERROR(__xludf.DUMMYFUNCTION("XLOOKUP(C1104, 
   IMPORTRANGE(""1RdEdgHYrZ33LJ7RUHj_h-qkAFL92bcVjtIdVa-UlsCw"", ""Interns!D:D""), 
   IMPORTRANGE(""1RdEdgHYrZ33LJ7RUHj_h-qkAFL92bcVjtIdVa-UlsCw"", ""Interns!O:O""), 
   ""Not Found"")"),"")</f>
        <v/>
      </c>
      <c r="AN1104" s="23"/>
      <c r="AO1104" s="23" t="s">
        <v>7266</v>
      </c>
      <c r="AP1104" s="28" t="s">
        <v>5191</v>
      </c>
      <c r="AQ1104" s="28" t="s">
        <v>7267</v>
      </c>
      <c r="AR1104" s="23" t="s">
        <v>7268</v>
      </c>
      <c r="AS1104" s="23"/>
      <c r="AT1104" s="23"/>
      <c r="AU1104" s="23"/>
      <c r="AV1104" s="23"/>
    </row>
    <row r="1105">
      <c r="A1105" s="28" t="s">
        <v>5161</v>
      </c>
      <c r="B1105" s="28" t="s">
        <v>5162</v>
      </c>
      <c r="C1105" s="23" t="str">
        <f t="shared" si="1"/>
        <v>Marina Diaz</v>
      </c>
      <c r="D1105" s="28" t="s">
        <v>12215</v>
      </c>
      <c r="E1105" s="28" t="s">
        <v>6378</v>
      </c>
      <c r="F1105" s="23">
        <f t="array" ref="F1105">IFERROR(
    INDEX('Hub Interns 226'!A:A, MATCH(C1105, 'Hub Interns 226'!B:B, 0)),"")</f>
        <v>1038</v>
      </c>
      <c r="G1105" s="23">
        <f t="array" ref="G1105">IFERROR(
    INDEX('Hub Users 226'!A:A, MATCH(C1105, 'Hub Users 226'!B:B, 0)),"")</f>
        <v>1471</v>
      </c>
      <c r="H1105" s="28">
        <v>1470.0</v>
      </c>
      <c r="I1105" s="28" t="s">
        <v>407</v>
      </c>
      <c r="J1105" s="28" t="s">
        <v>12199</v>
      </c>
      <c r="K1105" s="28" t="s">
        <v>5463</v>
      </c>
      <c r="L1105" s="28" t="s">
        <v>5196</v>
      </c>
      <c r="M1105" s="56" t="s">
        <v>12216</v>
      </c>
      <c r="N1105" s="57">
        <v>44938.66805555556</v>
      </c>
      <c r="O1105" s="58">
        <v>38894.0</v>
      </c>
      <c r="P1105" s="28">
        <f t="shared" si="32"/>
        <v>19</v>
      </c>
      <c r="Q1105" s="28" t="s">
        <v>12217</v>
      </c>
      <c r="R1105" s="28" t="s">
        <v>12218</v>
      </c>
      <c r="S1105" s="28">
        <v>13.0</v>
      </c>
      <c r="T1105" s="28">
        <v>33.0</v>
      </c>
      <c r="U1105" s="28">
        <v>78.0</v>
      </c>
      <c r="V1105" s="28">
        <v>14.0</v>
      </c>
      <c r="W1105" s="28" t="s">
        <v>859</v>
      </c>
      <c r="X1105" s="28" t="s">
        <v>272</v>
      </c>
      <c r="Y1105" s="28" t="s">
        <v>12219</v>
      </c>
      <c r="Z1105" s="28" t="s">
        <v>5918</v>
      </c>
      <c r="AA1105" s="28" t="s">
        <v>477</v>
      </c>
      <c r="AB1105" s="28">
        <v>15.0</v>
      </c>
      <c r="AC1105" s="28" t="s">
        <v>25</v>
      </c>
      <c r="AD1105" s="28" t="s">
        <v>101</v>
      </c>
      <c r="AE1105" s="28" t="s">
        <v>15</v>
      </c>
      <c r="AF1105" s="23" t="str">
        <f>IFERROR(__xludf.DUMMYFUNCTION("TEXTJOIN("", "", TRUE,
  FILTER(Champions!C:C,
    ISNUMBER(SEARCH(C1105, Champions!W:W))
  )
)"),"Bhavna Mohan Agnihotri, Romina Tome")</f>
        <v>Bhavna Mohan Agnihotri, Romina Tome</v>
      </c>
      <c r="AG1105" s="23"/>
      <c r="AH1105" s="23" t="str">
        <f>IFERROR(__xludf.DUMMYFUNCTION("IF(
ISNUMBER(MATCH(
C1105,
IMPORTRANGE(""https://docs.google.com/spreadsheets/d/1yTh1ELC33JHYOeEdgIiEclxPRyh0zOKtlawDltfUay8"",""'Interns'!A:A""),
0
)),
""Outreach Conducted"",
"""")"),"")</f>
        <v/>
      </c>
      <c r="AI1105" s="23"/>
      <c r="AJ1105" s="23"/>
      <c r="AK1105" s="23" t="str">
        <f>IFERROR(__xludf.DUMMYFUNCTION("XLOOKUP(C1105, 
   IMPORTRANGE(""1RdEdgHYrZ33LJ7RUHj_h-qkAFL92bcVjtIdVa-UlsCw"", ""Interns!D:D""), 
   IMPORTRANGE(""1RdEdgHYrZ33LJ7RUHj_h-qkAFL92bcVjtIdVa-UlsCw"", ""Interns!M:M""), 
   ""Not Found"")"),"")</f>
        <v/>
      </c>
      <c r="AL1105" s="23" t="str">
        <f>IFERROR(__xludf.DUMMYFUNCTION("XLOOKUP(C1105, 
   IMPORTRANGE(""1RdEdgHYrZ33LJ7RUHj_h-qkAFL92bcVjtIdVa-UlsCw"", ""Interns!D:D""), 
   IMPORTRANGE(""1RdEdgHYrZ33LJ7RUHj_h-qkAFL92bcVjtIdVa-UlsCw"", ""Interns!N:N""), 
   ""Not Found"")"),"")</f>
        <v/>
      </c>
      <c r="AM1105" s="23" t="str">
        <f>IFERROR(__xludf.DUMMYFUNCTION("XLOOKUP(C1105, 
   IMPORTRANGE(""1RdEdgHYrZ33LJ7RUHj_h-qkAFL92bcVjtIdVa-UlsCw"", ""Interns!D:D""), 
   IMPORTRANGE(""1RdEdgHYrZ33LJ7RUHj_h-qkAFL92bcVjtIdVa-UlsCw"", ""Interns!O:O""), 
   ""Not Found"")"),"")</f>
        <v/>
      </c>
      <c r="AN1105" s="23"/>
      <c r="AO1105" s="23" t="s">
        <v>12220</v>
      </c>
      <c r="AP1105" s="28" t="s">
        <v>5191</v>
      </c>
      <c r="AQ1105" s="28" t="s">
        <v>12216</v>
      </c>
      <c r="AR1105" s="23" t="s">
        <v>12221</v>
      </c>
      <c r="AS1105" s="23"/>
      <c r="AT1105" s="23"/>
      <c r="AU1105" s="23"/>
      <c r="AV1105" s="23"/>
    </row>
    <row r="1106">
      <c r="A1106" s="28" t="s">
        <v>5161</v>
      </c>
      <c r="B1106" s="28" t="s">
        <v>31</v>
      </c>
      <c r="C1106" s="23" t="str">
        <f t="shared" si="1"/>
        <v>Jaime Lara</v>
      </c>
      <c r="D1106" s="28" t="s">
        <v>6880</v>
      </c>
      <c r="E1106" s="28" t="s">
        <v>6881</v>
      </c>
      <c r="F1106" s="23">
        <f t="array" ref="F1106">IFERROR(
    INDEX('Hub Interns 226'!A:A, MATCH(C1106, 'Hub Interns 226'!B:B, 0)),"")</f>
        <v>91</v>
      </c>
      <c r="G1106" s="23">
        <f t="array" ref="G1106">IFERROR(
    INDEX('Hub Users 226'!A:A, MATCH(C1106, 'Hub Users 226'!B:B, 0)),"")</f>
        <v>524</v>
      </c>
      <c r="H1106" s="28">
        <v>1478.0</v>
      </c>
      <c r="I1106" s="28" t="s">
        <v>269</v>
      </c>
      <c r="J1106" s="28"/>
      <c r="K1106" s="28"/>
      <c r="L1106" s="28" t="s">
        <v>5165</v>
      </c>
      <c r="M1106" s="56" t="s">
        <v>6882</v>
      </c>
      <c r="N1106" s="57">
        <v>44939.61388888889</v>
      </c>
      <c r="O1106" s="58">
        <v>38186.0</v>
      </c>
      <c r="P1106" s="28">
        <f t="shared" si="32"/>
        <v>21</v>
      </c>
      <c r="Q1106" s="28" t="s">
        <v>6883</v>
      </c>
      <c r="R1106" s="28" t="s">
        <v>6884</v>
      </c>
      <c r="S1106" s="28"/>
      <c r="T1106" s="28"/>
      <c r="U1106" s="28"/>
      <c r="V1106" s="28"/>
      <c r="W1106" s="28" t="s">
        <v>1173</v>
      </c>
      <c r="X1106" s="28" t="s">
        <v>272</v>
      </c>
      <c r="Y1106" s="28" t="s">
        <v>6885</v>
      </c>
      <c r="Z1106" s="28" t="s">
        <v>5259</v>
      </c>
      <c r="AA1106" s="28" t="s">
        <v>704</v>
      </c>
      <c r="AB1106" s="28">
        <v>2.0</v>
      </c>
      <c r="AC1106" s="28" t="s">
        <v>28</v>
      </c>
      <c r="AD1106" s="23"/>
      <c r="AE1106" s="28" t="s">
        <v>15</v>
      </c>
      <c r="AF1106" s="23"/>
      <c r="AG1106" s="23"/>
      <c r="AH1106" s="23" t="str">
        <f>IFERROR(__xludf.DUMMYFUNCTION("IF(
ISNUMBER(MATCH(
C1106,
IMPORTRANGE(""https://docs.google.com/spreadsheets/d/1yTh1ELC33JHYOeEdgIiEclxPRyh0zOKtlawDltfUay8"",""'Interns'!A:A""),
0
)),
""Outreach Conducted"",
"""")"),"")</f>
        <v/>
      </c>
      <c r="AI1106" s="23"/>
      <c r="AJ1106" s="23"/>
      <c r="AK1106" s="23" t="str">
        <f>IFERROR(__xludf.DUMMYFUNCTION("XLOOKUP(C1106, 
   IMPORTRANGE(""1RdEdgHYrZ33LJ7RUHj_h-qkAFL92bcVjtIdVa-UlsCw"", ""Interns!D:D""), 
   IMPORTRANGE(""1RdEdgHYrZ33LJ7RUHj_h-qkAFL92bcVjtIdVa-UlsCw"", ""Interns!M:M""), 
   ""Not Found"")"),"")</f>
        <v/>
      </c>
      <c r="AL1106" s="23" t="str">
        <f>IFERROR(__xludf.DUMMYFUNCTION("XLOOKUP(C1106, 
   IMPORTRANGE(""1RdEdgHYrZ33LJ7RUHj_h-qkAFL92bcVjtIdVa-UlsCw"", ""Interns!D:D""), 
   IMPORTRANGE(""1RdEdgHYrZ33LJ7RUHj_h-qkAFL92bcVjtIdVa-UlsCw"", ""Interns!N:N""), 
   ""Not Found"")"),"")</f>
        <v/>
      </c>
      <c r="AM1106" s="23" t="str">
        <f>IFERROR(__xludf.DUMMYFUNCTION("XLOOKUP(C1106, 
   IMPORTRANGE(""1RdEdgHYrZ33LJ7RUHj_h-qkAFL92bcVjtIdVa-UlsCw"", ""Interns!D:D""), 
   IMPORTRANGE(""1RdEdgHYrZ33LJ7RUHj_h-qkAFL92bcVjtIdVa-UlsCw"", ""Interns!O:O""), 
   ""Not Found"")"),"")</f>
        <v/>
      </c>
      <c r="AN1106" s="23"/>
      <c r="AO1106" s="23" t="s">
        <v>6887</v>
      </c>
      <c r="AP1106" s="28" t="s">
        <v>5182</v>
      </c>
      <c r="AQ1106" s="28" t="s">
        <v>6614</v>
      </c>
      <c r="AR1106" s="23" t="s">
        <v>6888</v>
      </c>
      <c r="AS1106" s="23"/>
      <c r="AT1106" s="23"/>
      <c r="AU1106" s="23"/>
      <c r="AV1106" s="23"/>
    </row>
    <row r="1107">
      <c r="A1107" s="28" t="s">
        <v>5161</v>
      </c>
      <c r="B1107" s="28" t="s">
        <v>5162</v>
      </c>
      <c r="C1107" s="23" t="str">
        <f t="shared" si="1"/>
        <v>Walter Tello</v>
      </c>
      <c r="D1107" s="28" t="s">
        <v>10230</v>
      </c>
      <c r="E1107" s="28" t="s">
        <v>12222</v>
      </c>
      <c r="F1107" s="23" t="str">
        <f t="array" ref="F1107">IFERROR(
    INDEX('Hub Interns 226'!A:A, MATCH(C1107, 'Hub Interns 226'!B:B, 0)),"")</f>
        <v/>
      </c>
      <c r="G1107" s="23">
        <f t="array" ref="G1107">IFERROR(
    INDEX('Hub Users 226'!A:A, MATCH(C1107, 'Hub Users 226'!B:B, 0)),"")</f>
        <v>1803</v>
      </c>
      <c r="H1107" s="28">
        <v>1684.0</v>
      </c>
      <c r="I1107" s="28" t="s">
        <v>269</v>
      </c>
      <c r="J1107" s="28" t="s">
        <v>12199</v>
      </c>
      <c r="K1107" s="28" t="s">
        <v>5463</v>
      </c>
      <c r="L1107" s="28" t="s">
        <v>5165</v>
      </c>
      <c r="M1107" s="56" t="s">
        <v>12223</v>
      </c>
      <c r="N1107" s="59">
        <v>45246.57777777778</v>
      </c>
      <c r="O1107" s="58">
        <v>38390.0</v>
      </c>
      <c r="P1107" s="28">
        <f t="shared" si="32"/>
        <v>21</v>
      </c>
      <c r="Q1107" s="28" t="s">
        <v>12224</v>
      </c>
      <c r="R1107" s="28" t="s">
        <v>12225</v>
      </c>
      <c r="S1107" s="28">
        <v>13.0</v>
      </c>
      <c r="T1107" s="28">
        <v>33.0</v>
      </c>
      <c r="U1107" s="28">
        <v>78.0</v>
      </c>
      <c r="V1107" s="28">
        <v>14.0</v>
      </c>
      <c r="W1107" s="28" t="s">
        <v>859</v>
      </c>
      <c r="X1107" s="28" t="s">
        <v>272</v>
      </c>
      <c r="Y1107" s="28" t="s">
        <v>12226</v>
      </c>
      <c r="Z1107" s="28" t="s">
        <v>5435</v>
      </c>
      <c r="AA1107" s="28" t="s">
        <v>5436</v>
      </c>
      <c r="AB1107" s="28">
        <v>10.0</v>
      </c>
      <c r="AC1107" s="28" t="s">
        <v>25</v>
      </c>
      <c r="AD1107" s="23"/>
      <c r="AE1107" s="28" t="s">
        <v>18</v>
      </c>
      <c r="AF1107" s="23" t="str">
        <f>IFERROR(__xludf.DUMMYFUNCTION("TEXTJOIN("", "", TRUE,
  FILTER(Champions!C:C,
    ISNUMBER(SEARCH(C1107, Champions!W:W))
  )
)"),"Christina Thomas")</f>
        <v>Christina Thomas</v>
      </c>
      <c r="AG1107" s="23"/>
      <c r="AH1107" s="23" t="str">
        <f>IFERROR(__xludf.DUMMYFUNCTION("IF(
ISNUMBER(MATCH(
C1107,
IMPORTRANGE(""https://docs.google.com/spreadsheets/d/1yTh1ELC33JHYOeEdgIiEclxPRyh0zOKtlawDltfUay8"",""'Interns'!A:A""),
0
)),
""Outreach Conducted"",
"""")"),"")</f>
        <v/>
      </c>
      <c r="AI1107" s="23"/>
      <c r="AJ1107" s="23"/>
      <c r="AK1107" s="23" t="str">
        <f>IFERROR(__xludf.DUMMYFUNCTION("XLOOKUP(C1107, 
   IMPORTRANGE(""1RdEdgHYrZ33LJ7RUHj_h-qkAFL92bcVjtIdVa-UlsCw"", ""Interns!D:D""), 
   IMPORTRANGE(""1RdEdgHYrZ33LJ7RUHj_h-qkAFL92bcVjtIdVa-UlsCw"", ""Interns!M:M""), 
   ""Not Found"")"),"Contacted")</f>
        <v>Contacted</v>
      </c>
      <c r="AL1107" s="23" t="str">
        <f>IFERROR(__xludf.DUMMYFUNCTION("XLOOKUP(C1107, 
   IMPORTRANGE(""1RdEdgHYrZ33LJ7RUHj_h-qkAFL92bcVjtIdVa-UlsCw"", ""Interns!D:D""), 
   IMPORTRANGE(""1RdEdgHYrZ33LJ7RUHj_h-qkAFL92bcVjtIdVa-UlsCw"", ""Interns!N:N""), 
   ""Not Found"")"),"#Cheers4Careers")</f>
        <v>#Cheers4Careers</v>
      </c>
      <c r="AM1107" s="23" t="str">
        <f>IFERROR(__xludf.DUMMYFUNCTION("XLOOKUP(C1107, 
   IMPORTRANGE(""1RdEdgHYrZ33LJ7RUHj_h-qkAFL92bcVjtIdVa-UlsCw"", ""Interns!D:D""), 
   IMPORTRANGE(""1RdEdgHYrZ33LJ7RUHj_h-qkAFL92bcVjtIdVa-UlsCw"", ""Interns!O:O""), 
   ""Not Found"")"),"Hetal reached out by email 3/27")</f>
        <v>Hetal reached out by email 3/27</v>
      </c>
      <c r="AN1107" s="23"/>
      <c r="AO1107" s="23" t="s">
        <v>12227</v>
      </c>
      <c r="AP1107" s="28" t="s">
        <v>5191</v>
      </c>
      <c r="AQ1107" s="28" t="s">
        <v>12228</v>
      </c>
      <c r="AR1107" s="23" t="s">
        <v>12229</v>
      </c>
      <c r="AS1107" s="23"/>
      <c r="AT1107" s="23"/>
      <c r="AU1107" s="23"/>
      <c r="AV1107" s="23"/>
    </row>
    <row r="1108">
      <c r="A1108" s="28" t="s">
        <v>5161</v>
      </c>
      <c r="B1108" s="28" t="s">
        <v>31</v>
      </c>
      <c r="C1108" s="23" t="str">
        <f t="shared" si="1"/>
        <v>Jorge Lopez</v>
      </c>
      <c r="D1108" s="28" t="s">
        <v>8819</v>
      </c>
      <c r="E1108" s="28" t="s">
        <v>2778</v>
      </c>
      <c r="F1108" s="23">
        <f t="array" ref="F1108">IFERROR(
    INDEX('Hub Interns 226'!A:A, MATCH("Jorge. Lopez", 'Hub Interns 226'!B:B, 0)),"")</f>
        <v>92</v>
      </c>
      <c r="G1108" s="23">
        <f t="array" ref="G1108">IFERROR(
    INDEX('Hub Users 226'!A:A, MATCH("Jorge. Lopez", 'Hub Users 226'!B:B, 0)),"")</f>
        <v>525</v>
      </c>
      <c r="H1108" s="28">
        <v>1468.0</v>
      </c>
      <c r="I1108" s="28" t="s">
        <v>1235</v>
      </c>
      <c r="J1108" s="28"/>
      <c r="K1108" s="28"/>
      <c r="L1108" s="28" t="s">
        <v>5165</v>
      </c>
      <c r="M1108" s="56" t="s">
        <v>8820</v>
      </c>
      <c r="N1108" s="57">
        <v>44938.65069444444</v>
      </c>
      <c r="O1108" s="58">
        <v>38661.0</v>
      </c>
      <c r="P1108" s="28">
        <f t="shared" si="32"/>
        <v>20</v>
      </c>
      <c r="Q1108" s="28" t="s">
        <v>8821</v>
      </c>
      <c r="R1108" s="28" t="s">
        <v>8822</v>
      </c>
      <c r="S1108" s="28"/>
      <c r="T1108" s="28"/>
      <c r="U1108" s="28"/>
      <c r="V1108" s="28"/>
      <c r="W1108" s="28" t="s">
        <v>859</v>
      </c>
      <c r="X1108" s="28" t="s">
        <v>272</v>
      </c>
      <c r="Y1108" s="28" t="s">
        <v>8823</v>
      </c>
      <c r="Z1108" s="28" t="s">
        <v>5259</v>
      </c>
      <c r="AA1108" s="28" t="s">
        <v>704</v>
      </c>
      <c r="AB1108" s="28">
        <v>2.0</v>
      </c>
      <c r="AC1108" s="28" t="s">
        <v>28</v>
      </c>
      <c r="AD1108" s="23"/>
      <c r="AE1108" s="28" t="s">
        <v>15</v>
      </c>
      <c r="AF1108" s="23"/>
      <c r="AG1108" s="23"/>
      <c r="AH1108" s="23" t="str">
        <f>IFERROR(__xludf.DUMMYFUNCTION("IF(
ISNUMBER(MATCH(
C1108,
IMPORTRANGE(""https://docs.google.com/spreadsheets/d/1yTh1ELC33JHYOeEdgIiEclxPRyh0zOKtlawDltfUay8"",""'Interns'!A:A""),
0
)),
""Outreach Conducted"",
"""")"),"")</f>
        <v/>
      </c>
      <c r="AI1108" s="23"/>
      <c r="AJ1108" s="23"/>
      <c r="AK1108" s="23" t="str">
        <f>IFERROR(__xludf.DUMMYFUNCTION("XLOOKUP(C1108, 
   IMPORTRANGE(""1RdEdgHYrZ33LJ7RUHj_h-qkAFL92bcVjtIdVa-UlsCw"", ""Interns!D:D""), 
   IMPORTRANGE(""1RdEdgHYrZ33LJ7RUHj_h-qkAFL92bcVjtIdVa-UlsCw"", ""Interns!M:M""), 
   ""Not Found"")"),"")</f>
        <v/>
      </c>
      <c r="AL1108" s="23" t="str">
        <f>IFERROR(__xludf.DUMMYFUNCTION("XLOOKUP(C1108, 
   IMPORTRANGE(""1RdEdgHYrZ33LJ7RUHj_h-qkAFL92bcVjtIdVa-UlsCw"", ""Interns!D:D""), 
   IMPORTRANGE(""1RdEdgHYrZ33LJ7RUHj_h-qkAFL92bcVjtIdVa-UlsCw"", ""Interns!N:N""), 
   ""Not Found"")"),"")</f>
        <v/>
      </c>
      <c r="AM1108" s="23" t="str">
        <f>IFERROR(__xludf.DUMMYFUNCTION("XLOOKUP(C1108, 
   IMPORTRANGE(""1RdEdgHYrZ33LJ7RUHj_h-qkAFL92bcVjtIdVa-UlsCw"", ""Interns!D:D""), 
   IMPORTRANGE(""1RdEdgHYrZ33LJ7RUHj_h-qkAFL92bcVjtIdVa-UlsCw"", ""Interns!O:O""), 
   ""Not Found"")"),"")</f>
        <v/>
      </c>
      <c r="AN1108" s="23"/>
      <c r="AO1108" s="23" t="s">
        <v>8824</v>
      </c>
      <c r="AP1108" s="28" t="s">
        <v>5182</v>
      </c>
      <c r="AQ1108" s="28" t="s">
        <v>8825</v>
      </c>
      <c r="AR1108" s="23" t="s">
        <v>8826</v>
      </c>
      <c r="AS1108" s="23"/>
      <c r="AT1108" s="23"/>
      <c r="AU1108" s="23"/>
      <c r="AV1108" s="23"/>
    </row>
    <row r="1109">
      <c r="A1109" s="28" t="s">
        <v>5161</v>
      </c>
      <c r="B1109" s="28" t="s">
        <v>5162</v>
      </c>
      <c r="C1109" s="23" t="str">
        <f t="shared" si="1"/>
        <v>Maria Mercedes Castro</v>
      </c>
      <c r="D1109" s="28" t="s">
        <v>2308</v>
      </c>
      <c r="E1109" s="28" t="s">
        <v>12230</v>
      </c>
      <c r="F1109" s="23" t="str">
        <f t="array" ref="F1109">IFERROR(
    INDEX('Hub Interns 226'!A:A, MATCH(C1109, 'Hub Interns 226'!B:B, 0)),"")</f>
        <v/>
      </c>
      <c r="G1109" s="23">
        <f t="array" ref="G1109">IFERROR(
    INDEX('Hub Users 226'!A:A, MATCH(C1109, 'Hub Users 226'!B:B, 0)),"")</f>
        <v>774</v>
      </c>
      <c r="H1109" s="28">
        <v>1142.0</v>
      </c>
      <c r="I1109" s="28" t="s">
        <v>260</v>
      </c>
      <c r="J1109" s="28" t="s">
        <v>6002</v>
      </c>
      <c r="K1109" s="28" t="s">
        <v>5463</v>
      </c>
      <c r="L1109" s="28" t="s">
        <v>5196</v>
      </c>
      <c r="M1109" s="56" t="s">
        <v>12231</v>
      </c>
      <c r="N1109" s="57">
        <v>44749.53472222222</v>
      </c>
      <c r="O1109" s="58">
        <v>38285.0</v>
      </c>
      <c r="P1109" s="28">
        <f t="shared" si="32"/>
        <v>21</v>
      </c>
      <c r="Q1109" s="28" t="s">
        <v>240</v>
      </c>
      <c r="R1109" s="28" t="s">
        <v>12232</v>
      </c>
      <c r="S1109" s="28">
        <v>8.0</v>
      </c>
      <c r="T1109" s="28">
        <v>25.0</v>
      </c>
      <c r="U1109" s="28">
        <v>56.0</v>
      </c>
      <c r="V1109" s="28">
        <v>41.0</v>
      </c>
      <c r="W1109" s="28" t="s">
        <v>294</v>
      </c>
      <c r="X1109" s="28" t="s">
        <v>272</v>
      </c>
      <c r="Y1109" s="28" t="s">
        <v>12233</v>
      </c>
      <c r="Z1109" s="28" t="s">
        <v>5259</v>
      </c>
      <c r="AA1109" s="28" t="s">
        <v>704</v>
      </c>
      <c r="AB1109" s="28">
        <v>2.0</v>
      </c>
      <c r="AC1109" s="28" t="s">
        <v>23</v>
      </c>
      <c r="AD1109" s="28" t="s">
        <v>101</v>
      </c>
      <c r="AE1109" s="28" t="s">
        <v>15</v>
      </c>
      <c r="AF1109" s="23"/>
      <c r="AG1109" s="23"/>
      <c r="AH1109" s="23" t="str">
        <f>IFERROR(__xludf.DUMMYFUNCTION("IF(
ISNUMBER(MATCH(
C1109,
IMPORTRANGE(""https://docs.google.com/spreadsheets/d/1yTh1ELC33JHYOeEdgIiEclxPRyh0zOKtlawDltfUay8"",""'Interns'!A:A""),
0
)),
""Outreach Conducted"",
"""")"),"")</f>
        <v/>
      </c>
      <c r="AI1109" s="23"/>
      <c r="AJ1109" s="23"/>
      <c r="AK1109" s="23" t="str">
        <f>IFERROR(__xludf.DUMMYFUNCTION("XLOOKUP(C1109, 
   IMPORTRANGE(""1RdEdgHYrZ33LJ7RUHj_h-qkAFL92bcVjtIdVa-UlsCw"", ""Interns!D:D""), 
   IMPORTRANGE(""1RdEdgHYrZ33LJ7RUHj_h-qkAFL92bcVjtIdVa-UlsCw"", ""Interns!M:M""), 
   ""Not Found"")"),"")</f>
        <v/>
      </c>
      <c r="AL1109" s="23" t="str">
        <f>IFERROR(__xludf.DUMMYFUNCTION("XLOOKUP(C1109, 
   IMPORTRANGE(""1RdEdgHYrZ33LJ7RUHj_h-qkAFL92bcVjtIdVa-UlsCw"", ""Interns!D:D""), 
   IMPORTRANGE(""1RdEdgHYrZ33LJ7RUHj_h-qkAFL92bcVjtIdVa-UlsCw"", ""Interns!N:N""), 
   ""Not Found"")"),"")</f>
        <v/>
      </c>
      <c r="AM1109" s="23" t="str">
        <f>IFERROR(__xludf.DUMMYFUNCTION("XLOOKUP(C1109, 
   IMPORTRANGE(""1RdEdgHYrZ33LJ7RUHj_h-qkAFL92bcVjtIdVa-UlsCw"", ""Interns!D:D""), 
   IMPORTRANGE(""1RdEdgHYrZ33LJ7RUHj_h-qkAFL92bcVjtIdVa-UlsCw"", ""Interns!O:O""), 
   ""Not Found"")"),"")</f>
        <v/>
      </c>
      <c r="AN1109" s="23"/>
      <c r="AO1109" s="23" t="s">
        <v>12234</v>
      </c>
      <c r="AP1109" s="28" t="s">
        <v>5182</v>
      </c>
      <c r="AQ1109" s="28"/>
      <c r="AR1109" s="23"/>
      <c r="AS1109" s="23"/>
      <c r="AT1109" s="23"/>
      <c r="AU1109" s="23"/>
      <c r="AV1109" s="23"/>
    </row>
    <row r="1110">
      <c r="A1110" s="28" t="s">
        <v>5161</v>
      </c>
      <c r="B1110" s="28" t="s">
        <v>5162</v>
      </c>
      <c r="C1110" s="23" t="str">
        <f t="shared" si="1"/>
        <v>Miyeli Quispe</v>
      </c>
      <c r="D1110" s="22" t="s">
        <v>12235</v>
      </c>
      <c r="E1110" s="22" t="s">
        <v>12236</v>
      </c>
      <c r="F1110" s="23"/>
      <c r="G1110" s="23"/>
      <c r="H1110" s="22">
        <v>1936.0</v>
      </c>
      <c r="I1110" s="28"/>
      <c r="J1110" s="28" t="s">
        <v>12199</v>
      </c>
      <c r="K1110" s="28" t="s">
        <v>5463</v>
      </c>
      <c r="L1110" s="28" t="s">
        <v>5165</v>
      </c>
      <c r="M1110" s="29" t="s">
        <v>12237</v>
      </c>
      <c r="N1110" s="22" t="s">
        <v>240</v>
      </c>
      <c r="O1110" s="25">
        <v>39541.0</v>
      </c>
      <c r="P1110" s="28">
        <f t="shared" si="32"/>
        <v>18</v>
      </c>
      <c r="Q1110" s="62" t="s">
        <v>12238</v>
      </c>
      <c r="R1110" s="22" t="s">
        <v>12239</v>
      </c>
      <c r="S1110" s="28"/>
      <c r="T1110" s="28"/>
      <c r="U1110" s="28"/>
      <c r="V1110" s="28"/>
      <c r="W1110" s="23"/>
      <c r="X1110" s="28" t="s">
        <v>272</v>
      </c>
      <c r="Y1110" s="22" t="s">
        <v>12240</v>
      </c>
      <c r="Z1110" s="22" t="s">
        <v>5365</v>
      </c>
      <c r="AA1110" s="28" t="s">
        <v>5366</v>
      </c>
      <c r="AB1110" s="28">
        <v>26.0</v>
      </c>
      <c r="AC1110" s="28" t="s">
        <v>23</v>
      </c>
      <c r="AD1110" s="23"/>
      <c r="AE1110" s="28" t="s">
        <v>19</v>
      </c>
      <c r="AF1110" s="23"/>
      <c r="AG1110" s="23"/>
      <c r="AH1110" s="23" t="str">
        <f>IFERROR(__xludf.DUMMYFUNCTION("IF(
ISNUMBER(MATCH(
C1110,
IMPORTRANGE(""https://docs.google.com/spreadsheets/d/1yTh1ELC33JHYOeEdgIiEclxPRyh0zOKtlawDltfUay8"",""'Interns'!A:A""),
0
)),
""Outreach Conducted"",
"""")"),"")</f>
        <v/>
      </c>
      <c r="AI1110" s="23"/>
      <c r="AJ1110" s="23"/>
      <c r="AK1110" s="23"/>
      <c r="AL1110" s="23" t="str">
        <f>IFERROR(__xludf.DUMMYFUNCTION("XLOOKUP(C1110, 
   IMPORTRANGE(""1RdEdgHYrZ33LJ7RUHj_h-qkAFL92bcVjtIdVa-UlsCw"", ""Interns!D:D""), 
   IMPORTRANGE(""1RdEdgHYrZ33LJ7RUHj_h-qkAFL92bcVjtIdVa-UlsCw"", ""Interns!N:N""), 
   ""Not Found"")"),"#Cheers4Careers")</f>
        <v>#Cheers4Careers</v>
      </c>
      <c r="AM1110" s="23" t="str">
        <f>IFERROR(__xludf.DUMMYFUNCTION("XLOOKUP(C1110, 
   IMPORTRANGE(""1RdEdgHYrZ33LJ7RUHj_h-qkAFL92bcVjtIdVa-UlsCw"", ""Interns!D:D""), 
   IMPORTRANGE(""1RdEdgHYrZ33LJ7RUHj_h-qkAFL92bcVjtIdVa-UlsCw"", ""Interns!O:O""), 
   ""Not Found"")"),"Hetal reached out March 27 for March #Cheers4 Careers ")</f>
        <v>Hetal reached out March 27 for March #Cheers4 Careers </v>
      </c>
      <c r="AN1110" s="23"/>
      <c r="AO1110" s="23" t="s">
        <v>1731</v>
      </c>
      <c r="AP1110" s="28" t="s">
        <v>5182</v>
      </c>
      <c r="AQ1110" s="28" t="s">
        <v>12237</v>
      </c>
      <c r="AR1110" s="23" t="s">
        <v>12241</v>
      </c>
      <c r="AS1110" s="23"/>
      <c r="AT1110" s="23"/>
      <c r="AU1110" s="23"/>
      <c r="AV1110" s="23"/>
    </row>
    <row r="1111">
      <c r="A1111" s="28" t="s">
        <v>5161</v>
      </c>
      <c r="B1111" s="28" t="s">
        <v>5162</v>
      </c>
      <c r="C1111" s="23" t="str">
        <f t="shared" si="1"/>
        <v>Damyra Ochoa</v>
      </c>
      <c r="D1111" s="28" t="s">
        <v>12242</v>
      </c>
      <c r="E1111" s="28" t="s">
        <v>12243</v>
      </c>
      <c r="F1111" s="23">
        <f t="array" ref="F1111">IFERROR(
    INDEX('Hub Interns 226'!A:A, MATCH(C1111, 'Hub Interns 226'!B:B, 0)),"")</f>
        <v>1497</v>
      </c>
      <c r="G1111" s="23">
        <f t="array" ref="G1111">IFERROR(
    INDEX('Hub Users 226'!A:A, MATCH(C1111, 'Hub Users 226'!B:B, 0)),"")</f>
        <v>2082</v>
      </c>
      <c r="H1111" s="28">
        <v>1829.0</v>
      </c>
      <c r="I1111" s="28"/>
      <c r="J1111" s="28" t="s">
        <v>12199</v>
      </c>
      <c r="K1111" s="28" t="s">
        <v>5463</v>
      </c>
      <c r="L1111" s="28" t="s">
        <v>5196</v>
      </c>
      <c r="M1111" s="56" t="s">
        <v>12244</v>
      </c>
      <c r="N1111" s="57">
        <v>45446.44861111111</v>
      </c>
      <c r="O1111" s="58">
        <v>40248.0</v>
      </c>
      <c r="P1111" s="28">
        <f t="shared" si="32"/>
        <v>16</v>
      </c>
      <c r="Q1111" s="28" t="s">
        <v>240</v>
      </c>
      <c r="R1111" s="28" t="s">
        <v>12245</v>
      </c>
      <c r="S1111" s="28">
        <v>7.0</v>
      </c>
      <c r="T1111" s="28">
        <v>12.0</v>
      </c>
      <c r="U1111" s="28">
        <v>37.0</v>
      </c>
      <c r="V1111" s="28">
        <v>26.0</v>
      </c>
      <c r="W1111" s="28" t="s">
        <v>1173</v>
      </c>
      <c r="X1111" s="28" t="s">
        <v>272</v>
      </c>
      <c r="Y1111" s="28" t="s">
        <v>12246</v>
      </c>
      <c r="Z1111" s="23"/>
      <c r="AA1111" s="28" t="s">
        <v>5287</v>
      </c>
      <c r="AB1111" s="28">
        <v>26.0</v>
      </c>
      <c r="AC1111" s="28" t="s">
        <v>27</v>
      </c>
      <c r="AD1111" s="23"/>
      <c r="AE1111" s="28" t="s">
        <v>18</v>
      </c>
      <c r="AF1111" s="23"/>
      <c r="AG1111" s="26" t="s">
        <v>5316</v>
      </c>
      <c r="AH1111" s="23" t="str">
        <f>IFERROR(__xludf.DUMMYFUNCTION("IF(
ISNUMBER(MATCH(
C1111,
IMPORTRANGE(""https://docs.google.com/spreadsheets/d/1yTh1ELC33JHYOeEdgIiEclxPRyh0zOKtlawDltfUay8"",""'Interns'!A:A""),
0
)),
""Outreach Conducted"",
"""")"),"")</f>
        <v/>
      </c>
      <c r="AI1111" s="23"/>
      <c r="AJ1111" s="23"/>
      <c r="AK1111" s="23" t="str">
        <f>IFERROR(__xludf.DUMMYFUNCTION("XLOOKUP(C1111, 
   IMPORTRANGE(""1RdEdgHYrZ33LJ7RUHj_h-qkAFL92bcVjtIdVa-UlsCw"", ""Interns!D:D""), 
   IMPORTRANGE(""1RdEdgHYrZ33LJ7RUHj_h-qkAFL92bcVjtIdVa-UlsCw"", ""Interns!M:M""), 
   ""Not Found"")"),"Contacted")</f>
        <v>Contacted</v>
      </c>
      <c r="AL1111" s="23" t="str">
        <f>IFERROR(__xludf.DUMMYFUNCTION("XLOOKUP(C1111, 
   IMPORTRANGE(""1RdEdgHYrZ33LJ7RUHj_h-qkAFL92bcVjtIdVa-UlsCw"", ""Interns!D:D""), 
   IMPORTRANGE(""1RdEdgHYrZ33LJ7RUHj_h-qkAFL92bcVjtIdVa-UlsCw"", ""Interns!N:N""), 
   ""Not Found"")"),"#Cheers4Careers")</f>
        <v>#Cheers4Careers</v>
      </c>
      <c r="AM1111" s="23" t="str">
        <f>IFERROR(__xludf.DUMMYFUNCTION("XLOOKUP(C1111, 
   IMPORTRANGE(""1RdEdgHYrZ33LJ7RUHj_h-qkAFL92bcVjtIdVa-UlsCw"", ""Interns!D:D""), 
   IMPORTRANGE(""1RdEdgHYrZ33LJ7RUHj_h-qkAFL92bcVjtIdVa-UlsCw"", ""Interns!O:O""), 
   ""Not Found"")"),"Hetal reached out by email 3/27")</f>
        <v>Hetal reached out by email 3/27</v>
      </c>
      <c r="AN1111" s="23"/>
      <c r="AO1111" s="23" t="s">
        <v>12247</v>
      </c>
      <c r="AP1111" s="28" t="s">
        <v>5191</v>
      </c>
      <c r="AQ1111" s="28"/>
      <c r="AR1111" s="23"/>
      <c r="AS1111" s="23"/>
      <c r="AT1111" s="23"/>
      <c r="AU1111" s="23"/>
      <c r="AV1111" s="23"/>
    </row>
    <row r="1112">
      <c r="A1112" s="28" t="s">
        <v>5161</v>
      </c>
      <c r="B1112" s="28" t="s">
        <v>5162</v>
      </c>
      <c r="C1112" s="23" t="str">
        <f t="shared" si="1"/>
        <v>Yanell Pacheco</v>
      </c>
      <c r="D1112" s="28" t="s">
        <v>12248</v>
      </c>
      <c r="E1112" s="28" t="s">
        <v>9911</v>
      </c>
      <c r="F1112" s="23">
        <f t="array" ref="F1112">IFERROR(
    INDEX('Hub Interns 226'!A:A, MATCH(C1112, 'Hub Interns 226'!B:B, 0)),"")</f>
        <v>1215</v>
      </c>
      <c r="G1112" s="23">
        <f t="array" ref="G1112">IFERROR(
    INDEX('Hub Users 226'!A:A, MATCH(C1112, 'Hub Users 226'!B:B, 0)),"")</f>
        <v>1648</v>
      </c>
      <c r="H1112" s="28">
        <v>1390.0</v>
      </c>
      <c r="I1112" s="28" t="s">
        <v>239</v>
      </c>
      <c r="J1112" s="28" t="s">
        <v>12199</v>
      </c>
      <c r="K1112" s="28" t="s">
        <v>5463</v>
      </c>
      <c r="L1112" s="28" t="s">
        <v>5196</v>
      </c>
      <c r="M1112" s="56" t="s">
        <v>12249</v>
      </c>
      <c r="N1112" s="59">
        <v>44862.52916666667</v>
      </c>
      <c r="O1112" s="58">
        <v>40344.0</v>
      </c>
      <c r="P1112" s="28">
        <f t="shared" si="32"/>
        <v>15</v>
      </c>
      <c r="Q1112" s="28" t="s">
        <v>12250</v>
      </c>
      <c r="R1112" s="28" t="s">
        <v>12251</v>
      </c>
      <c r="S1112" s="28">
        <v>7.0</v>
      </c>
      <c r="T1112" s="28">
        <v>12.0</v>
      </c>
      <c r="U1112" s="28">
        <v>37.0</v>
      </c>
      <c r="V1112" s="28">
        <v>26.0</v>
      </c>
      <c r="W1112" s="28" t="s">
        <v>1173</v>
      </c>
      <c r="X1112" s="28" t="s">
        <v>272</v>
      </c>
      <c r="Y1112" s="28" t="s">
        <v>5351</v>
      </c>
      <c r="Z1112" s="28" t="s">
        <v>5352</v>
      </c>
      <c r="AA1112" s="28" t="s">
        <v>5287</v>
      </c>
      <c r="AB1112" s="28">
        <v>26.0</v>
      </c>
      <c r="AC1112" s="28" t="s">
        <v>23</v>
      </c>
      <c r="AD1112" s="23"/>
      <c r="AE1112" s="28" t="s">
        <v>15</v>
      </c>
      <c r="AF1112" s="23"/>
      <c r="AG1112" s="23"/>
      <c r="AH1112" s="23" t="str">
        <f>IFERROR(__xludf.DUMMYFUNCTION("IF(
ISNUMBER(MATCH(
C1112,
IMPORTRANGE(""https://docs.google.com/spreadsheets/d/1yTh1ELC33JHYOeEdgIiEclxPRyh0zOKtlawDltfUay8"",""'Interns'!A:A""),
0
)),
""Outreach Conducted"",
"""")"),"")</f>
        <v/>
      </c>
      <c r="AI1112" s="23"/>
      <c r="AJ1112" s="23"/>
      <c r="AK1112" s="23" t="str">
        <f>IFERROR(__xludf.DUMMYFUNCTION("XLOOKUP(C1112, 
   IMPORTRANGE(""1RdEdgHYrZ33LJ7RUHj_h-qkAFL92bcVjtIdVa-UlsCw"", ""Interns!D:D""), 
   IMPORTRANGE(""1RdEdgHYrZ33LJ7RUHj_h-qkAFL92bcVjtIdVa-UlsCw"", ""Interns!M:M""), 
   ""Not Found"")"),"Contacted")</f>
        <v>Contacted</v>
      </c>
      <c r="AL1112" s="23" t="str">
        <f>IFERROR(__xludf.DUMMYFUNCTION("XLOOKUP(C1112, 
   IMPORTRANGE(""1RdEdgHYrZ33LJ7RUHj_h-qkAFL92bcVjtIdVa-UlsCw"", ""Interns!D:D""), 
   IMPORTRANGE(""1RdEdgHYrZ33LJ7RUHj_h-qkAFL92bcVjtIdVa-UlsCw"", ""Interns!N:N""), 
   ""Not Found"")"),"#Cheers4Careers")</f>
        <v>#Cheers4Careers</v>
      </c>
      <c r="AM1112" s="23" t="str">
        <f>IFERROR(__xludf.DUMMYFUNCTION("XLOOKUP(C1112, 
   IMPORTRANGE(""1RdEdgHYrZ33LJ7RUHj_h-qkAFL92bcVjtIdVa-UlsCw"", ""Interns!D:D""), 
   IMPORTRANGE(""1RdEdgHYrZ33LJ7RUHj_h-qkAFL92bcVjtIdVa-UlsCw"", ""Interns!O:O""), 
   ""Not Found"")"),"Hetal reached out by email 3/27")</f>
        <v>Hetal reached out by email 3/27</v>
      </c>
      <c r="AN1112" s="23"/>
      <c r="AO1112" s="23" t="s">
        <v>12252</v>
      </c>
      <c r="AP1112" s="28" t="s">
        <v>5182</v>
      </c>
      <c r="AQ1112" s="28"/>
      <c r="AR1112" s="23"/>
      <c r="AS1112" s="23"/>
      <c r="AT1112" s="23"/>
      <c r="AU1112" s="23"/>
      <c r="AV1112" s="23"/>
    </row>
    <row r="1113">
      <c r="A1113" s="28" t="s">
        <v>5161</v>
      </c>
      <c r="B1113" s="28" t="s">
        <v>31</v>
      </c>
      <c r="C1113" s="23" t="str">
        <f t="shared" si="1"/>
        <v>Julia Aliessa</v>
      </c>
      <c r="D1113" s="28" t="s">
        <v>1864</v>
      </c>
      <c r="E1113" s="28" t="s">
        <v>12253</v>
      </c>
      <c r="F1113" s="23">
        <f t="array" ref="F1113">IFERROR(
    INDEX('Hub Interns 226'!A:A, MATCH(C1113, 'Hub Interns 226'!B:B, 0)),"")</f>
        <v>94</v>
      </c>
      <c r="G1113" s="23">
        <f t="array" ref="G1113">IFERROR(
    INDEX('Hub Users 226'!A:A, MATCH(C1113, 'Hub Users 226'!B:B, 0)),"")</f>
        <v>527</v>
      </c>
      <c r="H1113" s="28">
        <v>1482.0</v>
      </c>
      <c r="I1113" s="28" t="s">
        <v>260</v>
      </c>
      <c r="J1113" s="28"/>
      <c r="K1113" s="28"/>
      <c r="L1113" s="28" t="s">
        <v>5196</v>
      </c>
      <c r="M1113" s="56" t="s">
        <v>12254</v>
      </c>
      <c r="N1113" s="57">
        <v>44939.61944444444</v>
      </c>
      <c r="O1113" s="58">
        <v>38927.0</v>
      </c>
      <c r="P1113" s="28">
        <f t="shared" si="32"/>
        <v>19</v>
      </c>
      <c r="Q1113" s="28" t="s">
        <v>12255</v>
      </c>
      <c r="R1113" s="28" t="s">
        <v>12256</v>
      </c>
      <c r="S1113" s="28"/>
      <c r="T1113" s="28"/>
      <c r="U1113" s="28"/>
      <c r="V1113" s="28"/>
      <c r="W1113" s="28" t="s">
        <v>271</v>
      </c>
      <c r="X1113" s="28" t="s">
        <v>272</v>
      </c>
      <c r="Y1113" s="28" t="s">
        <v>12257</v>
      </c>
      <c r="Z1113" s="28" t="s">
        <v>5259</v>
      </c>
      <c r="AA1113" s="28" t="s">
        <v>704</v>
      </c>
      <c r="AB1113" s="28">
        <v>2.0</v>
      </c>
      <c r="AC1113" s="28" t="s">
        <v>28</v>
      </c>
      <c r="AD1113" s="23"/>
      <c r="AE1113" s="28" t="s">
        <v>15</v>
      </c>
      <c r="AF1113" s="23"/>
      <c r="AG1113" s="23"/>
      <c r="AH1113" s="23" t="str">
        <f>IFERROR(__xludf.DUMMYFUNCTION("IF(
ISNUMBER(MATCH(
C1113,
IMPORTRANGE(""https://docs.google.com/spreadsheets/d/1yTh1ELC33JHYOeEdgIiEclxPRyh0zOKtlawDltfUay8"",""'Interns'!A:A""),
0
)),
""Outreach Conducted"",
"""")"),"")</f>
        <v/>
      </c>
      <c r="AI1113" s="23"/>
      <c r="AJ1113" s="28" t="s">
        <v>12258</v>
      </c>
      <c r="AK1113" s="23" t="str">
        <f>IFERROR(__xludf.DUMMYFUNCTION("XLOOKUP(C1113, 
   IMPORTRANGE(""1RdEdgHYrZ33LJ7RUHj_h-qkAFL92bcVjtIdVa-UlsCw"", ""Interns!D:D""), 
   IMPORTRANGE(""1RdEdgHYrZ33LJ7RUHj_h-qkAFL92bcVjtIdVa-UlsCw"", ""Interns!M:M""), 
   ""Not Found"")"),"")</f>
        <v/>
      </c>
      <c r="AL1113" s="23" t="str">
        <f>IFERROR(__xludf.DUMMYFUNCTION("XLOOKUP(C1113, 
   IMPORTRANGE(""1RdEdgHYrZ33LJ7RUHj_h-qkAFL92bcVjtIdVa-UlsCw"", ""Interns!D:D""), 
   IMPORTRANGE(""1RdEdgHYrZ33LJ7RUHj_h-qkAFL92bcVjtIdVa-UlsCw"", ""Interns!N:N""), 
   ""Not Found"")"),"")</f>
        <v/>
      </c>
      <c r="AM1113" s="23" t="str">
        <f>IFERROR(__xludf.DUMMYFUNCTION("XLOOKUP(C1113, 
   IMPORTRANGE(""1RdEdgHYrZ33LJ7RUHj_h-qkAFL92bcVjtIdVa-UlsCw"", ""Interns!D:D""), 
   IMPORTRANGE(""1RdEdgHYrZ33LJ7RUHj_h-qkAFL92bcVjtIdVa-UlsCw"", ""Interns!O:O""), 
   ""Not Found"")"),"")</f>
        <v/>
      </c>
      <c r="AN1113" s="23"/>
      <c r="AO1113" s="23" t="s">
        <v>12259</v>
      </c>
      <c r="AP1113" s="28" t="s">
        <v>5908</v>
      </c>
      <c r="AQ1113" s="28" t="s">
        <v>12260</v>
      </c>
      <c r="AR1113" s="23" t="s">
        <v>12261</v>
      </c>
      <c r="AS1113" s="23"/>
      <c r="AT1113" s="23"/>
      <c r="AU1113" s="23"/>
      <c r="AV1113" s="23"/>
    </row>
    <row r="1114">
      <c r="A1114" s="28" t="s">
        <v>5161</v>
      </c>
      <c r="B1114" s="28" t="s">
        <v>5162</v>
      </c>
      <c r="C1114" s="23" t="str">
        <f t="shared" si="1"/>
        <v>Angelique Arango</v>
      </c>
      <c r="D1114" s="22" t="s">
        <v>12262</v>
      </c>
      <c r="E1114" s="22" t="s">
        <v>12263</v>
      </c>
      <c r="F1114" s="23"/>
      <c r="G1114" s="23"/>
      <c r="H1114" s="22">
        <v>2022.0</v>
      </c>
      <c r="I1114" s="28"/>
      <c r="J1114" s="28" t="s">
        <v>12199</v>
      </c>
      <c r="K1114" s="28" t="s">
        <v>5463</v>
      </c>
      <c r="L1114" s="28" t="s">
        <v>5196</v>
      </c>
      <c r="M1114" s="29" t="s">
        <v>12264</v>
      </c>
      <c r="N1114" s="63">
        <v>45589.663194444445</v>
      </c>
      <c r="O1114" s="25">
        <v>45589.0</v>
      </c>
      <c r="P1114" s="28">
        <f t="shared" si="32"/>
        <v>1</v>
      </c>
      <c r="Q1114" s="62" t="s">
        <v>240</v>
      </c>
      <c r="R1114" s="22" t="s">
        <v>12265</v>
      </c>
      <c r="S1114" s="28">
        <v>6.0</v>
      </c>
      <c r="T1114" s="28">
        <v>12.0</v>
      </c>
      <c r="U1114" s="28">
        <v>30.0</v>
      </c>
      <c r="V1114" s="28">
        <v>30.0</v>
      </c>
      <c r="W1114" s="28" t="s">
        <v>1173</v>
      </c>
      <c r="X1114" s="28" t="s">
        <v>272</v>
      </c>
      <c r="Y1114" s="22" t="s">
        <v>12266</v>
      </c>
      <c r="Z1114" s="22" t="s">
        <v>12267</v>
      </c>
      <c r="AA1114" s="28" t="s">
        <v>5512</v>
      </c>
      <c r="AB1114" s="28">
        <v>30.0</v>
      </c>
      <c r="AC1114" s="28" t="s">
        <v>23</v>
      </c>
      <c r="AD1114" s="23"/>
      <c r="AE1114" s="28" t="s">
        <v>19</v>
      </c>
      <c r="AF1114" s="23"/>
      <c r="AG1114" s="23"/>
      <c r="AH1114" s="23" t="str">
        <f>IFERROR(__xludf.DUMMYFUNCTION("IF(
ISNUMBER(MATCH(
C1114,
IMPORTRANGE(""https://docs.google.com/spreadsheets/d/1yTh1ELC33JHYOeEdgIiEclxPRyh0zOKtlawDltfUay8"",""'Interns'!A:A""),
0
)),
""Outreach Conducted"",
"""")"),"")</f>
        <v/>
      </c>
      <c r="AI1114" s="23"/>
      <c r="AJ1114" s="23"/>
      <c r="AK1114" s="23" t="str">
        <f>IFERROR(__xludf.DUMMYFUNCTION("XLOOKUP(C1114, 
   IMPORTRANGE(""1RdEdgHYrZ33LJ7RUHj_h-qkAFL92bcVjtIdVa-UlsCw"", ""Interns!D:D""), 
   IMPORTRANGE(""1RdEdgHYrZ33LJ7RUHj_h-qkAFL92bcVjtIdVa-UlsCw"", ""Interns!M:M""), 
   ""Not Found"")"),"Not Found")</f>
        <v>Not Found</v>
      </c>
      <c r="AL1114" s="23" t="str">
        <f>IFERROR(__xludf.DUMMYFUNCTION("XLOOKUP(C1114, 
   IMPORTRANGE(""1RdEdgHYrZ33LJ7RUHj_h-qkAFL92bcVjtIdVa-UlsCw"", ""Interns!D:D""), 
   IMPORTRANGE(""1RdEdgHYrZ33LJ7RUHj_h-qkAFL92bcVjtIdVa-UlsCw"", ""Interns!N:N""), 
   ""Not Found"")"),"Not Found")</f>
        <v>Not Found</v>
      </c>
      <c r="AM1114" s="23" t="str">
        <f>IFERROR(__xludf.DUMMYFUNCTION("XLOOKUP(C1114, 
   IMPORTRANGE(""1RdEdgHYrZ33LJ7RUHj_h-qkAFL92bcVjtIdVa-UlsCw"", ""Interns!D:D""), 
   IMPORTRANGE(""1RdEdgHYrZ33LJ7RUHj_h-qkAFL92bcVjtIdVa-UlsCw"", ""Interns!O:O""), 
   ""Not Found"")"),"Not Found")</f>
        <v>Not Found</v>
      </c>
      <c r="AN1114" s="23"/>
      <c r="AO1114" s="23"/>
      <c r="AP1114" s="28"/>
      <c r="AQ1114" s="28"/>
      <c r="AR1114" s="23"/>
      <c r="AS1114" s="23"/>
      <c r="AT1114" s="23"/>
      <c r="AU1114" s="23"/>
      <c r="AV1114" s="23"/>
    </row>
    <row r="1115">
      <c r="A1115" s="28" t="s">
        <v>5161</v>
      </c>
      <c r="B1115" s="28" t="s">
        <v>5162</v>
      </c>
      <c r="C1115" s="23" t="str">
        <f t="shared" si="1"/>
        <v>Mathias Flores</v>
      </c>
      <c r="D1115" s="28" t="s">
        <v>8859</v>
      </c>
      <c r="E1115" s="28" t="s">
        <v>3101</v>
      </c>
      <c r="F1115" s="23" t="str">
        <f t="array" ref="F1115">IFERROR(
    INDEX('Hub Interns 226'!A:A, MATCH(C1115, 'Hub Interns 226'!B:B, 0)),"")</f>
        <v/>
      </c>
      <c r="G1115" s="23">
        <f t="array" ref="G1115">IFERROR(
    INDEX('Hub Users 226'!A:A, MATCH(C1115, 'Hub Users 226'!B:B, 0)),"")</f>
        <v>1884</v>
      </c>
      <c r="H1115" s="28">
        <v>1765.0</v>
      </c>
      <c r="I1115" s="28" t="s">
        <v>239</v>
      </c>
      <c r="J1115" s="28" t="s">
        <v>12199</v>
      </c>
      <c r="K1115" s="28" t="s">
        <v>5463</v>
      </c>
      <c r="L1115" s="28" t="s">
        <v>5165</v>
      </c>
      <c r="M1115" s="56" t="s">
        <v>12268</v>
      </c>
      <c r="N1115" s="57">
        <v>45299.97222222222</v>
      </c>
      <c r="O1115" s="58">
        <v>39073.0</v>
      </c>
      <c r="P1115" s="28">
        <f t="shared" si="32"/>
        <v>19</v>
      </c>
      <c r="Q1115" s="28" t="s">
        <v>12269</v>
      </c>
      <c r="R1115" s="28" t="s">
        <v>12270</v>
      </c>
      <c r="S1115" s="28">
        <v>12.0</v>
      </c>
      <c r="T1115" s="28">
        <v>28.0</v>
      </c>
      <c r="U1115" s="28">
        <v>75.0</v>
      </c>
      <c r="V1115" s="28">
        <v>3.0</v>
      </c>
      <c r="W1115" s="28" t="s">
        <v>271</v>
      </c>
      <c r="X1115" s="28" t="s">
        <v>272</v>
      </c>
      <c r="Y1115" s="28" t="s">
        <v>12271</v>
      </c>
      <c r="Z1115" s="28" t="s">
        <v>5259</v>
      </c>
      <c r="AA1115" s="28" t="s">
        <v>704</v>
      </c>
      <c r="AB1115" s="28">
        <v>2.0</v>
      </c>
      <c r="AC1115" s="28" t="s">
        <v>25</v>
      </c>
      <c r="AD1115" s="23"/>
      <c r="AE1115" s="28" t="s">
        <v>18</v>
      </c>
      <c r="AF1115" s="23" t="str">
        <f>IFERROR(__xludf.DUMMYFUNCTION("TEXTJOIN("", "", TRUE,
  FILTER(Champions!C:C,
    ISNUMBER(SEARCH(C1115, Champions!W:W))
  )
)"),"Priyanka Prasad, Ranjini Sankaranarayanan")</f>
        <v>Priyanka Prasad, Ranjini Sankaranarayanan</v>
      </c>
      <c r="AG1115" s="23"/>
      <c r="AH1115" s="23" t="str">
        <f>IFERROR(__xludf.DUMMYFUNCTION("IF(
ISNUMBER(MATCH(
C1115,
IMPORTRANGE(""https://docs.google.com/spreadsheets/d/1yTh1ELC33JHYOeEdgIiEclxPRyh0zOKtlawDltfUay8"",""'Interns'!A:A""),
0
)),
""Outreach Conducted"",
"""")"),"")</f>
        <v/>
      </c>
      <c r="AI1115" s="23"/>
      <c r="AJ1115" s="23"/>
      <c r="AK1115" s="23" t="str">
        <f>IFERROR(__xludf.DUMMYFUNCTION("XLOOKUP(C1115, 
   IMPORTRANGE(""1RdEdgHYrZ33LJ7RUHj_h-qkAFL92bcVjtIdVa-UlsCw"", ""Interns!D:D""), 
   IMPORTRANGE(""1RdEdgHYrZ33LJ7RUHj_h-qkAFL92bcVjtIdVa-UlsCw"", ""Interns!M:M""), 
   ""Not Found"")"),"Contacted")</f>
        <v>Contacted</v>
      </c>
      <c r="AL1115" s="23" t="str">
        <f>IFERROR(__xludf.DUMMYFUNCTION("XLOOKUP(C1115, 
   IMPORTRANGE(""1RdEdgHYrZ33LJ7RUHj_h-qkAFL92bcVjtIdVa-UlsCw"", ""Interns!D:D""), 
   IMPORTRANGE(""1RdEdgHYrZ33LJ7RUHj_h-qkAFL92bcVjtIdVa-UlsCw"", ""Interns!N:N""), 
   ""Not Found"")"),"#Cheers4Careers")</f>
        <v>#Cheers4Careers</v>
      </c>
      <c r="AM1115" s="23" t="str">
        <f>IFERROR(__xludf.DUMMYFUNCTION("XLOOKUP(C1115, 
   IMPORTRANGE(""1RdEdgHYrZ33LJ7RUHj_h-qkAFL92bcVjtIdVa-UlsCw"", ""Interns!D:D""), 
   IMPORTRANGE(""1RdEdgHYrZ33LJ7RUHj_h-qkAFL92bcVjtIdVa-UlsCw"", ""Interns!O:O""), 
   ""Not Found"")"),"Ousmane reached out by email 3/26 and reach out by text 3/28")</f>
        <v>Ousmane reached out by email 3/26 and reach out by text 3/28</v>
      </c>
      <c r="AN1115" s="23"/>
      <c r="AO1115" s="23" t="s">
        <v>1788</v>
      </c>
      <c r="AP1115" s="28" t="s">
        <v>5191</v>
      </c>
      <c r="AQ1115" s="28" t="s">
        <v>12272</v>
      </c>
      <c r="AR1115" s="23" t="s">
        <v>12273</v>
      </c>
      <c r="AS1115" s="23"/>
      <c r="AT1115" s="23"/>
      <c r="AU1115" s="23"/>
      <c r="AV1115" s="23"/>
    </row>
    <row r="1116">
      <c r="A1116" s="28" t="s">
        <v>5161</v>
      </c>
      <c r="B1116" s="28" t="s">
        <v>5162</v>
      </c>
      <c r="C1116" s="23" t="str">
        <f t="shared" si="1"/>
        <v>Cleidy Ramirez</v>
      </c>
      <c r="D1116" s="28" t="s">
        <v>12274</v>
      </c>
      <c r="E1116" s="28" t="s">
        <v>2127</v>
      </c>
      <c r="F1116" s="23">
        <f t="array" ref="F1116">IFERROR(
    INDEX('Hub Interns 226'!A:A, MATCH(C1116, 'Hub Interns 226'!B:B, 0)),"")</f>
        <v>382</v>
      </c>
      <c r="G1116" s="23">
        <f t="array" ref="G1116">IFERROR(
    INDEX('Hub Users 226'!A:A, MATCH(C1116, 'Hub Users 226'!B:B, 0)),"")</f>
        <v>815</v>
      </c>
      <c r="H1116" s="28">
        <v>602.0</v>
      </c>
      <c r="I1116" s="28" t="s">
        <v>407</v>
      </c>
      <c r="J1116" s="28" t="s">
        <v>12199</v>
      </c>
      <c r="K1116" s="28" t="s">
        <v>5463</v>
      </c>
      <c r="L1116" s="28" t="s">
        <v>5196</v>
      </c>
      <c r="M1116" s="56" t="s">
        <v>12275</v>
      </c>
      <c r="N1116" s="59">
        <v>44490.64444444444</v>
      </c>
      <c r="O1116" s="58">
        <v>38632.0</v>
      </c>
      <c r="P1116" s="28">
        <f t="shared" si="32"/>
        <v>20</v>
      </c>
      <c r="Q1116" s="28" t="s">
        <v>240</v>
      </c>
      <c r="R1116" s="28" t="s">
        <v>12276</v>
      </c>
      <c r="S1116" s="28">
        <v>14.0</v>
      </c>
      <c r="T1116" s="28">
        <v>13.0</v>
      </c>
      <c r="U1116" s="28">
        <v>35.0</v>
      </c>
      <c r="V1116" s="28">
        <v>21.0</v>
      </c>
      <c r="W1116" s="28" t="s">
        <v>1173</v>
      </c>
      <c r="X1116" s="28" t="s">
        <v>272</v>
      </c>
      <c r="Y1116" s="28" t="s">
        <v>12277</v>
      </c>
      <c r="Z1116" s="28" t="s">
        <v>5189</v>
      </c>
      <c r="AA1116" s="28" t="s">
        <v>619</v>
      </c>
      <c r="AB1116" s="28">
        <v>20.0</v>
      </c>
      <c r="AC1116" s="28" t="s">
        <v>25</v>
      </c>
      <c r="AD1116" s="23"/>
      <c r="AE1116" s="28" t="s">
        <v>10</v>
      </c>
      <c r="AF1116" s="23" t="str">
        <f>IFERROR(__xludf.DUMMYFUNCTION("TEXTJOIN("", "", TRUE,
  FILTER(Champions!C:C,
    ISNUMBER(SEARCH(C1116, Champions!W:W))
  )
)"),"Jayne Gonzalez, Sunkyung Park")</f>
        <v>Jayne Gonzalez, Sunkyung Park</v>
      </c>
      <c r="AG1116" s="23"/>
      <c r="AH1116" s="23" t="str">
        <f>IFERROR(__xludf.DUMMYFUNCTION("IF(
ISNUMBER(MATCH(
C1116,
IMPORTRANGE(""https://docs.google.com/spreadsheets/d/1yTh1ELC33JHYOeEdgIiEclxPRyh0zOKtlawDltfUay8"",""'Interns'!A:A""),
0
)),
""Outreach Conducted"",
"""")"),"")</f>
        <v/>
      </c>
      <c r="AI1116" s="23"/>
      <c r="AJ1116" s="23"/>
      <c r="AK1116" s="23" t="str">
        <f>IFERROR(__xludf.DUMMYFUNCTION("XLOOKUP(C1116, 
   IMPORTRANGE(""1RdEdgHYrZ33LJ7RUHj_h-qkAFL92bcVjtIdVa-UlsCw"", ""Interns!D:D""), 
   IMPORTRANGE(""1RdEdgHYrZ33LJ7RUHj_h-qkAFL92bcVjtIdVa-UlsCw"", ""Interns!M:M""), 
   ""Not Found"")"),"Contacted")</f>
        <v>Contacted</v>
      </c>
      <c r="AL1116" s="23" t="str">
        <f>IFERROR(__xludf.DUMMYFUNCTION("XLOOKUP(C1116, 
   IMPORTRANGE(""1RdEdgHYrZ33LJ7RUHj_h-qkAFL92bcVjtIdVa-UlsCw"", ""Interns!D:D""), 
   IMPORTRANGE(""1RdEdgHYrZ33LJ7RUHj_h-qkAFL92bcVjtIdVa-UlsCw"", ""Interns!N:N""), 
   ""Not Found"")"),"#Cheers4Careers")</f>
        <v>#Cheers4Careers</v>
      </c>
      <c r="AM1116" s="23" t="str">
        <f>IFERROR(__xludf.DUMMYFUNCTION("XLOOKUP(C1116, 
   IMPORTRANGE(""1RdEdgHYrZ33LJ7RUHj_h-qkAFL92bcVjtIdVa-UlsCw"", ""Interns!D:D""), 
   IMPORTRANGE(""1RdEdgHYrZ33LJ7RUHj_h-qkAFL92bcVjtIdVa-UlsCw"", ""Interns!O:O""), 
   ""Not Found"")"),"Hetal reached out by email 3/27 followed by text")</f>
        <v>Hetal reached out by email 3/27 followed by text</v>
      </c>
      <c r="AN1116" s="23"/>
      <c r="AO1116" s="23" t="s">
        <v>12278</v>
      </c>
      <c r="AP1116" s="28" t="s">
        <v>5182</v>
      </c>
      <c r="AQ1116" s="28" t="s">
        <v>12279</v>
      </c>
      <c r="AR1116" s="23" t="s">
        <v>12280</v>
      </c>
      <c r="AS1116" s="23"/>
      <c r="AT1116" s="23"/>
      <c r="AU1116" s="23"/>
      <c r="AV1116" s="23"/>
    </row>
    <row r="1117">
      <c r="A1117" s="28" t="s">
        <v>5161</v>
      </c>
      <c r="B1117" s="28" t="s">
        <v>31</v>
      </c>
      <c r="C1117" s="23" t="str">
        <f t="shared" si="1"/>
        <v>Melany Lopez</v>
      </c>
      <c r="D1117" s="28" t="s">
        <v>8984</v>
      </c>
      <c r="E1117" s="28" t="s">
        <v>2778</v>
      </c>
      <c r="F1117" s="28">
        <v>97.0</v>
      </c>
      <c r="G1117" s="28">
        <v>530.0</v>
      </c>
      <c r="H1117" s="28">
        <v>1463.0</v>
      </c>
      <c r="I1117" s="28" t="s">
        <v>785</v>
      </c>
      <c r="J1117" s="28"/>
      <c r="K1117" s="28"/>
      <c r="L1117" s="28" t="s">
        <v>5196</v>
      </c>
      <c r="M1117" s="56" t="s">
        <v>11781</v>
      </c>
      <c r="N1117" s="57">
        <v>44935.65416666667</v>
      </c>
      <c r="O1117" s="58">
        <v>38954.0</v>
      </c>
      <c r="P1117" s="28">
        <f t="shared" si="32"/>
        <v>19</v>
      </c>
      <c r="Q1117" s="28" t="s">
        <v>11782</v>
      </c>
      <c r="R1117" s="28" t="s">
        <v>11783</v>
      </c>
      <c r="S1117" s="28"/>
      <c r="T1117" s="28"/>
      <c r="U1117" s="28"/>
      <c r="V1117" s="28"/>
      <c r="W1117" s="28" t="s">
        <v>294</v>
      </c>
      <c r="X1117" s="28" t="s">
        <v>272</v>
      </c>
      <c r="Y1117" s="28" t="s">
        <v>11784</v>
      </c>
      <c r="Z1117" s="28" t="s">
        <v>5259</v>
      </c>
      <c r="AA1117" s="28" t="s">
        <v>704</v>
      </c>
      <c r="AB1117" s="28">
        <v>2.0</v>
      </c>
      <c r="AC1117" s="28" t="s">
        <v>28</v>
      </c>
      <c r="AD1117" s="23"/>
      <c r="AE1117" s="28" t="s">
        <v>15</v>
      </c>
      <c r="AF1117" s="23"/>
      <c r="AG1117" s="23"/>
      <c r="AH1117" s="23" t="str">
        <f>IFERROR(__xludf.DUMMYFUNCTION("IF(
ISNUMBER(MATCH(
C1117,
IMPORTRANGE(""https://docs.google.com/spreadsheets/d/1yTh1ELC33JHYOeEdgIiEclxPRyh0zOKtlawDltfUay8"",""'Interns'!A:A""),
0
)),
""Outreach Conducted"",
"""")"),"")</f>
        <v/>
      </c>
      <c r="AI1117" s="23"/>
      <c r="AJ1117" s="28" t="s">
        <v>12281</v>
      </c>
      <c r="AK1117" s="23" t="str">
        <f>IFERROR(__xludf.DUMMYFUNCTION("XLOOKUP(C1117, 
   IMPORTRANGE(""1RdEdgHYrZ33LJ7RUHj_h-qkAFL92bcVjtIdVa-UlsCw"", ""Interns!D:D""), 
   IMPORTRANGE(""1RdEdgHYrZ33LJ7RUHj_h-qkAFL92bcVjtIdVa-UlsCw"", ""Interns!M:M""), 
   ""Not Found"")"),"")</f>
        <v/>
      </c>
      <c r="AL1117" s="23" t="str">
        <f>IFERROR(__xludf.DUMMYFUNCTION("XLOOKUP(C1117, 
   IMPORTRANGE(""1RdEdgHYrZ33LJ7RUHj_h-qkAFL92bcVjtIdVa-UlsCw"", ""Interns!D:D""), 
   IMPORTRANGE(""1RdEdgHYrZ33LJ7RUHj_h-qkAFL92bcVjtIdVa-UlsCw"", ""Interns!N:N""), 
   ""Not Found"")"),"")</f>
        <v/>
      </c>
      <c r="AM1117" s="23" t="str">
        <f>IFERROR(__xludf.DUMMYFUNCTION("XLOOKUP(C1117, 
   IMPORTRANGE(""1RdEdgHYrZ33LJ7RUHj_h-qkAFL92bcVjtIdVa-UlsCw"", ""Interns!D:D""), 
   IMPORTRANGE(""1RdEdgHYrZ33LJ7RUHj_h-qkAFL92bcVjtIdVa-UlsCw"", ""Interns!O:O""), 
   ""Not Found"")"),"")</f>
        <v/>
      </c>
      <c r="AN1117" s="23"/>
      <c r="AO1117" s="23" t="s">
        <v>11785</v>
      </c>
      <c r="AP1117" s="28" t="s">
        <v>5182</v>
      </c>
      <c r="AQ1117" s="28" t="s">
        <v>11786</v>
      </c>
      <c r="AR1117" s="23" t="s">
        <v>11787</v>
      </c>
      <c r="AS1117" s="23"/>
      <c r="AT1117" s="23"/>
      <c r="AU1117" s="23"/>
      <c r="AV1117" s="23"/>
    </row>
    <row r="1118">
      <c r="A1118" s="28" t="s">
        <v>5161</v>
      </c>
      <c r="B1118" s="28" t="s">
        <v>5162</v>
      </c>
      <c r="C1118" s="23" t="str">
        <f t="shared" si="1"/>
        <v>Mary Iesha Bautista</v>
      </c>
      <c r="D1118" s="22" t="s">
        <v>12282</v>
      </c>
      <c r="E1118" s="22" t="s">
        <v>12283</v>
      </c>
      <c r="F1118" s="23"/>
      <c r="G1118" s="23"/>
      <c r="H1118" s="22">
        <v>2015.0</v>
      </c>
      <c r="I1118" s="28"/>
      <c r="J1118" s="28" t="s">
        <v>12284</v>
      </c>
      <c r="K1118" s="28" t="s">
        <v>5186</v>
      </c>
      <c r="L1118" s="28" t="s">
        <v>5196</v>
      </c>
      <c r="M1118" s="29" t="s">
        <v>12285</v>
      </c>
      <c r="N1118" s="63">
        <v>45615.50833333333</v>
      </c>
      <c r="O1118" s="25">
        <v>41616.0</v>
      </c>
      <c r="P1118" s="28">
        <f t="shared" si="32"/>
        <v>12</v>
      </c>
      <c r="Q1118" s="62" t="s">
        <v>12286</v>
      </c>
      <c r="R1118" s="22" t="s">
        <v>12287</v>
      </c>
      <c r="S1118" s="28">
        <v>6.0</v>
      </c>
      <c r="T1118" s="28">
        <v>12.0</v>
      </c>
      <c r="U1118" s="28">
        <v>30.0</v>
      </c>
      <c r="V1118" s="28">
        <v>26.0</v>
      </c>
      <c r="W1118" s="28" t="s">
        <v>1173</v>
      </c>
      <c r="X1118" s="28" t="s">
        <v>272</v>
      </c>
      <c r="Y1118" s="22">
        <v>9.176154352E9</v>
      </c>
      <c r="Z1118" s="22" t="s">
        <v>5536</v>
      </c>
      <c r="AA1118" s="28" t="s">
        <v>5287</v>
      </c>
      <c r="AB1118" s="28">
        <v>26.0</v>
      </c>
      <c r="AC1118" s="28" t="s">
        <v>27</v>
      </c>
      <c r="AD1118" s="23"/>
      <c r="AE1118" s="28" t="s">
        <v>19</v>
      </c>
      <c r="AF1118" s="23"/>
      <c r="AG1118" s="23"/>
      <c r="AH1118" s="23" t="str">
        <f>IFERROR(__xludf.DUMMYFUNCTION("IF(
ISNUMBER(MATCH(
C1118,
IMPORTRANGE(""https://docs.google.com/spreadsheets/d/1yTh1ELC33JHYOeEdgIiEclxPRyh0zOKtlawDltfUay8"",""'Interns'!A:A""),
0
)),
""Outreach Conducted"",
"""")"),"")</f>
        <v/>
      </c>
      <c r="AI1118" s="23"/>
      <c r="AJ1118" s="23"/>
      <c r="AK1118" s="23" t="str">
        <f>IFERROR(__xludf.DUMMYFUNCTION("XLOOKUP(C1118, 
   IMPORTRANGE(""1RdEdgHYrZ33LJ7RUHj_h-qkAFL92bcVjtIdVa-UlsCw"", ""Interns!D:D""), 
   IMPORTRANGE(""1RdEdgHYrZ33LJ7RUHj_h-qkAFL92bcVjtIdVa-UlsCw"", ""Interns!M:M""), 
   ""Not Found"")"),"Not Found")</f>
        <v>Not Found</v>
      </c>
      <c r="AL1118" s="23" t="str">
        <f>IFERROR(__xludf.DUMMYFUNCTION("XLOOKUP(C1118, 
   IMPORTRANGE(""1RdEdgHYrZ33LJ7RUHj_h-qkAFL92bcVjtIdVa-UlsCw"", ""Interns!D:D""), 
   IMPORTRANGE(""1RdEdgHYrZ33LJ7RUHj_h-qkAFL92bcVjtIdVa-UlsCw"", ""Interns!N:N""), 
   ""Not Found"")"),"Not Found")</f>
        <v>Not Found</v>
      </c>
      <c r="AM1118" s="23" t="str">
        <f>IFERROR(__xludf.DUMMYFUNCTION("XLOOKUP(C1118, 
   IMPORTRANGE(""1RdEdgHYrZ33LJ7RUHj_h-qkAFL92bcVjtIdVa-UlsCw"", ""Interns!D:D""), 
   IMPORTRANGE(""1RdEdgHYrZ33LJ7RUHj_h-qkAFL92bcVjtIdVa-UlsCw"", ""Interns!O:O""), 
   ""Not Found"")"),"Not Found")</f>
        <v>Not Found</v>
      </c>
      <c r="AN1118" s="23"/>
      <c r="AO1118" s="23" t="s">
        <v>12288</v>
      </c>
      <c r="AP1118" s="28" t="s">
        <v>5191</v>
      </c>
      <c r="AQ1118" s="28" t="s">
        <v>12289</v>
      </c>
      <c r="AR1118" s="23">
        <v>9.177039653E9</v>
      </c>
      <c r="AS1118" s="23"/>
      <c r="AT1118" s="23"/>
      <c r="AU1118" s="23"/>
      <c r="AV1118" s="23"/>
    </row>
    <row r="1119">
      <c r="A1119" s="28" t="s">
        <v>5161</v>
      </c>
      <c r="B1119" s="28" t="s">
        <v>5162</v>
      </c>
      <c r="C1119" s="23" t="str">
        <f t="shared" si="1"/>
        <v>Ashwini Borela</v>
      </c>
      <c r="D1119" s="28" t="s">
        <v>12290</v>
      </c>
      <c r="E1119" s="28" t="s">
        <v>12291</v>
      </c>
      <c r="F1119" s="23">
        <f t="array" ref="F1119">IFERROR(
    INDEX('Hub Interns 226'!A:A, MATCH(C1119, 'Hub Interns 226'!B:B, 0)),"")</f>
        <v>201</v>
      </c>
      <c r="G1119" s="23">
        <f t="array" ref="G1119">IFERROR(
    INDEX('Hub Users 226'!A:A, MATCH(C1119, 'Hub Users 226'!B:B, 0)),"")</f>
        <v>634</v>
      </c>
      <c r="H1119" s="28">
        <v>1480.0</v>
      </c>
      <c r="I1119" s="28" t="s">
        <v>107</v>
      </c>
      <c r="J1119" s="28" t="s">
        <v>12284</v>
      </c>
      <c r="K1119" s="28" t="s">
        <v>5186</v>
      </c>
      <c r="L1119" s="28" t="s">
        <v>5196</v>
      </c>
      <c r="M1119" s="56" t="s">
        <v>12292</v>
      </c>
      <c r="N1119" s="57">
        <v>44939.614583333336</v>
      </c>
      <c r="O1119" s="58">
        <v>38285.0</v>
      </c>
      <c r="P1119" s="28">
        <f t="shared" si="32"/>
        <v>21</v>
      </c>
      <c r="Q1119" s="28" t="s">
        <v>12293</v>
      </c>
      <c r="R1119" s="28" t="s">
        <v>12294</v>
      </c>
      <c r="S1119" s="28">
        <v>12.0</v>
      </c>
      <c r="T1119" s="28">
        <v>59.0</v>
      </c>
      <c r="U1119" s="28">
        <v>74.0</v>
      </c>
      <c r="V1119" s="28">
        <v>4.0</v>
      </c>
      <c r="W1119" s="28" t="s">
        <v>271</v>
      </c>
      <c r="X1119" s="28" t="s">
        <v>272</v>
      </c>
      <c r="Y1119" s="28" t="s">
        <v>12295</v>
      </c>
      <c r="Z1119" s="28" t="s">
        <v>5259</v>
      </c>
      <c r="AA1119" s="28" t="s">
        <v>704</v>
      </c>
      <c r="AB1119" s="28">
        <v>2.0</v>
      </c>
      <c r="AC1119" s="28" t="s">
        <v>25</v>
      </c>
      <c r="AD1119" s="23"/>
      <c r="AE1119" s="28" t="s">
        <v>15</v>
      </c>
      <c r="AF1119" s="23" t="str">
        <f>IFERROR(__xludf.DUMMYFUNCTION("TEXTJOIN("", "", TRUE,
  FILTER(Champions!C:C,
    ISNUMBER(SEARCH(C1119, Champions!W:W))
  )
)"),"Lata Murti, Pritika Kumar")</f>
        <v>Lata Murti, Pritika Kumar</v>
      </c>
      <c r="AG1119" s="23"/>
      <c r="AH1119" s="23" t="str">
        <f>IFERROR(__xludf.DUMMYFUNCTION("IF(
ISNUMBER(MATCH(
C1119,
IMPORTRANGE(""https://docs.google.com/spreadsheets/d/1yTh1ELC33JHYOeEdgIiEclxPRyh0zOKtlawDltfUay8"",""'Interns'!A:A""),
0
)),
""Outreach Conducted"",
"""")"),"")</f>
        <v/>
      </c>
      <c r="AI1119" s="23"/>
      <c r="AJ1119" s="23"/>
      <c r="AK1119" s="23" t="str">
        <f>IFERROR(__xludf.DUMMYFUNCTION("XLOOKUP(C1119, 
   IMPORTRANGE(""1RdEdgHYrZ33LJ7RUHj_h-qkAFL92bcVjtIdVa-UlsCw"", ""Interns!D:D""), 
   IMPORTRANGE(""1RdEdgHYrZ33LJ7RUHj_h-qkAFL92bcVjtIdVa-UlsCw"", ""Interns!M:M""), 
   ""Not Found"")"),"")</f>
        <v/>
      </c>
      <c r="AL1119" s="23" t="str">
        <f>IFERROR(__xludf.DUMMYFUNCTION("XLOOKUP(C1119, 
   IMPORTRANGE(""1RdEdgHYrZ33LJ7RUHj_h-qkAFL92bcVjtIdVa-UlsCw"", ""Interns!D:D""), 
   IMPORTRANGE(""1RdEdgHYrZ33LJ7RUHj_h-qkAFL92bcVjtIdVa-UlsCw"", ""Interns!N:N""), 
   ""Not Found"")"),"")</f>
        <v/>
      </c>
      <c r="AM1119" s="23" t="str">
        <f>IFERROR(__xludf.DUMMYFUNCTION("XLOOKUP(C1119, 
   IMPORTRANGE(""1RdEdgHYrZ33LJ7RUHj_h-qkAFL92bcVjtIdVa-UlsCw"", ""Interns!D:D""), 
   IMPORTRANGE(""1RdEdgHYrZ33LJ7RUHj_h-qkAFL92bcVjtIdVa-UlsCw"", ""Interns!O:O""), 
   ""Not Found"")"),"")</f>
        <v/>
      </c>
      <c r="AN1119" s="23"/>
      <c r="AO1119" s="23" t="s">
        <v>12296</v>
      </c>
      <c r="AP1119" s="28" t="s">
        <v>5182</v>
      </c>
      <c r="AQ1119" s="28" t="s">
        <v>12297</v>
      </c>
      <c r="AR1119" s="23" t="s">
        <v>12298</v>
      </c>
      <c r="AS1119" s="23"/>
      <c r="AT1119" s="23"/>
      <c r="AU1119" s="23"/>
      <c r="AV1119" s="23"/>
    </row>
    <row r="1120">
      <c r="A1120" s="28" t="s">
        <v>5161</v>
      </c>
      <c r="B1120" s="28" t="s">
        <v>5162</v>
      </c>
      <c r="C1120" s="23" t="str">
        <f t="shared" si="1"/>
        <v>Elmhlay Pasahol</v>
      </c>
      <c r="D1120" s="22" t="s">
        <v>12299</v>
      </c>
      <c r="E1120" s="22" t="s">
        <v>12300</v>
      </c>
      <c r="F1120" s="23"/>
      <c r="G1120" s="23"/>
      <c r="H1120" s="22">
        <v>1954.0</v>
      </c>
      <c r="I1120" s="28"/>
      <c r="J1120" s="28" t="s">
        <v>12284</v>
      </c>
      <c r="K1120" s="28" t="s">
        <v>5186</v>
      </c>
      <c r="L1120" s="28" t="s">
        <v>5196</v>
      </c>
      <c r="M1120" s="29" t="s">
        <v>12301</v>
      </c>
      <c r="N1120" s="61">
        <v>45715.30625</v>
      </c>
      <c r="O1120" s="25">
        <v>40953.0</v>
      </c>
      <c r="P1120" s="28">
        <f t="shared" si="32"/>
        <v>14</v>
      </c>
      <c r="Q1120" s="62" t="s">
        <v>12302</v>
      </c>
      <c r="R1120" s="22" t="s">
        <v>12303</v>
      </c>
      <c r="S1120" s="28">
        <v>6.0</v>
      </c>
      <c r="T1120" s="28">
        <v>12.0</v>
      </c>
      <c r="U1120" s="28">
        <v>30.0</v>
      </c>
      <c r="V1120" s="28">
        <v>26.0</v>
      </c>
      <c r="W1120" s="28" t="s">
        <v>1173</v>
      </c>
      <c r="X1120" s="28" t="s">
        <v>272</v>
      </c>
      <c r="Y1120" s="22" t="s">
        <v>12304</v>
      </c>
      <c r="Z1120" s="22" t="s">
        <v>5536</v>
      </c>
      <c r="AA1120" s="28" t="s">
        <v>5287</v>
      </c>
      <c r="AB1120" s="28">
        <v>26.0</v>
      </c>
      <c r="AC1120" s="28" t="s">
        <v>22</v>
      </c>
      <c r="AD1120" s="23"/>
      <c r="AE1120" s="28" t="s">
        <v>19</v>
      </c>
      <c r="AF1120" s="23"/>
      <c r="AG1120" s="23"/>
      <c r="AH1120" s="23" t="str">
        <f>IFERROR(__xludf.DUMMYFUNCTION("IF(
ISNUMBER(MATCH(
C1120,
IMPORTRANGE(""https://docs.google.com/spreadsheets/d/1yTh1ELC33JHYOeEdgIiEclxPRyh0zOKtlawDltfUay8"",""'Interns'!A:A""),
0
)),
""Outreach Conducted"",
"""")"),"")</f>
        <v/>
      </c>
      <c r="AI1120" s="23"/>
      <c r="AJ1120" s="23"/>
      <c r="AK1120" s="23"/>
      <c r="AL1120" s="23" t="str">
        <f>IFERROR(__xludf.DUMMYFUNCTION("XLOOKUP(C1120, 
   IMPORTRANGE(""1RdEdgHYrZ33LJ7RUHj_h-qkAFL92bcVjtIdVa-UlsCw"", ""Interns!D:D""), 
   IMPORTRANGE(""1RdEdgHYrZ33LJ7RUHj_h-qkAFL92bcVjtIdVa-UlsCw"", ""Interns!N:N""), 
   ""Not Found"")"),"#Cheers4Careers")</f>
        <v>#Cheers4Careers</v>
      </c>
      <c r="AM1120" s="23" t="str">
        <f>IFERROR(__xludf.DUMMYFUNCTION("XLOOKUP(C1120, 
   IMPORTRANGE(""1RdEdgHYrZ33LJ7RUHj_h-qkAFL92bcVjtIdVa-UlsCw"", ""Interns!D:D""), 
   IMPORTRANGE(""1RdEdgHYrZ33LJ7RUHj_h-qkAFL92bcVjtIdVa-UlsCw"", ""Interns!O:O""), 
   ""Not Found"")"),"Hetal reached out by email 3/27, email was blocked")</f>
        <v>Hetal reached out by email 3/27, email was blocked</v>
      </c>
      <c r="AN1120" s="23"/>
      <c r="AO1120" s="23" t="s">
        <v>12305</v>
      </c>
      <c r="AP1120" s="28" t="s">
        <v>5191</v>
      </c>
      <c r="AQ1120" s="28" t="s">
        <v>12306</v>
      </c>
      <c r="AR1120" s="23" t="s">
        <v>12304</v>
      </c>
      <c r="AS1120" s="23"/>
      <c r="AT1120" s="23"/>
      <c r="AU1120" s="23"/>
      <c r="AV1120" s="23"/>
    </row>
    <row r="1121">
      <c r="A1121" s="28" t="s">
        <v>5161</v>
      </c>
      <c r="B1121" s="28" t="s">
        <v>31</v>
      </c>
      <c r="C1121" s="23" t="str">
        <f t="shared" si="1"/>
        <v>Rinchen Wangmo</v>
      </c>
      <c r="D1121" s="28" t="s">
        <v>5746</v>
      </c>
      <c r="E1121" s="28" t="s">
        <v>5747</v>
      </c>
      <c r="F1121" s="23">
        <f t="array" ref="F1121">IFERROR(
    INDEX('Hub Interns 226'!A:A, MATCH(C1121, 'Hub Interns 226'!B:B, 0)),"")</f>
        <v>99</v>
      </c>
      <c r="G1121" s="23">
        <f t="array" ref="G1121">IFERROR(
    INDEX('Hub Users 226'!A:A, MATCH(C1121, 'Hub Users 226'!B:B, 0)),"")</f>
        <v>532</v>
      </c>
      <c r="H1121" s="28">
        <v>1481.0</v>
      </c>
      <c r="I1121" s="28" t="s">
        <v>260</v>
      </c>
      <c r="J1121" s="28"/>
      <c r="K1121" s="28"/>
      <c r="L1121" s="28" t="s">
        <v>5196</v>
      </c>
      <c r="M1121" s="56" t="s">
        <v>5748</v>
      </c>
      <c r="N1121" s="57">
        <v>44939.615277777775</v>
      </c>
      <c r="O1121" s="58">
        <v>38906.0</v>
      </c>
      <c r="P1121" s="28">
        <f t="shared" si="32"/>
        <v>19</v>
      </c>
      <c r="Q1121" s="28" t="s">
        <v>5749</v>
      </c>
      <c r="R1121" s="28" t="s">
        <v>5750</v>
      </c>
      <c r="S1121" s="28"/>
      <c r="T1121" s="28"/>
      <c r="U1121" s="28"/>
      <c r="V1121" s="28"/>
      <c r="W1121" s="28" t="s">
        <v>271</v>
      </c>
      <c r="X1121" s="28" t="s">
        <v>272</v>
      </c>
      <c r="Y1121" s="28" t="s">
        <v>5751</v>
      </c>
      <c r="Z1121" s="28" t="s">
        <v>5259</v>
      </c>
      <c r="AA1121" s="28" t="s">
        <v>704</v>
      </c>
      <c r="AB1121" s="28">
        <v>2.0</v>
      </c>
      <c r="AC1121" s="28" t="s">
        <v>28</v>
      </c>
      <c r="AD1121" s="23"/>
      <c r="AE1121" s="28" t="s">
        <v>15</v>
      </c>
      <c r="AF1121" s="23"/>
      <c r="AG1121" s="23"/>
      <c r="AH1121" s="23" t="str">
        <f>IFERROR(__xludf.DUMMYFUNCTION("IF(
ISNUMBER(MATCH(
C1121,
IMPORTRANGE(""https://docs.google.com/spreadsheets/d/1yTh1ELC33JHYOeEdgIiEclxPRyh0zOKtlawDltfUay8"",""'Interns'!A:A""),
0
)),
""Outreach Conducted"",
"""")"),"")</f>
        <v/>
      </c>
      <c r="AI1121" s="23"/>
      <c r="AJ1121" s="23"/>
      <c r="AK1121" s="23" t="str">
        <f>IFERROR(__xludf.DUMMYFUNCTION("XLOOKUP(C1121, 
   IMPORTRANGE(""1RdEdgHYrZ33LJ7RUHj_h-qkAFL92bcVjtIdVa-UlsCw"", ""Interns!D:D""), 
   IMPORTRANGE(""1RdEdgHYrZ33LJ7RUHj_h-qkAFL92bcVjtIdVa-UlsCw"", ""Interns!M:M""), 
   ""Not Found"")"),"")</f>
        <v/>
      </c>
      <c r="AL1121" s="23" t="str">
        <f>IFERROR(__xludf.DUMMYFUNCTION("XLOOKUP(C1121, 
   IMPORTRANGE(""1RdEdgHYrZ33LJ7RUHj_h-qkAFL92bcVjtIdVa-UlsCw"", ""Interns!D:D""), 
   IMPORTRANGE(""1RdEdgHYrZ33LJ7RUHj_h-qkAFL92bcVjtIdVa-UlsCw"", ""Interns!N:N""), 
   ""Not Found"")"),"")</f>
        <v/>
      </c>
      <c r="AM1121" s="23" t="str">
        <f>IFERROR(__xludf.DUMMYFUNCTION("XLOOKUP(C1121, 
   IMPORTRANGE(""1RdEdgHYrZ33LJ7RUHj_h-qkAFL92bcVjtIdVa-UlsCw"", ""Interns!D:D""), 
   IMPORTRANGE(""1RdEdgHYrZ33LJ7RUHj_h-qkAFL92bcVjtIdVa-UlsCw"", ""Interns!O:O""), 
   ""Not Found"")"),"")</f>
        <v/>
      </c>
      <c r="AN1121" s="23"/>
      <c r="AO1121" s="23" t="s">
        <v>5752</v>
      </c>
      <c r="AP1121" s="28" t="s">
        <v>5191</v>
      </c>
      <c r="AQ1121" s="28" t="s">
        <v>5753</v>
      </c>
      <c r="AR1121" s="23" t="s">
        <v>5754</v>
      </c>
      <c r="AS1121" s="23"/>
      <c r="AT1121" s="23"/>
      <c r="AU1121" s="23"/>
      <c r="AV1121" s="23"/>
    </row>
    <row r="1122">
      <c r="A1122" s="28" t="s">
        <v>5161</v>
      </c>
      <c r="B1122" s="28" t="s">
        <v>5162</v>
      </c>
      <c r="C1122" s="23" t="str">
        <f t="shared" si="1"/>
        <v>Faith Aldiano</v>
      </c>
      <c r="D1122" s="28" t="s">
        <v>12307</v>
      </c>
      <c r="E1122" s="28" t="s">
        <v>12308</v>
      </c>
      <c r="F1122" s="23">
        <f t="array" ref="F1122">IFERROR(
    INDEX('Hub Interns 226'!A:A, MATCH(C1122, 'Hub Interns 226'!B:B, 0)),"")</f>
        <v>1341</v>
      </c>
      <c r="G1122" s="23">
        <f t="array" ref="G1122">IFERROR(
    INDEX('Hub Users 226'!A:A, MATCH(C1122, 'Hub Users 226'!B:B, 0)),"")</f>
        <v>1844</v>
      </c>
      <c r="H1122" s="28">
        <v>1686.0</v>
      </c>
      <c r="I1122" s="28" t="s">
        <v>107</v>
      </c>
      <c r="J1122" s="28" t="s">
        <v>12284</v>
      </c>
      <c r="K1122" s="28" t="s">
        <v>5186</v>
      </c>
      <c r="L1122" s="28" t="s">
        <v>5196</v>
      </c>
      <c r="M1122" s="56" t="s">
        <v>12309</v>
      </c>
      <c r="N1122" s="59">
        <v>45249.927083333336</v>
      </c>
      <c r="O1122" s="58">
        <v>41005.0</v>
      </c>
      <c r="P1122" s="28">
        <f t="shared" si="32"/>
        <v>14</v>
      </c>
      <c r="Q1122" s="28" t="s">
        <v>240</v>
      </c>
      <c r="R1122" s="28" t="s">
        <v>12310</v>
      </c>
      <c r="S1122" s="28">
        <v>6.0</v>
      </c>
      <c r="T1122" s="28">
        <v>12.0</v>
      </c>
      <c r="U1122" s="28">
        <v>39.0</v>
      </c>
      <c r="V1122" s="28">
        <v>25.0</v>
      </c>
      <c r="W1122" s="28" t="s">
        <v>1173</v>
      </c>
      <c r="X1122" s="28" t="s">
        <v>272</v>
      </c>
      <c r="Y1122" s="28" t="s">
        <v>12311</v>
      </c>
      <c r="Z1122" s="28" t="s">
        <v>5170</v>
      </c>
      <c r="AA1122" s="28" t="s">
        <v>5171</v>
      </c>
      <c r="AB1122" s="28">
        <v>30.0</v>
      </c>
      <c r="AC1122" s="28" t="s">
        <v>23</v>
      </c>
      <c r="AD1122" s="23"/>
      <c r="AE1122" s="28" t="s">
        <v>18</v>
      </c>
      <c r="AF1122" s="23"/>
      <c r="AG1122" s="23"/>
      <c r="AH1122" s="23" t="str">
        <f>IFERROR(__xludf.DUMMYFUNCTION("IF(
ISNUMBER(MATCH(
C1122,
IMPORTRANGE(""https://docs.google.com/spreadsheets/d/1yTh1ELC33JHYOeEdgIiEclxPRyh0zOKtlawDltfUay8"",""'Interns'!A:A""),
0
)),
""Outreach Conducted"",
"""")"),"")</f>
        <v/>
      </c>
      <c r="AI1122" s="23"/>
      <c r="AJ1122" s="23"/>
      <c r="AK1122" s="23" t="str">
        <f>IFERROR(__xludf.DUMMYFUNCTION("XLOOKUP(C1122, 
   IMPORTRANGE(""1RdEdgHYrZ33LJ7RUHj_h-qkAFL92bcVjtIdVa-UlsCw"", ""Interns!D:D""), 
   IMPORTRANGE(""1RdEdgHYrZ33LJ7RUHj_h-qkAFL92bcVjtIdVa-UlsCw"", ""Interns!M:M""), 
   ""Not Found"")"),"Contacted")</f>
        <v>Contacted</v>
      </c>
      <c r="AL1122" s="23" t="str">
        <f>IFERROR(__xludf.DUMMYFUNCTION("XLOOKUP(C1122, 
   IMPORTRANGE(""1RdEdgHYrZ33LJ7RUHj_h-qkAFL92bcVjtIdVa-UlsCw"", ""Interns!D:D""), 
   IMPORTRANGE(""1RdEdgHYrZ33LJ7RUHj_h-qkAFL92bcVjtIdVa-UlsCw"", ""Interns!N:N""), 
   ""Not Found"")"),"#Cheers4Careers")</f>
        <v>#Cheers4Careers</v>
      </c>
      <c r="AM1122" s="23" t="str">
        <f>IFERROR(__xludf.DUMMYFUNCTION("XLOOKUP(C1122, 
   IMPORTRANGE(""1RdEdgHYrZ33LJ7RUHj_h-qkAFL92bcVjtIdVa-UlsCw"", ""Interns!D:D""), 
   IMPORTRANGE(""1RdEdgHYrZ33LJ7RUHj_h-qkAFL92bcVjtIdVa-UlsCw"", ""Interns!O:O""), 
   ""Not Found"")"),"Hetal reached out March 27 for March #Cheers4 Careers ")</f>
        <v>Hetal reached out March 27 for March #Cheers4 Careers </v>
      </c>
      <c r="AN1122" s="23"/>
      <c r="AO1122" s="23" t="s">
        <v>12312</v>
      </c>
      <c r="AP1122" s="28" t="s">
        <v>5182</v>
      </c>
      <c r="AQ1122" s="28" t="s">
        <v>12313</v>
      </c>
      <c r="AR1122" s="23" t="s">
        <v>12314</v>
      </c>
      <c r="AS1122" s="23"/>
      <c r="AT1122" s="23"/>
      <c r="AU1122" s="23"/>
      <c r="AV1122" s="23"/>
    </row>
    <row r="1123">
      <c r="A1123" s="28" t="s">
        <v>5161</v>
      </c>
      <c r="B1123" s="28" t="s">
        <v>5162</v>
      </c>
      <c r="C1123" s="23" t="str">
        <f t="shared" si="1"/>
        <v>Lindsay Laochua</v>
      </c>
      <c r="D1123" s="28" t="s">
        <v>2142</v>
      </c>
      <c r="E1123" s="28" t="s">
        <v>12315</v>
      </c>
      <c r="F1123" s="23" t="str">
        <f t="array" ref="F1123">IFERROR(
    INDEX('Hub Interns 226'!A:A, MATCH(C1123, 'Hub Interns 226'!B:B, 0)),"")</f>
        <v/>
      </c>
      <c r="G1123" s="23">
        <f t="array" ref="G1123">IFERROR(
    INDEX('Hub Users 226'!A:A, MATCH(C1123, 'Hub Users 226'!B:B, 0)),"")</f>
        <v>2240</v>
      </c>
      <c r="H1123" s="28">
        <v>1864.0</v>
      </c>
      <c r="I1123" s="28"/>
      <c r="J1123" s="28" t="s">
        <v>12284</v>
      </c>
      <c r="K1123" s="28" t="s">
        <v>5186</v>
      </c>
      <c r="L1123" s="28" t="s">
        <v>5196</v>
      </c>
      <c r="M1123" s="56" t="s">
        <v>12316</v>
      </c>
      <c r="N1123" s="57">
        <v>45704.63888888889</v>
      </c>
      <c r="O1123" s="58">
        <v>40505.0</v>
      </c>
      <c r="P1123" s="28">
        <f t="shared" si="32"/>
        <v>15</v>
      </c>
      <c r="Q1123" s="28" t="s">
        <v>240</v>
      </c>
      <c r="R1123" s="28" t="s">
        <v>12317</v>
      </c>
      <c r="S1123" s="28">
        <v>7.0</v>
      </c>
      <c r="T1123" s="28">
        <v>12.0</v>
      </c>
      <c r="U1123" s="28">
        <v>37.0</v>
      </c>
      <c r="V1123" s="28">
        <v>26.0</v>
      </c>
      <c r="W1123" s="28" t="s">
        <v>1173</v>
      </c>
      <c r="X1123" s="28" t="s">
        <v>272</v>
      </c>
      <c r="Y1123" s="28" t="s">
        <v>12318</v>
      </c>
      <c r="Z1123" s="23"/>
      <c r="AA1123" s="28" t="s">
        <v>5287</v>
      </c>
      <c r="AB1123" s="28">
        <v>26.0</v>
      </c>
      <c r="AC1123" s="28" t="s">
        <v>22</v>
      </c>
      <c r="AD1123" s="23"/>
      <c r="AE1123" s="28" t="s">
        <v>19</v>
      </c>
      <c r="AF1123" s="23"/>
      <c r="AG1123" s="23"/>
      <c r="AH1123" s="23" t="str">
        <f>IFERROR(__xludf.DUMMYFUNCTION("IF(
ISNUMBER(MATCH(
C1123,
IMPORTRANGE(""https://docs.google.com/spreadsheets/d/1yTh1ELC33JHYOeEdgIiEclxPRyh0zOKtlawDltfUay8"",""'Interns'!A:A""),
0
)),
""Outreach Conducted"",
"""")"),"")</f>
        <v/>
      </c>
      <c r="AI1123" s="23"/>
      <c r="AJ1123" s="23"/>
      <c r="AK1123" s="23" t="str">
        <f>IFERROR(__xludf.DUMMYFUNCTION("XLOOKUP(C1123, 
   IMPORTRANGE(""1RdEdgHYrZ33LJ7RUHj_h-qkAFL92bcVjtIdVa-UlsCw"", ""Interns!D:D""), 
   IMPORTRANGE(""1RdEdgHYrZ33LJ7RUHj_h-qkAFL92bcVjtIdVa-UlsCw"", ""Interns!M:M""), 
   ""Not Found"")"),"Contacted")</f>
        <v>Contacted</v>
      </c>
      <c r="AL1123" s="23" t="str">
        <f>IFERROR(__xludf.DUMMYFUNCTION("XLOOKUP(C1123, 
   IMPORTRANGE(""1RdEdgHYrZ33LJ7RUHj_h-qkAFL92bcVjtIdVa-UlsCw"", ""Interns!D:D""), 
   IMPORTRANGE(""1RdEdgHYrZ33LJ7RUHj_h-qkAFL92bcVjtIdVa-UlsCw"", ""Interns!N:N""), 
   ""Not Found"")"),"#Cheers4Careers")</f>
        <v>#Cheers4Careers</v>
      </c>
      <c r="AM1123" s="23" t="str">
        <f>IFERROR(__xludf.DUMMYFUNCTION("XLOOKUP(C1123, 
   IMPORTRANGE(""1RdEdgHYrZ33LJ7RUHj_h-qkAFL92bcVjtIdVa-UlsCw"", ""Interns!D:D""), 
   IMPORTRANGE(""1RdEdgHYrZ33LJ7RUHj_h-qkAFL92bcVjtIdVa-UlsCw"", ""Interns!O:O""), 
   ""Not Found"")"),"Hetal reached out by email 3/27")</f>
        <v>Hetal reached out by email 3/27</v>
      </c>
      <c r="AN1123" s="23"/>
      <c r="AO1123" s="23" t="s">
        <v>12319</v>
      </c>
      <c r="AP1123" s="28" t="s">
        <v>5182</v>
      </c>
      <c r="AQ1123" s="28"/>
      <c r="AR1123" s="23"/>
      <c r="AS1123" s="23"/>
      <c r="AT1123" s="23"/>
      <c r="AU1123" s="23"/>
      <c r="AV1123" s="23"/>
    </row>
    <row r="1124">
      <c r="A1124" s="28" t="s">
        <v>5161</v>
      </c>
      <c r="B1124" s="28" t="s">
        <v>5162</v>
      </c>
      <c r="C1124" s="23" t="str">
        <f t="shared" si="1"/>
        <v>Klint Day</v>
      </c>
      <c r="D1124" s="28" t="s">
        <v>12320</v>
      </c>
      <c r="E1124" s="28" t="s">
        <v>12321</v>
      </c>
      <c r="F1124" s="23">
        <f t="array" ref="F1124">IFERROR(
    INDEX('Hub Interns 226'!A:A, MATCH(C1124, 'Hub Interns 226'!B:B, 0)),"")</f>
        <v>383</v>
      </c>
      <c r="G1124" s="23">
        <f t="array" ref="G1124">IFERROR(
    INDEX('Hub Users 226'!A:A, MATCH(C1124, 'Hub Users 226'!B:B, 0)),"")</f>
        <v>816</v>
      </c>
      <c r="H1124" s="28">
        <v>298.0</v>
      </c>
      <c r="I1124" s="28" t="s">
        <v>260</v>
      </c>
      <c r="J1124" s="28" t="s">
        <v>12284</v>
      </c>
      <c r="K1124" s="28" t="s">
        <v>5186</v>
      </c>
      <c r="L1124" s="28" t="s">
        <v>5165</v>
      </c>
      <c r="M1124" s="56" t="s">
        <v>12322</v>
      </c>
      <c r="N1124" s="57">
        <v>44230.771527777775</v>
      </c>
      <c r="O1124" s="58">
        <v>38072.0</v>
      </c>
      <c r="P1124" s="28">
        <f t="shared" si="32"/>
        <v>22</v>
      </c>
      <c r="Q1124" s="28" t="s">
        <v>240</v>
      </c>
      <c r="R1124" s="28" t="s">
        <v>12323</v>
      </c>
      <c r="S1124" s="28"/>
      <c r="T1124" s="28"/>
      <c r="U1124" s="28"/>
      <c r="V1124" s="28"/>
      <c r="W1124" s="28" t="s">
        <v>12324</v>
      </c>
      <c r="X1124" s="28" t="s">
        <v>465</v>
      </c>
      <c r="Y1124" s="28" t="s">
        <v>12325</v>
      </c>
      <c r="Z1124" s="28" t="s">
        <v>12326</v>
      </c>
      <c r="AA1124" s="28" t="s">
        <v>12327</v>
      </c>
      <c r="AB1124" s="28" t="s">
        <v>12328</v>
      </c>
      <c r="AC1124" s="28" t="s">
        <v>24</v>
      </c>
      <c r="AD1124" s="23"/>
      <c r="AE1124" s="28" t="s">
        <v>8</v>
      </c>
      <c r="AF1124" s="23"/>
      <c r="AG1124" s="23"/>
      <c r="AH1124" s="23" t="str">
        <f>IFERROR(__xludf.DUMMYFUNCTION("IF(
ISNUMBER(MATCH(
C1124,
IMPORTRANGE(""https://docs.google.com/spreadsheets/d/1yTh1ELC33JHYOeEdgIiEclxPRyh0zOKtlawDltfUay8"",""'Interns'!A:A""),
0
)),
""Outreach Conducted"",
"""")"),"")</f>
        <v/>
      </c>
      <c r="AI1124" s="23"/>
      <c r="AJ1124" s="23"/>
      <c r="AK1124" s="23" t="str">
        <f>IFERROR(__xludf.DUMMYFUNCTION("XLOOKUP(C1124, 
   IMPORTRANGE(""1RdEdgHYrZ33LJ7RUHj_h-qkAFL92bcVjtIdVa-UlsCw"", ""Interns!D:D""), 
   IMPORTRANGE(""1RdEdgHYrZ33LJ7RUHj_h-qkAFL92bcVjtIdVa-UlsCw"", ""Interns!M:M""), 
   ""Not Found"")"),"")</f>
        <v/>
      </c>
      <c r="AL1124" s="23" t="str">
        <f>IFERROR(__xludf.DUMMYFUNCTION("XLOOKUP(C1124, 
   IMPORTRANGE(""1RdEdgHYrZ33LJ7RUHj_h-qkAFL92bcVjtIdVa-UlsCw"", ""Interns!D:D""), 
   IMPORTRANGE(""1RdEdgHYrZ33LJ7RUHj_h-qkAFL92bcVjtIdVa-UlsCw"", ""Interns!N:N""), 
   ""Not Found"")"),"")</f>
        <v/>
      </c>
      <c r="AM1124" s="23" t="str">
        <f>IFERROR(__xludf.DUMMYFUNCTION("XLOOKUP(C1124, 
   IMPORTRANGE(""1RdEdgHYrZ33LJ7RUHj_h-qkAFL92bcVjtIdVa-UlsCw"", ""Interns!D:D""), 
   IMPORTRANGE(""1RdEdgHYrZ33LJ7RUHj_h-qkAFL92bcVjtIdVa-UlsCw"", ""Interns!O:O""), 
   ""Not Found"")"),"")</f>
        <v/>
      </c>
      <c r="AN1124" s="23"/>
      <c r="AO1124" s="23" t="s">
        <v>12329</v>
      </c>
      <c r="AP1124" s="28" t="s">
        <v>5182</v>
      </c>
      <c r="AQ1124" s="28"/>
      <c r="AR1124" s="23"/>
      <c r="AS1124" s="23"/>
      <c r="AT1124" s="23"/>
      <c r="AU1124" s="23"/>
      <c r="AV1124" s="23"/>
    </row>
    <row r="1125">
      <c r="A1125" s="28" t="s">
        <v>5161</v>
      </c>
      <c r="B1125" s="28" t="s">
        <v>5162</v>
      </c>
      <c r="C1125" s="23" t="str">
        <f t="shared" si="1"/>
        <v>Juliana Mateo</v>
      </c>
      <c r="D1125" s="28" t="s">
        <v>11074</v>
      </c>
      <c r="E1125" s="28" t="s">
        <v>9576</v>
      </c>
      <c r="F1125" s="23" t="str">
        <f t="array" ref="F1125">IFERROR(
    INDEX('Hub Interns 226'!A:A, MATCH(C1125, 'Hub Interns 226'!B:B, 0)),"")</f>
        <v/>
      </c>
      <c r="G1125" s="23">
        <f t="array" ref="G1125">IFERROR(
    INDEX('Hub Users 226'!A:A, MATCH(C1125, 'Hub Users 226'!B:B, 0)),"")</f>
        <v>2099</v>
      </c>
      <c r="H1125" s="28">
        <v>1854.0</v>
      </c>
      <c r="I1125" s="28" t="s">
        <v>260</v>
      </c>
      <c r="J1125" s="28" t="s">
        <v>12284</v>
      </c>
      <c r="K1125" s="28" t="s">
        <v>5186</v>
      </c>
      <c r="L1125" s="28" t="s">
        <v>5196</v>
      </c>
      <c r="M1125" s="56" t="s">
        <v>12330</v>
      </c>
      <c r="N1125" s="59">
        <v>45583.79652777778</v>
      </c>
      <c r="O1125" s="58">
        <v>41527.0</v>
      </c>
      <c r="P1125" s="28">
        <f t="shared" si="32"/>
        <v>12</v>
      </c>
      <c r="Q1125" s="28" t="s">
        <v>240</v>
      </c>
      <c r="R1125" s="28" t="s">
        <v>12331</v>
      </c>
      <c r="S1125" s="28">
        <v>6.0</v>
      </c>
      <c r="T1125" s="28">
        <v>15.0</v>
      </c>
      <c r="U1125" s="28">
        <v>28.0</v>
      </c>
      <c r="V1125" s="28">
        <v>30.0</v>
      </c>
      <c r="W1125" s="28" t="s">
        <v>271</v>
      </c>
      <c r="X1125" s="28" t="s">
        <v>272</v>
      </c>
      <c r="Y1125" s="28" t="s">
        <v>12332</v>
      </c>
      <c r="Z1125" s="28" t="s">
        <v>6332</v>
      </c>
      <c r="AA1125" s="28" t="s">
        <v>5512</v>
      </c>
      <c r="AB1125" s="28">
        <v>30.0</v>
      </c>
      <c r="AC1125" s="28" t="s">
        <v>23</v>
      </c>
      <c r="AD1125" s="23"/>
      <c r="AE1125" s="28" t="s">
        <v>19</v>
      </c>
      <c r="AF1125" s="23"/>
      <c r="AG1125" s="23"/>
      <c r="AH1125" s="23" t="str">
        <f>IFERROR(__xludf.DUMMYFUNCTION("IF(
ISNUMBER(MATCH(
C1125,
IMPORTRANGE(""https://docs.google.com/spreadsheets/d/1yTh1ELC33JHYOeEdgIiEclxPRyh0zOKtlawDltfUay8"",""'Interns'!A:A""),
0
)),
""Outreach Conducted"",
"""")"),"")</f>
        <v/>
      </c>
      <c r="AI1125" s="23"/>
      <c r="AJ1125" s="23"/>
      <c r="AK1125" s="23" t="str">
        <f>IFERROR(__xludf.DUMMYFUNCTION("XLOOKUP(C1125, 
   IMPORTRANGE(""1RdEdgHYrZ33LJ7RUHj_h-qkAFL92bcVjtIdVa-UlsCw"", ""Interns!D:D""), 
   IMPORTRANGE(""1RdEdgHYrZ33LJ7RUHj_h-qkAFL92bcVjtIdVa-UlsCw"", ""Interns!M:M""), 
   ""Not Found"")"),"Contacted")</f>
        <v>Contacted</v>
      </c>
      <c r="AL1125" s="23" t="str">
        <f>IFERROR(__xludf.DUMMYFUNCTION("XLOOKUP(C1125, 
   IMPORTRANGE(""1RdEdgHYrZ33LJ7RUHj_h-qkAFL92bcVjtIdVa-UlsCw"", ""Interns!D:D""), 
   IMPORTRANGE(""1RdEdgHYrZ33LJ7RUHj_h-qkAFL92bcVjtIdVa-UlsCw"", ""Interns!N:N""), 
   ""Not Found"")"),"#Cheers4Careers")</f>
        <v>#Cheers4Careers</v>
      </c>
      <c r="AM1125" s="23" t="str">
        <f>IFERROR(__xludf.DUMMYFUNCTION("XLOOKUP(C1125,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125" s="23"/>
      <c r="AO1125" s="23" t="s">
        <v>12333</v>
      </c>
      <c r="AP1125" s="28" t="s">
        <v>5182</v>
      </c>
      <c r="AQ1125" s="28" t="s">
        <v>12330</v>
      </c>
      <c r="AR1125" s="23" t="s">
        <v>12332</v>
      </c>
      <c r="AS1125" s="23"/>
      <c r="AT1125" s="23"/>
      <c r="AU1125" s="23"/>
      <c r="AV1125" s="23"/>
    </row>
    <row r="1126">
      <c r="A1126" s="28" t="s">
        <v>5161</v>
      </c>
      <c r="B1126" s="28" t="s">
        <v>31</v>
      </c>
      <c r="C1126" s="23" t="str">
        <f t="shared" si="1"/>
        <v>Yannick Diaby</v>
      </c>
      <c r="D1126" s="28" t="s">
        <v>11182</v>
      </c>
      <c r="E1126" s="28" t="s">
        <v>11183</v>
      </c>
      <c r="F1126" s="23">
        <f t="array" ref="F1126">IFERROR(
    INDEX('Hub Interns 226'!A:A, MATCH(C1126, 'Hub Interns 226'!B:B, 0)),"")</f>
        <v>102</v>
      </c>
      <c r="G1126" s="23">
        <f t="array" ref="G1126">IFERROR(
    INDEX('Hub Users 226'!A:A, MATCH(C1126, 'Hub Users 226'!B:B, 0)),"")</f>
        <v>535</v>
      </c>
      <c r="H1126" s="28">
        <v>1484.0</v>
      </c>
      <c r="I1126" s="28" t="s">
        <v>290</v>
      </c>
      <c r="J1126" s="28"/>
      <c r="K1126" s="28"/>
      <c r="L1126" s="28" t="s">
        <v>5165</v>
      </c>
      <c r="M1126" s="56" t="s">
        <v>11184</v>
      </c>
      <c r="N1126" s="57">
        <v>44939.631944444445</v>
      </c>
      <c r="O1126" s="58">
        <v>37996.0</v>
      </c>
      <c r="P1126" s="28">
        <f t="shared" si="32"/>
        <v>22</v>
      </c>
      <c r="Q1126" s="28" t="s">
        <v>11185</v>
      </c>
      <c r="R1126" s="28" t="s">
        <v>11186</v>
      </c>
      <c r="S1126" s="28"/>
      <c r="T1126" s="28"/>
      <c r="U1126" s="28"/>
      <c r="V1126" s="28"/>
      <c r="W1126" s="28" t="s">
        <v>859</v>
      </c>
      <c r="X1126" s="28" t="s">
        <v>272</v>
      </c>
      <c r="Y1126" s="28" t="s">
        <v>11187</v>
      </c>
      <c r="Z1126" s="28" t="s">
        <v>5259</v>
      </c>
      <c r="AA1126" s="28" t="s">
        <v>704</v>
      </c>
      <c r="AB1126" s="28">
        <v>2.0</v>
      </c>
      <c r="AC1126" s="28" t="s">
        <v>28</v>
      </c>
      <c r="AD1126" s="23"/>
      <c r="AE1126" s="28" t="s">
        <v>15</v>
      </c>
      <c r="AF1126" s="23"/>
      <c r="AG1126" s="23"/>
      <c r="AH1126" s="23" t="str">
        <f>IFERROR(__xludf.DUMMYFUNCTION("IF(
ISNUMBER(MATCH(
C1126,
IMPORTRANGE(""https://docs.google.com/spreadsheets/d/1yTh1ELC33JHYOeEdgIiEclxPRyh0zOKtlawDltfUay8"",""'Interns'!A:A""),
0
)),
""Outreach Conducted"",
"""")"),"")</f>
        <v/>
      </c>
      <c r="AI1126" s="23"/>
      <c r="AJ1126" s="23"/>
      <c r="AK1126" s="23" t="str">
        <f>IFERROR(__xludf.DUMMYFUNCTION("XLOOKUP(C1126, 
   IMPORTRANGE(""1RdEdgHYrZ33LJ7RUHj_h-qkAFL92bcVjtIdVa-UlsCw"", ""Interns!D:D""), 
   IMPORTRANGE(""1RdEdgHYrZ33LJ7RUHj_h-qkAFL92bcVjtIdVa-UlsCw"", ""Interns!M:M""), 
   ""Not Found"")"),"")</f>
        <v/>
      </c>
      <c r="AL1126" s="23" t="str">
        <f>IFERROR(__xludf.DUMMYFUNCTION("XLOOKUP(C1126, 
   IMPORTRANGE(""1RdEdgHYrZ33LJ7RUHj_h-qkAFL92bcVjtIdVa-UlsCw"", ""Interns!D:D""), 
   IMPORTRANGE(""1RdEdgHYrZ33LJ7RUHj_h-qkAFL92bcVjtIdVa-UlsCw"", ""Interns!N:N""), 
   ""Not Found"")"),"")</f>
        <v/>
      </c>
      <c r="AM1126" s="23" t="str">
        <f>IFERROR(__xludf.DUMMYFUNCTION("XLOOKUP(C1126, 
   IMPORTRANGE(""1RdEdgHYrZ33LJ7RUHj_h-qkAFL92bcVjtIdVa-UlsCw"", ""Interns!D:D""), 
   IMPORTRANGE(""1RdEdgHYrZ33LJ7RUHj_h-qkAFL92bcVjtIdVa-UlsCw"", ""Interns!O:O""), 
   ""Not Found"")"),"")</f>
        <v/>
      </c>
      <c r="AN1126" s="23"/>
      <c r="AO1126" s="23" t="s">
        <v>11188</v>
      </c>
      <c r="AP1126" s="28" t="s">
        <v>5182</v>
      </c>
      <c r="AQ1126" s="28" t="s">
        <v>11189</v>
      </c>
      <c r="AR1126" s="23" t="s">
        <v>11190</v>
      </c>
      <c r="AS1126" s="23"/>
      <c r="AT1126" s="23"/>
      <c r="AU1126" s="23"/>
      <c r="AV1126" s="23"/>
    </row>
    <row r="1127">
      <c r="A1127" s="28" t="s">
        <v>5161</v>
      </c>
      <c r="B1127" s="28" t="s">
        <v>5162</v>
      </c>
      <c r="C1127" s="23" t="str">
        <f t="shared" si="1"/>
        <v>Casey Olalia</v>
      </c>
      <c r="D1127" s="28" t="s">
        <v>816</v>
      </c>
      <c r="E1127" s="28" t="s">
        <v>12334</v>
      </c>
      <c r="F1127" s="23">
        <f t="array" ref="F1127">IFERROR(
    INDEX('Hub Interns 226'!A:A, MATCH(C1127, 'Hub Interns 226'!B:B, 0)),"")</f>
        <v>347</v>
      </c>
      <c r="G1127" s="23">
        <f t="array" ref="G1127">IFERROR(
    INDEX('Hub Users 226'!A:A, MATCH(C1127, 'Hub Users 226'!B:B, 0)),"")</f>
        <v>780</v>
      </c>
      <c r="H1127" s="28">
        <v>301.0</v>
      </c>
      <c r="I1127" s="28" t="s">
        <v>260</v>
      </c>
      <c r="J1127" s="28" t="s">
        <v>12284</v>
      </c>
      <c r="K1127" s="28" t="s">
        <v>5186</v>
      </c>
      <c r="L1127" s="28" t="s">
        <v>5196</v>
      </c>
      <c r="M1127" s="56" t="s">
        <v>12335</v>
      </c>
      <c r="N1127" s="57">
        <v>44230.81180555555</v>
      </c>
      <c r="O1127" s="58">
        <v>38829.0</v>
      </c>
      <c r="P1127" s="28">
        <f t="shared" si="32"/>
        <v>20</v>
      </c>
      <c r="Q1127" s="28" t="s">
        <v>240</v>
      </c>
      <c r="R1127" s="28" t="s">
        <v>12336</v>
      </c>
      <c r="S1127" s="28"/>
      <c r="T1127" s="28"/>
      <c r="U1127" s="28"/>
      <c r="V1127" s="28"/>
      <c r="W1127" s="28" t="s">
        <v>12324</v>
      </c>
      <c r="X1127" s="28" t="s">
        <v>465</v>
      </c>
      <c r="Y1127" s="28" t="s">
        <v>12337</v>
      </c>
      <c r="Z1127" s="28" t="s">
        <v>12326</v>
      </c>
      <c r="AA1127" s="28" t="s">
        <v>12327</v>
      </c>
      <c r="AB1127" s="28" t="s">
        <v>12328</v>
      </c>
      <c r="AC1127" s="28" t="s">
        <v>24</v>
      </c>
      <c r="AD1127" s="23"/>
      <c r="AE1127" s="28" t="s">
        <v>8</v>
      </c>
      <c r="AF1127" s="23"/>
      <c r="AG1127" s="23"/>
      <c r="AH1127" s="23" t="str">
        <f>IFERROR(__xludf.DUMMYFUNCTION("IF(
ISNUMBER(MATCH(
C1127,
IMPORTRANGE(""https://docs.google.com/spreadsheets/d/1yTh1ELC33JHYOeEdgIiEclxPRyh0zOKtlawDltfUay8"",""'Interns'!A:A""),
0
)),
""Outreach Conducted"",
"""")"),"")</f>
        <v/>
      </c>
      <c r="AI1127" s="23"/>
      <c r="AJ1127" s="23"/>
      <c r="AK1127" s="23" t="str">
        <f>IFERROR(__xludf.DUMMYFUNCTION("XLOOKUP(C1127, 
   IMPORTRANGE(""1RdEdgHYrZ33LJ7RUHj_h-qkAFL92bcVjtIdVa-UlsCw"", ""Interns!D:D""), 
   IMPORTRANGE(""1RdEdgHYrZ33LJ7RUHj_h-qkAFL92bcVjtIdVa-UlsCw"", ""Interns!M:M""), 
   ""Not Found"")"),"")</f>
        <v/>
      </c>
      <c r="AL1127" s="23" t="str">
        <f>IFERROR(__xludf.DUMMYFUNCTION("XLOOKUP(C1127, 
   IMPORTRANGE(""1RdEdgHYrZ33LJ7RUHj_h-qkAFL92bcVjtIdVa-UlsCw"", ""Interns!D:D""), 
   IMPORTRANGE(""1RdEdgHYrZ33LJ7RUHj_h-qkAFL92bcVjtIdVa-UlsCw"", ""Interns!N:N""), 
   ""Not Found"")"),"")</f>
        <v/>
      </c>
      <c r="AM1127" s="23" t="str">
        <f>IFERROR(__xludf.DUMMYFUNCTION("XLOOKUP(C1127, 
   IMPORTRANGE(""1RdEdgHYrZ33LJ7RUHj_h-qkAFL92bcVjtIdVa-UlsCw"", ""Interns!D:D""), 
   IMPORTRANGE(""1RdEdgHYrZ33LJ7RUHj_h-qkAFL92bcVjtIdVa-UlsCw"", ""Interns!O:O""), 
   ""Not Found"")"),"")</f>
        <v/>
      </c>
      <c r="AN1127" s="23"/>
      <c r="AO1127" s="23" t="s">
        <v>12338</v>
      </c>
      <c r="AP1127" s="28" t="s">
        <v>5182</v>
      </c>
      <c r="AQ1127" s="28"/>
      <c r="AR1127" s="23"/>
      <c r="AS1127" s="23"/>
      <c r="AT1127" s="23"/>
      <c r="AU1127" s="23"/>
      <c r="AV1127" s="23"/>
    </row>
    <row r="1128">
      <c r="A1128" s="28" t="s">
        <v>5161</v>
      </c>
      <c r="B1128" s="28" t="s">
        <v>5162</v>
      </c>
      <c r="C1128" s="23" t="str">
        <f t="shared" si="1"/>
        <v>Nathan Barthels</v>
      </c>
      <c r="D1128" s="22" t="s">
        <v>12339</v>
      </c>
      <c r="E1128" s="22" t="s">
        <v>12340</v>
      </c>
      <c r="F1128" s="23"/>
      <c r="G1128" s="23"/>
      <c r="H1128" s="22">
        <v>1959.0</v>
      </c>
      <c r="I1128" s="28"/>
      <c r="J1128" s="28" t="s">
        <v>12341</v>
      </c>
      <c r="K1128" s="28" t="s">
        <v>5255</v>
      </c>
      <c r="L1128" s="28" t="s">
        <v>5165</v>
      </c>
      <c r="M1128" s="29" t="s">
        <v>12342</v>
      </c>
      <c r="N1128" s="61">
        <v>45714.75833333333</v>
      </c>
      <c r="O1128" s="25">
        <v>40795.0</v>
      </c>
      <c r="P1128" s="28">
        <f t="shared" si="32"/>
        <v>14</v>
      </c>
      <c r="Q1128" s="62" t="s">
        <v>240</v>
      </c>
      <c r="R1128" s="22" t="s">
        <v>12343</v>
      </c>
      <c r="S1128" s="28"/>
      <c r="T1128" s="28"/>
      <c r="U1128" s="28"/>
      <c r="V1128" s="28"/>
      <c r="W1128" s="23"/>
      <c r="X1128" s="28" t="s">
        <v>272</v>
      </c>
      <c r="Y1128" s="22" t="s">
        <v>12344</v>
      </c>
      <c r="Z1128" s="22" t="s">
        <v>5536</v>
      </c>
      <c r="AA1128" s="28" t="s">
        <v>5287</v>
      </c>
      <c r="AB1128" s="28">
        <v>26.0</v>
      </c>
      <c r="AC1128" s="28" t="s">
        <v>22</v>
      </c>
      <c r="AD1128" s="23"/>
      <c r="AE1128" s="28" t="s">
        <v>19</v>
      </c>
      <c r="AF1128" s="23"/>
      <c r="AG1128" s="23"/>
      <c r="AH1128" s="23" t="str">
        <f>IFERROR(__xludf.DUMMYFUNCTION("IF(
ISNUMBER(MATCH(
C1128,
IMPORTRANGE(""https://docs.google.com/spreadsheets/d/1yTh1ELC33JHYOeEdgIiEclxPRyh0zOKtlawDltfUay8"",""'Interns'!A:A""),
0
)),
""Outreach Conducted"",
"""")"),"")</f>
        <v/>
      </c>
      <c r="AI1128" s="23"/>
      <c r="AJ1128" s="23"/>
      <c r="AK1128" s="23"/>
      <c r="AL1128" s="23" t="str">
        <f>IFERROR(__xludf.DUMMYFUNCTION("XLOOKUP(C1128, 
   IMPORTRANGE(""1RdEdgHYrZ33LJ7RUHj_h-qkAFL92bcVjtIdVa-UlsCw"", ""Interns!D:D""), 
   IMPORTRANGE(""1RdEdgHYrZ33LJ7RUHj_h-qkAFL92bcVjtIdVa-UlsCw"", ""Interns!N:N""), 
   ""Not Found"")"),"#Cheers4Careers")</f>
        <v>#Cheers4Careers</v>
      </c>
      <c r="AM1128" s="23" t="str">
        <f>IFERROR(__xludf.DUMMYFUNCTION("XLOOKUP(C1128, 
   IMPORTRANGE(""1RdEdgHYrZ33LJ7RUHj_h-qkAFL92bcVjtIdVa-UlsCw"", ""Interns!D:D""), 
   IMPORTRANGE(""1RdEdgHYrZ33LJ7RUHj_h-qkAFL92bcVjtIdVa-UlsCw"", ""Interns!O:O""), 
   ""Not Found"")"),"Hetal reached out March 27 for March #Cheers4 Careers ")</f>
        <v>Hetal reached out March 27 for March #Cheers4 Careers </v>
      </c>
      <c r="AN1128" s="23"/>
      <c r="AO1128" s="23" t="s">
        <v>12345</v>
      </c>
      <c r="AP1128" s="28" t="s">
        <v>5182</v>
      </c>
      <c r="AQ1128" s="28" t="s">
        <v>12346</v>
      </c>
      <c r="AR1128" s="23" t="s">
        <v>12347</v>
      </c>
      <c r="AS1128" s="23"/>
      <c r="AT1128" s="23"/>
      <c r="AU1128" s="23"/>
      <c r="AV1128" s="23"/>
    </row>
    <row r="1129">
      <c r="A1129" s="28" t="s">
        <v>5161</v>
      </c>
      <c r="B1129" s="28" t="s">
        <v>5162</v>
      </c>
      <c r="C1129" s="23" t="str">
        <f t="shared" si="1"/>
        <v>Fabian Kuclo</v>
      </c>
      <c r="D1129" s="28" t="s">
        <v>7215</v>
      </c>
      <c r="E1129" s="28" t="s">
        <v>12348</v>
      </c>
      <c r="F1129" s="23">
        <f t="array" ref="F1129">IFERROR(
    INDEX('Hub Interns 226'!A:A, MATCH(C1129, 'Hub Interns 226'!B:B, 0)),"")</f>
        <v>509</v>
      </c>
      <c r="G1129" s="23">
        <f t="array" ref="G1129">IFERROR(
    INDEX('Hub Users 226'!A:A, MATCH(C1129, 'Hub Users 226'!B:B, 0)),"")</f>
        <v>942</v>
      </c>
      <c r="H1129" s="28">
        <v>676.0</v>
      </c>
      <c r="I1129" s="28" t="s">
        <v>239</v>
      </c>
      <c r="J1129" s="28" t="s">
        <v>12341</v>
      </c>
      <c r="K1129" s="28" t="s">
        <v>5255</v>
      </c>
      <c r="L1129" s="28" t="s">
        <v>5165</v>
      </c>
      <c r="M1129" s="56" t="s">
        <v>12349</v>
      </c>
      <c r="N1129" s="59">
        <v>44546.47222222222</v>
      </c>
      <c r="O1129" s="58">
        <v>38295.0</v>
      </c>
      <c r="P1129" s="28">
        <f t="shared" si="32"/>
        <v>21</v>
      </c>
      <c r="Q1129" s="28" t="s">
        <v>240</v>
      </c>
      <c r="R1129" s="28" t="s">
        <v>12350</v>
      </c>
      <c r="S1129" s="28">
        <v>7.0</v>
      </c>
      <c r="T1129" s="28">
        <v>12.0</v>
      </c>
      <c r="U1129" s="28">
        <v>37.0</v>
      </c>
      <c r="V1129" s="28">
        <v>30.0</v>
      </c>
      <c r="W1129" s="28" t="s">
        <v>1173</v>
      </c>
      <c r="X1129" s="28" t="s">
        <v>272</v>
      </c>
      <c r="Y1129" s="28" t="s">
        <v>12351</v>
      </c>
      <c r="Z1129" s="28" t="s">
        <v>5483</v>
      </c>
      <c r="AA1129" s="28" t="s">
        <v>457</v>
      </c>
      <c r="AB1129" s="28">
        <v>25.0</v>
      </c>
      <c r="AC1129" s="28" t="s">
        <v>25</v>
      </c>
      <c r="AD1129" s="23"/>
      <c r="AE1129" s="28" t="s">
        <v>10</v>
      </c>
      <c r="AF1129" s="23" t="str">
        <f>IFERROR(__xludf.DUMMYFUNCTION("TEXTJOIN("", "", TRUE,
  FILTER(Champions!C:C,
    ISNUMBER(SEARCH(C1129, Champions!W:W))
  )
)"),"Carmelo DeLeon, Mohammed Baldiwala")</f>
        <v>Carmelo DeLeon, Mohammed Baldiwala</v>
      </c>
      <c r="AG1129" s="23"/>
      <c r="AH1129" s="23" t="str">
        <f>IFERROR(__xludf.DUMMYFUNCTION("IF(
ISNUMBER(MATCH(
C1129,
IMPORTRANGE(""https://docs.google.com/spreadsheets/d/1yTh1ELC33JHYOeEdgIiEclxPRyh0zOKtlawDltfUay8"",""'Interns'!A:A""),
0
)),
""Outreach Conducted"",
"""")"),"")</f>
        <v/>
      </c>
      <c r="AI1129" s="23"/>
      <c r="AJ1129" s="23"/>
      <c r="AK1129" s="23" t="str">
        <f>IFERROR(__xludf.DUMMYFUNCTION("XLOOKUP(C1129, 
   IMPORTRANGE(""1RdEdgHYrZ33LJ7RUHj_h-qkAFL92bcVjtIdVa-UlsCw"", ""Interns!D:D""), 
   IMPORTRANGE(""1RdEdgHYrZ33LJ7RUHj_h-qkAFL92bcVjtIdVa-UlsCw"", ""Interns!M:M""), 
   ""Not Found"")"),"Contacted")</f>
        <v>Contacted</v>
      </c>
      <c r="AL1129" s="23" t="str">
        <f>IFERROR(__xludf.DUMMYFUNCTION("XLOOKUP(C1129, 
   IMPORTRANGE(""1RdEdgHYrZ33LJ7RUHj_h-qkAFL92bcVjtIdVa-UlsCw"", ""Interns!D:D""), 
   IMPORTRANGE(""1RdEdgHYrZ33LJ7RUHj_h-qkAFL92bcVjtIdVa-UlsCw"", ""Interns!N:N""), 
   ""Not Found"")"),"#Cheers4Careers")</f>
        <v>#Cheers4Careers</v>
      </c>
      <c r="AM1129" s="23" t="str">
        <f>IFERROR(__xludf.DUMMYFUNCTION("XLOOKUP(C1129, 
   IMPORTRANGE(""1RdEdgHYrZ33LJ7RUHj_h-qkAFL92bcVjtIdVa-UlsCw"", ""Interns!D:D""), 
   IMPORTRANGE(""1RdEdgHYrZ33LJ7RUHj_h-qkAFL92bcVjtIdVa-UlsCw"", ""Interns!O:O""), 
   ""Not Found"")"),"Hetal reached out by email 3/27")</f>
        <v>Hetal reached out by email 3/27</v>
      </c>
      <c r="AN1129" s="23"/>
      <c r="AO1129" s="23" t="s">
        <v>12352</v>
      </c>
      <c r="AP1129" s="28" t="s">
        <v>5182</v>
      </c>
      <c r="AQ1129" s="28" t="s">
        <v>12353</v>
      </c>
      <c r="AR1129" s="23" t="s">
        <v>12354</v>
      </c>
      <c r="AS1129" s="23"/>
      <c r="AT1129" s="23"/>
      <c r="AU1129" s="23"/>
      <c r="AV1129" s="23"/>
    </row>
    <row r="1130">
      <c r="A1130" s="28" t="s">
        <v>5161</v>
      </c>
      <c r="B1130" s="28" t="s">
        <v>31</v>
      </c>
      <c r="C1130" s="23" t="str">
        <f t="shared" si="1"/>
        <v>Doussouba Diakite</v>
      </c>
      <c r="D1130" s="28" t="s">
        <v>11468</v>
      </c>
      <c r="E1130" s="28" t="s">
        <v>11469</v>
      </c>
      <c r="F1130" s="23">
        <f t="array" ref="F1130">IFERROR(
    INDEX('Hub Interns 226'!A:A, MATCH(C1130, 'Hub Interns 226'!B:B, 0)),"")</f>
        <v>105</v>
      </c>
      <c r="G1130" s="23">
        <f t="array" ref="G1130">IFERROR(
    INDEX('Hub Users 226'!A:A, MATCH(C1130, 'Hub Users 226'!B:B, 0)),"")</f>
        <v>538</v>
      </c>
      <c r="H1130" s="28">
        <v>1476.0</v>
      </c>
      <c r="I1130" s="28" t="s">
        <v>239</v>
      </c>
      <c r="J1130" s="28"/>
      <c r="K1130" s="28"/>
      <c r="L1130" s="28" t="s">
        <v>5196</v>
      </c>
      <c r="M1130" s="56" t="s">
        <v>11471</v>
      </c>
      <c r="N1130" s="57">
        <v>44939.60902777778</v>
      </c>
      <c r="O1130" s="58">
        <v>39021.0</v>
      </c>
      <c r="P1130" s="28">
        <f t="shared" si="32"/>
        <v>19</v>
      </c>
      <c r="Q1130" s="28" t="s">
        <v>11472</v>
      </c>
      <c r="R1130" s="28" t="s">
        <v>11473</v>
      </c>
      <c r="S1130" s="28"/>
      <c r="T1130" s="28"/>
      <c r="U1130" s="28"/>
      <c r="V1130" s="28"/>
      <c r="W1130" s="28" t="s">
        <v>859</v>
      </c>
      <c r="X1130" s="28" t="s">
        <v>272</v>
      </c>
      <c r="Y1130" s="28" t="s">
        <v>11474</v>
      </c>
      <c r="Z1130" s="28" t="s">
        <v>5259</v>
      </c>
      <c r="AA1130" s="28" t="s">
        <v>704</v>
      </c>
      <c r="AB1130" s="28">
        <v>2.0</v>
      </c>
      <c r="AC1130" s="28" t="s">
        <v>28</v>
      </c>
      <c r="AD1130" s="23"/>
      <c r="AE1130" s="28" t="s">
        <v>15</v>
      </c>
      <c r="AF1130" s="23"/>
      <c r="AG1130" s="23"/>
      <c r="AH1130" s="23" t="str">
        <f>IFERROR(__xludf.DUMMYFUNCTION("IF(
ISNUMBER(MATCH(
C1130,
IMPORTRANGE(""https://docs.google.com/spreadsheets/d/1yTh1ELC33JHYOeEdgIiEclxPRyh0zOKtlawDltfUay8"",""'Interns'!A:A""),
0
)),
""Outreach Conducted"",
"""")"),"")</f>
        <v/>
      </c>
      <c r="AI1130" s="23"/>
      <c r="AJ1130" s="23"/>
      <c r="AK1130" s="23" t="str">
        <f>IFERROR(__xludf.DUMMYFUNCTION("XLOOKUP(C1130, 
   IMPORTRANGE(""1RdEdgHYrZ33LJ7RUHj_h-qkAFL92bcVjtIdVa-UlsCw"", ""Interns!D:D""), 
   IMPORTRANGE(""1RdEdgHYrZ33LJ7RUHj_h-qkAFL92bcVjtIdVa-UlsCw"", ""Interns!M:M""), 
   ""Not Found"")"),"")</f>
        <v/>
      </c>
      <c r="AL1130" s="23" t="str">
        <f>IFERROR(__xludf.DUMMYFUNCTION("XLOOKUP(C1130, 
   IMPORTRANGE(""1RdEdgHYrZ33LJ7RUHj_h-qkAFL92bcVjtIdVa-UlsCw"", ""Interns!D:D""), 
   IMPORTRANGE(""1RdEdgHYrZ33LJ7RUHj_h-qkAFL92bcVjtIdVa-UlsCw"", ""Interns!N:N""), 
   ""Not Found"")"),"")</f>
        <v/>
      </c>
      <c r="AM1130" s="23" t="str">
        <f>IFERROR(__xludf.DUMMYFUNCTION("XLOOKUP(C1130, 
   IMPORTRANGE(""1RdEdgHYrZ33LJ7RUHj_h-qkAFL92bcVjtIdVa-UlsCw"", ""Interns!D:D""), 
   IMPORTRANGE(""1RdEdgHYrZ33LJ7RUHj_h-qkAFL92bcVjtIdVa-UlsCw"", ""Interns!O:O""), 
   ""Not Found"")"),"")</f>
        <v/>
      </c>
      <c r="AN1130" s="23"/>
      <c r="AO1130" s="23" t="s">
        <v>11475</v>
      </c>
      <c r="AP1130" s="28" t="s">
        <v>5989</v>
      </c>
      <c r="AQ1130" s="28" t="s">
        <v>11476</v>
      </c>
      <c r="AR1130" s="23" t="s">
        <v>11477</v>
      </c>
      <c r="AS1130" s="23"/>
      <c r="AT1130" s="23"/>
      <c r="AU1130" s="23"/>
      <c r="AV1130" s="23"/>
    </row>
    <row r="1131">
      <c r="A1131" s="28" t="s">
        <v>5161</v>
      </c>
      <c r="B1131" s="28" t="s">
        <v>5162</v>
      </c>
      <c r="C1131" s="23" t="str">
        <f t="shared" si="1"/>
        <v>Elvianny (Pamela) De Jesús</v>
      </c>
      <c r="D1131" s="28" t="s">
        <v>12355</v>
      </c>
      <c r="E1131" s="28" t="s">
        <v>12356</v>
      </c>
      <c r="F1131" s="23">
        <f t="array" ref="F1131">IFERROR(
    INDEX('Hub Interns 226'!A:A, MATCH(C1131, 'Hub Interns 226'!B:B, 0)),"")</f>
        <v>468</v>
      </c>
      <c r="G1131" s="28">
        <v>901.0</v>
      </c>
      <c r="H1131" s="28">
        <v>1474.0</v>
      </c>
      <c r="I1131" s="28" t="s">
        <v>407</v>
      </c>
      <c r="J1131" s="28" t="s">
        <v>12357</v>
      </c>
      <c r="K1131" s="28" t="s">
        <v>5177</v>
      </c>
      <c r="L1131" s="28" t="s">
        <v>5196</v>
      </c>
      <c r="M1131" s="56" t="s">
        <v>12358</v>
      </c>
      <c r="N1131" s="57">
        <v>44939.53888888889</v>
      </c>
      <c r="O1131" s="58">
        <v>38579.0</v>
      </c>
      <c r="P1131" s="28">
        <f t="shared" si="32"/>
        <v>20</v>
      </c>
      <c r="Q1131" s="28" t="s">
        <v>12359</v>
      </c>
      <c r="R1131" s="28" t="s">
        <v>12360</v>
      </c>
      <c r="S1131" s="28">
        <v>15.0</v>
      </c>
      <c r="T1131" s="28">
        <v>32.0</v>
      </c>
      <c r="U1131" s="28">
        <v>77.0</v>
      </c>
      <c r="V1131" s="28">
        <v>16.0</v>
      </c>
      <c r="W1131" s="28" t="s">
        <v>859</v>
      </c>
      <c r="X1131" s="28" t="s">
        <v>272</v>
      </c>
      <c r="Y1131" s="28" t="s">
        <v>12361</v>
      </c>
      <c r="Z1131" s="28" t="s">
        <v>5918</v>
      </c>
      <c r="AA1131" s="28" t="s">
        <v>477</v>
      </c>
      <c r="AB1131" s="28">
        <v>15.0</v>
      </c>
      <c r="AC1131" s="28" t="s">
        <v>25</v>
      </c>
      <c r="AD1131" s="23"/>
      <c r="AE1131" s="28" t="s">
        <v>15</v>
      </c>
      <c r="AF1131" s="23" t="str">
        <f>IFERROR(__xludf.DUMMYFUNCTION("TEXTJOIN("", "", TRUE,
  FILTER(Champions!C:C,
    ISNUMBER(SEARCH(C1131, Champions!W:W))
  )
)"),"Gisela Castaneda, Chelsea Baker")</f>
        <v>Gisela Castaneda, Chelsea Baker</v>
      </c>
      <c r="AG1131" s="23"/>
      <c r="AH1131" s="23" t="str">
        <f>IFERROR(__xludf.DUMMYFUNCTION("IF(
ISNUMBER(MATCH(
C1131,
IMPORTRANGE(""https://docs.google.com/spreadsheets/d/1yTh1ELC33JHYOeEdgIiEclxPRyh0zOKtlawDltfUay8"",""'Interns'!A:A""),
0
)),
""Outreach Conducted"",
"""")"),"")</f>
        <v/>
      </c>
      <c r="AI1131" s="23"/>
      <c r="AJ1131" s="28" t="s">
        <v>12362</v>
      </c>
      <c r="AK1131" s="23" t="str">
        <f>IFERROR(__xludf.DUMMYFUNCTION("XLOOKUP(C1131, 
   IMPORTRANGE(""1RdEdgHYrZ33LJ7RUHj_h-qkAFL92bcVjtIdVa-UlsCw"", ""Interns!D:D""), 
   IMPORTRANGE(""1RdEdgHYrZ33LJ7RUHj_h-qkAFL92bcVjtIdVa-UlsCw"", ""Interns!M:M""), 
   ""Not Found"")"),"")</f>
        <v/>
      </c>
      <c r="AL1131" s="23" t="str">
        <f>IFERROR(__xludf.DUMMYFUNCTION("XLOOKUP(C1131, 
   IMPORTRANGE(""1RdEdgHYrZ33LJ7RUHj_h-qkAFL92bcVjtIdVa-UlsCw"", ""Interns!D:D""), 
   IMPORTRANGE(""1RdEdgHYrZ33LJ7RUHj_h-qkAFL92bcVjtIdVa-UlsCw"", ""Interns!N:N""), 
   ""Not Found"")"),"")</f>
        <v/>
      </c>
      <c r="AM1131" s="23" t="str">
        <f>IFERROR(__xludf.DUMMYFUNCTION("XLOOKUP(C1131, 
   IMPORTRANGE(""1RdEdgHYrZ33LJ7RUHj_h-qkAFL92bcVjtIdVa-UlsCw"", ""Interns!D:D""), 
   IMPORTRANGE(""1RdEdgHYrZ33LJ7RUHj_h-qkAFL92bcVjtIdVa-UlsCw"", ""Interns!O:O""), 
   ""Not Found"")"),"Alicia reached out by email on 5/15 for #SpeakingMyName")</f>
        <v>Alicia reached out by email on 5/15 for #SpeakingMyName</v>
      </c>
      <c r="AN1131" s="23"/>
      <c r="AO1131" s="23" t="s">
        <v>12363</v>
      </c>
      <c r="AP1131" s="28" t="s">
        <v>5989</v>
      </c>
      <c r="AQ1131" s="28" t="s">
        <v>12364</v>
      </c>
      <c r="AR1131" s="23" t="s">
        <v>12365</v>
      </c>
      <c r="AS1131" s="23"/>
      <c r="AT1131" s="23"/>
      <c r="AU1131" s="23"/>
      <c r="AV1131" s="23"/>
    </row>
    <row r="1132">
      <c r="A1132" s="28" t="s">
        <v>5161</v>
      </c>
      <c r="B1132" s="28" t="s">
        <v>5162</v>
      </c>
      <c r="C1132" s="23" t="str">
        <f t="shared" si="1"/>
        <v>Merilyn Ortiz Rodriguez</v>
      </c>
      <c r="D1132" s="28" t="s">
        <v>12366</v>
      </c>
      <c r="E1132" s="28" t="s">
        <v>12367</v>
      </c>
      <c r="F1132" s="23">
        <f t="array" ref="F1132">IFERROR(
    INDEX('Hub Interns 226'!A:A, MATCH(C1132, 'Hub Interns 226'!B:B, 0)),"")</f>
        <v>877</v>
      </c>
      <c r="G1132" s="23">
        <f t="array" ref="G1132">IFERROR(
    INDEX('Hub Users 226'!A:A, MATCH(C1132, 'Hub Users 226'!B:B, 0)),"")</f>
        <v>1310</v>
      </c>
      <c r="H1132" s="28">
        <v>453.0</v>
      </c>
      <c r="I1132" s="28" t="s">
        <v>260</v>
      </c>
      <c r="J1132" s="28" t="s">
        <v>12357</v>
      </c>
      <c r="K1132" s="28" t="s">
        <v>5177</v>
      </c>
      <c r="L1132" s="28" t="s">
        <v>5196</v>
      </c>
      <c r="M1132" s="56" t="s">
        <v>12368</v>
      </c>
      <c r="N1132" s="57">
        <v>44355.56736111111</v>
      </c>
      <c r="O1132" s="58">
        <v>38519.0</v>
      </c>
      <c r="P1132" s="28">
        <f t="shared" si="32"/>
        <v>20</v>
      </c>
      <c r="Q1132" s="28" t="s">
        <v>240</v>
      </c>
      <c r="R1132" s="28" t="s">
        <v>12369</v>
      </c>
      <c r="S1132" s="28"/>
      <c r="T1132" s="28"/>
      <c r="U1132" s="28"/>
      <c r="V1132" s="28"/>
      <c r="W1132" s="28" t="s">
        <v>12324</v>
      </c>
      <c r="X1132" s="28" t="s">
        <v>465</v>
      </c>
      <c r="Y1132" s="28" t="s">
        <v>12370</v>
      </c>
      <c r="Z1132" s="28" t="s">
        <v>12326</v>
      </c>
      <c r="AA1132" s="28" t="s">
        <v>12327</v>
      </c>
      <c r="AB1132" s="28" t="s">
        <v>12328</v>
      </c>
      <c r="AC1132" s="28" t="s">
        <v>24</v>
      </c>
      <c r="AD1132" s="23"/>
      <c r="AE1132" s="28" t="s">
        <v>10</v>
      </c>
      <c r="AF1132" s="23"/>
      <c r="AG1132" s="23"/>
      <c r="AH1132" s="23" t="str">
        <f>IFERROR(__xludf.DUMMYFUNCTION("IF(
ISNUMBER(MATCH(
C1132,
IMPORTRANGE(""https://docs.google.com/spreadsheets/d/1yTh1ELC33JHYOeEdgIiEclxPRyh0zOKtlawDltfUay8"",""'Interns'!A:A""),
0
)),
""Outreach Conducted"",
"""")"),"")</f>
        <v/>
      </c>
      <c r="AI1132" s="23"/>
      <c r="AJ1132" s="23"/>
      <c r="AK1132" s="23" t="str">
        <f>IFERROR(__xludf.DUMMYFUNCTION("XLOOKUP(C1132, 
   IMPORTRANGE(""1RdEdgHYrZ33LJ7RUHj_h-qkAFL92bcVjtIdVa-UlsCw"", ""Interns!D:D""), 
   IMPORTRANGE(""1RdEdgHYrZ33LJ7RUHj_h-qkAFL92bcVjtIdVa-UlsCw"", ""Interns!M:M""), 
   ""Not Found"")"),"")</f>
        <v/>
      </c>
      <c r="AL1132" s="23" t="str">
        <f>IFERROR(__xludf.DUMMYFUNCTION("XLOOKUP(C1132, 
   IMPORTRANGE(""1RdEdgHYrZ33LJ7RUHj_h-qkAFL92bcVjtIdVa-UlsCw"", ""Interns!D:D""), 
   IMPORTRANGE(""1RdEdgHYrZ33LJ7RUHj_h-qkAFL92bcVjtIdVa-UlsCw"", ""Interns!N:N""), 
   ""Not Found"")"),"")</f>
        <v/>
      </c>
      <c r="AM1132" s="23" t="str">
        <f>IFERROR(__xludf.DUMMYFUNCTION("XLOOKUP(C1132, 
   IMPORTRANGE(""1RdEdgHYrZ33LJ7RUHj_h-qkAFL92bcVjtIdVa-UlsCw"", ""Interns!D:D""), 
   IMPORTRANGE(""1RdEdgHYrZ33LJ7RUHj_h-qkAFL92bcVjtIdVa-UlsCw"", ""Interns!O:O""), 
   ""Not Found"")"),"")</f>
        <v/>
      </c>
      <c r="AN1132" s="23"/>
      <c r="AO1132" s="23" t="s">
        <v>12371</v>
      </c>
      <c r="AP1132" s="28" t="s">
        <v>5182</v>
      </c>
      <c r="AQ1132" s="28"/>
      <c r="AR1132" s="23"/>
      <c r="AS1132" s="23"/>
      <c r="AT1132" s="23"/>
      <c r="AU1132" s="23"/>
      <c r="AV1132" s="23"/>
    </row>
    <row r="1133">
      <c r="A1133" s="28" t="s">
        <v>5161</v>
      </c>
      <c r="B1133" s="28" t="s">
        <v>5162</v>
      </c>
      <c r="C1133" s="23" t="str">
        <f t="shared" si="1"/>
        <v>Ivelisse Valentin</v>
      </c>
      <c r="D1133" s="28" t="s">
        <v>12372</v>
      </c>
      <c r="E1133" s="28" t="s">
        <v>12373</v>
      </c>
      <c r="F1133" s="23">
        <f t="array" ref="F1133">IFERROR(
    INDEX('Hub Interns 226'!A:A, MATCH(C1133, 'Hub Interns 226'!B:B, 0)),"")</f>
        <v>604</v>
      </c>
      <c r="G1133" s="23">
        <f t="array" ref="G1133">IFERROR(
    INDEX('Hub Users 226'!A:A, MATCH(C1133, 'Hub Users 226'!B:B, 0)),"")</f>
        <v>1037</v>
      </c>
      <c r="H1133" s="28">
        <v>346.0</v>
      </c>
      <c r="I1133" s="28" t="s">
        <v>260</v>
      </c>
      <c r="J1133" s="28" t="s">
        <v>12357</v>
      </c>
      <c r="K1133" s="28" t="s">
        <v>5177</v>
      </c>
      <c r="L1133" s="28" t="s">
        <v>5196</v>
      </c>
      <c r="M1133" s="56" t="s">
        <v>12374</v>
      </c>
      <c r="N1133" s="57">
        <v>44244.5875</v>
      </c>
      <c r="O1133" s="58">
        <v>38268.0</v>
      </c>
      <c r="P1133" s="28">
        <f t="shared" si="32"/>
        <v>21</v>
      </c>
      <c r="Q1133" s="28" t="s">
        <v>12375</v>
      </c>
      <c r="R1133" s="28" t="s">
        <v>12376</v>
      </c>
      <c r="S1133" s="28"/>
      <c r="T1133" s="28"/>
      <c r="U1133" s="28"/>
      <c r="V1133" s="28"/>
      <c r="W1133" s="28" t="s">
        <v>294</v>
      </c>
      <c r="X1133" s="28" t="s">
        <v>272</v>
      </c>
      <c r="Y1133" s="28" t="s">
        <v>12377</v>
      </c>
      <c r="Z1133" s="28" t="s">
        <v>7813</v>
      </c>
      <c r="AA1133" s="28" t="s">
        <v>2033</v>
      </c>
      <c r="AB1133" s="28">
        <v>37.0</v>
      </c>
      <c r="AC1133" s="28" t="s">
        <v>25</v>
      </c>
      <c r="AD1133" s="23"/>
      <c r="AE1133" s="28" t="s">
        <v>8</v>
      </c>
      <c r="AF1133" s="23" t="str">
        <f>IFERROR(__xludf.DUMMYFUNCTION("TEXTJOIN("", "", TRUE,
  FILTER(Champions!C:C,
    ISNUMBER(SEARCH(C1133, Champions!W:W))
  )
)"),"Ayanna Lyons, Seema Dixit")</f>
        <v>Ayanna Lyons, Seema Dixit</v>
      </c>
      <c r="AG1133" s="23"/>
      <c r="AH1133" s="23" t="str">
        <f>IFERROR(__xludf.DUMMYFUNCTION("IF(
ISNUMBER(MATCH(
C1133,
IMPORTRANGE(""https://docs.google.com/spreadsheets/d/1yTh1ELC33JHYOeEdgIiEclxPRyh0zOKtlawDltfUay8"",""'Interns'!A:A""),
0
)),
""Outreach Conducted"",
"""")"),"")</f>
        <v/>
      </c>
      <c r="AI1133" s="23"/>
      <c r="AJ1133" s="23"/>
      <c r="AK1133" s="23" t="str">
        <f>IFERROR(__xludf.DUMMYFUNCTION("XLOOKUP(C1133, 
   IMPORTRANGE(""1RdEdgHYrZ33LJ7RUHj_h-qkAFL92bcVjtIdVa-UlsCw"", ""Interns!D:D""), 
   IMPORTRANGE(""1RdEdgHYrZ33LJ7RUHj_h-qkAFL92bcVjtIdVa-UlsCw"", ""Interns!M:M""), 
   ""Not Found"")"),"")</f>
        <v/>
      </c>
      <c r="AL1133" s="23" t="str">
        <f>IFERROR(__xludf.DUMMYFUNCTION("XLOOKUP(C1133, 
   IMPORTRANGE(""1RdEdgHYrZ33LJ7RUHj_h-qkAFL92bcVjtIdVa-UlsCw"", ""Interns!D:D""), 
   IMPORTRANGE(""1RdEdgHYrZ33LJ7RUHj_h-qkAFL92bcVjtIdVa-UlsCw"", ""Interns!N:N""), 
   ""Not Found"")"),"")</f>
        <v/>
      </c>
      <c r="AM1133" s="23" t="str">
        <f>IFERROR(__xludf.DUMMYFUNCTION("XLOOKUP(C1133, 
   IMPORTRANGE(""1RdEdgHYrZ33LJ7RUHj_h-qkAFL92bcVjtIdVa-UlsCw"", ""Interns!D:D""), 
   IMPORTRANGE(""1RdEdgHYrZ33LJ7RUHj_h-qkAFL92bcVjtIdVa-UlsCw"", ""Interns!O:O""), 
   ""Not Found"")"),"")</f>
        <v/>
      </c>
      <c r="AN1133" s="23"/>
      <c r="AO1133" s="23" t="s">
        <v>12378</v>
      </c>
      <c r="AP1133" s="28" t="s">
        <v>5182</v>
      </c>
      <c r="AQ1133" s="28" t="s">
        <v>12379</v>
      </c>
      <c r="AR1133" s="23" t="s">
        <v>12380</v>
      </c>
      <c r="AS1133" s="23"/>
      <c r="AT1133" s="23"/>
      <c r="AU1133" s="23"/>
      <c r="AV1133" s="23"/>
    </row>
    <row r="1134">
      <c r="A1134" s="28" t="s">
        <v>5161</v>
      </c>
      <c r="B1134" s="28" t="s">
        <v>31</v>
      </c>
      <c r="C1134" s="23" t="str">
        <f t="shared" si="1"/>
        <v>Ashwini Borela</v>
      </c>
      <c r="D1134" s="28" t="s">
        <v>12290</v>
      </c>
      <c r="E1134" s="28" t="s">
        <v>12291</v>
      </c>
      <c r="F1134" s="23">
        <f t="array" ref="F1134">IFERROR(
    INDEX('Hub Interns 226'!A:A, MATCH(C1134, 'Hub Interns 226'!B:B, 0)),"")</f>
        <v>201</v>
      </c>
      <c r="G1134" s="23">
        <f t="array" ref="G1134">IFERROR(
    INDEX('Hub Users 226'!A:A, MATCH(C1134, 'Hub Users 226'!B:B, 0)),"")</f>
        <v>634</v>
      </c>
      <c r="H1134" s="28">
        <v>1480.0</v>
      </c>
      <c r="I1134" s="28" t="s">
        <v>107</v>
      </c>
      <c r="J1134" s="28"/>
      <c r="K1134" s="28"/>
      <c r="L1134" s="28" t="s">
        <v>5196</v>
      </c>
      <c r="M1134" s="56" t="s">
        <v>12292</v>
      </c>
      <c r="N1134" s="57">
        <v>44939.614583333336</v>
      </c>
      <c r="O1134" s="58">
        <v>38285.0</v>
      </c>
      <c r="P1134" s="28">
        <f t="shared" si="32"/>
        <v>21</v>
      </c>
      <c r="Q1134" s="28" t="s">
        <v>12293</v>
      </c>
      <c r="R1134" s="28" t="s">
        <v>12294</v>
      </c>
      <c r="S1134" s="28"/>
      <c r="T1134" s="28"/>
      <c r="U1134" s="28"/>
      <c r="V1134" s="28"/>
      <c r="W1134" s="28" t="s">
        <v>271</v>
      </c>
      <c r="X1134" s="28" t="s">
        <v>272</v>
      </c>
      <c r="Y1134" s="28" t="s">
        <v>12295</v>
      </c>
      <c r="Z1134" s="28" t="s">
        <v>5259</v>
      </c>
      <c r="AA1134" s="28" t="s">
        <v>704</v>
      </c>
      <c r="AB1134" s="28">
        <v>2.0</v>
      </c>
      <c r="AC1134" s="28" t="s">
        <v>28</v>
      </c>
      <c r="AD1134" s="23"/>
      <c r="AE1134" s="28" t="s">
        <v>15</v>
      </c>
      <c r="AF1134" s="23"/>
      <c r="AG1134" s="23"/>
      <c r="AH1134" s="23" t="str">
        <f>IFERROR(__xludf.DUMMYFUNCTION("IF(
ISNUMBER(MATCH(
C1134,
IMPORTRANGE(""https://docs.google.com/spreadsheets/d/1yTh1ELC33JHYOeEdgIiEclxPRyh0zOKtlawDltfUay8"",""'Interns'!A:A""),
0
)),
""Outreach Conducted"",
"""")"),"")</f>
        <v/>
      </c>
      <c r="AI1134" s="23"/>
      <c r="AJ1134" s="23"/>
      <c r="AK1134" s="23" t="str">
        <f>IFERROR(__xludf.DUMMYFUNCTION("XLOOKUP(C1134, 
   IMPORTRANGE(""1RdEdgHYrZ33LJ7RUHj_h-qkAFL92bcVjtIdVa-UlsCw"", ""Interns!D:D""), 
   IMPORTRANGE(""1RdEdgHYrZ33LJ7RUHj_h-qkAFL92bcVjtIdVa-UlsCw"", ""Interns!M:M""), 
   ""Not Found"")"),"")</f>
        <v/>
      </c>
      <c r="AL1134" s="23" t="str">
        <f>IFERROR(__xludf.DUMMYFUNCTION("XLOOKUP(C1134, 
   IMPORTRANGE(""1RdEdgHYrZ33LJ7RUHj_h-qkAFL92bcVjtIdVa-UlsCw"", ""Interns!D:D""), 
   IMPORTRANGE(""1RdEdgHYrZ33LJ7RUHj_h-qkAFL92bcVjtIdVa-UlsCw"", ""Interns!N:N""), 
   ""Not Found"")"),"")</f>
        <v/>
      </c>
      <c r="AM1134" s="23" t="str">
        <f>IFERROR(__xludf.DUMMYFUNCTION("XLOOKUP(C1134, 
   IMPORTRANGE(""1RdEdgHYrZ33LJ7RUHj_h-qkAFL92bcVjtIdVa-UlsCw"", ""Interns!D:D""), 
   IMPORTRANGE(""1RdEdgHYrZ33LJ7RUHj_h-qkAFL92bcVjtIdVa-UlsCw"", ""Interns!O:O""), 
   ""Not Found"")"),"")</f>
        <v/>
      </c>
      <c r="AN1134" s="23"/>
      <c r="AO1134" s="23" t="s">
        <v>12296</v>
      </c>
      <c r="AP1134" s="28" t="s">
        <v>5182</v>
      </c>
      <c r="AQ1134" s="28" t="s">
        <v>12297</v>
      </c>
      <c r="AR1134" s="23" t="s">
        <v>12298</v>
      </c>
      <c r="AS1134" s="23"/>
      <c r="AT1134" s="23"/>
      <c r="AU1134" s="23"/>
      <c r="AV1134" s="23"/>
    </row>
    <row r="1135">
      <c r="A1135" s="28" t="s">
        <v>5161</v>
      </c>
      <c r="B1135" s="28" t="s">
        <v>5162</v>
      </c>
      <c r="C1135" s="23" t="str">
        <f t="shared" si="1"/>
        <v>Alex Aquino Cruz</v>
      </c>
      <c r="D1135" s="28" t="s">
        <v>11724</v>
      </c>
      <c r="E1135" s="28" t="s">
        <v>12381</v>
      </c>
      <c r="F1135" s="23" t="str">
        <f t="array" ref="F1135">IFERROR(
    INDEX('Hub Interns 226'!A:A, MATCH(C1135, 'Hub Interns 226'!B:B, 0)),"")</f>
        <v/>
      </c>
      <c r="G1135" s="23">
        <f t="array" ref="G1135">IFERROR(
    INDEX('Hub Users 226'!A:A, MATCH(C1135, 'Hub Users 226'!B:B, 0)),"")</f>
        <v>2618</v>
      </c>
      <c r="H1135" s="28">
        <v>850.0</v>
      </c>
      <c r="I1135" s="28" t="s">
        <v>239</v>
      </c>
      <c r="J1135" s="28" t="s">
        <v>11092</v>
      </c>
      <c r="K1135" s="28" t="s">
        <v>5177</v>
      </c>
      <c r="L1135" s="28" t="s">
        <v>5165</v>
      </c>
      <c r="M1135" s="56" t="s">
        <v>12382</v>
      </c>
      <c r="N1135" s="57">
        <v>44586.92013888889</v>
      </c>
      <c r="O1135" s="58">
        <v>38624.0</v>
      </c>
      <c r="P1135" s="28">
        <f t="shared" si="32"/>
        <v>20</v>
      </c>
      <c r="Q1135" s="28" t="s">
        <v>240</v>
      </c>
      <c r="R1135" s="28" t="s">
        <v>12383</v>
      </c>
      <c r="S1135" s="28">
        <v>14.0</v>
      </c>
      <c r="T1135" s="28">
        <v>34.0</v>
      </c>
      <c r="U1135" s="28">
        <v>82.0</v>
      </c>
      <c r="V1135" s="28">
        <v>13.0</v>
      </c>
      <c r="W1135" s="28" t="s">
        <v>859</v>
      </c>
      <c r="X1135" s="28" t="s">
        <v>272</v>
      </c>
      <c r="Y1135" s="28" t="s">
        <v>12384</v>
      </c>
      <c r="Z1135" s="28" t="s">
        <v>5310</v>
      </c>
      <c r="AA1135" s="28" t="s">
        <v>362</v>
      </c>
      <c r="AB1135" s="28">
        <v>16.0</v>
      </c>
      <c r="AC1135" s="28" t="s">
        <v>25</v>
      </c>
      <c r="AD1135" s="23"/>
      <c r="AE1135" s="28" t="s">
        <v>10</v>
      </c>
      <c r="AF1135" s="23" t="str">
        <f>IFERROR(__xludf.DUMMYFUNCTION("TEXTJOIN("", "", TRUE,
  FILTER(Champions!C:C,
    ISNUMBER(SEARCH(C1135, Champions!W:W))
  )
)"),"Olga Patel, Yan Guan")</f>
        <v>Olga Patel, Yan Guan</v>
      </c>
      <c r="AG1135" s="26" t="s">
        <v>10723</v>
      </c>
      <c r="AH1135" s="23" t="str">
        <f>IFERROR(__xludf.DUMMYFUNCTION("IF(
ISNUMBER(MATCH(
C1135,
IMPORTRANGE(""https://docs.google.com/spreadsheets/d/1yTh1ELC33JHYOeEdgIiEclxPRyh0zOKtlawDltfUay8"",""'Interns'!A:A""),
0
)),
""Outreach Conducted"",
"""")"),"")</f>
        <v/>
      </c>
      <c r="AI1135" s="23"/>
      <c r="AJ1135" s="23"/>
      <c r="AK1135" s="23" t="str">
        <f>IFERROR(__xludf.DUMMYFUNCTION("XLOOKUP(C1135, 
   IMPORTRANGE(""1RdEdgHYrZ33LJ7RUHj_h-qkAFL92bcVjtIdVa-UlsCw"", ""Interns!D:D""), 
   IMPORTRANGE(""1RdEdgHYrZ33LJ7RUHj_h-qkAFL92bcVjtIdVa-UlsCw"", ""Interns!M:M""), 
   ""Not Found"")"),"Not Found")</f>
        <v>Not Found</v>
      </c>
      <c r="AL1135" s="23" t="str">
        <f>IFERROR(__xludf.DUMMYFUNCTION("XLOOKUP(C1135, 
   IMPORTRANGE(""1RdEdgHYrZ33LJ7RUHj_h-qkAFL92bcVjtIdVa-UlsCw"", ""Interns!D:D""), 
   IMPORTRANGE(""1RdEdgHYrZ33LJ7RUHj_h-qkAFL92bcVjtIdVa-UlsCw"", ""Interns!N:N""), 
   ""Not Found"")"),"Not Found")</f>
        <v>Not Found</v>
      </c>
      <c r="AM1135" s="23" t="str">
        <f>IFERROR(__xludf.DUMMYFUNCTION("XLOOKUP(C1135, 
   IMPORTRANGE(""1RdEdgHYrZ33LJ7RUHj_h-qkAFL92bcVjtIdVa-UlsCw"", ""Interns!D:D""), 
   IMPORTRANGE(""1RdEdgHYrZ33LJ7RUHj_h-qkAFL92bcVjtIdVa-UlsCw"", ""Interns!O:O""), 
   ""Not Found"")"),"Not Found")</f>
        <v>Not Found</v>
      </c>
      <c r="AN1135" s="23"/>
      <c r="AO1135" s="23" t="s">
        <v>12385</v>
      </c>
      <c r="AP1135" s="28" t="s">
        <v>5182</v>
      </c>
      <c r="AQ1135" s="28" t="s">
        <v>12386</v>
      </c>
      <c r="AR1135" s="23" t="s">
        <v>12387</v>
      </c>
      <c r="AS1135" s="23"/>
      <c r="AT1135" s="23"/>
      <c r="AU1135" s="23"/>
      <c r="AV1135" s="23"/>
    </row>
    <row r="1136">
      <c r="A1136" s="28" t="s">
        <v>5161</v>
      </c>
      <c r="B1136" s="28" t="s">
        <v>31</v>
      </c>
      <c r="C1136" s="23" t="str">
        <f t="shared" si="1"/>
        <v>Bintou Diop</v>
      </c>
      <c r="D1136" s="28" t="s">
        <v>12388</v>
      </c>
      <c r="E1136" s="28" t="s">
        <v>12389</v>
      </c>
      <c r="F1136" s="23">
        <f t="array" ref="F1136">IFERROR(
    INDEX('Hub Interns 226'!A:A, MATCH(C1136, 'Hub Interns 226'!B:B, 0)),"")</f>
        <v>300</v>
      </c>
      <c r="G1136" s="23">
        <f t="array" ref="G1136">IFERROR(
    INDEX('Hub Users 226'!A:A, MATCH(C1136, 'Hub Users 226'!B:B, 0)),"")</f>
        <v>733</v>
      </c>
      <c r="H1136" s="28">
        <v>1475.0</v>
      </c>
      <c r="I1136" s="28" t="s">
        <v>260</v>
      </c>
      <c r="J1136" s="28"/>
      <c r="K1136" s="28"/>
      <c r="L1136" s="28" t="s">
        <v>5196</v>
      </c>
      <c r="M1136" s="56" t="s">
        <v>12390</v>
      </c>
      <c r="N1136" s="57">
        <v>44939.59305555555</v>
      </c>
      <c r="O1136" s="58">
        <v>38212.0</v>
      </c>
      <c r="P1136" s="28">
        <f t="shared" si="32"/>
        <v>21</v>
      </c>
      <c r="Q1136" s="28" t="s">
        <v>12391</v>
      </c>
      <c r="R1136" s="28" t="s">
        <v>12392</v>
      </c>
      <c r="S1136" s="28"/>
      <c r="T1136" s="28"/>
      <c r="U1136" s="28"/>
      <c r="V1136" s="28"/>
      <c r="W1136" s="28" t="s">
        <v>271</v>
      </c>
      <c r="X1136" s="28" t="s">
        <v>272</v>
      </c>
      <c r="Y1136" s="28" t="s">
        <v>12393</v>
      </c>
      <c r="Z1136" s="28" t="s">
        <v>5259</v>
      </c>
      <c r="AA1136" s="28" t="s">
        <v>704</v>
      </c>
      <c r="AB1136" s="28">
        <v>2.0</v>
      </c>
      <c r="AC1136" s="28" t="s">
        <v>28</v>
      </c>
      <c r="AD1136" s="23"/>
      <c r="AE1136" s="28" t="s">
        <v>15</v>
      </c>
      <c r="AF1136" s="23"/>
      <c r="AG1136" s="23"/>
      <c r="AH1136" s="23" t="str">
        <f>IFERROR(__xludf.DUMMYFUNCTION("IF(
ISNUMBER(MATCH(
C1136,
IMPORTRANGE(""https://docs.google.com/spreadsheets/d/1yTh1ELC33JHYOeEdgIiEclxPRyh0zOKtlawDltfUay8"",""'Interns'!A:A""),
0
)),
""Outreach Conducted"",
"""")"),"")</f>
        <v/>
      </c>
      <c r="AI1136" s="23"/>
      <c r="AJ1136" s="23"/>
      <c r="AK1136" s="23" t="str">
        <f>IFERROR(__xludf.DUMMYFUNCTION("XLOOKUP(C1136, 
   IMPORTRANGE(""1RdEdgHYrZ33LJ7RUHj_h-qkAFL92bcVjtIdVa-UlsCw"", ""Interns!D:D""), 
   IMPORTRANGE(""1RdEdgHYrZ33LJ7RUHj_h-qkAFL92bcVjtIdVa-UlsCw"", ""Interns!M:M""), 
   ""Not Found"")"),"")</f>
        <v/>
      </c>
      <c r="AL1136" s="23" t="str">
        <f>IFERROR(__xludf.DUMMYFUNCTION("XLOOKUP(C1136, 
   IMPORTRANGE(""1RdEdgHYrZ33LJ7RUHj_h-qkAFL92bcVjtIdVa-UlsCw"", ""Interns!D:D""), 
   IMPORTRANGE(""1RdEdgHYrZ33LJ7RUHj_h-qkAFL92bcVjtIdVa-UlsCw"", ""Interns!N:N""), 
   ""Not Found"")"),"")</f>
        <v/>
      </c>
      <c r="AM1136" s="23" t="str">
        <f>IFERROR(__xludf.DUMMYFUNCTION("XLOOKUP(C1136, 
   IMPORTRANGE(""1RdEdgHYrZ33LJ7RUHj_h-qkAFL92bcVjtIdVa-UlsCw"", ""Interns!D:D""), 
   IMPORTRANGE(""1RdEdgHYrZ33LJ7RUHj_h-qkAFL92bcVjtIdVa-UlsCw"", ""Interns!O:O""), 
   ""Not Found"")"),"")</f>
        <v/>
      </c>
      <c r="AN1136" s="23"/>
      <c r="AO1136" s="23" t="s">
        <v>12394</v>
      </c>
      <c r="AP1136" s="28" t="s">
        <v>5240</v>
      </c>
      <c r="AQ1136" s="28" t="s">
        <v>12395</v>
      </c>
      <c r="AR1136" s="23" t="s">
        <v>12396</v>
      </c>
      <c r="AS1136" s="23"/>
      <c r="AT1136" s="23"/>
      <c r="AU1136" s="23"/>
      <c r="AV1136" s="23"/>
    </row>
    <row r="1137">
      <c r="A1137" s="28" t="s">
        <v>5161</v>
      </c>
      <c r="B1137" s="28" t="s">
        <v>5162</v>
      </c>
      <c r="C1137" s="23" t="str">
        <f t="shared" si="1"/>
        <v>Omairi Cruz Tejada</v>
      </c>
      <c r="D1137" s="28" t="s">
        <v>12397</v>
      </c>
      <c r="E1137" s="28" t="s">
        <v>12398</v>
      </c>
      <c r="F1137" s="23">
        <f t="array" ref="F1137">IFERROR(
    INDEX('Hub Interns 226'!A:A, MATCH(C1137, 'Hub Interns 226'!B:B, 0)),"")</f>
        <v>965</v>
      </c>
      <c r="G1137" s="23">
        <f t="array" ref="G1137">IFERROR(
    INDEX('Hub Users 226'!A:A, MATCH(C1137, 'Hub Users 226'!B:B, 0)),"")</f>
        <v>1398</v>
      </c>
      <c r="H1137" s="28">
        <v>505.0</v>
      </c>
      <c r="I1137" s="28" t="s">
        <v>425</v>
      </c>
      <c r="J1137" s="28" t="s">
        <v>5336</v>
      </c>
      <c r="K1137" s="28" t="s">
        <v>5177</v>
      </c>
      <c r="L1137" s="28" t="s">
        <v>5196</v>
      </c>
      <c r="M1137" s="56" t="s">
        <v>12399</v>
      </c>
      <c r="N1137" s="57">
        <v>44476.600694444445</v>
      </c>
      <c r="O1137" s="58">
        <v>38380.0</v>
      </c>
      <c r="P1137" s="28">
        <f t="shared" si="32"/>
        <v>21</v>
      </c>
      <c r="Q1137" s="28" t="s">
        <v>240</v>
      </c>
      <c r="R1137" s="28" t="s">
        <v>12400</v>
      </c>
      <c r="S1137" s="28">
        <v>14.0</v>
      </c>
      <c r="T1137" s="28">
        <v>33.0</v>
      </c>
      <c r="U1137" s="28">
        <v>80.0</v>
      </c>
      <c r="V1137" s="28">
        <v>13.0</v>
      </c>
      <c r="W1137" s="28" t="s">
        <v>859</v>
      </c>
      <c r="X1137" s="28" t="s">
        <v>272</v>
      </c>
      <c r="Y1137" s="28" t="s">
        <v>12401</v>
      </c>
      <c r="Z1137" s="28" t="s">
        <v>5918</v>
      </c>
      <c r="AA1137" s="28" t="s">
        <v>477</v>
      </c>
      <c r="AB1137" s="28">
        <v>15.0</v>
      </c>
      <c r="AC1137" s="28" t="s">
        <v>25</v>
      </c>
      <c r="AD1137" s="23"/>
      <c r="AE1137" s="28" t="s">
        <v>10</v>
      </c>
      <c r="AF1137" s="23" t="str">
        <f>IFERROR(__xludf.DUMMYFUNCTION("TEXTJOIN("", "", TRUE,
  FILTER(Champions!C:C,
    ISNUMBER(SEARCH(C1137, Champions!W:W))
  )
)"),"AUGUSTO SALCEDO, Esteban Proaño, Carolina Parra")</f>
        <v>AUGUSTO SALCEDO, Esteban Proaño, Carolina Parra</v>
      </c>
      <c r="AG1137" s="23"/>
      <c r="AH1137" s="23" t="str">
        <f>IFERROR(__xludf.DUMMYFUNCTION("IF(
ISNUMBER(MATCH(
C1137,
IMPORTRANGE(""https://docs.google.com/spreadsheets/d/1yTh1ELC33JHYOeEdgIiEclxPRyh0zOKtlawDltfUay8"",""'Interns'!A:A""),
0
)),
""Outreach Conducted"",
"""")"),"")</f>
        <v/>
      </c>
      <c r="AI1137" s="23"/>
      <c r="AJ1137" s="23"/>
      <c r="AK1137" s="23" t="str">
        <f>IFERROR(__xludf.DUMMYFUNCTION("XLOOKUP(C1137, 
   IMPORTRANGE(""1RdEdgHYrZ33LJ7RUHj_h-qkAFL92bcVjtIdVa-UlsCw"", ""Interns!D:D""), 
   IMPORTRANGE(""1RdEdgHYrZ33LJ7RUHj_h-qkAFL92bcVjtIdVa-UlsCw"", ""Interns!M:M""), 
   ""Not Found"")"),"")</f>
        <v/>
      </c>
      <c r="AL1137" s="23" t="str">
        <f>IFERROR(__xludf.DUMMYFUNCTION("XLOOKUP(C1137, 
   IMPORTRANGE(""1RdEdgHYrZ33LJ7RUHj_h-qkAFL92bcVjtIdVa-UlsCw"", ""Interns!D:D""), 
   IMPORTRANGE(""1RdEdgHYrZ33LJ7RUHj_h-qkAFL92bcVjtIdVa-UlsCw"", ""Interns!N:N""), 
   ""Not Found"")"),"")</f>
        <v/>
      </c>
      <c r="AM1137" s="23" t="str">
        <f>IFERROR(__xludf.DUMMYFUNCTION("XLOOKUP(C1137, 
   IMPORTRANGE(""1RdEdgHYrZ33LJ7RUHj_h-qkAFL92bcVjtIdVa-UlsCw"", ""Interns!D:D""), 
   IMPORTRANGE(""1RdEdgHYrZ33LJ7RUHj_h-qkAFL92bcVjtIdVa-UlsCw"", ""Interns!O:O""), 
   ""Not Found"")"),"")</f>
        <v/>
      </c>
      <c r="AN1137" s="23"/>
      <c r="AO1137" s="23" t="s">
        <v>12402</v>
      </c>
      <c r="AP1137" s="28" t="s">
        <v>5182</v>
      </c>
      <c r="AQ1137" s="28" t="s">
        <v>12403</v>
      </c>
      <c r="AR1137" s="23" t="s">
        <v>12404</v>
      </c>
      <c r="AS1137" s="23"/>
      <c r="AT1137" s="23"/>
      <c r="AU1137" s="23"/>
      <c r="AV1137" s="23"/>
    </row>
    <row r="1138">
      <c r="A1138" s="28" t="s">
        <v>5161</v>
      </c>
      <c r="B1138" s="28" t="s">
        <v>5162</v>
      </c>
      <c r="C1138" s="23" t="str">
        <f t="shared" si="1"/>
        <v>Yomar Matias</v>
      </c>
      <c r="D1138" s="28" t="s">
        <v>12405</v>
      </c>
      <c r="E1138" s="28" t="s">
        <v>12406</v>
      </c>
      <c r="F1138" s="23">
        <f t="array" ref="F1138">IFERROR(
    INDEX('Hub Interns 226'!A:A, MATCH(C1138, 'Hub Interns 226'!B:B, 0)),"")</f>
        <v>1237</v>
      </c>
      <c r="G1138" s="23">
        <f t="array" ref="G1138">IFERROR(
    INDEX('Hub Users 226'!A:A, MATCH(C1138, 'Hub Users 226'!B:B, 0)),"")</f>
        <v>1670</v>
      </c>
      <c r="H1138" s="28">
        <v>531.0</v>
      </c>
      <c r="I1138" s="28" t="s">
        <v>239</v>
      </c>
      <c r="J1138" s="28" t="s">
        <v>5336</v>
      </c>
      <c r="K1138" s="28" t="s">
        <v>5177</v>
      </c>
      <c r="L1138" s="28" t="s">
        <v>5165</v>
      </c>
      <c r="M1138" s="56" t="s">
        <v>12407</v>
      </c>
      <c r="N1138" s="57">
        <v>44477.35625</v>
      </c>
      <c r="O1138" s="58">
        <v>38695.0</v>
      </c>
      <c r="P1138" s="28">
        <f t="shared" si="32"/>
        <v>20</v>
      </c>
      <c r="Q1138" s="28" t="s">
        <v>12408</v>
      </c>
      <c r="R1138" s="28" t="s">
        <v>12409</v>
      </c>
      <c r="S1138" s="28">
        <v>13.0</v>
      </c>
      <c r="T1138" s="28">
        <v>31.0</v>
      </c>
      <c r="U1138" s="28">
        <v>86.0</v>
      </c>
      <c r="V1138" s="28">
        <v>14.0</v>
      </c>
      <c r="W1138" s="28" t="s">
        <v>859</v>
      </c>
      <c r="X1138" s="28" t="s">
        <v>272</v>
      </c>
      <c r="Y1138" s="28" t="s">
        <v>12410</v>
      </c>
      <c r="Z1138" s="28" t="s">
        <v>5918</v>
      </c>
      <c r="AA1138" s="28" t="s">
        <v>477</v>
      </c>
      <c r="AB1138" s="28">
        <v>15.0</v>
      </c>
      <c r="AC1138" s="28" t="s">
        <v>25</v>
      </c>
      <c r="AD1138" s="23"/>
      <c r="AE1138" s="28" t="s">
        <v>10</v>
      </c>
      <c r="AF1138" s="23" t="str">
        <f>IFERROR(__xludf.DUMMYFUNCTION("TEXTJOIN("", "", TRUE,
  FILTER(Champions!C:C,
    ISNUMBER(SEARCH(C1138, Champions!W:W))
  )
)"),"Daniela Alarcon, Karim Rajmohamed, Priyanka Dixit")</f>
        <v>Daniela Alarcon, Karim Rajmohamed, Priyanka Dixit</v>
      </c>
      <c r="AG1138" s="26" t="s">
        <v>7320</v>
      </c>
      <c r="AH1138" s="23" t="str">
        <f>IFERROR(__xludf.DUMMYFUNCTION("IF(
ISNUMBER(MATCH(
C1138,
IMPORTRANGE(""https://docs.google.com/spreadsheets/d/1yTh1ELC33JHYOeEdgIiEclxPRyh0zOKtlawDltfUay8"",""'Interns'!A:A""),
0
)),
""Outreach Conducted"",
"""")"),"")</f>
        <v/>
      </c>
      <c r="AI1138" s="23"/>
      <c r="AJ1138" s="23"/>
      <c r="AK1138" s="23" t="str">
        <f>IFERROR(__xludf.DUMMYFUNCTION("XLOOKUP(C1138, 
   IMPORTRANGE(""1RdEdgHYrZ33LJ7RUHj_h-qkAFL92bcVjtIdVa-UlsCw"", ""Interns!D:D""), 
   IMPORTRANGE(""1RdEdgHYrZ33LJ7RUHj_h-qkAFL92bcVjtIdVa-UlsCw"", ""Interns!M:M""), 
   ""Not Found"")"),"Contacted")</f>
        <v>Contacted</v>
      </c>
      <c r="AL1138" s="23" t="str">
        <f>IFERROR(__xludf.DUMMYFUNCTION("XLOOKUP(C1138, 
   IMPORTRANGE(""1RdEdgHYrZ33LJ7RUHj_h-qkAFL92bcVjtIdVa-UlsCw"", ""Interns!D:D""), 
   IMPORTRANGE(""1RdEdgHYrZ33LJ7RUHj_h-qkAFL92bcVjtIdVa-UlsCw"", ""Interns!N:N""), 
   ""Not Found"")"),"#Cheers4Careers")</f>
        <v>#Cheers4Careers</v>
      </c>
      <c r="AM1138" s="23" t="str">
        <f>IFERROR(__xludf.DUMMYFUNCTION("XLOOKUP(C1138, 
   IMPORTRANGE(""1RdEdgHYrZ33LJ7RUHj_h-qkAFL92bcVjtIdVa-UlsCw"", ""Interns!D:D""), 
   IMPORTRANGE(""1RdEdgHYrZ33LJ7RUHj_h-qkAFL92bcVjtIdVa-UlsCw"", ""Interns!O:O""), 
   ""Not Found"")"),"
Hetal reached out on 4/10 by whatsapp for April 18th #Cheers4Careers")</f>
        <v>
Hetal reached out on 4/10 by whatsapp for April 18th #Cheers4Careers</v>
      </c>
      <c r="AN1138" s="23"/>
      <c r="AO1138" s="23" t="s">
        <v>12411</v>
      </c>
      <c r="AP1138" s="28" t="s">
        <v>5182</v>
      </c>
      <c r="AQ1138" s="28" t="s">
        <v>12412</v>
      </c>
      <c r="AR1138" s="23" t="s">
        <v>12413</v>
      </c>
      <c r="AS1138" s="23"/>
      <c r="AT1138" s="23"/>
      <c r="AU1138" s="23"/>
      <c r="AV1138" s="23"/>
    </row>
    <row r="1139">
      <c r="A1139" s="28" t="s">
        <v>5161</v>
      </c>
      <c r="B1139" s="28" t="s">
        <v>5162</v>
      </c>
      <c r="C1139" s="23" t="str">
        <f t="shared" si="1"/>
        <v>Gary Hernandez</v>
      </c>
      <c r="D1139" s="28" t="s">
        <v>3735</v>
      </c>
      <c r="E1139" s="28" t="s">
        <v>2168</v>
      </c>
      <c r="F1139" s="23">
        <f t="array" ref="F1139">IFERROR(
    INDEX('Hub Interns 226'!A:A, MATCH(C1139, 'Hub Interns 226'!B:B, 0)),"")</f>
        <v>538</v>
      </c>
      <c r="G1139" s="23">
        <f t="array" ref="G1139">IFERROR(
    INDEX('Hub Users 226'!A:A, MATCH(C1139, 'Hub Users 226'!B:B, 0)),"")</f>
        <v>971</v>
      </c>
      <c r="H1139" s="28">
        <v>1278.0</v>
      </c>
      <c r="I1139" s="28" t="s">
        <v>290</v>
      </c>
      <c r="J1139" s="28" t="s">
        <v>5336</v>
      </c>
      <c r="K1139" s="28" t="s">
        <v>5177</v>
      </c>
      <c r="L1139" s="28" t="s">
        <v>5165</v>
      </c>
      <c r="M1139" s="56" t="s">
        <v>12414</v>
      </c>
      <c r="N1139" s="59">
        <v>44845.60833333333</v>
      </c>
      <c r="O1139" s="58">
        <v>38880.0</v>
      </c>
      <c r="P1139" s="28">
        <f t="shared" si="32"/>
        <v>19</v>
      </c>
      <c r="Q1139" s="28" t="s">
        <v>12415</v>
      </c>
      <c r="R1139" s="28" t="s">
        <v>12416</v>
      </c>
      <c r="S1139" s="28">
        <v>13.0</v>
      </c>
      <c r="T1139" s="28">
        <v>31.0</v>
      </c>
      <c r="U1139" s="28">
        <v>72.0</v>
      </c>
      <c r="V1139" s="28">
        <v>10.0</v>
      </c>
      <c r="W1139" s="28" t="s">
        <v>271</v>
      </c>
      <c r="X1139" s="28" t="s">
        <v>272</v>
      </c>
      <c r="Y1139" s="28" t="s">
        <v>12417</v>
      </c>
      <c r="Z1139" s="28" t="s">
        <v>5341</v>
      </c>
      <c r="AA1139" s="28" t="s">
        <v>1085</v>
      </c>
      <c r="AB1139" s="28">
        <v>10.0</v>
      </c>
      <c r="AC1139" s="28" t="s">
        <v>25</v>
      </c>
      <c r="AD1139" s="23"/>
      <c r="AE1139" s="28" t="s">
        <v>15</v>
      </c>
      <c r="AF1139" s="23" t="str">
        <f>IFERROR(__xludf.DUMMYFUNCTION("TEXTJOIN("", "", TRUE,
  FILTER(Champions!C:C,
    ISNUMBER(SEARCH(C1139, Champions!W:W))
  )
)"),"David Temple, Sandra Denton, Oheneba Afriyie")</f>
        <v>David Temple, Sandra Denton, Oheneba Afriyie</v>
      </c>
      <c r="AG1139" s="26" t="s">
        <v>5342</v>
      </c>
      <c r="AH1139" s="23" t="str">
        <f>IFERROR(__xludf.DUMMYFUNCTION("IF(
ISNUMBER(MATCH(
C1139,
IMPORTRANGE(""https://docs.google.com/spreadsheets/d/1yTh1ELC33JHYOeEdgIiEclxPRyh0zOKtlawDltfUay8"",""'Interns'!A:A""),
0
)),
""Outreach Conducted"",
"""")"),"")</f>
        <v/>
      </c>
      <c r="AI1139" s="23"/>
      <c r="AJ1139" s="23"/>
      <c r="AK1139" s="23" t="str">
        <f>IFERROR(__xludf.DUMMYFUNCTION("XLOOKUP(C1139, 
   IMPORTRANGE(""1RdEdgHYrZ33LJ7RUHj_h-qkAFL92bcVjtIdVa-UlsCw"", ""Interns!D:D""), 
   IMPORTRANGE(""1RdEdgHYrZ33LJ7RUHj_h-qkAFL92bcVjtIdVa-UlsCw"", ""Interns!M:M""), 
   ""Not Found"")"),"Contacted")</f>
        <v>Contacted</v>
      </c>
      <c r="AL1139" s="23" t="str">
        <f>IFERROR(__xludf.DUMMYFUNCTION("XLOOKUP(C1139, 
   IMPORTRANGE(""1RdEdgHYrZ33LJ7RUHj_h-qkAFL92bcVjtIdVa-UlsCw"", ""Interns!D:D""), 
   IMPORTRANGE(""1RdEdgHYrZ33LJ7RUHj_h-qkAFL92bcVjtIdVa-UlsCw"", ""Interns!N:N""), 
   ""Not Found"")"),"#Cheers4Careers")</f>
        <v>#Cheers4Careers</v>
      </c>
      <c r="AM1139" s="23" t="str">
        <f>IFERROR(__xludf.DUMMYFUNCTION("XLOOKUP(C1139, 
   IMPORTRANGE(""1RdEdgHYrZ33LJ7RUHj_h-qkAFL92bcVjtIdVa-UlsCw"", ""Interns!D:D""), 
   IMPORTRANGE(""1RdEdgHYrZ33LJ7RUHj_h-qkAFL92bcVjtIdVa-UlsCw"", ""Interns!O:O""), 
   ""Not Found"")"),"Texted on April 14 for #Cheers4Careers event")</f>
        <v>Texted on April 14 for #Cheers4Careers event</v>
      </c>
      <c r="AN1139" s="23"/>
      <c r="AO1139" s="23" t="s">
        <v>12418</v>
      </c>
      <c r="AP1139" s="28" t="s">
        <v>5182</v>
      </c>
      <c r="AQ1139" s="28" t="s">
        <v>12419</v>
      </c>
      <c r="AR1139" s="23" t="s">
        <v>12420</v>
      </c>
      <c r="AS1139" s="23"/>
      <c r="AT1139" s="23"/>
      <c r="AU1139" s="23"/>
      <c r="AV1139" s="23"/>
    </row>
    <row r="1140">
      <c r="A1140" s="28" t="s">
        <v>5161</v>
      </c>
      <c r="B1140" s="28" t="s">
        <v>31</v>
      </c>
      <c r="C1140" s="23" t="str">
        <f t="shared" si="1"/>
        <v>Maria Mercedes Castro</v>
      </c>
      <c r="D1140" s="28" t="s">
        <v>2308</v>
      </c>
      <c r="E1140" s="28" t="s">
        <v>12230</v>
      </c>
      <c r="F1140" s="23" t="str">
        <f t="array" ref="F1140">IFERROR(
    INDEX('Hub Interns 226'!A:A, MATCH(C1140, 'Hub Interns 226'!B:B, 0)),"")</f>
        <v/>
      </c>
      <c r="G1140" s="23">
        <f t="array" ref="G1140">IFERROR(
    INDEX('Hub Users 226'!A:A, MATCH(C1140, 'Hub Users 226'!B:B, 0)),"")</f>
        <v>774</v>
      </c>
      <c r="H1140" s="28">
        <v>1142.0</v>
      </c>
      <c r="I1140" s="28" t="s">
        <v>260</v>
      </c>
      <c r="J1140" s="28"/>
      <c r="K1140" s="28"/>
      <c r="L1140" s="28" t="s">
        <v>5196</v>
      </c>
      <c r="M1140" s="56" t="s">
        <v>12231</v>
      </c>
      <c r="N1140" s="57">
        <v>44749.53472222222</v>
      </c>
      <c r="O1140" s="58">
        <v>38285.0</v>
      </c>
      <c r="P1140" s="28">
        <f t="shared" si="32"/>
        <v>21</v>
      </c>
      <c r="Q1140" s="28" t="s">
        <v>240</v>
      </c>
      <c r="R1140" s="28" t="s">
        <v>12232</v>
      </c>
      <c r="S1140" s="28"/>
      <c r="T1140" s="28"/>
      <c r="U1140" s="28"/>
      <c r="V1140" s="28"/>
      <c r="W1140" s="28" t="s">
        <v>294</v>
      </c>
      <c r="X1140" s="28" t="s">
        <v>272</v>
      </c>
      <c r="Y1140" s="28" t="s">
        <v>12233</v>
      </c>
      <c r="Z1140" s="28" t="s">
        <v>5259</v>
      </c>
      <c r="AA1140" s="28" t="s">
        <v>704</v>
      </c>
      <c r="AB1140" s="28">
        <v>2.0</v>
      </c>
      <c r="AC1140" s="28" t="s">
        <v>28</v>
      </c>
      <c r="AD1140" s="23"/>
      <c r="AE1140" s="28" t="s">
        <v>15</v>
      </c>
      <c r="AF1140" s="23"/>
      <c r="AG1140" s="23"/>
      <c r="AH1140" s="23" t="str">
        <f>IFERROR(__xludf.DUMMYFUNCTION("IF(
ISNUMBER(MATCH(
C1140,
IMPORTRANGE(""https://docs.google.com/spreadsheets/d/1yTh1ELC33JHYOeEdgIiEclxPRyh0zOKtlawDltfUay8"",""'Interns'!A:A""),
0
)),
""Outreach Conducted"",
"""")"),"")</f>
        <v/>
      </c>
      <c r="AI1140" s="23"/>
      <c r="AJ1140" s="23"/>
      <c r="AK1140" s="23" t="str">
        <f>IFERROR(__xludf.DUMMYFUNCTION("XLOOKUP(C1140, 
   IMPORTRANGE(""1RdEdgHYrZ33LJ7RUHj_h-qkAFL92bcVjtIdVa-UlsCw"", ""Interns!D:D""), 
   IMPORTRANGE(""1RdEdgHYrZ33LJ7RUHj_h-qkAFL92bcVjtIdVa-UlsCw"", ""Interns!M:M""), 
   ""Not Found"")"),"")</f>
        <v/>
      </c>
      <c r="AL1140" s="23" t="str">
        <f>IFERROR(__xludf.DUMMYFUNCTION("XLOOKUP(C1140, 
   IMPORTRANGE(""1RdEdgHYrZ33LJ7RUHj_h-qkAFL92bcVjtIdVa-UlsCw"", ""Interns!D:D""), 
   IMPORTRANGE(""1RdEdgHYrZ33LJ7RUHj_h-qkAFL92bcVjtIdVa-UlsCw"", ""Interns!N:N""), 
   ""Not Found"")"),"")</f>
        <v/>
      </c>
      <c r="AM1140" s="23" t="str">
        <f>IFERROR(__xludf.DUMMYFUNCTION("XLOOKUP(C1140, 
   IMPORTRANGE(""1RdEdgHYrZ33LJ7RUHj_h-qkAFL92bcVjtIdVa-UlsCw"", ""Interns!D:D""), 
   IMPORTRANGE(""1RdEdgHYrZ33LJ7RUHj_h-qkAFL92bcVjtIdVa-UlsCw"", ""Interns!O:O""), 
   ""Not Found"")"),"")</f>
        <v/>
      </c>
      <c r="AN1140" s="23"/>
      <c r="AO1140" s="23" t="s">
        <v>12234</v>
      </c>
      <c r="AP1140" s="28" t="s">
        <v>5182</v>
      </c>
      <c r="AQ1140" s="28"/>
      <c r="AR1140" s="23"/>
      <c r="AS1140" s="23"/>
      <c r="AT1140" s="23"/>
      <c r="AU1140" s="23"/>
      <c r="AV1140" s="23"/>
    </row>
    <row r="1141">
      <c r="A1141" s="28" t="s">
        <v>5161</v>
      </c>
      <c r="B1141" s="28" t="s">
        <v>5162</v>
      </c>
      <c r="C1141" s="23" t="str">
        <f t="shared" si="1"/>
        <v>Joel Polanco</v>
      </c>
      <c r="D1141" s="28" t="s">
        <v>7013</v>
      </c>
      <c r="E1141" s="28" t="s">
        <v>7526</v>
      </c>
      <c r="F1141" s="23">
        <f t="array" ref="F1141">IFERROR(
    INDEX('Hub Interns 226'!A:A, MATCH(C1141, 'Hub Interns 226'!B:B, 0)),"")</f>
        <v>897</v>
      </c>
      <c r="G1141" s="23">
        <f t="array" ref="G1141">IFERROR(
    INDEX('Hub Users 226'!A:A, MATCH(C1141, 'Hub Users 226'!B:B, 0)),"")</f>
        <v>1330</v>
      </c>
      <c r="H1141" s="28">
        <v>1396.0</v>
      </c>
      <c r="I1141" s="28"/>
      <c r="J1141" s="28" t="s">
        <v>5336</v>
      </c>
      <c r="K1141" s="28" t="s">
        <v>5177</v>
      </c>
      <c r="L1141" s="28" t="s">
        <v>5165</v>
      </c>
      <c r="M1141" s="56" t="s">
        <v>12421</v>
      </c>
      <c r="N1141" s="59">
        <v>44862.53125</v>
      </c>
      <c r="O1141" s="58">
        <v>40429.0</v>
      </c>
      <c r="P1141" s="28">
        <f t="shared" si="32"/>
        <v>15</v>
      </c>
      <c r="Q1141" s="28" t="s">
        <v>12422</v>
      </c>
      <c r="R1141" s="28" t="s">
        <v>12423</v>
      </c>
      <c r="S1141" s="28">
        <v>7.0</v>
      </c>
      <c r="T1141" s="28">
        <v>12.0</v>
      </c>
      <c r="U1141" s="28">
        <v>37.0</v>
      </c>
      <c r="V1141" s="28">
        <v>26.0</v>
      </c>
      <c r="W1141" s="28" t="s">
        <v>1173</v>
      </c>
      <c r="X1141" s="28" t="s">
        <v>272</v>
      </c>
      <c r="Y1141" s="28" t="s">
        <v>5351</v>
      </c>
      <c r="Z1141" s="28" t="s">
        <v>5352</v>
      </c>
      <c r="AA1141" s="28" t="s">
        <v>5287</v>
      </c>
      <c r="AB1141" s="28">
        <v>26.0</v>
      </c>
      <c r="AC1141" s="28" t="s">
        <v>23</v>
      </c>
      <c r="AD1141" s="23"/>
      <c r="AE1141" s="28" t="s">
        <v>15</v>
      </c>
      <c r="AF1141" s="23"/>
      <c r="AG1141" s="23"/>
      <c r="AH1141" s="23" t="str">
        <f>IFERROR(__xludf.DUMMYFUNCTION("IF(
ISNUMBER(MATCH(
C1141,
IMPORTRANGE(""https://docs.google.com/spreadsheets/d/1yTh1ELC33JHYOeEdgIiEclxPRyh0zOKtlawDltfUay8"",""'Interns'!A:A""),
0
)),
""Outreach Conducted"",
"""")"),"")</f>
        <v/>
      </c>
      <c r="AI1141" s="23"/>
      <c r="AJ1141" s="23"/>
      <c r="AK1141" s="23" t="str">
        <f>IFERROR(__xludf.DUMMYFUNCTION("XLOOKUP(C1141, 
   IMPORTRANGE(""1RdEdgHYrZ33LJ7RUHj_h-qkAFL92bcVjtIdVa-UlsCw"", ""Interns!D:D""), 
   IMPORTRANGE(""1RdEdgHYrZ33LJ7RUHj_h-qkAFL92bcVjtIdVa-UlsCw"", ""Interns!M:M""), 
   ""Not Found"")"),"Contacted")</f>
        <v>Contacted</v>
      </c>
      <c r="AL1141" s="23" t="str">
        <f>IFERROR(__xludf.DUMMYFUNCTION("XLOOKUP(C1141, 
   IMPORTRANGE(""1RdEdgHYrZ33LJ7RUHj_h-qkAFL92bcVjtIdVa-UlsCw"", ""Interns!D:D""), 
   IMPORTRANGE(""1RdEdgHYrZ33LJ7RUHj_h-qkAFL92bcVjtIdVa-UlsCw"", ""Interns!N:N""), 
   ""Not Found"")"),"#Cheers4Careers")</f>
        <v>#Cheers4Careers</v>
      </c>
      <c r="AM1141" s="23" t="str">
        <f>IFERROR(__xludf.DUMMYFUNCTION("XLOOKUP(C1141, 
   IMPORTRANGE(""1RdEdgHYrZ33LJ7RUHj_h-qkAFL92bcVjtIdVa-UlsCw"", ""Interns!D:D""), 
   IMPORTRANGE(""1RdEdgHYrZ33LJ7RUHj_h-qkAFL92bcVjtIdVa-UlsCw"", ""Interns!O:O""), 
   ""Not Found"")"),"Hetal reached out by email 3/27")</f>
        <v>Hetal reached out by email 3/27</v>
      </c>
      <c r="AN1141" s="23"/>
      <c r="AO1141" s="23" t="s">
        <v>12424</v>
      </c>
      <c r="AP1141" s="28" t="s">
        <v>5182</v>
      </c>
      <c r="AQ1141" s="28"/>
      <c r="AR1141" s="23"/>
      <c r="AS1141" s="23"/>
      <c r="AT1141" s="23"/>
      <c r="AU1141" s="23"/>
      <c r="AV1141" s="23"/>
    </row>
    <row r="1142">
      <c r="A1142" s="28" t="s">
        <v>5161</v>
      </c>
      <c r="B1142" s="28" t="s">
        <v>5162</v>
      </c>
      <c r="C1142" s="23" t="str">
        <f t="shared" si="1"/>
        <v>Navier Rojas</v>
      </c>
      <c r="D1142" s="28" t="s">
        <v>9992</v>
      </c>
      <c r="E1142" s="28" t="s">
        <v>6566</v>
      </c>
      <c r="F1142" s="23">
        <f t="array" ref="F1142">IFERROR(
    INDEX('Hub Interns 226'!A:A, MATCH(C1142, 'Hub Interns 226'!B:B, 0)),"")</f>
        <v>58</v>
      </c>
      <c r="G1142" s="23">
        <f t="array" ref="G1142">IFERROR(
    INDEX('Hub Users 226'!A:A, MATCH(C1142, 'Hub Users 226'!B:B, 0)),"")</f>
        <v>491</v>
      </c>
      <c r="H1142" s="28">
        <v>727.0</v>
      </c>
      <c r="I1142" s="28" t="s">
        <v>239</v>
      </c>
      <c r="J1142" s="28" t="s">
        <v>5336</v>
      </c>
      <c r="K1142" s="28" t="s">
        <v>5177</v>
      </c>
      <c r="L1142" s="28" t="s">
        <v>5196</v>
      </c>
      <c r="M1142" s="56" t="s">
        <v>9993</v>
      </c>
      <c r="N1142" s="59">
        <v>44550.54236111111</v>
      </c>
      <c r="O1142" s="58">
        <v>38493.0</v>
      </c>
      <c r="P1142" s="28">
        <f t="shared" si="32"/>
        <v>20</v>
      </c>
      <c r="Q1142" s="28" t="s">
        <v>240</v>
      </c>
      <c r="R1142" s="28" t="s">
        <v>9994</v>
      </c>
      <c r="S1142" s="28">
        <v>10.0</v>
      </c>
      <c r="T1142" s="28">
        <v>27.0</v>
      </c>
      <c r="U1142" s="28">
        <v>65.0</v>
      </c>
      <c r="V1142" s="28">
        <v>1.0</v>
      </c>
      <c r="W1142" s="28" t="s">
        <v>271</v>
      </c>
      <c r="X1142" s="28" t="s">
        <v>272</v>
      </c>
      <c r="Y1142" s="28" t="s">
        <v>9995</v>
      </c>
      <c r="Z1142" s="28" t="s">
        <v>5259</v>
      </c>
      <c r="AA1142" s="28" t="s">
        <v>704</v>
      </c>
      <c r="AB1142" s="28">
        <v>2.0</v>
      </c>
      <c r="AC1142" s="28" t="s">
        <v>25</v>
      </c>
      <c r="AD1142" s="23"/>
      <c r="AE1142" s="28" t="s">
        <v>10</v>
      </c>
      <c r="AF1142" s="23" t="str">
        <f>IFERROR(__xludf.DUMMYFUNCTION("TEXTJOIN("", "", TRUE,
  FILTER(Champions!C:C,
    ISNUMBER(SEARCH(C1142, Champions!W:W))
  )
)"),"Daniela Fernandez Espinosa, Melissa Mozelle Schad")</f>
        <v>Daniela Fernandez Espinosa, Melissa Mozelle Schad</v>
      </c>
      <c r="AG1142" s="23"/>
      <c r="AH1142" s="23" t="str">
        <f>IFERROR(__xludf.DUMMYFUNCTION("IF(
ISNUMBER(MATCH(
C1142,
IMPORTRANGE(""https://docs.google.com/spreadsheets/d/1yTh1ELC33JHYOeEdgIiEclxPRyh0zOKtlawDltfUay8"",""'Interns'!A:A""),
0
)),
""Outreach Conducted"",
"""")"),"")</f>
        <v/>
      </c>
      <c r="AI1142" s="23"/>
      <c r="AJ1142" s="23"/>
      <c r="AK1142" s="23" t="str">
        <f>IFERROR(__xludf.DUMMYFUNCTION("XLOOKUP(C1142, 
   IMPORTRANGE(""1RdEdgHYrZ33LJ7RUHj_h-qkAFL92bcVjtIdVa-UlsCw"", ""Interns!D:D""), 
   IMPORTRANGE(""1RdEdgHYrZ33LJ7RUHj_h-qkAFL92bcVjtIdVa-UlsCw"", ""Interns!M:M""), 
   ""Not Found"")"),"")</f>
        <v/>
      </c>
      <c r="AL1142" s="23" t="str">
        <f>IFERROR(__xludf.DUMMYFUNCTION("XLOOKUP(C1142, 
   IMPORTRANGE(""1RdEdgHYrZ33LJ7RUHj_h-qkAFL92bcVjtIdVa-UlsCw"", ""Interns!D:D""), 
   IMPORTRANGE(""1RdEdgHYrZ33LJ7RUHj_h-qkAFL92bcVjtIdVa-UlsCw"", ""Interns!N:N""), 
   ""Not Found"")"),"")</f>
        <v/>
      </c>
      <c r="AM1142" s="23" t="str">
        <f>IFERROR(__xludf.DUMMYFUNCTION("XLOOKUP(C1142, 
   IMPORTRANGE(""1RdEdgHYrZ33LJ7RUHj_h-qkAFL92bcVjtIdVa-UlsCw"", ""Interns!D:D""), 
   IMPORTRANGE(""1RdEdgHYrZ33LJ7RUHj_h-qkAFL92bcVjtIdVa-UlsCw"", ""Interns!O:O""), 
   ""Not Found"")"),"")</f>
        <v/>
      </c>
      <c r="AN1142" s="23"/>
      <c r="AO1142" s="23" t="s">
        <v>9996</v>
      </c>
      <c r="AP1142" s="28" t="s">
        <v>5182</v>
      </c>
      <c r="AQ1142" s="28" t="s">
        <v>9997</v>
      </c>
      <c r="AR1142" s="23" t="s">
        <v>9998</v>
      </c>
      <c r="AS1142" s="23"/>
      <c r="AT1142" s="23"/>
      <c r="AU1142" s="23"/>
      <c r="AV1142" s="23"/>
    </row>
    <row r="1143">
      <c r="A1143" s="28" t="s">
        <v>5161</v>
      </c>
      <c r="B1143" s="28" t="s">
        <v>5162</v>
      </c>
      <c r="C1143" s="23" t="str">
        <f t="shared" si="1"/>
        <v>Sandy Mercedes</v>
      </c>
      <c r="D1143" s="28" t="s">
        <v>12425</v>
      </c>
      <c r="E1143" s="28" t="s">
        <v>12426</v>
      </c>
      <c r="F1143" s="23">
        <f t="array" ref="F1143">IFERROR(
    INDEX('Hub Interns 226'!A:A, MATCH(C1143, 'Hub Interns 226'!B:B, 0)),"")</f>
        <v>1065</v>
      </c>
      <c r="G1143" s="23">
        <f t="array" ref="G1143">IFERROR(
    INDEX('Hub Users 226'!A:A, MATCH(C1143, 'Hub Users 226'!B:B, 0)),"")</f>
        <v>1498</v>
      </c>
      <c r="H1143" s="28">
        <v>514.0</v>
      </c>
      <c r="I1143" s="28" t="s">
        <v>425</v>
      </c>
      <c r="J1143" s="28" t="s">
        <v>5336</v>
      </c>
      <c r="K1143" s="28" t="s">
        <v>5177</v>
      </c>
      <c r="L1143" s="28" t="s">
        <v>5165</v>
      </c>
      <c r="M1143" s="56" t="s">
        <v>12427</v>
      </c>
      <c r="N1143" s="57">
        <v>44476.65138888889</v>
      </c>
      <c r="O1143" s="58">
        <v>38650.0</v>
      </c>
      <c r="P1143" s="28">
        <f t="shared" si="32"/>
        <v>20</v>
      </c>
      <c r="Q1143" s="28" t="s">
        <v>12428</v>
      </c>
      <c r="R1143" s="28" t="s">
        <v>12429</v>
      </c>
      <c r="S1143" s="28">
        <v>15.0</v>
      </c>
      <c r="T1143" s="28">
        <v>33.0</v>
      </c>
      <c r="U1143" s="28">
        <v>80.0</v>
      </c>
      <c r="V1143" s="28">
        <v>13.0</v>
      </c>
      <c r="W1143" s="28" t="s">
        <v>859</v>
      </c>
      <c r="X1143" s="28" t="s">
        <v>272</v>
      </c>
      <c r="Y1143" s="28" t="s">
        <v>12430</v>
      </c>
      <c r="Z1143" s="28" t="s">
        <v>5918</v>
      </c>
      <c r="AA1143" s="28" t="s">
        <v>477</v>
      </c>
      <c r="AB1143" s="28">
        <v>15.0</v>
      </c>
      <c r="AC1143" s="28" t="s">
        <v>25</v>
      </c>
      <c r="AD1143" s="23"/>
      <c r="AE1143" s="28" t="s">
        <v>10</v>
      </c>
      <c r="AF1143" s="23" t="str">
        <f>IFERROR(__xludf.DUMMYFUNCTION("TEXTJOIN("", "", TRUE,
  FILTER(Champions!C:C,
    ISNUMBER(SEARCH(C1143, Champions!W:W))
  )
)"),"AUGUSTO SALCEDO, Jannet Figueroa Gallardo, Leif Castren")</f>
        <v>AUGUSTO SALCEDO, Jannet Figueroa Gallardo, Leif Castren</v>
      </c>
      <c r="AG1143" s="23"/>
      <c r="AH1143" s="23" t="str">
        <f>IFERROR(__xludf.DUMMYFUNCTION("IF(
ISNUMBER(MATCH(
C1143,
IMPORTRANGE(""https://docs.google.com/spreadsheets/d/1yTh1ELC33JHYOeEdgIiEclxPRyh0zOKtlawDltfUay8"",""'Interns'!A:A""),
0
)),
""Outreach Conducted"",
"""")"),"")</f>
        <v/>
      </c>
      <c r="AI1143" s="23"/>
      <c r="AJ1143" s="23"/>
      <c r="AK1143" s="23" t="str">
        <f>IFERROR(__xludf.DUMMYFUNCTION("XLOOKUP(C1143, 
   IMPORTRANGE(""1RdEdgHYrZ33LJ7RUHj_h-qkAFL92bcVjtIdVa-UlsCw"", ""Interns!D:D""), 
   IMPORTRANGE(""1RdEdgHYrZ33LJ7RUHj_h-qkAFL92bcVjtIdVa-UlsCw"", ""Interns!M:M""), 
   ""Not Found"")"),"")</f>
        <v/>
      </c>
      <c r="AL1143" s="23" t="str">
        <f>IFERROR(__xludf.DUMMYFUNCTION("XLOOKUP(C1143, 
   IMPORTRANGE(""1RdEdgHYrZ33LJ7RUHj_h-qkAFL92bcVjtIdVa-UlsCw"", ""Interns!D:D""), 
   IMPORTRANGE(""1RdEdgHYrZ33LJ7RUHj_h-qkAFL92bcVjtIdVa-UlsCw"", ""Interns!N:N""), 
   ""Not Found"")"),"")</f>
        <v/>
      </c>
      <c r="AM1143" s="23" t="str">
        <f>IFERROR(__xludf.DUMMYFUNCTION("XLOOKUP(C1143, 
   IMPORTRANGE(""1RdEdgHYrZ33LJ7RUHj_h-qkAFL92bcVjtIdVa-UlsCw"", ""Interns!D:D""), 
   IMPORTRANGE(""1RdEdgHYrZ33LJ7RUHj_h-qkAFL92bcVjtIdVa-UlsCw"", ""Interns!O:O""), 
   ""Not Found"")"),"")</f>
        <v/>
      </c>
      <c r="AN1143" s="23"/>
      <c r="AO1143" s="23" t="s">
        <v>12431</v>
      </c>
      <c r="AP1143" s="28" t="s">
        <v>5182</v>
      </c>
      <c r="AQ1143" s="28" t="s">
        <v>12432</v>
      </c>
      <c r="AR1143" s="23" t="s">
        <v>12433</v>
      </c>
      <c r="AS1143" s="23"/>
      <c r="AT1143" s="23"/>
      <c r="AU1143" s="23"/>
      <c r="AV1143" s="23"/>
    </row>
    <row r="1144">
      <c r="A1144" s="28" t="s">
        <v>5161</v>
      </c>
      <c r="B1144" s="28" t="s">
        <v>31</v>
      </c>
      <c r="C1144" s="23" t="str">
        <f t="shared" si="1"/>
        <v>Jhan Motta</v>
      </c>
      <c r="D1144" s="28" t="s">
        <v>6744</v>
      </c>
      <c r="E1144" s="28" t="s">
        <v>6745</v>
      </c>
      <c r="F1144" s="23">
        <f t="array" ref="F1144">IFERROR(
    INDEX('Hub Interns 226'!A:A, MATCH(C1144, 'Hub Interns 226'!B:B, 0)),"")</f>
        <v>659</v>
      </c>
      <c r="G1144" s="23">
        <f t="array" ref="G1144">IFERROR(
    INDEX('Hub Users 226'!A:A, MATCH(C1144, 'Hub Users 226'!B:B, 0)),"")</f>
        <v>1092</v>
      </c>
      <c r="H1144" s="28">
        <v>1479.0</v>
      </c>
      <c r="I1144" s="28" t="s">
        <v>269</v>
      </c>
      <c r="J1144" s="28"/>
      <c r="K1144" s="28"/>
      <c r="L1144" s="28" t="s">
        <v>5165</v>
      </c>
      <c r="M1144" s="56" t="s">
        <v>54</v>
      </c>
      <c r="N1144" s="57">
        <v>44939.614583333336</v>
      </c>
      <c r="O1144" s="58">
        <v>38071.0</v>
      </c>
      <c r="P1144" s="28">
        <f t="shared" si="32"/>
        <v>22</v>
      </c>
      <c r="Q1144" s="28" t="s">
        <v>6746</v>
      </c>
      <c r="R1144" s="28" t="s">
        <v>6747</v>
      </c>
      <c r="S1144" s="28"/>
      <c r="T1144" s="28"/>
      <c r="U1144" s="28"/>
      <c r="V1144" s="28"/>
      <c r="W1144" s="28" t="s">
        <v>1173</v>
      </c>
      <c r="X1144" s="28" t="s">
        <v>272</v>
      </c>
      <c r="Y1144" s="28" t="s">
        <v>6748</v>
      </c>
      <c r="Z1144" s="28" t="s">
        <v>5259</v>
      </c>
      <c r="AA1144" s="28" t="s">
        <v>704</v>
      </c>
      <c r="AB1144" s="28">
        <v>2.0</v>
      </c>
      <c r="AC1144" s="28" t="s">
        <v>28</v>
      </c>
      <c r="AD1144" s="23"/>
      <c r="AE1144" s="28" t="s">
        <v>15</v>
      </c>
      <c r="AF1144" s="23"/>
      <c r="AG1144" s="23"/>
      <c r="AH1144" s="23" t="str">
        <f>IFERROR(__xludf.DUMMYFUNCTION("IF(
ISNUMBER(MATCH(
C1144,
IMPORTRANGE(""https://docs.google.com/spreadsheets/d/1yTh1ELC33JHYOeEdgIiEclxPRyh0zOKtlawDltfUay8"",""'Interns'!A:A""),
0
)),
""Outreach Conducted"",
"""")"),"")</f>
        <v/>
      </c>
      <c r="AI1144" s="23"/>
      <c r="AJ1144" s="23"/>
      <c r="AK1144" s="23" t="str">
        <f>IFERROR(__xludf.DUMMYFUNCTION("XLOOKUP(C1144, 
   IMPORTRANGE(""1RdEdgHYrZ33LJ7RUHj_h-qkAFL92bcVjtIdVa-UlsCw"", ""Interns!D:D""), 
   IMPORTRANGE(""1RdEdgHYrZ33LJ7RUHj_h-qkAFL92bcVjtIdVa-UlsCw"", ""Interns!M:M""), 
   ""Not Found"")"),"")</f>
        <v/>
      </c>
      <c r="AL1144" s="23" t="str">
        <f>IFERROR(__xludf.DUMMYFUNCTION("XLOOKUP(C1144, 
   IMPORTRANGE(""1RdEdgHYrZ33LJ7RUHj_h-qkAFL92bcVjtIdVa-UlsCw"", ""Interns!D:D""), 
   IMPORTRANGE(""1RdEdgHYrZ33LJ7RUHj_h-qkAFL92bcVjtIdVa-UlsCw"", ""Interns!N:N""), 
   ""Not Found"")"),"")</f>
        <v/>
      </c>
      <c r="AM1144" s="23" t="str">
        <f>IFERROR(__xludf.DUMMYFUNCTION("XLOOKUP(C1144, 
   IMPORTRANGE(""1RdEdgHYrZ33LJ7RUHj_h-qkAFL92bcVjtIdVa-UlsCw"", ""Interns!D:D""), 
   IMPORTRANGE(""1RdEdgHYrZ33LJ7RUHj_h-qkAFL92bcVjtIdVa-UlsCw"", ""Interns!O:O""), 
   ""Not Found"")"),"")</f>
        <v/>
      </c>
      <c r="AN1144" s="23"/>
      <c r="AO1144" s="23" t="s">
        <v>6749</v>
      </c>
      <c r="AP1144" s="28" t="s">
        <v>5182</v>
      </c>
      <c r="AQ1144" s="28" t="s">
        <v>6750</v>
      </c>
      <c r="AR1144" s="23" t="s">
        <v>6751</v>
      </c>
      <c r="AS1144" s="23"/>
      <c r="AT1144" s="23"/>
      <c r="AU1144" s="23"/>
      <c r="AV1144" s="23"/>
    </row>
    <row r="1145">
      <c r="A1145" s="28" t="s">
        <v>5161</v>
      </c>
      <c r="B1145" s="28" t="s">
        <v>5162</v>
      </c>
      <c r="C1145" s="23" t="str">
        <f t="shared" si="1"/>
        <v>Yarlin Peralta</v>
      </c>
      <c r="D1145" s="28" t="s">
        <v>12434</v>
      </c>
      <c r="E1145" s="28" t="s">
        <v>8653</v>
      </c>
      <c r="F1145" s="23">
        <f t="array" ref="F1145">IFERROR(
    INDEX('Hub Interns 226'!A:A, MATCH(C1145, 'Hub Interns 226'!B:B, 0)),"")</f>
        <v>1220</v>
      </c>
      <c r="G1145" s="23">
        <f t="array" ref="G1145">IFERROR(
    INDEX('Hub Users 226'!A:A, MATCH(C1145, 'Hub Users 226'!B:B, 0)),"")</f>
        <v>1653</v>
      </c>
      <c r="H1145" s="28">
        <v>409.0</v>
      </c>
      <c r="I1145" s="28" t="s">
        <v>260</v>
      </c>
      <c r="J1145" s="28" t="s">
        <v>5336</v>
      </c>
      <c r="K1145" s="28" t="s">
        <v>5177</v>
      </c>
      <c r="L1145" s="28" t="s">
        <v>5196</v>
      </c>
      <c r="M1145" s="56" t="s">
        <v>12435</v>
      </c>
      <c r="N1145" s="57">
        <v>44301.50347222222</v>
      </c>
      <c r="O1145" s="58">
        <v>37974.0</v>
      </c>
      <c r="P1145" s="28">
        <f t="shared" si="32"/>
        <v>22</v>
      </c>
      <c r="Q1145" s="28" t="s">
        <v>240</v>
      </c>
      <c r="R1145" s="28" t="s">
        <v>12436</v>
      </c>
      <c r="S1145" s="28"/>
      <c r="T1145" s="28"/>
      <c r="U1145" s="28"/>
      <c r="V1145" s="28"/>
      <c r="W1145" s="28" t="s">
        <v>271</v>
      </c>
      <c r="X1145" s="28" t="s">
        <v>272</v>
      </c>
      <c r="Y1145" s="28" t="s">
        <v>12437</v>
      </c>
      <c r="Z1145" s="28" t="s">
        <v>5558</v>
      </c>
      <c r="AA1145" s="28" t="s">
        <v>5559</v>
      </c>
      <c r="AB1145" s="28">
        <v>10.0</v>
      </c>
      <c r="AC1145" s="28" t="s">
        <v>24</v>
      </c>
      <c r="AD1145" s="23"/>
      <c r="AE1145" s="28" t="s">
        <v>8</v>
      </c>
      <c r="AF1145" s="23"/>
      <c r="AG1145" s="23"/>
      <c r="AH1145" s="23" t="str">
        <f>IFERROR(__xludf.DUMMYFUNCTION("IF(
ISNUMBER(MATCH(
C1145,
IMPORTRANGE(""https://docs.google.com/spreadsheets/d/1yTh1ELC33JHYOeEdgIiEclxPRyh0zOKtlawDltfUay8"",""'Interns'!A:A""),
0
)),
""Outreach Conducted"",
"""")"),"")</f>
        <v/>
      </c>
      <c r="AI1145" s="23"/>
      <c r="AJ1145" s="23"/>
      <c r="AK1145" s="23" t="str">
        <f>IFERROR(__xludf.DUMMYFUNCTION("XLOOKUP(C1145, 
   IMPORTRANGE(""1RdEdgHYrZ33LJ7RUHj_h-qkAFL92bcVjtIdVa-UlsCw"", ""Interns!D:D""), 
   IMPORTRANGE(""1RdEdgHYrZ33LJ7RUHj_h-qkAFL92bcVjtIdVa-UlsCw"", ""Interns!M:M""), 
   ""Not Found"")"),"Contacted")</f>
        <v>Contacted</v>
      </c>
      <c r="AL1145" s="23" t="str">
        <f>IFERROR(__xludf.DUMMYFUNCTION("XLOOKUP(C1145, 
   IMPORTRANGE(""1RdEdgHYrZ33LJ7RUHj_h-qkAFL92bcVjtIdVa-UlsCw"", ""Interns!D:D""), 
   IMPORTRANGE(""1RdEdgHYrZ33LJ7RUHj_h-qkAFL92bcVjtIdVa-UlsCw"", ""Interns!N:N""), 
   ""Not Found"")"),"#Cheers4Careers")</f>
        <v>#Cheers4Careers</v>
      </c>
      <c r="AM1145" s="23" t="str">
        <f>IFERROR(__xludf.DUMMYFUNCTION("XLOOKUP(C1145, 
   IMPORTRANGE(""1RdEdgHYrZ33LJ7RUHj_h-qkAFL92bcVjtIdVa-UlsCw"", ""Interns!D:D""), 
   IMPORTRANGE(""1RdEdgHYrZ33LJ7RUHj_h-qkAFL92bcVjtIdVa-UlsCw"", ""Interns!O:O""), 
   ""Not Found"")"),"Hetal reached out by email 3/27")</f>
        <v>Hetal reached out by email 3/27</v>
      </c>
      <c r="AN1145" s="23"/>
      <c r="AO1145" s="23" t="s">
        <v>12438</v>
      </c>
      <c r="AP1145" s="28" t="s">
        <v>5191</v>
      </c>
      <c r="AQ1145" s="28"/>
      <c r="AR1145" s="23"/>
      <c r="AS1145" s="23"/>
      <c r="AT1145" s="23"/>
      <c r="AU1145" s="23"/>
      <c r="AV1145" s="23"/>
    </row>
    <row r="1146">
      <c r="A1146" s="28" t="s">
        <v>5161</v>
      </c>
      <c r="B1146" s="28" t="s">
        <v>31</v>
      </c>
      <c r="C1146" s="23" t="str">
        <f t="shared" si="1"/>
        <v>Kerly Rodriguez</v>
      </c>
      <c r="D1146" s="28" t="s">
        <v>8124</v>
      </c>
      <c r="E1146" s="28" t="s">
        <v>536</v>
      </c>
      <c r="F1146" s="23">
        <f t="array" ref="F1146">IFERROR(
    INDEX('Hub Interns 226'!A:A, MATCH(C1146, 'Hub Interns 226'!B:B, 0)),"")</f>
        <v>740</v>
      </c>
      <c r="G1146" s="23">
        <f t="array" ref="G1146">IFERROR(
    INDEX('Hub Users 226'!A:A, MATCH(C1146, 'Hub Users 226'!B:B, 0)),"")</f>
        <v>1173</v>
      </c>
      <c r="H1146" s="28">
        <v>1467.0</v>
      </c>
      <c r="I1146" s="28" t="s">
        <v>608</v>
      </c>
      <c r="J1146" s="28"/>
      <c r="K1146" s="28"/>
      <c r="L1146" s="28" t="s">
        <v>5196</v>
      </c>
      <c r="M1146" s="56" t="s">
        <v>8125</v>
      </c>
      <c r="N1146" s="57">
        <v>44938.63611111111</v>
      </c>
      <c r="O1146" s="58">
        <v>39028.0</v>
      </c>
      <c r="P1146" s="28">
        <f t="shared" si="32"/>
        <v>19</v>
      </c>
      <c r="Q1146" s="28" t="s">
        <v>8126</v>
      </c>
      <c r="R1146" s="28" t="s">
        <v>8127</v>
      </c>
      <c r="S1146" s="28"/>
      <c r="T1146" s="28"/>
      <c r="U1146" s="28"/>
      <c r="V1146" s="28"/>
      <c r="W1146" s="28" t="s">
        <v>294</v>
      </c>
      <c r="X1146" s="28" t="s">
        <v>272</v>
      </c>
      <c r="Y1146" s="28" t="s">
        <v>8128</v>
      </c>
      <c r="Z1146" s="28" t="s">
        <v>5259</v>
      </c>
      <c r="AA1146" s="28" t="s">
        <v>704</v>
      </c>
      <c r="AB1146" s="28">
        <v>2.0</v>
      </c>
      <c r="AC1146" s="28" t="s">
        <v>28</v>
      </c>
      <c r="AD1146" s="23"/>
      <c r="AE1146" s="28" t="s">
        <v>15</v>
      </c>
      <c r="AF1146" s="23"/>
      <c r="AG1146" s="23"/>
      <c r="AH1146" s="23" t="str">
        <f>IFERROR(__xludf.DUMMYFUNCTION("IF(
ISNUMBER(MATCH(
C1146,
IMPORTRANGE(""https://docs.google.com/spreadsheets/d/1yTh1ELC33JHYOeEdgIiEclxPRyh0zOKtlawDltfUay8"",""'Interns'!A:A""),
0
)),
""Outreach Conducted"",
"""")"),"")</f>
        <v/>
      </c>
      <c r="AI1146" s="23"/>
      <c r="AJ1146" s="23"/>
      <c r="AK1146" s="23" t="str">
        <f>IFERROR(__xludf.DUMMYFUNCTION("XLOOKUP(C1146, 
   IMPORTRANGE(""1RdEdgHYrZ33LJ7RUHj_h-qkAFL92bcVjtIdVa-UlsCw"", ""Interns!D:D""), 
   IMPORTRANGE(""1RdEdgHYrZ33LJ7RUHj_h-qkAFL92bcVjtIdVa-UlsCw"", ""Interns!M:M""), 
   ""Not Found"")"),"")</f>
        <v/>
      </c>
      <c r="AL1146" s="23" t="str">
        <f>IFERROR(__xludf.DUMMYFUNCTION("XLOOKUP(C1146, 
   IMPORTRANGE(""1RdEdgHYrZ33LJ7RUHj_h-qkAFL92bcVjtIdVa-UlsCw"", ""Interns!D:D""), 
   IMPORTRANGE(""1RdEdgHYrZ33LJ7RUHj_h-qkAFL92bcVjtIdVa-UlsCw"", ""Interns!N:N""), 
   ""Not Found"")"),"")</f>
        <v/>
      </c>
      <c r="AM1146" s="23" t="str">
        <f>IFERROR(__xludf.DUMMYFUNCTION("XLOOKUP(C1146, 
   IMPORTRANGE(""1RdEdgHYrZ33LJ7RUHj_h-qkAFL92bcVjtIdVa-UlsCw"", ""Interns!D:D""), 
   IMPORTRANGE(""1RdEdgHYrZ33LJ7RUHj_h-qkAFL92bcVjtIdVa-UlsCw"", ""Interns!O:O""), 
   ""Not Found"")"),"")</f>
        <v/>
      </c>
      <c r="AN1146" s="23"/>
      <c r="AO1146" s="23" t="s">
        <v>8129</v>
      </c>
      <c r="AP1146" s="28" t="s">
        <v>5191</v>
      </c>
      <c r="AQ1146" s="28" t="s">
        <v>8130</v>
      </c>
      <c r="AR1146" s="23" t="s">
        <v>8131</v>
      </c>
      <c r="AS1146" s="23"/>
      <c r="AT1146" s="23"/>
      <c r="AU1146" s="23"/>
      <c r="AV1146" s="23"/>
    </row>
    <row r="1147">
      <c r="A1147" s="28" t="s">
        <v>5161</v>
      </c>
      <c r="B1147" s="28" t="s">
        <v>5162</v>
      </c>
      <c r="C1147" s="23" t="str">
        <f t="shared" si="1"/>
        <v>Raissa Marginean</v>
      </c>
      <c r="D1147" s="28" t="s">
        <v>12439</v>
      </c>
      <c r="E1147" s="28" t="s">
        <v>12440</v>
      </c>
      <c r="F1147" s="23" t="str">
        <f t="array" ref="F1147">IFERROR(
    INDEX('Hub Interns 226'!A:A, MATCH(C1147, 'Hub Interns 226'!B:B, 0)),"")</f>
        <v/>
      </c>
      <c r="G1147" s="23">
        <f t="array" ref="G1147">IFERROR(
    INDEX('Hub Users 226'!A:A, MATCH(C1147, 'Hub Users 226'!B:B, 0)),"")</f>
        <v>2102</v>
      </c>
      <c r="H1147" s="28">
        <v>1851.0</v>
      </c>
      <c r="I1147" s="28"/>
      <c r="J1147" s="28" t="s">
        <v>12441</v>
      </c>
      <c r="K1147" s="28" t="s">
        <v>5255</v>
      </c>
      <c r="L1147" s="28" t="s">
        <v>5196</v>
      </c>
      <c r="M1147" s="56" t="s">
        <v>12442</v>
      </c>
      <c r="N1147" s="59">
        <v>45583.779861111114</v>
      </c>
      <c r="O1147" s="58">
        <v>41197.0</v>
      </c>
      <c r="P1147" s="28">
        <f t="shared" si="32"/>
        <v>13</v>
      </c>
      <c r="Q1147" s="28" t="s">
        <v>240</v>
      </c>
      <c r="R1147" s="28" t="s">
        <v>12443</v>
      </c>
      <c r="S1147" s="28">
        <v>6.0</v>
      </c>
      <c r="T1147" s="28">
        <v>15.0</v>
      </c>
      <c r="U1147" s="28">
        <v>28.0</v>
      </c>
      <c r="V1147" s="28">
        <v>30.0</v>
      </c>
      <c r="W1147" s="28" t="s">
        <v>271</v>
      </c>
      <c r="X1147" s="28" t="s">
        <v>272</v>
      </c>
      <c r="Y1147" s="28" t="s">
        <v>12444</v>
      </c>
      <c r="Z1147" s="23"/>
      <c r="AA1147" s="23"/>
      <c r="AB1147" s="23"/>
      <c r="AC1147" s="28" t="s">
        <v>23</v>
      </c>
      <c r="AD1147" s="23"/>
      <c r="AE1147" s="28" t="s">
        <v>19</v>
      </c>
      <c r="AF1147" s="23"/>
      <c r="AG1147" s="23"/>
      <c r="AH1147" s="23" t="str">
        <f>IFERROR(__xludf.DUMMYFUNCTION("IF(
ISNUMBER(MATCH(
C1147,
IMPORTRANGE(""https://docs.google.com/spreadsheets/d/1yTh1ELC33JHYOeEdgIiEclxPRyh0zOKtlawDltfUay8"",""'Interns'!A:A""),
0
)),
""Outreach Conducted"",
"""")"),"")</f>
        <v/>
      </c>
      <c r="AI1147" s="23"/>
      <c r="AJ1147" s="23"/>
      <c r="AK1147" s="23" t="str">
        <f>IFERROR(__xludf.DUMMYFUNCTION("XLOOKUP(C1147, 
   IMPORTRANGE(""1RdEdgHYrZ33LJ7RUHj_h-qkAFL92bcVjtIdVa-UlsCw"", ""Interns!D:D""), 
   IMPORTRANGE(""1RdEdgHYrZ33LJ7RUHj_h-qkAFL92bcVjtIdVa-UlsCw"", ""Interns!M:M""), 
   ""Not Found"")"),"")</f>
        <v/>
      </c>
      <c r="AL1147" s="23" t="str">
        <f>IFERROR(__xludf.DUMMYFUNCTION("XLOOKUP(C1147, 
   IMPORTRANGE(""1RdEdgHYrZ33LJ7RUHj_h-qkAFL92bcVjtIdVa-UlsCw"", ""Interns!D:D""), 
   IMPORTRANGE(""1RdEdgHYrZ33LJ7RUHj_h-qkAFL92bcVjtIdVa-UlsCw"", ""Interns!N:N""), 
   ""Not Found"")"),"")</f>
        <v/>
      </c>
      <c r="AM1147" s="23" t="str">
        <f>IFERROR(__xludf.DUMMYFUNCTION("XLOOKUP(C1147, 
   IMPORTRANGE(""1RdEdgHYrZ33LJ7RUHj_h-qkAFL92bcVjtIdVa-UlsCw"", ""Interns!D:D""), 
   IMPORTRANGE(""1RdEdgHYrZ33LJ7RUHj_h-qkAFL92bcVjtIdVa-UlsCw"", ""Interns!O:O""), 
   ""Not Found"")"),"")</f>
        <v/>
      </c>
      <c r="AN1147" s="23"/>
      <c r="AO1147" s="23" t="s">
        <v>12445</v>
      </c>
      <c r="AP1147" s="28" t="s">
        <v>5182</v>
      </c>
      <c r="AQ1147" s="28" t="s">
        <v>12446</v>
      </c>
      <c r="AR1147" s="23" t="s">
        <v>12447</v>
      </c>
      <c r="AS1147" s="23"/>
      <c r="AT1147" s="23"/>
      <c r="AU1147" s="23"/>
      <c r="AV1147" s="23"/>
    </row>
    <row r="1148">
      <c r="A1148" s="28" t="s">
        <v>5161</v>
      </c>
      <c r="B1148" s="28" t="s">
        <v>5162</v>
      </c>
      <c r="C1148" s="23" t="str">
        <f t="shared" si="1"/>
        <v>Arafat houssen</v>
      </c>
      <c r="D1148" s="28" t="s">
        <v>12448</v>
      </c>
      <c r="E1148" s="28" t="s">
        <v>12449</v>
      </c>
      <c r="F1148" s="23">
        <f t="array" ref="F1148">IFERROR(
    INDEX('Hub Interns 226'!A:A, MATCH(C1148, 'Hub Interns 226'!B:B, 0)),"")</f>
        <v>157</v>
      </c>
      <c r="G1148" s="23">
        <f t="array" ref="G1148">IFERROR(
    INDEX('Hub Users 226'!A:A, MATCH(C1148, 'Hub Users 226'!B:B, 0)),"")</f>
        <v>590</v>
      </c>
      <c r="H1148" s="28">
        <v>1301.0</v>
      </c>
      <c r="I1148" s="28" t="s">
        <v>239</v>
      </c>
      <c r="J1148" s="28" t="s">
        <v>12450</v>
      </c>
      <c r="K1148" s="28" t="s">
        <v>5255</v>
      </c>
      <c r="L1148" s="28" t="s">
        <v>5165</v>
      </c>
      <c r="M1148" s="56" t="s">
        <v>12451</v>
      </c>
      <c r="N1148" s="59">
        <v>44846.561111111114</v>
      </c>
      <c r="O1148" s="58">
        <v>38970.0</v>
      </c>
      <c r="P1148" s="28">
        <f t="shared" si="32"/>
        <v>19</v>
      </c>
      <c r="Q1148" s="28" t="s">
        <v>240</v>
      </c>
      <c r="R1148" s="28" t="s">
        <v>12452</v>
      </c>
      <c r="S1148" s="28">
        <v>15.0</v>
      </c>
      <c r="T1148" s="28">
        <v>33.0</v>
      </c>
      <c r="U1148" s="28">
        <v>80.0</v>
      </c>
      <c r="V1148" s="28">
        <v>11.0</v>
      </c>
      <c r="W1148" s="28" t="s">
        <v>859</v>
      </c>
      <c r="X1148" s="28" t="s">
        <v>272</v>
      </c>
      <c r="Y1148" s="28" t="s">
        <v>12453</v>
      </c>
      <c r="Z1148" s="28" t="s">
        <v>5918</v>
      </c>
      <c r="AA1148" s="28" t="s">
        <v>477</v>
      </c>
      <c r="AB1148" s="28">
        <v>15.0</v>
      </c>
      <c r="AC1148" s="28" t="s">
        <v>23</v>
      </c>
      <c r="AD1148" s="23"/>
      <c r="AE1148" s="28" t="s">
        <v>15</v>
      </c>
      <c r="AF1148" s="23"/>
      <c r="AG1148" s="23"/>
      <c r="AH1148" s="23" t="str">
        <f>IFERROR(__xludf.DUMMYFUNCTION("IF(
ISNUMBER(MATCH(
C1148,
IMPORTRANGE(""https://docs.google.com/spreadsheets/d/1yTh1ELC33JHYOeEdgIiEclxPRyh0zOKtlawDltfUay8"",""'Interns'!A:A""),
0
)),
""Outreach Conducted"",
"""")"),"")</f>
        <v/>
      </c>
      <c r="AI1148" s="23"/>
      <c r="AJ1148" s="23"/>
      <c r="AK1148" s="23" t="str">
        <f>IFERROR(__xludf.DUMMYFUNCTION("XLOOKUP(C1148, 
   IMPORTRANGE(""1RdEdgHYrZ33LJ7RUHj_h-qkAFL92bcVjtIdVa-UlsCw"", ""Interns!D:D""), 
   IMPORTRANGE(""1RdEdgHYrZ33LJ7RUHj_h-qkAFL92bcVjtIdVa-UlsCw"", ""Interns!M:M""), 
   ""Not Found"")"),"")</f>
        <v/>
      </c>
      <c r="AL1148" s="23" t="str">
        <f>IFERROR(__xludf.DUMMYFUNCTION("XLOOKUP(C1148, 
   IMPORTRANGE(""1RdEdgHYrZ33LJ7RUHj_h-qkAFL92bcVjtIdVa-UlsCw"", ""Interns!D:D""), 
   IMPORTRANGE(""1RdEdgHYrZ33LJ7RUHj_h-qkAFL92bcVjtIdVa-UlsCw"", ""Interns!N:N""), 
   ""Not Found"")"),"#SpeakingMyName")</f>
        <v>#SpeakingMyName</v>
      </c>
      <c r="AM1148" s="23" t="str">
        <f>IFERROR(__xludf.DUMMYFUNCTION("XLOOKUP(C1148, 
   IMPORTRANGE(""1RdEdgHYrZ33LJ7RUHj_h-qkAFL92bcVjtIdVa-UlsCw"", ""Interns!D:D""), 
   IMPORTRANGE(""1RdEdgHYrZ33LJ7RUHj_h-qkAFL92bcVjtIdVa-UlsCw"", ""Interns!O:O""), 
   ""Not Found"")"),"Alicia reached out by email on 5/15 for #SpeakingMyName")</f>
        <v>Alicia reached out by email on 5/15 for #SpeakingMyName</v>
      </c>
      <c r="AN1148" s="23"/>
      <c r="AO1148" s="23" t="s">
        <v>12454</v>
      </c>
      <c r="AP1148" s="28" t="s">
        <v>5182</v>
      </c>
      <c r="AQ1148" s="28"/>
      <c r="AR1148" s="23"/>
      <c r="AS1148" s="23"/>
      <c r="AT1148" s="23"/>
      <c r="AU1148" s="23"/>
      <c r="AV1148" s="23"/>
    </row>
    <row r="1149">
      <c r="A1149" s="28" t="s">
        <v>5161</v>
      </c>
      <c r="B1149" s="28" t="s">
        <v>5162</v>
      </c>
      <c r="C1149" s="23" t="str">
        <f t="shared" si="1"/>
        <v>Danzan Chimidov</v>
      </c>
      <c r="D1149" s="28" t="s">
        <v>12455</v>
      </c>
      <c r="E1149" s="28" t="s">
        <v>12456</v>
      </c>
      <c r="F1149" s="23">
        <f t="array" ref="F1149">IFERROR(
    INDEX('Hub Interns 226'!A:A, MATCH(C1149, 'Hub Interns 226'!B:B, 0)),"")</f>
        <v>1776</v>
      </c>
      <c r="G1149" s="23">
        <f t="array" ref="G1149">IFERROR(
    INDEX('Hub Users 226'!A:A, MATCH(C1149, 'Hub Users 226'!B:B, 0)),"")</f>
        <v>2606</v>
      </c>
      <c r="H1149" s="28">
        <v>1647.0</v>
      </c>
      <c r="I1149" s="28"/>
      <c r="J1149" s="28" t="s">
        <v>12457</v>
      </c>
      <c r="K1149" s="28" t="s">
        <v>11878</v>
      </c>
      <c r="L1149" s="28" t="s">
        <v>5165</v>
      </c>
      <c r="M1149" s="56" t="s">
        <v>12458</v>
      </c>
      <c r="N1149" s="57">
        <v>45117.40416666667</v>
      </c>
      <c r="O1149" s="58">
        <v>39607.0</v>
      </c>
      <c r="P1149" s="28">
        <f t="shared" si="32"/>
        <v>17</v>
      </c>
      <c r="Q1149" s="28" t="s">
        <v>240</v>
      </c>
      <c r="R1149" s="28">
        <v>8515.0</v>
      </c>
      <c r="S1149" s="28"/>
      <c r="T1149" s="28"/>
      <c r="U1149" s="28"/>
      <c r="V1149" s="28"/>
      <c r="W1149" s="28" t="s">
        <v>294</v>
      </c>
      <c r="X1149" s="28" t="s">
        <v>272</v>
      </c>
      <c r="Y1149" s="28" t="s">
        <v>12459</v>
      </c>
      <c r="Z1149" s="28" t="s">
        <v>12460</v>
      </c>
      <c r="AA1149" s="28" t="s">
        <v>5639</v>
      </c>
      <c r="AB1149" s="28">
        <v>49.0</v>
      </c>
      <c r="AC1149" s="28" t="s">
        <v>27</v>
      </c>
      <c r="AD1149" s="23"/>
      <c r="AE1149" s="28" t="s">
        <v>18</v>
      </c>
      <c r="AF1149" s="23"/>
      <c r="AG1149" s="23"/>
      <c r="AH1149" s="23" t="str">
        <f>IFERROR(__xludf.DUMMYFUNCTION("IF(
ISNUMBER(MATCH(
C1149,
IMPORTRANGE(""https://docs.google.com/spreadsheets/d/1yTh1ELC33JHYOeEdgIiEclxPRyh0zOKtlawDltfUay8"",""'Interns'!A:A""),
0
)),
""Outreach Conducted"",
"""")"),"")</f>
        <v/>
      </c>
      <c r="AI1149" s="23"/>
      <c r="AJ1149" s="23"/>
      <c r="AK1149" s="23" t="str">
        <f>IFERROR(__xludf.DUMMYFUNCTION("XLOOKUP(C1149, 
   IMPORTRANGE(""1RdEdgHYrZ33LJ7RUHj_h-qkAFL92bcVjtIdVa-UlsCw"", ""Interns!D:D""), 
   IMPORTRANGE(""1RdEdgHYrZ33LJ7RUHj_h-qkAFL92bcVjtIdVa-UlsCw"", ""Interns!M:M""), 
   ""Not Found"")"),"Declined Further Interest")</f>
        <v>Declined Further Interest</v>
      </c>
      <c r="AL1149" s="23" t="str">
        <f>IFERROR(__xludf.DUMMYFUNCTION("XLOOKUP(C1149, 
   IMPORTRANGE(""1RdEdgHYrZ33LJ7RUHj_h-qkAFL92bcVjtIdVa-UlsCw"", ""Interns!D:D""), 
   IMPORTRANGE(""1RdEdgHYrZ33LJ7RUHj_h-qkAFL92bcVjtIdVa-UlsCw"", ""Interns!N:N""), 
   ""Not Found"")"),"#Cheers4Careers")</f>
        <v>#Cheers4Careers</v>
      </c>
      <c r="AM1149" s="23" t="str">
        <f>IFERROR(__xludf.DUMMYFUNCTION("XLOOKUP(C1149, 
   IMPORTRANGE(""1RdEdgHYrZ33LJ7RUHj_h-qkAFL92bcVjtIdVa-UlsCw"", ""Interns!D:D""), 
   IMPORTRANGE(""1RdEdgHYrZ33LJ7RUHj_h-qkAFL92bcVjtIdVa-UlsCw"", ""Interns!O:O""), 
   ""Not Found"")"),"Hetal reached out by text 3/27 for #Cheers4Careers said no longer interested ")</f>
        <v>Hetal reached out by text 3/27 for #Cheers4Careers said no longer interested </v>
      </c>
      <c r="AN1149" s="23"/>
      <c r="AO1149" s="23" t="s">
        <v>12461</v>
      </c>
      <c r="AP1149" s="28" t="s">
        <v>5182</v>
      </c>
      <c r="AQ1149" s="28"/>
      <c r="AR1149" s="23"/>
      <c r="AS1149" s="23"/>
      <c r="AT1149" s="23"/>
      <c r="AU1149" s="23"/>
      <c r="AV1149" s="23"/>
    </row>
    <row r="1150">
      <c r="A1150" s="28" t="s">
        <v>5161</v>
      </c>
      <c r="B1150" s="28" t="s">
        <v>5162</v>
      </c>
      <c r="C1150" s="23" t="str">
        <f t="shared" si="1"/>
        <v>Valeriia (Lera) Chernobaeva</v>
      </c>
      <c r="D1150" s="28" t="s">
        <v>12462</v>
      </c>
      <c r="E1150" s="28" t="s">
        <v>12463</v>
      </c>
      <c r="F1150" s="23">
        <f t="array" ref="F1150">IFERROR(
    INDEX('Hub Interns 226'!A:A, MATCH("Lera", 'Hub Interns 226'!B:B, 0)),"")</f>
        <v>1371</v>
      </c>
      <c r="G1150" s="23">
        <f t="array" ref="G1150">IFERROR(
    INDEX('Hub Users 226'!A:A, MATCH("Valeriia Chernobaeva", 'Hub Users 226'!B:B, 0)),"")</f>
        <v>1912</v>
      </c>
      <c r="H1150" s="28">
        <v>1780.0</v>
      </c>
      <c r="I1150" s="28" t="s">
        <v>407</v>
      </c>
      <c r="J1150" s="28" t="s">
        <v>12457</v>
      </c>
      <c r="K1150" s="28" t="s">
        <v>11878</v>
      </c>
      <c r="L1150" s="28" t="s">
        <v>5196</v>
      </c>
      <c r="M1150" s="56" t="s">
        <v>12464</v>
      </c>
      <c r="N1150" s="57">
        <v>45312.88263888889</v>
      </c>
      <c r="O1150" s="58">
        <v>38174.0</v>
      </c>
      <c r="P1150" s="28">
        <f t="shared" si="32"/>
        <v>21</v>
      </c>
      <c r="Q1150" s="28" t="s">
        <v>12465</v>
      </c>
      <c r="R1150" s="28" t="s">
        <v>12466</v>
      </c>
      <c r="S1150" s="28">
        <v>9.0</v>
      </c>
      <c r="T1150" s="28">
        <v>21.0</v>
      </c>
      <c r="U1150" s="28">
        <v>42.0</v>
      </c>
      <c r="V1150" s="28">
        <v>40.0</v>
      </c>
      <c r="W1150" s="28" t="s">
        <v>294</v>
      </c>
      <c r="X1150" s="28" t="s">
        <v>272</v>
      </c>
      <c r="Y1150" s="28">
        <v>6.195788817E9</v>
      </c>
      <c r="Z1150" s="28" t="s">
        <v>5259</v>
      </c>
      <c r="AA1150" s="28" t="s">
        <v>704</v>
      </c>
      <c r="AB1150" s="28">
        <v>2.0</v>
      </c>
      <c r="AC1150" s="28" t="s">
        <v>25</v>
      </c>
      <c r="AD1150" s="23"/>
      <c r="AE1150" s="28" t="s">
        <v>18</v>
      </c>
      <c r="AF1150" s="23" t="str">
        <f>IFERROR(__xludf.DUMMYFUNCTION("TEXTJOIN("", "", TRUE,
  FILTER(Champions!C:C,
    ISNUMBER(SEARCH(C1150, Champions!W:W))
  )
)"),"Diane French, Christopher (Chris) Herrera")</f>
        <v>Diane French, Christopher (Chris) Herrera</v>
      </c>
      <c r="AG1150" s="23"/>
      <c r="AH1150" s="23" t="str">
        <f>IFERROR(__xludf.DUMMYFUNCTION("IF(
ISNUMBER(MATCH(
C1150,
IMPORTRANGE(""https://docs.google.com/spreadsheets/d/1yTh1ELC33JHYOeEdgIiEclxPRyh0zOKtlawDltfUay8"",""'Interns'!A:A""),
0
)),
""Outreach Conducted"",
"""")"),"")</f>
        <v/>
      </c>
      <c r="AI1150" s="23"/>
      <c r="AJ1150" s="23"/>
      <c r="AK1150" s="23" t="str">
        <f>IFERROR(__xludf.DUMMYFUNCTION("XLOOKUP(C1150, 
   IMPORTRANGE(""1RdEdgHYrZ33LJ7RUHj_h-qkAFL92bcVjtIdVa-UlsCw"", ""Interns!D:D""), 
   IMPORTRANGE(""1RdEdgHYrZ33LJ7RUHj_h-qkAFL92bcVjtIdVa-UlsCw"", ""Interns!M:M""), 
   ""Not Found"")"),"Contacted")</f>
        <v>Contacted</v>
      </c>
      <c r="AL1150" s="23" t="str">
        <f>IFERROR(__xludf.DUMMYFUNCTION("XLOOKUP(C1150, 
   IMPORTRANGE(""1RdEdgHYrZ33LJ7RUHj_h-qkAFL92bcVjtIdVa-UlsCw"", ""Interns!D:D""), 
   IMPORTRANGE(""1RdEdgHYrZ33LJ7RUHj_h-qkAFL92bcVjtIdVa-UlsCw"", ""Interns!N:N""), 
   ""Not Found"")"),"#Cheers4Careers")</f>
        <v>#Cheers4Careers</v>
      </c>
      <c r="AM1150" s="23" t="str">
        <f>IFERROR(__xludf.DUMMYFUNCTION("XLOOKUP(C1150, 
   IMPORTRANGE(""1RdEdgHYrZ33LJ7RUHj_h-qkAFL92bcVjtIdVa-UlsCw"", ""Interns!D:D""), 
   IMPORTRANGE(""1RdEdgHYrZ33LJ7RUHj_h-qkAFL92bcVjtIdVa-UlsCw"", ""Interns!O:O""), 
   ""Not Found"")"),"Ousmane reached out by email 3/26 and reach out by text 3/28")</f>
        <v>Ousmane reached out by email 3/26 and reach out by text 3/28</v>
      </c>
      <c r="AN1150" s="23"/>
      <c r="AO1150" s="23" t="s">
        <v>12467</v>
      </c>
      <c r="AP1150" s="28" t="s">
        <v>5182</v>
      </c>
      <c r="AQ1150" s="28" t="s">
        <v>12468</v>
      </c>
      <c r="AR1150" s="23">
        <v>8.632667601E9</v>
      </c>
      <c r="AS1150" s="23"/>
      <c r="AT1150" s="23"/>
      <c r="AU1150" s="23"/>
      <c r="AV1150" s="23"/>
    </row>
    <row r="1151">
      <c r="A1151" s="28" t="s">
        <v>5202</v>
      </c>
      <c r="B1151" s="28" t="s">
        <v>5162</v>
      </c>
      <c r="C1151" s="23" t="str">
        <f t="shared" si="1"/>
        <v>Hannah Perez</v>
      </c>
      <c r="D1151" s="28" t="s">
        <v>11178</v>
      </c>
      <c r="E1151" s="28" t="s">
        <v>5175</v>
      </c>
      <c r="F1151" s="23">
        <f t="array" ref="F1151">IFERROR(
    INDEX('Hub Interns 226'!A:A, MATCH(C1151, 'Hub Interns 226'!B:B, 0)),"")</f>
        <v>979</v>
      </c>
      <c r="G1151" s="23">
        <f t="array" ref="G1151">IFERROR(
    INDEX('Hub Users 226'!A:A, MATCH(C1151, 'Hub Users 226'!B:B, 0)),"")</f>
        <v>1412</v>
      </c>
      <c r="H1151" s="28">
        <v>588.0</v>
      </c>
      <c r="I1151" s="28" t="s">
        <v>1235</v>
      </c>
      <c r="J1151" s="28" t="s">
        <v>11105</v>
      </c>
      <c r="K1151" s="28" t="s">
        <v>5177</v>
      </c>
      <c r="L1151" s="28" t="s">
        <v>5196</v>
      </c>
      <c r="M1151" s="56" t="s">
        <v>12469</v>
      </c>
      <c r="N1151" s="59">
        <v>44483.84930555556</v>
      </c>
      <c r="O1151" s="58">
        <v>38627.0</v>
      </c>
      <c r="P1151" s="28">
        <f t="shared" si="32"/>
        <v>20</v>
      </c>
      <c r="Q1151" s="28" t="s">
        <v>240</v>
      </c>
      <c r="R1151" s="28" t="s">
        <v>12470</v>
      </c>
      <c r="S1151" s="28">
        <v>6.0</v>
      </c>
      <c r="T1151" s="28">
        <v>13.0</v>
      </c>
      <c r="U1151" s="28">
        <v>39.0</v>
      </c>
      <c r="V1151" s="28">
        <v>21.0</v>
      </c>
      <c r="W1151" s="28" t="s">
        <v>1173</v>
      </c>
      <c r="X1151" s="28" t="s">
        <v>272</v>
      </c>
      <c r="Y1151" s="28" t="s">
        <v>12471</v>
      </c>
      <c r="Z1151" s="28" t="s">
        <v>5189</v>
      </c>
      <c r="AA1151" s="28" t="s">
        <v>619</v>
      </c>
      <c r="AB1151" s="28">
        <v>20.0</v>
      </c>
      <c r="AC1151" s="28" t="s">
        <v>25</v>
      </c>
      <c r="AD1151" s="23"/>
      <c r="AE1151" s="28" t="s">
        <v>10</v>
      </c>
      <c r="AF1151" s="23" t="str">
        <f>IFERROR(__xludf.DUMMYFUNCTION("TEXTJOIN("", "", TRUE,
  FILTER(Champions!C:C,
    ISNUMBER(SEARCH(C1151, Champions!W:W))
  )
)"),"Adelina Longoria, Enrique Linan")</f>
        <v>Adelina Longoria, Enrique Linan</v>
      </c>
      <c r="AG1151" s="23"/>
      <c r="AH1151" s="23" t="str">
        <f>IFERROR(__xludf.DUMMYFUNCTION("IF(
ISNUMBER(MATCH(
C1151,
IMPORTRANGE(""https://docs.google.com/spreadsheets/d/1yTh1ELC33JHYOeEdgIiEclxPRyh0zOKtlawDltfUay8"",""'Interns'!A:A""),
0
)),
""Outreach Conducted"",
"""")"),"")</f>
        <v/>
      </c>
      <c r="AI1151" s="23"/>
      <c r="AJ1151" s="23"/>
      <c r="AK1151" s="23" t="str">
        <f>IFERROR(__xludf.DUMMYFUNCTION("XLOOKUP(C1151, 
   IMPORTRANGE(""1RdEdgHYrZ33LJ7RUHj_h-qkAFL92bcVjtIdVa-UlsCw"", ""Interns!D:D""), 
   IMPORTRANGE(""1RdEdgHYrZ33LJ7RUHj_h-qkAFL92bcVjtIdVa-UlsCw"", ""Interns!M:M""), 
   ""Not Found"")"),"")</f>
        <v/>
      </c>
      <c r="AL1151" s="23" t="str">
        <f>IFERROR(__xludf.DUMMYFUNCTION("XLOOKUP(C1151, 
   IMPORTRANGE(""1RdEdgHYrZ33LJ7RUHj_h-qkAFL92bcVjtIdVa-UlsCw"", ""Interns!D:D""), 
   IMPORTRANGE(""1RdEdgHYrZ33LJ7RUHj_h-qkAFL92bcVjtIdVa-UlsCw"", ""Interns!N:N""), 
   ""Not Found"")"),"")</f>
        <v/>
      </c>
      <c r="AM1151" s="23" t="str">
        <f>IFERROR(__xludf.DUMMYFUNCTION("XLOOKUP(C1151, 
   IMPORTRANGE(""1RdEdgHYrZ33LJ7RUHj_h-qkAFL92bcVjtIdVa-UlsCw"", ""Interns!D:D""), 
   IMPORTRANGE(""1RdEdgHYrZ33LJ7RUHj_h-qkAFL92bcVjtIdVa-UlsCw"", ""Interns!O:O""), 
   ""Not Found"")"),"")</f>
        <v/>
      </c>
      <c r="AN1151" s="23"/>
      <c r="AO1151" s="23" t="s">
        <v>12472</v>
      </c>
      <c r="AP1151" s="28" t="s">
        <v>5989</v>
      </c>
      <c r="AQ1151" s="28" t="s">
        <v>12473</v>
      </c>
      <c r="AR1151" s="23" t="s">
        <v>12471</v>
      </c>
      <c r="AS1151" s="23"/>
      <c r="AT1151" s="23"/>
      <c r="AU1151" s="23"/>
      <c r="AV1151" s="23"/>
    </row>
    <row r="1152">
      <c r="A1152" s="28" t="s">
        <v>5202</v>
      </c>
      <c r="B1152" s="28" t="s">
        <v>5162</v>
      </c>
      <c r="C1152" s="23" t="str">
        <f t="shared" si="1"/>
        <v>antonio lima</v>
      </c>
      <c r="D1152" s="28" t="s">
        <v>12474</v>
      </c>
      <c r="E1152" s="28" t="s">
        <v>12475</v>
      </c>
      <c r="F1152" s="23">
        <f t="array" ref="F1152">IFERROR(
    INDEX('Hub Interns 226'!A:A, MATCH(C1152, 'Hub Interns 226'!B:B, 0)),"")</f>
        <v>34</v>
      </c>
      <c r="G1152" s="23">
        <f t="array" ref="G1152">IFERROR(
    INDEX('Hub Users 226'!A:A, MATCH(C1152, 'Hub Users 226'!B:B, 0)),"")</f>
        <v>467</v>
      </c>
      <c r="H1152" s="28">
        <v>916.0</v>
      </c>
      <c r="I1152" s="28"/>
      <c r="J1152" s="28" t="s">
        <v>11105</v>
      </c>
      <c r="K1152" s="28" t="s">
        <v>5177</v>
      </c>
      <c r="L1152" s="28" t="s">
        <v>5165</v>
      </c>
      <c r="M1152" s="56" t="s">
        <v>12476</v>
      </c>
      <c r="N1152" s="57">
        <v>44602.62777777778</v>
      </c>
      <c r="O1152" s="58">
        <v>38541.0</v>
      </c>
      <c r="P1152" s="28">
        <f t="shared" si="32"/>
        <v>20</v>
      </c>
      <c r="Q1152" s="28" t="s">
        <v>240</v>
      </c>
      <c r="R1152" s="28" t="s">
        <v>12477</v>
      </c>
      <c r="S1152" s="28">
        <v>15.0</v>
      </c>
      <c r="T1152" s="28">
        <v>33.0</v>
      </c>
      <c r="U1152" s="28">
        <v>86.0</v>
      </c>
      <c r="V1152" s="28">
        <v>14.0</v>
      </c>
      <c r="W1152" s="28" t="s">
        <v>859</v>
      </c>
      <c r="X1152" s="28" t="s">
        <v>272</v>
      </c>
      <c r="Y1152" s="28" t="s">
        <v>12478</v>
      </c>
      <c r="Z1152" s="28" t="s">
        <v>5259</v>
      </c>
      <c r="AA1152" s="28" t="s">
        <v>704</v>
      </c>
      <c r="AB1152" s="28">
        <v>2.0</v>
      </c>
      <c r="AC1152" s="28" t="s">
        <v>24</v>
      </c>
      <c r="AD1152" s="23"/>
      <c r="AE1152" s="28" t="s">
        <v>10</v>
      </c>
      <c r="AF1152" s="23"/>
      <c r="AG1152" s="23"/>
      <c r="AH1152" s="23" t="str">
        <f>IFERROR(__xludf.DUMMYFUNCTION("IF(
ISNUMBER(MATCH(
C1152,
IMPORTRANGE(""https://docs.google.com/spreadsheets/d/1yTh1ELC33JHYOeEdgIiEclxPRyh0zOKtlawDltfUay8"",""'Interns'!A:A""),
0
)),
""Outreach Conducted"",
"""")"),"")</f>
        <v/>
      </c>
      <c r="AI1152" s="23"/>
      <c r="AJ1152" s="23"/>
      <c r="AK1152" s="23" t="str">
        <f>IFERROR(__xludf.DUMMYFUNCTION("XLOOKUP(C1152, 
   IMPORTRANGE(""1RdEdgHYrZ33LJ7RUHj_h-qkAFL92bcVjtIdVa-UlsCw"", ""Interns!D:D""), 
   IMPORTRANGE(""1RdEdgHYrZ33LJ7RUHj_h-qkAFL92bcVjtIdVa-UlsCw"", ""Interns!M:M""), 
   ""Not Found"")"),"")</f>
        <v/>
      </c>
      <c r="AL1152" s="23" t="str">
        <f>IFERROR(__xludf.DUMMYFUNCTION("XLOOKUP(C1152, 
   IMPORTRANGE(""1RdEdgHYrZ33LJ7RUHj_h-qkAFL92bcVjtIdVa-UlsCw"", ""Interns!D:D""), 
   IMPORTRANGE(""1RdEdgHYrZ33LJ7RUHj_h-qkAFL92bcVjtIdVa-UlsCw"", ""Interns!N:N""), 
   ""Not Found"")"),"")</f>
        <v/>
      </c>
      <c r="AM1152" s="23" t="str">
        <f>IFERROR(__xludf.DUMMYFUNCTION("XLOOKUP(C1152, 
   IMPORTRANGE(""1RdEdgHYrZ33LJ7RUHj_h-qkAFL92bcVjtIdVa-UlsCw"", ""Interns!D:D""), 
   IMPORTRANGE(""1RdEdgHYrZ33LJ7RUHj_h-qkAFL92bcVjtIdVa-UlsCw"", ""Interns!O:O""), 
   ""Not Found"")"),"")</f>
        <v/>
      </c>
      <c r="AN1152" s="23"/>
      <c r="AO1152" s="23" t="s">
        <v>12479</v>
      </c>
      <c r="AP1152" s="28" t="s">
        <v>5191</v>
      </c>
      <c r="AQ1152" s="28"/>
      <c r="AR1152" s="23"/>
      <c r="AS1152" s="23"/>
      <c r="AT1152" s="23"/>
      <c r="AU1152" s="23"/>
      <c r="AV1152" s="23"/>
    </row>
    <row r="1153">
      <c r="A1153" s="28" t="s">
        <v>5161</v>
      </c>
      <c r="B1153" s="28" t="s">
        <v>5162</v>
      </c>
      <c r="C1153" s="23" t="str">
        <f t="shared" si="1"/>
        <v>Alina Mondrunova</v>
      </c>
      <c r="D1153" s="28" t="s">
        <v>374</v>
      </c>
      <c r="E1153" s="28" t="s">
        <v>12480</v>
      </c>
      <c r="F1153" s="23">
        <f t="array" ref="F1153">IFERROR(
    INDEX('Hub Interns 226'!A:A, MATCH(C1153, 'Hub Interns 226'!B:B, 0)),"")</f>
        <v>1780</v>
      </c>
      <c r="G1153" s="23">
        <f t="array" ref="G1153">IFERROR(
    INDEX('Hub Users 226'!A:A, MATCH(C1153, 'Hub Users 226'!B:B, 0)),"")</f>
        <v>2610</v>
      </c>
      <c r="H1153" s="28">
        <v>1641.0</v>
      </c>
      <c r="I1153" s="28" t="s">
        <v>260</v>
      </c>
      <c r="J1153" s="28" t="s">
        <v>12457</v>
      </c>
      <c r="K1153" s="28" t="s">
        <v>11878</v>
      </c>
      <c r="L1153" s="28" t="s">
        <v>5196</v>
      </c>
      <c r="M1153" s="56" t="s">
        <v>12481</v>
      </c>
      <c r="N1153" s="57">
        <v>45116.95763888889</v>
      </c>
      <c r="O1153" s="58">
        <v>38076.0</v>
      </c>
      <c r="P1153" s="28">
        <f t="shared" si="32"/>
        <v>22</v>
      </c>
      <c r="Q1153" s="28" t="s">
        <v>12482</v>
      </c>
      <c r="R1153" s="28" t="s">
        <v>12483</v>
      </c>
      <c r="S1153" s="28">
        <v>10.0</v>
      </c>
      <c r="T1153" s="28">
        <v>22.0</v>
      </c>
      <c r="U1153" s="28">
        <v>48.0</v>
      </c>
      <c r="V1153" s="28">
        <v>44.0</v>
      </c>
      <c r="W1153" s="28" t="s">
        <v>294</v>
      </c>
      <c r="X1153" s="28" t="s">
        <v>272</v>
      </c>
      <c r="Y1153" s="28" t="s">
        <v>12484</v>
      </c>
      <c r="Z1153" s="28" t="s">
        <v>5963</v>
      </c>
      <c r="AA1153" s="28" t="s">
        <v>5639</v>
      </c>
      <c r="AB1153" s="23"/>
      <c r="AC1153" s="28" t="s">
        <v>27</v>
      </c>
      <c r="AD1153" s="23"/>
      <c r="AE1153" s="28" t="s">
        <v>18</v>
      </c>
      <c r="AF1153" s="23"/>
      <c r="AG1153" s="23"/>
      <c r="AH1153" s="23" t="str">
        <f>IFERROR(__xludf.DUMMYFUNCTION("IF(
ISNUMBER(MATCH(
C1153,
IMPORTRANGE(""https://docs.google.com/spreadsheets/d/1yTh1ELC33JHYOeEdgIiEclxPRyh0zOKtlawDltfUay8"",""'Interns'!A:A""),
0
)),
""Outreach Conducted"",
"""")"),"")</f>
        <v/>
      </c>
      <c r="AI1153" s="23"/>
      <c r="AJ1153" s="23"/>
      <c r="AK1153" s="23" t="str">
        <f>IFERROR(__xludf.DUMMYFUNCTION("XLOOKUP(C1153, 
   IMPORTRANGE(""1RdEdgHYrZ33LJ7RUHj_h-qkAFL92bcVjtIdVa-UlsCw"", ""Interns!D:D""), 
   IMPORTRANGE(""1RdEdgHYrZ33LJ7RUHj_h-qkAFL92bcVjtIdVa-UlsCw"", ""Interns!M:M""), 
   ""Not Found"")"),"Contacted")</f>
        <v>Contacted</v>
      </c>
      <c r="AL1153" s="23" t="str">
        <f>IFERROR(__xludf.DUMMYFUNCTION("XLOOKUP(C1153, 
   IMPORTRANGE(""1RdEdgHYrZ33LJ7RUHj_h-qkAFL92bcVjtIdVa-UlsCw"", ""Interns!D:D""), 
   IMPORTRANGE(""1RdEdgHYrZ33LJ7RUHj_h-qkAFL92bcVjtIdVa-UlsCw"", ""Interns!N:N""), 
   ""Not Found"")"),"#Cheers4Careers")</f>
        <v>#Cheers4Careers</v>
      </c>
      <c r="AM1153" s="23" t="str">
        <f>IFERROR(__xludf.DUMMYFUNCTION("XLOOKUP(C1153, 
   IMPORTRANGE(""1RdEdgHYrZ33LJ7RUHj_h-qkAFL92bcVjtIdVa-UlsCw"", ""Interns!D:D""), 
   IMPORTRANGE(""1RdEdgHYrZ33LJ7RUHj_h-qkAFL92bcVjtIdVa-UlsCw"", ""Interns!O:O""), 
   ""Not Found"")"),"Hetal reached out by text 3/27 for #Cheers4Careers and whatsapp on 3/28
Hetal reached out on 4/10 by whatsapp for April 18th #Cheers4Careers")</f>
        <v>Hetal reached out by text 3/27 for #Cheers4Careers and whatsapp on 3/28
Hetal reached out on 4/10 by whatsapp for April 18th #Cheers4Careers</v>
      </c>
      <c r="AN1153" s="23"/>
      <c r="AO1153" s="23" t="s">
        <v>12485</v>
      </c>
      <c r="AP1153" s="28" t="s">
        <v>5182</v>
      </c>
      <c r="AQ1153" s="28" t="s">
        <v>12486</v>
      </c>
      <c r="AR1153" s="23" t="s">
        <v>12487</v>
      </c>
      <c r="AS1153" s="23"/>
      <c r="AT1153" s="23"/>
      <c r="AU1153" s="23"/>
      <c r="AV1153" s="23"/>
    </row>
    <row r="1154">
      <c r="A1154" s="28" t="s">
        <v>5161</v>
      </c>
      <c r="B1154" s="28" t="s">
        <v>5162</v>
      </c>
      <c r="C1154" s="23" t="str">
        <f t="shared" si="1"/>
        <v>Maria Ines Lara Mejia</v>
      </c>
      <c r="D1154" s="28" t="s">
        <v>12488</v>
      </c>
      <c r="E1154" s="28" t="s">
        <v>12489</v>
      </c>
      <c r="F1154" s="23">
        <f t="array" ref="F1154">IFERROR(
    INDEX('Hub Interns 226'!A:A, MATCH(C1154, 'Hub Interns 226'!B:B, 0)),"")</f>
        <v>835</v>
      </c>
      <c r="G1154" s="23">
        <f t="array" ref="G1154">IFERROR(
    INDEX('Hub Users 226'!A:A, MATCH(C1154, 'Hub Users 226'!B:B, 0)),"")</f>
        <v>1268</v>
      </c>
      <c r="H1154" s="28">
        <v>934.0</v>
      </c>
      <c r="I1154" s="28" t="s">
        <v>260</v>
      </c>
      <c r="J1154" s="28" t="s">
        <v>9066</v>
      </c>
      <c r="K1154" s="28" t="s">
        <v>5463</v>
      </c>
      <c r="L1154" s="28" t="s">
        <v>5196</v>
      </c>
      <c r="M1154" s="56" t="s">
        <v>12490</v>
      </c>
      <c r="N1154" s="57">
        <v>44603.48333333333</v>
      </c>
      <c r="O1154" s="58">
        <v>37733.0</v>
      </c>
      <c r="P1154" s="28">
        <f t="shared" si="32"/>
        <v>23</v>
      </c>
      <c r="Q1154" s="28" t="s">
        <v>240</v>
      </c>
      <c r="R1154" s="28" t="s">
        <v>12491</v>
      </c>
      <c r="S1154" s="28">
        <v>15.0</v>
      </c>
      <c r="T1154" s="28">
        <v>29.0</v>
      </c>
      <c r="U1154" s="28">
        <v>84.0</v>
      </c>
      <c r="V1154" s="28">
        <v>17.0</v>
      </c>
      <c r="W1154" s="28" t="s">
        <v>859</v>
      </c>
      <c r="X1154" s="28" t="s">
        <v>272</v>
      </c>
      <c r="Y1154" s="28" t="s">
        <v>12492</v>
      </c>
      <c r="Z1154" s="28" t="s">
        <v>5208</v>
      </c>
      <c r="AA1154" s="28" t="s">
        <v>2141</v>
      </c>
      <c r="AB1154" s="28">
        <v>8.0</v>
      </c>
      <c r="AC1154" s="28" t="s">
        <v>24</v>
      </c>
      <c r="AD1154" s="23"/>
      <c r="AE1154" s="28" t="s">
        <v>10</v>
      </c>
      <c r="AF1154" s="23"/>
      <c r="AG1154" s="23"/>
      <c r="AH1154" s="23" t="str">
        <f>IFERROR(__xludf.DUMMYFUNCTION("IF(
ISNUMBER(MATCH(
C1154,
IMPORTRANGE(""https://docs.google.com/spreadsheets/d/1yTh1ELC33JHYOeEdgIiEclxPRyh0zOKtlawDltfUay8"",""'Interns'!A:A""),
0
)),
""Outreach Conducted"",
"""")"),"")</f>
        <v/>
      </c>
      <c r="AI1154" s="23"/>
      <c r="AJ1154" s="23"/>
      <c r="AK1154" s="23" t="str">
        <f>IFERROR(__xludf.DUMMYFUNCTION("XLOOKUP(C1154, 
   IMPORTRANGE(""1RdEdgHYrZ33LJ7RUHj_h-qkAFL92bcVjtIdVa-UlsCw"", ""Interns!D:D""), 
   IMPORTRANGE(""1RdEdgHYrZ33LJ7RUHj_h-qkAFL92bcVjtIdVa-UlsCw"", ""Interns!M:M""), 
   ""Not Found"")"),"Contacted")</f>
        <v>Contacted</v>
      </c>
      <c r="AL1154" s="23" t="str">
        <f>IFERROR(__xludf.DUMMYFUNCTION("XLOOKUP(C1154, 
   IMPORTRANGE(""1RdEdgHYrZ33LJ7RUHj_h-qkAFL92bcVjtIdVa-UlsCw"", ""Interns!D:D""), 
   IMPORTRANGE(""1RdEdgHYrZ33LJ7RUHj_h-qkAFL92bcVjtIdVa-UlsCw"", ""Interns!N:N""), 
   ""Not Found"")"),"#Cheers4Careers")</f>
        <v>#Cheers4Careers</v>
      </c>
      <c r="AM1154" s="23" t="str">
        <f>IFERROR(__xludf.DUMMYFUNCTION("XLOOKUP(C1154, 
   IMPORTRANGE(""1RdEdgHYrZ33LJ7RUHj_h-qkAFL92bcVjtIdVa-UlsCw"", ""Interns!D:D""), 
   IMPORTRANGE(""1RdEdgHYrZ33LJ7RUHj_h-qkAFL92bcVjtIdVa-UlsCw"", ""Interns!O:O""), 
   ""Not Found"")"),"Hetal reached out by email 3/27")</f>
        <v>Hetal reached out by email 3/27</v>
      </c>
      <c r="AN1154" s="23"/>
      <c r="AO1154" s="23" t="s">
        <v>12493</v>
      </c>
      <c r="AP1154" s="28" t="s">
        <v>5182</v>
      </c>
      <c r="AQ1154" s="28"/>
      <c r="AR1154" s="23"/>
      <c r="AS1154" s="23"/>
      <c r="AT1154" s="23"/>
      <c r="AU1154" s="23"/>
      <c r="AV1154" s="23"/>
    </row>
    <row r="1155">
      <c r="A1155" s="28" t="s">
        <v>5161</v>
      </c>
      <c r="B1155" s="28" t="s">
        <v>31</v>
      </c>
      <c r="C1155" s="23" t="str">
        <f t="shared" si="1"/>
        <v>Jhojanly. Mendez</v>
      </c>
      <c r="D1155" s="28" t="s">
        <v>12494</v>
      </c>
      <c r="E1155" s="28" t="s">
        <v>969</v>
      </c>
      <c r="F1155" s="23" t="str">
        <f t="array" ref="F1155">IFERROR(
    INDEX('Hub Interns 226'!A:A, MATCH(C1155, 'Hub Interns 226'!B:B, 0)),"")</f>
        <v/>
      </c>
      <c r="G1155" s="23" t="str">
        <f t="array" ref="G1155">IFERROR(
    INDEX('Hub Users 226'!A:A, MATCH(C1155, 'Hub Users 226'!B:B, 0)),"")</f>
        <v/>
      </c>
      <c r="H1155" s="28">
        <v>880.0</v>
      </c>
      <c r="I1155" s="28" t="s">
        <v>417</v>
      </c>
      <c r="J1155" s="28"/>
      <c r="K1155" s="28"/>
      <c r="L1155" s="28" t="s">
        <v>5165</v>
      </c>
      <c r="M1155" s="56" t="s">
        <v>8468</v>
      </c>
      <c r="N1155" s="57">
        <v>44600.43125</v>
      </c>
      <c r="O1155" s="58">
        <v>38581.0</v>
      </c>
      <c r="P1155" s="28">
        <f t="shared" si="32"/>
        <v>20</v>
      </c>
      <c r="Q1155" s="28" t="s">
        <v>240</v>
      </c>
      <c r="R1155" s="28" t="s">
        <v>12495</v>
      </c>
      <c r="S1155" s="28"/>
      <c r="T1155" s="28"/>
      <c r="U1155" s="28"/>
      <c r="V1155" s="28"/>
      <c r="W1155" s="28" t="s">
        <v>859</v>
      </c>
      <c r="X1155" s="28" t="s">
        <v>272</v>
      </c>
      <c r="Y1155" s="28" t="s">
        <v>12496</v>
      </c>
      <c r="Z1155" s="28" t="s">
        <v>5310</v>
      </c>
      <c r="AA1155" s="28" t="s">
        <v>362</v>
      </c>
      <c r="AB1155" s="28">
        <v>16.0</v>
      </c>
      <c r="AC1155" s="28" t="s">
        <v>24</v>
      </c>
      <c r="AD1155" s="23"/>
      <c r="AE1155" s="28" t="s">
        <v>8</v>
      </c>
      <c r="AF1155" s="23"/>
      <c r="AG1155" s="23"/>
      <c r="AH1155" s="23" t="str">
        <f>IFERROR(__xludf.DUMMYFUNCTION("IF(
ISNUMBER(MATCH(
C1155,
IMPORTRANGE(""https://docs.google.com/spreadsheets/d/1yTh1ELC33JHYOeEdgIiEclxPRyh0zOKtlawDltfUay8"",""'Interns'!A:A""),
0
)),
""Outreach Conducted"",
"""")"),"")</f>
        <v/>
      </c>
      <c r="AI1155" s="23"/>
      <c r="AJ1155" s="23"/>
      <c r="AK1155" s="23" t="str">
        <f>IFERROR(__xludf.DUMMYFUNCTION("XLOOKUP(C1155, 
   IMPORTRANGE(""1RdEdgHYrZ33LJ7RUHj_h-qkAFL92bcVjtIdVa-UlsCw"", ""Interns!D:D""), 
   IMPORTRANGE(""1RdEdgHYrZ33LJ7RUHj_h-qkAFL92bcVjtIdVa-UlsCw"", ""Interns!M:M""), 
   ""Not Found"")"),"")</f>
        <v/>
      </c>
      <c r="AL1155" s="23" t="str">
        <f>IFERROR(__xludf.DUMMYFUNCTION("XLOOKUP(C1155, 
   IMPORTRANGE(""1RdEdgHYrZ33LJ7RUHj_h-qkAFL92bcVjtIdVa-UlsCw"", ""Interns!D:D""), 
   IMPORTRANGE(""1RdEdgHYrZ33LJ7RUHj_h-qkAFL92bcVjtIdVa-UlsCw"", ""Interns!N:N""), 
   ""Not Found"")"),"")</f>
        <v/>
      </c>
      <c r="AM1155" s="23" t="str">
        <f>IFERROR(__xludf.DUMMYFUNCTION("XLOOKUP(C1155, 
   IMPORTRANGE(""1RdEdgHYrZ33LJ7RUHj_h-qkAFL92bcVjtIdVa-UlsCw"", ""Interns!D:D""), 
   IMPORTRANGE(""1RdEdgHYrZ33LJ7RUHj_h-qkAFL92bcVjtIdVa-UlsCw"", ""Interns!O:O""), 
   ""Not Found"")"),"")</f>
        <v/>
      </c>
      <c r="AN1155" s="23"/>
      <c r="AO1155" s="23" t="s">
        <v>12497</v>
      </c>
      <c r="AP1155" s="28" t="s">
        <v>5182</v>
      </c>
      <c r="AQ1155" s="28" t="s">
        <v>12498</v>
      </c>
      <c r="AR1155" s="23" t="s">
        <v>12499</v>
      </c>
      <c r="AS1155" s="23"/>
      <c r="AT1155" s="23"/>
      <c r="AU1155" s="23"/>
      <c r="AV1155" s="23"/>
    </row>
    <row r="1156">
      <c r="A1156" s="28" t="s">
        <v>5202</v>
      </c>
      <c r="B1156" s="28" t="s">
        <v>5162</v>
      </c>
      <c r="C1156" s="23" t="str">
        <f t="shared" si="1"/>
        <v>Janeth Lopez Barragan</v>
      </c>
      <c r="D1156" s="28" t="s">
        <v>12500</v>
      </c>
      <c r="E1156" s="28" t="s">
        <v>12501</v>
      </c>
      <c r="F1156" s="23">
        <f t="array" ref="F1156">IFERROR(
    INDEX('Hub Interns 226'!A:A, MATCH(C1156, 'Hub Interns 226'!B:B, 0)),"")</f>
        <v>608</v>
      </c>
      <c r="G1156" s="23">
        <f t="array" ref="G1156">IFERROR(
    INDEX('Hub Users 226'!A:A, MATCH(C1156, 'Hub Users 226'!B:B, 0)),"")</f>
        <v>1041</v>
      </c>
      <c r="H1156" s="28">
        <v>976.0</v>
      </c>
      <c r="I1156" s="28" t="s">
        <v>425</v>
      </c>
      <c r="J1156" s="28" t="s">
        <v>11105</v>
      </c>
      <c r="K1156" s="28" t="s">
        <v>5177</v>
      </c>
      <c r="L1156" s="28" t="s">
        <v>5196</v>
      </c>
      <c r="M1156" s="56" t="s">
        <v>12502</v>
      </c>
      <c r="N1156" s="57">
        <v>44642.58194444444</v>
      </c>
      <c r="O1156" s="58">
        <v>38264.0</v>
      </c>
      <c r="P1156" s="28">
        <f t="shared" si="32"/>
        <v>21</v>
      </c>
      <c r="Q1156" s="28" t="s">
        <v>240</v>
      </c>
      <c r="R1156" s="28" t="s">
        <v>12503</v>
      </c>
      <c r="S1156" s="28">
        <v>7.0</v>
      </c>
      <c r="T1156" s="28">
        <v>12.0</v>
      </c>
      <c r="U1156" s="28">
        <v>38.0</v>
      </c>
      <c r="V1156" s="28">
        <v>34.0</v>
      </c>
      <c r="W1156" s="28" t="s">
        <v>1173</v>
      </c>
      <c r="X1156" s="28" t="s">
        <v>272</v>
      </c>
      <c r="Y1156" s="28" t="s">
        <v>12504</v>
      </c>
      <c r="Z1156" s="28" t="s">
        <v>5589</v>
      </c>
      <c r="AA1156" s="28" t="s">
        <v>5590</v>
      </c>
      <c r="AB1156" s="28">
        <v>35.0</v>
      </c>
      <c r="AC1156" s="28" t="s">
        <v>24</v>
      </c>
      <c r="AD1156" s="23"/>
      <c r="AE1156" s="28" t="s">
        <v>10</v>
      </c>
      <c r="AF1156" s="23"/>
      <c r="AG1156" s="23"/>
      <c r="AH1156" s="23" t="str">
        <f>IFERROR(__xludf.DUMMYFUNCTION("IF(
ISNUMBER(MATCH(
C1156,
IMPORTRANGE(""https://docs.google.com/spreadsheets/d/1yTh1ELC33JHYOeEdgIiEclxPRyh0zOKtlawDltfUay8"",""'Interns'!A:A""),
0
)),
""Outreach Conducted"",
"""")"),"")</f>
        <v/>
      </c>
      <c r="AI1156" s="23"/>
      <c r="AJ1156" s="23"/>
      <c r="AK1156" s="23" t="str">
        <f>IFERROR(__xludf.DUMMYFUNCTION("XLOOKUP(C1156, 
   IMPORTRANGE(""1RdEdgHYrZ33LJ7RUHj_h-qkAFL92bcVjtIdVa-UlsCw"", ""Interns!D:D""), 
   IMPORTRANGE(""1RdEdgHYrZ33LJ7RUHj_h-qkAFL92bcVjtIdVa-UlsCw"", ""Interns!M:M""), 
   ""Not Found"")"),"")</f>
        <v/>
      </c>
      <c r="AL1156" s="23" t="str">
        <f>IFERROR(__xludf.DUMMYFUNCTION("XLOOKUP(C1156, 
   IMPORTRANGE(""1RdEdgHYrZ33LJ7RUHj_h-qkAFL92bcVjtIdVa-UlsCw"", ""Interns!D:D""), 
   IMPORTRANGE(""1RdEdgHYrZ33LJ7RUHj_h-qkAFL92bcVjtIdVa-UlsCw"", ""Interns!N:N""), 
   ""Not Found"")"),"")</f>
        <v/>
      </c>
      <c r="AM1156" s="23" t="str">
        <f>IFERROR(__xludf.DUMMYFUNCTION("XLOOKUP(C1156, 
   IMPORTRANGE(""1RdEdgHYrZ33LJ7RUHj_h-qkAFL92bcVjtIdVa-UlsCw"", ""Interns!D:D""), 
   IMPORTRANGE(""1RdEdgHYrZ33LJ7RUHj_h-qkAFL92bcVjtIdVa-UlsCw"", ""Interns!O:O""), 
   ""Not Found"")"),"")</f>
        <v/>
      </c>
      <c r="AN1156" s="23"/>
      <c r="AO1156" s="23" t="s">
        <v>12505</v>
      </c>
      <c r="AP1156" s="28" t="s">
        <v>5191</v>
      </c>
      <c r="AQ1156" s="28"/>
      <c r="AR1156" s="23"/>
      <c r="AS1156" s="23"/>
      <c r="AT1156" s="23"/>
      <c r="AU1156" s="23"/>
      <c r="AV1156" s="23"/>
    </row>
    <row r="1157">
      <c r="A1157" s="28" t="s">
        <v>5161</v>
      </c>
      <c r="B1157" s="28" t="s">
        <v>5162</v>
      </c>
      <c r="C1157" s="23" t="str">
        <f t="shared" si="1"/>
        <v>Bintou Diop</v>
      </c>
      <c r="D1157" s="28" t="s">
        <v>12388</v>
      </c>
      <c r="E1157" s="28" t="s">
        <v>12389</v>
      </c>
      <c r="F1157" s="23">
        <f t="array" ref="F1157">IFERROR(
    INDEX('Hub Interns 226'!A:A, MATCH(C1157, 'Hub Interns 226'!B:B, 0)),"")</f>
        <v>300</v>
      </c>
      <c r="G1157" s="23">
        <f t="array" ref="G1157">IFERROR(
    INDEX('Hub Users 226'!A:A, MATCH(C1157, 'Hub Users 226'!B:B, 0)),"")</f>
        <v>733</v>
      </c>
      <c r="H1157" s="28">
        <v>1475.0</v>
      </c>
      <c r="I1157" s="28" t="s">
        <v>260</v>
      </c>
      <c r="J1157" s="28" t="s">
        <v>8907</v>
      </c>
      <c r="K1157" s="28" t="s">
        <v>5245</v>
      </c>
      <c r="L1157" s="28" t="s">
        <v>5196</v>
      </c>
      <c r="M1157" s="56" t="s">
        <v>12390</v>
      </c>
      <c r="N1157" s="57">
        <v>44939.59305555555</v>
      </c>
      <c r="O1157" s="58">
        <v>38212.0</v>
      </c>
      <c r="P1157" s="28">
        <f t="shared" si="32"/>
        <v>21</v>
      </c>
      <c r="Q1157" s="28" t="s">
        <v>12391</v>
      </c>
      <c r="R1157" s="28" t="s">
        <v>12392</v>
      </c>
      <c r="S1157" s="28">
        <v>13.0</v>
      </c>
      <c r="T1157" s="28">
        <v>30.0</v>
      </c>
      <c r="U1157" s="28">
        <v>71.0</v>
      </c>
      <c r="V1157" s="28">
        <v>9.0</v>
      </c>
      <c r="W1157" s="28" t="s">
        <v>271</v>
      </c>
      <c r="X1157" s="28" t="s">
        <v>272</v>
      </c>
      <c r="Y1157" s="28" t="s">
        <v>12393</v>
      </c>
      <c r="Z1157" s="28" t="s">
        <v>5259</v>
      </c>
      <c r="AA1157" s="28" t="s">
        <v>704</v>
      </c>
      <c r="AB1157" s="28">
        <v>2.0</v>
      </c>
      <c r="AC1157" s="28" t="s">
        <v>25</v>
      </c>
      <c r="AD1157" s="28" t="s">
        <v>101</v>
      </c>
      <c r="AE1157" s="28" t="s">
        <v>15</v>
      </c>
      <c r="AF1157" s="23" t="str">
        <f>IFERROR(__xludf.DUMMYFUNCTION("TEXTJOIN("", "", TRUE,
  FILTER(Champions!C:C,
    ISNUMBER(SEARCH(C1157, Champions!W:W))
  )
)"),"Jennifer Nguyen, Prithvi Mattur")</f>
        <v>Jennifer Nguyen, Prithvi Mattur</v>
      </c>
      <c r="AG1157" s="23"/>
      <c r="AH1157" s="23" t="str">
        <f>IFERROR(__xludf.DUMMYFUNCTION("IF(
ISNUMBER(MATCH(
C1157,
IMPORTRANGE(""https://docs.google.com/spreadsheets/d/1yTh1ELC33JHYOeEdgIiEclxPRyh0zOKtlawDltfUay8"",""'Interns'!A:A""),
0
)),
""Outreach Conducted"",
"""")"),"")</f>
        <v/>
      </c>
      <c r="AI1157" s="23"/>
      <c r="AJ1157" s="23"/>
      <c r="AK1157" s="23" t="str">
        <f>IFERROR(__xludf.DUMMYFUNCTION("XLOOKUP(C1157, 
   IMPORTRANGE(""1RdEdgHYrZ33LJ7RUHj_h-qkAFL92bcVjtIdVa-UlsCw"", ""Interns!D:D""), 
   IMPORTRANGE(""1RdEdgHYrZ33LJ7RUHj_h-qkAFL92bcVjtIdVa-UlsCw"", ""Interns!M:M""), 
   ""Not Found"")"),"")</f>
        <v/>
      </c>
      <c r="AL1157" s="23" t="str">
        <f>IFERROR(__xludf.DUMMYFUNCTION("XLOOKUP(C1157, 
   IMPORTRANGE(""1RdEdgHYrZ33LJ7RUHj_h-qkAFL92bcVjtIdVa-UlsCw"", ""Interns!D:D""), 
   IMPORTRANGE(""1RdEdgHYrZ33LJ7RUHj_h-qkAFL92bcVjtIdVa-UlsCw"", ""Interns!N:N""), 
   ""Not Found"")"),"")</f>
        <v/>
      </c>
      <c r="AM1157" s="23" t="str">
        <f>IFERROR(__xludf.DUMMYFUNCTION("XLOOKUP(C1157, 
   IMPORTRANGE(""1RdEdgHYrZ33LJ7RUHj_h-qkAFL92bcVjtIdVa-UlsCw"", ""Interns!D:D""), 
   IMPORTRANGE(""1RdEdgHYrZ33LJ7RUHj_h-qkAFL92bcVjtIdVa-UlsCw"", ""Interns!O:O""), 
   ""Not Found"")"),"")</f>
        <v/>
      </c>
      <c r="AN1157" s="23"/>
      <c r="AO1157" s="23" t="s">
        <v>12394</v>
      </c>
      <c r="AP1157" s="28" t="s">
        <v>5240</v>
      </c>
      <c r="AQ1157" s="28" t="s">
        <v>12395</v>
      </c>
      <c r="AR1157" s="23" t="s">
        <v>12396</v>
      </c>
      <c r="AS1157" s="23"/>
      <c r="AT1157" s="23"/>
      <c r="AU1157" s="23"/>
      <c r="AV1157" s="23"/>
    </row>
    <row r="1158">
      <c r="A1158" s="28" t="s">
        <v>5161</v>
      </c>
      <c r="B1158" s="28" t="s">
        <v>5162</v>
      </c>
      <c r="C1158" s="23" t="str">
        <f t="shared" si="1"/>
        <v>El Hadji Ndong</v>
      </c>
      <c r="D1158" s="28" t="s">
        <v>12163</v>
      </c>
      <c r="E1158" s="28" t="s">
        <v>12164</v>
      </c>
      <c r="F1158" s="23">
        <f t="array" ref="F1158">IFERROR(
    INDEX('Hub Interns 226'!A:A, MATCH(C1158, 'Hub Interns 226'!B:B, 0)),"")</f>
        <v>84</v>
      </c>
      <c r="G1158" s="23">
        <f t="array" ref="G1158">IFERROR(
    INDEX('Hub Users 226'!A:A, MATCH(C1158, 'Hub Users 226'!B:B, 0)),"")</f>
        <v>517</v>
      </c>
      <c r="H1158" s="28">
        <v>1485.0</v>
      </c>
      <c r="I1158" s="28" t="s">
        <v>290</v>
      </c>
      <c r="J1158" s="28" t="s">
        <v>8907</v>
      </c>
      <c r="K1158" s="28" t="s">
        <v>5245</v>
      </c>
      <c r="L1158" s="28" t="s">
        <v>5165</v>
      </c>
      <c r="M1158" s="56" t="s">
        <v>12165</v>
      </c>
      <c r="N1158" s="57">
        <v>44939.631944444445</v>
      </c>
      <c r="O1158" s="58">
        <v>37898.0</v>
      </c>
      <c r="P1158" s="28">
        <f t="shared" si="32"/>
        <v>22</v>
      </c>
      <c r="Q1158" s="28" t="s">
        <v>12166</v>
      </c>
      <c r="R1158" s="28" t="s">
        <v>12167</v>
      </c>
      <c r="S1158" s="28">
        <v>13.0</v>
      </c>
      <c r="T1158" s="28">
        <v>30.0</v>
      </c>
      <c r="U1158" s="28">
        <v>70.0</v>
      </c>
      <c r="V1158" s="28">
        <v>9.0</v>
      </c>
      <c r="W1158" s="28" t="s">
        <v>271</v>
      </c>
      <c r="X1158" s="28" t="s">
        <v>272</v>
      </c>
      <c r="Y1158" s="28" t="s">
        <v>12168</v>
      </c>
      <c r="Z1158" s="28" t="s">
        <v>5259</v>
      </c>
      <c r="AA1158" s="28" t="s">
        <v>704</v>
      </c>
      <c r="AB1158" s="28">
        <v>2.0</v>
      </c>
      <c r="AC1158" s="28" t="s">
        <v>25</v>
      </c>
      <c r="AD1158" s="23"/>
      <c r="AE1158" s="28" t="s">
        <v>15</v>
      </c>
      <c r="AF1158" s="23" t="str">
        <f>IFERROR(__xludf.DUMMYFUNCTION("TEXTJOIN("", "", TRUE,
  FILTER(Champions!C:C,
    ISNUMBER(SEARCH(C1158, Champions!W:W))
  )
)"),"Debaleena Majumdar, Karim Rajmohamed")</f>
        <v>Debaleena Majumdar, Karim Rajmohamed</v>
      </c>
      <c r="AG1158" s="23"/>
      <c r="AH1158" s="23" t="str">
        <f>IFERROR(__xludf.DUMMYFUNCTION("IF(
ISNUMBER(MATCH(
C1158,
IMPORTRANGE(""https://docs.google.com/spreadsheets/d/1yTh1ELC33JHYOeEdgIiEclxPRyh0zOKtlawDltfUay8"",""'Interns'!A:A""),
0
)),
""Outreach Conducted"",
"""")"),"")</f>
        <v/>
      </c>
      <c r="AI1158" s="23"/>
      <c r="AJ1158" s="23"/>
      <c r="AK1158" s="23" t="str">
        <f>IFERROR(__xludf.DUMMYFUNCTION("XLOOKUP(C1158, 
   IMPORTRANGE(""1RdEdgHYrZ33LJ7RUHj_h-qkAFL92bcVjtIdVa-UlsCw"", ""Interns!D:D""), 
   IMPORTRANGE(""1RdEdgHYrZ33LJ7RUHj_h-qkAFL92bcVjtIdVa-UlsCw"", ""Interns!M:M""), 
   ""Not Found"")"),"")</f>
        <v/>
      </c>
      <c r="AL1158" s="23" t="str">
        <f>IFERROR(__xludf.DUMMYFUNCTION("XLOOKUP(C1158, 
   IMPORTRANGE(""1RdEdgHYrZ33LJ7RUHj_h-qkAFL92bcVjtIdVa-UlsCw"", ""Interns!D:D""), 
   IMPORTRANGE(""1RdEdgHYrZ33LJ7RUHj_h-qkAFL92bcVjtIdVa-UlsCw"", ""Interns!N:N""), 
   ""Not Found"")"),"")</f>
        <v/>
      </c>
      <c r="AM1158" s="23" t="str">
        <f>IFERROR(__xludf.DUMMYFUNCTION("XLOOKUP(C1158, 
   IMPORTRANGE(""1RdEdgHYrZ33LJ7RUHj_h-qkAFL92bcVjtIdVa-UlsCw"", ""Interns!D:D""), 
   IMPORTRANGE(""1RdEdgHYrZ33LJ7RUHj_h-qkAFL92bcVjtIdVa-UlsCw"", ""Interns!O:O""), 
   ""Not Found"")"),"")</f>
        <v/>
      </c>
      <c r="AN1158" s="23"/>
      <c r="AO1158" s="23" t="s">
        <v>12164</v>
      </c>
      <c r="AP1158" s="28" t="s">
        <v>5908</v>
      </c>
      <c r="AQ1158" s="28" t="s">
        <v>12165</v>
      </c>
      <c r="AR1158" s="23" t="s">
        <v>12168</v>
      </c>
      <c r="AS1158" s="23"/>
      <c r="AT1158" s="23"/>
      <c r="AU1158" s="23"/>
      <c r="AV1158" s="23"/>
    </row>
    <row r="1159">
      <c r="A1159" s="28" t="s">
        <v>5161</v>
      </c>
      <c r="B1159" s="28" t="s">
        <v>5162</v>
      </c>
      <c r="C1159" s="23" t="str">
        <f t="shared" si="1"/>
        <v>Mously Thiam</v>
      </c>
      <c r="D1159" s="28" t="s">
        <v>12506</v>
      </c>
      <c r="E1159" s="28" t="s">
        <v>12507</v>
      </c>
      <c r="F1159" s="23">
        <f t="array" ref="F1159">IFERROR(
    INDEX('Hub Interns 226'!A:A, MATCH(C1159, 'Hub Interns 226'!B:B, 0)),"")</f>
        <v>901</v>
      </c>
      <c r="G1159" s="23">
        <f t="array" ref="G1159">IFERROR(
    INDEX('Hub Users 226'!A:A, MATCH(C1159, 'Hub Users 226'!B:B, 0)),"")</f>
        <v>1334</v>
      </c>
      <c r="H1159" s="28">
        <v>1111.0</v>
      </c>
      <c r="I1159" s="28" t="s">
        <v>260</v>
      </c>
      <c r="J1159" s="28" t="s">
        <v>8907</v>
      </c>
      <c r="K1159" s="28" t="s">
        <v>5245</v>
      </c>
      <c r="L1159" s="28" t="s">
        <v>5196</v>
      </c>
      <c r="M1159" s="56" t="s">
        <v>12508</v>
      </c>
      <c r="N1159" s="57">
        <v>44716.62708333333</v>
      </c>
      <c r="O1159" s="58">
        <v>37547.0</v>
      </c>
      <c r="P1159" s="28">
        <f t="shared" si="32"/>
        <v>23</v>
      </c>
      <c r="Q1159" s="28" t="s">
        <v>12509</v>
      </c>
      <c r="R1159" s="28" t="s">
        <v>12510</v>
      </c>
      <c r="S1159" s="28">
        <v>13.0</v>
      </c>
      <c r="T1159" s="28">
        <v>30.0</v>
      </c>
      <c r="U1159" s="28">
        <v>70.0</v>
      </c>
      <c r="V1159" s="28">
        <v>9.0</v>
      </c>
      <c r="W1159" s="28" t="s">
        <v>271</v>
      </c>
      <c r="X1159" s="28" t="s">
        <v>272</v>
      </c>
      <c r="Y1159" s="28" t="s">
        <v>12511</v>
      </c>
      <c r="Z1159" s="28" t="s">
        <v>7670</v>
      </c>
      <c r="AA1159" s="28" t="s">
        <v>7671</v>
      </c>
      <c r="AB1159" s="28">
        <v>10.0</v>
      </c>
      <c r="AC1159" s="28" t="s">
        <v>25</v>
      </c>
      <c r="AD1159" s="23"/>
      <c r="AE1159" s="28" t="s">
        <v>15</v>
      </c>
      <c r="AF1159" s="23" t="str">
        <f>IFERROR(__xludf.DUMMYFUNCTION("TEXTJOIN("", "", TRUE,
  FILTER(Champions!C:C,
    ISNUMBER(SEARCH(C1159, Champions!W:W))
  )
)"),"Divya Padgaonkar, Nishika Vidanage-Lulejian, Sharon Shi")</f>
        <v>Divya Padgaonkar, Nishika Vidanage-Lulejian, Sharon Shi</v>
      </c>
      <c r="AG1159" s="23"/>
      <c r="AH1159" s="23" t="str">
        <f>IFERROR(__xludf.DUMMYFUNCTION("IF(
ISNUMBER(MATCH(
C1159,
IMPORTRANGE(""https://docs.google.com/spreadsheets/d/1yTh1ELC33JHYOeEdgIiEclxPRyh0zOKtlawDltfUay8"",""'Interns'!A:A""),
0
)),
""Outreach Conducted"",
"""")"),"")</f>
        <v/>
      </c>
      <c r="AI1159" s="23"/>
      <c r="AJ1159" s="23"/>
      <c r="AK1159" s="23" t="str">
        <f>IFERROR(__xludf.DUMMYFUNCTION("XLOOKUP(C1159, 
   IMPORTRANGE(""1RdEdgHYrZ33LJ7RUHj_h-qkAFL92bcVjtIdVa-UlsCw"", ""Interns!D:D""), 
   IMPORTRANGE(""1RdEdgHYrZ33LJ7RUHj_h-qkAFL92bcVjtIdVa-UlsCw"", ""Interns!M:M""), 
   ""Not Found"")"),"Contacted")</f>
        <v>Contacted</v>
      </c>
      <c r="AL1159" s="23" t="str">
        <f>IFERROR(__xludf.DUMMYFUNCTION("XLOOKUP(C1159, 
   IMPORTRANGE(""1RdEdgHYrZ33LJ7RUHj_h-qkAFL92bcVjtIdVa-UlsCw"", ""Interns!D:D""), 
   IMPORTRANGE(""1RdEdgHYrZ33LJ7RUHj_h-qkAFL92bcVjtIdVa-UlsCw"", ""Interns!N:N""), 
   ""Not Found"")"),"#Cheers4Careers")</f>
        <v>#Cheers4Careers</v>
      </c>
      <c r="AM1159" s="23" t="str">
        <f>IFERROR(__xludf.DUMMYFUNCTION("XLOOKUP(C1159,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1159" s="23"/>
      <c r="AO1159" s="23" t="s">
        <v>12512</v>
      </c>
      <c r="AP1159" s="28" t="s">
        <v>5641</v>
      </c>
      <c r="AQ1159" s="28" t="s">
        <v>12513</v>
      </c>
      <c r="AR1159" s="23" t="s">
        <v>12514</v>
      </c>
      <c r="AS1159" s="23"/>
      <c r="AT1159" s="23"/>
      <c r="AU1159" s="23"/>
      <c r="AV1159" s="23"/>
    </row>
    <row r="1160">
      <c r="A1160" s="28" t="s">
        <v>5202</v>
      </c>
      <c r="B1160" s="28" t="s">
        <v>5162</v>
      </c>
      <c r="C1160" s="23" t="str">
        <f t="shared" si="1"/>
        <v>Anais Martinez</v>
      </c>
      <c r="D1160" s="28" t="s">
        <v>12515</v>
      </c>
      <c r="E1160" s="28" t="s">
        <v>2010</v>
      </c>
      <c r="F1160" s="23">
        <f t="array" ref="F1160">IFERROR(
    INDEX('Hub Interns 226'!A:A, MATCH(C1160, 'Hub Interns 226'!B:B, 0)),"")</f>
        <v>222</v>
      </c>
      <c r="G1160" s="23">
        <f t="array" ref="G1160">IFERROR(
    INDEX('Hub Users 226'!A:A, MATCH(C1160, 'Hub Users 226'!B:B, 0)),"")</f>
        <v>655</v>
      </c>
      <c r="H1160" s="28">
        <v>1371.0</v>
      </c>
      <c r="I1160" s="28" t="s">
        <v>407</v>
      </c>
      <c r="J1160" s="28" t="s">
        <v>11105</v>
      </c>
      <c r="K1160" s="28" t="s">
        <v>5177</v>
      </c>
      <c r="L1160" s="28" t="s">
        <v>5196</v>
      </c>
      <c r="M1160" s="56" t="s">
        <v>12516</v>
      </c>
      <c r="N1160" s="59">
        <v>44860.43819444445</v>
      </c>
      <c r="O1160" s="58">
        <v>39040.0</v>
      </c>
      <c r="P1160" s="28">
        <f t="shared" si="32"/>
        <v>19</v>
      </c>
      <c r="Q1160" s="28" t="s">
        <v>12517</v>
      </c>
      <c r="R1160" s="28" t="s">
        <v>12518</v>
      </c>
      <c r="S1160" s="28">
        <v>13.0</v>
      </c>
      <c r="T1160" s="28">
        <v>31.0</v>
      </c>
      <c r="U1160" s="28">
        <v>72.0</v>
      </c>
      <c r="V1160" s="28">
        <v>10.0</v>
      </c>
      <c r="W1160" s="28" t="s">
        <v>271</v>
      </c>
      <c r="X1160" s="28" t="s">
        <v>272</v>
      </c>
      <c r="Y1160" s="28" t="s">
        <v>12519</v>
      </c>
      <c r="Z1160" s="28" t="s">
        <v>5341</v>
      </c>
      <c r="AA1160" s="28" t="s">
        <v>1085</v>
      </c>
      <c r="AB1160" s="28">
        <v>10.0</v>
      </c>
      <c r="AC1160" s="28" t="s">
        <v>25</v>
      </c>
      <c r="AD1160" s="23"/>
      <c r="AE1160" s="28" t="s">
        <v>15</v>
      </c>
      <c r="AF1160" s="23" t="str">
        <f>IFERROR(__xludf.DUMMYFUNCTION("TEXTJOIN("", "", TRUE,
  FILTER(Champions!C:C,
    ISNUMBER(SEARCH(C1160, Champions!W:W))
  )
)"),"Anne Tam, Bindu Krishna, Sunkyung Park, Bindu Krishna (D)")</f>
        <v>Anne Tam, Bindu Krishna, Sunkyung Park, Bindu Krishna (D)</v>
      </c>
      <c r="AG1160" s="26" t="s">
        <v>5342</v>
      </c>
      <c r="AH1160" s="23" t="str">
        <f>IFERROR(__xludf.DUMMYFUNCTION("IF(
ISNUMBER(MATCH(
C1160,
IMPORTRANGE(""https://docs.google.com/spreadsheets/d/1yTh1ELC33JHYOeEdgIiEclxPRyh0zOKtlawDltfUay8"",""'Interns'!A:A""),
0
)),
""Outreach Conducted"",
"""")"),"")</f>
        <v/>
      </c>
      <c r="AI1160" s="23"/>
      <c r="AJ1160" s="23"/>
      <c r="AK1160" s="23" t="str">
        <f>IFERROR(__xludf.DUMMYFUNCTION("XLOOKUP(C1160, 
   IMPORTRANGE(""1RdEdgHYrZ33LJ7RUHj_h-qkAFL92bcVjtIdVa-UlsCw"", ""Interns!D:D""), 
   IMPORTRANGE(""1RdEdgHYrZ33LJ7RUHj_h-qkAFL92bcVjtIdVa-UlsCw"", ""Interns!M:M""), 
   ""Not Found"")"),"")</f>
        <v/>
      </c>
      <c r="AL1160" s="23" t="str">
        <f>IFERROR(__xludf.DUMMYFUNCTION("XLOOKUP(C1160, 
   IMPORTRANGE(""1RdEdgHYrZ33LJ7RUHj_h-qkAFL92bcVjtIdVa-UlsCw"", ""Interns!D:D""), 
   IMPORTRANGE(""1RdEdgHYrZ33LJ7RUHj_h-qkAFL92bcVjtIdVa-UlsCw"", ""Interns!N:N""), 
   ""Not Found"")"),"")</f>
        <v/>
      </c>
      <c r="AM1160" s="23" t="str">
        <f>IFERROR(__xludf.DUMMYFUNCTION("XLOOKUP(C1160, 
   IMPORTRANGE(""1RdEdgHYrZ33LJ7RUHj_h-qkAFL92bcVjtIdVa-UlsCw"", ""Interns!D:D""), 
   IMPORTRANGE(""1RdEdgHYrZ33LJ7RUHj_h-qkAFL92bcVjtIdVa-UlsCw"", ""Interns!O:O""), 
   ""Not Found"")"),"")</f>
        <v/>
      </c>
      <c r="AN1160" s="23"/>
      <c r="AO1160" s="23" t="s">
        <v>12520</v>
      </c>
      <c r="AP1160" s="28" t="s">
        <v>5191</v>
      </c>
      <c r="AQ1160" s="28" t="s">
        <v>12521</v>
      </c>
      <c r="AR1160" s="23" t="s">
        <v>12522</v>
      </c>
      <c r="AS1160" s="23"/>
      <c r="AT1160" s="23"/>
      <c r="AU1160" s="23"/>
      <c r="AV1160" s="23"/>
    </row>
    <row r="1161">
      <c r="A1161" s="28" t="s">
        <v>5161</v>
      </c>
      <c r="B1161" s="28" t="s">
        <v>5162</v>
      </c>
      <c r="C1161" s="23" t="str">
        <f t="shared" si="1"/>
        <v>Amy Samb</v>
      </c>
      <c r="D1161" s="28" t="s">
        <v>336</v>
      </c>
      <c r="E1161" s="28" t="s">
        <v>5244</v>
      </c>
      <c r="F1161" s="23">
        <f t="array" ref="F1161">IFERROR(
    INDEX('Hub Interns 226'!A:A, MATCH(C1161, 'Hub Interns 226'!B:B, 0)),"")</f>
        <v>216</v>
      </c>
      <c r="G1161" s="23">
        <f t="array" ref="G1161">IFERROR(
    INDEX('Hub Users 226'!A:A, MATCH(C1161, 'Hub Users 226'!B:B, 0)),"")</f>
        <v>649</v>
      </c>
      <c r="H1161" s="28">
        <v>332.0</v>
      </c>
      <c r="I1161" s="28" t="s">
        <v>260</v>
      </c>
      <c r="J1161" s="28" t="s">
        <v>8907</v>
      </c>
      <c r="K1161" s="28" t="s">
        <v>5245</v>
      </c>
      <c r="L1161" s="28" t="s">
        <v>5196</v>
      </c>
      <c r="M1161" s="56" t="s">
        <v>12523</v>
      </c>
      <c r="N1161" s="57">
        <v>44239.06180555555</v>
      </c>
      <c r="O1161" s="58">
        <v>38268.0</v>
      </c>
      <c r="P1161" s="28">
        <f t="shared" si="32"/>
        <v>21</v>
      </c>
      <c r="Q1161" s="28" t="s">
        <v>240</v>
      </c>
      <c r="R1161" s="28" t="s">
        <v>12524</v>
      </c>
      <c r="S1161" s="28">
        <v>14.0</v>
      </c>
      <c r="T1161" s="28">
        <v>33.0</v>
      </c>
      <c r="U1161" s="28">
        <v>80.0</v>
      </c>
      <c r="V1161" s="28">
        <v>13.0</v>
      </c>
      <c r="W1161" s="28" t="s">
        <v>859</v>
      </c>
      <c r="X1161" s="28" t="s">
        <v>272</v>
      </c>
      <c r="Y1161" s="28" t="s">
        <v>12525</v>
      </c>
      <c r="Z1161" s="28" t="s">
        <v>5208</v>
      </c>
      <c r="AA1161" s="28" t="s">
        <v>2141</v>
      </c>
      <c r="AB1161" s="28">
        <v>8.0</v>
      </c>
      <c r="AC1161" s="28" t="s">
        <v>24</v>
      </c>
      <c r="AD1161" s="23"/>
      <c r="AE1161" s="28" t="s">
        <v>8</v>
      </c>
      <c r="AF1161" s="23"/>
      <c r="AG1161" s="23"/>
      <c r="AH1161" s="23" t="str">
        <f>IFERROR(__xludf.DUMMYFUNCTION("IF(
ISNUMBER(MATCH(
C1161,
IMPORTRANGE(""https://docs.google.com/spreadsheets/d/1yTh1ELC33JHYOeEdgIiEclxPRyh0zOKtlawDltfUay8"",""'Interns'!A:A""),
0
)),
""Outreach Conducted"",
"""")"),"")</f>
        <v/>
      </c>
      <c r="AI1161" s="23"/>
      <c r="AJ1161" s="23"/>
      <c r="AK1161" s="23" t="str">
        <f>IFERROR(__xludf.DUMMYFUNCTION("XLOOKUP(C1161, 
   IMPORTRANGE(""1RdEdgHYrZ33LJ7RUHj_h-qkAFL92bcVjtIdVa-UlsCw"", ""Interns!D:D""), 
   IMPORTRANGE(""1RdEdgHYrZ33LJ7RUHj_h-qkAFL92bcVjtIdVa-UlsCw"", ""Interns!M:M""), 
   ""Not Found"")"),"Contacted")</f>
        <v>Contacted</v>
      </c>
      <c r="AL1161" s="23" t="str">
        <f>IFERROR(__xludf.DUMMYFUNCTION("XLOOKUP(C1161, 
   IMPORTRANGE(""1RdEdgHYrZ33LJ7RUHj_h-qkAFL92bcVjtIdVa-UlsCw"", ""Interns!D:D""), 
   IMPORTRANGE(""1RdEdgHYrZ33LJ7RUHj_h-qkAFL92bcVjtIdVa-UlsCw"", ""Interns!N:N""), 
   ""Not Found"")"),"#Cheers4Careers")</f>
        <v>#Cheers4Careers</v>
      </c>
      <c r="AM1161" s="23" t="str">
        <f>IFERROR(__xludf.DUMMYFUNCTION("XLOOKUP(C1161, 
   IMPORTRANGE(""1RdEdgHYrZ33LJ7RUHj_h-qkAFL92bcVjtIdVa-UlsCw"", ""Interns!D:D""), 
   IMPORTRANGE(""1RdEdgHYrZ33LJ7RUHj_h-qkAFL92bcVjtIdVa-UlsCw"", ""Interns!O:O""), 
   ""Not Found"")"),"Hetal reached out by email 3/27")</f>
        <v>Hetal reached out by email 3/27</v>
      </c>
      <c r="AN1161" s="23"/>
      <c r="AO1161" s="23" t="s">
        <v>12526</v>
      </c>
      <c r="AP1161" s="28" t="s">
        <v>5182</v>
      </c>
      <c r="AQ1161" s="28"/>
      <c r="AR1161" s="23"/>
      <c r="AS1161" s="23"/>
      <c r="AT1161" s="23"/>
      <c r="AU1161" s="23"/>
      <c r="AV1161" s="23"/>
    </row>
    <row r="1162">
      <c r="A1162" s="28" t="s">
        <v>5161</v>
      </c>
      <c r="B1162" s="28" t="s">
        <v>5162</v>
      </c>
      <c r="C1162" s="23" t="str">
        <f t="shared" si="1"/>
        <v>Adam Gueye</v>
      </c>
      <c r="D1162" s="28" t="s">
        <v>4181</v>
      </c>
      <c r="E1162" s="28" t="s">
        <v>12527</v>
      </c>
      <c r="F1162" s="23" t="str">
        <f t="array" ref="F1162">IFERROR(
    INDEX('Hub Interns 226'!A:A, MATCH(C1162, 'Hub Interns 226'!B:B, 0)),"")</f>
        <v/>
      </c>
      <c r="G1162" s="23">
        <f t="array" ref="G1162">IFERROR(
    INDEX('Hub Users 226'!A:A, MATCH(C1162, 'Hub Users 226'!B:B, 0)),"")</f>
        <v>2026</v>
      </c>
      <c r="H1162" s="28">
        <v>1635.0</v>
      </c>
      <c r="I1162" s="28" t="s">
        <v>107</v>
      </c>
      <c r="J1162" s="28" t="s">
        <v>8907</v>
      </c>
      <c r="K1162" s="28" t="s">
        <v>5245</v>
      </c>
      <c r="L1162" s="28" t="s">
        <v>5196</v>
      </c>
      <c r="M1162" s="56" t="s">
        <v>12528</v>
      </c>
      <c r="N1162" s="57">
        <v>45116.95486111111</v>
      </c>
      <c r="O1162" s="58">
        <v>39190.0</v>
      </c>
      <c r="P1162" s="28">
        <f t="shared" si="32"/>
        <v>19</v>
      </c>
      <c r="Q1162" s="28" t="s">
        <v>12529</v>
      </c>
      <c r="R1162" s="28" t="s">
        <v>12530</v>
      </c>
      <c r="S1162" s="28">
        <v>9.0</v>
      </c>
      <c r="T1162" s="28">
        <v>25.0</v>
      </c>
      <c r="U1162" s="28">
        <v>55.0</v>
      </c>
      <c r="V1162" s="28">
        <v>41.0</v>
      </c>
      <c r="W1162" s="28" t="s">
        <v>294</v>
      </c>
      <c r="X1162" s="28" t="s">
        <v>272</v>
      </c>
      <c r="Y1162" s="28" t="s">
        <v>12531</v>
      </c>
      <c r="Z1162" s="28" t="s">
        <v>12532</v>
      </c>
      <c r="AA1162" s="28" t="s">
        <v>5639</v>
      </c>
      <c r="AB1162" s="28">
        <v>3.0</v>
      </c>
      <c r="AC1162" s="28" t="s">
        <v>27</v>
      </c>
      <c r="AD1162" s="28" t="s">
        <v>101</v>
      </c>
      <c r="AE1162" s="28" t="s">
        <v>18</v>
      </c>
      <c r="AF1162" s="23"/>
      <c r="AG1162" s="26" t="s">
        <v>9929</v>
      </c>
      <c r="AH1162" s="23" t="str">
        <f>IFERROR(__xludf.DUMMYFUNCTION("IF(
ISNUMBER(MATCH(
C1162,
IMPORTRANGE(""https://docs.google.com/spreadsheets/d/1yTh1ELC33JHYOeEdgIiEclxPRyh0zOKtlawDltfUay8"",""'Interns'!A:A""),
0
)),
""Outreach Conducted"",
"""")"),"")</f>
        <v/>
      </c>
      <c r="AI1162" s="23"/>
      <c r="AJ1162" s="28" t="s">
        <v>12533</v>
      </c>
      <c r="AK1162" s="23" t="str">
        <f>IFERROR(__xludf.DUMMYFUNCTION("XLOOKUP(C1162, 
   IMPORTRANGE(""1RdEdgHYrZ33LJ7RUHj_h-qkAFL92bcVjtIdVa-UlsCw"", ""Interns!D:D""), 
   IMPORTRANGE(""1RdEdgHYrZ33LJ7RUHj_h-qkAFL92bcVjtIdVa-UlsCw"", ""Interns!M:M""), 
   ""Not Found"")"),"Contacted")</f>
        <v>Contacted</v>
      </c>
      <c r="AL1162" s="23" t="str">
        <f>IFERROR(__xludf.DUMMYFUNCTION("XLOOKUP(C1162, 
   IMPORTRANGE(""1RdEdgHYrZ33LJ7RUHj_h-qkAFL92bcVjtIdVa-UlsCw"", ""Interns!D:D""), 
   IMPORTRANGE(""1RdEdgHYrZ33LJ7RUHj_h-qkAFL92bcVjtIdVa-UlsCw"", ""Interns!N:N""), 
   ""Not Found"")"),"#Cheers4Careers")</f>
        <v>#Cheers4Careers</v>
      </c>
      <c r="AM1162" s="23" t="str">
        <f>IFERROR(__xludf.DUMMYFUNCTION("XLOOKUP(C1162, 
   IMPORTRANGE(""1RdEdgHYrZ33LJ7RUHj_h-qkAFL92bcVjtIdVa-UlsCw"", ""Interns!D:D""), 
   IMPORTRANGE(""1RdEdgHYrZ33LJ7RUHj_h-qkAFL92bcVjtIdVa-UlsCw"", ""Interns!O:O""), 
   ""Not Found"")"),"Hetal reached out by text 3/27 for #Cheers4Careers")</f>
        <v>Hetal reached out by text 3/27 for #Cheers4Careers</v>
      </c>
      <c r="AN1162" s="23"/>
      <c r="AO1162" s="23" t="s">
        <v>12534</v>
      </c>
      <c r="AP1162" s="28" t="s">
        <v>5182</v>
      </c>
      <c r="AQ1162" s="28" t="s">
        <v>12535</v>
      </c>
      <c r="AR1162" s="23" t="s">
        <v>12536</v>
      </c>
      <c r="AS1162" s="23"/>
      <c r="AT1162" s="23"/>
      <c r="AU1162" s="23"/>
      <c r="AV1162" s="23"/>
    </row>
    <row r="1163">
      <c r="A1163" s="28" t="s">
        <v>5161</v>
      </c>
      <c r="B1163" s="28" t="s">
        <v>5162</v>
      </c>
      <c r="C1163" s="23" t="str">
        <f t="shared" si="1"/>
        <v>Mame Fatime Sarr</v>
      </c>
      <c r="D1163" s="28" t="s">
        <v>10119</v>
      </c>
      <c r="E1163" s="28" t="s">
        <v>10120</v>
      </c>
      <c r="F1163" s="23">
        <f t="array" ref="F1163">IFERROR(
    INDEX('Hub Interns 226'!A:A, MATCH(C1163, 'Hub Interns 226'!B:B, 0)),"")</f>
        <v>830</v>
      </c>
      <c r="G1163" s="23">
        <f t="array" ref="G1163">IFERROR(
    INDEX('Hub Users 226'!A:A, MATCH(C1163, 'Hub Users 226'!B:B, 0)),"")</f>
        <v>1263</v>
      </c>
      <c r="H1163" s="28">
        <v>714.0</v>
      </c>
      <c r="I1163" s="28" t="s">
        <v>290</v>
      </c>
      <c r="J1163" s="28" t="s">
        <v>8907</v>
      </c>
      <c r="K1163" s="28" t="s">
        <v>5245</v>
      </c>
      <c r="L1163" s="28" t="s">
        <v>5196</v>
      </c>
      <c r="M1163" s="56" t="s">
        <v>10121</v>
      </c>
      <c r="N1163" s="59">
        <v>44547.62291666667</v>
      </c>
      <c r="O1163" s="58">
        <v>38268.0</v>
      </c>
      <c r="P1163" s="28">
        <f t="shared" si="32"/>
        <v>21</v>
      </c>
      <c r="Q1163" s="28" t="s">
        <v>240</v>
      </c>
      <c r="R1163" s="28" t="s">
        <v>10122</v>
      </c>
      <c r="S1163" s="28">
        <v>15.0</v>
      </c>
      <c r="T1163" s="28">
        <v>32.0</v>
      </c>
      <c r="U1163" s="28">
        <v>77.0</v>
      </c>
      <c r="V1163" s="28">
        <v>16.0</v>
      </c>
      <c r="W1163" s="28" t="s">
        <v>271</v>
      </c>
      <c r="X1163" s="28" t="s">
        <v>272</v>
      </c>
      <c r="Y1163" s="28" t="s">
        <v>10123</v>
      </c>
      <c r="Z1163" s="28" t="s">
        <v>5259</v>
      </c>
      <c r="AA1163" s="28" t="s">
        <v>704</v>
      </c>
      <c r="AB1163" s="28">
        <v>2.0</v>
      </c>
      <c r="AC1163" s="28" t="s">
        <v>25</v>
      </c>
      <c r="AD1163" s="23"/>
      <c r="AE1163" s="28" t="s">
        <v>10</v>
      </c>
      <c r="AF1163" s="23" t="str">
        <f>IFERROR(__xludf.DUMMYFUNCTION("TEXTJOIN("", "", TRUE,
  FILTER(Champions!C:C,
    ISNUMBER(SEARCH(C1163, Champions!W:W))
  )
)"),"Lien Nguyen, Sharon Shi")</f>
        <v>Lien Nguyen, Sharon Shi</v>
      </c>
      <c r="AG1163" s="23"/>
      <c r="AH1163" s="23" t="str">
        <f>IFERROR(__xludf.DUMMYFUNCTION("IF(
ISNUMBER(MATCH(
C1163,
IMPORTRANGE(""https://docs.google.com/spreadsheets/d/1yTh1ELC33JHYOeEdgIiEclxPRyh0zOKtlawDltfUay8"",""'Interns'!A:A""),
0
)),
""Outreach Conducted"",
"""")"),"")</f>
        <v/>
      </c>
      <c r="AI1163" s="23"/>
      <c r="AJ1163" s="23"/>
      <c r="AK1163" s="23" t="str">
        <f>IFERROR(__xludf.DUMMYFUNCTION("XLOOKUP(C1163, 
   IMPORTRANGE(""1RdEdgHYrZ33LJ7RUHj_h-qkAFL92bcVjtIdVa-UlsCw"", ""Interns!D:D""), 
   IMPORTRANGE(""1RdEdgHYrZ33LJ7RUHj_h-qkAFL92bcVjtIdVa-UlsCw"", ""Interns!M:M""), 
   ""Not Found"")"),"Contacted")</f>
        <v>Contacted</v>
      </c>
      <c r="AL1163" s="23" t="str">
        <f>IFERROR(__xludf.DUMMYFUNCTION("XLOOKUP(C1163, 
   IMPORTRANGE(""1RdEdgHYrZ33LJ7RUHj_h-qkAFL92bcVjtIdVa-UlsCw"", ""Interns!D:D""), 
   IMPORTRANGE(""1RdEdgHYrZ33LJ7RUHj_h-qkAFL92bcVjtIdVa-UlsCw"", ""Interns!N:N""), 
   ""Not Found"")"),"#Cheers4Careers")</f>
        <v>#Cheers4Careers</v>
      </c>
      <c r="AM1163" s="23" t="str">
        <f>IFERROR(__xludf.DUMMYFUNCTION("XLOOKUP(C1163, 
   IMPORTRANGE(""1RdEdgHYrZ33LJ7RUHj_h-qkAFL92bcVjtIdVa-UlsCw"", ""Interns!D:D""), 
   IMPORTRANGE(""1RdEdgHYrZ33LJ7RUHj_h-qkAFL92bcVjtIdVa-UlsCw"", ""Interns!O:O""), 
   ""Not Found"")"),"Ousmane reached out by email 3/26 ")</f>
        <v>Ousmane reached out by email 3/26 </v>
      </c>
      <c r="AN1163" s="23"/>
      <c r="AO1163" s="23" t="s">
        <v>10124</v>
      </c>
      <c r="AP1163" s="28" t="s">
        <v>5191</v>
      </c>
      <c r="AQ1163" s="28" t="s">
        <v>10125</v>
      </c>
      <c r="AR1163" s="23" t="s">
        <v>10126</v>
      </c>
      <c r="AS1163" s="23"/>
      <c r="AT1163" s="23"/>
      <c r="AU1163" s="23"/>
      <c r="AV1163" s="23"/>
    </row>
    <row r="1164">
      <c r="A1164" s="28" t="s">
        <v>5161</v>
      </c>
      <c r="B1164" s="28" t="s">
        <v>5162</v>
      </c>
      <c r="C1164" s="23" t="str">
        <f t="shared" si="1"/>
        <v>Cheikh Ka</v>
      </c>
      <c r="D1164" s="28" t="s">
        <v>12537</v>
      </c>
      <c r="E1164" s="28" t="s">
        <v>9972</v>
      </c>
      <c r="F1164" s="23">
        <f t="array" ref="F1164">IFERROR(
    INDEX('Hub Interns 226'!A:A, MATCH(C1164, 'Hub Interns 226'!B:B, 0)),"")</f>
        <v>355</v>
      </c>
      <c r="G1164" s="23">
        <f t="array" ref="G1164">IFERROR(
    INDEX('Hub Users 226'!A:A, MATCH(C1164, 'Hub Users 226'!B:B, 0)),"")</f>
        <v>788</v>
      </c>
      <c r="H1164" s="28">
        <v>361.0</v>
      </c>
      <c r="I1164" s="28" t="s">
        <v>417</v>
      </c>
      <c r="J1164" s="28" t="s">
        <v>8907</v>
      </c>
      <c r="K1164" s="28" t="s">
        <v>5245</v>
      </c>
      <c r="L1164" s="28" t="s">
        <v>5165</v>
      </c>
      <c r="M1164" s="56" t="s">
        <v>9973</v>
      </c>
      <c r="N1164" s="57">
        <v>44251.56805555556</v>
      </c>
      <c r="O1164" s="58">
        <v>37235.0</v>
      </c>
      <c r="P1164" s="28">
        <f t="shared" si="32"/>
        <v>24</v>
      </c>
      <c r="Q1164" s="28" t="s">
        <v>240</v>
      </c>
      <c r="R1164" s="28" t="s">
        <v>12538</v>
      </c>
      <c r="S1164" s="28">
        <v>15.0</v>
      </c>
      <c r="T1164" s="28">
        <v>32.0</v>
      </c>
      <c r="U1164" s="28">
        <v>79.0</v>
      </c>
      <c r="V1164" s="28">
        <v>17.0</v>
      </c>
      <c r="W1164" s="28" t="s">
        <v>859</v>
      </c>
      <c r="X1164" s="28" t="s">
        <v>272</v>
      </c>
      <c r="Y1164" s="28" t="s">
        <v>9976</v>
      </c>
      <c r="Z1164" s="28" t="s">
        <v>5208</v>
      </c>
      <c r="AA1164" s="28" t="s">
        <v>2141</v>
      </c>
      <c r="AB1164" s="28">
        <v>8.0</v>
      </c>
      <c r="AC1164" s="28" t="s">
        <v>25</v>
      </c>
      <c r="AD1164" s="23"/>
      <c r="AE1164" s="28" t="s">
        <v>10</v>
      </c>
      <c r="AF1164" s="23" t="str">
        <f>IFERROR(__xludf.DUMMYFUNCTION("TEXTJOIN("", "", TRUE,
  FILTER(Champions!C:C,
    ISNUMBER(SEARCH(C1164, Champions!W:W))
  )
)"),"Bryan Roberts, Denise Vargas, Nilesh Murthy")</f>
        <v>Bryan Roberts, Denise Vargas, Nilesh Murthy</v>
      </c>
      <c r="AG1164" s="23"/>
      <c r="AH1164" s="23" t="str">
        <f>IFERROR(__xludf.DUMMYFUNCTION("IF(
ISNUMBER(MATCH(
C1164,
IMPORTRANGE(""https://docs.google.com/spreadsheets/d/1yTh1ELC33JHYOeEdgIiEclxPRyh0zOKtlawDltfUay8"",""'Interns'!A:A""),
0
)),
""Outreach Conducted"",
"""")"),"")</f>
        <v/>
      </c>
      <c r="AI1164" s="23"/>
      <c r="AJ1164" s="23"/>
      <c r="AK1164" s="23" t="str">
        <f>IFERROR(__xludf.DUMMYFUNCTION("XLOOKUP(C1164, 
   IMPORTRANGE(""1RdEdgHYrZ33LJ7RUHj_h-qkAFL92bcVjtIdVa-UlsCw"", ""Interns!D:D""), 
   IMPORTRANGE(""1RdEdgHYrZ33LJ7RUHj_h-qkAFL92bcVjtIdVa-UlsCw"", ""Interns!M:M""), 
   ""Not Found"")"),"Contacted")</f>
        <v>Contacted</v>
      </c>
      <c r="AL1164" s="23" t="str">
        <f>IFERROR(__xludf.DUMMYFUNCTION("XLOOKUP(C1164, 
   IMPORTRANGE(""1RdEdgHYrZ33LJ7RUHj_h-qkAFL92bcVjtIdVa-UlsCw"", ""Interns!D:D""), 
   IMPORTRANGE(""1RdEdgHYrZ33LJ7RUHj_h-qkAFL92bcVjtIdVa-UlsCw"", ""Interns!N:N""), 
   ""Not Found"")"),"#Cheers4Careers")</f>
        <v>#Cheers4Careers</v>
      </c>
      <c r="AM1164" s="23" t="str">
        <f>IFERROR(__xludf.DUMMYFUNCTION("XLOOKUP(C1164, 
   IMPORTRANGE(""1RdEdgHYrZ33LJ7RUHj_h-qkAFL92bcVjtIdVa-UlsCw"", ""Interns!D:D""), 
   IMPORTRANGE(""1RdEdgHYrZ33LJ7RUHj_h-qkAFL92bcVjtIdVa-UlsCw"", ""Interns!O:O""), 
   ""Not Found"")"),"Hetal reached out by email 3/27 and text")</f>
        <v>Hetal reached out by email 3/27 and text</v>
      </c>
      <c r="AN1164" s="23"/>
      <c r="AO1164" s="23" t="s">
        <v>9977</v>
      </c>
      <c r="AP1164" s="28" t="s">
        <v>5191</v>
      </c>
      <c r="AQ1164" s="28"/>
      <c r="AR1164" s="23"/>
      <c r="AS1164" s="23"/>
      <c r="AT1164" s="23"/>
      <c r="AU1164" s="23"/>
      <c r="AV1164" s="23"/>
    </row>
    <row r="1165">
      <c r="A1165" s="28" t="s">
        <v>5161</v>
      </c>
      <c r="B1165" s="28" t="s">
        <v>5162</v>
      </c>
      <c r="C1165" s="23" t="str">
        <f t="shared" si="1"/>
        <v>Marvin Merino</v>
      </c>
      <c r="D1165" s="28" t="s">
        <v>12539</v>
      </c>
      <c r="E1165" s="28" t="s">
        <v>12540</v>
      </c>
      <c r="F1165" s="23">
        <f t="array" ref="F1165">IFERROR(
    INDEX('Hub Interns 226'!A:A, MATCH("Marvin. Merino", 'Hub Interns 226'!B:B, 0)),"")</f>
        <v>850</v>
      </c>
      <c r="G1165" s="23">
        <f t="array" ref="G1165">IFERROR(
    INDEX('Hub Users 226'!A:A, MATCH("Marvin. Merino", 'Hub Users 226'!B:B, 0)),"")</f>
        <v>1283</v>
      </c>
      <c r="H1165" s="28">
        <v>1160.0</v>
      </c>
      <c r="I1165" s="28" t="s">
        <v>290</v>
      </c>
      <c r="J1165" s="28" t="s">
        <v>2388</v>
      </c>
      <c r="K1165" s="28" t="s">
        <v>5463</v>
      </c>
      <c r="L1165" s="28" t="s">
        <v>5165</v>
      </c>
      <c r="M1165" s="56" t="s">
        <v>12541</v>
      </c>
      <c r="N1165" s="57">
        <v>44753.43680555555</v>
      </c>
      <c r="O1165" s="58">
        <v>38665.0</v>
      </c>
      <c r="P1165" s="28">
        <f t="shared" si="32"/>
        <v>20</v>
      </c>
      <c r="Q1165" s="28" t="s">
        <v>240</v>
      </c>
      <c r="R1165" s="28" t="s">
        <v>12542</v>
      </c>
      <c r="S1165" s="28">
        <v>6.0</v>
      </c>
      <c r="T1165" s="28">
        <v>13.0</v>
      </c>
      <c r="U1165" s="28">
        <v>39.0</v>
      </c>
      <c r="V1165" s="28">
        <v>25.0</v>
      </c>
      <c r="W1165" s="28" t="s">
        <v>1173</v>
      </c>
      <c r="X1165" s="28" t="s">
        <v>272</v>
      </c>
      <c r="Y1165" s="28" t="s">
        <v>12543</v>
      </c>
      <c r="Z1165" s="28" t="s">
        <v>5259</v>
      </c>
      <c r="AA1165" s="28" t="s">
        <v>704</v>
      </c>
      <c r="AB1165" s="28">
        <v>2.0</v>
      </c>
      <c r="AC1165" s="28" t="s">
        <v>23</v>
      </c>
      <c r="AD1165" s="23"/>
      <c r="AE1165" s="28" t="s">
        <v>15</v>
      </c>
      <c r="AF1165" s="23"/>
      <c r="AG1165" s="23"/>
      <c r="AH1165" s="23" t="str">
        <f>IFERROR(__xludf.DUMMYFUNCTION("IF(
ISNUMBER(MATCH(
C1165,
IMPORTRANGE(""https://docs.google.com/spreadsheets/d/1yTh1ELC33JHYOeEdgIiEclxPRyh0zOKtlawDltfUay8"",""'Interns'!A:A""),
0
)),
""Outreach Conducted"",
"""")"),"")</f>
        <v/>
      </c>
      <c r="AI1165" s="23"/>
      <c r="AJ1165" s="23"/>
      <c r="AK1165" s="23" t="str">
        <f>IFERROR(__xludf.DUMMYFUNCTION("XLOOKUP(C1165, 
   IMPORTRANGE(""1RdEdgHYrZ33LJ7RUHj_h-qkAFL92bcVjtIdVa-UlsCw"", ""Interns!D:D""), 
   IMPORTRANGE(""1RdEdgHYrZ33LJ7RUHj_h-qkAFL92bcVjtIdVa-UlsCw"", ""Interns!M:M""), 
   ""Not Found"")"),"Contacted")</f>
        <v>Contacted</v>
      </c>
      <c r="AL1165" s="23" t="str">
        <f>IFERROR(__xludf.DUMMYFUNCTION("XLOOKUP(C1165, 
   IMPORTRANGE(""1RdEdgHYrZ33LJ7RUHj_h-qkAFL92bcVjtIdVa-UlsCw"", ""Interns!D:D""), 
   IMPORTRANGE(""1RdEdgHYrZ33LJ7RUHj_h-qkAFL92bcVjtIdVa-UlsCw"", ""Interns!N:N""), 
   ""Not Found"")"),"#Cheers4Careers")</f>
        <v>#Cheers4Careers</v>
      </c>
      <c r="AM1165" s="23" t="str">
        <f>IFERROR(__xludf.DUMMYFUNCTION("XLOOKUP(C1165, 
   IMPORTRANGE(""1RdEdgHYrZ33LJ7RUHj_h-qkAFL92bcVjtIdVa-UlsCw"", ""Interns!D:D""), 
   IMPORTRANGE(""1RdEdgHYrZ33LJ7RUHj_h-qkAFL92bcVjtIdVa-UlsCw"", ""Interns!O:O""), 
   ""Not Found"")"),"Ousmane reached out by email 3/26 ")</f>
        <v>Ousmane reached out by email 3/26 </v>
      </c>
      <c r="AN1165" s="23"/>
      <c r="AO1165" s="23" t="s">
        <v>12544</v>
      </c>
      <c r="AP1165" s="28" t="s">
        <v>5182</v>
      </c>
      <c r="AQ1165" s="28"/>
      <c r="AR1165" s="23"/>
      <c r="AS1165" s="23"/>
      <c r="AT1165" s="23"/>
      <c r="AU1165" s="23"/>
      <c r="AV1165" s="23"/>
    </row>
    <row r="1166">
      <c r="A1166" s="28" t="s">
        <v>5161</v>
      </c>
      <c r="B1166" s="28" t="s">
        <v>5162</v>
      </c>
      <c r="C1166" s="23" t="str">
        <f t="shared" si="1"/>
        <v>Fatou Diedhiou</v>
      </c>
      <c r="D1166" s="28" t="s">
        <v>12545</v>
      </c>
      <c r="E1166" s="28" t="s">
        <v>12546</v>
      </c>
      <c r="F1166" s="23">
        <f t="array" ref="F1166">IFERROR(
    INDEX('Hub Interns 226'!A:A, MATCH(C1166, 'Hub Interns 226'!B:B, 0)),"")</f>
        <v>930</v>
      </c>
      <c r="G1166" s="23">
        <f t="array" ref="G1166">IFERROR(
    INDEX('Hub Users 226'!A:A, MATCH(C1166, 'Hub Users 226'!B:B, 0)),"")</f>
        <v>1363</v>
      </c>
      <c r="H1166" s="28">
        <v>629.0</v>
      </c>
      <c r="I1166" s="28" t="s">
        <v>290</v>
      </c>
      <c r="J1166" s="28" t="s">
        <v>8907</v>
      </c>
      <c r="K1166" s="28" t="s">
        <v>5245</v>
      </c>
      <c r="L1166" s="28" t="s">
        <v>5196</v>
      </c>
      <c r="M1166" s="56" t="s">
        <v>12547</v>
      </c>
      <c r="N1166" s="59">
        <v>44497.60763888889</v>
      </c>
      <c r="O1166" s="58">
        <v>38272.0</v>
      </c>
      <c r="P1166" s="28">
        <f t="shared" si="32"/>
        <v>21</v>
      </c>
      <c r="Q1166" s="28" t="s">
        <v>12548</v>
      </c>
      <c r="R1166" s="28" t="s">
        <v>12549</v>
      </c>
      <c r="S1166" s="28">
        <v>15.0</v>
      </c>
      <c r="T1166" s="28">
        <v>33.0</v>
      </c>
      <c r="U1166" s="28">
        <v>78.0</v>
      </c>
      <c r="V1166" s="28">
        <v>15.0</v>
      </c>
      <c r="W1166" s="28" t="s">
        <v>859</v>
      </c>
      <c r="X1166" s="28" t="s">
        <v>272</v>
      </c>
      <c r="Y1166" s="28" t="s">
        <v>12550</v>
      </c>
      <c r="Z1166" s="28" t="s">
        <v>7670</v>
      </c>
      <c r="AA1166" s="28" t="s">
        <v>7671</v>
      </c>
      <c r="AB1166" s="28">
        <v>10.0</v>
      </c>
      <c r="AC1166" s="28" t="s">
        <v>25</v>
      </c>
      <c r="AD1166" s="28" t="s">
        <v>101</v>
      </c>
      <c r="AE1166" s="26" t="s">
        <v>14</v>
      </c>
      <c r="AF1166" s="23" t="str">
        <f>IFERROR(__xludf.DUMMYFUNCTION("TEXTJOIN("", "", TRUE,
  FILTER(Champions!C:C,
    ISNUMBER(SEARCH(C1166, Champions!W:W))
  )
)"),"Joseph Temowo, Amy Sit, Brandy Fonkam, Leif Castren, Oheneba Afriyie, Saima Malik, Sunkyung Park, Christina Thomas, Saima Malik (D)")</f>
        <v>Joseph Temowo, Amy Sit, Brandy Fonkam, Leif Castren, Oheneba Afriyie, Saima Malik, Sunkyung Park, Christina Thomas, Saima Malik (D)</v>
      </c>
      <c r="AG1166" s="26" t="s">
        <v>5273</v>
      </c>
      <c r="AH1166" s="23" t="str">
        <f>IFERROR(__xludf.DUMMYFUNCTION("IF(
ISNUMBER(MATCH(
C1166,
IMPORTRANGE(""https://docs.google.com/spreadsheets/d/1yTh1ELC33JHYOeEdgIiEclxPRyh0zOKtlawDltfUay8"",""'Interns'!A:A""),
0
)),
""Outreach Conducted"",
"""")"),"")</f>
        <v/>
      </c>
      <c r="AI1166" s="23"/>
      <c r="AJ1166" s="23"/>
      <c r="AK1166" s="23" t="str">
        <f>IFERROR(__xludf.DUMMYFUNCTION("XLOOKUP(C1166, 
   IMPORTRANGE(""1RdEdgHYrZ33LJ7RUHj_h-qkAFL92bcVjtIdVa-UlsCw"", ""Interns!D:D""), 
   IMPORTRANGE(""1RdEdgHYrZ33LJ7RUHj_h-qkAFL92bcVjtIdVa-UlsCw"", ""Interns!M:M""), 
   ""Not Found"")"),"Contacted")</f>
        <v>Contacted</v>
      </c>
      <c r="AL1166" s="23" t="str">
        <f>IFERROR(__xludf.DUMMYFUNCTION("XLOOKUP(C1166, 
   IMPORTRANGE(""1RdEdgHYrZ33LJ7RUHj_h-qkAFL92bcVjtIdVa-UlsCw"", ""Interns!D:D""), 
   IMPORTRANGE(""1RdEdgHYrZ33LJ7RUHj_h-qkAFL92bcVjtIdVa-UlsCw"", ""Interns!N:N""), 
   ""Not Found"")"),"#Cheers4Careers")</f>
        <v>#Cheers4Careers</v>
      </c>
      <c r="AM1166" s="23" t="str">
        <f>IFERROR(__xludf.DUMMYFUNCTION("XLOOKUP(C1166, 
   IMPORTRANGE(""1RdEdgHYrZ33LJ7RUHj_h-qkAFL92bcVjtIdVa-UlsCw"", ""Interns!D:D""), 
   IMPORTRANGE(""1RdEdgHYrZ33LJ7RUHj_h-qkAFL92bcVjtIdVa-UlsCw"", ""Interns!O:O""), 
   ""Not Found"")"),"Hetal reached out by email 3/27 and Hetal reached out by Whatsapp on 3/28
Hetal reached out on 4/10 by whatsapp for April 18th #Cheers4Careers")</f>
        <v>Hetal reached out by email 3/27 and Hetal reached out by Whatsapp on 3/28
Hetal reached out on 4/10 by whatsapp for April 18th #Cheers4Careers</v>
      </c>
      <c r="AN1166" s="23"/>
      <c r="AO1166" s="23" t="s">
        <v>12551</v>
      </c>
      <c r="AP1166" s="28" t="s">
        <v>5182</v>
      </c>
      <c r="AQ1166" s="28" t="s">
        <v>12552</v>
      </c>
      <c r="AR1166" s="23" t="s">
        <v>12553</v>
      </c>
      <c r="AS1166" s="23"/>
      <c r="AT1166" s="23"/>
      <c r="AU1166" s="23"/>
      <c r="AV1166" s="23"/>
    </row>
    <row r="1167">
      <c r="A1167" s="28" t="s">
        <v>5161</v>
      </c>
      <c r="B1167" s="28" t="s">
        <v>31</v>
      </c>
      <c r="C1167" s="23" t="str">
        <f t="shared" si="1"/>
        <v>Joel Polanco Trinidad</v>
      </c>
      <c r="D1167" s="28" t="s">
        <v>7013</v>
      </c>
      <c r="E1167" s="28" t="s">
        <v>7014</v>
      </c>
      <c r="F1167" s="23">
        <f t="array" ref="F1167">IFERROR(
    INDEX('Hub Interns 226'!A:A, MATCH(C1167, 'Hub Interns 226'!B:B, 0)),"")</f>
        <v>1757</v>
      </c>
      <c r="G1167" s="23">
        <f t="array" ref="G1167">IFERROR(
    INDEX('Hub Users 226'!A:A, MATCH(C1167, 'Hub Users 226'!B:B, 0)),"")</f>
        <v>2587</v>
      </c>
      <c r="H1167" s="28">
        <v>1738.0</v>
      </c>
      <c r="I1167" s="28"/>
      <c r="J1167" s="28"/>
      <c r="K1167" s="28"/>
      <c r="L1167" s="28" t="s">
        <v>5165</v>
      </c>
      <c r="M1167" s="56" t="s">
        <v>7015</v>
      </c>
      <c r="N1167" s="57">
        <v>45266.592361111114</v>
      </c>
      <c r="O1167" s="58">
        <v>40429.0</v>
      </c>
      <c r="P1167" s="28">
        <f t="shared" si="32"/>
        <v>15</v>
      </c>
      <c r="Q1167" s="28" t="s">
        <v>240</v>
      </c>
      <c r="R1167" s="28">
        <v>43.0</v>
      </c>
      <c r="S1167" s="28"/>
      <c r="T1167" s="28"/>
      <c r="U1167" s="28"/>
      <c r="V1167" s="28"/>
      <c r="W1167" s="23"/>
      <c r="X1167" s="23"/>
      <c r="Y1167" s="28" t="s">
        <v>7016</v>
      </c>
      <c r="Z1167" s="28" t="s">
        <v>5352</v>
      </c>
      <c r="AA1167" s="28" t="s">
        <v>5287</v>
      </c>
      <c r="AB1167" s="28">
        <v>26.0</v>
      </c>
      <c r="AC1167" s="28" t="s">
        <v>23</v>
      </c>
      <c r="AD1167" s="23"/>
      <c r="AE1167" s="28" t="s">
        <v>15</v>
      </c>
      <c r="AF1167" s="23"/>
      <c r="AG1167" s="23"/>
      <c r="AH1167" s="23" t="str">
        <f>IFERROR(__xludf.DUMMYFUNCTION("IF(
ISNUMBER(MATCH(
C1167,
IMPORTRANGE(""https://docs.google.com/spreadsheets/d/1yTh1ELC33JHYOeEdgIiEclxPRyh0zOKtlawDltfUay8"",""'Interns'!A:A""),
0
)),
""Outreach Conducted"",
"""")"),"")</f>
        <v/>
      </c>
      <c r="AI1167" s="23"/>
      <c r="AJ1167" s="23"/>
      <c r="AK1167" s="23" t="str">
        <f>IFERROR(__xludf.DUMMYFUNCTION("XLOOKUP(C1167, 
   IMPORTRANGE(""1RdEdgHYrZ33LJ7RUHj_h-qkAFL92bcVjtIdVa-UlsCw"", ""Interns!D:D""), 
   IMPORTRANGE(""1RdEdgHYrZ33LJ7RUHj_h-qkAFL92bcVjtIdVa-UlsCw"", ""Interns!M:M""), 
   ""Not Found"")"),"")</f>
        <v/>
      </c>
      <c r="AL1167" s="23" t="str">
        <f>IFERROR(__xludf.DUMMYFUNCTION("XLOOKUP(C1167, 
   IMPORTRANGE(""1RdEdgHYrZ33LJ7RUHj_h-qkAFL92bcVjtIdVa-UlsCw"", ""Interns!D:D""), 
   IMPORTRANGE(""1RdEdgHYrZ33LJ7RUHj_h-qkAFL92bcVjtIdVa-UlsCw"", ""Interns!N:N""), 
   ""Not Found"")"),"")</f>
        <v/>
      </c>
      <c r="AM1167" s="23" t="str">
        <f>IFERROR(__xludf.DUMMYFUNCTION("XLOOKUP(C1167, 
   IMPORTRANGE(""1RdEdgHYrZ33LJ7RUHj_h-qkAFL92bcVjtIdVa-UlsCw"", ""Interns!D:D""), 
   IMPORTRANGE(""1RdEdgHYrZ33LJ7RUHj_h-qkAFL92bcVjtIdVa-UlsCw"", ""Interns!O:O""), 
   ""Not Found"")"),"")</f>
        <v/>
      </c>
      <c r="AN1167" s="23"/>
      <c r="AO1167" s="23" t="s">
        <v>7017</v>
      </c>
      <c r="AP1167" s="28" t="s">
        <v>5173</v>
      </c>
      <c r="AQ1167" s="28"/>
      <c r="AR1167" s="23"/>
      <c r="AS1167" s="23"/>
      <c r="AT1167" s="23"/>
      <c r="AU1167" s="23"/>
      <c r="AV1167" s="23"/>
    </row>
    <row r="1168">
      <c r="A1168" s="28" t="s">
        <v>5161</v>
      </c>
      <c r="B1168" s="28" t="s">
        <v>5162</v>
      </c>
      <c r="C1168" s="23" t="str">
        <f t="shared" si="1"/>
        <v>Mariama Toure</v>
      </c>
      <c r="D1168" s="28" t="s">
        <v>5305</v>
      </c>
      <c r="E1168" s="28" t="s">
        <v>12554</v>
      </c>
      <c r="F1168" s="23">
        <f t="array" ref="F1168">IFERROR(
    INDEX('Hub Interns 226'!A:A, MATCH(C1168, 'Hub Interns 226'!B:B, 0)),"")</f>
        <v>54</v>
      </c>
      <c r="G1168" s="23">
        <f t="array" ref="G1168">IFERROR(
    INDEX('Hub Users 226'!A:A, MATCH(C1168, 'Hub Users 226'!B:B, 0)),"")</f>
        <v>487</v>
      </c>
      <c r="H1168" s="28">
        <v>833.0</v>
      </c>
      <c r="I1168" s="28" t="s">
        <v>239</v>
      </c>
      <c r="J1168" s="28" t="s">
        <v>8907</v>
      </c>
      <c r="K1168" s="28" t="s">
        <v>5245</v>
      </c>
      <c r="L1168" s="28" t="s">
        <v>5196</v>
      </c>
      <c r="M1168" s="56" t="s">
        <v>12555</v>
      </c>
      <c r="N1168" s="57">
        <v>44575.60277777778</v>
      </c>
      <c r="O1168" s="58">
        <v>38224.0</v>
      </c>
      <c r="P1168" s="28">
        <f t="shared" si="32"/>
        <v>21</v>
      </c>
      <c r="Q1168" s="28" t="s">
        <v>240</v>
      </c>
      <c r="R1168" s="28" t="s">
        <v>12556</v>
      </c>
      <c r="S1168" s="28">
        <v>15.0</v>
      </c>
      <c r="T1168" s="28">
        <v>29.0</v>
      </c>
      <c r="U1168" s="28">
        <v>79.0</v>
      </c>
      <c r="V1168" s="28">
        <v>17.0</v>
      </c>
      <c r="W1168" s="28" t="s">
        <v>859</v>
      </c>
      <c r="X1168" s="28" t="s">
        <v>272</v>
      </c>
      <c r="Y1168" s="28" t="s">
        <v>12557</v>
      </c>
      <c r="Z1168" s="28" t="s">
        <v>5259</v>
      </c>
      <c r="AA1168" s="28" t="s">
        <v>704</v>
      </c>
      <c r="AB1168" s="28">
        <v>2.0</v>
      </c>
      <c r="AC1168" s="28" t="s">
        <v>25</v>
      </c>
      <c r="AD1168" s="23"/>
      <c r="AE1168" s="28" t="s">
        <v>10</v>
      </c>
      <c r="AF1168" s="23" t="str">
        <f>IFERROR(__xludf.DUMMYFUNCTION("TEXTJOIN("", "", TRUE,
  FILTER(Champions!C:C,
    ISNUMBER(SEARCH(C1168, Champions!W:W))
  )
)"),"Debaleena Majumdar, Yan Guan")</f>
        <v>Debaleena Majumdar, Yan Guan</v>
      </c>
      <c r="AG1168" s="23"/>
      <c r="AH1168" s="23" t="str">
        <f>IFERROR(__xludf.DUMMYFUNCTION("IF(
ISNUMBER(MATCH(
C1168,
IMPORTRANGE(""https://docs.google.com/spreadsheets/d/1yTh1ELC33JHYOeEdgIiEclxPRyh0zOKtlawDltfUay8"",""'Interns'!A:A""),
0
)),
""Outreach Conducted"",
"""")"),"")</f>
        <v/>
      </c>
      <c r="AI1168" s="23"/>
      <c r="AJ1168" s="23"/>
      <c r="AK1168" s="23" t="str">
        <f>IFERROR(__xludf.DUMMYFUNCTION("XLOOKUP(C1168, 
   IMPORTRANGE(""1RdEdgHYrZ33LJ7RUHj_h-qkAFL92bcVjtIdVa-UlsCw"", ""Interns!D:D""), 
   IMPORTRANGE(""1RdEdgHYrZ33LJ7RUHj_h-qkAFL92bcVjtIdVa-UlsCw"", ""Interns!M:M""), 
   ""Not Found"")"),"Contacted")</f>
        <v>Contacted</v>
      </c>
      <c r="AL1168" s="23" t="str">
        <f>IFERROR(__xludf.DUMMYFUNCTION("XLOOKUP(C1168, 
   IMPORTRANGE(""1RdEdgHYrZ33LJ7RUHj_h-qkAFL92bcVjtIdVa-UlsCw"", ""Interns!D:D""), 
   IMPORTRANGE(""1RdEdgHYrZ33LJ7RUHj_h-qkAFL92bcVjtIdVa-UlsCw"", ""Interns!N:N""), 
   ""Not Found"")"),"#Cheers4Careers")</f>
        <v>#Cheers4Careers</v>
      </c>
      <c r="AM1168" s="23" t="str">
        <f>IFERROR(__xludf.DUMMYFUNCTION("XLOOKUP(C1168, 
   IMPORTRANGE(""1RdEdgHYrZ33LJ7RUHj_h-qkAFL92bcVjtIdVa-UlsCw"", ""Interns!D:D""), 
   IMPORTRANGE(""1RdEdgHYrZ33LJ7RUHj_h-qkAFL92bcVjtIdVa-UlsCw"", ""Interns!O:O""), 
   ""Not Found"")"),"Ousmane reached out by email 3/26 and reach out by text 3/28")</f>
        <v>Ousmane reached out by email 3/26 and reach out by text 3/28</v>
      </c>
      <c r="AN1168" s="23"/>
      <c r="AO1168" s="23" t="s">
        <v>12558</v>
      </c>
      <c r="AP1168" s="28" t="s">
        <v>5191</v>
      </c>
      <c r="AQ1168" s="28" t="s">
        <v>12559</v>
      </c>
      <c r="AR1168" s="23" t="s">
        <v>12560</v>
      </c>
      <c r="AS1168" s="23"/>
      <c r="AT1168" s="23"/>
      <c r="AU1168" s="23"/>
      <c r="AV1168" s="23"/>
    </row>
    <row r="1169">
      <c r="A1169" s="28" t="s">
        <v>5202</v>
      </c>
      <c r="B1169" s="28" t="s">
        <v>5162</v>
      </c>
      <c r="C1169" s="23" t="str">
        <f t="shared" si="1"/>
        <v>Anarys Ramirez</v>
      </c>
      <c r="D1169" s="28" t="s">
        <v>12561</v>
      </c>
      <c r="E1169" s="28" t="s">
        <v>2127</v>
      </c>
      <c r="F1169" s="23" t="str">
        <f t="array" ref="F1169">IFERROR(
    INDEX('Hub Interns 226'!A:A, MATCH(C1169, 'Hub Interns 226'!B:B, 0)),"")</f>
        <v/>
      </c>
      <c r="G1169" s="23" t="str">
        <f t="array" ref="G1169">IFERROR(
    INDEX('Hub Users 226'!A:A, MATCH(C1169, 'Hub Users 226'!B:B, 0)),"")</f>
        <v/>
      </c>
      <c r="H1169" s="28">
        <v>24.0</v>
      </c>
      <c r="I1169" s="28" t="s">
        <v>407</v>
      </c>
      <c r="J1169" s="28" t="s">
        <v>11105</v>
      </c>
      <c r="K1169" s="28" t="s">
        <v>5177</v>
      </c>
      <c r="L1169" s="28" t="s">
        <v>5196</v>
      </c>
      <c r="M1169" s="28"/>
      <c r="N1169" s="57">
        <v>43741.63055555556</v>
      </c>
      <c r="O1169" s="58"/>
      <c r="P1169" s="28"/>
      <c r="Q1169" s="28" t="s">
        <v>240</v>
      </c>
      <c r="R1169" s="23"/>
      <c r="S1169" s="28"/>
      <c r="T1169" s="28"/>
      <c r="U1169" s="28"/>
      <c r="V1169" s="28"/>
      <c r="W1169" s="28" t="s">
        <v>380</v>
      </c>
      <c r="X1169" s="28" t="s">
        <v>381</v>
      </c>
      <c r="Y1169" s="28">
        <v>2.677010587E9</v>
      </c>
      <c r="Z1169" s="28" t="s">
        <v>5491</v>
      </c>
      <c r="AA1169" s="28" t="s">
        <v>5492</v>
      </c>
      <c r="AB1169" s="28">
        <v>47.0</v>
      </c>
      <c r="AC1169" s="28" t="s">
        <v>25</v>
      </c>
      <c r="AD1169" s="23"/>
      <c r="AE1169" s="28" t="s">
        <v>4</v>
      </c>
      <c r="AF1169" s="23" t="str">
        <f>IFERROR(__xludf.DUMMYFUNCTION("TEXTJOIN("", "", TRUE,
  FILTER(Champions!C:C,
    ISNUMBER(SEARCH(C1169, Champions!W:W))
  )
)"),"#N/A")</f>
        <v>#N/A</v>
      </c>
      <c r="AG1169" s="23"/>
      <c r="AH1169" s="23" t="str">
        <f>IFERROR(__xludf.DUMMYFUNCTION("IF(
ISNUMBER(MATCH(
C1169,
IMPORTRANGE(""https://docs.google.com/spreadsheets/d/1yTh1ELC33JHYOeEdgIiEclxPRyh0zOKtlawDltfUay8"",""'Interns'!A:A""),
0
)),
""Outreach Conducted"",
"""")"),"")</f>
        <v/>
      </c>
      <c r="AI1169" s="23"/>
      <c r="AJ1169" s="23"/>
      <c r="AK1169" s="23" t="str">
        <f>IFERROR(__xludf.DUMMYFUNCTION("XLOOKUP(C1169, 
   IMPORTRANGE(""1RdEdgHYrZ33LJ7RUHj_h-qkAFL92bcVjtIdVa-UlsCw"", ""Interns!D:D""), 
   IMPORTRANGE(""1RdEdgHYrZ33LJ7RUHj_h-qkAFL92bcVjtIdVa-UlsCw"", ""Interns!M:M""), 
   ""Not Found"")"),"")</f>
        <v/>
      </c>
      <c r="AL1169" s="23" t="str">
        <f>IFERROR(__xludf.DUMMYFUNCTION("XLOOKUP(C1169, 
   IMPORTRANGE(""1RdEdgHYrZ33LJ7RUHj_h-qkAFL92bcVjtIdVa-UlsCw"", ""Interns!D:D""), 
   IMPORTRANGE(""1RdEdgHYrZ33LJ7RUHj_h-qkAFL92bcVjtIdVa-UlsCw"", ""Interns!N:N""), 
   ""Not Found"")"),"")</f>
        <v/>
      </c>
      <c r="AM1169" s="23">
        <f>IFERROR(__xludf.DUMMYFUNCTION("XLOOKUP(C1169, 
   IMPORTRANGE(""1RdEdgHYrZ33LJ7RUHj_h-qkAFL92bcVjtIdVa-UlsCw"", ""Interns!D:D""), 
   IMPORTRANGE(""1RdEdgHYrZ33LJ7RUHj_h-qkAFL92bcVjtIdVa-UlsCw"", ""Interns!O:O""), 
   ""Not Found"")"),0.0)</f>
        <v>0</v>
      </c>
      <c r="AN1169" s="23"/>
      <c r="AO1169" s="23" t="s">
        <v>12562</v>
      </c>
      <c r="AP1169" s="28" t="s">
        <v>5182</v>
      </c>
      <c r="AQ1169" s="28" t="s">
        <v>12562</v>
      </c>
      <c r="AR1169" s="23">
        <v>2.677010587E9</v>
      </c>
      <c r="AS1169" s="23"/>
      <c r="AT1169" s="23"/>
      <c r="AU1169" s="23"/>
      <c r="AV1169" s="23"/>
    </row>
    <row r="1170">
      <c r="A1170" s="28" t="s">
        <v>5161</v>
      </c>
      <c r="B1170" s="28" t="s">
        <v>5162</v>
      </c>
      <c r="C1170" s="23" t="str">
        <f t="shared" si="1"/>
        <v>Khadim Ka</v>
      </c>
      <c r="D1170" s="28" t="s">
        <v>12563</v>
      </c>
      <c r="E1170" s="28" t="s">
        <v>9972</v>
      </c>
      <c r="F1170" s="23">
        <f t="array" ref="F1170">IFERROR(
    INDEX('Hub Interns 226'!A:A, MATCH(C1170, 'Hub Interns 226'!B:B, 0)),"")</f>
        <v>1348</v>
      </c>
      <c r="G1170" s="23">
        <f t="array" ref="G1170">IFERROR(
    INDEX('Hub Users 226'!A:A, MATCH(C1170, 'Hub Users 226'!B:B, 0)),"")</f>
        <v>1867</v>
      </c>
      <c r="H1170" s="28">
        <v>1714.0</v>
      </c>
      <c r="I1170" s="28" t="s">
        <v>239</v>
      </c>
      <c r="J1170" s="28" t="s">
        <v>8907</v>
      </c>
      <c r="K1170" s="28" t="s">
        <v>5245</v>
      </c>
      <c r="L1170" s="28" t="s">
        <v>5165</v>
      </c>
      <c r="M1170" s="56" t="s">
        <v>9020</v>
      </c>
      <c r="N1170" s="59">
        <v>45251.88402777778</v>
      </c>
      <c r="O1170" s="58">
        <v>37256.0</v>
      </c>
      <c r="P1170" s="28">
        <f t="shared" ref="P1170:P1180" si="33">DATEDIF(O1170, TODAY(), "Y")</f>
        <v>24</v>
      </c>
      <c r="Q1170" s="28" t="s">
        <v>240</v>
      </c>
      <c r="R1170" s="28" t="s">
        <v>12564</v>
      </c>
      <c r="S1170" s="28">
        <v>14.0</v>
      </c>
      <c r="T1170" s="28">
        <v>32.0</v>
      </c>
      <c r="U1170" s="28">
        <v>84.0</v>
      </c>
      <c r="V1170" s="28">
        <v>17.0</v>
      </c>
      <c r="W1170" s="28" t="s">
        <v>859</v>
      </c>
      <c r="X1170" s="28" t="s">
        <v>272</v>
      </c>
      <c r="Y1170" s="28">
        <v>9.295037998E9</v>
      </c>
      <c r="Z1170" s="28" t="s">
        <v>5435</v>
      </c>
      <c r="AA1170" s="28" t="s">
        <v>5436</v>
      </c>
      <c r="AB1170" s="28">
        <v>10.0</v>
      </c>
      <c r="AC1170" s="28" t="s">
        <v>25</v>
      </c>
      <c r="AD1170" s="23"/>
      <c r="AE1170" s="28" t="s">
        <v>18</v>
      </c>
      <c r="AF1170" s="23" t="str">
        <f>IFERROR(__xludf.DUMMYFUNCTION("TEXTJOIN("", "", TRUE,
  FILTER(Champions!C:C,
    ISNUMBER(SEARCH(C1170, Champions!W:W))
  )
)"),"Sunkyung Park, Christina Thomas")</f>
        <v>Sunkyung Park, Christina Thomas</v>
      </c>
      <c r="AG1170" s="23"/>
      <c r="AH1170" s="23" t="str">
        <f>IFERROR(__xludf.DUMMYFUNCTION("IF(
ISNUMBER(MATCH(
C1170,
IMPORTRANGE(""https://docs.google.com/spreadsheets/d/1yTh1ELC33JHYOeEdgIiEclxPRyh0zOKtlawDltfUay8"",""'Interns'!A:A""),
0
)),
""Outreach Conducted"",
"""")"),"")</f>
        <v/>
      </c>
      <c r="AI1170" s="23"/>
      <c r="AJ1170" s="23"/>
      <c r="AK1170" s="23" t="str">
        <f>IFERROR(__xludf.DUMMYFUNCTION("XLOOKUP(C1170, 
   IMPORTRANGE(""1RdEdgHYrZ33LJ7RUHj_h-qkAFL92bcVjtIdVa-UlsCw"", ""Interns!D:D""), 
   IMPORTRANGE(""1RdEdgHYrZ33LJ7RUHj_h-qkAFL92bcVjtIdVa-UlsCw"", ""Interns!M:M""), 
   ""Not Found"")"),"Contacted")</f>
        <v>Contacted</v>
      </c>
      <c r="AL1170" s="23" t="str">
        <f>IFERROR(__xludf.DUMMYFUNCTION("XLOOKUP(C1170, 
   IMPORTRANGE(""1RdEdgHYrZ33LJ7RUHj_h-qkAFL92bcVjtIdVa-UlsCw"", ""Interns!D:D""), 
   IMPORTRANGE(""1RdEdgHYrZ33LJ7RUHj_h-qkAFL92bcVjtIdVa-UlsCw"", ""Interns!N:N""), 
   ""Not Found"")"),"#Cheers4Careers")</f>
        <v>#Cheers4Careers</v>
      </c>
      <c r="AM1170" s="23" t="str">
        <f>IFERROR(__xludf.DUMMYFUNCTION("XLOOKUP(C1170, 
   IMPORTRANGE(""1RdEdgHYrZ33LJ7RUHj_h-qkAFL92bcVjtIdVa-UlsCw"", ""Interns!D:D""), 
   IMPORTRANGE(""1RdEdgHYrZ33LJ7RUHj_h-qkAFL92bcVjtIdVa-UlsCw"", ""Interns!O:O""), 
   ""Not Found"")"),"Hetal reached out by email 3/27")</f>
        <v>Hetal reached out by email 3/27</v>
      </c>
      <c r="AN1170" s="23"/>
      <c r="AO1170" s="23" t="s">
        <v>12565</v>
      </c>
      <c r="AP1170" s="28" t="s">
        <v>5908</v>
      </c>
      <c r="AQ1170" s="28" t="s">
        <v>12566</v>
      </c>
      <c r="AR1170" s="23">
        <v>3.478478001E9</v>
      </c>
      <c r="AS1170" s="23"/>
      <c r="AT1170" s="23"/>
      <c r="AU1170" s="23"/>
      <c r="AV1170" s="23"/>
    </row>
    <row r="1171">
      <c r="A1171" s="28" t="s">
        <v>5202</v>
      </c>
      <c r="B1171" s="28" t="s">
        <v>5162</v>
      </c>
      <c r="C1171" s="23" t="str">
        <f t="shared" si="1"/>
        <v>Maria Cuahuiz Del Carmen</v>
      </c>
      <c r="D1171" s="28" t="s">
        <v>2308</v>
      </c>
      <c r="E1171" s="28" t="s">
        <v>12567</v>
      </c>
      <c r="F1171" s="23">
        <f t="array" ref="F1171">IFERROR(
    INDEX('Hub Interns 226'!A:A, MATCH(C1171, 'Hub Interns 226'!B:B, 0)),"")</f>
        <v>837</v>
      </c>
      <c r="G1171" s="23">
        <f t="array" ref="G1171">IFERROR(
    INDEX('Hub Users 226'!A:A, MATCH(C1171, 'Hub Users 226'!B:B, 0)),"")</f>
        <v>1270</v>
      </c>
      <c r="H1171" s="28">
        <v>1216.0</v>
      </c>
      <c r="I1171" s="28" t="s">
        <v>260</v>
      </c>
      <c r="J1171" s="28" t="s">
        <v>11105</v>
      </c>
      <c r="K1171" s="28" t="s">
        <v>5177</v>
      </c>
      <c r="L1171" s="28" t="s">
        <v>5196</v>
      </c>
      <c r="M1171" s="56" t="s">
        <v>12568</v>
      </c>
      <c r="N1171" s="57">
        <v>44835.82152777778</v>
      </c>
      <c r="O1171" s="58">
        <v>38185.0</v>
      </c>
      <c r="P1171" s="28">
        <f t="shared" si="33"/>
        <v>21</v>
      </c>
      <c r="Q1171" s="28" t="s">
        <v>12569</v>
      </c>
      <c r="R1171" s="28" t="s">
        <v>12570</v>
      </c>
      <c r="S1171" s="28">
        <v>15.0</v>
      </c>
      <c r="T1171" s="28">
        <v>33.0</v>
      </c>
      <c r="U1171" s="28">
        <v>80.0</v>
      </c>
      <c r="V1171" s="28">
        <v>11.0</v>
      </c>
      <c r="W1171" s="28" t="s">
        <v>859</v>
      </c>
      <c r="X1171" s="28" t="s">
        <v>272</v>
      </c>
      <c r="Y1171" s="28">
        <v>9.292333287E9</v>
      </c>
      <c r="Z1171" s="28" t="s">
        <v>7670</v>
      </c>
      <c r="AA1171" s="28" t="s">
        <v>7671</v>
      </c>
      <c r="AB1171" s="28">
        <v>10.0</v>
      </c>
      <c r="AC1171" s="28" t="s">
        <v>25</v>
      </c>
      <c r="AD1171" s="23"/>
      <c r="AE1171" s="28" t="s">
        <v>15</v>
      </c>
      <c r="AF1171" s="23" t="str">
        <f>IFERROR(__xludf.DUMMYFUNCTION("TEXTJOIN("", "", TRUE,
  FILTER(Champions!C:C,
    ISNUMBER(SEARCH(C1171, Champions!W:W))
  )
)"),"Scotney Young")</f>
        <v>Scotney Young</v>
      </c>
      <c r="AG1171" s="23"/>
      <c r="AH1171" s="23" t="str">
        <f>IFERROR(__xludf.DUMMYFUNCTION("IF(
ISNUMBER(MATCH(
C1171,
IMPORTRANGE(""https://docs.google.com/spreadsheets/d/1yTh1ELC33JHYOeEdgIiEclxPRyh0zOKtlawDltfUay8"",""'Interns'!A:A""),
0
)),
""Outreach Conducted"",
"""")"),"")</f>
        <v/>
      </c>
      <c r="AI1171" s="23"/>
      <c r="AJ1171" s="23"/>
      <c r="AK1171" s="23" t="str">
        <f>IFERROR(__xludf.DUMMYFUNCTION("XLOOKUP(C1171, 
   IMPORTRANGE(""1RdEdgHYrZ33LJ7RUHj_h-qkAFL92bcVjtIdVa-UlsCw"", ""Interns!D:D""), 
   IMPORTRANGE(""1RdEdgHYrZ33LJ7RUHj_h-qkAFL92bcVjtIdVa-UlsCw"", ""Interns!M:M""), 
   ""Not Found"")"),"")</f>
        <v/>
      </c>
      <c r="AL1171" s="23" t="str">
        <f>IFERROR(__xludf.DUMMYFUNCTION("XLOOKUP(C1171, 
   IMPORTRANGE(""1RdEdgHYrZ33LJ7RUHj_h-qkAFL92bcVjtIdVa-UlsCw"", ""Interns!D:D""), 
   IMPORTRANGE(""1RdEdgHYrZ33LJ7RUHj_h-qkAFL92bcVjtIdVa-UlsCw"", ""Interns!N:N""), 
   ""Not Found"")"),"")</f>
        <v/>
      </c>
      <c r="AM1171" s="23" t="str">
        <f>IFERROR(__xludf.DUMMYFUNCTION("XLOOKUP(C1171, 
   IMPORTRANGE(""1RdEdgHYrZ33LJ7RUHj_h-qkAFL92bcVjtIdVa-UlsCw"", ""Interns!D:D""), 
   IMPORTRANGE(""1RdEdgHYrZ33LJ7RUHj_h-qkAFL92bcVjtIdVa-UlsCw"", ""Interns!O:O""), 
   ""Not Found"")"),"")</f>
        <v/>
      </c>
      <c r="AN1171" s="23"/>
      <c r="AO1171" s="23" t="s">
        <v>12571</v>
      </c>
      <c r="AP1171" s="28" t="s">
        <v>5182</v>
      </c>
      <c r="AQ1171" s="28" t="s">
        <v>12572</v>
      </c>
      <c r="AR1171" s="23">
        <v>3.479220321E9</v>
      </c>
      <c r="AS1171" s="23"/>
      <c r="AT1171" s="23"/>
      <c r="AU1171" s="23"/>
      <c r="AV1171" s="23"/>
    </row>
    <row r="1172">
      <c r="A1172" s="28" t="s">
        <v>5161</v>
      </c>
      <c r="B1172" s="28" t="s">
        <v>5162</v>
      </c>
      <c r="C1172" s="23" t="str">
        <f t="shared" si="1"/>
        <v>Khadim Ndiaye</v>
      </c>
      <c r="D1172" s="28" t="s">
        <v>12563</v>
      </c>
      <c r="E1172" s="28" t="s">
        <v>11880</v>
      </c>
      <c r="F1172" s="23">
        <f t="array" ref="F1172">IFERROR(
    INDEX('Hub Interns 226'!A:A, MATCH(C1172, 'Hub Interns 226'!B:B, 0)),"")</f>
        <v>745</v>
      </c>
      <c r="G1172" s="23">
        <f t="array" ref="G1172">IFERROR(
    INDEX('Hub Users 226'!A:A, MATCH(C1172, 'Hub Users 226'!B:B, 0)),"")</f>
        <v>1178</v>
      </c>
      <c r="H1172" s="28">
        <v>623.0</v>
      </c>
      <c r="I1172" s="28" t="s">
        <v>239</v>
      </c>
      <c r="J1172" s="28" t="s">
        <v>8907</v>
      </c>
      <c r="K1172" s="28" t="s">
        <v>5245</v>
      </c>
      <c r="L1172" s="28" t="s">
        <v>5165</v>
      </c>
      <c r="M1172" s="56" t="s">
        <v>12573</v>
      </c>
      <c r="N1172" s="59">
        <v>44495.775</v>
      </c>
      <c r="O1172" s="58">
        <v>37269.0</v>
      </c>
      <c r="P1172" s="28">
        <f t="shared" si="33"/>
        <v>24</v>
      </c>
      <c r="Q1172" s="28" t="s">
        <v>12574</v>
      </c>
      <c r="R1172" s="28" t="s">
        <v>12575</v>
      </c>
      <c r="S1172" s="28">
        <v>10.0</v>
      </c>
      <c r="T1172" s="28">
        <v>27.0</v>
      </c>
      <c r="U1172" s="28">
        <v>65.0</v>
      </c>
      <c r="V1172" s="28">
        <v>2.0</v>
      </c>
      <c r="W1172" s="28" t="s">
        <v>271</v>
      </c>
      <c r="X1172" s="28" t="s">
        <v>272</v>
      </c>
      <c r="Y1172" s="28" t="s">
        <v>12576</v>
      </c>
      <c r="Z1172" s="28" t="s">
        <v>5963</v>
      </c>
      <c r="AA1172" s="28" t="s">
        <v>1923</v>
      </c>
      <c r="AB1172" s="28">
        <v>1.0</v>
      </c>
      <c r="AC1172" s="28" t="s">
        <v>25</v>
      </c>
      <c r="AD1172" s="23"/>
      <c r="AE1172" s="28" t="s">
        <v>10</v>
      </c>
      <c r="AF1172" s="23"/>
      <c r="AG1172" s="23"/>
      <c r="AH1172" s="23" t="str">
        <f>IFERROR(__xludf.DUMMYFUNCTION("IF(
ISNUMBER(MATCH(
C1172,
IMPORTRANGE(""https://docs.google.com/spreadsheets/d/1yTh1ELC33JHYOeEdgIiEclxPRyh0zOKtlawDltfUay8"",""'Interns'!A:A""),
0
)),
""Outreach Conducted"",
"""")"),"")</f>
        <v/>
      </c>
      <c r="AI1172" s="23"/>
      <c r="AJ1172" s="23"/>
      <c r="AK1172" s="23" t="str">
        <f>IFERROR(__xludf.DUMMYFUNCTION("XLOOKUP(C1172, 
   IMPORTRANGE(""1RdEdgHYrZ33LJ7RUHj_h-qkAFL92bcVjtIdVa-UlsCw"", ""Interns!D:D""), 
   IMPORTRANGE(""1RdEdgHYrZ33LJ7RUHj_h-qkAFL92bcVjtIdVa-UlsCw"", ""Interns!M:M""), 
   ""Not Found"")"),"")</f>
        <v/>
      </c>
      <c r="AL1172" s="23" t="str">
        <f>IFERROR(__xludf.DUMMYFUNCTION("XLOOKUP(C1172, 
   IMPORTRANGE(""1RdEdgHYrZ33LJ7RUHj_h-qkAFL92bcVjtIdVa-UlsCw"", ""Interns!D:D""), 
   IMPORTRANGE(""1RdEdgHYrZ33LJ7RUHj_h-qkAFL92bcVjtIdVa-UlsCw"", ""Interns!N:N""), 
   ""Not Found"")"),"")</f>
        <v/>
      </c>
      <c r="AM1172" s="23" t="str">
        <f>IFERROR(__xludf.DUMMYFUNCTION("XLOOKUP(C1172, 
   IMPORTRANGE(""1RdEdgHYrZ33LJ7RUHj_h-qkAFL92bcVjtIdVa-UlsCw"", ""Interns!D:D""), 
   IMPORTRANGE(""1RdEdgHYrZ33LJ7RUHj_h-qkAFL92bcVjtIdVa-UlsCw"", ""Interns!O:O""), 
   ""Not Found"")"),"")</f>
        <v/>
      </c>
      <c r="AN1172" s="23"/>
      <c r="AO1172" s="23" t="s">
        <v>12577</v>
      </c>
      <c r="AP1172" s="28" t="s">
        <v>5191</v>
      </c>
      <c r="AQ1172" s="28" t="s">
        <v>12578</v>
      </c>
      <c r="AR1172" s="23" t="s">
        <v>12579</v>
      </c>
      <c r="AS1172" s="23"/>
      <c r="AT1172" s="23"/>
      <c r="AU1172" s="23"/>
      <c r="AV1172" s="23"/>
    </row>
    <row r="1173">
      <c r="A1173" s="28" t="s">
        <v>5202</v>
      </c>
      <c r="B1173" s="28" t="s">
        <v>5162</v>
      </c>
      <c r="C1173" s="23" t="str">
        <f t="shared" si="1"/>
        <v>Dylan Fabre</v>
      </c>
      <c r="D1173" s="28" t="s">
        <v>9300</v>
      </c>
      <c r="E1173" s="28" t="s">
        <v>12580</v>
      </c>
      <c r="F1173" s="23">
        <f t="array" ref="F1173">IFERROR(
    INDEX('Hub Interns 226'!A:A, MATCH(C1173, 'Hub Interns 226'!B:B, 0)),"")</f>
        <v>465</v>
      </c>
      <c r="G1173" s="23">
        <f t="array" ref="G1173">IFERROR(
    INDEX('Hub Users 226'!A:A, MATCH(C1173, 'Hub Users 226'!B:B, 0)),"")</f>
        <v>898</v>
      </c>
      <c r="H1173" s="28">
        <v>568.0</v>
      </c>
      <c r="I1173" s="28" t="s">
        <v>425</v>
      </c>
      <c r="J1173" s="28" t="s">
        <v>2388</v>
      </c>
      <c r="K1173" s="28" t="s">
        <v>5463</v>
      </c>
      <c r="L1173" s="28" t="s">
        <v>5165</v>
      </c>
      <c r="M1173" s="56" t="s">
        <v>12581</v>
      </c>
      <c r="N1173" s="59">
        <v>44479.552777777775</v>
      </c>
      <c r="O1173" s="58">
        <v>38421.0</v>
      </c>
      <c r="P1173" s="28">
        <f t="shared" si="33"/>
        <v>21</v>
      </c>
      <c r="Q1173" s="28" t="s">
        <v>240</v>
      </c>
      <c r="R1173" s="28" t="s">
        <v>12582</v>
      </c>
      <c r="S1173" s="28">
        <v>6.0</v>
      </c>
      <c r="T1173" s="28">
        <v>13.0</v>
      </c>
      <c r="U1173" s="28">
        <v>39.0</v>
      </c>
      <c r="V1173" s="28">
        <v>21.0</v>
      </c>
      <c r="W1173" s="28" t="s">
        <v>1173</v>
      </c>
      <c r="X1173" s="28" t="s">
        <v>272</v>
      </c>
      <c r="Y1173" s="28" t="s">
        <v>12583</v>
      </c>
      <c r="Z1173" s="28" t="s">
        <v>5189</v>
      </c>
      <c r="AA1173" s="28" t="s">
        <v>619</v>
      </c>
      <c r="AB1173" s="28">
        <v>20.0</v>
      </c>
      <c r="AC1173" s="28" t="s">
        <v>25</v>
      </c>
      <c r="AD1173" s="23"/>
      <c r="AE1173" s="28" t="s">
        <v>10</v>
      </c>
      <c r="AF1173" s="23" t="str">
        <f>IFERROR(__xludf.DUMMYFUNCTION("TEXTJOIN("", "", TRUE,
  FILTER(Champions!C:C,
    ISNUMBER(SEARCH(C1173, Champions!W:W))
  )
)"),"Keylin Rivera, Lata Murti")</f>
        <v>Keylin Rivera, Lata Murti</v>
      </c>
      <c r="AG1173" s="23"/>
      <c r="AH1173" s="23" t="str">
        <f>IFERROR(__xludf.DUMMYFUNCTION("IF(
ISNUMBER(MATCH(
C1173,
IMPORTRANGE(""https://docs.google.com/spreadsheets/d/1yTh1ELC33JHYOeEdgIiEclxPRyh0zOKtlawDltfUay8"",""'Interns'!A:A""),
0
)),
""Outreach Conducted"",
"""")"),"")</f>
        <v/>
      </c>
      <c r="AI1173" s="23"/>
      <c r="AJ1173" s="23"/>
      <c r="AK1173" s="23" t="str">
        <f>IFERROR(__xludf.DUMMYFUNCTION("XLOOKUP(C1173, 
   IMPORTRANGE(""1RdEdgHYrZ33LJ7RUHj_h-qkAFL92bcVjtIdVa-UlsCw"", ""Interns!D:D""), 
   IMPORTRANGE(""1RdEdgHYrZ33LJ7RUHj_h-qkAFL92bcVjtIdVa-UlsCw"", ""Interns!M:M""), 
   ""Not Found"")"),"")</f>
        <v/>
      </c>
      <c r="AL1173" s="23" t="str">
        <f>IFERROR(__xludf.DUMMYFUNCTION("XLOOKUP(C1173, 
   IMPORTRANGE(""1RdEdgHYrZ33LJ7RUHj_h-qkAFL92bcVjtIdVa-UlsCw"", ""Interns!D:D""), 
   IMPORTRANGE(""1RdEdgHYrZ33LJ7RUHj_h-qkAFL92bcVjtIdVa-UlsCw"", ""Interns!N:N""), 
   ""Not Found"")"),"")</f>
        <v/>
      </c>
      <c r="AM1173" s="23" t="str">
        <f>IFERROR(__xludf.DUMMYFUNCTION("XLOOKUP(C1173, 
   IMPORTRANGE(""1RdEdgHYrZ33LJ7RUHj_h-qkAFL92bcVjtIdVa-UlsCw"", ""Interns!D:D""), 
   IMPORTRANGE(""1RdEdgHYrZ33LJ7RUHj_h-qkAFL92bcVjtIdVa-UlsCw"", ""Interns!O:O""), 
   ""Not Found"")"),"")</f>
        <v/>
      </c>
      <c r="AN1173" s="23"/>
      <c r="AO1173" s="23" t="s">
        <v>12584</v>
      </c>
      <c r="AP1173" s="28" t="s">
        <v>5191</v>
      </c>
      <c r="AQ1173" s="28" t="s">
        <v>12585</v>
      </c>
      <c r="AR1173" s="23" t="s">
        <v>12586</v>
      </c>
      <c r="AS1173" s="23"/>
      <c r="AT1173" s="23"/>
      <c r="AU1173" s="23"/>
      <c r="AV1173" s="23"/>
    </row>
    <row r="1174">
      <c r="A1174" s="28" t="s">
        <v>5161</v>
      </c>
      <c r="B1174" s="28" t="s">
        <v>5162</v>
      </c>
      <c r="C1174" s="23" t="str">
        <f t="shared" si="1"/>
        <v>Diarra Fall</v>
      </c>
      <c r="D1174" s="28" t="s">
        <v>8905</v>
      </c>
      <c r="E1174" s="28" t="s">
        <v>8906</v>
      </c>
      <c r="F1174" s="23">
        <f t="array" ref="F1174">IFERROR(
    INDEX('Hub Interns 226'!A:A, MATCH(C1174, 'Hub Interns 226'!B:B, 0)),"")</f>
        <v>82</v>
      </c>
      <c r="G1174" s="23">
        <f t="array" ref="G1174">IFERROR(
    INDEX('Hub Users 226'!A:A, MATCH(C1174, 'Hub Users 226'!B:B, 0)),"")</f>
        <v>515</v>
      </c>
      <c r="H1174" s="28">
        <v>1460.0</v>
      </c>
      <c r="I1174" s="28" t="s">
        <v>290</v>
      </c>
      <c r="J1174" s="28" t="s">
        <v>8907</v>
      </c>
      <c r="K1174" s="28" t="s">
        <v>5245</v>
      </c>
      <c r="L1174" s="28" t="s">
        <v>5196</v>
      </c>
      <c r="M1174" s="56" t="s">
        <v>12147</v>
      </c>
      <c r="N1174" s="57">
        <v>44935.643055555556</v>
      </c>
      <c r="O1174" s="58">
        <v>38802.0</v>
      </c>
      <c r="P1174" s="28">
        <f t="shared" si="33"/>
        <v>20</v>
      </c>
      <c r="Q1174" s="28" t="s">
        <v>12148</v>
      </c>
      <c r="R1174" s="28" t="s">
        <v>271</v>
      </c>
      <c r="S1174" s="28"/>
      <c r="T1174" s="28"/>
      <c r="U1174" s="28"/>
      <c r="V1174" s="28"/>
      <c r="W1174" s="28" t="s">
        <v>271</v>
      </c>
      <c r="X1174" s="28" t="s">
        <v>272</v>
      </c>
      <c r="Y1174" s="28" t="s">
        <v>8910</v>
      </c>
      <c r="Z1174" s="28" t="s">
        <v>5259</v>
      </c>
      <c r="AA1174" s="28" t="s">
        <v>704</v>
      </c>
      <c r="AB1174" s="28">
        <v>2.0</v>
      </c>
      <c r="AC1174" s="28" t="s">
        <v>25</v>
      </c>
      <c r="AD1174" s="23"/>
      <c r="AE1174" s="28" t="s">
        <v>15</v>
      </c>
      <c r="AF1174" s="23" t="str">
        <f>IFERROR(__xludf.DUMMYFUNCTION("TEXTJOIN("", "", TRUE,
  FILTER(Champions!C:C,
    ISNUMBER(SEARCH(C1174, Champions!W:W))
  )
)"),"Azikiwe Rich, Bhakti Pitre")</f>
        <v>Azikiwe Rich, Bhakti Pitre</v>
      </c>
      <c r="AG1174" s="23"/>
      <c r="AH1174" s="23" t="str">
        <f>IFERROR(__xludf.DUMMYFUNCTION("IF(
ISNUMBER(MATCH(
C1174,
IMPORTRANGE(""https://docs.google.com/spreadsheets/d/1yTh1ELC33JHYOeEdgIiEclxPRyh0zOKtlawDltfUay8"",""'Interns'!A:A""),
0
)),
""Outreach Conducted"",
"""")"),"")</f>
        <v/>
      </c>
      <c r="AI1174" s="23"/>
      <c r="AJ1174" s="23"/>
      <c r="AK1174" s="23" t="str">
        <f>IFERROR(__xludf.DUMMYFUNCTION("XLOOKUP(C1174, 
   IMPORTRANGE(""1RdEdgHYrZ33LJ7RUHj_h-qkAFL92bcVjtIdVa-UlsCw"", ""Interns!D:D""), 
   IMPORTRANGE(""1RdEdgHYrZ33LJ7RUHj_h-qkAFL92bcVjtIdVa-UlsCw"", ""Interns!M:M""), 
   ""Not Found"")"),"")</f>
        <v/>
      </c>
      <c r="AL1174" s="23" t="str">
        <f>IFERROR(__xludf.DUMMYFUNCTION("XLOOKUP(C1174, 
   IMPORTRANGE(""1RdEdgHYrZ33LJ7RUHj_h-qkAFL92bcVjtIdVa-UlsCw"", ""Interns!D:D""), 
   IMPORTRANGE(""1RdEdgHYrZ33LJ7RUHj_h-qkAFL92bcVjtIdVa-UlsCw"", ""Interns!N:N""), 
   ""Not Found"")"),"")</f>
        <v/>
      </c>
      <c r="AM1174" s="23" t="str">
        <f>IFERROR(__xludf.DUMMYFUNCTION("XLOOKUP(C1174, 
   IMPORTRANGE(""1RdEdgHYrZ33LJ7RUHj_h-qkAFL92bcVjtIdVa-UlsCw"", ""Interns!D:D""), 
   IMPORTRANGE(""1RdEdgHYrZ33LJ7RUHj_h-qkAFL92bcVjtIdVa-UlsCw"", ""Interns!O:O""), 
   ""Not Found"")"),"")</f>
        <v/>
      </c>
      <c r="AN1174" s="23"/>
      <c r="AO1174" s="23" t="s">
        <v>8911</v>
      </c>
      <c r="AP1174" s="28" t="s">
        <v>5182</v>
      </c>
      <c r="AQ1174" s="28" t="s">
        <v>12149</v>
      </c>
      <c r="AR1174" s="23" t="s">
        <v>12150</v>
      </c>
      <c r="AS1174" s="23"/>
      <c r="AT1174" s="23"/>
      <c r="AU1174" s="23"/>
      <c r="AV1174" s="23"/>
    </row>
    <row r="1175">
      <c r="A1175" s="28" t="s">
        <v>5161</v>
      </c>
      <c r="B1175" s="28" t="s">
        <v>5162</v>
      </c>
      <c r="C1175" s="23" t="str">
        <f t="shared" si="1"/>
        <v>Valentino Dima</v>
      </c>
      <c r="D1175" s="28" t="s">
        <v>12587</v>
      </c>
      <c r="E1175" s="28" t="s">
        <v>659</v>
      </c>
      <c r="F1175" s="23">
        <f t="array" ref="F1175">IFERROR(
    INDEX('Hub Interns 226'!A:A, MATCH(C1175, 'Hub Interns 226'!B:B, 0)),"")</f>
        <v>1167</v>
      </c>
      <c r="G1175" s="23">
        <f t="array" ref="G1175">IFERROR(
    INDEX('Hub Users 226'!A:A, MATCH(C1175, 'Hub Users 226'!B:B, 0)),"")</f>
        <v>1600</v>
      </c>
      <c r="H1175" s="28">
        <v>1114.0</v>
      </c>
      <c r="I1175" s="28" t="s">
        <v>269</v>
      </c>
      <c r="J1175" s="28" t="s">
        <v>12588</v>
      </c>
      <c r="K1175" s="28" t="s">
        <v>5255</v>
      </c>
      <c r="L1175" s="28" t="s">
        <v>5165</v>
      </c>
      <c r="M1175" s="56" t="s">
        <v>12589</v>
      </c>
      <c r="N1175" s="57">
        <v>44721.59583333333</v>
      </c>
      <c r="O1175" s="58">
        <v>39895.0</v>
      </c>
      <c r="P1175" s="28">
        <f t="shared" si="33"/>
        <v>17</v>
      </c>
      <c r="Q1175" s="28" t="s">
        <v>240</v>
      </c>
      <c r="R1175" s="28" t="s">
        <v>12590</v>
      </c>
      <c r="S1175" s="28">
        <v>7.0</v>
      </c>
      <c r="T1175" s="28">
        <v>12.0</v>
      </c>
      <c r="U1175" s="28">
        <v>37.0</v>
      </c>
      <c r="V1175" s="28">
        <v>30.0</v>
      </c>
      <c r="W1175" s="28" t="s">
        <v>1173</v>
      </c>
      <c r="X1175" s="28" t="s">
        <v>272</v>
      </c>
      <c r="Y1175" s="28" t="s">
        <v>12591</v>
      </c>
      <c r="Z1175" s="28" t="s">
        <v>9652</v>
      </c>
      <c r="AA1175" s="28" t="s">
        <v>9653</v>
      </c>
      <c r="AB1175" s="28">
        <v>30.0</v>
      </c>
      <c r="AC1175" s="28" t="s">
        <v>24</v>
      </c>
      <c r="AD1175" s="23"/>
      <c r="AE1175" s="28" t="s">
        <v>10</v>
      </c>
      <c r="AF1175" s="23"/>
      <c r="AG1175" s="23"/>
      <c r="AH1175" s="23" t="str">
        <f>IFERROR(__xludf.DUMMYFUNCTION("IF(
ISNUMBER(MATCH(
C1175,
IMPORTRANGE(""https://docs.google.com/spreadsheets/d/1yTh1ELC33JHYOeEdgIiEclxPRyh0zOKtlawDltfUay8"",""'Interns'!A:A""),
0
)),
""Outreach Conducted"",
"""")"),"")</f>
        <v/>
      </c>
      <c r="AI1175" s="23"/>
      <c r="AJ1175" s="23"/>
      <c r="AK1175" s="23" t="str">
        <f>IFERROR(__xludf.DUMMYFUNCTION("XLOOKUP(C1175, 
   IMPORTRANGE(""1RdEdgHYrZ33LJ7RUHj_h-qkAFL92bcVjtIdVa-UlsCw"", ""Interns!D:D""), 
   IMPORTRANGE(""1RdEdgHYrZ33LJ7RUHj_h-qkAFL92bcVjtIdVa-UlsCw"", ""Interns!M:M""), 
   ""Not Found"")"),"Contacted")</f>
        <v>Contacted</v>
      </c>
      <c r="AL1175" s="23" t="str">
        <f>IFERROR(__xludf.DUMMYFUNCTION("XLOOKUP(C1175, 
   IMPORTRANGE(""1RdEdgHYrZ33LJ7RUHj_h-qkAFL92bcVjtIdVa-UlsCw"", ""Interns!D:D""), 
   IMPORTRANGE(""1RdEdgHYrZ33LJ7RUHj_h-qkAFL92bcVjtIdVa-UlsCw"", ""Interns!N:N""), 
   ""Not Found"")"),"#Cheers4Careers")</f>
        <v>#Cheers4Careers</v>
      </c>
      <c r="AM1175" s="23" t="str">
        <f>IFERROR(__xludf.DUMMYFUNCTION("XLOOKUP(C1175, 
   IMPORTRANGE(""1RdEdgHYrZ33LJ7RUHj_h-qkAFL92bcVjtIdVa-UlsCw"", ""Interns!D:D""), 
   IMPORTRANGE(""1RdEdgHYrZ33LJ7RUHj_h-qkAFL92bcVjtIdVa-UlsCw"", ""Interns!O:O""), 
   ""Not Found"")"),"MENNA: Reached out by email 3/26 and by text 3/27 for Cheers 4 Careers Reached out again 3/28 but no response … MENNA REACHED OUT FOR APRIL 18")</f>
        <v>MENNA: Reached out by email 3/26 and by text 3/27 for Cheers 4 Careers Reached out again 3/28 but no response … MENNA REACHED OUT FOR APRIL 18</v>
      </c>
      <c r="AN1175" s="23"/>
      <c r="AO1175" s="23" t="s">
        <v>12592</v>
      </c>
      <c r="AP1175" s="28" t="s">
        <v>5191</v>
      </c>
      <c r="AQ1175" s="28"/>
      <c r="AR1175" s="23"/>
      <c r="AS1175" s="23"/>
      <c r="AT1175" s="23"/>
      <c r="AU1175" s="23"/>
      <c r="AV1175" s="23"/>
    </row>
    <row r="1176">
      <c r="A1176" s="28" t="s">
        <v>5202</v>
      </c>
      <c r="B1176" s="28" t="s">
        <v>5162</v>
      </c>
      <c r="C1176" s="23" t="str">
        <f t="shared" si="1"/>
        <v>Ketu Patel</v>
      </c>
      <c r="D1176" s="28" t="s">
        <v>12593</v>
      </c>
      <c r="E1176" s="28" t="s">
        <v>487</v>
      </c>
      <c r="F1176" s="23">
        <f t="array" ref="F1176">IFERROR(
    INDEX('Hub Interns 226'!A:A, MATCH(C1176, 'Hub Interns 226'!B:B, 0)),"")</f>
        <v>111</v>
      </c>
      <c r="G1176" s="23">
        <f t="array" ref="G1176">IFERROR(
    INDEX('Hub Users 226'!A:A, MATCH(C1176, 'Hub Users 226'!B:B, 0)),"")</f>
        <v>544</v>
      </c>
      <c r="H1176" s="28">
        <v>661.0</v>
      </c>
      <c r="I1176" s="28" t="s">
        <v>290</v>
      </c>
      <c r="J1176" s="28" t="s">
        <v>3265</v>
      </c>
      <c r="K1176" s="28" t="s">
        <v>5186</v>
      </c>
      <c r="L1176" s="28" t="s">
        <v>5165</v>
      </c>
      <c r="M1176" s="56" t="s">
        <v>12594</v>
      </c>
      <c r="N1176" s="59">
        <v>44540.486805555556</v>
      </c>
      <c r="O1176" s="58">
        <v>37966.0</v>
      </c>
      <c r="P1176" s="28">
        <f t="shared" si="33"/>
        <v>22</v>
      </c>
      <c r="Q1176" s="28" t="s">
        <v>12595</v>
      </c>
      <c r="R1176" s="28" t="s">
        <v>12596</v>
      </c>
      <c r="S1176" s="28"/>
      <c r="T1176" s="28"/>
      <c r="U1176" s="28"/>
      <c r="V1176" s="28"/>
      <c r="W1176" s="28" t="s">
        <v>380</v>
      </c>
      <c r="X1176" s="28" t="s">
        <v>381</v>
      </c>
      <c r="Y1176" s="28" t="s">
        <v>12597</v>
      </c>
      <c r="Z1176" s="28" t="s">
        <v>5272</v>
      </c>
      <c r="AA1176" s="28" t="s">
        <v>629</v>
      </c>
      <c r="AB1176" s="28" t="s">
        <v>5221</v>
      </c>
      <c r="AC1176" s="28" t="s">
        <v>25</v>
      </c>
      <c r="AD1176" s="23"/>
      <c r="AE1176" s="28" t="s">
        <v>10</v>
      </c>
      <c r="AF1176" s="23" t="str">
        <f>IFERROR(__xludf.DUMMYFUNCTION("TEXTJOIN("", "", TRUE,
  FILTER(Champions!C:C,
    ISNUMBER(SEARCH(C1176, Champions!W:W))
  )
)"),"Loic Uriel Nguoghia")</f>
        <v>Loic Uriel Nguoghia</v>
      </c>
      <c r="AG1176" s="23"/>
      <c r="AH1176" s="23" t="str">
        <f>IFERROR(__xludf.DUMMYFUNCTION("IF(
ISNUMBER(MATCH(
C1176,
IMPORTRANGE(""https://docs.google.com/spreadsheets/d/1yTh1ELC33JHYOeEdgIiEclxPRyh0zOKtlawDltfUay8"",""'Interns'!A:A""),
0
)),
""Outreach Conducted"",
"""")"),"")</f>
        <v/>
      </c>
      <c r="AI1176" s="23"/>
      <c r="AJ1176" s="23"/>
      <c r="AK1176" s="23" t="str">
        <f>IFERROR(__xludf.DUMMYFUNCTION("XLOOKUP(C1176, 
   IMPORTRANGE(""1RdEdgHYrZ33LJ7RUHj_h-qkAFL92bcVjtIdVa-UlsCw"", ""Interns!D:D""), 
   IMPORTRANGE(""1RdEdgHYrZ33LJ7RUHj_h-qkAFL92bcVjtIdVa-UlsCw"", ""Interns!M:M""), 
   ""Not Found"")"),"")</f>
        <v/>
      </c>
      <c r="AL1176" s="23" t="str">
        <f>IFERROR(__xludf.DUMMYFUNCTION("XLOOKUP(C1176, 
   IMPORTRANGE(""1RdEdgHYrZ33LJ7RUHj_h-qkAFL92bcVjtIdVa-UlsCw"", ""Interns!D:D""), 
   IMPORTRANGE(""1RdEdgHYrZ33LJ7RUHj_h-qkAFL92bcVjtIdVa-UlsCw"", ""Interns!N:N""), 
   ""Not Found"")"),"")</f>
        <v/>
      </c>
      <c r="AM1176" s="23" t="str">
        <f>IFERROR(__xludf.DUMMYFUNCTION("XLOOKUP(C1176, 
   IMPORTRANGE(""1RdEdgHYrZ33LJ7RUHj_h-qkAFL92bcVjtIdVa-UlsCw"", ""Interns!D:D""), 
   IMPORTRANGE(""1RdEdgHYrZ33LJ7RUHj_h-qkAFL92bcVjtIdVa-UlsCw"", ""Interns!O:O""), 
   ""Not Found"")"),"")</f>
        <v/>
      </c>
      <c r="AN1176" s="23"/>
      <c r="AO1176" s="23" t="s">
        <v>12598</v>
      </c>
      <c r="AP1176" s="28" t="s">
        <v>5191</v>
      </c>
      <c r="AQ1176" s="28" t="s">
        <v>12599</v>
      </c>
      <c r="AR1176" s="23" t="s">
        <v>12600</v>
      </c>
      <c r="AS1176" s="23"/>
      <c r="AT1176" s="23"/>
      <c r="AU1176" s="23"/>
      <c r="AV1176" s="23"/>
    </row>
    <row r="1177">
      <c r="A1177" s="28" t="s">
        <v>5161</v>
      </c>
      <c r="B1177" s="28" t="s">
        <v>5162</v>
      </c>
      <c r="C1177" s="23" t="str">
        <f t="shared" si="1"/>
        <v>Emmanuella (Ella) Roberts</v>
      </c>
      <c r="D1177" s="22" t="s">
        <v>12601</v>
      </c>
      <c r="E1177" s="22" t="s">
        <v>743</v>
      </c>
      <c r="F1177" s="23"/>
      <c r="G1177" s="23"/>
      <c r="H1177" s="22">
        <v>1881.0</v>
      </c>
      <c r="I1177" s="28" t="s">
        <v>260</v>
      </c>
      <c r="J1177" s="28" t="s">
        <v>12602</v>
      </c>
      <c r="K1177" s="28" t="s">
        <v>5245</v>
      </c>
      <c r="L1177" s="28" t="s">
        <v>5196</v>
      </c>
      <c r="M1177" s="29" t="s">
        <v>12603</v>
      </c>
      <c r="N1177" s="22" t="s">
        <v>240</v>
      </c>
      <c r="O1177" s="25">
        <v>45855.0</v>
      </c>
      <c r="P1177" s="28">
        <f t="shared" si="33"/>
        <v>0</v>
      </c>
      <c r="Q1177" s="62" t="s">
        <v>240</v>
      </c>
      <c r="R1177" s="22" t="s">
        <v>12604</v>
      </c>
      <c r="S1177" s="28">
        <v>11.0</v>
      </c>
      <c r="T1177" s="28">
        <v>23.0</v>
      </c>
      <c r="U1177" s="28">
        <v>61.0</v>
      </c>
      <c r="V1177" s="28">
        <v>49.0</v>
      </c>
      <c r="W1177" s="28" t="s">
        <v>9112</v>
      </c>
      <c r="X1177" s="28" t="s">
        <v>272</v>
      </c>
      <c r="Y1177" s="22" t="s">
        <v>12605</v>
      </c>
      <c r="Z1177" s="22" t="s">
        <v>5822</v>
      </c>
      <c r="AA1177" s="28" t="s">
        <v>5822</v>
      </c>
      <c r="AB1177" s="28">
        <v>30.0</v>
      </c>
      <c r="AC1177" s="28" t="s">
        <v>27</v>
      </c>
      <c r="AD1177" s="23"/>
      <c r="AE1177" s="28" t="s">
        <v>20</v>
      </c>
      <c r="AF1177" s="23"/>
      <c r="AG1177" s="23"/>
      <c r="AH1177" s="23" t="str">
        <f>IFERROR(__xludf.DUMMYFUNCTION("IF(
ISNUMBER(MATCH(
C1177,
IMPORTRANGE(""https://docs.google.com/spreadsheets/d/1yTh1ELC33JHYOeEdgIiEclxPRyh0zOKtlawDltfUay8"",""'Interns'!A:A""),
0
)),
""Outreach Conducted"",
"""")"),"")</f>
        <v/>
      </c>
      <c r="AI1177" s="23"/>
      <c r="AJ1177" s="23"/>
      <c r="AK1177" s="23"/>
      <c r="AL1177" s="23" t="str">
        <f>IFERROR(__xludf.DUMMYFUNCTION("XLOOKUP(C1177, 
   IMPORTRANGE(""1RdEdgHYrZ33LJ7RUHj_h-qkAFL92bcVjtIdVa-UlsCw"", ""Interns!D:D""), 
   IMPORTRANGE(""1RdEdgHYrZ33LJ7RUHj_h-qkAFL92bcVjtIdVa-UlsCw"", ""Interns!N:N""), 
   ""Not Found"")"),"Not Found")</f>
        <v>Not Found</v>
      </c>
      <c r="AM1177" s="23" t="str">
        <f>IFERROR(__xludf.DUMMYFUNCTION("XLOOKUP(C1177, 
   IMPORTRANGE(""1RdEdgHYrZ33LJ7RUHj_h-qkAFL92bcVjtIdVa-UlsCw"", ""Interns!D:D""), 
   IMPORTRANGE(""1RdEdgHYrZ33LJ7RUHj_h-qkAFL92bcVjtIdVa-UlsCw"", ""Interns!O:O""), 
   ""Not Found"")"),"Not Found")</f>
        <v>Not Found</v>
      </c>
      <c r="AN1177" s="23"/>
      <c r="AO1177" s="23" t="s">
        <v>12606</v>
      </c>
      <c r="AP1177" s="28" t="s">
        <v>5191</v>
      </c>
      <c r="AQ1177" s="28" t="s">
        <v>12607</v>
      </c>
      <c r="AR1177" s="23" t="s">
        <v>12608</v>
      </c>
      <c r="AS1177" s="23"/>
      <c r="AT1177" s="23"/>
      <c r="AU1177" s="23"/>
      <c r="AV1177" s="23"/>
    </row>
    <row r="1178">
      <c r="A1178" s="28" t="s">
        <v>5161</v>
      </c>
      <c r="B1178" s="28" t="s">
        <v>5162</v>
      </c>
      <c r="C1178" s="23" t="str">
        <f t="shared" si="1"/>
        <v>Diore Philips</v>
      </c>
      <c r="D1178" s="28" t="s">
        <v>12609</v>
      </c>
      <c r="E1178" s="28" t="s">
        <v>12610</v>
      </c>
      <c r="F1178" s="23">
        <f t="array" ref="F1178">IFERROR(
    INDEX('Hub Interns 226'!A:A, MATCH(C1178, 'Hub Interns 226'!B:B, 0)),"")</f>
        <v>932</v>
      </c>
      <c r="G1178" s="23">
        <f t="array" ref="G1178">IFERROR(
    INDEX('Hub Users 226'!A:A, MATCH(C1178, 'Hub Users 226'!B:B, 0)),"")</f>
        <v>1365</v>
      </c>
      <c r="H1178" s="28">
        <v>1445.0</v>
      </c>
      <c r="I1178" s="28"/>
      <c r="J1178" s="28" t="s">
        <v>12611</v>
      </c>
      <c r="K1178" s="28" t="s">
        <v>5177</v>
      </c>
      <c r="L1178" s="28" t="s">
        <v>6647</v>
      </c>
      <c r="M1178" s="56" t="s">
        <v>12612</v>
      </c>
      <c r="N1178" s="59">
        <v>44918.490277777775</v>
      </c>
      <c r="O1178" s="58">
        <v>39701.0</v>
      </c>
      <c r="P1178" s="28">
        <f t="shared" si="33"/>
        <v>17</v>
      </c>
      <c r="Q1178" s="28" t="s">
        <v>240</v>
      </c>
      <c r="R1178" s="28" t="s">
        <v>12613</v>
      </c>
      <c r="S1178" s="28">
        <v>13.0</v>
      </c>
      <c r="T1178" s="28">
        <v>33.0</v>
      </c>
      <c r="U1178" s="28">
        <v>78.0</v>
      </c>
      <c r="V1178" s="28">
        <v>15.0</v>
      </c>
      <c r="W1178" s="28" t="s">
        <v>859</v>
      </c>
      <c r="X1178" s="28" t="s">
        <v>272</v>
      </c>
      <c r="Y1178" s="28" t="s">
        <v>12614</v>
      </c>
      <c r="Z1178" s="28" t="s">
        <v>7785</v>
      </c>
      <c r="AA1178" s="28" t="s">
        <v>5871</v>
      </c>
      <c r="AB1178" s="28">
        <v>31.0</v>
      </c>
      <c r="AC1178" s="28" t="s">
        <v>23</v>
      </c>
      <c r="AD1178" s="23"/>
      <c r="AE1178" s="28" t="s">
        <v>15</v>
      </c>
      <c r="AF1178" s="23"/>
      <c r="AG1178" s="23"/>
      <c r="AH1178" s="23" t="str">
        <f>IFERROR(__xludf.DUMMYFUNCTION("IF(
ISNUMBER(MATCH(
C1178,
IMPORTRANGE(""https://docs.google.com/spreadsheets/d/1yTh1ELC33JHYOeEdgIiEclxPRyh0zOKtlawDltfUay8"",""'Interns'!A:A""),
0
)),
""Outreach Conducted"",
"""")"),"")</f>
        <v/>
      </c>
      <c r="AI1178" s="23"/>
      <c r="AJ1178" s="23"/>
      <c r="AK1178" s="23" t="str">
        <f>IFERROR(__xludf.DUMMYFUNCTION("XLOOKUP(C1178, 
   IMPORTRANGE(""1RdEdgHYrZ33LJ7RUHj_h-qkAFL92bcVjtIdVa-UlsCw"", ""Interns!D:D""), 
   IMPORTRANGE(""1RdEdgHYrZ33LJ7RUHj_h-qkAFL92bcVjtIdVa-UlsCw"", ""Interns!M:M""), 
   ""Not Found"")"),"Contacted")</f>
        <v>Contacted</v>
      </c>
      <c r="AL1178" s="23" t="str">
        <f>IFERROR(__xludf.DUMMYFUNCTION("XLOOKUP(C1178, 
   IMPORTRANGE(""1RdEdgHYrZ33LJ7RUHj_h-qkAFL92bcVjtIdVa-UlsCw"", ""Interns!D:D""), 
   IMPORTRANGE(""1RdEdgHYrZ33LJ7RUHj_h-qkAFL92bcVjtIdVa-UlsCw"", ""Interns!N:N""), 
   ""Not Found"")"),"#Cheers4Careers")</f>
        <v>#Cheers4Careers</v>
      </c>
      <c r="AM1178" s="23" t="str">
        <f>IFERROR(__xludf.DUMMYFUNCTION("XLOOKUP(C1178, 
   IMPORTRANGE(""1RdEdgHYrZ33LJ7RUHj_h-qkAFL92bcVjtIdVa-UlsCw"", ""Interns!D:D""), 
   IMPORTRANGE(""1RdEdgHYrZ33LJ7RUHj_h-qkAFL92bcVjtIdVa-UlsCw"", ""Interns!O:O""), 
   ""Not Found"")"),"Hetal reached out March 27 for March #Cheers4 Careers ")</f>
        <v>Hetal reached out March 27 for March #Cheers4 Careers </v>
      </c>
      <c r="AN1178" s="23"/>
      <c r="AO1178" s="23" t="s">
        <v>12615</v>
      </c>
      <c r="AP1178" s="28" t="s">
        <v>5182</v>
      </c>
      <c r="AQ1178" s="28"/>
      <c r="AR1178" s="23"/>
      <c r="AS1178" s="23"/>
      <c r="AT1178" s="23"/>
      <c r="AU1178" s="23"/>
      <c r="AV1178" s="23"/>
    </row>
    <row r="1179">
      <c r="A1179" s="28" t="s">
        <v>5161</v>
      </c>
      <c r="B1179" s="28" t="s">
        <v>5162</v>
      </c>
      <c r="C1179" s="23" t="str">
        <f t="shared" si="1"/>
        <v>Islam Aldodoo</v>
      </c>
      <c r="D1179" s="28" t="s">
        <v>5674</v>
      </c>
      <c r="E1179" s="28" t="s">
        <v>12616</v>
      </c>
      <c r="F1179" s="23">
        <f t="array" ref="F1179">IFERROR(
    INDEX('Hub Interns 226'!A:A, MATCH(C1179, 'Hub Interns 226'!B:B, 0)),"")</f>
        <v>600</v>
      </c>
      <c r="G1179" s="23">
        <f t="array" ref="G1179">IFERROR(
    INDEX('Hub Users 226'!A:A, MATCH(C1179, 'Hub Users 226'!B:B, 0)),"")</f>
        <v>1033</v>
      </c>
      <c r="H1179" s="28">
        <v>256.0</v>
      </c>
      <c r="I1179" s="28" t="s">
        <v>260</v>
      </c>
      <c r="J1179" s="28" t="s">
        <v>12617</v>
      </c>
      <c r="K1179" s="28" t="s">
        <v>5245</v>
      </c>
      <c r="L1179" s="28" t="s">
        <v>5196</v>
      </c>
      <c r="M1179" s="56" t="s">
        <v>12618</v>
      </c>
      <c r="N1179" s="57">
        <v>44174.69236111111</v>
      </c>
      <c r="O1179" s="58">
        <v>37781.0</v>
      </c>
      <c r="P1179" s="28">
        <f t="shared" si="33"/>
        <v>22</v>
      </c>
      <c r="Q1179" s="28" t="s">
        <v>240</v>
      </c>
      <c r="R1179" s="28" t="s">
        <v>12619</v>
      </c>
      <c r="S1179" s="28"/>
      <c r="T1179" s="28"/>
      <c r="U1179" s="28"/>
      <c r="V1179" s="28"/>
      <c r="W1179" s="28" t="s">
        <v>380</v>
      </c>
      <c r="X1179" s="28" t="s">
        <v>381</v>
      </c>
      <c r="Y1179" s="28">
        <v>2.675969817E9</v>
      </c>
      <c r="Z1179" s="28" t="s">
        <v>5272</v>
      </c>
      <c r="AA1179" s="28" t="s">
        <v>629</v>
      </c>
      <c r="AB1179" s="28" t="s">
        <v>5221</v>
      </c>
      <c r="AC1179" s="28" t="s">
        <v>25</v>
      </c>
      <c r="AD1179" s="23"/>
      <c r="AE1179" s="28" t="s">
        <v>8</v>
      </c>
      <c r="AF1179" s="23" t="str">
        <f>IFERROR(__xludf.DUMMYFUNCTION("TEXTJOIN("", "", TRUE,
  FILTER(Champions!C:C,
    ISNUMBER(SEARCH(C1179, Champions!W:W))
  )
)"),"Divya Jani, Otito Frances Iwuchukwu, Rachel Schochet")</f>
        <v>Divya Jani, Otito Frances Iwuchukwu, Rachel Schochet</v>
      </c>
      <c r="AG1179" s="23"/>
      <c r="AH1179" s="23" t="str">
        <f>IFERROR(__xludf.DUMMYFUNCTION("IF(
ISNUMBER(MATCH(
C1179,
IMPORTRANGE(""https://docs.google.com/spreadsheets/d/1yTh1ELC33JHYOeEdgIiEclxPRyh0zOKtlawDltfUay8"",""'Interns'!A:A""),
0
)),
""Outreach Conducted"",
"""")"),"")</f>
        <v/>
      </c>
      <c r="AI1179" s="23"/>
      <c r="AJ1179" s="23"/>
      <c r="AK1179" s="23" t="str">
        <f>IFERROR(__xludf.DUMMYFUNCTION("XLOOKUP(C1179, 
   IMPORTRANGE(""1RdEdgHYrZ33LJ7RUHj_h-qkAFL92bcVjtIdVa-UlsCw"", ""Interns!D:D""), 
   IMPORTRANGE(""1RdEdgHYrZ33LJ7RUHj_h-qkAFL92bcVjtIdVa-UlsCw"", ""Interns!M:M""), 
   ""Not Found"")"),"")</f>
        <v/>
      </c>
      <c r="AL1179" s="23" t="str">
        <f>IFERROR(__xludf.DUMMYFUNCTION("XLOOKUP(C1179, 
   IMPORTRANGE(""1RdEdgHYrZ33LJ7RUHj_h-qkAFL92bcVjtIdVa-UlsCw"", ""Interns!D:D""), 
   IMPORTRANGE(""1RdEdgHYrZ33LJ7RUHj_h-qkAFL92bcVjtIdVa-UlsCw"", ""Interns!N:N""), 
   ""Not Found"")"),"")</f>
        <v/>
      </c>
      <c r="AM1179" s="23" t="str">
        <f>IFERROR(__xludf.DUMMYFUNCTION("XLOOKUP(C1179, 
   IMPORTRANGE(""1RdEdgHYrZ33LJ7RUHj_h-qkAFL92bcVjtIdVa-UlsCw"", ""Interns!D:D""), 
   IMPORTRANGE(""1RdEdgHYrZ33LJ7RUHj_h-qkAFL92bcVjtIdVa-UlsCw"", ""Interns!O:O""), 
   ""Not Found"")"),"")</f>
        <v/>
      </c>
      <c r="AN1179" s="23"/>
      <c r="AO1179" s="23" t="s">
        <v>12620</v>
      </c>
      <c r="AP1179" s="28" t="s">
        <v>5191</v>
      </c>
      <c r="AQ1179" s="28" t="s">
        <v>12621</v>
      </c>
      <c r="AR1179" s="23">
        <v>1.2158249372E10</v>
      </c>
      <c r="AS1179" s="23"/>
      <c r="AT1179" s="23"/>
      <c r="AU1179" s="23"/>
      <c r="AV1179" s="23"/>
    </row>
    <row r="1180">
      <c r="A1180" s="28" t="s">
        <v>5161</v>
      </c>
      <c r="B1180" s="28" t="s">
        <v>5162</v>
      </c>
      <c r="C1180" s="23" t="str">
        <f t="shared" si="1"/>
        <v>Julia Aliessa</v>
      </c>
      <c r="D1180" s="28" t="s">
        <v>1864</v>
      </c>
      <c r="E1180" s="28" t="s">
        <v>12253</v>
      </c>
      <c r="F1180" s="23">
        <f t="array" ref="F1180">IFERROR(
    INDEX('Hub Interns 226'!A:A, MATCH(C1180, 'Hub Interns 226'!B:B, 0)),"")</f>
        <v>94</v>
      </c>
      <c r="G1180" s="23">
        <f t="array" ref="G1180">IFERROR(
    INDEX('Hub Users 226'!A:A, MATCH(C1180, 'Hub Users 226'!B:B, 0)),"")</f>
        <v>527</v>
      </c>
      <c r="H1180" s="28">
        <v>1482.0</v>
      </c>
      <c r="I1180" s="28" t="s">
        <v>260</v>
      </c>
      <c r="J1180" s="28" t="s">
        <v>12622</v>
      </c>
      <c r="K1180" s="28" t="s">
        <v>5186</v>
      </c>
      <c r="L1180" s="28" t="s">
        <v>5196</v>
      </c>
      <c r="M1180" s="56" t="s">
        <v>12254</v>
      </c>
      <c r="N1180" s="57">
        <v>44939.61944444444</v>
      </c>
      <c r="O1180" s="58">
        <v>38927.0</v>
      </c>
      <c r="P1180" s="28">
        <f t="shared" si="33"/>
        <v>19</v>
      </c>
      <c r="Q1180" s="28" t="s">
        <v>12255</v>
      </c>
      <c r="R1180" s="28" t="s">
        <v>12256</v>
      </c>
      <c r="S1180" s="28">
        <v>10.0</v>
      </c>
      <c r="T1180" s="28">
        <v>27.0</v>
      </c>
      <c r="U1180" s="28">
        <v>66.0</v>
      </c>
      <c r="V1180" s="28">
        <v>2.0</v>
      </c>
      <c r="W1180" s="28" t="s">
        <v>271</v>
      </c>
      <c r="X1180" s="28" t="s">
        <v>272</v>
      </c>
      <c r="Y1180" s="28" t="s">
        <v>12257</v>
      </c>
      <c r="Z1180" s="28" t="s">
        <v>5259</v>
      </c>
      <c r="AA1180" s="28" t="s">
        <v>704</v>
      </c>
      <c r="AB1180" s="28">
        <v>2.0</v>
      </c>
      <c r="AC1180" s="28" t="s">
        <v>25</v>
      </c>
      <c r="AD1180" s="23"/>
      <c r="AE1180" s="28" t="s">
        <v>15</v>
      </c>
      <c r="AF1180" s="23" t="str">
        <f>IFERROR(__xludf.DUMMYFUNCTION("TEXTJOIN("", "", TRUE,
  FILTER(Champions!C:C,
    ISNUMBER(SEARCH(C1180, Champions!W:W))
  )
)"),"Jennifer Nguyen, Prithvi Mattur")</f>
        <v>Jennifer Nguyen, Prithvi Mattur</v>
      </c>
      <c r="AG1180" s="23"/>
      <c r="AH1180" s="23" t="str">
        <f>IFERROR(__xludf.DUMMYFUNCTION("IF(
ISNUMBER(MATCH(
C1180,
IMPORTRANGE(""https://docs.google.com/spreadsheets/d/1yTh1ELC33JHYOeEdgIiEclxPRyh0zOKtlawDltfUay8"",""'Interns'!A:A""),
0
)),
""Outreach Conducted"",
"""")"),"")</f>
        <v/>
      </c>
      <c r="AI1180" s="23"/>
      <c r="AJ1180" s="23"/>
      <c r="AK1180" s="23" t="str">
        <f>IFERROR(__xludf.DUMMYFUNCTION("XLOOKUP(C1180, 
   IMPORTRANGE(""1RdEdgHYrZ33LJ7RUHj_h-qkAFL92bcVjtIdVa-UlsCw"", ""Interns!D:D""), 
   IMPORTRANGE(""1RdEdgHYrZ33LJ7RUHj_h-qkAFL92bcVjtIdVa-UlsCw"", ""Interns!M:M""), 
   ""Not Found"")"),"")</f>
        <v/>
      </c>
      <c r="AL1180" s="23" t="str">
        <f>IFERROR(__xludf.DUMMYFUNCTION("XLOOKUP(C1180, 
   IMPORTRANGE(""1RdEdgHYrZ33LJ7RUHj_h-qkAFL92bcVjtIdVa-UlsCw"", ""Interns!D:D""), 
   IMPORTRANGE(""1RdEdgHYrZ33LJ7RUHj_h-qkAFL92bcVjtIdVa-UlsCw"", ""Interns!N:N""), 
   ""Not Found"")"),"")</f>
        <v/>
      </c>
      <c r="AM1180" s="23" t="str">
        <f>IFERROR(__xludf.DUMMYFUNCTION("XLOOKUP(C1180, 
   IMPORTRANGE(""1RdEdgHYrZ33LJ7RUHj_h-qkAFL92bcVjtIdVa-UlsCw"", ""Interns!D:D""), 
   IMPORTRANGE(""1RdEdgHYrZ33LJ7RUHj_h-qkAFL92bcVjtIdVa-UlsCw"", ""Interns!O:O""), 
   ""Not Found"")"),"")</f>
        <v/>
      </c>
      <c r="AN1180" s="23"/>
      <c r="AO1180" s="23" t="s">
        <v>12259</v>
      </c>
      <c r="AP1180" s="28" t="s">
        <v>5908</v>
      </c>
      <c r="AQ1180" s="28" t="s">
        <v>12260</v>
      </c>
      <c r="AR1180" s="23" t="s">
        <v>12261</v>
      </c>
      <c r="AS1180" s="23"/>
      <c r="AT1180" s="23"/>
      <c r="AU1180" s="23"/>
      <c r="AV1180" s="23"/>
    </row>
    <row r="1181">
      <c r="A1181" s="28" t="s">
        <v>5161</v>
      </c>
      <c r="B1181" s="28" t="s">
        <v>5162</v>
      </c>
      <c r="C1181" s="23" t="str">
        <f t="shared" si="1"/>
        <v>Khadijeh Moaddal</v>
      </c>
      <c r="D1181" s="28" t="s">
        <v>12623</v>
      </c>
      <c r="E1181" s="28" t="s">
        <v>12624</v>
      </c>
      <c r="F1181" s="23" t="str">
        <f t="array" ref="F1181">IFERROR(
    INDEX('Hub Interns 226'!A:A, MATCH(C1181, 'Hub Interns 226'!B:B, 0)),"")</f>
        <v/>
      </c>
      <c r="G1181" s="23" t="str">
        <f t="array" ref="G1181">IFERROR(
    INDEX('Hub Users 226'!A:A, MATCH(C1181, 'Hub Users 226'!B:B, 0)),"")</f>
        <v/>
      </c>
      <c r="H1181" s="28">
        <v>30.0</v>
      </c>
      <c r="I1181" s="28"/>
      <c r="J1181" s="28" t="s">
        <v>12622</v>
      </c>
      <c r="K1181" s="28" t="s">
        <v>5186</v>
      </c>
      <c r="L1181" s="28" t="s">
        <v>5196</v>
      </c>
      <c r="M1181" s="28"/>
      <c r="N1181" s="57">
        <v>43741.63055555556</v>
      </c>
      <c r="O1181" s="58"/>
      <c r="P1181" s="28"/>
      <c r="Q1181" s="28" t="s">
        <v>240</v>
      </c>
      <c r="R1181" s="23"/>
      <c r="S1181" s="28"/>
      <c r="T1181" s="28"/>
      <c r="U1181" s="28"/>
      <c r="V1181" s="28"/>
      <c r="W1181" s="28" t="s">
        <v>380</v>
      </c>
      <c r="X1181" s="28" t="s">
        <v>381</v>
      </c>
      <c r="Y1181" s="28">
        <v>2.674693856E9</v>
      </c>
      <c r="Z1181" s="28" t="s">
        <v>5491</v>
      </c>
      <c r="AA1181" s="28" t="s">
        <v>5492</v>
      </c>
      <c r="AB1181" s="28">
        <v>47.0</v>
      </c>
      <c r="AC1181" s="28" t="s">
        <v>25</v>
      </c>
      <c r="AD1181" s="23"/>
      <c r="AE1181" s="28" t="s">
        <v>4</v>
      </c>
      <c r="AF1181" s="23" t="str">
        <f>IFERROR(__xludf.DUMMYFUNCTION("TEXTJOIN("", "", TRUE,
  FILTER(Champions!C:C,
    ISNUMBER(SEARCH(C1181, Champions!W:W))
  )
)"),"#N/A")</f>
        <v>#N/A</v>
      </c>
      <c r="AG1181" s="23"/>
      <c r="AH1181" s="23" t="str">
        <f>IFERROR(__xludf.DUMMYFUNCTION("IF(
ISNUMBER(MATCH(
C1181,
IMPORTRANGE(""https://docs.google.com/spreadsheets/d/1yTh1ELC33JHYOeEdgIiEclxPRyh0zOKtlawDltfUay8"",""'Interns'!A:A""),
0
)),
""Outreach Conducted"",
"""")"),"")</f>
        <v/>
      </c>
      <c r="AI1181" s="23"/>
      <c r="AJ1181" s="23"/>
      <c r="AK1181" s="23" t="str">
        <f>IFERROR(__xludf.DUMMYFUNCTION("XLOOKUP(C1181, 
   IMPORTRANGE(""1RdEdgHYrZ33LJ7RUHj_h-qkAFL92bcVjtIdVa-UlsCw"", ""Interns!D:D""), 
   IMPORTRANGE(""1RdEdgHYrZ33LJ7RUHj_h-qkAFL92bcVjtIdVa-UlsCw"", ""Interns!M:M""), 
   ""Not Found"")"),"")</f>
        <v/>
      </c>
      <c r="AL1181" s="23" t="str">
        <f>IFERROR(__xludf.DUMMYFUNCTION("XLOOKUP(C1181, 
   IMPORTRANGE(""1RdEdgHYrZ33LJ7RUHj_h-qkAFL92bcVjtIdVa-UlsCw"", ""Interns!D:D""), 
   IMPORTRANGE(""1RdEdgHYrZ33LJ7RUHj_h-qkAFL92bcVjtIdVa-UlsCw"", ""Interns!N:N""), 
   ""Not Found"")"),"")</f>
        <v/>
      </c>
      <c r="AM1181" s="23" t="str">
        <f>IFERROR(__xludf.DUMMYFUNCTION("XLOOKUP(C1181, 
   IMPORTRANGE(""1RdEdgHYrZ33LJ7RUHj_h-qkAFL92bcVjtIdVa-UlsCw"", ""Interns!D:D""), 
   IMPORTRANGE(""1RdEdgHYrZ33LJ7RUHj_h-qkAFL92bcVjtIdVa-UlsCw"", ""Interns!O:O""), 
   ""Not Found"")"),"")</f>
        <v/>
      </c>
      <c r="AN1181" s="23"/>
      <c r="AO1181" s="23" t="s">
        <v>12625</v>
      </c>
      <c r="AP1181" s="28" t="s">
        <v>5191</v>
      </c>
      <c r="AQ1181" s="28" t="s">
        <v>12625</v>
      </c>
      <c r="AR1181" s="23">
        <v>2.674693856E9</v>
      </c>
      <c r="AS1181" s="23"/>
      <c r="AT1181" s="23"/>
      <c r="AU1181" s="23"/>
      <c r="AV1181" s="23"/>
    </row>
    <row r="1182">
      <c r="A1182" s="28" t="s">
        <v>5161</v>
      </c>
      <c r="B1182" s="28" t="s">
        <v>5162</v>
      </c>
      <c r="C1182" s="23" t="str">
        <f t="shared" si="1"/>
        <v>Akhmadzhon Vakhidov</v>
      </c>
      <c r="D1182" s="28" t="s">
        <v>12626</v>
      </c>
      <c r="E1182" s="28" t="s">
        <v>12627</v>
      </c>
      <c r="F1182" s="23" t="str">
        <f t="array" ref="F1182">IFERROR(
    INDEX('Hub Interns 226'!A:A, MATCH(C1182, 'Hub Interns 226'!B:B, 0)),"")</f>
        <v/>
      </c>
      <c r="G1182" s="23">
        <f t="array" ref="G1182">IFERROR(
    INDEX('Hub Users 226'!A:A, MATCH(C1182, 'Hub Users 226'!B:B, 0)),"")</f>
        <v>601</v>
      </c>
      <c r="H1182" s="28">
        <v>255.0</v>
      </c>
      <c r="I1182" s="28" t="s">
        <v>239</v>
      </c>
      <c r="J1182" s="28" t="s">
        <v>12628</v>
      </c>
      <c r="K1182" s="28" t="s">
        <v>5186</v>
      </c>
      <c r="L1182" s="28" t="s">
        <v>5165</v>
      </c>
      <c r="M1182" s="56" t="s">
        <v>12629</v>
      </c>
      <c r="N1182" s="57">
        <v>44167.53402777778</v>
      </c>
      <c r="O1182" s="58">
        <v>37553.0</v>
      </c>
      <c r="P1182" s="28">
        <f t="shared" ref="P1182:P1201" si="34">DATEDIF(O1182, TODAY(), "Y")</f>
        <v>23</v>
      </c>
      <c r="Q1182" s="28" t="s">
        <v>12630</v>
      </c>
      <c r="R1182" s="28" t="s">
        <v>12631</v>
      </c>
      <c r="S1182" s="28"/>
      <c r="T1182" s="28"/>
      <c r="U1182" s="28"/>
      <c r="V1182" s="28"/>
      <c r="W1182" s="28" t="s">
        <v>380</v>
      </c>
      <c r="X1182" s="28" t="s">
        <v>381</v>
      </c>
      <c r="Y1182" s="28">
        <v>2.676002577E9</v>
      </c>
      <c r="Z1182" s="28" t="s">
        <v>5272</v>
      </c>
      <c r="AA1182" s="28" t="s">
        <v>629</v>
      </c>
      <c r="AB1182" s="28" t="s">
        <v>5221</v>
      </c>
      <c r="AC1182" s="28" t="s">
        <v>25</v>
      </c>
      <c r="AD1182" s="23"/>
      <c r="AE1182" s="28" t="s">
        <v>8</v>
      </c>
      <c r="AF1182" s="23" t="str">
        <f>IFERROR(__xludf.DUMMYFUNCTION("TEXTJOIN("", "", TRUE,
  FILTER(Champions!C:C,
    ISNUMBER(SEARCH(C1182, Champions!W:W))
  )
)"),"Melody Jia Fang, Weston Uribe, Bertha deLanda")</f>
        <v>Melody Jia Fang, Weston Uribe, Bertha deLanda</v>
      </c>
      <c r="AG1182" s="23"/>
      <c r="AH1182" s="23" t="str">
        <f>IFERROR(__xludf.DUMMYFUNCTION("IF(
ISNUMBER(MATCH(
C1182,
IMPORTRANGE(""https://docs.google.com/spreadsheets/d/1yTh1ELC33JHYOeEdgIiEclxPRyh0zOKtlawDltfUay8"",""'Interns'!A:A""),
0
)),
""Outreach Conducted"",
"""")"),"")</f>
        <v/>
      </c>
      <c r="AI1182" s="23"/>
      <c r="AJ1182" s="23"/>
      <c r="AK1182" s="23" t="str">
        <f>IFERROR(__xludf.DUMMYFUNCTION("XLOOKUP(C1182, 
   IMPORTRANGE(""1RdEdgHYrZ33LJ7RUHj_h-qkAFL92bcVjtIdVa-UlsCw"", ""Interns!D:D""), 
   IMPORTRANGE(""1RdEdgHYrZ33LJ7RUHj_h-qkAFL92bcVjtIdVa-UlsCw"", ""Interns!M:M""), 
   ""Not Found"")"),"")</f>
        <v/>
      </c>
      <c r="AL1182" s="23" t="str">
        <f>IFERROR(__xludf.DUMMYFUNCTION("XLOOKUP(C1182, 
   IMPORTRANGE(""1RdEdgHYrZ33LJ7RUHj_h-qkAFL92bcVjtIdVa-UlsCw"", ""Interns!D:D""), 
   IMPORTRANGE(""1RdEdgHYrZ33LJ7RUHj_h-qkAFL92bcVjtIdVa-UlsCw"", ""Interns!N:N""), 
   ""Not Found"")"),"")</f>
        <v/>
      </c>
      <c r="AM1182" s="23" t="str">
        <f>IFERROR(__xludf.DUMMYFUNCTION("XLOOKUP(C1182, 
   IMPORTRANGE(""1RdEdgHYrZ33LJ7RUHj_h-qkAFL92bcVjtIdVa-UlsCw"", ""Interns!D:D""), 
   IMPORTRANGE(""1RdEdgHYrZ33LJ7RUHj_h-qkAFL92bcVjtIdVa-UlsCw"", ""Interns!O:O""), 
   ""Not Found"")"),"")</f>
        <v/>
      </c>
      <c r="AN1182" s="23"/>
      <c r="AO1182" s="23" t="s">
        <v>12632</v>
      </c>
      <c r="AP1182" s="28" t="s">
        <v>5191</v>
      </c>
      <c r="AQ1182" s="28" t="s">
        <v>12633</v>
      </c>
      <c r="AR1182" s="23">
        <v>2.159006102E9</v>
      </c>
      <c r="AS1182" s="23"/>
      <c r="AT1182" s="23"/>
      <c r="AU1182" s="23"/>
      <c r="AV1182" s="23"/>
    </row>
    <row r="1183">
      <c r="A1183" s="28" t="s">
        <v>5161</v>
      </c>
      <c r="B1183" s="28" t="s">
        <v>5162</v>
      </c>
      <c r="C1183" s="23" t="str">
        <f t="shared" si="1"/>
        <v>Farkhad (Fark) Mirzoev</v>
      </c>
      <c r="D1183" s="28" t="s">
        <v>12634</v>
      </c>
      <c r="E1183" s="28" t="s">
        <v>12635</v>
      </c>
      <c r="F1183" s="23">
        <f t="array" ref="F1183">IFERROR(
    INDEX('Hub Interns 226'!A:A, MATCH("Fark", 'Hub Interns 226'!B:B, 0)),"")</f>
        <v>1475</v>
      </c>
      <c r="G1183" s="23">
        <f t="array" ref="G1183">IFERROR(
    INDEX('Hub Users 226'!A:A, MATCH("Farkhad Mirzoev", 'Hub Users 226'!B:B, 0)),"")</f>
        <v>2051</v>
      </c>
      <c r="H1183" s="28">
        <v>1835.0</v>
      </c>
      <c r="I1183" s="28" t="s">
        <v>260</v>
      </c>
      <c r="J1183" s="28" t="s">
        <v>12628</v>
      </c>
      <c r="K1183" s="28" t="s">
        <v>5186</v>
      </c>
      <c r="L1183" s="28" t="s">
        <v>5165</v>
      </c>
      <c r="M1183" s="56" t="s">
        <v>12636</v>
      </c>
      <c r="N1183" s="57">
        <v>45503.979166666664</v>
      </c>
      <c r="O1183" s="58"/>
      <c r="P1183" s="28">
        <f t="shared" si="34"/>
        <v>126</v>
      </c>
      <c r="Q1183" s="28" t="s">
        <v>240</v>
      </c>
      <c r="R1183" s="28" t="s">
        <v>12637</v>
      </c>
      <c r="S1183" s="28">
        <v>6.0</v>
      </c>
      <c r="T1183" s="28">
        <v>15.0</v>
      </c>
      <c r="U1183" s="28">
        <v>39.0</v>
      </c>
      <c r="V1183" s="28">
        <v>30.0</v>
      </c>
      <c r="W1183" s="28" t="s">
        <v>1173</v>
      </c>
      <c r="X1183" s="28" t="s">
        <v>272</v>
      </c>
      <c r="Y1183" s="28">
        <v>9.29282566E9</v>
      </c>
      <c r="Z1183" s="23"/>
      <c r="AA1183" s="28" t="s">
        <v>5512</v>
      </c>
      <c r="AB1183" s="28">
        <v>30.0</v>
      </c>
      <c r="AC1183" s="28" t="s">
        <v>23</v>
      </c>
      <c r="AD1183" s="23"/>
      <c r="AE1183" s="28" t="s">
        <v>19</v>
      </c>
      <c r="AF1183" s="23"/>
      <c r="AG1183" s="23"/>
      <c r="AH1183" s="23" t="str">
        <f>IFERROR(__xludf.DUMMYFUNCTION("IF(
ISNUMBER(MATCH(
C1183,
IMPORTRANGE(""https://docs.google.com/spreadsheets/d/1yTh1ELC33JHYOeEdgIiEclxPRyh0zOKtlawDltfUay8"",""'Interns'!A:A""),
0
)),
""Outreach Conducted"",
"""")"),"")</f>
        <v/>
      </c>
      <c r="AI1183" s="23"/>
      <c r="AJ1183" s="23"/>
      <c r="AK1183" s="23" t="str">
        <f>IFERROR(__xludf.DUMMYFUNCTION("XLOOKUP(C1183, 
   IMPORTRANGE(""1RdEdgHYrZ33LJ7RUHj_h-qkAFL92bcVjtIdVa-UlsCw"", ""Interns!D:D""), 
   IMPORTRANGE(""1RdEdgHYrZ33LJ7RUHj_h-qkAFL92bcVjtIdVa-UlsCw"", ""Interns!M:M""), 
   ""Not Found"")"),"Contacted")</f>
        <v>Contacted</v>
      </c>
      <c r="AL1183" s="23" t="str">
        <f>IFERROR(__xludf.DUMMYFUNCTION("XLOOKUP(C1183, 
   IMPORTRANGE(""1RdEdgHYrZ33LJ7RUHj_h-qkAFL92bcVjtIdVa-UlsCw"", ""Interns!D:D""), 
   IMPORTRANGE(""1RdEdgHYrZ33LJ7RUHj_h-qkAFL92bcVjtIdVa-UlsCw"", ""Interns!N:N""), 
   ""Not Found"")"),"#Cheers4Careers")</f>
        <v>#Cheers4Careers</v>
      </c>
      <c r="AM1183" s="23" t="str">
        <f>IFERROR(__xludf.DUMMYFUNCTION("XLOOKUP(C1183,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183" s="23"/>
      <c r="AO1183" s="23" t="s">
        <v>12638</v>
      </c>
      <c r="AP1183" s="28" t="s">
        <v>5182</v>
      </c>
      <c r="AQ1183" s="28" t="s">
        <v>12636</v>
      </c>
      <c r="AR1183" s="23">
        <v>9.175191816E9</v>
      </c>
      <c r="AS1183" s="23"/>
      <c r="AT1183" s="23"/>
      <c r="AU1183" s="23"/>
      <c r="AV1183" s="23"/>
    </row>
    <row r="1184">
      <c r="A1184" s="28" t="s">
        <v>5202</v>
      </c>
      <c r="B1184" s="28" t="s">
        <v>5162</v>
      </c>
      <c r="C1184" s="23" t="str">
        <f t="shared" si="1"/>
        <v>Shirly Sambula</v>
      </c>
      <c r="D1184" s="28" t="s">
        <v>12639</v>
      </c>
      <c r="E1184" s="28" t="s">
        <v>12640</v>
      </c>
      <c r="F1184" s="23">
        <f t="array" ref="F1184">IFERROR(
    INDEX('Hub Interns 226'!A:A, MATCH(C1184, 'Hub Interns 226'!B:B, 0)),"")</f>
        <v>1118</v>
      </c>
      <c r="G1184" s="23">
        <f t="array" ref="G1184">IFERROR(
    INDEX('Hub Users 226'!A:A, MATCH(C1184, 'Hub Users 226'!B:B, 0)),"")</f>
        <v>1551</v>
      </c>
      <c r="H1184" s="28">
        <v>1293.0</v>
      </c>
      <c r="I1184" s="28"/>
      <c r="J1184" s="28" t="s">
        <v>5176</v>
      </c>
      <c r="K1184" s="28" t="s">
        <v>5177</v>
      </c>
      <c r="L1184" s="28" t="s">
        <v>5165</v>
      </c>
      <c r="M1184" s="56" t="s">
        <v>12641</v>
      </c>
      <c r="N1184" s="59">
        <v>44846.47708333333</v>
      </c>
      <c r="O1184" s="58">
        <v>38915.0</v>
      </c>
      <c r="P1184" s="28">
        <f t="shared" si="34"/>
        <v>19</v>
      </c>
      <c r="Q1184" s="28" t="s">
        <v>240</v>
      </c>
      <c r="R1184" s="28" t="s">
        <v>12642</v>
      </c>
      <c r="S1184" s="28">
        <v>15.0</v>
      </c>
      <c r="T1184" s="28">
        <v>29.0</v>
      </c>
      <c r="U1184" s="28">
        <v>77.0</v>
      </c>
      <c r="V1184" s="28">
        <v>16.0</v>
      </c>
      <c r="W1184" s="28" t="s">
        <v>859</v>
      </c>
      <c r="X1184" s="28" t="s">
        <v>272</v>
      </c>
      <c r="Y1184" s="28" t="s">
        <v>12643</v>
      </c>
      <c r="Z1184" s="28" t="s">
        <v>5918</v>
      </c>
      <c r="AA1184" s="28" t="s">
        <v>477</v>
      </c>
      <c r="AB1184" s="28">
        <v>15.0</v>
      </c>
      <c r="AC1184" s="28" t="s">
        <v>23</v>
      </c>
      <c r="AD1184" s="23"/>
      <c r="AE1184" s="28" t="s">
        <v>15</v>
      </c>
      <c r="AF1184" s="23"/>
      <c r="AG1184" s="23"/>
      <c r="AH1184" s="23" t="str">
        <f>IFERROR(__xludf.DUMMYFUNCTION("IF(
ISNUMBER(MATCH(
C1184,
IMPORTRANGE(""https://docs.google.com/spreadsheets/d/1yTh1ELC33JHYOeEdgIiEclxPRyh0zOKtlawDltfUay8"",""'Interns'!A:A""),
0
)),
""Outreach Conducted"",
"""")"),"")</f>
        <v/>
      </c>
      <c r="AI1184" s="23"/>
      <c r="AJ1184" s="23"/>
      <c r="AK1184" s="23" t="str">
        <f>IFERROR(__xludf.DUMMYFUNCTION("XLOOKUP(C1184, 
   IMPORTRANGE(""1RdEdgHYrZ33LJ7RUHj_h-qkAFL92bcVjtIdVa-UlsCw"", ""Interns!D:D""), 
   IMPORTRANGE(""1RdEdgHYrZ33LJ7RUHj_h-qkAFL92bcVjtIdVa-UlsCw"", ""Interns!M:M""), 
   ""Not Found"")"),"")</f>
        <v/>
      </c>
      <c r="AL1184" s="23" t="str">
        <f>IFERROR(__xludf.DUMMYFUNCTION("XLOOKUP(C1184, 
   IMPORTRANGE(""1RdEdgHYrZ33LJ7RUHj_h-qkAFL92bcVjtIdVa-UlsCw"", ""Interns!D:D""), 
   IMPORTRANGE(""1RdEdgHYrZ33LJ7RUHj_h-qkAFL92bcVjtIdVa-UlsCw"", ""Interns!N:N""), 
   ""Not Found"")"),"")</f>
        <v/>
      </c>
      <c r="AM1184" s="23" t="str">
        <f>IFERROR(__xludf.DUMMYFUNCTION("XLOOKUP(C1184, 
   IMPORTRANGE(""1RdEdgHYrZ33LJ7RUHj_h-qkAFL92bcVjtIdVa-UlsCw"", ""Interns!D:D""), 
   IMPORTRANGE(""1RdEdgHYrZ33LJ7RUHj_h-qkAFL92bcVjtIdVa-UlsCw"", ""Interns!O:O""), 
   ""Not Found"")"),"")</f>
        <v/>
      </c>
      <c r="AN1184" s="23"/>
      <c r="AO1184" s="23" t="s">
        <v>12644</v>
      </c>
      <c r="AP1184" s="28" t="s">
        <v>5908</v>
      </c>
      <c r="AQ1184" s="28"/>
      <c r="AR1184" s="23"/>
      <c r="AS1184" s="23"/>
      <c r="AT1184" s="23"/>
      <c r="AU1184" s="23"/>
      <c r="AV1184" s="23"/>
    </row>
    <row r="1185">
      <c r="A1185" s="28"/>
      <c r="B1185" s="28" t="s">
        <v>5162</v>
      </c>
      <c r="C1185" s="23" t="str">
        <f t="shared" si="1"/>
        <v>Nuru Sherpa</v>
      </c>
      <c r="D1185" s="22" t="s">
        <v>12645</v>
      </c>
      <c r="E1185" s="22" t="s">
        <v>12646</v>
      </c>
      <c r="F1185" s="23"/>
      <c r="G1185" s="23"/>
      <c r="H1185" s="22">
        <v>1937.0</v>
      </c>
      <c r="I1185" s="28"/>
      <c r="J1185" s="28" t="s">
        <v>11070</v>
      </c>
      <c r="K1185" s="28" t="s">
        <v>5186</v>
      </c>
      <c r="L1185" s="28" t="s">
        <v>5165</v>
      </c>
      <c r="M1185" s="29" t="s">
        <v>12647</v>
      </c>
      <c r="N1185" s="61">
        <v>45744.56875</v>
      </c>
      <c r="O1185" s="25">
        <v>39225.0</v>
      </c>
      <c r="P1185" s="28">
        <f t="shared" si="34"/>
        <v>18</v>
      </c>
      <c r="Q1185" s="62" t="s">
        <v>240</v>
      </c>
      <c r="R1185" s="22" t="s">
        <v>12648</v>
      </c>
      <c r="S1185" s="28">
        <v>7.0</v>
      </c>
      <c r="T1185" s="28">
        <v>12.0</v>
      </c>
      <c r="U1185" s="28">
        <v>30.0</v>
      </c>
      <c r="V1185" s="28">
        <v>26.0</v>
      </c>
      <c r="W1185" s="28" t="s">
        <v>1173</v>
      </c>
      <c r="X1185" s="28" t="s">
        <v>272</v>
      </c>
      <c r="Y1185" s="22" t="s">
        <v>12649</v>
      </c>
      <c r="Z1185" s="24"/>
      <c r="AA1185" s="28"/>
      <c r="AB1185" s="23"/>
      <c r="AC1185" s="28" t="s">
        <v>23</v>
      </c>
      <c r="AD1185" s="23"/>
      <c r="AE1185" s="28" t="s">
        <v>19</v>
      </c>
      <c r="AF1185" s="23"/>
      <c r="AG1185" s="23"/>
      <c r="AH1185" s="23" t="str">
        <f>IFERROR(__xludf.DUMMYFUNCTION("IF(
ISNUMBER(MATCH(
C1185,
IMPORTRANGE(""https://docs.google.com/spreadsheets/d/1yTh1ELC33JHYOeEdgIiEclxPRyh0zOKtlawDltfUay8"",""'Interns'!A:A""),
0
)),
""Outreach Conducted"",
"""")"),"")</f>
        <v/>
      </c>
      <c r="AI1185" s="23"/>
      <c r="AJ1185" s="23"/>
      <c r="AK1185" s="23"/>
      <c r="AL1185" s="23" t="str">
        <f>IFERROR(__xludf.DUMMYFUNCTION("XLOOKUP(C1185, 
   IMPORTRANGE(""1RdEdgHYrZ33LJ7RUHj_h-qkAFL92bcVjtIdVa-UlsCw"", ""Interns!D:D""), 
   IMPORTRANGE(""1RdEdgHYrZ33LJ7RUHj_h-qkAFL92bcVjtIdVa-UlsCw"", ""Interns!N:N""), 
   ""Not Found"")"),"#Cheers4Careers")</f>
        <v>#Cheers4Careers</v>
      </c>
      <c r="AM1185" s="23" t="str">
        <f>IFERROR(__xludf.DUMMYFUNCTION("XLOOKUP(C1185, 
   IMPORTRANGE(""1RdEdgHYrZ33LJ7RUHj_h-qkAFL92bcVjtIdVa-UlsCw"", ""Interns!D:D""), 
   IMPORTRANGE(""1RdEdgHYrZ33LJ7RUHj_h-qkAFL92bcVjtIdVa-UlsCw"", ""Interns!O:O""), 
   ""Not Found"")"),"Hetal reached out March 27 for March #Cheers4 Careers and texted")</f>
        <v>Hetal reached out March 27 for March #Cheers4 Careers and texted</v>
      </c>
      <c r="AN1185" s="23"/>
      <c r="AO1185" s="23" t="s">
        <v>12650</v>
      </c>
      <c r="AP1185" s="28" t="s">
        <v>5191</v>
      </c>
      <c r="AQ1185" s="28" t="s">
        <v>12651</v>
      </c>
      <c r="AR1185" s="23" t="s">
        <v>12652</v>
      </c>
      <c r="AS1185" s="23"/>
      <c r="AT1185" s="23"/>
      <c r="AU1185" s="23"/>
      <c r="AV1185" s="23"/>
    </row>
    <row r="1186">
      <c r="A1186" s="28" t="s">
        <v>5161</v>
      </c>
      <c r="B1186" s="28" t="s">
        <v>5162</v>
      </c>
      <c r="C1186" s="23" t="str">
        <f t="shared" si="1"/>
        <v>Joseph (Joe) Fisher</v>
      </c>
      <c r="D1186" s="28" t="s">
        <v>12653</v>
      </c>
      <c r="E1186" s="28" t="s">
        <v>12654</v>
      </c>
      <c r="F1186" s="23">
        <f t="array" ref="F1186">IFERROR(
    INDEX('Hub Interns 226'!A:A, MATCH(C1186, 'Hub Interns 226'!B:B, 0)),"")</f>
        <v>1746</v>
      </c>
      <c r="G1186" s="23">
        <f t="array" ref="G1186">IFERROR(
    INDEX('Hub Users 226'!A:A, MATCH(C1186, 'Hub Users 226'!B:B, 0)),"")</f>
        <v>2576</v>
      </c>
      <c r="H1186" s="28">
        <v>1782.0</v>
      </c>
      <c r="I1186" s="28" t="s">
        <v>290</v>
      </c>
      <c r="J1186" s="28" t="s">
        <v>12655</v>
      </c>
      <c r="K1186" s="28" t="s">
        <v>5245</v>
      </c>
      <c r="L1186" s="28" t="s">
        <v>5165</v>
      </c>
      <c r="M1186" s="56" t="s">
        <v>12656</v>
      </c>
      <c r="N1186" s="57">
        <v>45312.89444444444</v>
      </c>
      <c r="O1186" s="58">
        <v>38750.0</v>
      </c>
      <c r="P1186" s="28">
        <f t="shared" si="34"/>
        <v>20</v>
      </c>
      <c r="Q1186" s="28" t="s">
        <v>12657</v>
      </c>
      <c r="R1186" s="28" t="s">
        <v>12658</v>
      </c>
      <c r="S1186" s="28">
        <v>13.0</v>
      </c>
      <c r="T1186" s="28">
        <v>31.0</v>
      </c>
      <c r="U1186" s="28">
        <v>71.0</v>
      </c>
      <c r="V1186" s="28">
        <v>10.0</v>
      </c>
      <c r="W1186" s="28" t="s">
        <v>271</v>
      </c>
      <c r="X1186" s="28" t="s">
        <v>272</v>
      </c>
      <c r="Y1186" s="28" t="s">
        <v>12659</v>
      </c>
      <c r="Z1186" s="28" t="s">
        <v>5259</v>
      </c>
      <c r="AA1186" s="28" t="s">
        <v>704</v>
      </c>
      <c r="AB1186" s="28">
        <v>2.0</v>
      </c>
      <c r="AC1186" s="28" t="s">
        <v>25</v>
      </c>
      <c r="AD1186" s="23"/>
      <c r="AE1186" s="28" t="s">
        <v>18</v>
      </c>
      <c r="AF1186" s="23" t="str">
        <f>IFERROR(__xludf.DUMMYFUNCTION("TEXTJOIN("", "", TRUE,
  FILTER(Champions!C:C,
    ISNUMBER(SEARCH(C1186, Champions!W:W))
  )
)"),"Saima Malik, Ranjini Sankaranarayanan, Saima Malik (D)")</f>
        <v>Saima Malik, Ranjini Sankaranarayanan, Saima Malik (D)</v>
      </c>
      <c r="AG1186" s="23"/>
      <c r="AH1186" s="23" t="str">
        <f>IFERROR(__xludf.DUMMYFUNCTION("IF(
ISNUMBER(MATCH(
C1186,
IMPORTRANGE(""https://docs.google.com/spreadsheets/d/1yTh1ELC33JHYOeEdgIiEclxPRyh0zOKtlawDltfUay8"",""'Interns'!A:A""),
0
)),
""Outreach Conducted"",
"""")"),"")</f>
        <v/>
      </c>
      <c r="AI1186" s="23"/>
      <c r="AJ1186" s="23"/>
      <c r="AK1186" s="23" t="str">
        <f>IFERROR(__xludf.DUMMYFUNCTION("XLOOKUP(C1186, 
   IMPORTRANGE(""1RdEdgHYrZ33LJ7RUHj_h-qkAFL92bcVjtIdVa-UlsCw"", ""Interns!D:D""), 
   IMPORTRANGE(""1RdEdgHYrZ33LJ7RUHj_h-qkAFL92bcVjtIdVa-UlsCw"", ""Interns!M:M""), 
   ""Not Found"")"),"Contacted")</f>
        <v>Contacted</v>
      </c>
      <c r="AL1186" s="23" t="str">
        <f>IFERROR(__xludf.DUMMYFUNCTION("XLOOKUP(C1186, 
   IMPORTRANGE(""1RdEdgHYrZ33LJ7RUHj_h-qkAFL92bcVjtIdVa-UlsCw"", ""Interns!D:D""), 
   IMPORTRANGE(""1RdEdgHYrZ33LJ7RUHj_h-qkAFL92bcVjtIdVa-UlsCw"", ""Interns!N:N""), 
   ""Not Found"")"),"#Cheers4Careers")</f>
        <v>#Cheers4Careers</v>
      </c>
      <c r="AM1186" s="23" t="str">
        <f>IFERROR(__xludf.DUMMYFUNCTION("XLOOKUP(C1186, 
   IMPORTRANGE(""1RdEdgHYrZ33LJ7RUHj_h-qkAFL92bcVjtIdVa-UlsCw"", ""Interns!D:D""), 
   IMPORTRANGE(""1RdEdgHYrZ33LJ7RUHj_h-qkAFL92bcVjtIdVa-UlsCw"", ""Interns!O:O""), 
   ""Not Found"")"),"Ousmane reached out by email 3/26 and reach out by text 3/28")</f>
        <v>Ousmane reached out by email 3/26 and reach out by text 3/28</v>
      </c>
      <c r="AN1186" s="23"/>
      <c r="AO1186" s="23" t="s">
        <v>12660</v>
      </c>
      <c r="AP1186" s="28" t="s">
        <v>5908</v>
      </c>
      <c r="AQ1186" s="28" t="s">
        <v>12661</v>
      </c>
      <c r="AR1186" s="23" t="s">
        <v>12662</v>
      </c>
      <c r="AS1186" s="23"/>
      <c r="AT1186" s="23"/>
      <c r="AU1186" s="23"/>
      <c r="AV1186" s="23"/>
    </row>
    <row r="1187">
      <c r="A1187" s="28" t="s">
        <v>5161</v>
      </c>
      <c r="B1187" s="28" t="s">
        <v>5162</v>
      </c>
      <c r="C1187" s="23" t="str">
        <f t="shared" si="1"/>
        <v>Budthima Thummanee</v>
      </c>
      <c r="D1187" s="28" t="s">
        <v>12663</v>
      </c>
      <c r="E1187" s="28" t="s">
        <v>12664</v>
      </c>
      <c r="F1187" s="23">
        <f t="array" ref="F1187">IFERROR(
    INDEX('Hub Interns 226'!A:A, MATCH(C1187, 'Hub Interns 226'!B:B, 0)),"")</f>
        <v>323</v>
      </c>
      <c r="G1187" s="23">
        <f t="array" ref="G1187">IFERROR(
    INDEX('Hub Users 226'!A:A, MATCH(C1187, 'Hub Users 226'!B:B, 0)),"")</f>
        <v>756</v>
      </c>
      <c r="H1187" s="28">
        <v>1590.0</v>
      </c>
      <c r="I1187" s="28"/>
      <c r="J1187" s="28" t="s">
        <v>12665</v>
      </c>
      <c r="K1187" s="28" t="s">
        <v>5186</v>
      </c>
      <c r="L1187" s="28" t="s">
        <v>5196</v>
      </c>
      <c r="M1187" s="56" t="s">
        <v>12666</v>
      </c>
      <c r="N1187" s="57">
        <v>45016.388194444444</v>
      </c>
      <c r="O1187" s="58">
        <v>40190.0</v>
      </c>
      <c r="P1187" s="28">
        <f t="shared" si="34"/>
        <v>16</v>
      </c>
      <c r="Q1187" s="28" t="s">
        <v>240</v>
      </c>
      <c r="R1187" s="28" t="s">
        <v>12667</v>
      </c>
      <c r="S1187" s="28">
        <v>6.0</v>
      </c>
      <c r="T1187" s="28">
        <v>12.0</v>
      </c>
      <c r="U1187" s="28">
        <v>30.0</v>
      </c>
      <c r="V1187" s="28">
        <v>30.0</v>
      </c>
      <c r="W1187" s="28" t="s">
        <v>1173</v>
      </c>
      <c r="X1187" s="28" t="s">
        <v>272</v>
      </c>
      <c r="Y1187" s="28" t="s">
        <v>5169</v>
      </c>
      <c r="Z1187" s="28" t="s">
        <v>5170</v>
      </c>
      <c r="AA1187" s="28" t="s">
        <v>5171</v>
      </c>
      <c r="AB1187" s="28">
        <v>30.0</v>
      </c>
      <c r="AC1187" s="28" t="s">
        <v>23</v>
      </c>
      <c r="AD1187" s="23"/>
      <c r="AE1187" s="28" t="s">
        <v>15</v>
      </c>
      <c r="AF1187" s="23"/>
      <c r="AG1187" s="23"/>
      <c r="AH1187" s="23" t="str">
        <f>IFERROR(__xludf.DUMMYFUNCTION("IF(
ISNUMBER(MATCH(
C1187,
IMPORTRANGE(""https://docs.google.com/spreadsheets/d/1yTh1ELC33JHYOeEdgIiEclxPRyh0zOKtlawDltfUay8"",""'Interns'!A:A""),
0
)),
""Outreach Conducted"",
"""")"),"")</f>
        <v/>
      </c>
      <c r="AI1187" s="23"/>
      <c r="AJ1187" s="23"/>
      <c r="AK1187" s="23" t="str">
        <f>IFERROR(__xludf.DUMMYFUNCTION("XLOOKUP(C1187, 
   IMPORTRANGE(""1RdEdgHYrZ33LJ7RUHj_h-qkAFL92bcVjtIdVa-UlsCw"", ""Interns!D:D""), 
   IMPORTRANGE(""1RdEdgHYrZ33LJ7RUHj_h-qkAFL92bcVjtIdVa-UlsCw"", ""Interns!M:M""), 
   ""Not Found"")"),"Contacted")</f>
        <v>Contacted</v>
      </c>
      <c r="AL1187" s="23" t="str">
        <f>IFERROR(__xludf.DUMMYFUNCTION("XLOOKUP(C1187, 
   IMPORTRANGE(""1RdEdgHYrZ33LJ7RUHj_h-qkAFL92bcVjtIdVa-UlsCw"", ""Interns!D:D""), 
   IMPORTRANGE(""1RdEdgHYrZ33LJ7RUHj_h-qkAFL92bcVjtIdVa-UlsCw"", ""Interns!N:N""), 
   ""Not Found"")"),"#Cheers4Careers")</f>
        <v>#Cheers4Careers</v>
      </c>
      <c r="AM1187" s="23" t="str">
        <f>IFERROR(__xludf.DUMMYFUNCTION("XLOOKUP(C1187,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187" s="23"/>
      <c r="AO1187" s="23" t="s">
        <v>12668</v>
      </c>
      <c r="AP1187" s="28" t="s">
        <v>5182</v>
      </c>
      <c r="AQ1187" s="28"/>
      <c r="AR1187" s="23"/>
      <c r="AS1187" s="23"/>
      <c r="AT1187" s="23"/>
      <c r="AU1187" s="23"/>
      <c r="AV1187" s="23"/>
    </row>
    <row r="1188">
      <c r="A1188" s="28" t="s">
        <v>5161</v>
      </c>
      <c r="B1188" s="28" t="s">
        <v>5162</v>
      </c>
      <c r="C1188" s="23" t="str">
        <f t="shared" si="1"/>
        <v>Prim Waraloardgoson</v>
      </c>
      <c r="D1188" s="28" t="s">
        <v>12669</v>
      </c>
      <c r="E1188" s="28" t="s">
        <v>12670</v>
      </c>
      <c r="F1188" s="23" t="str">
        <f t="array" ref="F1188">IFERROR(
    INDEX('Hub Interns 226'!A:A, MATCH(C1188, 'Hub Interns 226'!B:B, 0)),"")</f>
        <v/>
      </c>
      <c r="G1188" s="23">
        <f t="array" ref="G1188">IFERROR(
    INDEX('Hub Users 226'!A:A, MATCH(C1188, 'Hub Users 226'!B:B, 0)),"")</f>
        <v>1813</v>
      </c>
      <c r="H1188" s="28">
        <v>1708.0</v>
      </c>
      <c r="I1188" s="28" t="s">
        <v>269</v>
      </c>
      <c r="J1188" s="28" t="s">
        <v>12665</v>
      </c>
      <c r="K1188" s="28" t="s">
        <v>5186</v>
      </c>
      <c r="L1188" s="28" t="s">
        <v>5196</v>
      </c>
      <c r="M1188" s="56" t="s">
        <v>12671</v>
      </c>
      <c r="N1188" s="59">
        <v>45250.990277777775</v>
      </c>
      <c r="O1188" s="58">
        <v>40518.0</v>
      </c>
      <c r="P1188" s="28">
        <f t="shared" si="34"/>
        <v>15</v>
      </c>
      <c r="Q1188" s="28" t="s">
        <v>240</v>
      </c>
      <c r="R1188" s="28" t="s">
        <v>12672</v>
      </c>
      <c r="S1188" s="60">
        <v>6.0</v>
      </c>
      <c r="T1188" s="60">
        <v>12.0</v>
      </c>
      <c r="U1188" s="60">
        <v>30.0</v>
      </c>
      <c r="V1188" s="28">
        <v>30.0</v>
      </c>
      <c r="W1188" s="28" t="s">
        <v>1173</v>
      </c>
      <c r="X1188" s="28" t="s">
        <v>272</v>
      </c>
      <c r="Y1188" s="28" t="s">
        <v>8135</v>
      </c>
      <c r="Z1188" s="28" t="s">
        <v>5170</v>
      </c>
      <c r="AA1188" s="28" t="s">
        <v>5171</v>
      </c>
      <c r="AB1188" s="28">
        <v>30.0</v>
      </c>
      <c r="AC1188" s="28" t="s">
        <v>23</v>
      </c>
      <c r="AD1188" s="28" t="s">
        <v>101</v>
      </c>
      <c r="AE1188" s="28" t="s">
        <v>18</v>
      </c>
      <c r="AF1188" s="23"/>
      <c r="AG1188" s="23"/>
      <c r="AH1188" s="23" t="str">
        <f>IFERROR(__xludf.DUMMYFUNCTION("IF(
ISNUMBER(MATCH(
C1188,
IMPORTRANGE(""https://docs.google.com/spreadsheets/d/1yTh1ELC33JHYOeEdgIiEclxPRyh0zOKtlawDltfUay8"",""'Interns'!A:A""),
0
)),
""Outreach Conducted"",
"""")"),"")</f>
        <v/>
      </c>
      <c r="AI1188" s="23"/>
      <c r="AJ1188" s="23"/>
      <c r="AK1188" s="23" t="str">
        <f>IFERROR(__xludf.DUMMYFUNCTION("XLOOKUP(C1188, 
   IMPORTRANGE(""1RdEdgHYrZ33LJ7RUHj_h-qkAFL92bcVjtIdVa-UlsCw"", ""Interns!D:D""), 
   IMPORTRANGE(""1RdEdgHYrZ33LJ7RUHj_h-qkAFL92bcVjtIdVa-UlsCw"", ""Interns!M:M""), 
   ""Not Found"")"),"Contacted")</f>
        <v>Contacted</v>
      </c>
      <c r="AL1188" s="23" t="str">
        <f>IFERROR(__xludf.DUMMYFUNCTION("XLOOKUP(C1188, 
   IMPORTRANGE(""1RdEdgHYrZ33LJ7RUHj_h-qkAFL92bcVjtIdVa-UlsCw"", ""Interns!D:D""), 
   IMPORTRANGE(""1RdEdgHYrZ33LJ7RUHj_h-qkAFL92bcVjtIdVa-UlsCw"", ""Interns!N:N""), 
   ""Not Found"")"),"#Cheers4Careers")</f>
        <v>#Cheers4Careers</v>
      </c>
      <c r="AM1188" s="23" t="str">
        <f>IFERROR(__xludf.DUMMYFUNCTION("XLOOKUP(C1188, 
   IMPORTRANGE(""1RdEdgHYrZ33LJ7RUHj_h-qkAFL92bcVjtIdVa-UlsCw"", ""Interns!D:D""), 
   IMPORTRANGE(""1RdEdgHYrZ33LJ7RUHj_h-qkAFL92bcVjtIdVa-UlsCw"", ""Interns!O:O""), 
   ""Not Found"")"),"Hetal reached out March 27 for March #Cheers4 Careers ")</f>
        <v>Hetal reached out March 27 for March #Cheers4 Careers </v>
      </c>
      <c r="AN1188" s="23"/>
      <c r="AO1188" s="23" t="s">
        <v>12673</v>
      </c>
      <c r="AP1188" s="28" t="s">
        <v>5182</v>
      </c>
      <c r="AQ1188" s="28" t="s">
        <v>12674</v>
      </c>
      <c r="AR1188" s="23" t="s">
        <v>8135</v>
      </c>
      <c r="AS1188" s="23"/>
      <c r="AT1188" s="23"/>
      <c r="AU1188" s="23"/>
      <c r="AV1188" s="23"/>
    </row>
    <row r="1189">
      <c r="A1189" s="28" t="s">
        <v>5161</v>
      </c>
      <c r="B1189" s="28" t="s">
        <v>5162</v>
      </c>
      <c r="C1189" s="23" t="str">
        <f t="shared" si="1"/>
        <v>Raquel Guerrero</v>
      </c>
      <c r="D1189" s="28" t="s">
        <v>12675</v>
      </c>
      <c r="E1189" s="28" t="s">
        <v>2134</v>
      </c>
      <c r="F1189" s="23">
        <f t="array" ref="F1189">IFERROR(
    INDEX('Hub Interns 226'!A:A, MATCH(C1189, 'Hub Interns 226'!B:B, 0)),"")</f>
        <v>1007</v>
      </c>
      <c r="G1189" s="23">
        <f t="array" ref="G1189">IFERROR(
    INDEX('Hub Users 226'!A:A, MATCH(C1189, 'Hub Users 226'!B:B, 0)),"")</f>
        <v>1440</v>
      </c>
      <c r="H1189" s="28">
        <v>1246.0</v>
      </c>
      <c r="I1189" s="28" t="s">
        <v>608</v>
      </c>
      <c r="J1189" s="28" t="s">
        <v>5336</v>
      </c>
      <c r="K1189" s="28" t="s">
        <v>5177</v>
      </c>
      <c r="L1189" s="28" t="s">
        <v>5196</v>
      </c>
      <c r="M1189" s="56" t="s">
        <v>12676</v>
      </c>
      <c r="N1189" s="57">
        <v>44840.46319444444</v>
      </c>
      <c r="O1189" s="58">
        <v>39001.0</v>
      </c>
      <c r="P1189" s="28">
        <f t="shared" si="34"/>
        <v>19</v>
      </c>
      <c r="Q1189" s="28" t="s">
        <v>12677</v>
      </c>
      <c r="R1189" s="28" t="s">
        <v>12678</v>
      </c>
      <c r="S1189" s="28">
        <v>13.0</v>
      </c>
      <c r="T1189" s="28">
        <v>31.0</v>
      </c>
      <c r="U1189" s="28">
        <v>86.0</v>
      </c>
      <c r="V1189" s="28">
        <v>14.0</v>
      </c>
      <c r="W1189" s="28" t="s">
        <v>271</v>
      </c>
      <c r="X1189" s="28" t="s">
        <v>272</v>
      </c>
      <c r="Y1189" s="28" t="s">
        <v>12679</v>
      </c>
      <c r="Z1189" s="28" t="s">
        <v>5341</v>
      </c>
      <c r="AA1189" s="28" t="s">
        <v>1085</v>
      </c>
      <c r="AB1189" s="28">
        <v>10.0</v>
      </c>
      <c r="AC1189" s="28" t="s">
        <v>25</v>
      </c>
      <c r="AD1189" s="23"/>
      <c r="AE1189" s="28" t="s">
        <v>15</v>
      </c>
      <c r="AF1189" s="23" t="str">
        <f>IFERROR(__xludf.DUMMYFUNCTION("TEXTJOIN("", "", TRUE,
  FILTER(Champions!C:C,
    ISNUMBER(SEARCH(C1189, Champions!W:W))
  )
)"),"CHRISTINA BROOMES, Min Jung Park, Jimena Montane Azpiri, Jimena Montane Azpiri (D)")</f>
        <v>CHRISTINA BROOMES, Min Jung Park, Jimena Montane Azpiri, Jimena Montane Azpiri (D)</v>
      </c>
      <c r="AG1189" s="26" t="s">
        <v>5342</v>
      </c>
      <c r="AH1189" s="23" t="str">
        <f>IFERROR(__xludf.DUMMYFUNCTION("IF(
ISNUMBER(MATCH(
C1189,
IMPORTRANGE(""https://docs.google.com/spreadsheets/d/1yTh1ELC33JHYOeEdgIiEclxPRyh0zOKtlawDltfUay8"",""'Interns'!A:A""),
0
)),
""Outreach Conducted"",
"""")"),"")</f>
        <v/>
      </c>
      <c r="AI1189" s="23"/>
      <c r="AJ1189" s="23"/>
      <c r="AK1189" s="23" t="str">
        <f>IFERROR(__xludf.DUMMYFUNCTION("XLOOKUP(C1189, 
   IMPORTRANGE(""1RdEdgHYrZ33LJ7RUHj_h-qkAFL92bcVjtIdVa-UlsCw"", ""Interns!D:D""), 
   IMPORTRANGE(""1RdEdgHYrZ33LJ7RUHj_h-qkAFL92bcVjtIdVa-UlsCw"", ""Interns!M:M""), 
   ""Not Found"")"),"Contacted")</f>
        <v>Contacted</v>
      </c>
      <c r="AL1189" s="23" t="str">
        <f>IFERROR(__xludf.DUMMYFUNCTION("XLOOKUP(C1189, 
   IMPORTRANGE(""1RdEdgHYrZ33LJ7RUHj_h-qkAFL92bcVjtIdVa-UlsCw"", ""Interns!D:D""), 
   IMPORTRANGE(""1RdEdgHYrZ33LJ7RUHj_h-qkAFL92bcVjtIdVa-UlsCw"", ""Interns!N:N""), 
   ""Not Found"")"),"#Cheers4Careers")</f>
        <v>#Cheers4Careers</v>
      </c>
      <c r="AM1189" s="23" t="str">
        <f>IFERROR(__xludf.DUMMYFUNCTION("XLOOKUP(C1189, 
   IMPORTRANGE(""1RdEdgHYrZ33LJ7RUHj_h-qkAFL92bcVjtIdVa-UlsCw"", ""Interns!D:D""), 
   IMPORTRANGE(""1RdEdgHYrZ33LJ7RUHj_h-qkAFL92bcVjtIdVa-UlsCw"", ""Interns!O:O""), 
   ""Not Found"")"),"Texted on April 12 for #Cheers4Careers event")</f>
        <v>Texted on April 12 for #Cheers4Careers event</v>
      </c>
      <c r="AN1189" s="23"/>
      <c r="AO1189" s="23" t="s">
        <v>12680</v>
      </c>
      <c r="AP1189" s="28" t="s">
        <v>5182</v>
      </c>
      <c r="AQ1189" s="28"/>
      <c r="AR1189" s="23"/>
      <c r="AS1189" s="23"/>
      <c r="AT1189" s="23"/>
      <c r="AU1189" s="23"/>
      <c r="AV1189" s="23"/>
    </row>
    <row r="1190">
      <c r="A1190" s="28" t="s">
        <v>5161</v>
      </c>
      <c r="B1190" s="28" t="s">
        <v>31</v>
      </c>
      <c r="C1190" s="23" t="str">
        <f t="shared" si="1"/>
        <v>Marvin. Merino</v>
      </c>
      <c r="D1190" s="28" t="s">
        <v>12681</v>
      </c>
      <c r="E1190" s="28" t="s">
        <v>12540</v>
      </c>
      <c r="F1190" s="23">
        <f t="array" ref="F1190">IFERROR(
    INDEX('Hub Interns 226'!A:A, MATCH(C1190, 'Hub Interns 226'!B:B, 0)),"")</f>
        <v>850</v>
      </c>
      <c r="G1190" s="23">
        <f t="array" ref="G1190">IFERROR(
    INDEX('Hub Users 226'!A:A, MATCH(C1190, 'Hub Users 226'!B:B, 0)),"")</f>
        <v>1283</v>
      </c>
      <c r="H1190" s="28">
        <v>1535.0</v>
      </c>
      <c r="I1190" s="28" t="s">
        <v>290</v>
      </c>
      <c r="J1190" s="28"/>
      <c r="K1190" s="28"/>
      <c r="L1190" s="28" t="s">
        <v>5165</v>
      </c>
      <c r="M1190" s="56" t="s">
        <v>12541</v>
      </c>
      <c r="N1190" s="57">
        <v>44956.459027777775</v>
      </c>
      <c r="O1190" s="58">
        <v>38665.0</v>
      </c>
      <c r="P1190" s="28">
        <f t="shared" si="34"/>
        <v>20</v>
      </c>
      <c r="Q1190" s="28" t="s">
        <v>240</v>
      </c>
      <c r="R1190" s="28" t="s">
        <v>12682</v>
      </c>
      <c r="S1190" s="28"/>
      <c r="T1190" s="28"/>
      <c r="U1190" s="28"/>
      <c r="V1190" s="28"/>
      <c r="W1190" s="28" t="s">
        <v>1173</v>
      </c>
      <c r="X1190" s="28" t="s">
        <v>272</v>
      </c>
      <c r="Y1190" s="28" t="s">
        <v>12543</v>
      </c>
      <c r="Z1190" s="28" t="s">
        <v>5259</v>
      </c>
      <c r="AA1190" s="28" t="s">
        <v>704</v>
      </c>
      <c r="AB1190" s="28">
        <v>2.0</v>
      </c>
      <c r="AC1190" s="28" t="s">
        <v>23</v>
      </c>
      <c r="AD1190" s="23"/>
      <c r="AE1190" s="28" t="s">
        <v>15</v>
      </c>
      <c r="AF1190" s="23"/>
      <c r="AG1190" s="23"/>
      <c r="AH1190" s="23" t="str">
        <f>IFERROR(__xludf.DUMMYFUNCTION("IF(
ISNUMBER(MATCH(
C1190,
IMPORTRANGE(""https://docs.google.com/spreadsheets/d/1yTh1ELC33JHYOeEdgIiEclxPRyh0zOKtlawDltfUay8"",""'Interns'!A:A""),
0
)),
""Outreach Conducted"",
"""")"),"")</f>
        <v/>
      </c>
      <c r="AI1190" s="23"/>
      <c r="AJ1190" s="23"/>
      <c r="AK1190" s="23" t="str">
        <f>IFERROR(__xludf.DUMMYFUNCTION("XLOOKUP(C1190, 
   IMPORTRANGE(""1RdEdgHYrZ33LJ7RUHj_h-qkAFL92bcVjtIdVa-UlsCw"", ""Interns!D:D""), 
   IMPORTRANGE(""1RdEdgHYrZ33LJ7RUHj_h-qkAFL92bcVjtIdVa-UlsCw"", ""Interns!M:M""), 
   ""Not Found"")"),"")</f>
        <v/>
      </c>
      <c r="AL1190" s="23" t="str">
        <f>IFERROR(__xludf.DUMMYFUNCTION("XLOOKUP(C1190, 
   IMPORTRANGE(""1RdEdgHYrZ33LJ7RUHj_h-qkAFL92bcVjtIdVa-UlsCw"", ""Interns!D:D""), 
   IMPORTRANGE(""1RdEdgHYrZ33LJ7RUHj_h-qkAFL92bcVjtIdVa-UlsCw"", ""Interns!N:N""), 
   ""Not Found"")"),"")</f>
        <v/>
      </c>
      <c r="AM1190" s="23" t="str">
        <f>IFERROR(__xludf.DUMMYFUNCTION("XLOOKUP(C1190, 
   IMPORTRANGE(""1RdEdgHYrZ33LJ7RUHj_h-qkAFL92bcVjtIdVa-UlsCw"", ""Interns!D:D""), 
   IMPORTRANGE(""1RdEdgHYrZ33LJ7RUHj_h-qkAFL92bcVjtIdVa-UlsCw"", ""Interns!O:O""), 
   ""Not Found"")"),"")</f>
        <v/>
      </c>
      <c r="AN1190" s="23"/>
      <c r="AO1190" s="23" t="s">
        <v>12683</v>
      </c>
      <c r="AP1190" s="28" t="s">
        <v>5182</v>
      </c>
      <c r="AQ1190" s="28"/>
      <c r="AR1190" s="23"/>
      <c r="AS1190" s="23"/>
      <c r="AT1190" s="23"/>
      <c r="AU1190" s="23"/>
      <c r="AV1190" s="23"/>
    </row>
    <row r="1191">
      <c r="A1191" s="28" t="s">
        <v>5161</v>
      </c>
      <c r="B1191" s="28" t="s">
        <v>5162</v>
      </c>
      <c r="C1191" s="23" t="str">
        <f t="shared" si="1"/>
        <v>Brandon Nunez</v>
      </c>
      <c r="D1191" s="28" t="s">
        <v>12684</v>
      </c>
      <c r="E1191" s="28" t="s">
        <v>3988</v>
      </c>
      <c r="F1191" s="23">
        <f t="array" ref="F1191">IFERROR(
    INDEX('Hub Interns 226'!A:A, MATCH(C1191, 'Hub Interns 226'!B:B, 0)),"")</f>
        <v>311</v>
      </c>
      <c r="G1191" s="23">
        <f t="array" ref="G1191">IFERROR(
    INDEX('Hub Users 226'!A:A, MATCH(C1191, 'Hub Users 226'!B:B, 0)),"")</f>
        <v>744</v>
      </c>
      <c r="H1191" s="28">
        <v>1184.0</v>
      </c>
      <c r="I1191" s="28" t="s">
        <v>1235</v>
      </c>
      <c r="J1191" s="28" t="s">
        <v>5336</v>
      </c>
      <c r="K1191" s="28" t="s">
        <v>5177</v>
      </c>
      <c r="L1191" s="28" t="s">
        <v>5165</v>
      </c>
      <c r="M1191" s="56" t="s">
        <v>12685</v>
      </c>
      <c r="N1191" s="57">
        <v>44833.46319444444</v>
      </c>
      <c r="O1191" s="58">
        <v>39010.0</v>
      </c>
      <c r="P1191" s="28">
        <f t="shared" si="34"/>
        <v>19</v>
      </c>
      <c r="Q1191" s="28" t="s">
        <v>12686</v>
      </c>
      <c r="R1191" s="28" t="s">
        <v>12687</v>
      </c>
      <c r="S1191" s="28">
        <v>13.0</v>
      </c>
      <c r="T1191" s="28">
        <v>31.0</v>
      </c>
      <c r="U1191" s="28">
        <v>72.0</v>
      </c>
      <c r="V1191" s="28">
        <v>10.0</v>
      </c>
      <c r="W1191" s="28" t="s">
        <v>271</v>
      </c>
      <c r="X1191" s="28" t="s">
        <v>272</v>
      </c>
      <c r="Y1191" s="28" t="s">
        <v>12688</v>
      </c>
      <c r="Z1191" s="28" t="s">
        <v>5341</v>
      </c>
      <c r="AA1191" s="28" t="s">
        <v>1085</v>
      </c>
      <c r="AB1191" s="28">
        <v>10.0</v>
      </c>
      <c r="AC1191" s="28" t="s">
        <v>25</v>
      </c>
      <c r="AD1191" s="23"/>
      <c r="AE1191" s="28" t="s">
        <v>15</v>
      </c>
      <c r="AF1191" s="23" t="str">
        <f>IFERROR(__xludf.DUMMYFUNCTION("TEXTJOIN("", "", TRUE,
  FILTER(Champions!C:C,
    ISNUMBER(SEARCH(C1191, Champions!W:W))
  )
)"),"Christa Neu, Ryane Montanez, Sunkyung Park")</f>
        <v>Christa Neu, Ryane Montanez, Sunkyung Park</v>
      </c>
      <c r="AG1191" s="23"/>
      <c r="AH1191" s="23" t="str">
        <f>IFERROR(__xludf.DUMMYFUNCTION("IF(
ISNUMBER(MATCH(
C1191,
IMPORTRANGE(""https://docs.google.com/spreadsheets/d/1yTh1ELC33JHYOeEdgIiEclxPRyh0zOKtlawDltfUay8"",""'Interns'!A:A""),
0
)),
""Outreach Conducted"",
"""")"),"")</f>
        <v/>
      </c>
      <c r="AI1191" s="23"/>
      <c r="AJ1191" s="23"/>
      <c r="AK1191" s="23" t="str">
        <f>IFERROR(__xludf.DUMMYFUNCTION("XLOOKUP(C1191, 
   IMPORTRANGE(""1RdEdgHYrZ33LJ7RUHj_h-qkAFL92bcVjtIdVa-UlsCw"", ""Interns!D:D""), 
   IMPORTRANGE(""1RdEdgHYrZ33LJ7RUHj_h-qkAFL92bcVjtIdVa-UlsCw"", ""Interns!M:M""), 
   ""Not Found"")"),"Contacted")</f>
        <v>Contacted</v>
      </c>
      <c r="AL1191" s="23" t="str">
        <f>IFERROR(__xludf.DUMMYFUNCTION("XLOOKUP(C1191, 
   IMPORTRANGE(""1RdEdgHYrZ33LJ7RUHj_h-qkAFL92bcVjtIdVa-UlsCw"", ""Interns!D:D""), 
   IMPORTRANGE(""1RdEdgHYrZ33LJ7RUHj_h-qkAFL92bcVjtIdVa-UlsCw"", ""Interns!N:N""), 
   ""Not Found"")"),"#Cheers4Careers")</f>
        <v>#Cheers4Careers</v>
      </c>
      <c r="AM1191" s="23" t="str">
        <f>IFERROR(__xludf.DUMMYFUNCTION("XLOOKUP(C1191, 
   IMPORTRANGE(""1RdEdgHYrZ33LJ7RUHj_h-qkAFL92bcVjtIdVa-UlsCw"", ""Interns!D:D""), 
   IMPORTRANGE(""1RdEdgHYrZ33LJ7RUHj_h-qkAFL92bcVjtIdVa-UlsCw"", ""Interns!O:O""), 
   ""Not Found"")"),"Texted on April 14 for #Cheers4Careers event")</f>
        <v>Texted on April 14 for #Cheers4Careers event</v>
      </c>
      <c r="AN1191" s="23"/>
      <c r="AO1191" s="23" t="s">
        <v>12689</v>
      </c>
      <c r="AP1191" s="28" t="s">
        <v>5182</v>
      </c>
      <c r="AQ1191" s="28" t="s">
        <v>12690</v>
      </c>
      <c r="AR1191" s="23" t="s">
        <v>12691</v>
      </c>
      <c r="AS1191" s="23"/>
      <c r="AT1191" s="23"/>
      <c r="AU1191" s="23"/>
      <c r="AV1191" s="23"/>
    </row>
    <row r="1192">
      <c r="A1192" s="28" t="s">
        <v>5161</v>
      </c>
      <c r="B1192" s="28" t="s">
        <v>5162</v>
      </c>
      <c r="C1192" s="23" t="str">
        <f t="shared" si="1"/>
        <v>Kaddijatou Sey</v>
      </c>
      <c r="D1192" s="28" t="s">
        <v>12692</v>
      </c>
      <c r="E1192" s="28" t="s">
        <v>12693</v>
      </c>
      <c r="F1192" s="23">
        <f t="array" ref="F1192">IFERROR(
    INDEX('Hub Interns 226'!A:A, MATCH(C1192, 'Hub Interns 226'!B:B, 0)),"")</f>
        <v>714</v>
      </c>
      <c r="G1192" s="23">
        <f t="array" ref="G1192">IFERROR(
    INDEX('Hub Users 226'!A:A, MATCH(C1192, 'Hub Users 226'!B:B, 0)),"")</f>
        <v>1147</v>
      </c>
      <c r="H1192" s="28">
        <v>870.0</v>
      </c>
      <c r="I1192" s="28" t="s">
        <v>290</v>
      </c>
      <c r="J1192" s="28" t="s">
        <v>9516</v>
      </c>
      <c r="K1192" s="28" t="s">
        <v>5245</v>
      </c>
      <c r="L1192" s="28" t="s">
        <v>5196</v>
      </c>
      <c r="M1192" s="56" t="s">
        <v>12694</v>
      </c>
      <c r="N1192" s="57">
        <v>44596.47708333333</v>
      </c>
      <c r="O1192" s="58">
        <v>36819.0</v>
      </c>
      <c r="P1192" s="28">
        <f t="shared" si="34"/>
        <v>25</v>
      </c>
      <c r="Q1192" s="28" t="s">
        <v>240</v>
      </c>
      <c r="R1192" s="28" t="s">
        <v>12695</v>
      </c>
      <c r="S1192" s="28">
        <v>15.0</v>
      </c>
      <c r="T1192" s="28">
        <v>32.0</v>
      </c>
      <c r="U1192" s="28">
        <v>77.0</v>
      </c>
      <c r="V1192" s="28">
        <v>16.0</v>
      </c>
      <c r="W1192" s="28" t="s">
        <v>859</v>
      </c>
      <c r="X1192" s="28" t="s">
        <v>272</v>
      </c>
      <c r="Y1192" s="28">
        <v>3.473644176E9</v>
      </c>
      <c r="Z1192" s="28" t="s">
        <v>5310</v>
      </c>
      <c r="AA1192" s="28" t="s">
        <v>362</v>
      </c>
      <c r="AB1192" s="28">
        <v>16.0</v>
      </c>
      <c r="AC1192" s="28" t="s">
        <v>25</v>
      </c>
      <c r="AD1192" s="23"/>
      <c r="AE1192" s="28" t="s">
        <v>10</v>
      </c>
      <c r="AF1192" s="23" t="str">
        <f>IFERROR(__xludf.DUMMYFUNCTION("TEXTJOIN("", "", TRUE,
  FILTER(Champions!C:C,
    ISNUMBER(SEARCH(C1192, Champions!W:W))
  )
)"),"Prithvi Mattur, Ritika Naik")</f>
        <v>Prithvi Mattur, Ritika Naik</v>
      </c>
      <c r="AG1192" s="23"/>
      <c r="AH1192" s="23" t="str">
        <f>IFERROR(__xludf.DUMMYFUNCTION("IF(
ISNUMBER(MATCH(
C1192,
IMPORTRANGE(""https://docs.google.com/spreadsheets/d/1yTh1ELC33JHYOeEdgIiEclxPRyh0zOKtlawDltfUay8"",""'Interns'!A:A""),
0
)),
""Outreach Conducted"",
"""")"),"")</f>
        <v/>
      </c>
      <c r="AI1192" s="23"/>
      <c r="AJ1192" s="23"/>
      <c r="AK1192" s="23" t="str">
        <f>IFERROR(__xludf.DUMMYFUNCTION("XLOOKUP(C1192, 
   IMPORTRANGE(""1RdEdgHYrZ33LJ7RUHj_h-qkAFL92bcVjtIdVa-UlsCw"", ""Interns!D:D""), 
   IMPORTRANGE(""1RdEdgHYrZ33LJ7RUHj_h-qkAFL92bcVjtIdVa-UlsCw"", ""Interns!M:M""), 
   ""Not Found"")"),"")</f>
        <v/>
      </c>
      <c r="AL1192" s="23" t="str">
        <f>IFERROR(__xludf.DUMMYFUNCTION("XLOOKUP(C1192, 
   IMPORTRANGE(""1RdEdgHYrZ33LJ7RUHj_h-qkAFL92bcVjtIdVa-UlsCw"", ""Interns!D:D""), 
   IMPORTRANGE(""1RdEdgHYrZ33LJ7RUHj_h-qkAFL92bcVjtIdVa-UlsCw"", ""Interns!N:N""), 
   ""Not Found"")"),"#SpeakingMyName")</f>
        <v>#SpeakingMyName</v>
      </c>
      <c r="AM1192" s="23" t="str">
        <f>IFERROR(__xludf.DUMMYFUNCTION("XLOOKUP(C1192, 
   IMPORTRANGE(""1RdEdgHYrZ33LJ7RUHj_h-qkAFL92bcVjtIdVa-UlsCw"", ""Interns!D:D""), 
   IMPORTRANGE(""1RdEdgHYrZ33LJ7RUHj_h-qkAFL92bcVjtIdVa-UlsCw"", ""Interns!O:O""), 
   ""Not Found"")"),"Alicia reached out by email on 5/15 for #SpeakingMyName")</f>
        <v>Alicia reached out by email on 5/15 for #SpeakingMyName</v>
      </c>
      <c r="AN1192" s="23"/>
      <c r="AO1192" s="23" t="s">
        <v>12696</v>
      </c>
      <c r="AP1192" s="28" t="s">
        <v>5191</v>
      </c>
      <c r="AQ1192" s="28" t="s">
        <v>12697</v>
      </c>
      <c r="AR1192" s="23" t="s">
        <v>12698</v>
      </c>
      <c r="AS1192" s="23"/>
      <c r="AT1192" s="23"/>
      <c r="AU1192" s="23"/>
      <c r="AV1192" s="23"/>
    </row>
    <row r="1193">
      <c r="A1193" s="28" t="s">
        <v>5161</v>
      </c>
      <c r="B1193" s="28" t="s">
        <v>5162</v>
      </c>
      <c r="C1193" s="23" t="str">
        <f t="shared" si="1"/>
        <v>Ema Thotsa</v>
      </c>
      <c r="D1193" s="28" t="s">
        <v>12699</v>
      </c>
      <c r="E1193" s="28" t="s">
        <v>12700</v>
      </c>
      <c r="F1193" s="23" t="str">
        <f t="array" ref="F1193">IFERROR(
    INDEX('Hub Interns 226'!A:A, MATCH(C1193, 'Hub Interns 226'!B:B, 0)),"")</f>
        <v/>
      </c>
      <c r="G1193" s="23">
        <f t="array" ref="G1193">IFERROR(
    INDEX('Hub Users 226'!A:A, MATCH(C1193, 'Hub Users 226'!B:B, 0)),"")</f>
        <v>2045</v>
      </c>
      <c r="H1193" s="28">
        <v>1839.0</v>
      </c>
      <c r="I1193" s="28" t="s">
        <v>260</v>
      </c>
      <c r="J1193" s="28" t="s">
        <v>5833</v>
      </c>
      <c r="K1193" s="28" t="s">
        <v>5186</v>
      </c>
      <c r="L1193" s="28" t="s">
        <v>5196</v>
      </c>
      <c r="M1193" s="56" t="s">
        <v>12701</v>
      </c>
      <c r="N1193" s="57">
        <v>45503.98125</v>
      </c>
      <c r="O1193" s="58">
        <v>41108.0</v>
      </c>
      <c r="P1193" s="28">
        <f t="shared" si="34"/>
        <v>13</v>
      </c>
      <c r="Q1193" s="28" t="s">
        <v>12702</v>
      </c>
      <c r="R1193" s="28" t="s">
        <v>12703</v>
      </c>
      <c r="S1193" s="28">
        <v>6.0</v>
      </c>
      <c r="T1193" s="28">
        <v>12.0</v>
      </c>
      <c r="U1193" s="28">
        <v>30.0</v>
      </c>
      <c r="V1193" s="28">
        <v>30.0</v>
      </c>
      <c r="W1193" s="28" t="s">
        <v>1173</v>
      </c>
      <c r="X1193" s="28" t="s">
        <v>272</v>
      </c>
      <c r="Y1193" s="28">
        <v>9.29609231E9</v>
      </c>
      <c r="Z1193" s="23"/>
      <c r="AA1193" s="28" t="s">
        <v>5512</v>
      </c>
      <c r="AB1193" s="28">
        <v>30.0</v>
      </c>
      <c r="AC1193" s="28" t="s">
        <v>23</v>
      </c>
      <c r="AD1193" s="28" t="s">
        <v>101</v>
      </c>
      <c r="AE1193" s="28" t="s">
        <v>19</v>
      </c>
      <c r="AF1193" s="23"/>
      <c r="AG1193" s="23"/>
      <c r="AH1193" s="23" t="str">
        <f>IFERROR(__xludf.DUMMYFUNCTION("IF(
ISNUMBER(MATCH(
C1193,
IMPORTRANGE(""https://docs.google.com/spreadsheets/d/1yTh1ELC33JHYOeEdgIiEclxPRyh0zOKtlawDltfUay8"",""'Interns'!A:A""),
0
)),
""Outreach Conducted"",
"""")"),"")</f>
        <v/>
      </c>
      <c r="AI1193" s="23"/>
      <c r="AJ1193" s="23"/>
      <c r="AK1193" s="23" t="str">
        <f>IFERROR(__xludf.DUMMYFUNCTION("XLOOKUP(C1193, 
   IMPORTRANGE(""1RdEdgHYrZ33LJ7RUHj_h-qkAFL92bcVjtIdVa-UlsCw"", ""Interns!D:D""), 
   IMPORTRANGE(""1RdEdgHYrZ33LJ7RUHj_h-qkAFL92bcVjtIdVa-UlsCw"", ""Interns!M:M""), 
   ""Not Found"")"),"Contacted")</f>
        <v>Contacted</v>
      </c>
      <c r="AL1193" s="23" t="str">
        <f>IFERROR(__xludf.DUMMYFUNCTION("XLOOKUP(C1193, 
   IMPORTRANGE(""1RdEdgHYrZ33LJ7RUHj_h-qkAFL92bcVjtIdVa-UlsCw"", ""Interns!D:D""), 
   IMPORTRANGE(""1RdEdgHYrZ33LJ7RUHj_h-qkAFL92bcVjtIdVa-UlsCw"", ""Interns!N:N""), 
   ""Not Found"")"),"#Cheers4Careers")</f>
        <v>#Cheers4Careers</v>
      </c>
      <c r="AM1193" s="23" t="str">
        <f>IFERROR(__xludf.DUMMYFUNCTION("XLOOKUP(C1193,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193" s="23"/>
      <c r="AO1193" s="23" t="s">
        <v>12704</v>
      </c>
      <c r="AP1193" s="28" t="s">
        <v>5182</v>
      </c>
      <c r="AQ1193" s="28" t="s">
        <v>12705</v>
      </c>
      <c r="AR1193" s="23">
        <v>9.172423382E9</v>
      </c>
      <c r="AS1193" s="23"/>
      <c r="AT1193" s="23"/>
      <c r="AU1193" s="23"/>
      <c r="AV1193" s="23"/>
    </row>
    <row r="1194">
      <c r="A1194" s="28" t="s">
        <v>5202</v>
      </c>
      <c r="B1194" s="28" t="s">
        <v>5162</v>
      </c>
      <c r="C1194" s="23" t="str">
        <f t="shared" si="1"/>
        <v>Pratima Bohara</v>
      </c>
      <c r="D1194" s="28" t="s">
        <v>12706</v>
      </c>
      <c r="E1194" s="28" t="s">
        <v>12707</v>
      </c>
      <c r="F1194" s="23">
        <f t="array" ref="F1194">IFERROR(
    INDEX('Hub Interns 226'!A:A, MATCH(C1194, 'Hub Interns 226'!B:B, 0)),"")</f>
        <v>998</v>
      </c>
      <c r="G1194" s="23">
        <f t="array" ref="G1194">IFERROR(
    INDEX('Hub Users 226'!A:A, MATCH(C1194, 'Hub Users 226'!B:B, 0)),"")</f>
        <v>1431</v>
      </c>
      <c r="H1194" s="28">
        <v>754.0</v>
      </c>
      <c r="I1194" s="28" t="s">
        <v>260</v>
      </c>
      <c r="J1194" s="28" t="s">
        <v>11070</v>
      </c>
      <c r="K1194" s="28" t="s">
        <v>5186</v>
      </c>
      <c r="L1194" s="28" t="s">
        <v>6647</v>
      </c>
      <c r="M1194" s="56" t="s">
        <v>12708</v>
      </c>
      <c r="N1194" s="59">
        <v>44551.57916666667</v>
      </c>
      <c r="O1194" s="58">
        <v>38097.0</v>
      </c>
      <c r="P1194" s="28">
        <f t="shared" si="34"/>
        <v>22</v>
      </c>
      <c r="Q1194" s="28" t="s">
        <v>12709</v>
      </c>
      <c r="R1194" s="28" t="s">
        <v>12710</v>
      </c>
      <c r="S1194" s="28">
        <v>6.0</v>
      </c>
      <c r="T1194" s="28">
        <v>12.0</v>
      </c>
      <c r="U1194" s="28">
        <v>30.0</v>
      </c>
      <c r="V1194" s="28">
        <v>30.0</v>
      </c>
      <c r="W1194" s="28" t="s">
        <v>1173</v>
      </c>
      <c r="X1194" s="28" t="s">
        <v>272</v>
      </c>
      <c r="Y1194" s="28" t="s">
        <v>12711</v>
      </c>
      <c r="Z1194" s="28" t="s">
        <v>5483</v>
      </c>
      <c r="AA1194" s="28" t="s">
        <v>457</v>
      </c>
      <c r="AB1194" s="28">
        <v>25.0</v>
      </c>
      <c r="AC1194" s="28" t="s">
        <v>25</v>
      </c>
      <c r="AD1194" s="23"/>
      <c r="AE1194" s="28" t="s">
        <v>10</v>
      </c>
      <c r="AF1194" s="23" t="str">
        <f>IFERROR(__xludf.DUMMYFUNCTION("TEXTJOIN("", "", TRUE,
  FILTER(Champions!C:C,
    ISNUMBER(SEARCH(C1194, Champions!W:W))
  )
)"),"#N/A")</f>
        <v>#N/A</v>
      </c>
      <c r="AG1194" s="23"/>
      <c r="AH1194" s="23" t="str">
        <f>IFERROR(__xludf.DUMMYFUNCTION("IF(
ISNUMBER(MATCH(
C1194,
IMPORTRANGE(""https://docs.google.com/spreadsheets/d/1yTh1ELC33JHYOeEdgIiEclxPRyh0zOKtlawDltfUay8"",""'Interns'!A:A""),
0
)),
""Outreach Conducted"",
"""")"),"")</f>
        <v/>
      </c>
      <c r="AI1194" s="23"/>
      <c r="AJ1194" s="23"/>
      <c r="AK1194" s="23" t="str">
        <f>IFERROR(__xludf.DUMMYFUNCTION("XLOOKUP(C1194, 
   IMPORTRANGE(""1RdEdgHYrZ33LJ7RUHj_h-qkAFL92bcVjtIdVa-UlsCw"", ""Interns!D:D""), 
   IMPORTRANGE(""1RdEdgHYrZ33LJ7RUHj_h-qkAFL92bcVjtIdVa-UlsCw"", ""Interns!M:M""), 
   ""Not Found"")"),"")</f>
        <v/>
      </c>
      <c r="AL1194" s="23" t="str">
        <f>IFERROR(__xludf.DUMMYFUNCTION("XLOOKUP(C1194, 
   IMPORTRANGE(""1RdEdgHYrZ33LJ7RUHj_h-qkAFL92bcVjtIdVa-UlsCw"", ""Interns!D:D""), 
   IMPORTRANGE(""1RdEdgHYrZ33LJ7RUHj_h-qkAFL92bcVjtIdVa-UlsCw"", ""Interns!N:N""), 
   ""Not Found"")"),"")</f>
        <v/>
      </c>
      <c r="AM1194" s="23" t="str">
        <f>IFERROR(__xludf.DUMMYFUNCTION("XLOOKUP(C1194, 
   IMPORTRANGE(""1RdEdgHYrZ33LJ7RUHj_h-qkAFL92bcVjtIdVa-UlsCw"", ""Interns!D:D""), 
   IMPORTRANGE(""1RdEdgHYrZ33LJ7RUHj_h-qkAFL92bcVjtIdVa-UlsCw"", ""Interns!O:O""), 
   ""Not Found"")"),"")</f>
        <v/>
      </c>
      <c r="AN1194" s="23"/>
      <c r="AO1194" s="23" t="s">
        <v>12712</v>
      </c>
      <c r="AP1194" s="28" t="s">
        <v>5191</v>
      </c>
      <c r="AQ1194" s="28" t="s">
        <v>12713</v>
      </c>
      <c r="AR1194" s="23" t="s">
        <v>12714</v>
      </c>
      <c r="AS1194" s="23"/>
      <c r="AT1194" s="23"/>
      <c r="AU1194" s="23"/>
      <c r="AV1194" s="23"/>
    </row>
    <row r="1195">
      <c r="A1195" s="28" t="s">
        <v>5161</v>
      </c>
      <c r="B1195" s="28" t="s">
        <v>5162</v>
      </c>
      <c r="C1195" s="23" t="str">
        <f t="shared" si="1"/>
        <v>Yamin Titikpina</v>
      </c>
      <c r="D1195" s="28" t="s">
        <v>12715</v>
      </c>
      <c r="E1195" s="28" t="s">
        <v>12716</v>
      </c>
      <c r="F1195" s="23">
        <f t="array" ref="F1195">IFERROR(
    INDEX('Hub Interns 226'!A:A, MATCH(C1195, 'Hub Interns 226'!B:B, 0)),"")</f>
        <v>1213</v>
      </c>
      <c r="G1195" s="23">
        <f t="array" ref="G1195">IFERROR(
    INDEX('Hub Users 226'!A:A, MATCH(C1195, 'Hub Users 226'!B:B, 0)),"")</f>
        <v>1646</v>
      </c>
      <c r="H1195" s="28">
        <v>219.0</v>
      </c>
      <c r="I1195" s="28" t="s">
        <v>239</v>
      </c>
      <c r="J1195" s="28" t="s">
        <v>9570</v>
      </c>
      <c r="K1195" s="28" t="s">
        <v>5245</v>
      </c>
      <c r="L1195" s="28" t="s">
        <v>5165</v>
      </c>
      <c r="M1195" s="56" t="s">
        <v>12717</v>
      </c>
      <c r="N1195" s="57">
        <v>44102.64097222222</v>
      </c>
      <c r="O1195" s="58">
        <v>38250.0</v>
      </c>
      <c r="P1195" s="28">
        <f t="shared" si="34"/>
        <v>21</v>
      </c>
      <c r="Q1195" s="28" t="s">
        <v>240</v>
      </c>
      <c r="R1195" s="28" t="s">
        <v>12718</v>
      </c>
      <c r="S1195" s="28">
        <v>15.0</v>
      </c>
      <c r="T1195" s="28">
        <v>32.0</v>
      </c>
      <c r="U1195" s="28">
        <v>77.0</v>
      </c>
      <c r="V1195" s="28">
        <v>16.0</v>
      </c>
      <c r="W1195" s="28" t="s">
        <v>859</v>
      </c>
      <c r="X1195" s="28" t="s">
        <v>272</v>
      </c>
      <c r="Y1195" s="28" t="s">
        <v>12719</v>
      </c>
      <c r="Z1195" s="28" t="s">
        <v>5435</v>
      </c>
      <c r="AA1195" s="28" t="s">
        <v>5436</v>
      </c>
      <c r="AB1195" s="28">
        <v>10.0</v>
      </c>
      <c r="AC1195" s="28" t="s">
        <v>25</v>
      </c>
      <c r="AD1195" s="23"/>
      <c r="AE1195" s="28" t="s">
        <v>8</v>
      </c>
      <c r="AF1195" s="23" t="str">
        <f>IFERROR(__xludf.DUMMYFUNCTION("TEXTJOIN("", "", TRUE,
  FILTER(Champions!C:C,
    ISNUMBER(SEARCH(C1195, Champions!W:W))
  )
)"),"Benazir Fateh, Sahabia Ahmed, Lily Chu")</f>
        <v>Benazir Fateh, Sahabia Ahmed, Lily Chu</v>
      </c>
      <c r="AG1195" s="23"/>
      <c r="AH1195" s="23" t="str">
        <f>IFERROR(__xludf.DUMMYFUNCTION("IF(
ISNUMBER(MATCH(
C1195,
IMPORTRANGE(""https://docs.google.com/spreadsheets/d/1yTh1ELC33JHYOeEdgIiEclxPRyh0zOKtlawDltfUay8"",""'Interns'!A:A""),
0
)),
""Outreach Conducted"",
"""")"),"")</f>
        <v/>
      </c>
      <c r="AI1195" s="23"/>
      <c r="AJ1195" s="23"/>
      <c r="AK1195" s="23" t="str">
        <f>IFERROR(__xludf.DUMMYFUNCTION("XLOOKUP(C1195, 
   IMPORTRANGE(""1RdEdgHYrZ33LJ7RUHj_h-qkAFL92bcVjtIdVa-UlsCw"", ""Interns!D:D""), 
   IMPORTRANGE(""1RdEdgHYrZ33LJ7RUHj_h-qkAFL92bcVjtIdVa-UlsCw"", ""Interns!M:M""), 
   ""Not Found"")"),"Contacted")</f>
        <v>Contacted</v>
      </c>
      <c r="AL1195" s="23" t="str">
        <f>IFERROR(__xludf.DUMMYFUNCTION("XLOOKUP(C1195, 
   IMPORTRANGE(""1RdEdgHYrZ33LJ7RUHj_h-qkAFL92bcVjtIdVa-UlsCw"", ""Interns!D:D""), 
   IMPORTRANGE(""1RdEdgHYrZ33LJ7RUHj_h-qkAFL92bcVjtIdVa-UlsCw"", ""Interns!N:N""), 
   ""Not Found"")"),"#Cheers4Careers")</f>
        <v>#Cheers4Careers</v>
      </c>
      <c r="AM1195" s="23" t="str">
        <f>IFERROR(__xludf.DUMMYFUNCTION("XLOOKUP(C1195, 
   IMPORTRANGE(""1RdEdgHYrZ33LJ7RUHj_h-qkAFL92bcVjtIdVa-UlsCw"", ""Interns!D:D""), 
   IMPORTRANGE(""1RdEdgHYrZ33LJ7RUHj_h-qkAFL92bcVjtIdVa-UlsCw"", ""Interns!O:O""), 
   ""Not Found"")"),"Hetal reached out by email 3/27")</f>
        <v>Hetal reached out by email 3/27</v>
      </c>
      <c r="AN1195" s="23"/>
      <c r="AO1195" s="23" t="s">
        <v>12720</v>
      </c>
      <c r="AP1195" s="28" t="s">
        <v>5191</v>
      </c>
      <c r="AQ1195" s="28" t="s">
        <v>12721</v>
      </c>
      <c r="AR1195" s="23" t="s">
        <v>12722</v>
      </c>
      <c r="AS1195" s="28" t="s">
        <v>12723</v>
      </c>
      <c r="AT1195" s="23"/>
      <c r="AU1195" s="23"/>
      <c r="AV1195" s="23"/>
    </row>
    <row r="1196">
      <c r="A1196" s="28" t="s">
        <v>5161</v>
      </c>
      <c r="B1196" s="28" t="s">
        <v>31</v>
      </c>
      <c r="C1196" s="23" t="str">
        <f t="shared" si="1"/>
        <v>Jose. Salas</v>
      </c>
      <c r="D1196" s="28" t="s">
        <v>12724</v>
      </c>
      <c r="E1196" s="28" t="s">
        <v>12725</v>
      </c>
      <c r="F1196" s="28">
        <v>690.0</v>
      </c>
      <c r="G1196" s="28">
        <v>1123.0</v>
      </c>
      <c r="H1196" s="28">
        <v>875.0</v>
      </c>
      <c r="I1196" s="28" t="s">
        <v>239</v>
      </c>
      <c r="J1196" s="28"/>
      <c r="K1196" s="28"/>
      <c r="L1196" s="28" t="s">
        <v>5165</v>
      </c>
      <c r="M1196" s="56" t="s">
        <v>12726</v>
      </c>
      <c r="N1196" s="57">
        <v>44596.625</v>
      </c>
      <c r="O1196" s="58">
        <v>38192.0</v>
      </c>
      <c r="P1196" s="28">
        <f t="shared" si="34"/>
        <v>21</v>
      </c>
      <c r="Q1196" s="28" t="s">
        <v>240</v>
      </c>
      <c r="R1196" s="28" t="s">
        <v>12727</v>
      </c>
      <c r="S1196" s="28"/>
      <c r="T1196" s="28"/>
      <c r="U1196" s="28"/>
      <c r="V1196" s="28"/>
      <c r="W1196" s="28" t="s">
        <v>859</v>
      </c>
      <c r="X1196" s="28" t="s">
        <v>272</v>
      </c>
      <c r="Y1196" s="28" t="s">
        <v>12728</v>
      </c>
      <c r="Z1196" s="28" t="s">
        <v>5310</v>
      </c>
      <c r="AA1196" s="28" t="s">
        <v>362</v>
      </c>
      <c r="AB1196" s="28">
        <v>16.0</v>
      </c>
      <c r="AC1196" s="28" t="s">
        <v>24</v>
      </c>
      <c r="AD1196" s="23"/>
      <c r="AE1196" s="28" t="s">
        <v>8</v>
      </c>
      <c r="AF1196" s="23"/>
      <c r="AG1196" s="23"/>
      <c r="AH1196" s="23" t="str">
        <f>IFERROR(__xludf.DUMMYFUNCTION("IF(
ISNUMBER(MATCH(
C1196,
IMPORTRANGE(""https://docs.google.com/spreadsheets/d/1yTh1ELC33JHYOeEdgIiEclxPRyh0zOKtlawDltfUay8"",""'Interns'!A:A""),
0
)),
""Outreach Conducted"",
"""")"),"")</f>
        <v/>
      </c>
      <c r="AI1196" s="23"/>
      <c r="AJ1196" s="23"/>
      <c r="AK1196" s="23" t="str">
        <f>IFERROR(__xludf.DUMMYFUNCTION("XLOOKUP(C1196, 
   IMPORTRANGE(""1RdEdgHYrZ33LJ7RUHj_h-qkAFL92bcVjtIdVa-UlsCw"", ""Interns!D:D""), 
   IMPORTRANGE(""1RdEdgHYrZ33LJ7RUHj_h-qkAFL92bcVjtIdVa-UlsCw"", ""Interns!M:M""), 
   ""Not Found"")"),"")</f>
        <v/>
      </c>
      <c r="AL1196" s="23" t="str">
        <f>IFERROR(__xludf.DUMMYFUNCTION("XLOOKUP(C1196, 
   IMPORTRANGE(""1RdEdgHYrZ33LJ7RUHj_h-qkAFL92bcVjtIdVa-UlsCw"", ""Interns!D:D""), 
   IMPORTRANGE(""1RdEdgHYrZ33LJ7RUHj_h-qkAFL92bcVjtIdVa-UlsCw"", ""Interns!N:N""), 
   ""Not Found"")"),"")</f>
        <v/>
      </c>
      <c r="AM1196" s="23" t="str">
        <f>IFERROR(__xludf.DUMMYFUNCTION("XLOOKUP(C1196, 
   IMPORTRANGE(""1RdEdgHYrZ33LJ7RUHj_h-qkAFL92bcVjtIdVa-UlsCw"", ""Interns!D:D""), 
   IMPORTRANGE(""1RdEdgHYrZ33LJ7RUHj_h-qkAFL92bcVjtIdVa-UlsCw"", ""Interns!O:O""), 
   ""Not Found"")"),"")</f>
        <v/>
      </c>
      <c r="AN1196" s="23"/>
      <c r="AO1196" s="23" t="s">
        <v>12729</v>
      </c>
      <c r="AP1196" s="28" t="s">
        <v>5641</v>
      </c>
      <c r="AQ1196" s="28" t="s">
        <v>12730</v>
      </c>
      <c r="AR1196" s="23" t="s">
        <v>12728</v>
      </c>
      <c r="AS1196" s="23"/>
      <c r="AT1196" s="23"/>
      <c r="AU1196" s="23"/>
      <c r="AV1196" s="23"/>
    </row>
    <row r="1197">
      <c r="A1197" s="28" t="s">
        <v>5161</v>
      </c>
      <c r="B1197" s="28" t="s">
        <v>31</v>
      </c>
      <c r="C1197" s="23" t="str">
        <f t="shared" si="1"/>
        <v>Lauren Pena</v>
      </c>
      <c r="D1197" s="28" t="s">
        <v>2074</v>
      </c>
      <c r="E1197" s="28" t="s">
        <v>6838</v>
      </c>
      <c r="F1197" s="23">
        <f t="array" ref="F1197">IFERROR(
    INDEX('Hub Interns 226'!A:A, MATCH(C1197, 'Hub Interns 226'!B:B, 0)),"")</f>
        <v>764</v>
      </c>
      <c r="G1197" s="23">
        <f t="array" ref="G1197">IFERROR(
    INDEX('Hub Users 226'!A:A, MATCH(C1197, 'Hub Users 226'!B:B, 0)),"")</f>
        <v>1197</v>
      </c>
      <c r="H1197" s="28">
        <v>1618.0</v>
      </c>
      <c r="I1197" s="28"/>
      <c r="J1197" s="28"/>
      <c r="K1197" s="28"/>
      <c r="L1197" s="28" t="s">
        <v>5196</v>
      </c>
      <c r="M1197" s="56" t="s">
        <v>12731</v>
      </c>
      <c r="N1197" s="57">
        <v>45084.368055555555</v>
      </c>
      <c r="O1197" s="58">
        <v>40512.0</v>
      </c>
      <c r="P1197" s="28">
        <f t="shared" si="34"/>
        <v>15</v>
      </c>
      <c r="Q1197" s="28" t="s">
        <v>240</v>
      </c>
      <c r="R1197" s="28" t="s">
        <v>12732</v>
      </c>
      <c r="S1197" s="28"/>
      <c r="T1197" s="28"/>
      <c r="U1197" s="28"/>
      <c r="V1197" s="28">
        <v>26.0</v>
      </c>
      <c r="W1197" s="28" t="s">
        <v>1173</v>
      </c>
      <c r="X1197" s="28" t="s">
        <v>272</v>
      </c>
      <c r="Y1197" s="28" t="s">
        <v>11666</v>
      </c>
      <c r="Z1197" s="28" t="s">
        <v>5352</v>
      </c>
      <c r="AA1197" s="28" t="s">
        <v>5287</v>
      </c>
      <c r="AB1197" s="28">
        <v>26.0</v>
      </c>
      <c r="AC1197" s="28" t="s">
        <v>23</v>
      </c>
      <c r="AD1197" s="23"/>
      <c r="AE1197" s="28" t="s">
        <v>15</v>
      </c>
      <c r="AF1197" s="23"/>
      <c r="AG1197" s="23"/>
      <c r="AH1197" s="23" t="str">
        <f>IFERROR(__xludf.DUMMYFUNCTION("IF(
ISNUMBER(MATCH(
C1197,
IMPORTRANGE(""https://docs.google.com/spreadsheets/d/1yTh1ELC33JHYOeEdgIiEclxPRyh0zOKtlawDltfUay8"",""'Interns'!A:A""),
0
)),
""Outreach Conducted"",
"""")"),"")</f>
        <v/>
      </c>
      <c r="AI1197" s="23"/>
      <c r="AJ1197" s="23"/>
      <c r="AK1197" s="23" t="str">
        <f>IFERROR(__xludf.DUMMYFUNCTION("XLOOKUP(C1197, 
   IMPORTRANGE(""1RdEdgHYrZ33LJ7RUHj_h-qkAFL92bcVjtIdVa-UlsCw"", ""Interns!D:D""), 
   IMPORTRANGE(""1RdEdgHYrZ33LJ7RUHj_h-qkAFL92bcVjtIdVa-UlsCw"", ""Interns!M:M""), 
   ""Not Found"")"),"Contacted")</f>
        <v>Contacted</v>
      </c>
      <c r="AL1197" s="23" t="str">
        <f>IFERROR(__xludf.DUMMYFUNCTION("XLOOKUP(C1197, 
   IMPORTRANGE(""1RdEdgHYrZ33LJ7RUHj_h-qkAFL92bcVjtIdVa-UlsCw"", ""Interns!D:D""), 
   IMPORTRANGE(""1RdEdgHYrZ33LJ7RUHj_h-qkAFL92bcVjtIdVa-UlsCw"", ""Interns!N:N""), 
   ""Not Found"")"),"#Cheers4Careers")</f>
        <v>#Cheers4Careers</v>
      </c>
      <c r="AM1197" s="23" t="str">
        <f>IFERROR(__xludf.DUMMYFUNCTION("XLOOKUP(C1197, 
   IMPORTRANGE(""1RdEdgHYrZ33LJ7RUHj_h-qkAFL92bcVjtIdVa-UlsCw"", ""Interns!D:D""), 
   IMPORTRANGE(""1RdEdgHYrZ33LJ7RUHj_h-qkAFL92bcVjtIdVa-UlsCw"", ""Interns!O:O""), 
   ""Not Found"")"),"Hetal reached out by email 3/27")</f>
        <v>Hetal reached out by email 3/27</v>
      </c>
      <c r="AN1197" s="23"/>
      <c r="AO1197" s="23" t="s">
        <v>12733</v>
      </c>
      <c r="AP1197" s="28" t="s">
        <v>5182</v>
      </c>
      <c r="AQ1197" s="28"/>
      <c r="AR1197" s="23"/>
      <c r="AS1197" s="23"/>
      <c r="AT1197" s="23"/>
      <c r="AU1197" s="23"/>
      <c r="AV1197" s="23"/>
    </row>
    <row r="1198">
      <c r="A1198" s="28" t="s">
        <v>5161</v>
      </c>
      <c r="B1198" s="28" t="s">
        <v>5162</v>
      </c>
      <c r="C1198" s="23" t="str">
        <f t="shared" si="1"/>
        <v>Zenoul DJEPONOGNI</v>
      </c>
      <c r="D1198" s="28" t="s">
        <v>12734</v>
      </c>
      <c r="E1198" s="28" t="s">
        <v>12735</v>
      </c>
      <c r="F1198" s="23">
        <f t="array" ref="F1198">IFERROR(
    INDEX('Hub Interns 226'!A:A, MATCH(C1198, 'Hub Interns 226'!B:B, 0)),"")</f>
        <v>1255</v>
      </c>
      <c r="G1198" s="23">
        <f t="array" ref="G1198">IFERROR(
    INDEX('Hub Users 226'!A:A, MATCH(C1198, 'Hub Users 226'!B:B, 0)),"")</f>
        <v>1688</v>
      </c>
      <c r="H1198" s="28">
        <v>420.0</v>
      </c>
      <c r="I1198" s="28" t="s">
        <v>290</v>
      </c>
      <c r="J1198" s="28" t="s">
        <v>9570</v>
      </c>
      <c r="K1198" s="28" t="s">
        <v>5245</v>
      </c>
      <c r="L1198" s="28" t="s">
        <v>5165</v>
      </c>
      <c r="M1198" s="56" t="s">
        <v>12736</v>
      </c>
      <c r="N1198" s="57">
        <v>44314.52916666667</v>
      </c>
      <c r="O1198" s="58">
        <v>37099.0</v>
      </c>
      <c r="P1198" s="28">
        <f t="shared" si="34"/>
        <v>24</v>
      </c>
      <c r="Q1198" s="28" t="s">
        <v>240</v>
      </c>
      <c r="R1198" s="28" t="s">
        <v>12737</v>
      </c>
      <c r="S1198" s="28">
        <v>15.0</v>
      </c>
      <c r="T1198" s="28">
        <v>29.0</v>
      </c>
      <c r="U1198" s="28">
        <v>77.0</v>
      </c>
      <c r="V1198" s="28">
        <v>16.0</v>
      </c>
      <c r="W1198" s="28" t="s">
        <v>859</v>
      </c>
      <c r="X1198" s="28" t="s">
        <v>272</v>
      </c>
      <c r="Y1198" s="28" t="s">
        <v>12738</v>
      </c>
      <c r="Z1198" s="28" t="s">
        <v>5310</v>
      </c>
      <c r="AA1198" s="28" t="s">
        <v>362</v>
      </c>
      <c r="AB1198" s="28">
        <v>16.0</v>
      </c>
      <c r="AC1198" s="28" t="s">
        <v>24</v>
      </c>
      <c r="AD1198" s="23"/>
      <c r="AE1198" s="28" t="s">
        <v>8</v>
      </c>
      <c r="AF1198" s="23"/>
      <c r="AG1198" s="23"/>
      <c r="AH1198" s="23" t="str">
        <f>IFERROR(__xludf.DUMMYFUNCTION("IF(
ISNUMBER(MATCH(
C1198,
IMPORTRANGE(""https://docs.google.com/spreadsheets/d/1yTh1ELC33JHYOeEdgIiEclxPRyh0zOKtlawDltfUay8"",""'Interns'!A:A""),
0
)),
""Outreach Conducted"",
"""")"),"")</f>
        <v/>
      </c>
      <c r="AI1198" s="23"/>
      <c r="AJ1198" s="23"/>
      <c r="AK1198" s="23" t="str">
        <f>IFERROR(__xludf.DUMMYFUNCTION("XLOOKUP(C1198, 
   IMPORTRANGE(""1RdEdgHYrZ33LJ7RUHj_h-qkAFL92bcVjtIdVa-UlsCw"", ""Interns!D:D""), 
   IMPORTRANGE(""1RdEdgHYrZ33LJ7RUHj_h-qkAFL92bcVjtIdVa-UlsCw"", ""Interns!M:M""), 
   ""Not Found"")"),"")</f>
        <v/>
      </c>
      <c r="AL1198" s="23" t="str">
        <f>IFERROR(__xludf.DUMMYFUNCTION("XLOOKUP(C1198, 
   IMPORTRANGE(""1RdEdgHYrZ33LJ7RUHj_h-qkAFL92bcVjtIdVa-UlsCw"", ""Interns!D:D""), 
   IMPORTRANGE(""1RdEdgHYrZ33LJ7RUHj_h-qkAFL92bcVjtIdVa-UlsCw"", ""Interns!N:N""), 
   ""Not Found"")"),"#SpeakingMyName")</f>
        <v>#SpeakingMyName</v>
      </c>
      <c r="AM1198" s="23" t="str">
        <f>IFERROR(__xludf.DUMMYFUNCTION("XLOOKUP(C1198, 
   IMPORTRANGE(""1RdEdgHYrZ33LJ7RUHj_h-qkAFL92bcVjtIdVa-UlsCw"", ""Interns!D:D""), 
   IMPORTRANGE(""1RdEdgHYrZ33LJ7RUHj_h-qkAFL92bcVjtIdVa-UlsCw"", ""Interns!O:O""), 
   ""Not Found"")"),"Alicia reached out by email on 5/15 for #SpeakingMyName")</f>
        <v>Alicia reached out by email on 5/15 for #SpeakingMyName</v>
      </c>
      <c r="AN1198" s="23"/>
      <c r="AO1198" s="23" t="s">
        <v>12739</v>
      </c>
      <c r="AP1198" s="28" t="s">
        <v>5908</v>
      </c>
      <c r="AQ1198" s="28"/>
      <c r="AR1198" s="23"/>
      <c r="AS1198" s="23"/>
      <c r="AT1198" s="23"/>
      <c r="AU1198" s="23"/>
      <c r="AV1198" s="23"/>
    </row>
    <row r="1199">
      <c r="A1199" s="28" t="s">
        <v>5161</v>
      </c>
      <c r="B1199" s="28" t="s">
        <v>5162</v>
      </c>
      <c r="C1199" s="23" t="str">
        <f t="shared" si="1"/>
        <v>Mayra Poma</v>
      </c>
      <c r="D1199" s="28" t="s">
        <v>5399</v>
      </c>
      <c r="E1199" s="28" t="s">
        <v>5803</v>
      </c>
      <c r="F1199" s="23">
        <f t="array" ref="F1199">IFERROR(
    INDEX('Hub Interns 226'!A:A, MATCH(C1199, 'Hub Interns 226'!B:B, 0)),"")</f>
        <v>861</v>
      </c>
      <c r="G1199" s="23">
        <f t="array" ref="G1199">IFERROR(
    INDEX('Hub Users 226'!A:A, MATCH(C1199, 'Hub Users 226'!B:B, 0)),"")</f>
        <v>1294</v>
      </c>
      <c r="H1199" s="28">
        <v>1148.0</v>
      </c>
      <c r="I1199" s="28"/>
      <c r="J1199" s="28" t="s">
        <v>5785</v>
      </c>
      <c r="K1199" s="28" t="s">
        <v>5463</v>
      </c>
      <c r="L1199" s="28" t="s">
        <v>5196</v>
      </c>
      <c r="M1199" s="56" t="s">
        <v>12740</v>
      </c>
      <c r="N1199" s="57">
        <v>44749.54791666667</v>
      </c>
      <c r="O1199" s="58">
        <v>39432.0</v>
      </c>
      <c r="P1199" s="28">
        <f t="shared" si="34"/>
        <v>18</v>
      </c>
      <c r="Q1199" s="28" t="s">
        <v>240</v>
      </c>
      <c r="R1199" s="28" t="s">
        <v>12741</v>
      </c>
      <c r="S1199" s="28">
        <v>6.0</v>
      </c>
      <c r="T1199" s="28">
        <v>12.0</v>
      </c>
      <c r="U1199" s="28">
        <v>30.0</v>
      </c>
      <c r="V1199" s="28">
        <v>26.0</v>
      </c>
      <c r="W1199" s="28" t="s">
        <v>271</v>
      </c>
      <c r="X1199" s="28" t="s">
        <v>272</v>
      </c>
      <c r="Y1199" s="28" t="s">
        <v>12742</v>
      </c>
      <c r="Z1199" s="28" t="s">
        <v>5259</v>
      </c>
      <c r="AA1199" s="28" t="s">
        <v>704</v>
      </c>
      <c r="AB1199" s="28">
        <v>2.0</v>
      </c>
      <c r="AC1199" s="28" t="s">
        <v>23</v>
      </c>
      <c r="AD1199" s="23"/>
      <c r="AE1199" s="28" t="s">
        <v>15</v>
      </c>
      <c r="AF1199" s="23"/>
      <c r="AG1199" s="26" t="s">
        <v>5316</v>
      </c>
      <c r="AH1199" s="23" t="str">
        <f>IFERROR(__xludf.DUMMYFUNCTION("IF(
ISNUMBER(MATCH(
C1199,
IMPORTRANGE(""https://docs.google.com/spreadsheets/d/1yTh1ELC33JHYOeEdgIiEclxPRyh0zOKtlawDltfUay8"",""'Interns'!A:A""),
0
)),
""Outreach Conducted"",
"""")"),"")</f>
        <v/>
      </c>
      <c r="AI1199" s="23"/>
      <c r="AJ1199" s="23"/>
      <c r="AK1199" s="23" t="str">
        <f>IFERROR(__xludf.DUMMYFUNCTION("XLOOKUP(C1199, 
   IMPORTRANGE(""1RdEdgHYrZ33LJ7RUHj_h-qkAFL92bcVjtIdVa-UlsCw"", ""Interns!D:D""), 
   IMPORTRANGE(""1RdEdgHYrZ33LJ7RUHj_h-qkAFL92bcVjtIdVa-UlsCw"", ""Interns!M:M""), 
   ""Not Found"")"),"Contacted")</f>
        <v>Contacted</v>
      </c>
      <c r="AL1199" s="23" t="str">
        <f>IFERROR(__xludf.DUMMYFUNCTION("XLOOKUP(C1199, 
   IMPORTRANGE(""1RdEdgHYrZ33LJ7RUHj_h-qkAFL92bcVjtIdVa-UlsCw"", ""Interns!D:D""), 
   IMPORTRANGE(""1RdEdgHYrZ33LJ7RUHj_h-qkAFL92bcVjtIdVa-UlsCw"", ""Interns!N:N""), 
   ""Not Found"")"),"#Cheers4Careers")</f>
        <v>#Cheers4Careers</v>
      </c>
      <c r="AM1199" s="23" t="str">
        <f>IFERROR(__xludf.DUMMYFUNCTION("XLOOKUP(C1199, 
   IMPORTRANGE(""1RdEdgHYrZ33LJ7RUHj_h-qkAFL92bcVjtIdVa-UlsCw"", ""Interns!D:D""), 
   IMPORTRANGE(""1RdEdgHYrZ33LJ7RUHj_h-qkAFL92bcVjtIdVa-UlsCw"", ""Interns!O:O""), 
   ""Not Found"")"),"Ousmane reached out by email 3/26 ")</f>
        <v>Ousmane reached out by email 3/26 </v>
      </c>
      <c r="AN1199" s="23"/>
      <c r="AO1199" s="23" t="s">
        <v>12743</v>
      </c>
      <c r="AP1199" s="28" t="s">
        <v>5182</v>
      </c>
      <c r="AQ1199" s="28"/>
      <c r="AR1199" s="23"/>
      <c r="AS1199" s="23"/>
      <c r="AT1199" s="23"/>
      <c r="AU1199" s="23"/>
      <c r="AV1199" s="23"/>
    </row>
    <row r="1200">
      <c r="A1200" s="28" t="s">
        <v>5161</v>
      </c>
      <c r="B1200" s="28" t="s">
        <v>5162</v>
      </c>
      <c r="C1200" s="23" t="str">
        <f t="shared" si="1"/>
        <v>Naimatou Sefou Moussa</v>
      </c>
      <c r="D1200" s="28" t="s">
        <v>12744</v>
      </c>
      <c r="E1200" s="28" t="s">
        <v>12745</v>
      </c>
      <c r="F1200" s="23">
        <f t="array" ref="F1200">IFERROR(
    INDEX('Hub Interns 226'!A:A, MATCH(C1200, 'Hub Interns 226'!B:B, 0)),"")</f>
        <v>912</v>
      </c>
      <c r="G1200" s="23">
        <f t="array" ref="G1200">IFERROR(
    INDEX('Hub Users 226'!A:A, MATCH(C1200, 'Hub Users 226'!B:B, 0)),"")</f>
        <v>1345</v>
      </c>
      <c r="H1200" s="28">
        <v>246.0</v>
      </c>
      <c r="I1200" s="28" t="s">
        <v>260</v>
      </c>
      <c r="J1200" s="28" t="s">
        <v>9570</v>
      </c>
      <c r="K1200" s="28" t="s">
        <v>5245</v>
      </c>
      <c r="L1200" s="28" t="s">
        <v>5196</v>
      </c>
      <c r="M1200" s="56" t="s">
        <v>12746</v>
      </c>
      <c r="N1200" s="57">
        <v>44137.55347222222</v>
      </c>
      <c r="O1200" s="58">
        <v>37338.0</v>
      </c>
      <c r="P1200" s="28">
        <f t="shared" si="34"/>
        <v>24</v>
      </c>
      <c r="Q1200" s="28" t="s">
        <v>12747</v>
      </c>
      <c r="R1200" s="28" t="s">
        <v>12748</v>
      </c>
      <c r="S1200" s="28">
        <v>15.0</v>
      </c>
      <c r="T1200" s="28">
        <v>33.0</v>
      </c>
      <c r="U1200" s="28">
        <v>80.0</v>
      </c>
      <c r="V1200" s="28">
        <v>18.0</v>
      </c>
      <c r="W1200" s="28" t="s">
        <v>859</v>
      </c>
      <c r="X1200" s="28" t="s">
        <v>272</v>
      </c>
      <c r="Y1200" s="28">
        <v>6.467971014E9</v>
      </c>
      <c r="Z1200" s="28" t="s">
        <v>7670</v>
      </c>
      <c r="AA1200" s="28" t="s">
        <v>7671</v>
      </c>
      <c r="AB1200" s="28">
        <v>10.0</v>
      </c>
      <c r="AC1200" s="28" t="s">
        <v>25</v>
      </c>
      <c r="AD1200" s="23"/>
      <c r="AE1200" s="28" t="s">
        <v>9</v>
      </c>
      <c r="AF1200" s="23" t="str">
        <f>IFERROR(__xludf.DUMMYFUNCTION("TEXTJOIN("", "", TRUE,
  FILTER(Champions!C:C,
    ISNUMBER(SEARCH(C1200, Champions!W:W))
  )
)"),"Abigail Mawhirter, Divya Jani, Namrata Ramani, Madhumitha Sowndararajan, Tanya Toko, Vicki Teman")</f>
        <v>Abigail Mawhirter, Divya Jani, Namrata Ramani, Madhumitha Sowndararajan, Tanya Toko, Vicki Teman</v>
      </c>
      <c r="AG1200" s="23"/>
      <c r="AH1200" s="23" t="str">
        <f>IFERROR(__xludf.DUMMYFUNCTION("IF(
ISNUMBER(MATCH(
C1200,
IMPORTRANGE(""https://docs.google.com/spreadsheets/d/1yTh1ELC33JHYOeEdgIiEclxPRyh0zOKtlawDltfUay8"",""'Interns'!A:A""),
0
)),
""Outreach Conducted"",
"""")"),"")</f>
        <v/>
      </c>
      <c r="AI1200" s="23"/>
      <c r="AJ1200" s="23"/>
      <c r="AK1200" s="23" t="str">
        <f>IFERROR(__xludf.DUMMYFUNCTION("XLOOKUP(C1200, 
   IMPORTRANGE(""1RdEdgHYrZ33LJ7RUHj_h-qkAFL92bcVjtIdVa-UlsCw"", ""Interns!D:D""), 
   IMPORTRANGE(""1RdEdgHYrZ33LJ7RUHj_h-qkAFL92bcVjtIdVa-UlsCw"", ""Interns!M:M""), 
   ""Not Found"")"),"Contacted")</f>
        <v>Contacted</v>
      </c>
      <c r="AL1200" s="23" t="str">
        <f>IFERROR(__xludf.DUMMYFUNCTION("XLOOKUP(C1200, 
   IMPORTRANGE(""1RdEdgHYrZ33LJ7RUHj_h-qkAFL92bcVjtIdVa-UlsCw"", ""Interns!D:D""), 
   IMPORTRANGE(""1RdEdgHYrZ33LJ7RUHj_h-qkAFL92bcVjtIdVa-UlsCw"", ""Interns!N:N""), 
   ""Not Found"")"),"#Cheers4Careers")</f>
        <v>#Cheers4Careers</v>
      </c>
      <c r="AM1200" s="23" t="str">
        <f>IFERROR(__xludf.DUMMYFUNCTION("XLOOKUP(C1200, 
   IMPORTRANGE(""1RdEdgHYrZ33LJ7RUHj_h-qkAFL92bcVjtIdVa-UlsCw"", ""Interns!D:D""), 
   IMPORTRANGE(""1RdEdgHYrZ33LJ7RUHj_h-qkAFL92bcVjtIdVa-UlsCw"", ""Interns!O:O""), 
   ""Not Found"")"),"Hetal reached out by email 3/27")</f>
        <v>Hetal reached out by email 3/27</v>
      </c>
      <c r="AN1200" s="23"/>
      <c r="AO1200" s="23" t="s">
        <v>12749</v>
      </c>
      <c r="AP1200" s="28" t="s">
        <v>5191</v>
      </c>
      <c r="AQ1200" s="28" t="s">
        <v>12750</v>
      </c>
      <c r="AR1200" s="23">
        <v>6.468674357E9</v>
      </c>
      <c r="AS1200" s="23"/>
      <c r="AT1200" s="23"/>
      <c r="AU1200" s="23"/>
      <c r="AV1200" s="23"/>
    </row>
    <row r="1201">
      <c r="A1201" s="28" t="s">
        <v>5161</v>
      </c>
      <c r="B1201" s="28" t="s">
        <v>5162</v>
      </c>
      <c r="C1201" s="23" t="str">
        <f t="shared" si="1"/>
        <v>Naim Bakere</v>
      </c>
      <c r="D1201" s="28" t="s">
        <v>198</v>
      </c>
      <c r="E1201" s="28" t="s">
        <v>12751</v>
      </c>
      <c r="F1201" s="23">
        <f t="array" ref="F1201">IFERROR(
    INDEX('Hub Interns 226'!A:A, MATCH(C1201, 'Hub Interns 226'!B:B, 0)),"")</f>
        <v>911</v>
      </c>
      <c r="G1201" s="23">
        <f t="array" ref="G1201">IFERROR(
    INDEX('Hub Users 226'!A:A, MATCH(C1201, 'Hub Users 226'!B:B, 0)),"")</f>
        <v>1344</v>
      </c>
      <c r="H1201" s="28">
        <v>638.0</v>
      </c>
      <c r="I1201" s="28" t="s">
        <v>239</v>
      </c>
      <c r="J1201" s="28" t="s">
        <v>9570</v>
      </c>
      <c r="K1201" s="28" t="s">
        <v>5245</v>
      </c>
      <c r="L1201" s="28" t="s">
        <v>5165</v>
      </c>
      <c r="M1201" s="56" t="s">
        <v>63</v>
      </c>
      <c r="N1201" s="59">
        <v>44498.49722222222</v>
      </c>
      <c r="O1201" s="58">
        <v>37938.0</v>
      </c>
      <c r="P1201" s="28">
        <f t="shared" si="34"/>
        <v>22</v>
      </c>
      <c r="Q1201" s="28" t="s">
        <v>240</v>
      </c>
      <c r="R1201" s="28" t="s">
        <v>12752</v>
      </c>
      <c r="S1201" s="28">
        <v>15.0</v>
      </c>
      <c r="T1201" s="28">
        <v>32.0</v>
      </c>
      <c r="U1201" s="28">
        <v>79.0</v>
      </c>
      <c r="V1201" s="28">
        <v>15.0</v>
      </c>
      <c r="W1201" s="28" t="s">
        <v>859</v>
      </c>
      <c r="X1201" s="28" t="s">
        <v>272</v>
      </c>
      <c r="Y1201" s="28" t="s">
        <v>12753</v>
      </c>
      <c r="Z1201" s="28" t="s">
        <v>7670</v>
      </c>
      <c r="AA1201" s="28" t="s">
        <v>7671</v>
      </c>
      <c r="AB1201" s="28">
        <v>10.0</v>
      </c>
      <c r="AC1201" s="28" t="s">
        <v>25</v>
      </c>
      <c r="AD1201" s="23"/>
      <c r="AE1201" s="28" t="s">
        <v>10</v>
      </c>
      <c r="AF1201" s="23" t="str">
        <f>IFERROR(__xludf.DUMMYFUNCTION("TEXTJOIN("", "", TRUE,
  FILTER(Champions!C:C,
    ISNUMBER(SEARCH(C1201, Champions!W:W))
  )
)"),"Joseph Temowo, Amy Sit, Elise George, Namrata Ramani")</f>
        <v>Joseph Temowo, Amy Sit, Elise George, Namrata Ramani</v>
      </c>
      <c r="AG1201" s="26" t="s">
        <v>5697</v>
      </c>
      <c r="AH1201" s="23" t="str">
        <f>IFERROR(__xludf.DUMMYFUNCTION("IF(
ISNUMBER(MATCH(
C1201,
IMPORTRANGE(""https://docs.google.com/spreadsheets/d/1yTh1ELC33JHYOeEdgIiEclxPRyh0zOKtlawDltfUay8"",""'Interns'!A:A""),
0
)),
""Outreach Conducted"",
"""")"),"")</f>
        <v/>
      </c>
      <c r="AI1201" s="23"/>
      <c r="AJ1201" s="23"/>
      <c r="AK1201" s="23" t="str">
        <f>IFERROR(__xludf.DUMMYFUNCTION("XLOOKUP(C1201, 
   IMPORTRANGE(""1RdEdgHYrZ33LJ7RUHj_h-qkAFL92bcVjtIdVa-UlsCw"", ""Interns!D:D""), 
   IMPORTRANGE(""1RdEdgHYrZ33LJ7RUHj_h-qkAFL92bcVjtIdVa-UlsCw"", ""Interns!M:M""), 
   ""Not Found"")"),"Contacted")</f>
        <v>Contacted</v>
      </c>
      <c r="AL1201" s="23" t="str">
        <f>IFERROR(__xludf.DUMMYFUNCTION("XLOOKUP(C1201, 
   IMPORTRANGE(""1RdEdgHYrZ33LJ7RUHj_h-qkAFL92bcVjtIdVa-UlsCw"", ""Interns!D:D""), 
   IMPORTRANGE(""1RdEdgHYrZ33LJ7RUHj_h-qkAFL92bcVjtIdVa-UlsCw"", ""Interns!N:N""), 
   ""Not Found"")"),"#Cheers4Careers")</f>
        <v>#Cheers4Careers</v>
      </c>
      <c r="AM1201" s="23" t="str">
        <f>IFERROR(__xludf.DUMMYFUNCTION("XLOOKUP(C1201, 
   IMPORTRANGE(""1RdEdgHYrZ33LJ7RUHj_h-qkAFL92bcVjtIdVa-UlsCw"", ""Interns!D:D""), 
   IMPORTRANGE(""1RdEdgHYrZ33LJ7RUHj_h-qkAFL92bcVjtIdVa-UlsCw"", ""Interns!O:O""), 
   ""Not Found"")"),"Hetal reached out by email 3/27")</f>
        <v>Hetal reached out by email 3/27</v>
      </c>
      <c r="AN1201" s="23"/>
      <c r="AO1201" s="23" t="s">
        <v>12754</v>
      </c>
      <c r="AP1201" s="28" t="s">
        <v>5191</v>
      </c>
      <c r="AQ1201" s="28" t="s">
        <v>12755</v>
      </c>
      <c r="AR1201" s="23" t="s">
        <v>12756</v>
      </c>
      <c r="AS1201" s="28" t="s">
        <v>12757</v>
      </c>
      <c r="AT1201" s="23"/>
      <c r="AU1201" s="23"/>
      <c r="AV1201" s="23"/>
    </row>
    <row r="1202">
      <c r="A1202" s="28" t="s">
        <v>5161</v>
      </c>
      <c r="B1202" s="28" t="s">
        <v>5162</v>
      </c>
      <c r="C1202" s="23" t="str">
        <f t="shared" si="1"/>
        <v>Mimi Agbobli</v>
      </c>
      <c r="D1202" s="28" t="s">
        <v>12758</v>
      </c>
      <c r="E1202" s="28" t="s">
        <v>12759</v>
      </c>
      <c r="F1202" s="23">
        <f t="array" ref="F1202">IFERROR(
    INDEX('Hub Interns 226'!A:A, MATCH(C1202, 'Hub Interns 226'!B:B, 0)),"")</f>
        <v>889</v>
      </c>
      <c r="G1202" s="23">
        <f t="array" ref="G1202">IFERROR(
    INDEX('Hub Users 226'!A:A, MATCH(C1202, 'Hub Users 226'!B:B, 0)),"")</f>
        <v>1322</v>
      </c>
      <c r="H1202" s="28">
        <v>43.0</v>
      </c>
      <c r="I1202" s="28" t="s">
        <v>107</v>
      </c>
      <c r="J1202" s="28" t="s">
        <v>9570</v>
      </c>
      <c r="K1202" s="28" t="s">
        <v>5245</v>
      </c>
      <c r="L1202" s="28" t="s">
        <v>5196</v>
      </c>
      <c r="M1202" s="56" t="s">
        <v>12760</v>
      </c>
      <c r="N1202" s="57">
        <v>43741.63055555556</v>
      </c>
      <c r="O1202" s="28">
        <v>15.0</v>
      </c>
      <c r="P1202" s="28">
        <f>YEAR(TODAY())-2018+O1202</f>
        <v>23</v>
      </c>
      <c r="Q1202" s="28" t="s">
        <v>240</v>
      </c>
      <c r="R1202" s="28" t="s">
        <v>12761</v>
      </c>
      <c r="S1202" s="28"/>
      <c r="T1202" s="28"/>
      <c r="U1202" s="28"/>
      <c r="V1202" s="28"/>
      <c r="W1202" s="28" t="s">
        <v>2633</v>
      </c>
      <c r="X1202" s="28" t="s">
        <v>241</v>
      </c>
      <c r="Y1202" s="28" t="s">
        <v>12762</v>
      </c>
      <c r="Z1202" s="28" t="s">
        <v>5294</v>
      </c>
      <c r="AA1202" s="28" t="s">
        <v>5294</v>
      </c>
      <c r="AB1202" s="28" t="s">
        <v>5295</v>
      </c>
      <c r="AC1202" s="28" t="s">
        <v>25</v>
      </c>
      <c r="AD1202" s="23"/>
      <c r="AE1202" s="28" t="s">
        <v>4</v>
      </c>
      <c r="AF1202" s="23" t="str">
        <f>IFERROR(__xludf.DUMMYFUNCTION("TEXTJOIN("", "", TRUE,
  FILTER(Champions!C:C,
    ISNUMBER(SEARCH(C1202, Champions!W:W))
  )
)"),"Tahsina Ahmed, Karmen Leung, Tania Lopez")</f>
        <v>Tahsina Ahmed, Karmen Leung, Tania Lopez</v>
      </c>
      <c r="AG1202" s="23"/>
      <c r="AH1202" s="23" t="str">
        <f>IFERROR(__xludf.DUMMYFUNCTION("IF(
ISNUMBER(MATCH(
C1202,
IMPORTRANGE(""https://docs.google.com/spreadsheets/d/1yTh1ELC33JHYOeEdgIiEclxPRyh0zOKtlawDltfUay8"",""'Interns'!A:A""),
0
)),
""Outreach Conducted"",
"""")"),"")</f>
        <v/>
      </c>
      <c r="AI1202" s="23"/>
      <c r="AJ1202" s="23"/>
      <c r="AK1202" s="23" t="str">
        <f>IFERROR(__xludf.DUMMYFUNCTION("XLOOKUP(C1202, 
   IMPORTRANGE(""1RdEdgHYrZ33LJ7RUHj_h-qkAFL92bcVjtIdVa-UlsCw"", ""Interns!D:D""), 
   IMPORTRANGE(""1RdEdgHYrZ33LJ7RUHj_h-qkAFL92bcVjtIdVa-UlsCw"", ""Interns!M:M""), 
   ""Not Found"")"),"")</f>
        <v/>
      </c>
      <c r="AL1202" s="23" t="str">
        <f>IFERROR(__xludf.DUMMYFUNCTION("XLOOKUP(C1202, 
   IMPORTRANGE(""1RdEdgHYrZ33LJ7RUHj_h-qkAFL92bcVjtIdVa-UlsCw"", ""Interns!D:D""), 
   IMPORTRANGE(""1RdEdgHYrZ33LJ7RUHj_h-qkAFL92bcVjtIdVa-UlsCw"", ""Interns!N:N""), 
   ""Not Found"")"),"")</f>
        <v/>
      </c>
      <c r="AM1202" s="23" t="str">
        <f>IFERROR(__xludf.DUMMYFUNCTION("XLOOKUP(C1202, 
   IMPORTRANGE(""1RdEdgHYrZ33LJ7RUHj_h-qkAFL92bcVjtIdVa-UlsCw"", ""Interns!D:D""), 
   IMPORTRANGE(""1RdEdgHYrZ33LJ7RUHj_h-qkAFL92bcVjtIdVa-UlsCw"", ""Interns!O:O""), 
   ""Not Found"")"),"")</f>
        <v/>
      </c>
      <c r="AN1202" s="23"/>
      <c r="AO1202" s="23" t="s">
        <v>12763</v>
      </c>
      <c r="AP1202" s="28" t="s">
        <v>5191</v>
      </c>
      <c r="AQ1202" s="28" t="s">
        <v>12763</v>
      </c>
      <c r="AR1202" s="23">
        <v>8.628889896E9</v>
      </c>
      <c r="AS1202" s="23"/>
      <c r="AT1202" s="23"/>
      <c r="AU1202" s="23"/>
      <c r="AV1202" s="23"/>
    </row>
    <row r="1203">
      <c r="A1203" s="28" t="s">
        <v>5161</v>
      </c>
      <c r="B1203" s="28" t="s">
        <v>5162</v>
      </c>
      <c r="C1203" s="23" t="str">
        <f t="shared" si="1"/>
        <v>Hezou Awitala</v>
      </c>
      <c r="D1203" s="28" t="s">
        <v>12764</v>
      </c>
      <c r="E1203" s="28" t="s">
        <v>12765</v>
      </c>
      <c r="F1203" s="23">
        <f t="array" ref="F1203">IFERROR(
    INDEX('Hub Interns 226'!A:A, MATCH(C1203, 'Hub Interns 226'!B:B, 0)),"")</f>
        <v>577</v>
      </c>
      <c r="G1203" s="23">
        <f t="array" ref="G1203">IFERROR(
    INDEX('Hub Users 226'!A:A, MATCH(C1203, 'Hub Users 226'!B:B, 0)),"")</f>
        <v>1010</v>
      </c>
      <c r="H1203" s="28">
        <v>940.0</v>
      </c>
      <c r="I1203" s="28" t="s">
        <v>260</v>
      </c>
      <c r="J1203" s="28" t="s">
        <v>9570</v>
      </c>
      <c r="K1203" s="28" t="s">
        <v>5245</v>
      </c>
      <c r="L1203" s="28" t="s">
        <v>5196</v>
      </c>
      <c r="M1203" s="56" t="s">
        <v>12766</v>
      </c>
      <c r="N1203" s="57">
        <v>44603.489583333336</v>
      </c>
      <c r="O1203" s="58">
        <v>38418.0</v>
      </c>
      <c r="P1203" s="28">
        <f t="shared" ref="P1203:P1205" si="35">DATEDIF(O1203, TODAY(), "Y")</f>
        <v>21</v>
      </c>
      <c r="Q1203" s="28" t="s">
        <v>240</v>
      </c>
      <c r="R1203" s="28" t="s">
        <v>12767</v>
      </c>
      <c r="S1203" s="28">
        <v>14.0</v>
      </c>
      <c r="T1203" s="28">
        <v>32.0</v>
      </c>
      <c r="U1203" s="28">
        <v>82.0</v>
      </c>
      <c r="V1203" s="28">
        <v>17.0</v>
      </c>
      <c r="W1203" s="28" t="s">
        <v>859</v>
      </c>
      <c r="X1203" s="28" t="s">
        <v>272</v>
      </c>
      <c r="Y1203" s="28" t="s">
        <v>12768</v>
      </c>
      <c r="Z1203" s="28" t="s">
        <v>5208</v>
      </c>
      <c r="AA1203" s="28" t="s">
        <v>2141</v>
      </c>
      <c r="AB1203" s="28">
        <v>8.0</v>
      </c>
      <c r="AC1203" s="28" t="s">
        <v>24</v>
      </c>
      <c r="AD1203" s="23"/>
      <c r="AE1203" s="28" t="s">
        <v>10</v>
      </c>
      <c r="AF1203" s="23"/>
      <c r="AG1203" s="23"/>
      <c r="AH1203" s="23" t="str">
        <f>IFERROR(__xludf.DUMMYFUNCTION("IF(
ISNUMBER(MATCH(
C1203,
IMPORTRANGE(""https://docs.google.com/spreadsheets/d/1yTh1ELC33JHYOeEdgIiEclxPRyh0zOKtlawDltfUay8"",""'Interns'!A:A""),
0
)),
""Outreach Conducted"",
"""")"),"")</f>
        <v/>
      </c>
      <c r="AI1203" s="23"/>
      <c r="AJ1203" s="23"/>
      <c r="AK1203" s="23" t="str">
        <f>IFERROR(__xludf.DUMMYFUNCTION("XLOOKUP(C1203, 
   IMPORTRANGE(""1RdEdgHYrZ33LJ7RUHj_h-qkAFL92bcVjtIdVa-UlsCw"", ""Interns!D:D""), 
   IMPORTRANGE(""1RdEdgHYrZ33LJ7RUHj_h-qkAFL92bcVjtIdVa-UlsCw"", ""Interns!M:M""), 
   ""Not Found"")"),"Contacted")</f>
        <v>Contacted</v>
      </c>
      <c r="AL1203" s="23" t="str">
        <f>IFERROR(__xludf.DUMMYFUNCTION("XLOOKUP(C1203, 
   IMPORTRANGE(""1RdEdgHYrZ33LJ7RUHj_h-qkAFL92bcVjtIdVa-UlsCw"", ""Interns!D:D""), 
   IMPORTRANGE(""1RdEdgHYrZ33LJ7RUHj_h-qkAFL92bcVjtIdVa-UlsCw"", ""Interns!N:N""), 
   ""Not Found"")"),"#Cheers4Careers")</f>
        <v>#Cheers4Careers</v>
      </c>
      <c r="AM1203" s="23" t="str">
        <f>IFERROR(__xludf.DUMMYFUNCTION("XLOOKUP(C1203, 
   IMPORTRANGE(""1RdEdgHYrZ33LJ7RUHj_h-qkAFL92bcVjtIdVa-UlsCw"", ""Interns!D:D""), 
   IMPORTRANGE(""1RdEdgHYrZ33LJ7RUHj_h-qkAFL92bcVjtIdVa-UlsCw"", ""Interns!O:O""), 
   ""Not Found"")"),"Hetal reached out by email 3/27 and text")</f>
        <v>Hetal reached out by email 3/27 and text</v>
      </c>
      <c r="AN1203" s="23"/>
      <c r="AO1203" s="23" t="s">
        <v>12769</v>
      </c>
      <c r="AP1203" s="28" t="s">
        <v>5182</v>
      </c>
      <c r="AQ1203" s="28"/>
      <c r="AR1203" s="23"/>
      <c r="AS1203" s="23"/>
      <c r="AT1203" s="23"/>
      <c r="AU1203" s="23"/>
      <c r="AV1203" s="23"/>
    </row>
    <row r="1204">
      <c r="A1204" s="28" t="s">
        <v>5202</v>
      </c>
      <c r="B1204" s="28" t="s">
        <v>5162</v>
      </c>
      <c r="C1204" s="23" t="str">
        <f t="shared" si="1"/>
        <v>Salina Magarati</v>
      </c>
      <c r="D1204" s="28" t="s">
        <v>12770</v>
      </c>
      <c r="E1204" s="28" t="s">
        <v>12771</v>
      </c>
      <c r="F1204" s="23">
        <f t="array" ref="F1204">IFERROR(
    INDEX('Hub Interns 226'!A:A, MATCH(C1204, 'Hub Interns 226'!B:B, 0)),"")</f>
        <v>1060</v>
      </c>
      <c r="G1204" s="23">
        <f t="array" ref="G1204">IFERROR(
    INDEX('Hub Users 226'!A:A, MATCH(C1204, 'Hub Users 226'!B:B, 0)),"")</f>
        <v>1493</v>
      </c>
      <c r="H1204" s="28">
        <v>674.0</v>
      </c>
      <c r="I1204" s="28" t="s">
        <v>260</v>
      </c>
      <c r="J1204" s="28" t="s">
        <v>11070</v>
      </c>
      <c r="K1204" s="28" t="s">
        <v>5186</v>
      </c>
      <c r="L1204" s="28" t="s">
        <v>5196</v>
      </c>
      <c r="M1204" s="56" t="s">
        <v>12772</v>
      </c>
      <c r="N1204" s="59">
        <v>44546.47083333333</v>
      </c>
      <c r="O1204" s="58">
        <v>38205.0</v>
      </c>
      <c r="P1204" s="28">
        <f t="shared" si="35"/>
        <v>21</v>
      </c>
      <c r="Q1204" s="28" t="s">
        <v>12773</v>
      </c>
      <c r="R1204" s="28" t="s">
        <v>12774</v>
      </c>
      <c r="S1204" s="28">
        <v>6.0</v>
      </c>
      <c r="T1204" s="28">
        <v>12.0</v>
      </c>
      <c r="U1204" s="28">
        <v>30.0</v>
      </c>
      <c r="V1204" s="28">
        <v>25.0</v>
      </c>
      <c r="W1204" s="28" t="s">
        <v>1173</v>
      </c>
      <c r="X1204" s="28" t="s">
        <v>272</v>
      </c>
      <c r="Y1204" s="28" t="s">
        <v>12775</v>
      </c>
      <c r="Z1204" s="28" t="s">
        <v>5483</v>
      </c>
      <c r="AA1204" s="28" t="s">
        <v>457</v>
      </c>
      <c r="AB1204" s="28">
        <v>25.0</v>
      </c>
      <c r="AC1204" s="28" t="s">
        <v>25</v>
      </c>
      <c r="AD1204" s="23"/>
      <c r="AE1204" s="28" t="s">
        <v>10</v>
      </c>
      <c r="AF1204" s="23" t="str">
        <f>IFERROR(__xludf.DUMMYFUNCTION("TEXTJOIN("", "", TRUE,
  FILTER(Champions!C:C,
    ISNUMBER(SEARCH(C1204, Champions!W:W))
  )
)"),"#N/A")</f>
        <v>#N/A</v>
      </c>
      <c r="AG1204" s="23"/>
      <c r="AH1204" s="23" t="str">
        <f>IFERROR(__xludf.DUMMYFUNCTION("IF(
ISNUMBER(MATCH(
C1204,
IMPORTRANGE(""https://docs.google.com/spreadsheets/d/1yTh1ELC33JHYOeEdgIiEclxPRyh0zOKtlawDltfUay8"",""'Interns'!A:A""),
0
)),
""Outreach Conducted"",
"""")"),"")</f>
        <v/>
      </c>
      <c r="AI1204" s="23"/>
      <c r="AJ1204" s="23"/>
      <c r="AK1204" s="23" t="str">
        <f>IFERROR(__xludf.DUMMYFUNCTION("XLOOKUP(C1204, 
   IMPORTRANGE(""1RdEdgHYrZ33LJ7RUHj_h-qkAFL92bcVjtIdVa-UlsCw"", ""Interns!D:D""), 
   IMPORTRANGE(""1RdEdgHYrZ33LJ7RUHj_h-qkAFL92bcVjtIdVa-UlsCw"", ""Interns!M:M""), 
   ""Not Found"")"),"")</f>
        <v/>
      </c>
      <c r="AL1204" s="23" t="str">
        <f>IFERROR(__xludf.DUMMYFUNCTION("XLOOKUP(C1204, 
   IMPORTRANGE(""1RdEdgHYrZ33LJ7RUHj_h-qkAFL92bcVjtIdVa-UlsCw"", ""Interns!D:D""), 
   IMPORTRANGE(""1RdEdgHYrZ33LJ7RUHj_h-qkAFL92bcVjtIdVa-UlsCw"", ""Interns!N:N""), 
   ""Not Found"")"),"")</f>
        <v/>
      </c>
      <c r="AM1204" s="23" t="str">
        <f>IFERROR(__xludf.DUMMYFUNCTION("XLOOKUP(C1204, 
   IMPORTRANGE(""1RdEdgHYrZ33LJ7RUHj_h-qkAFL92bcVjtIdVa-UlsCw"", ""Interns!D:D""), 
   IMPORTRANGE(""1RdEdgHYrZ33LJ7RUHj_h-qkAFL92bcVjtIdVa-UlsCw"", ""Interns!O:O""), 
   ""Not Found"")"),"")</f>
        <v/>
      </c>
      <c r="AN1204" s="23"/>
      <c r="AO1204" s="23" t="s">
        <v>12776</v>
      </c>
      <c r="AP1204" s="28" t="s">
        <v>5182</v>
      </c>
      <c r="AQ1204" s="28" t="s">
        <v>12777</v>
      </c>
      <c r="AR1204" s="23" t="s">
        <v>12778</v>
      </c>
      <c r="AS1204" s="23"/>
      <c r="AT1204" s="23"/>
      <c r="AU1204" s="23"/>
      <c r="AV1204" s="23"/>
    </row>
    <row r="1205">
      <c r="A1205" s="28" t="s">
        <v>5161</v>
      </c>
      <c r="B1205" s="28" t="s">
        <v>5162</v>
      </c>
      <c r="C1205" s="23" t="str">
        <f t="shared" si="1"/>
        <v>Leila Titikpina</v>
      </c>
      <c r="D1205" s="28" t="s">
        <v>12779</v>
      </c>
      <c r="E1205" s="28" t="s">
        <v>12716</v>
      </c>
      <c r="F1205" s="23">
        <f t="array" ref="F1205">IFERROR(
    INDEX('Hub Interns 226'!A:A, MATCH(C1205, 'Hub Interns 226'!B:B, 0)),"")</f>
        <v>770</v>
      </c>
      <c r="G1205" s="23">
        <f t="array" ref="G1205">IFERROR(
    INDEX('Hub Users 226'!A:A, MATCH(C1205, 'Hub Users 226'!B:B, 0)),"")</f>
        <v>1203</v>
      </c>
      <c r="H1205" s="28">
        <v>221.0</v>
      </c>
      <c r="I1205" s="28" t="s">
        <v>260</v>
      </c>
      <c r="J1205" s="28" t="s">
        <v>9570</v>
      </c>
      <c r="K1205" s="28" t="s">
        <v>5245</v>
      </c>
      <c r="L1205" s="28" t="s">
        <v>5196</v>
      </c>
      <c r="M1205" s="56" t="s">
        <v>12780</v>
      </c>
      <c r="N1205" s="57">
        <v>44104.513194444444</v>
      </c>
      <c r="O1205" s="58">
        <v>37847.0</v>
      </c>
      <c r="P1205" s="28">
        <f t="shared" si="35"/>
        <v>22</v>
      </c>
      <c r="Q1205" s="28" t="s">
        <v>240</v>
      </c>
      <c r="R1205" s="28" t="s">
        <v>12781</v>
      </c>
      <c r="S1205" s="28">
        <v>15.0</v>
      </c>
      <c r="T1205" s="28">
        <v>32.0</v>
      </c>
      <c r="U1205" s="28">
        <v>77.0</v>
      </c>
      <c r="V1205" s="28">
        <v>16.0</v>
      </c>
      <c r="W1205" s="28" t="s">
        <v>859</v>
      </c>
      <c r="X1205" s="28" t="s">
        <v>272</v>
      </c>
      <c r="Y1205" s="28" t="s">
        <v>12782</v>
      </c>
      <c r="Z1205" s="28" t="s">
        <v>5435</v>
      </c>
      <c r="AA1205" s="28" t="s">
        <v>5436</v>
      </c>
      <c r="AB1205" s="28">
        <v>10.0</v>
      </c>
      <c r="AC1205" s="28" t="s">
        <v>25</v>
      </c>
      <c r="AD1205" s="28" t="s">
        <v>101</v>
      </c>
      <c r="AE1205" s="28" t="s">
        <v>8</v>
      </c>
      <c r="AF1205" s="23" t="str">
        <f>IFERROR(__xludf.DUMMYFUNCTION("TEXTJOIN("", "", TRUE,
  FILTER(Champions!C:C,
    ISNUMBER(SEARCH(C1205, Champions!W:W))
  )
)"),"Anna Carina Radulovich (D), Sahabia Ahmed, Tanya Toko")</f>
        <v>Anna Carina Radulovich (D), Sahabia Ahmed, Tanya Toko</v>
      </c>
      <c r="AG1205" s="23"/>
      <c r="AH1205" s="23" t="str">
        <f>IFERROR(__xludf.DUMMYFUNCTION("IF(
ISNUMBER(MATCH(
C1205,
IMPORTRANGE(""https://docs.google.com/spreadsheets/d/1yTh1ELC33JHYOeEdgIiEclxPRyh0zOKtlawDltfUay8"",""'Interns'!A:A""),
0
)),
""Outreach Conducted"",
"""")"),"")</f>
        <v/>
      </c>
      <c r="AI1205" s="23"/>
      <c r="AJ1205" s="23"/>
      <c r="AK1205" s="23" t="str">
        <f>IFERROR(__xludf.DUMMYFUNCTION("XLOOKUP(C1205, 
   IMPORTRANGE(""1RdEdgHYrZ33LJ7RUHj_h-qkAFL92bcVjtIdVa-UlsCw"", ""Interns!D:D""), 
   IMPORTRANGE(""1RdEdgHYrZ33LJ7RUHj_h-qkAFL92bcVjtIdVa-UlsCw"", ""Interns!M:M""), 
   ""Not Found"")"),"Contacted")</f>
        <v>Contacted</v>
      </c>
      <c r="AL1205" s="23" t="str">
        <f>IFERROR(__xludf.DUMMYFUNCTION("XLOOKUP(C1205, 
   IMPORTRANGE(""1RdEdgHYrZ33LJ7RUHj_h-qkAFL92bcVjtIdVa-UlsCw"", ""Interns!D:D""), 
   IMPORTRANGE(""1RdEdgHYrZ33LJ7RUHj_h-qkAFL92bcVjtIdVa-UlsCw"", ""Interns!N:N""), 
   ""Not Found"")"),"#Cheers4Careers")</f>
        <v>#Cheers4Careers</v>
      </c>
      <c r="AM1205" s="23" t="str">
        <f>IFERROR(__xludf.DUMMYFUNCTION("XLOOKUP(C1205, 
   IMPORTRANGE(""1RdEdgHYrZ33LJ7RUHj_h-qkAFL92bcVjtIdVa-UlsCw"", ""Interns!D:D""), 
   IMPORTRANGE(""1RdEdgHYrZ33LJ7RUHj_h-qkAFL92bcVjtIdVa-UlsCw"", ""Interns!O:O""), 
   ""Not Found"")"),"Hetal reached out by email 3/27")</f>
        <v>Hetal reached out by email 3/27</v>
      </c>
      <c r="AN1205" s="23"/>
      <c r="AO1205" s="23" t="s">
        <v>12720</v>
      </c>
      <c r="AP1205" s="28" t="s">
        <v>5191</v>
      </c>
      <c r="AQ1205" s="28" t="s">
        <v>12721</v>
      </c>
      <c r="AR1205" s="23">
        <v>2.129206866E9</v>
      </c>
      <c r="AS1205" s="28" t="s">
        <v>12783</v>
      </c>
      <c r="AT1205" s="23"/>
      <c r="AU1205" s="23"/>
      <c r="AV1205" s="23"/>
    </row>
    <row r="1206">
      <c r="A1206" s="28" t="s">
        <v>5161</v>
      </c>
      <c r="B1206" s="28" t="s">
        <v>5162</v>
      </c>
      <c r="C1206" s="23" t="str">
        <f t="shared" si="1"/>
        <v>Ayoko Kessouagni</v>
      </c>
      <c r="D1206" s="28" t="s">
        <v>12784</v>
      </c>
      <c r="E1206" s="28" t="s">
        <v>12785</v>
      </c>
      <c r="F1206" s="23" t="str">
        <f t="array" ref="F1206">IFERROR(
    INDEX('Hub Interns 226'!A:A, MATCH(C1206, 'Hub Interns 226'!B:B, 0)),"")</f>
        <v/>
      </c>
      <c r="G1206" s="23" t="str">
        <f t="array" ref="G1206">IFERROR(
    INDEX('Hub Users 226'!A:A, MATCH(C1206, 'Hub Users 226'!B:B, 0)),"")</f>
        <v/>
      </c>
      <c r="H1206" s="28">
        <v>47.0</v>
      </c>
      <c r="I1206" s="28"/>
      <c r="J1206" s="28" t="s">
        <v>9570</v>
      </c>
      <c r="K1206" s="28" t="s">
        <v>5245</v>
      </c>
      <c r="L1206" s="28"/>
      <c r="M1206" s="56" t="s">
        <v>12786</v>
      </c>
      <c r="N1206" s="57">
        <v>43741.63055555556</v>
      </c>
      <c r="O1206" s="28">
        <v>15.0</v>
      </c>
      <c r="P1206" s="28">
        <f>YEAR(TODAY())-2018+O1206</f>
        <v>23</v>
      </c>
      <c r="Q1206" s="28" t="s">
        <v>12787</v>
      </c>
      <c r="R1206" s="23"/>
      <c r="S1206" s="28"/>
      <c r="T1206" s="28"/>
      <c r="U1206" s="28"/>
      <c r="V1206" s="28"/>
      <c r="W1206" s="28" t="s">
        <v>2633</v>
      </c>
      <c r="X1206" s="28" t="s">
        <v>241</v>
      </c>
      <c r="Y1206" s="28" t="s">
        <v>12788</v>
      </c>
      <c r="Z1206" s="28" t="s">
        <v>5294</v>
      </c>
      <c r="AA1206" s="28" t="s">
        <v>5294</v>
      </c>
      <c r="AB1206" s="28" t="s">
        <v>5295</v>
      </c>
      <c r="AC1206" s="28" t="s">
        <v>25</v>
      </c>
      <c r="AD1206" s="28" t="s">
        <v>101</v>
      </c>
      <c r="AE1206" s="28" t="s">
        <v>4</v>
      </c>
      <c r="AF1206" s="23" t="str">
        <f>IFERROR(__xludf.DUMMYFUNCTION("TEXTJOIN("", "", TRUE,
  FILTER(Champions!C:C,
    ISNUMBER(SEARCH(C1206, Champions!W:W))
  )
)"),"Jennifer Chowdhury, Nika Daniella Ankou")</f>
        <v>Jennifer Chowdhury, Nika Daniella Ankou</v>
      </c>
      <c r="AG1206" s="26" t="s">
        <v>7320</v>
      </c>
      <c r="AH1206" s="23" t="str">
        <f>IFERROR(__xludf.DUMMYFUNCTION("IF(
ISNUMBER(MATCH(
C1206,
IMPORTRANGE(""https://docs.google.com/spreadsheets/d/1yTh1ELC33JHYOeEdgIiEclxPRyh0zOKtlawDltfUay8"",""'Interns'!A:A""),
0
)),
""Outreach Conducted"",
"""")"),"")</f>
        <v/>
      </c>
      <c r="AI1206" s="23"/>
      <c r="AJ1206" s="23"/>
      <c r="AK1206" s="23" t="str">
        <f>IFERROR(__xludf.DUMMYFUNCTION("XLOOKUP(C1206, 
   IMPORTRANGE(""1RdEdgHYrZ33LJ7RUHj_h-qkAFL92bcVjtIdVa-UlsCw"", ""Interns!D:D""), 
   IMPORTRANGE(""1RdEdgHYrZ33LJ7RUHj_h-qkAFL92bcVjtIdVa-UlsCw"", ""Interns!M:M""), 
   ""Not Found"")"),"")</f>
        <v/>
      </c>
      <c r="AL1206" s="23" t="str">
        <f>IFERROR(__xludf.DUMMYFUNCTION("XLOOKUP(C1206, 
   IMPORTRANGE(""1RdEdgHYrZ33LJ7RUHj_h-qkAFL92bcVjtIdVa-UlsCw"", ""Interns!D:D""), 
   IMPORTRANGE(""1RdEdgHYrZ33LJ7RUHj_h-qkAFL92bcVjtIdVa-UlsCw"", ""Interns!N:N""), 
   ""Not Found"")"),"#SpeakingMyName")</f>
        <v>#SpeakingMyName</v>
      </c>
      <c r="AM1206" s="23" t="str">
        <f>IFERROR(__xludf.DUMMYFUNCTION("XLOOKUP(C1206, 
   IMPORTRANGE(""1RdEdgHYrZ33LJ7RUHj_h-qkAFL92bcVjtIdVa-UlsCw"", ""Interns!D:D""), 
   IMPORTRANGE(""1RdEdgHYrZ33LJ7RUHj_h-qkAFL92bcVjtIdVa-UlsCw"", ""Interns!O:O""), 
   ""Not Found"")"),"Alicia reached out by email on 5/15 for #SpeakingMyName")</f>
        <v>Alicia reached out by email on 5/15 for #SpeakingMyName</v>
      </c>
      <c r="AN1206" s="23"/>
      <c r="AO1206" s="23" t="s">
        <v>12786</v>
      </c>
      <c r="AP1206" s="28" t="s">
        <v>5182</v>
      </c>
      <c r="AQ1206" s="28" t="s">
        <v>12786</v>
      </c>
      <c r="AR1206" s="23" t="s">
        <v>12789</v>
      </c>
      <c r="AS1206" s="23"/>
      <c r="AT1206" s="23"/>
      <c r="AU1206" s="23"/>
      <c r="AV1206" s="23"/>
    </row>
    <row r="1207">
      <c r="A1207" s="28" t="s">
        <v>5161</v>
      </c>
      <c r="B1207" s="28" t="s">
        <v>5162</v>
      </c>
      <c r="C1207" s="23" t="str">
        <f t="shared" si="1"/>
        <v>Rebecca Sanchez</v>
      </c>
      <c r="D1207" s="22" t="s">
        <v>4196</v>
      </c>
      <c r="E1207" s="22" t="s">
        <v>6853</v>
      </c>
      <c r="F1207" s="23"/>
      <c r="G1207" s="23"/>
      <c r="H1207" s="22">
        <v>1935.0</v>
      </c>
      <c r="I1207" s="28"/>
      <c r="J1207" s="28" t="s">
        <v>11895</v>
      </c>
      <c r="K1207" s="28" t="s">
        <v>5463</v>
      </c>
      <c r="L1207" s="28" t="s">
        <v>5196</v>
      </c>
      <c r="M1207" s="29" t="s">
        <v>12790</v>
      </c>
      <c r="N1207" s="61">
        <v>45771.4375</v>
      </c>
      <c r="O1207" s="25">
        <v>45771.0</v>
      </c>
      <c r="P1207" s="28">
        <f t="shared" ref="P1207:P1240" si="36">DATEDIF(O1207, TODAY(), "Y")</f>
        <v>1</v>
      </c>
      <c r="Q1207" s="62" t="s">
        <v>240</v>
      </c>
      <c r="R1207" s="22" t="s">
        <v>12791</v>
      </c>
      <c r="S1207" s="28">
        <v>3.0</v>
      </c>
      <c r="T1207" s="28">
        <v>11.0</v>
      </c>
      <c r="U1207" s="28">
        <v>33.0</v>
      </c>
      <c r="V1207" s="28">
        <v>23.0</v>
      </c>
      <c r="W1207" s="28" t="s">
        <v>1173</v>
      </c>
      <c r="X1207" s="28" t="s">
        <v>272</v>
      </c>
      <c r="Y1207" s="24"/>
      <c r="Z1207" s="22" t="s">
        <v>7490</v>
      </c>
      <c r="AA1207" s="28" t="s">
        <v>5659</v>
      </c>
      <c r="AB1207" s="28">
        <v>23.0</v>
      </c>
      <c r="AC1207" s="28" t="s">
        <v>23</v>
      </c>
      <c r="AD1207" s="23"/>
      <c r="AE1207" s="28" t="s">
        <v>19</v>
      </c>
      <c r="AF1207" s="23"/>
      <c r="AG1207" s="23"/>
      <c r="AH1207" s="23" t="str">
        <f>IFERROR(__xludf.DUMMYFUNCTION("IF(
ISNUMBER(MATCH(
C1207,
IMPORTRANGE(""https://docs.google.com/spreadsheets/d/1yTh1ELC33JHYOeEdgIiEclxPRyh0zOKtlawDltfUay8"",""'Interns'!A:A""),
0
)),
""Outreach Conducted"",
"""")"),"")</f>
        <v/>
      </c>
      <c r="AI1207" s="23"/>
      <c r="AJ1207" s="23"/>
      <c r="AK1207" s="23"/>
      <c r="AL1207" s="23" t="str">
        <f>IFERROR(__xludf.DUMMYFUNCTION("XLOOKUP(C1207, 
   IMPORTRANGE(""1RdEdgHYrZ33LJ7RUHj_h-qkAFL92bcVjtIdVa-UlsCw"", ""Interns!D:D""), 
   IMPORTRANGE(""1RdEdgHYrZ33LJ7RUHj_h-qkAFL92bcVjtIdVa-UlsCw"", ""Interns!N:N""), 
   ""Not Found"")"),"#Cheers4Careers")</f>
        <v>#Cheers4Careers</v>
      </c>
      <c r="AM1207" s="23" t="str">
        <f>IFERROR(__xludf.DUMMYFUNCTION("XLOOKUP(C1207, 
   IMPORTRANGE(""1RdEdgHYrZ33LJ7RUHj_h-qkAFL92bcVjtIdVa-UlsCw"", ""Interns!D:D""), 
   IMPORTRANGE(""1RdEdgHYrZ33LJ7RUHj_h-qkAFL92bcVjtIdVa-UlsCw"", ""Interns!O:O""), 
   ""Not Found"")"),"Hetal reached out March 27 for March #Cheers4 Careers ")</f>
        <v>Hetal reached out March 27 for March #Cheers4 Careers </v>
      </c>
      <c r="AN1207" s="23"/>
      <c r="AO1207" s="23" t="s">
        <v>4196</v>
      </c>
      <c r="AP1207" s="28" t="s">
        <v>5240</v>
      </c>
      <c r="AQ1207" s="28" t="s">
        <v>12792</v>
      </c>
      <c r="AR1207" s="23" t="s">
        <v>12793</v>
      </c>
      <c r="AS1207" s="23"/>
      <c r="AT1207" s="23"/>
      <c r="AU1207" s="23"/>
      <c r="AV1207" s="23"/>
    </row>
    <row r="1208">
      <c r="A1208" s="28" t="s">
        <v>5161</v>
      </c>
      <c r="B1208" s="28" t="s">
        <v>5162</v>
      </c>
      <c r="C1208" s="23" t="str">
        <f t="shared" si="1"/>
        <v>Richard Ladino</v>
      </c>
      <c r="D1208" s="28" t="s">
        <v>9477</v>
      </c>
      <c r="E1208" s="28" t="s">
        <v>12794</v>
      </c>
      <c r="F1208" s="23">
        <f t="array" ref="F1208">IFERROR(
    INDEX('Hub Interns 226'!A:A, MATCH(C1208, 'Hub Interns 226'!B:B, 0)),"")</f>
        <v>1158</v>
      </c>
      <c r="G1208" s="23">
        <f t="array" ref="G1208">IFERROR(
    INDEX('Hub Users 226'!A:A, MATCH(C1208, 'Hub Users 226'!B:B, 0)),"")</f>
        <v>1591</v>
      </c>
      <c r="H1208" s="28">
        <v>1577.0</v>
      </c>
      <c r="I1208" s="28"/>
      <c r="J1208" s="28"/>
      <c r="K1208" s="28"/>
      <c r="L1208" s="28" t="s">
        <v>7001</v>
      </c>
      <c r="M1208" s="56" t="s">
        <v>12795</v>
      </c>
      <c r="N1208" s="57">
        <v>45016.38263888889</v>
      </c>
      <c r="O1208" s="58">
        <v>40352.0</v>
      </c>
      <c r="P1208" s="28">
        <f t="shared" si="36"/>
        <v>15</v>
      </c>
      <c r="Q1208" s="28" t="s">
        <v>240</v>
      </c>
      <c r="R1208" s="28" t="s">
        <v>12796</v>
      </c>
      <c r="S1208" s="28"/>
      <c r="T1208" s="28"/>
      <c r="U1208" s="28"/>
      <c r="V1208" s="28"/>
      <c r="W1208" s="28" t="s">
        <v>1173</v>
      </c>
      <c r="X1208" s="28" t="s">
        <v>272</v>
      </c>
      <c r="Y1208" s="28" t="s">
        <v>12797</v>
      </c>
      <c r="Z1208" s="28" t="s">
        <v>5170</v>
      </c>
      <c r="AA1208" s="28" t="s">
        <v>5171</v>
      </c>
      <c r="AB1208" s="28">
        <v>30.0</v>
      </c>
      <c r="AC1208" s="28" t="s">
        <v>23</v>
      </c>
      <c r="AD1208" s="23"/>
      <c r="AE1208" s="28" t="s">
        <v>15</v>
      </c>
      <c r="AF1208" s="23"/>
      <c r="AG1208" s="23"/>
      <c r="AH1208" s="23" t="str">
        <f>IFERROR(__xludf.DUMMYFUNCTION("IF(
ISNUMBER(MATCH(
C1208,
IMPORTRANGE(""https://docs.google.com/spreadsheets/d/1yTh1ELC33JHYOeEdgIiEclxPRyh0zOKtlawDltfUay8"",""'Interns'!A:A""),
0
)),
""Outreach Conducted"",
"""")"),"")</f>
        <v/>
      </c>
      <c r="AI1208" s="23"/>
      <c r="AJ1208" s="23"/>
      <c r="AK1208" s="23" t="str">
        <f>IFERROR(__xludf.DUMMYFUNCTION("XLOOKUP(C1208, 
   IMPORTRANGE(""1RdEdgHYrZ33LJ7RUHj_h-qkAFL92bcVjtIdVa-UlsCw"", ""Interns!D:D""), 
   IMPORTRANGE(""1RdEdgHYrZ33LJ7RUHj_h-qkAFL92bcVjtIdVa-UlsCw"", ""Interns!M:M""), 
   ""Not Found"")"),"Contacted")</f>
        <v>Contacted</v>
      </c>
      <c r="AL1208" s="23" t="str">
        <f>IFERROR(__xludf.DUMMYFUNCTION("XLOOKUP(C1208, 
   IMPORTRANGE(""1RdEdgHYrZ33LJ7RUHj_h-qkAFL92bcVjtIdVa-UlsCw"", ""Interns!D:D""), 
   IMPORTRANGE(""1RdEdgHYrZ33LJ7RUHj_h-qkAFL92bcVjtIdVa-UlsCw"", ""Interns!N:N""), 
   ""Not Found"")"),"#Cheers4Careers")</f>
        <v>#Cheers4Careers</v>
      </c>
      <c r="AM1208" s="23" t="str">
        <f>IFERROR(__xludf.DUMMYFUNCTION("XLOOKUP(C1208, 
   IMPORTRANGE(""1RdEdgHYrZ33LJ7RUHj_h-qkAFL92bcVjtIdVa-UlsCw"", ""Interns!D:D""), 
   IMPORTRANGE(""1RdEdgHYrZ33LJ7RUHj_h-qkAFL92bcVjtIdVa-UlsCw"", ""Interns!O:O""), 
   ""Not Found"")"),"Hetal reached out March 27 for March #Cheers4 Careers ")</f>
        <v>Hetal reached out March 27 for March #Cheers4 Careers </v>
      </c>
      <c r="AN1208" s="23"/>
      <c r="AO1208" s="23" t="s">
        <v>12796</v>
      </c>
      <c r="AP1208" s="28" t="s">
        <v>5173</v>
      </c>
      <c r="AQ1208" s="28"/>
      <c r="AR1208" s="23"/>
      <c r="AS1208" s="23"/>
      <c r="AT1208" s="23"/>
      <c r="AU1208" s="23"/>
      <c r="AV1208" s="23"/>
    </row>
    <row r="1209">
      <c r="A1209" s="28" t="s">
        <v>5161</v>
      </c>
      <c r="B1209" s="28" t="s">
        <v>5162</v>
      </c>
      <c r="C1209" s="23" t="str">
        <f t="shared" si="1"/>
        <v>Oussema Saddi</v>
      </c>
      <c r="D1209" s="28" t="s">
        <v>12798</v>
      </c>
      <c r="E1209" s="28" t="s">
        <v>12799</v>
      </c>
      <c r="F1209" s="23">
        <f t="array" ref="F1209">IFERROR(
    INDEX('Hub Interns 226'!A:A, MATCH(C1209, 'Hub Interns 226'!B:B, 0)),"")</f>
        <v>60</v>
      </c>
      <c r="G1209" s="23">
        <f t="array" ref="G1209">IFERROR(
    INDEX('Hub Users 226'!A:A, MATCH(C1209, 'Hub Users 226'!B:B, 0)),"")</f>
        <v>493</v>
      </c>
      <c r="H1209" s="28">
        <v>882.0</v>
      </c>
      <c r="I1209" s="28" t="s">
        <v>269</v>
      </c>
      <c r="J1209" s="28" t="s">
        <v>12800</v>
      </c>
      <c r="K1209" s="28" t="s">
        <v>5245</v>
      </c>
      <c r="L1209" s="28" t="s">
        <v>5165</v>
      </c>
      <c r="M1209" s="56" t="s">
        <v>12801</v>
      </c>
      <c r="N1209" s="57">
        <v>44601.48125</v>
      </c>
      <c r="O1209" s="58">
        <v>37621.0</v>
      </c>
      <c r="P1209" s="28">
        <f t="shared" si="36"/>
        <v>23</v>
      </c>
      <c r="Q1209" s="28" t="s">
        <v>240</v>
      </c>
      <c r="R1209" s="28" t="s">
        <v>12802</v>
      </c>
      <c r="S1209" s="28">
        <v>13.0</v>
      </c>
      <c r="T1209" s="28">
        <v>30.0</v>
      </c>
      <c r="U1209" s="28">
        <v>70.0</v>
      </c>
      <c r="V1209" s="28">
        <v>9.0</v>
      </c>
      <c r="W1209" s="28" t="s">
        <v>1173</v>
      </c>
      <c r="X1209" s="28" t="s">
        <v>272</v>
      </c>
      <c r="Y1209" s="28" t="s">
        <v>12803</v>
      </c>
      <c r="Z1209" s="28" t="s">
        <v>5259</v>
      </c>
      <c r="AA1209" s="28" t="s">
        <v>704</v>
      </c>
      <c r="AB1209" s="28">
        <v>2.0</v>
      </c>
      <c r="AC1209" s="28" t="s">
        <v>24</v>
      </c>
      <c r="AD1209" s="23"/>
      <c r="AE1209" s="28" t="s">
        <v>10</v>
      </c>
      <c r="AF1209" s="23"/>
      <c r="AG1209" s="23"/>
      <c r="AH1209" s="23" t="str">
        <f>IFERROR(__xludf.DUMMYFUNCTION("IF(
ISNUMBER(MATCH(
C1209,
IMPORTRANGE(""https://docs.google.com/spreadsheets/d/1yTh1ELC33JHYOeEdgIiEclxPRyh0zOKtlawDltfUay8"",""'Interns'!A:A""),
0
)),
""Outreach Conducted"",
"""")"),"")</f>
        <v/>
      </c>
      <c r="AI1209" s="23"/>
      <c r="AJ1209" s="23"/>
      <c r="AK1209" s="23" t="str">
        <f>IFERROR(__xludf.DUMMYFUNCTION("XLOOKUP(C1209, 
   IMPORTRANGE(""1RdEdgHYrZ33LJ7RUHj_h-qkAFL92bcVjtIdVa-UlsCw"", ""Interns!D:D""), 
   IMPORTRANGE(""1RdEdgHYrZ33LJ7RUHj_h-qkAFL92bcVjtIdVa-UlsCw"", ""Interns!M:M""), 
   ""Not Found"")"),"Contacted")</f>
        <v>Contacted</v>
      </c>
      <c r="AL1209" s="23" t="str">
        <f>IFERROR(__xludf.DUMMYFUNCTION("XLOOKUP(C1209, 
   IMPORTRANGE(""1RdEdgHYrZ33LJ7RUHj_h-qkAFL92bcVjtIdVa-UlsCw"", ""Interns!D:D""), 
   IMPORTRANGE(""1RdEdgHYrZ33LJ7RUHj_h-qkAFL92bcVjtIdVa-UlsCw"", ""Interns!N:N""), 
   ""Not Found"")"),"#Cheers4Careers")</f>
        <v>#Cheers4Careers</v>
      </c>
      <c r="AM1209" s="23" t="str">
        <f>IFERROR(__xludf.DUMMYFUNCTION("XLOOKUP(C1209, 
   IMPORTRANGE(""1RdEdgHYrZ33LJ7RUHj_h-qkAFL92bcVjtIdVa-UlsCw"", ""Interns!D:D""), 
   IMPORTRANGE(""1RdEdgHYrZ33LJ7RUHj_h-qkAFL92bcVjtIdVa-UlsCw"", ""Interns!O:O""), 
   ""Not Found"")"),"Ousmane reached out by email 3/26 and reach out by text 3/28")</f>
        <v>Ousmane reached out by email 3/26 and reach out by text 3/28</v>
      </c>
      <c r="AN1209" s="23"/>
      <c r="AO1209" s="23" t="s">
        <v>12804</v>
      </c>
      <c r="AP1209" s="28" t="s">
        <v>5173</v>
      </c>
      <c r="AQ1209" s="28"/>
      <c r="AR1209" s="23"/>
      <c r="AS1209" s="23"/>
      <c r="AT1209" s="23"/>
      <c r="AU1209" s="23"/>
      <c r="AV1209" s="23"/>
    </row>
    <row r="1210">
      <c r="A1210" s="28" t="s">
        <v>5161</v>
      </c>
      <c r="B1210" s="28" t="s">
        <v>5162</v>
      </c>
      <c r="C1210" s="23" t="str">
        <f t="shared" si="1"/>
        <v>Anastasiia Smetaniuk</v>
      </c>
      <c r="D1210" s="28" t="s">
        <v>12805</v>
      </c>
      <c r="E1210" s="28" t="s">
        <v>12806</v>
      </c>
      <c r="F1210" s="23">
        <f t="array" ref="F1210">IFERROR(
    INDEX('Hub Interns 226'!A:A, MATCH(C1210, 'Hub Interns 226'!B:B, 0)),"")</f>
        <v>921</v>
      </c>
      <c r="G1210" s="23">
        <f t="array" ref="G1210">IFERROR(
    INDEX('Hub Users 226'!A:A, MATCH(C1210, 'Hub Users 226'!B:B, 0)),"")</f>
        <v>1354</v>
      </c>
      <c r="H1210" s="28">
        <v>61.0</v>
      </c>
      <c r="I1210" s="28" t="s">
        <v>269</v>
      </c>
      <c r="J1210" s="28" t="s">
        <v>12807</v>
      </c>
      <c r="K1210" s="28" t="s">
        <v>5255</v>
      </c>
      <c r="L1210" s="28" t="s">
        <v>5196</v>
      </c>
      <c r="M1210" s="56" t="s">
        <v>12808</v>
      </c>
      <c r="N1210" s="57">
        <v>43741.63125</v>
      </c>
      <c r="O1210" s="58">
        <v>37257.0</v>
      </c>
      <c r="P1210" s="28">
        <f t="shared" si="36"/>
        <v>24</v>
      </c>
      <c r="Q1210" s="28" t="s">
        <v>12809</v>
      </c>
      <c r="R1210" s="28" t="s">
        <v>12810</v>
      </c>
      <c r="S1210" s="28"/>
      <c r="T1210" s="28"/>
      <c r="U1210" s="28"/>
      <c r="V1210" s="28"/>
      <c r="W1210" s="28" t="s">
        <v>380</v>
      </c>
      <c r="X1210" s="28" t="s">
        <v>381</v>
      </c>
      <c r="Y1210" s="28" t="s">
        <v>12811</v>
      </c>
      <c r="Z1210" s="28" t="s">
        <v>5272</v>
      </c>
      <c r="AA1210" s="28" t="s">
        <v>629</v>
      </c>
      <c r="AB1210" s="28" t="s">
        <v>5221</v>
      </c>
      <c r="AC1210" s="28" t="s">
        <v>25</v>
      </c>
      <c r="AD1210" s="23"/>
      <c r="AE1210" s="28" t="s">
        <v>4</v>
      </c>
      <c r="AF1210" s="23" t="str">
        <f>IFERROR(__xludf.DUMMYFUNCTION("TEXTJOIN("", "", TRUE,
  FILTER(Champions!C:C,
    ISNUMBER(SEARCH(C1210, Champions!W:W))
  )
)"),"Nisha Mathew, Roopa Kohli")</f>
        <v>Nisha Mathew, Roopa Kohli</v>
      </c>
      <c r="AG1210" s="23"/>
      <c r="AH1210" s="23" t="str">
        <f>IFERROR(__xludf.DUMMYFUNCTION("IF(
ISNUMBER(MATCH(
C1210,
IMPORTRANGE(""https://docs.google.com/spreadsheets/d/1yTh1ELC33JHYOeEdgIiEclxPRyh0zOKtlawDltfUay8"",""'Interns'!A:A""),
0
)),
""Outreach Conducted"",
"""")"),"")</f>
        <v/>
      </c>
      <c r="AI1210" s="23"/>
      <c r="AJ1210" s="23"/>
      <c r="AK1210" s="23" t="str">
        <f>IFERROR(__xludf.DUMMYFUNCTION("XLOOKUP(C1210, 
   IMPORTRANGE(""1RdEdgHYrZ33LJ7RUHj_h-qkAFL92bcVjtIdVa-UlsCw"", ""Interns!D:D""), 
   IMPORTRANGE(""1RdEdgHYrZ33LJ7RUHj_h-qkAFL92bcVjtIdVa-UlsCw"", ""Interns!M:M""), 
   ""Not Found"")"),"")</f>
        <v/>
      </c>
      <c r="AL1210" s="23" t="str">
        <f>IFERROR(__xludf.DUMMYFUNCTION("XLOOKUP(C1210, 
   IMPORTRANGE(""1RdEdgHYrZ33LJ7RUHj_h-qkAFL92bcVjtIdVa-UlsCw"", ""Interns!D:D""), 
   IMPORTRANGE(""1RdEdgHYrZ33LJ7RUHj_h-qkAFL92bcVjtIdVa-UlsCw"", ""Interns!N:N""), 
   ""Not Found"")"),"")</f>
        <v/>
      </c>
      <c r="AM1210" s="23" t="str">
        <f>IFERROR(__xludf.DUMMYFUNCTION("XLOOKUP(C1210, 
   IMPORTRANGE(""1RdEdgHYrZ33LJ7RUHj_h-qkAFL92bcVjtIdVa-UlsCw"", ""Interns!D:D""), 
   IMPORTRANGE(""1RdEdgHYrZ33LJ7RUHj_h-qkAFL92bcVjtIdVa-UlsCw"", ""Interns!O:O""), 
   ""Not Found"")"),"")</f>
        <v/>
      </c>
      <c r="AN1210" s="23"/>
      <c r="AO1210" s="23" t="s">
        <v>12812</v>
      </c>
      <c r="AP1210" s="28" t="s">
        <v>5182</v>
      </c>
      <c r="AQ1210" s="28" t="s">
        <v>12808</v>
      </c>
      <c r="AR1210" s="23" t="s">
        <v>12813</v>
      </c>
      <c r="AS1210" s="23"/>
      <c r="AT1210" s="23"/>
      <c r="AU1210" s="23"/>
      <c r="AV1210" s="23"/>
    </row>
    <row r="1211">
      <c r="A1211" s="28" t="s">
        <v>5161</v>
      </c>
      <c r="B1211" s="28" t="s">
        <v>5162</v>
      </c>
      <c r="C1211" s="23" t="str">
        <f t="shared" si="1"/>
        <v>Polina Malinovska</v>
      </c>
      <c r="D1211" s="28" t="s">
        <v>12814</v>
      </c>
      <c r="E1211" s="28" t="s">
        <v>12815</v>
      </c>
      <c r="F1211" s="23">
        <f t="array" ref="F1211">IFERROR(
    INDEX('Hub Interns 226'!A:A, MATCH(C1211, 'Hub Interns 226'!B:B, 0)),"")</f>
        <v>1378</v>
      </c>
      <c r="G1211" s="23">
        <f t="array" ref="G1211">IFERROR(
    INDEX('Hub Users 226'!A:A, MATCH(C1211, 'Hub Users 226'!B:B, 0)),"")</f>
        <v>1920</v>
      </c>
      <c r="H1211" s="28">
        <v>1772.0</v>
      </c>
      <c r="I1211" s="28" t="s">
        <v>407</v>
      </c>
      <c r="J1211" s="28" t="s">
        <v>12807</v>
      </c>
      <c r="K1211" s="28" t="s">
        <v>5255</v>
      </c>
      <c r="L1211" s="28" t="s">
        <v>8087</v>
      </c>
      <c r="M1211" s="56" t="s">
        <v>12816</v>
      </c>
      <c r="N1211" s="57">
        <v>45312.74722222222</v>
      </c>
      <c r="O1211" s="58">
        <v>38734.0</v>
      </c>
      <c r="P1211" s="28">
        <f t="shared" si="36"/>
        <v>20</v>
      </c>
      <c r="Q1211" s="28" t="s">
        <v>12817</v>
      </c>
      <c r="R1211" s="28" t="s">
        <v>12818</v>
      </c>
      <c r="S1211" s="28">
        <v>12.0</v>
      </c>
      <c r="T1211" s="28">
        <v>47.0</v>
      </c>
      <c r="U1211" s="28">
        <v>75.0</v>
      </c>
      <c r="V1211" s="28">
        <v>3.0</v>
      </c>
      <c r="W1211" s="28" t="s">
        <v>271</v>
      </c>
      <c r="X1211" s="28" t="s">
        <v>272</v>
      </c>
      <c r="Y1211" s="28" t="s">
        <v>12819</v>
      </c>
      <c r="Z1211" s="28" t="s">
        <v>5259</v>
      </c>
      <c r="AA1211" s="28" t="s">
        <v>704</v>
      </c>
      <c r="AB1211" s="28">
        <v>2.0</v>
      </c>
      <c r="AC1211" s="28" t="s">
        <v>25</v>
      </c>
      <c r="AD1211" s="23"/>
      <c r="AE1211" s="28" t="s">
        <v>18</v>
      </c>
      <c r="AF1211" s="23" t="str">
        <f>IFERROR(__xludf.DUMMYFUNCTION("TEXTJOIN("", "", TRUE,
  FILTER(Champions!C:C,
    ISNUMBER(SEARCH(C1211, Champions!W:W))
  )
)"),"Diane French, Christopher (Chris) Herrera")</f>
        <v>Diane French, Christopher (Chris) Herrera</v>
      </c>
      <c r="AG1211" s="23"/>
      <c r="AH1211" s="23" t="str">
        <f>IFERROR(__xludf.DUMMYFUNCTION("IF(
ISNUMBER(MATCH(
C1211,
IMPORTRANGE(""https://docs.google.com/spreadsheets/d/1yTh1ELC33JHYOeEdgIiEclxPRyh0zOKtlawDltfUay8"",""'Interns'!A:A""),
0
)),
""Outreach Conducted"",
"""")"),"")</f>
        <v/>
      </c>
      <c r="AI1211" s="23"/>
      <c r="AJ1211" s="23"/>
      <c r="AK1211" s="23" t="str">
        <f>IFERROR(__xludf.DUMMYFUNCTION("XLOOKUP(C1211, 
   IMPORTRANGE(""1RdEdgHYrZ33LJ7RUHj_h-qkAFL92bcVjtIdVa-UlsCw"", ""Interns!D:D""), 
   IMPORTRANGE(""1RdEdgHYrZ33LJ7RUHj_h-qkAFL92bcVjtIdVa-UlsCw"", ""Interns!M:M""), 
   ""Not Found"")"),"Contacted")</f>
        <v>Contacted</v>
      </c>
      <c r="AL1211" s="23" t="str">
        <f>IFERROR(__xludf.DUMMYFUNCTION("XLOOKUP(C1211, 
   IMPORTRANGE(""1RdEdgHYrZ33LJ7RUHj_h-qkAFL92bcVjtIdVa-UlsCw"", ""Interns!D:D""), 
   IMPORTRANGE(""1RdEdgHYrZ33LJ7RUHj_h-qkAFL92bcVjtIdVa-UlsCw"", ""Interns!N:N""), 
   ""Not Found"")"),"#Cheers4Careers")</f>
        <v>#Cheers4Careers</v>
      </c>
      <c r="AM1211" s="23" t="str">
        <f>IFERROR(__xludf.DUMMYFUNCTION("XLOOKUP(C1211, 
   IMPORTRANGE(""1RdEdgHYrZ33LJ7RUHj_h-qkAFL92bcVjtIdVa-UlsCw"", ""Interns!D:D""), 
   IMPORTRANGE(""1RdEdgHYrZ33LJ7RUHj_h-qkAFL92bcVjtIdVa-UlsCw"", ""Interns!O:O""), 
   ""Not Found"")"),"Ousmane reached out by email 3/26 and reach out by text 3/28")</f>
        <v>Ousmane reached out by email 3/26 and reach out by text 3/28</v>
      </c>
      <c r="AN1211" s="23"/>
      <c r="AO1211" s="23" t="s">
        <v>12820</v>
      </c>
      <c r="AP1211" s="28" t="s">
        <v>5182</v>
      </c>
      <c r="AQ1211" s="28" t="s">
        <v>12821</v>
      </c>
      <c r="AR1211" s="23" t="s">
        <v>12822</v>
      </c>
      <c r="AS1211" s="23"/>
      <c r="AT1211" s="23"/>
      <c r="AU1211" s="23"/>
      <c r="AV1211" s="23"/>
    </row>
    <row r="1212">
      <c r="A1212" s="28" t="s">
        <v>5161</v>
      </c>
      <c r="B1212" s="28" t="s">
        <v>5162</v>
      </c>
      <c r="C1212" s="23" t="str">
        <f t="shared" si="1"/>
        <v>Kevin (Mongraal) Ramon</v>
      </c>
      <c r="D1212" s="28" t="s">
        <v>12823</v>
      </c>
      <c r="E1212" s="28" t="s">
        <v>12824</v>
      </c>
      <c r="F1212" s="23">
        <f t="array" ref="F1212">IFERROR(
    INDEX('Hub Interns 226'!A:A, MATCH("Mongraal", 'Hub Interns 226'!B:B, 0)),"")</f>
        <v>1330</v>
      </c>
      <c r="G1212" s="28">
        <v>1806.0</v>
      </c>
      <c r="H1212" s="28">
        <v>1691.0</v>
      </c>
      <c r="I1212" s="28"/>
      <c r="J1212" s="28"/>
      <c r="K1212" s="28"/>
      <c r="L1212" s="28" t="s">
        <v>6647</v>
      </c>
      <c r="M1212" s="56" t="s">
        <v>12825</v>
      </c>
      <c r="N1212" s="59">
        <v>45249.99375</v>
      </c>
      <c r="O1212" s="58">
        <v>45236.0</v>
      </c>
      <c r="P1212" s="28">
        <f t="shared" si="36"/>
        <v>2</v>
      </c>
      <c r="Q1212" s="28" t="s">
        <v>12826</v>
      </c>
      <c r="R1212" s="28" t="s">
        <v>12827</v>
      </c>
      <c r="S1212" s="60">
        <v>6.0</v>
      </c>
      <c r="T1212" s="60">
        <v>12.0</v>
      </c>
      <c r="U1212" s="60">
        <v>30.0</v>
      </c>
      <c r="V1212" s="28">
        <v>30.0</v>
      </c>
      <c r="W1212" s="28" t="s">
        <v>1173</v>
      </c>
      <c r="X1212" s="28" t="s">
        <v>272</v>
      </c>
      <c r="Y1212" s="28" t="s">
        <v>8135</v>
      </c>
      <c r="Z1212" s="28" t="s">
        <v>5170</v>
      </c>
      <c r="AA1212" s="28" t="s">
        <v>5171</v>
      </c>
      <c r="AB1212" s="28">
        <v>30.0</v>
      </c>
      <c r="AC1212" s="28" t="s">
        <v>23</v>
      </c>
      <c r="AD1212" s="23"/>
      <c r="AE1212" s="28" t="s">
        <v>18</v>
      </c>
      <c r="AF1212" s="23"/>
      <c r="AG1212" s="23"/>
      <c r="AH1212" s="23" t="str">
        <f>IFERROR(__xludf.DUMMYFUNCTION("IF(
ISNUMBER(MATCH(
C1212,
IMPORTRANGE(""https://docs.google.com/spreadsheets/d/1yTh1ELC33JHYOeEdgIiEclxPRyh0zOKtlawDltfUay8"",""'Interns'!A:A""),
0
)),
""Outreach Conducted"",
"""")"),"")</f>
        <v/>
      </c>
      <c r="AI1212" s="23"/>
      <c r="AJ1212" s="23"/>
      <c r="AK1212" s="23" t="str">
        <f>IFERROR(__xludf.DUMMYFUNCTION("XLOOKUP(C1212, 
   IMPORTRANGE(""1RdEdgHYrZ33LJ7RUHj_h-qkAFL92bcVjtIdVa-UlsCw"", ""Interns!D:D""), 
   IMPORTRANGE(""1RdEdgHYrZ33LJ7RUHj_h-qkAFL92bcVjtIdVa-UlsCw"", ""Interns!M:M""), 
   ""Not Found"")"),"Contacted")</f>
        <v>Contacted</v>
      </c>
      <c r="AL1212" s="23" t="str">
        <f>IFERROR(__xludf.DUMMYFUNCTION("XLOOKUP(C1212, 
   IMPORTRANGE(""1RdEdgHYrZ33LJ7RUHj_h-qkAFL92bcVjtIdVa-UlsCw"", ""Interns!D:D""), 
   IMPORTRANGE(""1RdEdgHYrZ33LJ7RUHj_h-qkAFL92bcVjtIdVa-UlsCw"", ""Interns!N:N""), 
   ""Not Found"")"),"#Cheers4Careers")</f>
        <v>#Cheers4Careers</v>
      </c>
      <c r="AM1212" s="23" t="str">
        <f>IFERROR(__xludf.DUMMYFUNCTION("XLOOKUP(C1212, 
   IMPORTRANGE(""1RdEdgHYrZ33LJ7RUHj_h-qkAFL92bcVjtIdVa-UlsCw"", ""Interns!D:D""), 
   IMPORTRANGE(""1RdEdgHYrZ33LJ7RUHj_h-qkAFL92bcVjtIdVa-UlsCw"", ""Interns!O:O""), 
   ""Not Found"")"),"Hetal reached out March 27 for March #Cheers4 Careers ")</f>
        <v>Hetal reached out March 27 for March #Cheers4 Careers </v>
      </c>
      <c r="AN1212" s="23"/>
      <c r="AO1212" s="23" t="s">
        <v>12828</v>
      </c>
      <c r="AP1212" s="28" t="s">
        <v>12829</v>
      </c>
      <c r="AQ1212" s="28" t="s">
        <v>12830</v>
      </c>
      <c r="AR1212" s="23" t="s">
        <v>8135</v>
      </c>
      <c r="AS1212" s="23"/>
      <c r="AT1212" s="23"/>
      <c r="AU1212" s="23"/>
      <c r="AV1212" s="23"/>
    </row>
    <row r="1213">
      <c r="A1213" s="28" t="s">
        <v>5202</v>
      </c>
      <c r="B1213" s="28" t="s">
        <v>5162</v>
      </c>
      <c r="C1213" s="23" t="str">
        <f t="shared" si="1"/>
        <v>Rowena Otero</v>
      </c>
      <c r="D1213" s="28" t="s">
        <v>12831</v>
      </c>
      <c r="E1213" s="28" t="s">
        <v>12832</v>
      </c>
      <c r="F1213" s="23">
        <f t="array" ref="F1213">IFERROR(
    INDEX('Hub Interns 226'!A:A, MATCH(C1213, 'Hub Interns 226'!B:B, 0)),"")</f>
        <v>1041</v>
      </c>
      <c r="G1213" s="23">
        <f t="array" ref="G1213">IFERROR(
    INDEX('Hub Users 226'!A:A, MATCH(C1213, 'Hub Users 226'!B:B, 0)),"")</f>
        <v>1474</v>
      </c>
      <c r="H1213" s="28">
        <v>706.0</v>
      </c>
      <c r="I1213" s="28" t="s">
        <v>260</v>
      </c>
      <c r="J1213" s="28" t="s">
        <v>12050</v>
      </c>
      <c r="K1213" s="28" t="s">
        <v>5177</v>
      </c>
      <c r="L1213" s="28" t="s">
        <v>5196</v>
      </c>
      <c r="M1213" s="56" t="s">
        <v>12833</v>
      </c>
      <c r="N1213" s="59">
        <v>44546.96319444444</v>
      </c>
      <c r="O1213" s="58">
        <v>38710.0</v>
      </c>
      <c r="P1213" s="28">
        <f t="shared" si="36"/>
        <v>20</v>
      </c>
      <c r="Q1213" s="28" t="s">
        <v>12834</v>
      </c>
      <c r="R1213" s="28" t="s">
        <v>12835</v>
      </c>
      <c r="S1213" s="28">
        <v>13.0</v>
      </c>
      <c r="T1213" s="28">
        <v>31.0</v>
      </c>
      <c r="U1213" s="28">
        <v>72.0</v>
      </c>
      <c r="V1213" s="28">
        <v>10.0</v>
      </c>
      <c r="W1213" s="28" t="s">
        <v>271</v>
      </c>
      <c r="X1213" s="28" t="s">
        <v>272</v>
      </c>
      <c r="Y1213" s="28" t="s">
        <v>12836</v>
      </c>
      <c r="Z1213" s="28" t="s">
        <v>5341</v>
      </c>
      <c r="AA1213" s="28" t="s">
        <v>1085</v>
      </c>
      <c r="AB1213" s="28">
        <v>10.0</v>
      </c>
      <c r="AC1213" s="28" t="s">
        <v>25</v>
      </c>
      <c r="AD1213" s="23"/>
      <c r="AE1213" s="28" t="s">
        <v>10</v>
      </c>
      <c r="AF1213" s="23" t="str">
        <f>IFERROR(__xludf.DUMMYFUNCTION("TEXTJOIN("", "", TRUE,
  FILTER(Champions!C:C,
    ISNUMBER(SEARCH(C1213, Champions!W:W))
  )
)"),"Bindu Krishna, David Temple, Bindu Krishna (D)")</f>
        <v>Bindu Krishna, David Temple, Bindu Krishna (D)</v>
      </c>
      <c r="AG1213" s="23"/>
      <c r="AH1213" s="23" t="str">
        <f>IFERROR(__xludf.DUMMYFUNCTION("IF(
ISNUMBER(MATCH(
C1213,
IMPORTRANGE(""https://docs.google.com/spreadsheets/d/1yTh1ELC33JHYOeEdgIiEclxPRyh0zOKtlawDltfUay8"",""'Interns'!A:A""),
0
)),
""Outreach Conducted"",
"""")"),"")</f>
        <v/>
      </c>
      <c r="AI1213" s="23"/>
      <c r="AJ1213" s="23"/>
      <c r="AK1213" s="23" t="str">
        <f>IFERROR(__xludf.DUMMYFUNCTION("XLOOKUP(C1213, 
   IMPORTRANGE(""1RdEdgHYrZ33LJ7RUHj_h-qkAFL92bcVjtIdVa-UlsCw"", ""Interns!D:D""), 
   IMPORTRANGE(""1RdEdgHYrZ33LJ7RUHj_h-qkAFL92bcVjtIdVa-UlsCw"", ""Interns!M:M""), 
   ""Not Found"")"),"")</f>
        <v/>
      </c>
      <c r="AL1213" s="23" t="str">
        <f>IFERROR(__xludf.DUMMYFUNCTION("XLOOKUP(C1213, 
   IMPORTRANGE(""1RdEdgHYrZ33LJ7RUHj_h-qkAFL92bcVjtIdVa-UlsCw"", ""Interns!D:D""), 
   IMPORTRANGE(""1RdEdgHYrZ33LJ7RUHj_h-qkAFL92bcVjtIdVa-UlsCw"", ""Interns!N:N""), 
   ""Not Found"")"),"")</f>
        <v/>
      </c>
      <c r="AM1213" s="23" t="str">
        <f>IFERROR(__xludf.DUMMYFUNCTION("XLOOKUP(C1213, 
   IMPORTRANGE(""1RdEdgHYrZ33LJ7RUHj_h-qkAFL92bcVjtIdVa-UlsCw"", ""Interns!D:D""), 
   IMPORTRANGE(""1RdEdgHYrZ33LJ7RUHj_h-qkAFL92bcVjtIdVa-UlsCw"", ""Interns!O:O""), 
   ""Not Found"")"),"")</f>
        <v/>
      </c>
      <c r="AN1213" s="23"/>
      <c r="AO1213" s="23" t="s">
        <v>12837</v>
      </c>
      <c r="AP1213" s="28" t="s">
        <v>5182</v>
      </c>
      <c r="AQ1213" s="28" t="s">
        <v>12838</v>
      </c>
      <c r="AR1213" s="23" t="s">
        <v>12836</v>
      </c>
      <c r="AS1213" s="23"/>
      <c r="AT1213" s="23"/>
      <c r="AU1213" s="23"/>
      <c r="AV1213" s="23"/>
    </row>
    <row r="1214">
      <c r="A1214" s="28" t="s">
        <v>5202</v>
      </c>
      <c r="B1214" s="28" t="s">
        <v>31</v>
      </c>
      <c r="C1214" s="23" t="str">
        <f t="shared" si="1"/>
        <v>Rowena Otero</v>
      </c>
      <c r="D1214" s="28" t="s">
        <v>12831</v>
      </c>
      <c r="E1214" s="28" t="s">
        <v>12832</v>
      </c>
      <c r="F1214" s="23">
        <f t="array" ref="F1214">IFERROR(
    INDEX('Hub Interns 226'!A:A, MATCH(C1214, 'Hub Interns 226'!B:B, 0)),"")</f>
        <v>1041</v>
      </c>
      <c r="G1214" s="23">
        <f t="array" ref="G1214">IFERROR(
    INDEX('Hub Users 226'!A:A, MATCH(C1214, 'Hub Users 226'!B:B, 0)),"")</f>
        <v>1474</v>
      </c>
      <c r="H1214" s="28">
        <v>706.0</v>
      </c>
      <c r="I1214" s="28" t="s">
        <v>260</v>
      </c>
      <c r="J1214" s="28" t="s">
        <v>12050</v>
      </c>
      <c r="K1214" s="28" t="s">
        <v>5177</v>
      </c>
      <c r="L1214" s="28" t="s">
        <v>5196</v>
      </c>
      <c r="M1214" s="56" t="s">
        <v>12833</v>
      </c>
      <c r="N1214" s="59">
        <v>44546.96319444444</v>
      </c>
      <c r="O1214" s="58">
        <v>38710.0</v>
      </c>
      <c r="P1214" s="28">
        <f t="shared" si="36"/>
        <v>20</v>
      </c>
      <c r="Q1214" s="28" t="s">
        <v>12834</v>
      </c>
      <c r="R1214" s="28" t="s">
        <v>12835</v>
      </c>
      <c r="S1214" s="28">
        <v>13.0</v>
      </c>
      <c r="T1214" s="28">
        <v>31.0</v>
      </c>
      <c r="U1214" s="28">
        <v>72.0</v>
      </c>
      <c r="V1214" s="28">
        <v>10.0</v>
      </c>
      <c r="W1214" s="28" t="s">
        <v>271</v>
      </c>
      <c r="X1214" s="28" t="s">
        <v>272</v>
      </c>
      <c r="Y1214" s="28" t="s">
        <v>12836</v>
      </c>
      <c r="Z1214" s="28" t="s">
        <v>5341</v>
      </c>
      <c r="AA1214" s="28" t="s">
        <v>1085</v>
      </c>
      <c r="AB1214" s="28">
        <v>10.0</v>
      </c>
      <c r="AC1214" s="28" t="s">
        <v>23</v>
      </c>
      <c r="AD1214" s="28" t="s">
        <v>101</v>
      </c>
      <c r="AE1214" s="28" t="s">
        <v>15</v>
      </c>
      <c r="AF1214" s="23"/>
      <c r="AG1214" s="23"/>
      <c r="AH1214" s="23" t="str">
        <f>IFERROR(__xludf.DUMMYFUNCTION("IF(
ISNUMBER(MATCH(
C1214,
IMPORTRANGE(""https://docs.google.com/spreadsheets/d/1yTh1ELC33JHYOeEdgIiEclxPRyh0zOKtlawDltfUay8"",""'Interns'!A:A""),
0
)),
""Outreach Conducted"",
"""")"),"")</f>
        <v/>
      </c>
      <c r="AI1214" s="23"/>
      <c r="AJ1214" s="23"/>
      <c r="AK1214" s="23" t="str">
        <f>IFERROR(__xludf.DUMMYFUNCTION("XLOOKUP(C1214, 
   IMPORTRANGE(""1RdEdgHYrZ33LJ7RUHj_h-qkAFL92bcVjtIdVa-UlsCw"", ""Interns!D:D""), 
   IMPORTRANGE(""1RdEdgHYrZ33LJ7RUHj_h-qkAFL92bcVjtIdVa-UlsCw"", ""Interns!M:M""), 
   ""Not Found"")"),"")</f>
        <v/>
      </c>
      <c r="AL1214" s="23" t="str">
        <f>IFERROR(__xludf.DUMMYFUNCTION("XLOOKUP(C1214, 
   IMPORTRANGE(""1RdEdgHYrZ33LJ7RUHj_h-qkAFL92bcVjtIdVa-UlsCw"", ""Interns!D:D""), 
   IMPORTRANGE(""1RdEdgHYrZ33LJ7RUHj_h-qkAFL92bcVjtIdVa-UlsCw"", ""Interns!N:N""), 
   ""Not Found"")"),"")</f>
        <v/>
      </c>
      <c r="AM1214" s="23" t="str">
        <f>IFERROR(__xludf.DUMMYFUNCTION("XLOOKUP(C1214, 
   IMPORTRANGE(""1RdEdgHYrZ33LJ7RUHj_h-qkAFL92bcVjtIdVa-UlsCw"", ""Interns!D:D""), 
   IMPORTRANGE(""1RdEdgHYrZ33LJ7RUHj_h-qkAFL92bcVjtIdVa-UlsCw"", ""Interns!O:O""), 
   ""Not Found"")"),"")</f>
        <v/>
      </c>
      <c r="AN1214" s="23"/>
      <c r="AO1214" s="23" t="s">
        <v>12837</v>
      </c>
      <c r="AP1214" s="28" t="s">
        <v>5182</v>
      </c>
      <c r="AQ1214" s="28" t="s">
        <v>12838</v>
      </c>
      <c r="AR1214" s="23" t="s">
        <v>12836</v>
      </c>
      <c r="AS1214" s="23"/>
      <c r="AT1214" s="23"/>
      <c r="AU1214" s="23"/>
      <c r="AV1214" s="23"/>
    </row>
    <row r="1215">
      <c r="A1215" s="28" t="s">
        <v>5161</v>
      </c>
      <c r="B1215" s="28" t="s">
        <v>5162</v>
      </c>
      <c r="C1215" s="23" t="str">
        <f t="shared" si="1"/>
        <v>Nigora Uktamboeva</v>
      </c>
      <c r="D1215" s="28" t="s">
        <v>12839</v>
      </c>
      <c r="E1215" s="28" t="s">
        <v>12840</v>
      </c>
      <c r="F1215" s="23">
        <f t="array" ref="F1215">IFERROR(
    INDEX('Hub Interns 226'!A:A, MATCH(C1215, 'Hub Interns 226'!B:B, 0)),"")</f>
        <v>954</v>
      </c>
      <c r="G1215" s="23">
        <f t="array" ref="G1215">IFERROR(
    INDEX('Hub Users 226'!A:A, MATCH(C1215, 'Hub Users 226'!B:B, 0)),"")</f>
        <v>1387</v>
      </c>
      <c r="H1215" s="28">
        <v>691.0</v>
      </c>
      <c r="I1215" s="28" t="s">
        <v>1235</v>
      </c>
      <c r="J1215" s="28" t="s">
        <v>8549</v>
      </c>
      <c r="K1215" s="28" t="s">
        <v>5186</v>
      </c>
      <c r="L1215" s="28" t="s">
        <v>5196</v>
      </c>
      <c r="M1215" s="56" t="s">
        <v>12841</v>
      </c>
      <c r="N1215" s="59">
        <v>44546.55694444444</v>
      </c>
      <c r="O1215" s="58">
        <v>38893.0</v>
      </c>
      <c r="P1215" s="28">
        <f t="shared" si="36"/>
        <v>19</v>
      </c>
      <c r="Q1215" s="28" t="s">
        <v>12842</v>
      </c>
      <c r="R1215" s="28">
        <v>11218.0</v>
      </c>
      <c r="S1215" s="28"/>
      <c r="T1215" s="28"/>
      <c r="U1215" s="28"/>
      <c r="V1215" s="28"/>
      <c r="W1215" s="28" t="s">
        <v>294</v>
      </c>
      <c r="X1215" s="28" t="s">
        <v>272</v>
      </c>
      <c r="Y1215" s="28" t="s">
        <v>12843</v>
      </c>
      <c r="Z1215" s="28" t="s">
        <v>5386</v>
      </c>
      <c r="AA1215" s="28" t="s">
        <v>1887</v>
      </c>
      <c r="AB1215" s="28">
        <v>47.0</v>
      </c>
      <c r="AC1215" s="28" t="s">
        <v>25</v>
      </c>
      <c r="AD1215" s="23"/>
      <c r="AE1215" s="28" t="s">
        <v>10</v>
      </c>
      <c r="AF1215" s="23" t="str">
        <f>IFERROR(__xludf.DUMMYFUNCTION("TEXTJOIN("", "", TRUE,
  FILTER(Champions!C:C,
    ISNUMBER(SEARCH(C1215, Champions!W:W))
  )
)"),"Maryana Ivlev, Stephanie Grandjacques")</f>
        <v>Maryana Ivlev, Stephanie Grandjacques</v>
      </c>
      <c r="AG1215" s="23"/>
      <c r="AH1215" s="23" t="str">
        <f>IFERROR(__xludf.DUMMYFUNCTION("IF(
ISNUMBER(MATCH(
C1215,
IMPORTRANGE(""https://docs.google.com/spreadsheets/d/1yTh1ELC33JHYOeEdgIiEclxPRyh0zOKtlawDltfUay8"",""'Interns'!A:A""),
0
)),
""Outreach Conducted"",
"""")"),"")</f>
        <v/>
      </c>
      <c r="AI1215" s="23"/>
      <c r="AJ1215" s="23"/>
      <c r="AK1215" s="23" t="str">
        <f>IFERROR(__xludf.DUMMYFUNCTION("XLOOKUP(C1215, 
   IMPORTRANGE(""1RdEdgHYrZ33LJ7RUHj_h-qkAFL92bcVjtIdVa-UlsCw"", ""Interns!D:D""), 
   IMPORTRANGE(""1RdEdgHYrZ33LJ7RUHj_h-qkAFL92bcVjtIdVa-UlsCw"", ""Interns!M:M""), 
   ""Not Found"")"),"Contacted")</f>
        <v>Contacted</v>
      </c>
      <c r="AL1215" s="23" t="str">
        <f>IFERROR(__xludf.DUMMYFUNCTION("XLOOKUP(C1215, 
   IMPORTRANGE(""1RdEdgHYrZ33LJ7RUHj_h-qkAFL92bcVjtIdVa-UlsCw"", ""Interns!D:D""), 
   IMPORTRANGE(""1RdEdgHYrZ33LJ7RUHj_h-qkAFL92bcVjtIdVa-UlsCw"", ""Interns!N:N""), 
   ""Not Found"")"),"#Cheers4Careers")</f>
        <v>#Cheers4Careers</v>
      </c>
      <c r="AM1215" s="23" t="str">
        <f>IFERROR(__xludf.DUMMYFUNCTION("XLOOKUP(C1215, 
   IMPORTRANGE(""1RdEdgHYrZ33LJ7RUHj_h-qkAFL92bcVjtIdVa-UlsCw"", ""Interns!D:D""), 
   IMPORTRANGE(""1RdEdgHYrZ33LJ7RUHj_h-qkAFL92bcVjtIdVa-UlsCw"", ""Interns!O:O""), 
   ""Not Found"")"),"Hetal reached out by email 3/27 and Hetal reached out by whatsapp on 3/28
Hetal reached out on 4/10 by whatsapp for April 18th #Cheers4Careers")</f>
        <v>Hetal reached out by email 3/27 and Hetal reached out by whatsapp on 3/28
Hetal reached out on 4/10 by whatsapp for April 18th #Cheers4Careers</v>
      </c>
      <c r="AN1215" s="23"/>
      <c r="AO1215" s="23" t="s">
        <v>12844</v>
      </c>
      <c r="AP1215" s="28" t="s">
        <v>5182</v>
      </c>
      <c r="AQ1215" s="28" t="s">
        <v>12845</v>
      </c>
      <c r="AR1215" s="23" t="s">
        <v>12846</v>
      </c>
      <c r="AS1215" s="23"/>
      <c r="AT1215" s="23"/>
      <c r="AU1215" s="23"/>
      <c r="AV1215" s="23"/>
    </row>
    <row r="1216">
      <c r="A1216" s="28" t="s">
        <v>5161</v>
      </c>
      <c r="B1216" s="28" t="s">
        <v>5162</v>
      </c>
      <c r="C1216" s="23" t="str">
        <f t="shared" si="1"/>
        <v>Sanat Gaybullov</v>
      </c>
      <c r="D1216" s="28" t="s">
        <v>12847</v>
      </c>
      <c r="E1216" s="28" t="s">
        <v>12848</v>
      </c>
      <c r="F1216" s="23">
        <f t="array" ref="F1216">IFERROR(
    INDEX('Hub Interns 226'!A:A, MATCH(C1216, 'Hub Interns 226'!B:B, 0)),"")</f>
        <v>15</v>
      </c>
      <c r="G1216" s="23">
        <f t="array" ref="G1216">IFERROR(
    INDEX('Hub Users 226'!A:A, MATCH(C1216, 'Hub Users 226'!B:B, 0)),"")</f>
        <v>448</v>
      </c>
      <c r="H1216" s="28">
        <v>259.0</v>
      </c>
      <c r="I1216" s="28" t="s">
        <v>302</v>
      </c>
      <c r="J1216" s="28" t="s">
        <v>8549</v>
      </c>
      <c r="K1216" s="28" t="s">
        <v>5186</v>
      </c>
      <c r="L1216" s="28" t="s">
        <v>5165</v>
      </c>
      <c r="M1216" s="56" t="s">
        <v>12849</v>
      </c>
      <c r="N1216" s="59">
        <v>44176.626388888886</v>
      </c>
      <c r="O1216" s="58">
        <v>44180.0</v>
      </c>
      <c r="P1216" s="28">
        <f t="shared" si="36"/>
        <v>5</v>
      </c>
      <c r="Q1216" s="28" t="s">
        <v>12850</v>
      </c>
      <c r="R1216" s="28" t="s">
        <v>12851</v>
      </c>
      <c r="S1216" s="28"/>
      <c r="T1216" s="28"/>
      <c r="U1216" s="28"/>
      <c r="V1216" s="28"/>
      <c r="W1216" s="28" t="s">
        <v>380</v>
      </c>
      <c r="X1216" s="28" t="s">
        <v>381</v>
      </c>
      <c r="Y1216" s="28">
        <v>2.159617509E9</v>
      </c>
      <c r="Z1216" s="28" t="s">
        <v>5272</v>
      </c>
      <c r="AA1216" s="28" t="s">
        <v>629</v>
      </c>
      <c r="AB1216" s="28" t="s">
        <v>5221</v>
      </c>
      <c r="AC1216" s="28" t="s">
        <v>25</v>
      </c>
      <c r="AD1216" s="23"/>
      <c r="AE1216" s="28" t="s">
        <v>8</v>
      </c>
      <c r="AF1216" s="23" t="str">
        <f>IFERROR(__xludf.DUMMYFUNCTION("TEXTJOIN("", "", TRUE,
  FILTER(Champions!C:C,
    ISNUMBER(SEARCH(C1216, Champions!W:W))
  )
)"),"Sunkyung Park, Syed Hussain, Weston Uribe")</f>
        <v>Sunkyung Park, Syed Hussain, Weston Uribe</v>
      </c>
      <c r="AG1216" s="23"/>
      <c r="AH1216" s="23" t="str">
        <f>IFERROR(__xludf.DUMMYFUNCTION("IF(
ISNUMBER(MATCH(
C1216,
IMPORTRANGE(""https://docs.google.com/spreadsheets/d/1yTh1ELC33JHYOeEdgIiEclxPRyh0zOKtlawDltfUay8"",""'Interns'!A:A""),
0
)),
""Outreach Conducted"",
"""")"),"")</f>
        <v/>
      </c>
      <c r="AI1216" s="23"/>
      <c r="AJ1216" s="23"/>
      <c r="AK1216" s="23" t="str">
        <f>IFERROR(__xludf.DUMMYFUNCTION("XLOOKUP(C1216, 
   IMPORTRANGE(""1RdEdgHYrZ33LJ7RUHj_h-qkAFL92bcVjtIdVa-UlsCw"", ""Interns!D:D""), 
   IMPORTRANGE(""1RdEdgHYrZ33LJ7RUHj_h-qkAFL92bcVjtIdVa-UlsCw"", ""Interns!M:M""), 
   ""Not Found"")"),"")</f>
        <v/>
      </c>
      <c r="AL1216" s="23" t="str">
        <f>IFERROR(__xludf.DUMMYFUNCTION("XLOOKUP(C1216, 
   IMPORTRANGE(""1RdEdgHYrZ33LJ7RUHj_h-qkAFL92bcVjtIdVa-UlsCw"", ""Interns!D:D""), 
   IMPORTRANGE(""1RdEdgHYrZ33LJ7RUHj_h-qkAFL92bcVjtIdVa-UlsCw"", ""Interns!N:N""), 
   ""Not Found"")"),"")</f>
        <v/>
      </c>
      <c r="AM1216" s="23" t="str">
        <f>IFERROR(__xludf.DUMMYFUNCTION("XLOOKUP(C1216, 
   IMPORTRANGE(""1RdEdgHYrZ33LJ7RUHj_h-qkAFL92bcVjtIdVa-UlsCw"", ""Interns!D:D""), 
   IMPORTRANGE(""1RdEdgHYrZ33LJ7RUHj_h-qkAFL92bcVjtIdVa-UlsCw"", ""Interns!O:O""), 
   ""Not Found"")"),"")</f>
        <v/>
      </c>
      <c r="AN1216" s="23"/>
      <c r="AO1216" s="23" t="s">
        <v>12852</v>
      </c>
      <c r="AP1216" s="28" t="s">
        <v>5191</v>
      </c>
      <c r="AQ1216" s="28" t="s">
        <v>12853</v>
      </c>
      <c r="AR1216" s="23">
        <v>9.292247777E9</v>
      </c>
      <c r="AS1216" s="23"/>
      <c r="AT1216" s="23"/>
      <c r="AU1216" s="23"/>
      <c r="AV1216" s="23"/>
    </row>
    <row r="1217">
      <c r="A1217" s="28" t="s">
        <v>5161</v>
      </c>
      <c r="B1217" s="28" t="s">
        <v>5162</v>
      </c>
      <c r="C1217" s="23" t="str">
        <f t="shared" si="1"/>
        <v>Sabrina Ashurova</v>
      </c>
      <c r="D1217" s="28" t="s">
        <v>6433</v>
      </c>
      <c r="E1217" s="28" t="s">
        <v>12854</v>
      </c>
      <c r="F1217" s="23">
        <f t="array" ref="F1217">IFERROR(
    INDEX('Hub Interns 226'!A:A, MATCH(C1217, 'Hub Interns 226'!B:B, 0)),"")</f>
        <v>1053</v>
      </c>
      <c r="G1217" s="23">
        <f t="array" ref="G1217">IFERROR(
    INDEX('Hub Users 226'!A:A, MATCH(C1217, 'Hub Users 226'!B:B, 0)),"")</f>
        <v>1486</v>
      </c>
      <c r="H1217" s="28">
        <v>65.0</v>
      </c>
      <c r="I1217" s="28" t="s">
        <v>260</v>
      </c>
      <c r="J1217" s="28" t="s">
        <v>8549</v>
      </c>
      <c r="K1217" s="28" t="s">
        <v>5186</v>
      </c>
      <c r="L1217" s="28" t="s">
        <v>5196</v>
      </c>
      <c r="M1217" s="56" t="s">
        <v>12855</v>
      </c>
      <c r="N1217" s="57">
        <v>43741.63125</v>
      </c>
      <c r="O1217" s="58">
        <v>37622.0</v>
      </c>
      <c r="P1217" s="28">
        <f t="shared" si="36"/>
        <v>23</v>
      </c>
      <c r="Q1217" s="28" t="s">
        <v>12856</v>
      </c>
      <c r="R1217" s="28" t="s">
        <v>12857</v>
      </c>
      <c r="S1217" s="28"/>
      <c r="T1217" s="28"/>
      <c r="U1217" s="28"/>
      <c r="V1217" s="28"/>
      <c r="W1217" s="28" t="s">
        <v>380</v>
      </c>
      <c r="X1217" s="28" t="s">
        <v>381</v>
      </c>
      <c r="Y1217" s="28" t="s">
        <v>12858</v>
      </c>
      <c r="Z1217" s="28" t="s">
        <v>5272</v>
      </c>
      <c r="AA1217" s="28" t="s">
        <v>629</v>
      </c>
      <c r="AB1217" s="28" t="s">
        <v>5221</v>
      </c>
      <c r="AC1217" s="28" t="s">
        <v>25</v>
      </c>
      <c r="AD1217" s="23"/>
      <c r="AE1217" s="28" t="s">
        <v>4</v>
      </c>
      <c r="AF1217" s="23" t="str">
        <f>IFERROR(__xludf.DUMMYFUNCTION("TEXTJOIN("", "", TRUE,
  FILTER(Champions!C:C,
    ISNUMBER(SEARCH(C1217, Champions!W:W))
  )
)"),"Sarah Anne Mead Lupberger")</f>
        <v>Sarah Anne Mead Lupberger</v>
      </c>
      <c r="AG1217" s="23"/>
      <c r="AH1217" s="23" t="str">
        <f>IFERROR(__xludf.DUMMYFUNCTION("IF(
ISNUMBER(MATCH(
C1217,
IMPORTRANGE(""https://docs.google.com/spreadsheets/d/1yTh1ELC33JHYOeEdgIiEclxPRyh0zOKtlawDltfUay8"",""'Interns'!A:A""),
0
)),
""Outreach Conducted"",
"""")"),"")</f>
        <v/>
      </c>
      <c r="AI1217" s="23"/>
      <c r="AJ1217" s="23"/>
      <c r="AK1217" s="23" t="str">
        <f>IFERROR(__xludf.DUMMYFUNCTION("XLOOKUP(C1217, 
   IMPORTRANGE(""1RdEdgHYrZ33LJ7RUHj_h-qkAFL92bcVjtIdVa-UlsCw"", ""Interns!D:D""), 
   IMPORTRANGE(""1RdEdgHYrZ33LJ7RUHj_h-qkAFL92bcVjtIdVa-UlsCw"", ""Interns!M:M""), 
   ""Not Found"")"),"")</f>
        <v/>
      </c>
      <c r="AL1217" s="23" t="str">
        <f>IFERROR(__xludf.DUMMYFUNCTION("XLOOKUP(C1217, 
   IMPORTRANGE(""1RdEdgHYrZ33LJ7RUHj_h-qkAFL92bcVjtIdVa-UlsCw"", ""Interns!D:D""), 
   IMPORTRANGE(""1RdEdgHYrZ33LJ7RUHj_h-qkAFL92bcVjtIdVa-UlsCw"", ""Interns!N:N""), 
   ""Not Found"")"),"")</f>
        <v/>
      </c>
      <c r="AM1217" s="23" t="str">
        <f>IFERROR(__xludf.DUMMYFUNCTION("XLOOKUP(C1217, 
   IMPORTRANGE(""1RdEdgHYrZ33LJ7RUHj_h-qkAFL92bcVjtIdVa-UlsCw"", ""Interns!D:D""), 
   IMPORTRANGE(""1RdEdgHYrZ33LJ7RUHj_h-qkAFL92bcVjtIdVa-UlsCw"", ""Interns!O:O""), 
   ""Not Found"")"),"")</f>
        <v/>
      </c>
      <c r="AN1217" s="23"/>
      <c r="AO1217" s="23" t="s">
        <v>12859</v>
      </c>
      <c r="AP1217" s="28" t="s">
        <v>5182</v>
      </c>
      <c r="AQ1217" s="28" t="s">
        <v>12860</v>
      </c>
      <c r="AR1217" s="23" t="s">
        <v>12861</v>
      </c>
      <c r="AS1217" s="23"/>
      <c r="AT1217" s="23"/>
      <c r="AU1217" s="23"/>
      <c r="AV1217" s="23"/>
    </row>
    <row r="1218">
      <c r="A1218" s="28" t="s">
        <v>5161</v>
      </c>
      <c r="B1218" s="28" t="s">
        <v>5162</v>
      </c>
      <c r="C1218" s="23" t="str">
        <f t="shared" si="1"/>
        <v>Sayyora Khadjimatova</v>
      </c>
      <c r="D1218" s="28" t="s">
        <v>12862</v>
      </c>
      <c r="E1218" s="28" t="s">
        <v>12863</v>
      </c>
      <c r="F1218" s="23">
        <f t="array" ref="F1218">IFERROR(
    INDEX('Hub Interns 226'!A:A, MATCH(C1218, 'Hub Interns 226'!B:B, 0)),"")</f>
        <v>1076</v>
      </c>
      <c r="G1218" s="23">
        <f t="array" ref="G1218">IFERROR(
    INDEX('Hub Users 226'!A:A, MATCH(C1218, 'Hub Users 226'!B:B, 0)),"")</f>
        <v>1509</v>
      </c>
      <c r="H1218" s="28">
        <v>66.0</v>
      </c>
      <c r="I1218" s="28" t="s">
        <v>1963</v>
      </c>
      <c r="J1218" s="28" t="s">
        <v>8549</v>
      </c>
      <c r="K1218" s="28" t="s">
        <v>5186</v>
      </c>
      <c r="L1218" s="28" t="s">
        <v>5196</v>
      </c>
      <c r="M1218" s="56" t="s">
        <v>12864</v>
      </c>
      <c r="N1218" s="57">
        <v>43741.63125</v>
      </c>
      <c r="O1218" s="58">
        <v>37622.0</v>
      </c>
      <c r="P1218" s="28">
        <f t="shared" si="36"/>
        <v>23</v>
      </c>
      <c r="Q1218" s="28" t="s">
        <v>12865</v>
      </c>
      <c r="R1218" s="28" t="s">
        <v>12866</v>
      </c>
      <c r="S1218" s="28"/>
      <c r="T1218" s="28"/>
      <c r="U1218" s="28"/>
      <c r="V1218" s="28"/>
      <c r="W1218" s="28" t="s">
        <v>380</v>
      </c>
      <c r="X1218" s="28" t="s">
        <v>381</v>
      </c>
      <c r="Y1218" s="28" t="s">
        <v>12867</v>
      </c>
      <c r="Z1218" s="28" t="s">
        <v>5272</v>
      </c>
      <c r="AA1218" s="28" t="s">
        <v>629</v>
      </c>
      <c r="AB1218" s="28" t="s">
        <v>5221</v>
      </c>
      <c r="AC1218" s="28" t="s">
        <v>25</v>
      </c>
      <c r="AD1218" s="23"/>
      <c r="AE1218" s="28" t="s">
        <v>4</v>
      </c>
      <c r="AF1218" s="23" t="str">
        <f>IFERROR(__xludf.DUMMYFUNCTION("TEXTJOIN("", "", TRUE,
  FILTER(Champions!C:C,
    ISNUMBER(SEARCH(C1218, Champions!W:W))
  )
)"),"Sarah Anne Mead Lupberger")</f>
        <v>Sarah Anne Mead Lupberger</v>
      </c>
      <c r="AG1218" s="23"/>
      <c r="AH1218" s="23" t="str">
        <f>IFERROR(__xludf.DUMMYFUNCTION("IF(
ISNUMBER(MATCH(
C1218,
IMPORTRANGE(""https://docs.google.com/spreadsheets/d/1yTh1ELC33JHYOeEdgIiEclxPRyh0zOKtlawDltfUay8"",""'Interns'!A:A""),
0
)),
""Outreach Conducted"",
"""")"),"")</f>
        <v/>
      </c>
      <c r="AI1218" s="23"/>
      <c r="AJ1218" s="23"/>
      <c r="AK1218" s="23" t="str">
        <f>IFERROR(__xludf.DUMMYFUNCTION("XLOOKUP(C1218, 
   IMPORTRANGE(""1RdEdgHYrZ33LJ7RUHj_h-qkAFL92bcVjtIdVa-UlsCw"", ""Interns!D:D""), 
   IMPORTRANGE(""1RdEdgHYrZ33LJ7RUHj_h-qkAFL92bcVjtIdVa-UlsCw"", ""Interns!M:M""), 
   ""Not Found"")"),"")</f>
        <v/>
      </c>
      <c r="AL1218" s="23" t="str">
        <f>IFERROR(__xludf.DUMMYFUNCTION("XLOOKUP(C1218, 
   IMPORTRANGE(""1RdEdgHYrZ33LJ7RUHj_h-qkAFL92bcVjtIdVa-UlsCw"", ""Interns!D:D""), 
   IMPORTRANGE(""1RdEdgHYrZ33LJ7RUHj_h-qkAFL92bcVjtIdVa-UlsCw"", ""Interns!N:N""), 
   ""Not Found"")"),"")</f>
        <v/>
      </c>
      <c r="AM1218" s="23" t="str">
        <f>IFERROR(__xludf.DUMMYFUNCTION("XLOOKUP(C1218, 
   IMPORTRANGE(""1RdEdgHYrZ33LJ7RUHj_h-qkAFL92bcVjtIdVa-UlsCw"", ""Interns!D:D""), 
   IMPORTRANGE(""1RdEdgHYrZ33LJ7RUHj_h-qkAFL92bcVjtIdVa-UlsCw"", ""Interns!O:O""), 
   ""Not Found"")"),"")</f>
        <v/>
      </c>
      <c r="AN1218" s="23"/>
      <c r="AO1218" s="23" t="s">
        <v>12868</v>
      </c>
      <c r="AP1218" s="28" t="s">
        <v>5191</v>
      </c>
      <c r="AQ1218" s="28"/>
      <c r="AR1218" s="23" t="s">
        <v>12867</v>
      </c>
      <c r="AS1218" s="23"/>
      <c r="AT1218" s="23"/>
      <c r="AU1218" s="23"/>
      <c r="AV1218" s="23"/>
    </row>
    <row r="1219">
      <c r="A1219" s="28" t="s">
        <v>5161</v>
      </c>
      <c r="B1219" s="28" t="s">
        <v>5162</v>
      </c>
      <c r="C1219" s="23" t="str">
        <f t="shared" si="1"/>
        <v>Mohiruza Raimkulova</v>
      </c>
      <c r="D1219" s="28" t="s">
        <v>12869</v>
      </c>
      <c r="E1219" s="28" t="s">
        <v>12870</v>
      </c>
      <c r="F1219" s="23">
        <f t="array" ref="F1219">IFERROR(
    INDEX('Hub Interns 226'!A:A, MATCH(C1219, 'Hub Interns 226'!B:B, 0)),"")</f>
        <v>1040</v>
      </c>
      <c r="G1219" s="23">
        <f t="array" ref="G1219">IFERROR(
    INDEX('Hub Users 226'!A:A, MATCH(C1219, 'Hub Users 226'!B:B, 0)),"")</f>
        <v>1473</v>
      </c>
      <c r="H1219" s="28">
        <v>64.0</v>
      </c>
      <c r="I1219" s="28" t="s">
        <v>260</v>
      </c>
      <c r="J1219" s="28" t="s">
        <v>8549</v>
      </c>
      <c r="K1219" s="28" t="s">
        <v>5186</v>
      </c>
      <c r="L1219" s="28" t="s">
        <v>5196</v>
      </c>
      <c r="M1219" s="56" t="s">
        <v>12871</v>
      </c>
      <c r="N1219" s="57">
        <v>43741.63125</v>
      </c>
      <c r="O1219" s="58">
        <v>37257.0</v>
      </c>
      <c r="P1219" s="28">
        <f t="shared" si="36"/>
        <v>24</v>
      </c>
      <c r="Q1219" s="28" t="s">
        <v>12872</v>
      </c>
      <c r="R1219" s="28" t="s">
        <v>12873</v>
      </c>
      <c r="S1219" s="28"/>
      <c r="T1219" s="28"/>
      <c r="U1219" s="28"/>
      <c r="V1219" s="28"/>
      <c r="W1219" s="28" t="s">
        <v>380</v>
      </c>
      <c r="X1219" s="28" t="s">
        <v>381</v>
      </c>
      <c r="Y1219" s="28" t="s">
        <v>12874</v>
      </c>
      <c r="Z1219" s="28" t="s">
        <v>5272</v>
      </c>
      <c r="AA1219" s="28" t="s">
        <v>629</v>
      </c>
      <c r="AB1219" s="28" t="s">
        <v>5221</v>
      </c>
      <c r="AC1219" s="28" t="s">
        <v>25</v>
      </c>
      <c r="AD1219" s="23"/>
      <c r="AE1219" s="28" t="s">
        <v>4</v>
      </c>
      <c r="AF1219" s="23" t="str">
        <f>IFERROR(__xludf.DUMMYFUNCTION("TEXTJOIN("", "", TRUE,
  FILTER(Champions!C:C,
    ISNUMBER(SEARCH(C1219, Champions!W:W))
  )
)"),"Jenny Xochilt Salinas")</f>
        <v>Jenny Xochilt Salinas</v>
      </c>
      <c r="AG1219" s="23"/>
      <c r="AH1219" s="23" t="str">
        <f>IFERROR(__xludf.DUMMYFUNCTION("IF(
ISNUMBER(MATCH(
C1219,
IMPORTRANGE(""https://docs.google.com/spreadsheets/d/1yTh1ELC33JHYOeEdgIiEclxPRyh0zOKtlawDltfUay8"",""'Interns'!A:A""),
0
)),
""Outreach Conducted"",
"""")"),"")</f>
        <v/>
      </c>
      <c r="AI1219" s="23"/>
      <c r="AJ1219" s="23"/>
      <c r="AK1219" s="23" t="str">
        <f>IFERROR(__xludf.DUMMYFUNCTION("XLOOKUP(C1219, 
   IMPORTRANGE(""1RdEdgHYrZ33LJ7RUHj_h-qkAFL92bcVjtIdVa-UlsCw"", ""Interns!D:D""), 
   IMPORTRANGE(""1RdEdgHYrZ33LJ7RUHj_h-qkAFL92bcVjtIdVa-UlsCw"", ""Interns!M:M""), 
   ""Not Found"")"),"")</f>
        <v/>
      </c>
      <c r="AL1219" s="23" t="str">
        <f>IFERROR(__xludf.DUMMYFUNCTION("XLOOKUP(C1219, 
   IMPORTRANGE(""1RdEdgHYrZ33LJ7RUHj_h-qkAFL92bcVjtIdVa-UlsCw"", ""Interns!D:D""), 
   IMPORTRANGE(""1RdEdgHYrZ33LJ7RUHj_h-qkAFL92bcVjtIdVa-UlsCw"", ""Interns!N:N""), 
   ""Not Found"")"),"")</f>
        <v/>
      </c>
      <c r="AM1219" s="23" t="str">
        <f>IFERROR(__xludf.DUMMYFUNCTION("XLOOKUP(C1219, 
   IMPORTRANGE(""1RdEdgHYrZ33LJ7RUHj_h-qkAFL92bcVjtIdVa-UlsCw"", ""Interns!D:D""), 
   IMPORTRANGE(""1RdEdgHYrZ33LJ7RUHj_h-qkAFL92bcVjtIdVa-UlsCw"", ""Interns!O:O""), 
   ""Not Found"")"),"")</f>
        <v/>
      </c>
      <c r="AN1219" s="23"/>
      <c r="AO1219" s="23" t="s">
        <v>12875</v>
      </c>
      <c r="AP1219" s="28" t="s">
        <v>5191</v>
      </c>
      <c r="AQ1219" s="28" t="s">
        <v>12871</v>
      </c>
      <c r="AR1219" s="23" t="s">
        <v>12874</v>
      </c>
      <c r="AS1219" s="23"/>
      <c r="AT1219" s="23"/>
      <c r="AU1219" s="23"/>
      <c r="AV1219" s="23"/>
    </row>
    <row r="1220">
      <c r="A1220" s="28" t="s">
        <v>5161</v>
      </c>
      <c r="B1220" s="28" t="s">
        <v>5162</v>
      </c>
      <c r="C1220" s="23" t="str">
        <f t="shared" si="1"/>
        <v>Said Rustamov</v>
      </c>
      <c r="D1220" s="28" t="s">
        <v>12876</v>
      </c>
      <c r="E1220" s="28" t="s">
        <v>12877</v>
      </c>
      <c r="F1220" s="23">
        <f t="array" ref="F1220">IFERROR(
    INDEX('Hub Interns 226'!A:A, MATCH(C1220, 'Hub Interns 226'!B:B, 0)),"")</f>
        <v>1057</v>
      </c>
      <c r="G1220" s="23">
        <f t="array" ref="G1220">IFERROR(
    INDEX('Hub Users 226'!A:A, MATCH(C1220, 'Hub Users 226'!B:B, 0)),"")</f>
        <v>1490</v>
      </c>
      <c r="H1220" s="28">
        <v>239.0</v>
      </c>
      <c r="I1220" s="28" t="s">
        <v>407</v>
      </c>
      <c r="J1220" s="28" t="s">
        <v>8549</v>
      </c>
      <c r="K1220" s="28" t="s">
        <v>5186</v>
      </c>
      <c r="L1220" s="28" t="s">
        <v>5165</v>
      </c>
      <c r="M1220" s="56" t="s">
        <v>12878</v>
      </c>
      <c r="N1220" s="59">
        <v>44132.60763888889</v>
      </c>
      <c r="O1220" s="58">
        <v>38324.0</v>
      </c>
      <c r="P1220" s="28">
        <f t="shared" si="36"/>
        <v>21</v>
      </c>
      <c r="Q1220" s="28" t="s">
        <v>12879</v>
      </c>
      <c r="R1220" s="28" t="s">
        <v>12880</v>
      </c>
      <c r="S1220" s="28"/>
      <c r="T1220" s="28"/>
      <c r="U1220" s="28"/>
      <c r="V1220" s="28"/>
      <c r="W1220" s="28" t="s">
        <v>380</v>
      </c>
      <c r="X1220" s="28" t="s">
        <v>381</v>
      </c>
      <c r="Y1220" s="28">
        <v>2.673618393E9</v>
      </c>
      <c r="Z1220" s="28" t="s">
        <v>5220</v>
      </c>
      <c r="AA1220" s="28" t="s">
        <v>1570</v>
      </c>
      <c r="AB1220" s="28" t="s">
        <v>5221</v>
      </c>
      <c r="AC1220" s="28" t="s">
        <v>25</v>
      </c>
      <c r="AD1220" s="23"/>
      <c r="AE1220" s="28" t="s">
        <v>8</v>
      </c>
      <c r="AF1220" s="23" t="str">
        <f>IFERROR(__xludf.DUMMYFUNCTION("TEXTJOIN("", "", TRUE,
  FILTER(Champions!C:C,
    ISNUMBER(SEARCH(C1220, Champions!W:W))
  )
)"),"Rajnarind Kaur")</f>
        <v>Rajnarind Kaur</v>
      </c>
      <c r="AG1220" s="23"/>
      <c r="AH1220" s="23" t="str">
        <f>IFERROR(__xludf.DUMMYFUNCTION("IF(
ISNUMBER(MATCH(
C1220,
IMPORTRANGE(""https://docs.google.com/spreadsheets/d/1yTh1ELC33JHYOeEdgIiEclxPRyh0zOKtlawDltfUay8"",""'Interns'!A:A""),
0
)),
""Outreach Conducted"",
"""")"),"")</f>
        <v/>
      </c>
      <c r="AI1220" s="23"/>
      <c r="AJ1220" s="23"/>
      <c r="AK1220" s="23" t="str">
        <f>IFERROR(__xludf.DUMMYFUNCTION("XLOOKUP(C1220, 
   IMPORTRANGE(""1RdEdgHYrZ33LJ7RUHj_h-qkAFL92bcVjtIdVa-UlsCw"", ""Interns!D:D""), 
   IMPORTRANGE(""1RdEdgHYrZ33LJ7RUHj_h-qkAFL92bcVjtIdVa-UlsCw"", ""Interns!M:M""), 
   ""Not Found"")"),"")</f>
        <v/>
      </c>
      <c r="AL1220" s="23" t="str">
        <f>IFERROR(__xludf.DUMMYFUNCTION("XLOOKUP(C1220, 
   IMPORTRANGE(""1RdEdgHYrZ33LJ7RUHj_h-qkAFL92bcVjtIdVa-UlsCw"", ""Interns!D:D""), 
   IMPORTRANGE(""1RdEdgHYrZ33LJ7RUHj_h-qkAFL92bcVjtIdVa-UlsCw"", ""Interns!N:N""), 
   ""Not Found"")"),"")</f>
        <v/>
      </c>
      <c r="AM1220" s="23" t="str">
        <f>IFERROR(__xludf.DUMMYFUNCTION("XLOOKUP(C1220, 
   IMPORTRANGE(""1RdEdgHYrZ33LJ7RUHj_h-qkAFL92bcVjtIdVa-UlsCw"", ""Interns!D:D""), 
   IMPORTRANGE(""1RdEdgHYrZ33LJ7RUHj_h-qkAFL92bcVjtIdVa-UlsCw"", ""Interns!O:O""), 
   ""Not Found"")"),"")</f>
        <v/>
      </c>
      <c r="AN1220" s="23"/>
      <c r="AO1220" s="23" t="s">
        <v>12881</v>
      </c>
      <c r="AP1220" s="28" t="s">
        <v>5191</v>
      </c>
      <c r="AQ1220" s="28" t="s">
        <v>12882</v>
      </c>
      <c r="AR1220" s="23">
        <v>2.153033587E9</v>
      </c>
      <c r="AS1220" s="23"/>
      <c r="AT1220" s="23"/>
      <c r="AU1220" s="23"/>
      <c r="AV1220" s="23"/>
    </row>
    <row r="1221">
      <c r="A1221" s="28" t="s">
        <v>5161</v>
      </c>
      <c r="B1221" s="28" t="s">
        <v>5162</v>
      </c>
      <c r="C1221" s="23" t="str">
        <f t="shared" si="1"/>
        <v>Laziz Djuraev</v>
      </c>
      <c r="D1221" s="28" t="s">
        <v>12883</v>
      </c>
      <c r="E1221" s="28" t="s">
        <v>12884</v>
      </c>
      <c r="F1221" s="23">
        <f t="array" ref="F1221">IFERROR(
    INDEX('Hub Interns 226'!A:A, MATCH(C1221, 'Hub Interns 226'!B:B, 0)),"")</f>
        <v>766</v>
      </c>
      <c r="G1221" s="23">
        <f t="array" ref="G1221">IFERROR(
    INDEX('Hub Users 226'!A:A, MATCH(C1221, 'Hub Users 226'!B:B, 0)),"")</f>
        <v>1199</v>
      </c>
      <c r="H1221" s="28">
        <v>701.0</v>
      </c>
      <c r="I1221" s="28" t="s">
        <v>260</v>
      </c>
      <c r="J1221" s="28" t="s">
        <v>8549</v>
      </c>
      <c r="K1221" s="28" t="s">
        <v>5186</v>
      </c>
      <c r="L1221" s="28" t="s">
        <v>5165</v>
      </c>
      <c r="M1221" s="56" t="s">
        <v>12885</v>
      </c>
      <c r="N1221" s="59">
        <v>44546.56458333333</v>
      </c>
      <c r="O1221" s="58">
        <v>37986.0</v>
      </c>
      <c r="P1221" s="28">
        <f t="shared" si="36"/>
        <v>22</v>
      </c>
      <c r="Q1221" s="28" t="s">
        <v>12886</v>
      </c>
      <c r="R1221" s="28" t="s">
        <v>12887</v>
      </c>
      <c r="S1221" s="28">
        <v>11.0</v>
      </c>
      <c r="T1221" s="28">
        <v>17.0</v>
      </c>
      <c r="U1221" s="28">
        <v>47.0</v>
      </c>
      <c r="V1221" s="28">
        <v>43.0</v>
      </c>
      <c r="W1221" s="28" t="s">
        <v>294</v>
      </c>
      <c r="X1221" s="28" t="s">
        <v>272</v>
      </c>
      <c r="Y1221" s="28" t="s">
        <v>12888</v>
      </c>
      <c r="Z1221" s="28" t="s">
        <v>5386</v>
      </c>
      <c r="AA1221" s="28" t="s">
        <v>1887</v>
      </c>
      <c r="AB1221" s="28">
        <v>47.0</v>
      </c>
      <c r="AC1221" s="28" t="s">
        <v>25</v>
      </c>
      <c r="AD1221" s="28" t="s">
        <v>101</v>
      </c>
      <c r="AE1221" s="28" t="s">
        <v>10</v>
      </c>
      <c r="AF1221" s="23" t="str">
        <f>IFERROR(__xludf.DUMMYFUNCTION("TEXTJOIN("", "", TRUE,
  FILTER(Champions!C:C,
    ISNUMBER(SEARCH(C1221, Champions!W:W))
  )
)"),"Stephanie Grandjacques, Yada Treesukosol")</f>
        <v>Stephanie Grandjacques, Yada Treesukosol</v>
      </c>
      <c r="AG1221" s="23"/>
      <c r="AH1221" s="23" t="str">
        <f>IFERROR(__xludf.DUMMYFUNCTION("IF(
ISNUMBER(MATCH(
C1221,
IMPORTRANGE(""https://docs.google.com/spreadsheets/d/1yTh1ELC33JHYOeEdgIiEclxPRyh0zOKtlawDltfUay8"",""'Interns'!A:A""),
0
)),
""Outreach Conducted"",
"""")"),"")</f>
        <v/>
      </c>
      <c r="AI1221" s="23"/>
      <c r="AJ1221" s="23"/>
      <c r="AK1221" s="23" t="str">
        <f>IFERROR(__xludf.DUMMYFUNCTION("XLOOKUP(C1221, 
   IMPORTRANGE(""1RdEdgHYrZ33LJ7RUHj_h-qkAFL92bcVjtIdVa-UlsCw"", ""Interns!D:D""), 
   IMPORTRANGE(""1RdEdgHYrZ33LJ7RUHj_h-qkAFL92bcVjtIdVa-UlsCw"", ""Interns!M:M""), 
   ""Not Found"")"),"Contacted")</f>
        <v>Contacted</v>
      </c>
      <c r="AL1221" s="23" t="str">
        <f>IFERROR(__xludf.DUMMYFUNCTION("XLOOKUP(C1221, 
   IMPORTRANGE(""1RdEdgHYrZ33LJ7RUHj_h-qkAFL92bcVjtIdVa-UlsCw"", ""Interns!D:D""), 
   IMPORTRANGE(""1RdEdgHYrZ33LJ7RUHj_h-qkAFL92bcVjtIdVa-UlsCw"", ""Interns!N:N""), 
   ""Not Found"")"),"#Cheers4Careers")</f>
        <v>#Cheers4Careers</v>
      </c>
      <c r="AM1221" s="23" t="str">
        <f>IFERROR(__xludf.DUMMYFUNCTION("XLOOKUP(C1221, 
   IMPORTRANGE(""1RdEdgHYrZ33LJ7RUHj_h-qkAFL92bcVjtIdVa-UlsCw"", ""Interns!D:D""), 
   IMPORTRANGE(""1RdEdgHYrZ33LJ7RUHj_h-qkAFL92bcVjtIdVa-UlsCw"", ""Interns!O:O""), 
   ""Not Found"")"),"Hetal reached out by email 3/27")</f>
        <v>Hetal reached out by email 3/27</v>
      </c>
      <c r="AN1221" s="23"/>
      <c r="AO1221" s="23" t="s">
        <v>12889</v>
      </c>
      <c r="AP1221" s="28" t="s">
        <v>5191</v>
      </c>
      <c r="AQ1221" s="28" t="s">
        <v>12890</v>
      </c>
      <c r="AR1221" s="23" t="s">
        <v>12891</v>
      </c>
      <c r="AS1221" s="23"/>
      <c r="AT1221" s="23"/>
      <c r="AU1221" s="23"/>
      <c r="AV1221" s="23"/>
    </row>
    <row r="1222">
      <c r="A1222" s="28" t="s">
        <v>5161</v>
      </c>
      <c r="B1222" s="28" t="s">
        <v>5162</v>
      </c>
      <c r="C1222" s="23" t="str">
        <f t="shared" si="1"/>
        <v>Nilufar Khan</v>
      </c>
      <c r="D1222" s="28" t="s">
        <v>12892</v>
      </c>
      <c r="E1222" s="28" t="s">
        <v>1555</v>
      </c>
      <c r="F1222" s="23">
        <f t="array" ref="F1222">IFERROR(
    INDEX('Hub Interns 226'!A:A, MATCH(C1222, 'Hub Interns 226'!B:B, 0)),"")</f>
        <v>938</v>
      </c>
      <c r="G1222" s="23">
        <f t="array" ref="G1222">IFERROR(
    INDEX('Hub Users 226'!A:A, MATCH(C1222, 'Hub Users 226'!B:B, 0)),"")</f>
        <v>1371</v>
      </c>
      <c r="H1222" s="28">
        <v>19.0</v>
      </c>
      <c r="I1222" s="28"/>
      <c r="J1222" s="28" t="s">
        <v>8549</v>
      </c>
      <c r="K1222" s="28" t="s">
        <v>5186</v>
      </c>
      <c r="L1222" s="28" t="s">
        <v>5196</v>
      </c>
      <c r="M1222" s="56" t="s">
        <v>12893</v>
      </c>
      <c r="N1222" s="57">
        <v>43741.63055555556</v>
      </c>
      <c r="O1222" s="58"/>
      <c r="P1222" s="28">
        <f t="shared" si="36"/>
        <v>126</v>
      </c>
      <c r="Q1222" s="28" t="s">
        <v>240</v>
      </c>
      <c r="R1222" s="23"/>
      <c r="S1222" s="28"/>
      <c r="T1222" s="28"/>
      <c r="U1222" s="28"/>
      <c r="V1222" s="28"/>
      <c r="W1222" s="28" t="s">
        <v>380</v>
      </c>
      <c r="X1222" s="28" t="s">
        <v>381</v>
      </c>
      <c r="Y1222" s="28" t="s">
        <v>12894</v>
      </c>
      <c r="Z1222" s="28" t="s">
        <v>5272</v>
      </c>
      <c r="AA1222" s="28" t="s">
        <v>629</v>
      </c>
      <c r="AB1222" s="28" t="s">
        <v>5221</v>
      </c>
      <c r="AC1222" s="28" t="s">
        <v>25</v>
      </c>
      <c r="AD1222" s="23"/>
      <c r="AE1222" s="28" t="s">
        <v>4</v>
      </c>
      <c r="AF1222" s="23" t="str">
        <f>IFERROR(__xludf.DUMMYFUNCTION("TEXTJOIN("", "", TRUE,
  FILTER(Champions!C:C,
    ISNUMBER(SEARCH(C1222, Champions!W:W))
  )
)"),"Melisa Bedoya")</f>
        <v>Melisa Bedoya</v>
      </c>
      <c r="AG1222" s="23"/>
      <c r="AH1222" s="23" t="str">
        <f>IFERROR(__xludf.DUMMYFUNCTION("IF(
ISNUMBER(MATCH(
C1222,
IMPORTRANGE(""https://docs.google.com/spreadsheets/d/1yTh1ELC33JHYOeEdgIiEclxPRyh0zOKtlawDltfUay8"",""'Interns'!A:A""),
0
)),
""Outreach Conducted"",
"""")"),"")</f>
        <v/>
      </c>
      <c r="AI1222" s="23"/>
      <c r="AJ1222" s="23"/>
      <c r="AK1222" s="23" t="str">
        <f>IFERROR(__xludf.DUMMYFUNCTION("XLOOKUP(C1222, 
   IMPORTRANGE(""1RdEdgHYrZ33LJ7RUHj_h-qkAFL92bcVjtIdVa-UlsCw"", ""Interns!D:D""), 
   IMPORTRANGE(""1RdEdgHYrZ33LJ7RUHj_h-qkAFL92bcVjtIdVa-UlsCw"", ""Interns!M:M""), 
   ""Not Found"")"),"")</f>
        <v/>
      </c>
      <c r="AL1222" s="23" t="str">
        <f>IFERROR(__xludf.DUMMYFUNCTION("XLOOKUP(C1222, 
   IMPORTRANGE(""1RdEdgHYrZ33LJ7RUHj_h-qkAFL92bcVjtIdVa-UlsCw"", ""Interns!D:D""), 
   IMPORTRANGE(""1RdEdgHYrZ33LJ7RUHj_h-qkAFL92bcVjtIdVa-UlsCw"", ""Interns!N:N""), 
   ""Not Found"")"),"")</f>
        <v/>
      </c>
      <c r="AM1222" s="23" t="str">
        <f>IFERROR(__xludf.DUMMYFUNCTION("XLOOKUP(C1222, 
   IMPORTRANGE(""1RdEdgHYrZ33LJ7RUHj_h-qkAFL92bcVjtIdVa-UlsCw"", ""Interns!D:D""), 
   IMPORTRANGE(""1RdEdgHYrZ33LJ7RUHj_h-qkAFL92bcVjtIdVa-UlsCw"", ""Interns!O:O""), 
   ""Not Found"")"),"")</f>
        <v/>
      </c>
      <c r="AN1222" s="23"/>
      <c r="AO1222" s="23" t="s">
        <v>12895</v>
      </c>
      <c r="AP1222" s="28" t="s">
        <v>5191</v>
      </c>
      <c r="AQ1222" s="28" t="s">
        <v>12895</v>
      </c>
      <c r="AR1222" s="23" t="s">
        <v>12896</v>
      </c>
      <c r="AS1222" s="23"/>
      <c r="AT1222" s="23"/>
      <c r="AU1222" s="23"/>
      <c r="AV1222" s="23"/>
    </row>
    <row r="1223">
      <c r="A1223" s="28" t="s">
        <v>5161</v>
      </c>
      <c r="B1223" s="28" t="s">
        <v>5162</v>
      </c>
      <c r="C1223" s="23" t="str">
        <f t="shared" si="1"/>
        <v>Melany Alcala Lopez</v>
      </c>
      <c r="D1223" s="28" t="s">
        <v>8984</v>
      </c>
      <c r="E1223" s="28" t="s">
        <v>12897</v>
      </c>
      <c r="F1223" s="23">
        <f t="array" ref="F1223">IFERROR(
    INDEX('Hub Interns 226'!A:A, MATCH(C1223, 'Hub Interns 226'!B:B, 0)),"")</f>
        <v>97</v>
      </c>
      <c r="G1223" s="23">
        <f t="array" ref="G1223">IFERROR(
    INDEX('Hub Users 226'!A:A, MATCH(C1223, 'Hub Users 226'!B:B, 0)),"")</f>
        <v>530</v>
      </c>
      <c r="H1223" s="28">
        <v>1139.0</v>
      </c>
      <c r="I1223" s="28" t="s">
        <v>107</v>
      </c>
      <c r="J1223" s="28" t="s">
        <v>11105</v>
      </c>
      <c r="K1223" s="28" t="s">
        <v>5177</v>
      </c>
      <c r="L1223" s="28" t="s">
        <v>5196</v>
      </c>
      <c r="M1223" s="56" t="s">
        <v>11781</v>
      </c>
      <c r="N1223" s="57">
        <v>44749.49791666667</v>
      </c>
      <c r="O1223" s="58">
        <v>38954.0</v>
      </c>
      <c r="P1223" s="28">
        <f t="shared" si="36"/>
        <v>19</v>
      </c>
      <c r="Q1223" s="28" t="s">
        <v>240</v>
      </c>
      <c r="R1223" s="28" t="s">
        <v>12898</v>
      </c>
      <c r="S1223" s="28">
        <v>11.0</v>
      </c>
      <c r="T1223" s="28">
        <v>17.0</v>
      </c>
      <c r="U1223" s="28">
        <v>49.0</v>
      </c>
      <c r="V1223" s="28">
        <v>38.0</v>
      </c>
      <c r="W1223" s="28" t="s">
        <v>294</v>
      </c>
      <c r="X1223" s="28" t="s">
        <v>272</v>
      </c>
      <c r="Y1223" s="28" t="s">
        <v>11784</v>
      </c>
      <c r="Z1223" s="28" t="s">
        <v>5259</v>
      </c>
      <c r="AA1223" s="28" t="s">
        <v>704</v>
      </c>
      <c r="AB1223" s="28">
        <v>2.0</v>
      </c>
      <c r="AC1223" s="28" t="s">
        <v>23</v>
      </c>
      <c r="AD1223" s="23"/>
      <c r="AE1223" s="28" t="s">
        <v>15</v>
      </c>
      <c r="AF1223" s="23"/>
      <c r="AG1223" s="23"/>
      <c r="AH1223" s="23" t="str">
        <f>IFERROR(__xludf.DUMMYFUNCTION("IF(
ISNUMBER(MATCH(
C1223,
IMPORTRANGE(""https://docs.google.com/spreadsheets/d/1yTh1ELC33JHYOeEdgIiEclxPRyh0zOKtlawDltfUay8"",""'Interns'!A:A""),
0
)),
""Outreach Conducted"",
"""")"),"")</f>
        <v/>
      </c>
      <c r="AI1223" s="23"/>
      <c r="AJ1223" s="23"/>
      <c r="AK1223" s="23" t="str">
        <f>IFERROR(__xludf.DUMMYFUNCTION("XLOOKUP(C1223, 
   IMPORTRANGE(""1RdEdgHYrZ33LJ7RUHj_h-qkAFL92bcVjtIdVa-UlsCw"", ""Interns!D:D""), 
   IMPORTRANGE(""1RdEdgHYrZ33LJ7RUHj_h-qkAFL92bcVjtIdVa-UlsCw"", ""Interns!M:M""), 
   ""Not Found"")"),"Contacted")</f>
        <v>Contacted</v>
      </c>
      <c r="AL1223" s="23" t="str">
        <f>IFERROR(__xludf.DUMMYFUNCTION("XLOOKUP(C1223, 
   IMPORTRANGE(""1RdEdgHYrZ33LJ7RUHj_h-qkAFL92bcVjtIdVa-UlsCw"", ""Interns!D:D""), 
   IMPORTRANGE(""1RdEdgHYrZ33LJ7RUHj_h-qkAFL92bcVjtIdVa-UlsCw"", ""Interns!N:N""), 
   ""Not Found"")"),"#Cheers4Careers")</f>
        <v>#Cheers4Careers</v>
      </c>
      <c r="AM1223" s="23" t="str">
        <f>IFERROR(__xludf.DUMMYFUNCTION("XLOOKUP(C1223, 
   IMPORTRANGE(""1RdEdgHYrZ33LJ7RUHj_h-qkAFL92bcVjtIdVa-UlsCw"", ""Interns!D:D""), 
   IMPORTRANGE(""1RdEdgHYrZ33LJ7RUHj_h-qkAFL92bcVjtIdVa-UlsCw"", ""Interns!O:O""), 
   ""Not Found"")"),"Ousmane reached out by email 3/26 and reach out by text 3/28")</f>
        <v>Ousmane reached out by email 3/26 and reach out by text 3/28</v>
      </c>
      <c r="AN1223" s="23"/>
      <c r="AO1223" s="23" t="s">
        <v>11785</v>
      </c>
      <c r="AP1223" s="28" t="s">
        <v>5182</v>
      </c>
      <c r="AQ1223" s="28"/>
      <c r="AR1223" s="23"/>
      <c r="AS1223" s="23"/>
      <c r="AT1223" s="23"/>
      <c r="AU1223" s="23"/>
      <c r="AV1223" s="23"/>
    </row>
    <row r="1224">
      <c r="A1224" s="28" t="s">
        <v>5161</v>
      </c>
      <c r="B1224" s="28" t="s">
        <v>5162</v>
      </c>
      <c r="C1224" s="23" t="str">
        <f t="shared" si="1"/>
        <v>Malika Bahronbekova</v>
      </c>
      <c r="D1224" s="28" t="s">
        <v>12899</v>
      </c>
      <c r="E1224" s="28" t="s">
        <v>12900</v>
      </c>
      <c r="F1224" s="23">
        <f t="array" ref="F1224">IFERROR(
    INDEX('Hub Interns 226'!A:A, MATCH(C1224, 'Hub Interns 226'!B:B, 0)),"")</f>
        <v>865</v>
      </c>
      <c r="G1224" s="23">
        <f t="array" ref="G1224">IFERROR(
    INDEX('Hub Users 226'!A:A, MATCH(C1224, 'Hub Users 226'!B:B, 0)),"")</f>
        <v>1298</v>
      </c>
      <c r="H1224" s="28">
        <v>690.0</v>
      </c>
      <c r="I1224" s="28" t="s">
        <v>260</v>
      </c>
      <c r="J1224" s="28" t="s">
        <v>8549</v>
      </c>
      <c r="K1224" s="28" t="s">
        <v>5186</v>
      </c>
      <c r="L1224" s="28" t="s">
        <v>5196</v>
      </c>
      <c r="M1224" s="56" t="s">
        <v>12901</v>
      </c>
      <c r="N1224" s="59">
        <v>44546.55625</v>
      </c>
      <c r="O1224" s="58">
        <v>38742.0</v>
      </c>
      <c r="P1224" s="28">
        <f t="shared" si="36"/>
        <v>20</v>
      </c>
      <c r="Q1224" s="28" t="s">
        <v>240</v>
      </c>
      <c r="R1224" s="28" t="s">
        <v>12902</v>
      </c>
      <c r="S1224" s="28">
        <v>8.0</v>
      </c>
      <c r="T1224" s="28">
        <v>23.0</v>
      </c>
      <c r="U1224" s="28">
        <v>46.0</v>
      </c>
      <c r="V1224" s="28">
        <v>48.0</v>
      </c>
      <c r="W1224" s="28" t="s">
        <v>294</v>
      </c>
      <c r="X1224" s="28" t="s">
        <v>272</v>
      </c>
      <c r="Y1224" s="28" t="s">
        <v>12903</v>
      </c>
      <c r="Z1224" s="28" t="s">
        <v>5386</v>
      </c>
      <c r="AA1224" s="28" t="s">
        <v>1887</v>
      </c>
      <c r="AB1224" s="28">
        <v>47.0</v>
      </c>
      <c r="AC1224" s="28" t="s">
        <v>25</v>
      </c>
      <c r="AD1224" s="23"/>
      <c r="AE1224" s="28" t="s">
        <v>10</v>
      </c>
      <c r="AF1224" s="23" t="str">
        <f>IFERROR(__xludf.DUMMYFUNCTION("TEXTJOIN("", "", TRUE,
  FILTER(Champions!C:C,
    ISNUMBER(SEARCH(C1224, Champions!W:W))
  )
)"),"Maryana Ivlev, Yada Treesukosol")</f>
        <v>Maryana Ivlev, Yada Treesukosol</v>
      </c>
      <c r="AG1224" s="23"/>
      <c r="AH1224" s="23" t="str">
        <f>IFERROR(__xludf.DUMMYFUNCTION("IF(
ISNUMBER(MATCH(
C1224,
IMPORTRANGE(""https://docs.google.com/spreadsheets/d/1yTh1ELC33JHYOeEdgIiEclxPRyh0zOKtlawDltfUay8"",""'Interns'!A:A""),
0
)),
""Outreach Conducted"",
"""")"),"")</f>
        <v/>
      </c>
      <c r="AI1224" s="23"/>
      <c r="AJ1224" s="23"/>
      <c r="AK1224" s="23" t="str">
        <f>IFERROR(__xludf.DUMMYFUNCTION("XLOOKUP(C1224, 
   IMPORTRANGE(""1RdEdgHYrZ33LJ7RUHj_h-qkAFL92bcVjtIdVa-UlsCw"", ""Interns!D:D""), 
   IMPORTRANGE(""1RdEdgHYrZ33LJ7RUHj_h-qkAFL92bcVjtIdVa-UlsCw"", ""Interns!M:M""), 
   ""Not Found"")"),"Contacted")</f>
        <v>Contacted</v>
      </c>
      <c r="AL1224" s="23" t="str">
        <f>IFERROR(__xludf.DUMMYFUNCTION("XLOOKUP(C1224, 
   IMPORTRANGE(""1RdEdgHYrZ33LJ7RUHj_h-qkAFL92bcVjtIdVa-UlsCw"", ""Interns!D:D""), 
   IMPORTRANGE(""1RdEdgHYrZ33LJ7RUHj_h-qkAFL92bcVjtIdVa-UlsCw"", ""Interns!N:N""), 
   ""Not Found"")"),"#Cheers4Careers")</f>
        <v>#Cheers4Careers</v>
      </c>
      <c r="AM1224" s="23" t="str">
        <f>IFERROR(__xludf.DUMMYFUNCTION("XLOOKUP(C1224, 
   IMPORTRANGE(""1RdEdgHYrZ33LJ7RUHj_h-qkAFL92bcVjtIdVa-UlsCw"", ""Interns!D:D""), 
   IMPORTRANGE(""1RdEdgHYrZ33LJ7RUHj_h-qkAFL92bcVjtIdVa-UlsCw"", ""Interns!O:O""), 
   ""Not Found"")"),"Hetal reached out by email 3/27")</f>
        <v>Hetal reached out by email 3/27</v>
      </c>
      <c r="AN1224" s="23"/>
      <c r="AO1224" s="23" t="s">
        <v>12904</v>
      </c>
      <c r="AP1224" s="28" t="s">
        <v>5182</v>
      </c>
      <c r="AQ1224" s="28" t="s">
        <v>12905</v>
      </c>
      <c r="AR1224" s="23" t="s">
        <v>12906</v>
      </c>
      <c r="AS1224" s="23"/>
      <c r="AT1224" s="23"/>
      <c r="AU1224" s="23"/>
      <c r="AV1224" s="23"/>
    </row>
    <row r="1225">
      <c r="A1225" s="28" t="s">
        <v>5161</v>
      </c>
      <c r="B1225" s="28" t="s">
        <v>5162</v>
      </c>
      <c r="C1225" s="23" t="str">
        <f t="shared" si="1"/>
        <v>Yonaiker Briceno</v>
      </c>
      <c r="D1225" s="28" t="s">
        <v>12907</v>
      </c>
      <c r="E1225" s="28" t="s">
        <v>12908</v>
      </c>
      <c r="F1225" s="23">
        <f t="array" ref="F1225">IFERROR(
    INDEX('Hub Interns 226'!A:A, MATCH(C1225, 'Hub Interns 226'!B:B, 0)),"")</f>
        <v>318</v>
      </c>
      <c r="G1225" s="23">
        <f t="array" ref="G1225">IFERROR(
    INDEX('Hub Users 226'!A:A, MATCH(C1225, 'Hub Users 226'!B:B, 0)),"")</f>
        <v>751</v>
      </c>
      <c r="H1225" s="28">
        <v>1434.0</v>
      </c>
      <c r="I1225" s="28" t="s">
        <v>239</v>
      </c>
      <c r="J1225" s="28" t="s">
        <v>6002</v>
      </c>
      <c r="K1225" s="28" t="s">
        <v>5463</v>
      </c>
      <c r="L1225" s="28" t="s">
        <v>5165</v>
      </c>
      <c r="M1225" s="56" t="s">
        <v>12909</v>
      </c>
      <c r="N1225" s="59">
        <v>44879.62013888889</v>
      </c>
      <c r="O1225" s="58">
        <v>39472.0</v>
      </c>
      <c r="P1225" s="28">
        <f t="shared" si="36"/>
        <v>18</v>
      </c>
      <c r="Q1225" s="28" t="s">
        <v>240</v>
      </c>
      <c r="R1225" s="28" t="s">
        <v>12910</v>
      </c>
      <c r="S1225" s="28">
        <v>6.0</v>
      </c>
      <c r="T1225" s="28">
        <v>16.0</v>
      </c>
      <c r="U1225" s="28">
        <v>25.0</v>
      </c>
      <c r="V1225" s="28">
        <v>27.0</v>
      </c>
      <c r="W1225" s="28" t="s">
        <v>1173</v>
      </c>
      <c r="X1225" s="28" t="s">
        <v>272</v>
      </c>
      <c r="Y1225" s="28" t="s">
        <v>12911</v>
      </c>
      <c r="Z1225" s="28" t="s">
        <v>5332</v>
      </c>
      <c r="AA1225" s="28" t="s">
        <v>421</v>
      </c>
      <c r="AB1225" s="28">
        <v>31.0</v>
      </c>
      <c r="AC1225" s="28" t="s">
        <v>23</v>
      </c>
      <c r="AD1225" s="23"/>
      <c r="AE1225" s="28" t="s">
        <v>15</v>
      </c>
      <c r="AF1225" s="23"/>
      <c r="AG1225" s="23"/>
      <c r="AH1225" s="23" t="str">
        <f>IFERROR(__xludf.DUMMYFUNCTION("IF(
ISNUMBER(MATCH(
C1225,
IMPORTRANGE(""https://docs.google.com/spreadsheets/d/1yTh1ELC33JHYOeEdgIiEclxPRyh0zOKtlawDltfUay8"",""'Interns'!A:A""),
0
)),
""Outreach Conducted"",
"""")"),"")</f>
        <v/>
      </c>
      <c r="AI1225" s="23"/>
      <c r="AJ1225" s="23"/>
      <c r="AK1225" s="23" t="str">
        <f>IFERROR(__xludf.DUMMYFUNCTION("XLOOKUP(C1225, 
   IMPORTRANGE(""1RdEdgHYrZ33LJ7RUHj_h-qkAFL92bcVjtIdVa-UlsCw"", ""Interns!D:D""), 
   IMPORTRANGE(""1RdEdgHYrZ33LJ7RUHj_h-qkAFL92bcVjtIdVa-UlsCw"", ""Interns!M:M""), 
   ""Not Found"")"),"Contacted")</f>
        <v>Contacted</v>
      </c>
      <c r="AL1225" s="23" t="str">
        <f>IFERROR(__xludf.DUMMYFUNCTION("XLOOKUP(C1225, 
   IMPORTRANGE(""1RdEdgHYrZ33LJ7RUHj_h-qkAFL92bcVjtIdVa-UlsCw"", ""Interns!D:D""), 
   IMPORTRANGE(""1RdEdgHYrZ33LJ7RUHj_h-qkAFL92bcVjtIdVa-UlsCw"", ""Interns!N:N""), 
   ""Not Found"")"),"#Cheers4Careers")</f>
        <v>#Cheers4Careers</v>
      </c>
      <c r="AM1225" s="23" t="str">
        <f>IFERROR(__xludf.DUMMYFUNCTION("XLOOKUP(C1225, 
   IMPORTRANGE(""1RdEdgHYrZ33LJ7RUHj_h-qkAFL92bcVjtIdVa-UlsCw"", ""Interns!D:D""), 
   IMPORTRANGE(""1RdEdgHYrZ33LJ7RUHj_h-qkAFL92bcVjtIdVa-UlsCw"", ""Interns!O:O""), 
   ""Not Found"")"),"Hetal reached out March 27 for March #Cheers4 Careers and texted")</f>
        <v>Hetal reached out March 27 for March #Cheers4 Careers and texted</v>
      </c>
      <c r="AN1225" s="23"/>
      <c r="AO1225" s="23" t="s">
        <v>12912</v>
      </c>
      <c r="AP1225" s="28" t="s">
        <v>5182</v>
      </c>
      <c r="AQ1225" s="28"/>
      <c r="AR1225" s="23"/>
      <c r="AS1225" s="23"/>
      <c r="AT1225" s="23"/>
      <c r="AU1225" s="23"/>
      <c r="AV1225" s="23"/>
    </row>
    <row r="1226">
      <c r="A1226" s="28" t="s">
        <v>5161</v>
      </c>
      <c r="B1226" s="28" t="s">
        <v>5162</v>
      </c>
      <c r="C1226" s="23" t="str">
        <f t="shared" si="1"/>
        <v>Laura Chirinos</v>
      </c>
      <c r="D1226" s="28" t="s">
        <v>2065</v>
      </c>
      <c r="E1226" s="28" t="s">
        <v>12913</v>
      </c>
      <c r="F1226" s="23" t="str">
        <f t="array" ref="F1226">IFERROR(
    INDEX('Hub Interns 226'!A:A, MATCH(C1226, 'Hub Interns 226'!B:B, 0)),"")</f>
        <v/>
      </c>
      <c r="G1226" s="23">
        <f t="array" ref="G1226">IFERROR(
    INDEX('Hub Users 226'!A:A, MATCH(C1226, 'Hub Users 226'!B:B, 0)),"")</f>
        <v>1924</v>
      </c>
      <c r="H1226" s="28">
        <v>1797.0</v>
      </c>
      <c r="I1226" s="28" t="s">
        <v>260</v>
      </c>
      <c r="J1226" s="28" t="s">
        <v>6002</v>
      </c>
      <c r="K1226" s="28" t="s">
        <v>5463</v>
      </c>
      <c r="L1226" s="28" t="s">
        <v>5196</v>
      </c>
      <c r="M1226" s="56" t="s">
        <v>12914</v>
      </c>
      <c r="N1226" s="57">
        <v>45314.97083333333</v>
      </c>
      <c r="O1226" s="58">
        <v>38691.0</v>
      </c>
      <c r="P1226" s="28">
        <f t="shared" si="36"/>
        <v>20</v>
      </c>
      <c r="Q1226" s="28" t="s">
        <v>12915</v>
      </c>
      <c r="R1226" s="28" t="s">
        <v>12916</v>
      </c>
      <c r="S1226" s="28">
        <v>13.0</v>
      </c>
      <c r="T1226" s="28">
        <v>30.0</v>
      </c>
      <c r="U1226" s="28">
        <v>68.0</v>
      </c>
      <c r="V1226" s="28">
        <v>8.0</v>
      </c>
      <c r="W1226" s="28" t="s">
        <v>271</v>
      </c>
      <c r="X1226" s="28" t="s">
        <v>272</v>
      </c>
      <c r="Y1226" s="28">
        <v>6.462290789E9</v>
      </c>
      <c r="Z1226" s="28" t="s">
        <v>5259</v>
      </c>
      <c r="AA1226" s="28" t="s">
        <v>704</v>
      </c>
      <c r="AB1226" s="28">
        <v>2.0</v>
      </c>
      <c r="AC1226" s="28" t="s">
        <v>27</v>
      </c>
      <c r="AD1226" s="23"/>
      <c r="AE1226" s="28" t="s">
        <v>18</v>
      </c>
      <c r="AF1226" s="23"/>
      <c r="AG1226" s="23"/>
      <c r="AH1226" s="23" t="str">
        <f>IFERROR(__xludf.DUMMYFUNCTION("IF(
ISNUMBER(MATCH(
C1226,
IMPORTRANGE(""https://docs.google.com/spreadsheets/d/1yTh1ELC33JHYOeEdgIiEclxPRyh0zOKtlawDltfUay8"",""'Interns'!A:A""),
0
)),
""Outreach Conducted"",
"""")"),"")</f>
        <v/>
      </c>
      <c r="AI1226" s="23"/>
      <c r="AJ1226" s="23"/>
      <c r="AK1226" s="23" t="str">
        <f>IFERROR(__xludf.DUMMYFUNCTION("XLOOKUP(C1226, 
   IMPORTRANGE(""1RdEdgHYrZ33LJ7RUHj_h-qkAFL92bcVjtIdVa-UlsCw"", ""Interns!D:D""), 
   IMPORTRANGE(""1RdEdgHYrZ33LJ7RUHj_h-qkAFL92bcVjtIdVa-UlsCw"", ""Interns!M:M""), 
   ""Not Found"")"),"Contacted")</f>
        <v>Contacted</v>
      </c>
      <c r="AL1226" s="23" t="str">
        <f>IFERROR(__xludf.DUMMYFUNCTION("XLOOKUP(C1226, 
   IMPORTRANGE(""1RdEdgHYrZ33LJ7RUHj_h-qkAFL92bcVjtIdVa-UlsCw"", ""Interns!D:D""), 
   IMPORTRANGE(""1RdEdgHYrZ33LJ7RUHj_h-qkAFL92bcVjtIdVa-UlsCw"", ""Interns!N:N""), 
   ""Not Found"")"),"#Cheers4Careers")</f>
        <v>#Cheers4Careers</v>
      </c>
      <c r="AM1226" s="23" t="str">
        <f>IFERROR(__xludf.DUMMYFUNCTION("XLOOKUP(C1226, 
   IMPORTRANGE(""1RdEdgHYrZ33LJ7RUHj_h-qkAFL92bcVjtIdVa-UlsCw"", ""Interns!D:D""), 
   IMPORTRANGE(""1RdEdgHYrZ33LJ7RUHj_h-qkAFL92bcVjtIdVa-UlsCw"", ""Interns!O:O""), 
   ""Not Found"")"),"Ousmane reached out by email 3/26 and reach out by text 3/28")</f>
        <v>Ousmane reached out by email 3/26 and reach out by text 3/28</v>
      </c>
      <c r="AN1226" s="23"/>
      <c r="AO1226" s="23" t="s">
        <v>12917</v>
      </c>
      <c r="AP1226" s="28" t="s">
        <v>5191</v>
      </c>
      <c r="AQ1226" s="28" t="s">
        <v>12918</v>
      </c>
      <c r="AR1226" s="23">
        <v>6.464270086E9</v>
      </c>
      <c r="AS1226" s="23"/>
      <c r="AT1226" s="23"/>
      <c r="AU1226" s="23"/>
      <c r="AV1226" s="23"/>
    </row>
    <row r="1227">
      <c r="A1227" s="28" t="s">
        <v>5161</v>
      </c>
      <c r="B1227" s="28" t="s">
        <v>5162</v>
      </c>
      <c r="C1227" s="23" t="str">
        <f t="shared" si="1"/>
        <v>Leswin Garcia</v>
      </c>
      <c r="D1227" s="28" t="s">
        <v>12919</v>
      </c>
      <c r="E1227" s="28" t="s">
        <v>1484</v>
      </c>
      <c r="F1227" s="23" t="str">
        <f t="array" ref="F1227">IFERROR(
    INDEX('Hub Interns 226'!A:A, MATCH(C1227, 'Hub Interns 226'!B:B, 0)),"")</f>
        <v/>
      </c>
      <c r="G1227" s="23">
        <f t="array" ref="G1227">IFERROR(
    INDEX('Hub Users 226'!A:A, MATCH(C1227, 'Hub Users 226'!B:B, 0)),"")</f>
        <v>1779</v>
      </c>
      <c r="H1227" s="28">
        <v>1657.0</v>
      </c>
      <c r="I1227" s="28" t="s">
        <v>269</v>
      </c>
      <c r="J1227" s="28" t="s">
        <v>6002</v>
      </c>
      <c r="K1227" s="28" t="s">
        <v>5463</v>
      </c>
      <c r="L1227" s="28" t="s">
        <v>5165</v>
      </c>
      <c r="M1227" s="56" t="s">
        <v>12920</v>
      </c>
      <c r="N1227" s="59">
        <v>45212.95972222222</v>
      </c>
      <c r="O1227" s="58">
        <v>39027.0</v>
      </c>
      <c r="P1227" s="28">
        <f t="shared" si="36"/>
        <v>19</v>
      </c>
      <c r="Q1227" s="28" t="s">
        <v>12921</v>
      </c>
      <c r="R1227" s="28" t="s">
        <v>12922</v>
      </c>
      <c r="S1227" s="28">
        <v>15.0</v>
      </c>
      <c r="T1227" s="28">
        <v>32.0</v>
      </c>
      <c r="U1227" s="28">
        <v>86.0</v>
      </c>
      <c r="V1227" s="28">
        <v>15.0</v>
      </c>
      <c r="W1227" s="28" t="s">
        <v>859</v>
      </c>
      <c r="X1227" s="28" t="s">
        <v>272</v>
      </c>
      <c r="Y1227" s="23"/>
      <c r="Z1227" s="28" t="s">
        <v>5918</v>
      </c>
      <c r="AA1227" s="28" t="s">
        <v>477</v>
      </c>
      <c r="AB1227" s="28">
        <v>15.0</v>
      </c>
      <c r="AC1227" s="28" t="s">
        <v>25</v>
      </c>
      <c r="AD1227" s="23"/>
      <c r="AE1227" s="28" t="s">
        <v>18</v>
      </c>
      <c r="AF1227" s="23" t="str">
        <f>IFERROR(__xludf.DUMMYFUNCTION("TEXTJOIN("", "", TRUE,
  FILTER(Champions!C:C,
    ISNUMBER(SEARCH(C1227, Champions!W:W))
  )
)"),"Maria Graciela Burn, Wendy Velasquez Ebanks, Jonathan Pinque")</f>
        <v>Maria Graciela Burn, Wendy Velasquez Ebanks, Jonathan Pinque</v>
      </c>
      <c r="AG1227" s="23"/>
      <c r="AH1227" s="23" t="str">
        <f>IFERROR(__xludf.DUMMYFUNCTION("IF(
ISNUMBER(MATCH(
C1227,
IMPORTRANGE(""https://docs.google.com/spreadsheets/d/1yTh1ELC33JHYOeEdgIiEclxPRyh0zOKtlawDltfUay8"",""'Interns'!A:A""),
0
)),
""Outreach Conducted"",
"""")"),"")</f>
        <v/>
      </c>
      <c r="AI1227" s="23"/>
      <c r="AJ1227" s="23"/>
      <c r="AK1227" s="23" t="str">
        <f>IFERROR(__xludf.DUMMYFUNCTION("XLOOKUP(C1227, 
   IMPORTRANGE(""1RdEdgHYrZ33LJ7RUHj_h-qkAFL92bcVjtIdVa-UlsCw"", ""Interns!D:D""), 
   IMPORTRANGE(""1RdEdgHYrZ33LJ7RUHj_h-qkAFL92bcVjtIdVa-UlsCw"", ""Interns!M:M""), 
   ""Not Found"")"),"")</f>
        <v/>
      </c>
      <c r="AL1227" s="23" t="str">
        <f>IFERROR(__xludf.DUMMYFUNCTION("XLOOKUP(C1227, 
   IMPORTRANGE(""1RdEdgHYrZ33LJ7RUHj_h-qkAFL92bcVjtIdVa-UlsCw"", ""Interns!D:D""), 
   IMPORTRANGE(""1RdEdgHYrZ33LJ7RUHj_h-qkAFL92bcVjtIdVa-UlsCw"", ""Interns!N:N""), 
   ""Not Found"")"),"")</f>
        <v/>
      </c>
      <c r="AM1227" s="23" t="str">
        <f>IFERROR(__xludf.DUMMYFUNCTION("XLOOKUP(C1227, 
   IMPORTRANGE(""1RdEdgHYrZ33LJ7RUHj_h-qkAFL92bcVjtIdVa-UlsCw"", ""Interns!D:D""), 
   IMPORTRANGE(""1RdEdgHYrZ33LJ7RUHj_h-qkAFL92bcVjtIdVa-UlsCw"", ""Interns!O:O""), 
   ""Not Found"")"),"")</f>
        <v/>
      </c>
      <c r="AN1227" s="23"/>
      <c r="AO1227" s="23" t="s">
        <v>12923</v>
      </c>
      <c r="AP1227" s="28" t="s">
        <v>5191</v>
      </c>
      <c r="AQ1227" s="28" t="s">
        <v>12924</v>
      </c>
      <c r="AR1227" s="23">
        <v>9.292460531E9</v>
      </c>
      <c r="AS1227" s="23"/>
      <c r="AT1227" s="23"/>
      <c r="AU1227" s="23"/>
      <c r="AV1227" s="23"/>
    </row>
    <row r="1228">
      <c r="A1228" s="28" t="s">
        <v>5202</v>
      </c>
      <c r="B1228" s="28" t="s">
        <v>5162</v>
      </c>
      <c r="C1228" s="23" t="str">
        <f t="shared" si="1"/>
        <v>Razina Issoufou</v>
      </c>
      <c r="D1228" s="28" t="s">
        <v>12925</v>
      </c>
      <c r="E1228" s="28" t="s">
        <v>12926</v>
      </c>
      <c r="F1228" s="23">
        <f t="array" ref="F1228">IFERROR(
    INDEX('Hub Interns 226'!A:A, MATCH(C1228, 'Hub Interns 226'!B:B, 0)),"")</f>
        <v>1022</v>
      </c>
      <c r="G1228" s="23">
        <f t="array" ref="G1228">IFERROR(
    INDEX('Hub Users 226'!A:A, MATCH(C1228, 'Hub Users 226'!B:B, 0)),"")</f>
        <v>1455</v>
      </c>
      <c r="H1228" s="28">
        <v>1120.0</v>
      </c>
      <c r="I1228" s="28" t="s">
        <v>260</v>
      </c>
      <c r="J1228" s="28" t="s">
        <v>12927</v>
      </c>
      <c r="K1228" s="28" t="s">
        <v>5245</v>
      </c>
      <c r="L1228" s="28" t="s">
        <v>5196</v>
      </c>
      <c r="M1228" s="56" t="s">
        <v>12928</v>
      </c>
      <c r="N1228" s="57">
        <v>44728.675</v>
      </c>
      <c r="O1228" s="58">
        <v>37045.0</v>
      </c>
      <c r="P1228" s="28">
        <f t="shared" si="36"/>
        <v>24</v>
      </c>
      <c r="Q1228" s="28" t="s">
        <v>12929</v>
      </c>
      <c r="R1228" s="28" t="s">
        <v>12930</v>
      </c>
      <c r="S1228" s="28">
        <v>15.0</v>
      </c>
      <c r="T1228" s="28">
        <v>32.0</v>
      </c>
      <c r="U1228" s="28">
        <v>77.0</v>
      </c>
      <c r="V1228" s="28">
        <v>16.0</v>
      </c>
      <c r="W1228" s="28" t="s">
        <v>859</v>
      </c>
      <c r="X1228" s="28" t="s">
        <v>272</v>
      </c>
      <c r="Y1228" s="28" t="s">
        <v>12931</v>
      </c>
      <c r="Z1228" s="28" t="s">
        <v>7670</v>
      </c>
      <c r="AA1228" s="28" t="s">
        <v>7671</v>
      </c>
      <c r="AB1228" s="28">
        <v>10.0</v>
      </c>
      <c r="AC1228" s="28" t="s">
        <v>25</v>
      </c>
      <c r="AD1228" s="23"/>
      <c r="AE1228" s="28" t="s">
        <v>15</v>
      </c>
      <c r="AF1228" s="23" t="str">
        <f>IFERROR(__xludf.DUMMYFUNCTION("TEXTJOIN("", "", TRUE,
  FILTER(Champions!C:C,
    ISNUMBER(SEARCH(C1228, Champions!W:W))
  )
)"),"Divya Padgaonkar, Nishika Vidanage-Lulejian, Saima Malik, Saima Malik (D)")</f>
        <v>Divya Padgaonkar, Nishika Vidanage-Lulejian, Saima Malik, Saima Malik (D)</v>
      </c>
      <c r="AG1228" s="23"/>
      <c r="AH1228" s="23" t="str">
        <f>IFERROR(__xludf.DUMMYFUNCTION("IF(
ISNUMBER(MATCH(
C1228,
IMPORTRANGE(""https://docs.google.com/spreadsheets/d/1yTh1ELC33JHYOeEdgIiEclxPRyh0zOKtlawDltfUay8"",""'Interns'!A:A""),
0
)),
""Outreach Conducted"",
"""")"),"")</f>
        <v/>
      </c>
      <c r="AI1228" s="23"/>
      <c r="AJ1228" s="23"/>
      <c r="AK1228" s="23" t="str">
        <f>IFERROR(__xludf.DUMMYFUNCTION("XLOOKUP(C1228, 
   IMPORTRANGE(""1RdEdgHYrZ33LJ7RUHj_h-qkAFL92bcVjtIdVa-UlsCw"", ""Interns!D:D""), 
   IMPORTRANGE(""1RdEdgHYrZ33LJ7RUHj_h-qkAFL92bcVjtIdVa-UlsCw"", ""Interns!M:M""), 
   ""Not Found"")"),"")</f>
        <v/>
      </c>
      <c r="AL1228" s="23" t="str">
        <f>IFERROR(__xludf.DUMMYFUNCTION("XLOOKUP(C1228, 
   IMPORTRANGE(""1RdEdgHYrZ33LJ7RUHj_h-qkAFL92bcVjtIdVa-UlsCw"", ""Interns!D:D""), 
   IMPORTRANGE(""1RdEdgHYrZ33LJ7RUHj_h-qkAFL92bcVjtIdVa-UlsCw"", ""Interns!N:N""), 
   ""Not Found"")"),"")</f>
        <v/>
      </c>
      <c r="AM1228" s="23" t="str">
        <f>IFERROR(__xludf.DUMMYFUNCTION("XLOOKUP(C1228, 
   IMPORTRANGE(""1RdEdgHYrZ33LJ7RUHj_h-qkAFL92bcVjtIdVa-UlsCw"", ""Interns!D:D""), 
   IMPORTRANGE(""1RdEdgHYrZ33LJ7RUHj_h-qkAFL92bcVjtIdVa-UlsCw"", ""Interns!O:O""), 
   ""Not Found"")"),"")</f>
        <v/>
      </c>
      <c r="AN1228" s="23"/>
      <c r="AO1228" s="23" t="s">
        <v>12932</v>
      </c>
      <c r="AP1228" s="28" t="s">
        <v>5240</v>
      </c>
      <c r="AQ1228" s="28" t="s">
        <v>12928</v>
      </c>
      <c r="AR1228" s="23" t="s">
        <v>12933</v>
      </c>
      <c r="AS1228" s="23"/>
      <c r="AT1228" s="23"/>
      <c r="AU1228" s="23"/>
      <c r="AV1228" s="23"/>
    </row>
    <row r="1229">
      <c r="A1229" s="28" t="s">
        <v>5161</v>
      </c>
      <c r="B1229" s="28" t="s">
        <v>5162</v>
      </c>
      <c r="C1229" s="23" t="str">
        <f t="shared" si="1"/>
        <v>Luis Parra Pestana</v>
      </c>
      <c r="D1229" s="28" t="s">
        <v>6689</v>
      </c>
      <c r="E1229" s="28" t="s">
        <v>12934</v>
      </c>
      <c r="F1229" s="23">
        <f t="array" ref="F1229">IFERROR(
    INDEX('Hub Interns 226'!A:A, MATCH(C1229, 'Hub Interns 226'!B:B, 0)),"")</f>
        <v>983</v>
      </c>
      <c r="G1229" s="23">
        <f t="array" ref="G1229">IFERROR(
    INDEX('Hub Users 226'!A:A, MATCH(C1229, 'Hub Users 226'!B:B, 0)),"")</f>
        <v>1416</v>
      </c>
      <c r="H1229" s="28">
        <v>373.0</v>
      </c>
      <c r="I1229" s="28" t="s">
        <v>260</v>
      </c>
      <c r="J1229" s="28" t="s">
        <v>6002</v>
      </c>
      <c r="K1229" s="28" t="s">
        <v>5463</v>
      </c>
      <c r="L1229" s="28" t="s">
        <v>5165</v>
      </c>
      <c r="M1229" s="56" t="s">
        <v>12935</v>
      </c>
      <c r="N1229" s="57">
        <v>44252.67916666667</v>
      </c>
      <c r="O1229" s="58">
        <v>37351.0</v>
      </c>
      <c r="P1229" s="28">
        <f t="shared" si="36"/>
        <v>24</v>
      </c>
      <c r="Q1229" s="28" t="s">
        <v>240</v>
      </c>
      <c r="R1229" s="28" t="s">
        <v>12936</v>
      </c>
      <c r="S1229" s="28">
        <v>14.0</v>
      </c>
      <c r="T1229" s="28">
        <v>11.0</v>
      </c>
      <c r="U1229" s="28">
        <v>27.0</v>
      </c>
      <c r="V1229" s="28">
        <v>19.0</v>
      </c>
      <c r="W1229" s="28" t="s">
        <v>1173</v>
      </c>
      <c r="X1229" s="28" t="s">
        <v>272</v>
      </c>
      <c r="Y1229" s="28" t="s">
        <v>12937</v>
      </c>
      <c r="Z1229" s="28" t="s">
        <v>5189</v>
      </c>
      <c r="AA1229" s="28" t="s">
        <v>619</v>
      </c>
      <c r="AB1229" s="28">
        <v>20.0</v>
      </c>
      <c r="AC1229" s="28" t="s">
        <v>25</v>
      </c>
      <c r="AD1229" s="23"/>
      <c r="AE1229" s="28" t="s">
        <v>8</v>
      </c>
      <c r="AF1229" s="23" t="str">
        <f>IFERROR(__xludf.DUMMYFUNCTION("TEXTJOIN("", "", TRUE,
  FILTER(Champions!C:C,
    ISNUMBER(SEARCH(C1229, Champions!W:W))
  )
)"),"Chiemela Okwandu, Mariana Silva Aranha, Suze Vilsaint")</f>
        <v>Chiemela Okwandu, Mariana Silva Aranha, Suze Vilsaint</v>
      </c>
      <c r="AG1229" s="23"/>
      <c r="AH1229" s="23" t="str">
        <f>IFERROR(__xludf.DUMMYFUNCTION("IF(
ISNUMBER(MATCH(
C1229,
IMPORTRANGE(""https://docs.google.com/spreadsheets/d/1yTh1ELC33JHYOeEdgIiEclxPRyh0zOKtlawDltfUay8"",""'Interns'!A:A""),
0
)),
""Outreach Conducted"",
"""")"),"")</f>
        <v/>
      </c>
      <c r="AI1229" s="23"/>
      <c r="AJ1229" s="23"/>
      <c r="AK1229" s="23" t="str">
        <f>IFERROR(__xludf.DUMMYFUNCTION("XLOOKUP(C1229, 
   IMPORTRANGE(""1RdEdgHYrZ33LJ7RUHj_h-qkAFL92bcVjtIdVa-UlsCw"", ""Interns!D:D""), 
   IMPORTRANGE(""1RdEdgHYrZ33LJ7RUHj_h-qkAFL92bcVjtIdVa-UlsCw"", ""Interns!M:M""), 
   ""Not Found"")"),"Contacted")</f>
        <v>Contacted</v>
      </c>
      <c r="AL1229" s="23" t="str">
        <f>IFERROR(__xludf.DUMMYFUNCTION("XLOOKUP(C1229, 
   IMPORTRANGE(""1RdEdgHYrZ33LJ7RUHj_h-qkAFL92bcVjtIdVa-UlsCw"", ""Interns!D:D""), 
   IMPORTRANGE(""1RdEdgHYrZ33LJ7RUHj_h-qkAFL92bcVjtIdVa-UlsCw"", ""Interns!N:N""), 
   ""Not Found"")"),"#Cheers4Careers")</f>
        <v>#Cheers4Careers</v>
      </c>
      <c r="AM1229" s="23" t="str">
        <f>IFERROR(__xludf.DUMMYFUNCTION("XLOOKUP(C1229, 
   IMPORTRANGE(""1RdEdgHYrZ33LJ7RUHj_h-qkAFL92bcVjtIdVa-UlsCw"", ""Interns!D:D""), 
   IMPORTRANGE(""1RdEdgHYrZ33LJ7RUHj_h-qkAFL92bcVjtIdVa-UlsCw"", ""Interns!O:O""), 
   ""Not Found"")"),"Hetal reached out by email 3/27 followed by text")</f>
        <v>Hetal reached out by email 3/27 followed by text</v>
      </c>
      <c r="AN1229" s="23"/>
      <c r="AO1229" s="23" t="s">
        <v>12938</v>
      </c>
      <c r="AP1229" s="28" t="s">
        <v>5182</v>
      </c>
      <c r="AQ1229" s="28" t="s">
        <v>12939</v>
      </c>
      <c r="AR1229" s="23" t="s">
        <v>12940</v>
      </c>
      <c r="AS1229" s="23"/>
      <c r="AT1229" s="23"/>
      <c r="AU1229" s="23"/>
      <c r="AV1229" s="23"/>
    </row>
    <row r="1230">
      <c r="A1230" s="28" t="s">
        <v>5161</v>
      </c>
      <c r="B1230" s="28" t="s">
        <v>5162</v>
      </c>
      <c r="C1230" s="23" t="str">
        <f t="shared" si="1"/>
        <v>Nixon Vergara</v>
      </c>
      <c r="D1230" s="28" t="s">
        <v>12941</v>
      </c>
      <c r="E1230" s="28" t="s">
        <v>12942</v>
      </c>
      <c r="F1230" s="23">
        <f t="array" ref="F1230">IFERROR(
    INDEX('Hub Interns 226'!A:A, MATCH(C1230, 'Hub Interns 226'!B:B, 0)),"")</f>
        <v>941</v>
      </c>
      <c r="G1230" s="23">
        <f t="array" ref="G1230">IFERROR(
    INDEX('Hub Users 226'!A:A, MATCH(C1230, 'Hub Users 226'!B:B, 0)),"")</f>
        <v>1374</v>
      </c>
      <c r="H1230" s="28">
        <v>908.0</v>
      </c>
      <c r="I1230" s="28" t="s">
        <v>608</v>
      </c>
      <c r="J1230" s="28" t="s">
        <v>6002</v>
      </c>
      <c r="K1230" s="28" t="s">
        <v>5463</v>
      </c>
      <c r="L1230" s="28" t="s">
        <v>5165</v>
      </c>
      <c r="M1230" s="56" t="s">
        <v>12943</v>
      </c>
      <c r="N1230" s="57">
        <v>44601.538194444445</v>
      </c>
      <c r="O1230" s="58">
        <v>38301.0</v>
      </c>
      <c r="P1230" s="28">
        <f t="shared" si="36"/>
        <v>21</v>
      </c>
      <c r="Q1230" s="28" t="s">
        <v>12944</v>
      </c>
      <c r="R1230" s="28" t="s">
        <v>12945</v>
      </c>
      <c r="S1230" s="28">
        <v>8.0</v>
      </c>
      <c r="T1230" s="28">
        <v>25.0</v>
      </c>
      <c r="U1230" s="28">
        <v>55.0</v>
      </c>
      <c r="V1230" s="28">
        <v>37.0</v>
      </c>
      <c r="W1230" s="28" t="s">
        <v>294</v>
      </c>
      <c r="X1230" s="28" t="s">
        <v>272</v>
      </c>
      <c r="Y1230" s="28" t="s">
        <v>12946</v>
      </c>
      <c r="Z1230" s="28" t="s">
        <v>5483</v>
      </c>
      <c r="AA1230" s="28" t="s">
        <v>457</v>
      </c>
      <c r="AB1230" s="28">
        <v>25.0</v>
      </c>
      <c r="AC1230" s="28" t="s">
        <v>25</v>
      </c>
      <c r="AD1230" s="23"/>
      <c r="AE1230" s="28" t="s">
        <v>10</v>
      </c>
      <c r="AF1230" s="23" t="str">
        <f>IFERROR(__xludf.DUMMYFUNCTION("TEXTJOIN("", "", TRUE,
  FILTER(Champions!C:C,
    ISNUMBER(SEARCH(C1230, Champions!W:W))
  )
)"),"Christa Neu, Romina Tome")</f>
        <v>Christa Neu, Romina Tome</v>
      </c>
      <c r="AG1230" s="23"/>
      <c r="AH1230" s="23" t="str">
        <f>IFERROR(__xludf.DUMMYFUNCTION("IF(
ISNUMBER(MATCH(
C1230,
IMPORTRANGE(""https://docs.google.com/spreadsheets/d/1yTh1ELC33JHYOeEdgIiEclxPRyh0zOKtlawDltfUay8"",""'Interns'!A:A""),
0
)),
""Outreach Conducted"",
"""")"),"")</f>
        <v/>
      </c>
      <c r="AI1230" s="23"/>
      <c r="AJ1230" s="23"/>
      <c r="AK1230" s="23" t="str">
        <f>IFERROR(__xludf.DUMMYFUNCTION("XLOOKUP(C1230, 
   IMPORTRANGE(""1RdEdgHYrZ33LJ7RUHj_h-qkAFL92bcVjtIdVa-UlsCw"", ""Interns!D:D""), 
   IMPORTRANGE(""1RdEdgHYrZ33LJ7RUHj_h-qkAFL92bcVjtIdVa-UlsCw"", ""Interns!M:M""), 
   ""Not Found"")"),"Contacted")</f>
        <v>Contacted</v>
      </c>
      <c r="AL1230" s="23" t="str">
        <f>IFERROR(__xludf.DUMMYFUNCTION("XLOOKUP(C1230, 
   IMPORTRANGE(""1RdEdgHYrZ33LJ7RUHj_h-qkAFL92bcVjtIdVa-UlsCw"", ""Interns!D:D""), 
   IMPORTRANGE(""1RdEdgHYrZ33LJ7RUHj_h-qkAFL92bcVjtIdVa-UlsCw"", ""Interns!N:N""), 
   ""Not Found"")"),"#Cheers4Careers")</f>
        <v>#Cheers4Careers</v>
      </c>
      <c r="AM1230" s="23" t="str">
        <f>IFERROR(__xludf.DUMMYFUNCTION("XLOOKUP(C1230, 
   IMPORTRANGE(""1RdEdgHYrZ33LJ7RUHj_h-qkAFL92bcVjtIdVa-UlsCw"", ""Interns!D:D""), 
   IMPORTRANGE(""1RdEdgHYrZ33LJ7RUHj_h-qkAFL92bcVjtIdVa-UlsCw"", ""Interns!O:O""), 
   ""Not Found"")"),"Hetal reached out by email 3/27")</f>
        <v>Hetal reached out by email 3/27</v>
      </c>
      <c r="AN1230" s="23"/>
      <c r="AO1230" s="23" t="s">
        <v>12947</v>
      </c>
      <c r="AP1230" s="28" t="s">
        <v>5182</v>
      </c>
      <c r="AQ1230" s="28" t="s">
        <v>12948</v>
      </c>
      <c r="AR1230" s="23" t="s">
        <v>12949</v>
      </c>
      <c r="AS1230" s="23"/>
      <c r="AT1230" s="23"/>
      <c r="AU1230" s="23"/>
      <c r="AV1230" s="23"/>
    </row>
    <row r="1231">
      <c r="A1231" s="28" t="s">
        <v>5161</v>
      </c>
      <c r="B1231" s="28" t="s">
        <v>5162</v>
      </c>
      <c r="C1231" s="23" t="str">
        <f t="shared" si="1"/>
        <v>Williams Linares</v>
      </c>
      <c r="D1231" s="22" t="s">
        <v>2059</v>
      </c>
      <c r="E1231" s="22" t="s">
        <v>11817</v>
      </c>
      <c r="F1231" s="23"/>
      <c r="G1231" s="23"/>
      <c r="H1231" s="22">
        <v>1938.0</v>
      </c>
      <c r="I1231" s="28"/>
      <c r="J1231" s="28" t="s">
        <v>6002</v>
      </c>
      <c r="K1231" s="28" t="s">
        <v>5463</v>
      </c>
      <c r="L1231" s="28" t="s">
        <v>5165</v>
      </c>
      <c r="M1231" s="29" t="s">
        <v>12950</v>
      </c>
      <c r="N1231" s="61">
        <v>45743.504166666666</v>
      </c>
      <c r="O1231" s="25">
        <v>45743.0</v>
      </c>
      <c r="P1231" s="28">
        <f t="shared" si="36"/>
        <v>1</v>
      </c>
      <c r="Q1231" s="62" t="s">
        <v>240</v>
      </c>
      <c r="R1231" s="22" t="s">
        <v>12951</v>
      </c>
      <c r="S1231" s="28">
        <v>7.0</v>
      </c>
      <c r="T1231" s="28">
        <v>12.0</v>
      </c>
      <c r="U1231" s="28">
        <v>37.0</v>
      </c>
      <c r="V1231" s="28">
        <v>26.0</v>
      </c>
      <c r="W1231" s="23"/>
      <c r="X1231" s="23"/>
      <c r="Y1231" s="24"/>
      <c r="Z1231" s="22" t="s">
        <v>5365</v>
      </c>
      <c r="AA1231" s="28" t="s">
        <v>5366</v>
      </c>
      <c r="AB1231" s="28">
        <v>26.0</v>
      </c>
      <c r="AC1231" s="28" t="s">
        <v>23</v>
      </c>
      <c r="AD1231" s="23"/>
      <c r="AE1231" s="28" t="s">
        <v>19</v>
      </c>
      <c r="AF1231" s="23"/>
      <c r="AG1231" s="23"/>
      <c r="AH1231" s="23" t="str">
        <f>IFERROR(__xludf.DUMMYFUNCTION("IF(
ISNUMBER(MATCH(
C1231,
IMPORTRANGE(""https://docs.google.com/spreadsheets/d/1yTh1ELC33JHYOeEdgIiEclxPRyh0zOKtlawDltfUay8"",""'Interns'!A:A""),
0
)),
""Outreach Conducted"",
"""")"),"")</f>
        <v/>
      </c>
      <c r="AI1231" s="23"/>
      <c r="AJ1231" s="23"/>
      <c r="AK1231" s="23"/>
      <c r="AL1231" s="23" t="str">
        <f>IFERROR(__xludf.DUMMYFUNCTION("XLOOKUP(C1231, 
   IMPORTRANGE(""1RdEdgHYrZ33LJ7RUHj_h-qkAFL92bcVjtIdVa-UlsCw"", ""Interns!D:D""), 
   IMPORTRANGE(""1RdEdgHYrZ33LJ7RUHj_h-qkAFL92bcVjtIdVa-UlsCw"", ""Interns!N:N""), 
   ""Not Found"")"),"#Cheers4Careers")</f>
        <v>#Cheers4Careers</v>
      </c>
      <c r="AM1231" s="23" t="str">
        <f>IFERROR(__xludf.DUMMYFUNCTION("XLOOKUP(C1231, 
   IMPORTRANGE(""1RdEdgHYrZ33LJ7RUHj_h-qkAFL92bcVjtIdVa-UlsCw"", ""Interns!D:D""), 
   IMPORTRANGE(""1RdEdgHYrZ33LJ7RUHj_h-qkAFL92bcVjtIdVa-UlsCw"", ""Interns!O:O""), 
   ""Not Found"")"),"Hetal reached out March 27 for March #Cheers4 Careers ")</f>
        <v>Hetal reached out March 27 for March #Cheers4 Careers </v>
      </c>
      <c r="AN1231" s="23"/>
      <c r="AO1231" s="23" t="s">
        <v>12952</v>
      </c>
      <c r="AP1231" s="28" t="s">
        <v>5182</v>
      </c>
      <c r="AQ1231" s="28" t="s">
        <v>12953</v>
      </c>
      <c r="AR1231" s="23" t="s">
        <v>12954</v>
      </c>
      <c r="AS1231" s="23"/>
      <c r="AT1231" s="23"/>
      <c r="AU1231" s="23"/>
      <c r="AV1231" s="23"/>
    </row>
    <row r="1232">
      <c r="A1232" s="28" t="s">
        <v>5161</v>
      </c>
      <c r="B1232" s="28" t="s">
        <v>5162</v>
      </c>
      <c r="C1232" s="23" t="str">
        <f t="shared" si="1"/>
        <v>Rafael Vargas</v>
      </c>
      <c r="D1232" s="28" t="s">
        <v>12955</v>
      </c>
      <c r="E1232" s="28" t="s">
        <v>1111</v>
      </c>
      <c r="F1232" s="23">
        <f t="array" ref="F1232">IFERROR(
    INDEX('Hub Interns 226'!A:A, MATCH("Santiago (Duplicate) Vargas", 'Hub Interns 226'!B:B, 0)),"")</f>
        <v>1008</v>
      </c>
      <c r="G1232" s="23">
        <f t="array" ref="G1232">IFERROR(
    INDEX('Hub Users 226'!A:A, MATCH("Santiago (Duplicate) Vargas", 'Hub Users 226'!B:B, 0)),"")</f>
        <v>1441</v>
      </c>
      <c r="H1232" s="28">
        <v>1745.0</v>
      </c>
      <c r="I1232" s="28"/>
      <c r="J1232" s="28" t="s">
        <v>6002</v>
      </c>
      <c r="K1232" s="28" t="s">
        <v>5463</v>
      </c>
      <c r="L1232" s="28" t="s">
        <v>5165</v>
      </c>
      <c r="M1232" s="56" t="s">
        <v>12956</v>
      </c>
      <c r="N1232" s="57">
        <v>45267.42222222222</v>
      </c>
      <c r="O1232" s="58">
        <v>40280.0</v>
      </c>
      <c r="P1232" s="28">
        <f t="shared" si="36"/>
        <v>16</v>
      </c>
      <c r="Q1232" s="28" t="s">
        <v>240</v>
      </c>
      <c r="R1232" s="28" t="s">
        <v>12957</v>
      </c>
      <c r="S1232" s="28">
        <v>7.0</v>
      </c>
      <c r="T1232" s="28">
        <v>12.0</v>
      </c>
      <c r="U1232" s="28">
        <v>37.0</v>
      </c>
      <c r="V1232" s="28">
        <v>26.0</v>
      </c>
      <c r="W1232" s="28" t="s">
        <v>1173</v>
      </c>
      <c r="X1232" s="28" t="s">
        <v>272</v>
      </c>
      <c r="Y1232" s="28" t="s">
        <v>5351</v>
      </c>
      <c r="Z1232" s="28" t="s">
        <v>5352</v>
      </c>
      <c r="AA1232" s="28" t="s">
        <v>5287</v>
      </c>
      <c r="AB1232" s="28">
        <v>26.0</v>
      </c>
      <c r="AC1232" s="28" t="s">
        <v>27</v>
      </c>
      <c r="AD1232" s="23"/>
      <c r="AE1232" s="28" t="s">
        <v>18</v>
      </c>
      <c r="AF1232" s="23"/>
      <c r="AG1232" s="23"/>
      <c r="AH1232" s="23" t="str">
        <f>IFERROR(__xludf.DUMMYFUNCTION("IF(
ISNUMBER(MATCH(
C1232,
IMPORTRANGE(""https://docs.google.com/spreadsheets/d/1yTh1ELC33JHYOeEdgIiEclxPRyh0zOKtlawDltfUay8"",""'Interns'!A:A""),
0
)),
""Outreach Conducted"",
"""")"),"")</f>
        <v/>
      </c>
      <c r="AI1232" s="23"/>
      <c r="AJ1232" s="23"/>
      <c r="AK1232" s="23" t="str">
        <f>IFERROR(__xludf.DUMMYFUNCTION("XLOOKUP(C1232, 
   IMPORTRANGE(""1RdEdgHYrZ33LJ7RUHj_h-qkAFL92bcVjtIdVa-UlsCw"", ""Interns!D:D""), 
   IMPORTRANGE(""1RdEdgHYrZ33LJ7RUHj_h-qkAFL92bcVjtIdVa-UlsCw"", ""Interns!M:M""), 
   ""Not Found"")"),"Contacted")</f>
        <v>Contacted</v>
      </c>
      <c r="AL1232" s="23" t="str">
        <f>IFERROR(__xludf.DUMMYFUNCTION("XLOOKUP(C1232, 
   IMPORTRANGE(""1RdEdgHYrZ33LJ7RUHj_h-qkAFL92bcVjtIdVa-UlsCw"", ""Interns!D:D""), 
   IMPORTRANGE(""1RdEdgHYrZ33LJ7RUHj_h-qkAFL92bcVjtIdVa-UlsCw"", ""Interns!N:N""), 
   ""Not Found"")"),"#Cheers4Careers")</f>
        <v>#Cheers4Careers</v>
      </c>
      <c r="AM1232" s="23" t="str">
        <f>IFERROR(__xludf.DUMMYFUNCTION("XLOOKUP(C1232, 
   IMPORTRANGE(""1RdEdgHYrZ33LJ7RUHj_h-qkAFL92bcVjtIdVa-UlsCw"", ""Interns!D:D""), 
   IMPORTRANGE(""1RdEdgHYrZ33LJ7RUHj_h-qkAFL92bcVjtIdVa-UlsCw"", ""Interns!O:O""), 
   ""Not Found"")"),"Hetal reached out by email 3/27")</f>
        <v>Hetal reached out by email 3/27</v>
      </c>
      <c r="AN1232" s="23"/>
      <c r="AO1232" s="23" t="s">
        <v>12958</v>
      </c>
      <c r="AP1232" s="28" t="s">
        <v>5182</v>
      </c>
      <c r="AQ1232" s="28"/>
      <c r="AR1232" s="23"/>
      <c r="AS1232" s="23"/>
      <c r="AT1232" s="23"/>
      <c r="AU1232" s="23"/>
      <c r="AV1232" s="23"/>
    </row>
    <row r="1233">
      <c r="A1233" s="28" t="s">
        <v>5161</v>
      </c>
      <c r="B1233" s="28" t="s">
        <v>5162</v>
      </c>
      <c r="C1233" s="23" t="str">
        <f t="shared" si="1"/>
        <v>Josue Alvarado</v>
      </c>
      <c r="D1233" s="28" t="s">
        <v>7189</v>
      </c>
      <c r="E1233" s="28" t="s">
        <v>12959</v>
      </c>
      <c r="F1233" s="23" t="str">
        <f t="array" ref="F1233">IFERROR(
    INDEX('Hub Interns 226'!A:A, MATCH(C1233, 'Hub Interns 226'!B:B, 0)),"")</f>
        <v/>
      </c>
      <c r="G1233" s="23">
        <f t="array" ref="G1233">IFERROR(
    INDEX('Hub Users 226'!A:A, MATCH(C1233, 'Hub Users 226'!B:B, 0)),"")</f>
        <v>1964</v>
      </c>
      <c r="H1233" s="28">
        <v>1816.0</v>
      </c>
      <c r="I1233" s="28"/>
      <c r="J1233" s="28" t="s">
        <v>6002</v>
      </c>
      <c r="K1233" s="28" t="s">
        <v>5463</v>
      </c>
      <c r="L1233" s="28" t="s">
        <v>5196</v>
      </c>
      <c r="M1233" s="56" t="s">
        <v>12960</v>
      </c>
      <c r="N1233" s="57">
        <v>45386.66805555556</v>
      </c>
      <c r="O1233" s="58">
        <v>45378.0</v>
      </c>
      <c r="P1233" s="28">
        <f t="shared" si="36"/>
        <v>2</v>
      </c>
      <c r="Q1233" s="28" t="s">
        <v>12961</v>
      </c>
      <c r="R1233" s="28" t="s">
        <v>12962</v>
      </c>
      <c r="S1233" s="28"/>
      <c r="T1233" s="28"/>
      <c r="U1233" s="28"/>
      <c r="V1233" s="28"/>
      <c r="W1233" s="28" t="s">
        <v>859</v>
      </c>
      <c r="X1233" s="28" t="s">
        <v>272</v>
      </c>
      <c r="Y1233" s="28">
        <v>8.5674321965E10</v>
      </c>
      <c r="Z1233" s="28" t="s">
        <v>6876</v>
      </c>
      <c r="AA1233" s="28" t="s">
        <v>6863</v>
      </c>
      <c r="AB1233" s="28">
        <v>9.0</v>
      </c>
      <c r="AC1233" s="28" t="s">
        <v>27</v>
      </c>
      <c r="AD1233" s="23"/>
      <c r="AE1233" s="28" t="s">
        <v>18</v>
      </c>
      <c r="AF1233" s="23"/>
      <c r="AG1233" s="23"/>
      <c r="AH1233" s="23" t="str">
        <f>IFERROR(__xludf.DUMMYFUNCTION("IF(
ISNUMBER(MATCH(
C1233,
IMPORTRANGE(""https://docs.google.com/spreadsheets/d/1yTh1ELC33JHYOeEdgIiEclxPRyh0zOKtlawDltfUay8"",""'Interns'!A:A""),
0
)),
""Outreach Conducted"",
"""")"),"")</f>
        <v/>
      </c>
      <c r="AI1233" s="23"/>
      <c r="AJ1233" s="23"/>
      <c r="AK1233" s="23" t="str">
        <f>IFERROR(__xludf.DUMMYFUNCTION("XLOOKUP(C1233, 
   IMPORTRANGE(""1RdEdgHYrZ33LJ7RUHj_h-qkAFL92bcVjtIdVa-UlsCw"", ""Interns!D:D""), 
   IMPORTRANGE(""1RdEdgHYrZ33LJ7RUHj_h-qkAFL92bcVjtIdVa-UlsCw"", ""Interns!M:M""), 
   ""Not Found"")"),"Contacted")</f>
        <v>Contacted</v>
      </c>
      <c r="AL1233" s="23" t="str">
        <f>IFERROR(__xludf.DUMMYFUNCTION("XLOOKUP(C1233, 
   IMPORTRANGE(""1RdEdgHYrZ33LJ7RUHj_h-qkAFL92bcVjtIdVa-UlsCw"", ""Interns!D:D""), 
   IMPORTRANGE(""1RdEdgHYrZ33LJ7RUHj_h-qkAFL92bcVjtIdVa-UlsCw"", ""Interns!N:N""), 
   ""Not Found"")"),"#Cheers4Careers")</f>
        <v>#Cheers4Careers</v>
      </c>
      <c r="AM1233" s="23" t="str">
        <f>IFERROR(__xludf.DUMMYFUNCTION("XLOOKUP(C1233, 
   IMPORTRANGE(""1RdEdgHYrZ33LJ7RUHj_h-qkAFL92bcVjtIdVa-UlsCw"", ""Interns!D:D""), 
   IMPORTRANGE(""1RdEdgHYrZ33LJ7RUHj_h-qkAFL92bcVjtIdVa-UlsCw"", ""Interns!O:O""), 
   ""Not Found"")"),"Hetal reached out March 27 for March #Cheers4 Careers")</f>
        <v>Hetal reached out March 27 for March #Cheers4 Careers</v>
      </c>
      <c r="AN1233" s="23"/>
      <c r="AO1233" s="23" t="s">
        <v>12963</v>
      </c>
      <c r="AP1233" s="28" t="s">
        <v>5182</v>
      </c>
      <c r="AQ1233" s="28" t="s">
        <v>12964</v>
      </c>
      <c r="AR1233" s="23">
        <v>8.7659329876E10</v>
      </c>
      <c r="AS1233" s="23"/>
      <c r="AT1233" s="23"/>
      <c r="AU1233" s="23"/>
      <c r="AV1233" s="23"/>
    </row>
    <row r="1234">
      <c r="A1234" s="28" t="s">
        <v>5161</v>
      </c>
      <c r="B1234" s="28" t="s">
        <v>5162</v>
      </c>
      <c r="C1234" s="23" t="str">
        <f t="shared" si="1"/>
        <v>Victor Rivas</v>
      </c>
      <c r="D1234" s="28" t="s">
        <v>1322</v>
      </c>
      <c r="E1234" s="28" t="s">
        <v>7120</v>
      </c>
      <c r="F1234" s="23">
        <f t="array" ref="F1234">IFERROR(
    INDEX('Hub Interns 226'!A:A, MATCH(C1234, 'Hub Interns 226'!B:B, 0)),"")</f>
        <v>1175</v>
      </c>
      <c r="G1234" s="23">
        <f t="array" ref="G1234">IFERROR(
    INDEX('Hub Users 226'!A:A, MATCH(C1234, 'Hub Users 226'!B:B, 0)),"")</f>
        <v>1608</v>
      </c>
      <c r="H1234" s="28">
        <v>678.0</v>
      </c>
      <c r="I1234" s="28" t="s">
        <v>260</v>
      </c>
      <c r="J1234" s="28" t="s">
        <v>6002</v>
      </c>
      <c r="K1234" s="28" t="s">
        <v>5463</v>
      </c>
      <c r="L1234" s="28" t="s">
        <v>5165</v>
      </c>
      <c r="M1234" s="56" t="s">
        <v>12965</v>
      </c>
      <c r="N1234" s="59">
        <v>44546.475</v>
      </c>
      <c r="O1234" s="58">
        <v>38649.0</v>
      </c>
      <c r="P1234" s="28">
        <f t="shared" si="36"/>
        <v>20</v>
      </c>
      <c r="Q1234" s="28" t="s">
        <v>240</v>
      </c>
      <c r="R1234" s="28" t="s">
        <v>12966</v>
      </c>
      <c r="S1234" s="28">
        <v>14.0</v>
      </c>
      <c r="T1234" s="28">
        <v>13.0</v>
      </c>
      <c r="U1234" s="28">
        <v>34.0</v>
      </c>
      <c r="V1234" s="28">
        <v>25.0</v>
      </c>
      <c r="W1234" s="28" t="s">
        <v>1173</v>
      </c>
      <c r="X1234" s="28" t="s">
        <v>272</v>
      </c>
      <c r="Y1234" s="28" t="s">
        <v>12967</v>
      </c>
      <c r="Z1234" s="28" t="s">
        <v>5483</v>
      </c>
      <c r="AA1234" s="28" t="s">
        <v>457</v>
      </c>
      <c r="AB1234" s="28">
        <v>25.0</v>
      </c>
      <c r="AC1234" s="28" t="s">
        <v>25</v>
      </c>
      <c r="AD1234" s="23"/>
      <c r="AE1234" s="28" t="s">
        <v>10</v>
      </c>
      <c r="AF1234" s="23" t="str">
        <f>IFERROR(__xludf.DUMMYFUNCTION("TEXTJOIN("", "", TRUE,
  FILTER(Champions!C:C,
    ISNUMBER(SEARCH(C1234, Champions!W:W))
  )
)"),"Mary Anne Maples, Kemi Shoyinka")</f>
        <v>Mary Anne Maples, Kemi Shoyinka</v>
      </c>
      <c r="AG1234" s="23"/>
      <c r="AH1234" s="23" t="str">
        <f>IFERROR(__xludf.DUMMYFUNCTION("IF(
ISNUMBER(MATCH(
C1234,
IMPORTRANGE(""https://docs.google.com/spreadsheets/d/1yTh1ELC33JHYOeEdgIiEclxPRyh0zOKtlawDltfUay8"",""'Interns'!A:A""),
0
)),
""Outreach Conducted"",
"""")"),"")</f>
        <v/>
      </c>
      <c r="AI1234" s="23"/>
      <c r="AJ1234" s="23"/>
      <c r="AK1234" s="23" t="str">
        <f>IFERROR(__xludf.DUMMYFUNCTION("XLOOKUP(C1234, 
   IMPORTRANGE(""1RdEdgHYrZ33LJ7RUHj_h-qkAFL92bcVjtIdVa-UlsCw"", ""Interns!D:D""), 
   IMPORTRANGE(""1RdEdgHYrZ33LJ7RUHj_h-qkAFL92bcVjtIdVa-UlsCw"", ""Interns!M:M""), 
   ""Not Found"")"),"Contacted")</f>
        <v>Contacted</v>
      </c>
      <c r="AL1234" s="23" t="str">
        <f>IFERROR(__xludf.DUMMYFUNCTION("XLOOKUP(C1234, 
   IMPORTRANGE(""1RdEdgHYrZ33LJ7RUHj_h-qkAFL92bcVjtIdVa-UlsCw"", ""Interns!D:D""), 
   IMPORTRANGE(""1RdEdgHYrZ33LJ7RUHj_h-qkAFL92bcVjtIdVa-UlsCw"", ""Interns!N:N""), 
   ""Not Found"")"),"#Cheers4Careers")</f>
        <v>#Cheers4Careers</v>
      </c>
      <c r="AM1234" s="23" t="str">
        <f>IFERROR(__xludf.DUMMYFUNCTION("XLOOKUP(C1234, 
   IMPORTRANGE(""1RdEdgHYrZ33LJ7RUHj_h-qkAFL92bcVjtIdVa-UlsCw"", ""Interns!D:D""), 
   IMPORTRANGE(""1RdEdgHYrZ33LJ7RUHj_h-qkAFL92bcVjtIdVa-UlsCw"", ""Interns!O:O""), 
   ""Not Found"")"),"Hetal reached out by email 3/27")</f>
        <v>Hetal reached out by email 3/27</v>
      </c>
      <c r="AN1234" s="23"/>
      <c r="AO1234" s="23" t="s">
        <v>12968</v>
      </c>
      <c r="AP1234" s="28" t="s">
        <v>5240</v>
      </c>
      <c r="AQ1234" s="28" t="s">
        <v>12969</v>
      </c>
      <c r="AR1234" s="23" t="s">
        <v>12970</v>
      </c>
      <c r="AS1234" s="23"/>
      <c r="AT1234" s="23"/>
      <c r="AU1234" s="23"/>
      <c r="AV1234" s="23"/>
    </row>
    <row r="1235">
      <c r="A1235" s="28" t="s">
        <v>5161</v>
      </c>
      <c r="B1235" s="28" t="s">
        <v>5162</v>
      </c>
      <c r="C1235" s="23" t="str">
        <f t="shared" si="1"/>
        <v>Victoria Rodriguez</v>
      </c>
      <c r="D1235" s="22" t="s">
        <v>12971</v>
      </c>
      <c r="E1235" s="22" t="s">
        <v>536</v>
      </c>
      <c r="F1235" s="23"/>
      <c r="G1235" s="23"/>
      <c r="H1235" s="22">
        <v>1975.0</v>
      </c>
      <c r="I1235" s="28"/>
      <c r="J1235" s="28" t="s">
        <v>6002</v>
      </c>
      <c r="K1235" s="28" t="s">
        <v>5463</v>
      </c>
      <c r="L1235" s="28" t="s">
        <v>5196</v>
      </c>
      <c r="M1235" s="29" t="s">
        <v>12972</v>
      </c>
      <c r="N1235" s="61">
        <v>45632.521527777775</v>
      </c>
      <c r="O1235" s="25">
        <v>40025.0</v>
      </c>
      <c r="P1235" s="28">
        <f t="shared" si="36"/>
        <v>16</v>
      </c>
      <c r="Q1235" s="62" t="s">
        <v>240</v>
      </c>
      <c r="R1235" s="22" t="s">
        <v>12973</v>
      </c>
      <c r="S1235" s="28">
        <v>15.0</v>
      </c>
      <c r="T1235" s="28">
        <v>33.0</v>
      </c>
      <c r="U1235" s="28">
        <v>80.0</v>
      </c>
      <c r="V1235" s="28">
        <v>11.0</v>
      </c>
      <c r="W1235" s="28" t="s">
        <v>859</v>
      </c>
      <c r="X1235" s="28" t="s">
        <v>272</v>
      </c>
      <c r="Y1235" s="22">
        <v>3.473735658E9</v>
      </c>
      <c r="Z1235" s="22" t="s">
        <v>9625</v>
      </c>
      <c r="AA1235" s="28" t="s">
        <v>6863</v>
      </c>
      <c r="AB1235" s="28">
        <v>9.0</v>
      </c>
      <c r="AC1235" s="28" t="s">
        <v>27</v>
      </c>
      <c r="AD1235" s="23"/>
      <c r="AE1235" s="28" t="s">
        <v>19</v>
      </c>
      <c r="AF1235" s="23"/>
      <c r="AG1235" s="23"/>
      <c r="AH1235" s="23" t="str">
        <f>IFERROR(__xludf.DUMMYFUNCTION("IF(
ISNUMBER(MATCH(
C1235,
IMPORTRANGE(""https://docs.google.com/spreadsheets/d/1yTh1ELC33JHYOeEdgIiEclxPRyh0zOKtlawDltfUay8"",""'Interns'!A:A""),
0
)),
""Outreach Conducted"",
"""")"),"")</f>
        <v/>
      </c>
      <c r="AI1235" s="23"/>
      <c r="AJ1235" s="23"/>
      <c r="AK1235" s="23"/>
      <c r="AL1235" s="23" t="str">
        <f>IFERROR(__xludf.DUMMYFUNCTION("XLOOKUP(C1235, 
   IMPORTRANGE(""1RdEdgHYrZ33LJ7RUHj_h-qkAFL92bcVjtIdVa-UlsCw"", ""Interns!D:D""), 
   IMPORTRANGE(""1RdEdgHYrZ33LJ7RUHj_h-qkAFL92bcVjtIdVa-UlsCw"", ""Interns!N:N""), 
   ""Not Found"")"),"Not Found")</f>
        <v>Not Found</v>
      </c>
      <c r="AM1235" s="23" t="str">
        <f>IFERROR(__xludf.DUMMYFUNCTION("XLOOKUP(C1235, 
   IMPORTRANGE(""1RdEdgHYrZ33LJ7RUHj_h-qkAFL92bcVjtIdVa-UlsCw"", ""Interns!D:D""), 
   IMPORTRANGE(""1RdEdgHYrZ33LJ7RUHj_h-qkAFL92bcVjtIdVa-UlsCw"", ""Interns!O:O""), 
   ""Not Found"")"),"Not Found")</f>
        <v>Not Found</v>
      </c>
      <c r="AN1235" s="23"/>
      <c r="AO1235" s="23" t="s">
        <v>12971</v>
      </c>
      <c r="AP1235" s="28" t="s">
        <v>5182</v>
      </c>
      <c r="AQ1235" s="28" t="s">
        <v>12974</v>
      </c>
      <c r="AR1235" s="23">
        <v>3.473735658E9</v>
      </c>
      <c r="AS1235" s="23"/>
      <c r="AT1235" s="23"/>
      <c r="AU1235" s="23"/>
      <c r="AV1235" s="23"/>
    </row>
    <row r="1236">
      <c r="A1236" s="28" t="s">
        <v>5161</v>
      </c>
      <c r="B1236" s="28" t="s">
        <v>5162</v>
      </c>
      <c r="C1236" s="23" t="str">
        <f t="shared" si="1"/>
        <v>Nicoll Suarez</v>
      </c>
      <c r="D1236" s="28" t="s">
        <v>12975</v>
      </c>
      <c r="E1236" s="28" t="s">
        <v>3395</v>
      </c>
      <c r="F1236" s="23">
        <f t="array" ref="F1236">IFERROR(
    INDEX('Hub Interns 226'!A:A, MATCH(C1236, 'Hub Interns 226'!B:B, 0)),"")</f>
        <v>98</v>
      </c>
      <c r="G1236" s="23">
        <f t="array" ref="G1236">IFERROR(
    INDEX('Hub Users 226'!A:A, MATCH(C1236, 'Hub Users 226'!B:B, 0)),"")</f>
        <v>531</v>
      </c>
      <c r="H1236" s="28">
        <v>1138.0</v>
      </c>
      <c r="I1236" s="28" t="s">
        <v>290</v>
      </c>
      <c r="J1236" s="28" t="s">
        <v>5766</v>
      </c>
      <c r="K1236" s="28" t="s">
        <v>5463</v>
      </c>
      <c r="L1236" s="28" t="s">
        <v>5196</v>
      </c>
      <c r="M1236" s="56" t="s">
        <v>12976</v>
      </c>
      <c r="N1236" s="57">
        <v>44749.48402777778</v>
      </c>
      <c r="O1236" s="58">
        <v>38539.0</v>
      </c>
      <c r="P1236" s="28">
        <f t="shared" si="36"/>
        <v>20</v>
      </c>
      <c r="Q1236" s="28" t="s">
        <v>240</v>
      </c>
      <c r="R1236" s="28" t="s">
        <v>12977</v>
      </c>
      <c r="S1236" s="28">
        <v>6.0</v>
      </c>
      <c r="T1236" s="28">
        <v>16.0</v>
      </c>
      <c r="U1236" s="28">
        <v>40.0</v>
      </c>
      <c r="V1236" s="28">
        <v>20.0</v>
      </c>
      <c r="W1236" s="28" t="s">
        <v>1173</v>
      </c>
      <c r="X1236" s="28" t="s">
        <v>272</v>
      </c>
      <c r="Y1236" s="28" t="s">
        <v>12978</v>
      </c>
      <c r="Z1236" s="28" t="s">
        <v>5259</v>
      </c>
      <c r="AA1236" s="28" t="s">
        <v>704</v>
      </c>
      <c r="AB1236" s="28">
        <v>2.0</v>
      </c>
      <c r="AC1236" s="28" t="s">
        <v>23</v>
      </c>
      <c r="AD1236" s="23"/>
      <c r="AE1236" s="28" t="s">
        <v>15</v>
      </c>
      <c r="AF1236" s="23"/>
      <c r="AG1236" s="23"/>
      <c r="AH1236" s="23" t="str">
        <f>IFERROR(__xludf.DUMMYFUNCTION("IF(
ISNUMBER(MATCH(
C1236,
IMPORTRANGE(""https://docs.google.com/spreadsheets/d/1yTh1ELC33JHYOeEdgIiEclxPRyh0zOKtlawDltfUay8"",""'Interns'!A:A""),
0
)),
""Outreach Conducted"",
"""")"),"")</f>
        <v/>
      </c>
      <c r="AI1236" s="23"/>
      <c r="AJ1236" s="23"/>
      <c r="AK1236" s="23" t="str">
        <f>IFERROR(__xludf.DUMMYFUNCTION("XLOOKUP(C1236, 
   IMPORTRANGE(""1RdEdgHYrZ33LJ7RUHj_h-qkAFL92bcVjtIdVa-UlsCw"", ""Interns!D:D""), 
   IMPORTRANGE(""1RdEdgHYrZ33LJ7RUHj_h-qkAFL92bcVjtIdVa-UlsCw"", ""Interns!M:M""), 
   ""Not Found"")"),"Contacted")</f>
        <v>Contacted</v>
      </c>
      <c r="AL1236" s="23" t="str">
        <f>IFERROR(__xludf.DUMMYFUNCTION("XLOOKUP(C1236, 
   IMPORTRANGE(""1RdEdgHYrZ33LJ7RUHj_h-qkAFL92bcVjtIdVa-UlsCw"", ""Interns!D:D""), 
   IMPORTRANGE(""1RdEdgHYrZ33LJ7RUHj_h-qkAFL92bcVjtIdVa-UlsCw"", ""Interns!N:N""), 
   ""Not Found"")"),"#Cheers4Careers")</f>
        <v>#Cheers4Careers</v>
      </c>
      <c r="AM1236" s="23" t="str">
        <f>IFERROR(__xludf.DUMMYFUNCTION("XLOOKUP(C1236, 
   IMPORTRANGE(""1RdEdgHYrZ33LJ7RUHj_h-qkAFL92bcVjtIdVa-UlsCw"", ""Interns!D:D""), 
   IMPORTRANGE(""1RdEdgHYrZ33LJ7RUHj_h-qkAFL92bcVjtIdVa-UlsCw"", ""Interns!O:O""), 
   ""Not Found"")"),"Ousmane reached out by email 3/26 and reach out by text 3/28")</f>
        <v>Ousmane reached out by email 3/26 and reach out by text 3/28</v>
      </c>
      <c r="AN1236" s="23"/>
      <c r="AO1236" s="23" t="s">
        <v>12979</v>
      </c>
      <c r="AP1236" s="28" t="s">
        <v>5182</v>
      </c>
      <c r="AQ1236" s="28" t="s">
        <v>12980</v>
      </c>
      <c r="AR1236" s="23">
        <v>9.294070287E9</v>
      </c>
      <c r="AS1236" s="23"/>
      <c r="AT1236" s="23"/>
      <c r="AU1236" s="23"/>
      <c r="AV1236" s="23"/>
    </row>
    <row r="1237">
      <c r="A1237" s="28" t="s">
        <v>5161</v>
      </c>
      <c r="B1237" s="28" t="s">
        <v>5162</v>
      </c>
      <c r="C1237" s="23" t="str">
        <f t="shared" si="1"/>
        <v>Pablo Velez</v>
      </c>
      <c r="D1237" s="28" t="s">
        <v>5889</v>
      </c>
      <c r="E1237" s="28" t="s">
        <v>12981</v>
      </c>
      <c r="F1237" s="23">
        <f t="array" ref="F1237">IFERROR(
    INDEX('Hub Interns 226'!A:A, MATCH(C1237, 'Hub Interns 226'!B:B, 0)),"")</f>
        <v>107</v>
      </c>
      <c r="G1237" s="23">
        <f t="array" ref="G1237">IFERROR(
    INDEX('Hub Users 226'!A:A, MATCH(C1237, 'Hub Users 226'!B:B, 0)),"")</f>
        <v>540</v>
      </c>
      <c r="H1237" s="28">
        <v>1543.0</v>
      </c>
      <c r="I1237" s="28" t="s">
        <v>407</v>
      </c>
      <c r="J1237" s="28" t="s">
        <v>2388</v>
      </c>
      <c r="K1237" s="28" t="s">
        <v>5463</v>
      </c>
      <c r="L1237" s="28" t="s">
        <v>5165</v>
      </c>
      <c r="M1237" s="56" t="s">
        <v>12982</v>
      </c>
      <c r="N1237" s="57">
        <v>44958.59930555556</v>
      </c>
      <c r="O1237" s="58">
        <v>38398.0</v>
      </c>
      <c r="P1237" s="28">
        <f t="shared" si="36"/>
        <v>21</v>
      </c>
      <c r="Q1237" s="28" t="s">
        <v>12983</v>
      </c>
      <c r="R1237" s="28" t="s">
        <v>12984</v>
      </c>
      <c r="S1237" s="28">
        <v>7.0</v>
      </c>
      <c r="T1237" s="28">
        <v>12.0</v>
      </c>
      <c r="U1237" s="28">
        <v>38.0</v>
      </c>
      <c r="V1237" s="28">
        <v>34.0</v>
      </c>
      <c r="W1237" s="28" t="s">
        <v>271</v>
      </c>
      <c r="X1237" s="28" t="s">
        <v>272</v>
      </c>
      <c r="Y1237" s="28" t="s">
        <v>12985</v>
      </c>
      <c r="Z1237" s="28" t="s">
        <v>5259</v>
      </c>
      <c r="AA1237" s="28" t="s">
        <v>704</v>
      </c>
      <c r="AB1237" s="28">
        <v>2.0</v>
      </c>
      <c r="AC1237" s="28" t="s">
        <v>23</v>
      </c>
      <c r="AD1237" s="23"/>
      <c r="AE1237" s="28" t="s">
        <v>15</v>
      </c>
      <c r="AF1237" s="23"/>
      <c r="AG1237" s="23"/>
      <c r="AH1237" s="23" t="str">
        <f>IFERROR(__xludf.DUMMYFUNCTION("IF(
ISNUMBER(MATCH(
C1237,
IMPORTRANGE(""https://docs.google.com/spreadsheets/d/1yTh1ELC33JHYOeEdgIiEclxPRyh0zOKtlawDltfUay8"",""'Interns'!A:A""),
0
)),
""Outreach Conducted"",
"""")"),"")</f>
        <v/>
      </c>
      <c r="AI1237" s="23"/>
      <c r="AJ1237" s="23"/>
      <c r="AK1237" s="23" t="str">
        <f>IFERROR(__xludf.DUMMYFUNCTION("XLOOKUP(C1237, 
   IMPORTRANGE(""1RdEdgHYrZ33LJ7RUHj_h-qkAFL92bcVjtIdVa-UlsCw"", ""Interns!D:D""), 
   IMPORTRANGE(""1RdEdgHYrZ33LJ7RUHj_h-qkAFL92bcVjtIdVa-UlsCw"", ""Interns!M:M""), 
   ""Not Found"")"),"Contacted")</f>
        <v>Contacted</v>
      </c>
      <c r="AL1237" s="23" t="str">
        <f>IFERROR(__xludf.DUMMYFUNCTION("XLOOKUP(C1237, 
   IMPORTRANGE(""1RdEdgHYrZ33LJ7RUHj_h-qkAFL92bcVjtIdVa-UlsCw"", ""Interns!D:D""), 
   IMPORTRANGE(""1RdEdgHYrZ33LJ7RUHj_h-qkAFL92bcVjtIdVa-UlsCw"", ""Interns!N:N""), 
   ""Not Found"")"),"#Cheers4Careers")</f>
        <v>#Cheers4Careers</v>
      </c>
      <c r="AM1237" s="23" t="str">
        <f>IFERROR(__xludf.DUMMYFUNCTION("XLOOKUP(C1237, 
   IMPORTRANGE(""1RdEdgHYrZ33LJ7RUHj_h-qkAFL92bcVjtIdVa-UlsCw"", ""Interns!D:D""), 
   IMPORTRANGE(""1RdEdgHYrZ33LJ7RUHj_h-qkAFL92bcVjtIdVa-UlsCw"", ""Interns!O:O""), 
   ""Not Found"")"),"Ousmane reached out by email 3/26 and reach out by text 3/28")</f>
        <v>Ousmane reached out by email 3/26 and reach out by text 3/28</v>
      </c>
      <c r="AN1237" s="23"/>
      <c r="AO1237" s="23" t="s">
        <v>12986</v>
      </c>
      <c r="AP1237" s="28" t="s">
        <v>5182</v>
      </c>
      <c r="AQ1237" s="28"/>
      <c r="AR1237" s="23"/>
      <c r="AS1237" s="23"/>
      <c r="AT1237" s="23"/>
      <c r="AU1237" s="23"/>
      <c r="AV1237" s="23"/>
    </row>
    <row r="1238">
      <c r="A1238" s="28" t="s">
        <v>5161</v>
      </c>
      <c r="B1238" s="28" t="s">
        <v>5162</v>
      </c>
      <c r="C1238" s="23" t="str">
        <f t="shared" si="1"/>
        <v>Maria Castro</v>
      </c>
      <c r="D1238" s="28" t="s">
        <v>2308</v>
      </c>
      <c r="E1238" s="28" t="s">
        <v>2092</v>
      </c>
      <c r="F1238" s="23">
        <f t="array" ref="F1238">IFERROR(
    INDEX('Hub Interns 226'!A:A, MATCH(C1238, 'Hub Interns 226'!B:B, 0)),"")</f>
        <v>831</v>
      </c>
      <c r="G1238" s="23">
        <f t="array" ref="G1238">IFERROR(
    INDEX('Hub Users 226'!A:A, MATCH(C1238, 'Hub Users 226'!B:B, 0)),"")</f>
        <v>1264</v>
      </c>
      <c r="H1238" s="28">
        <v>1477.0</v>
      </c>
      <c r="I1238" s="28" t="s">
        <v>269</v>
      </c>
      <c r="J1238" s="28" t="s">
        <v>6002</v>
      </c>
      <c r="K1238" s="28" t="s">
        <v>5463</v>
      </c>
      <c r="L1238" s="28" t="s">
        <v>5196</v>
      </c>
      <c r="M1238" s="56" t="s">
        <v>12987</v>
      </c>
      <c r="N1238" s="57">
        <v>44939.61388888889</v>
      </c>
      <c r="O1238" s="58">
        <v>38285.0</v>
      </c>
      <c r="P1238" s="28">
        <f t="shared" si="36"/>
        <v>21</v>
      </c>
      <c r="Q1238" s="28" t="s">
        <v>12988</v>
      </c>
      <c r="R1238" s="28" t="s">
        <v>12989</v>
      </c>
      <c r="S1238" s="28">
        <v>8.0</v>
      </c>
      <c r="T1238" s="28">
        <v>25.0</v>
      </c>
      <c r="U1238" s="28">
        <v>56.0</v>
      </c>
      <c r="V1238" s="28">
        <v>41.0</v>
      </c>
      <c r="W1238" s="28" t="s">
        <v>294</v>
      </c>
      <c r="X1238" s="28" t="s">
        <v>272</v>
      </c>
      <c r="Y1238" s="28" t="s">
        <v>12233</v>
      </c>
      <c r="Z1238" s="28" t="s">
        <v>5259</v>
      </c>
      <c r="AA1238" s="28" t="s">
        <v>704</v>
      </c>
      <c r="AB1238" s="28">
        <v>2.0</v>
      </c>
      <c r="AC1238" s="28" t="s">
        <v>25</v>
      </c>
      <c r="AD1238" s="23"/>
      <c r="AE1238" s="28" t="s">
        <v>15</v>
      </c>
      <c r="AF1238" s="23" t="str">
        <f>IFERROR(__xludf.DUMMYFUNCTION("TEXTJOIN("", "", TRUE,
  FILTER(Champions!C:C,
    ISNUMBER(SEARCH(C1238, Champions!W:W))
  )
)"),"Diane French, Vignesh Sundar")</f>
        <v>Diane French, Vignesh Sundar</v>
      </c>
      <c r="AG1238" s="26" t="s">
        <v>12990</v>
      </c>
      <c r="AH1238" s="23" t="str">
        <f>IFERROR(__xludf.DUMMYFUNCTION("IF(
ISNUMBER(MATCH(
C1238,
IMPORTRANGE(""https://docs.google.com/spreadsheets/d/1yTh1ELC33JHYOeEdgIiEclxPRyh0zOKtlawDltfUay8"",""'Interns'!A:A""),
0
)),
""Outreach Conducted"",
"""")"),"")</f>
        <v/>
      </c>
      <c r="AI1238" s="23"/>
      <c r="AJ1238" s="23"/>
      <c r="AK1238" s="23" t="str">
        <f>IFERROR(__xludf.DUMMYFUNCTION("XLOOKUP(C1238, 
   IMPORTRANGE(""1RdEdgHYrZ33LJ7RUHj_h-qkAFL92bcVjtIdVa-UlsCw"", ""Interns!D:D""), 
   IMPORTRANGE(""1RdEdgHYrZ33LJ7RUHj_h-qkAFL92bcVjtIdVa-UlsCw"", ""Interns!M:M""), 
   ""Not Found"")"),"In Communication")</f>
        <v>In Communication</v>
      </c>
      <c r="AL1238" s="23" t="str">
        <f>IFERROR(__xludf.DUMMYFUNCTION("XLOOKUP(C1238, 
   IMPORTRANGE(""1RdEdgHYrZ33LJ7RUHj_h-qkAFL92bcVjtIdVa-UlsCw"", ""Interns!D:D""), 
   IMPORTRANGE(""1RdEdgHYrZ33LJ7RUHj_h-qkAFL92bcVjtIdVa-UlsCw"", ""Interns!N:N""), 
   ""Not Found"")"),"#Cheers4Careers")</f>
        <v>#Cheers4Careers</v>
      </c>
      <c r="AM1238" s="23" t="str">
        <f>IFERROR(__xludf.DUMMYFUNCTION("XLOOKUP(C1238, 
   IMPORTRANGE(""1RdEdgHYrZ33LJ7RUHj_h-qkAFL92bcVjtIdVa-UlsCw"", ""Interns!D:D""), 
   IMPORTRANGE(""1RdEdgHYrZ33LJ7RUHj_h-qkAFL92bcVjtIdVa-UlsCw"", ""Interns!O:O""), 
   ""Not Found"")"),"Ousmane reached out by email 3/26 
Hetal reached out on 4/10 by whatsapp for April 18th #Cheers4Careers")</f>
        <v>Ousmane reached out by email 3/26 
Hetal reached out on 4/10 by whatsapp for April 18th #Cheers4Careers</v>
      </c>
      <c r="AN1238" s="23"/>
      <c r="AO1238" s="23" t="s">
        <v>12234</v>
      </c>
      <c r="AP1238" s="28" t="s">
        <v>5182</v>
      </c>
      <c r="AQ1238" s="28" t="s">
        <v>12991</v>
      </c>
      <c r="AR1238" s="23" t="s">
        <v>12992</v>
      </c>
      <c r="AS1238" s="23"/>
      <c r="AT1238" s="23"/>
      <c r="AU1238" s="23"/>
      <c r="AV1238" s="23"/>
    </row>
    <row r="1239">
      <c r="A1239" s="28" t="s">
        <v>5202</v>
      </c>
      <c r="B1239" s="28" t="s">
        <v>5162</v>
      </c>
      <c r="C1239" s="23" t="str">
        <f t="shared" si="1"/>
        <v>Angelo De La Cruz</v>
      </c>
      <c r="D1239" s="28" t="s">
        <v>535</v>
      </c>
      <c r="E1239" s="28" t="s">
        <v>7397</v>
      </c>
      <c r="F1239" s="23">
        <f t="array" ref="F1239">IFERROR(
    INDEX('Hub Interns 226'!A:A, MATCH(C1239, 'Hub Interns 226'!B:B, 0)),"")</f>
        <v>144</v>
      </c>
      <c r="G1239" s="23">
        <f t="array" ref="G1239">IFERROR(
    INDEX('Hub Users 226'!A:A, MATCH(C1239, 'Hub Users 226'!B:B, 0)),"")</f>
        <v>577</v>
      </c>
      <c r="H1239" s="28">
        <v>677.0</v>
      </c>
      <c r="I1239" s="28" t="s">
        <v>107</v>
      </c>
      <c r="J1239" s="28" t="s">
        <v>2388</v>
      </c>
      <c r="K1239" s="28" t="s">
        <v>5463</v>
      </c>
      <c r="L1239" s="28" t="s">
        <v>5165</v>
      </c>
      <c r="M1239" s="56" t="s">
        <v>12993</v>
      </c>
      <c r="N1239" s="59">
        <v>44546.47361111111</v>
      </c>
      <c r="O1239" s="58">
        <v>38525.0</v>
      </c>
      <c r="P1239" s="28">
        <f t="shared" si="36"/>
        <v>20</v>
      </c>
      <c r="Q1239" s="28" t="s">
        <v>12944</v>
      </c>
      <c r="R1239" s="28" t="s">
        <v>12994</v>
      </c>
      <c r="S1239" s="28">
        <v>14.0</v>
      </c>
      <c r="T1239" s="28">
        <v>13.0</v>
      </c>
      <c r="U1239" s="28">
        <v>34.0</v>
      </c>
      <c r="V1239" s="28">
        <v>25.0</v>
      </c>
      <c r="W1239" s="28" t="s">
        <v>1173</v>
      </c>
      <c r="X1239" s="28" t="s">
        <v>272</v>
      </c>
      <c r="Y1239" s="28" t="s">
        <v>12995</v>
      </c>
      <c r="Z1239" s="28" t="s">
        <v>5483</v>
      </c>
      <c r="AA1239" s="28" t="s">
        <v>457</v>
      </c>
      <c r="AB1239" s="28">
        <v>25.0</v>
      </c>
      <c r="AC1239" s="28" t="s">
        <v>25</v>
      </c>
      <c r="AD1239" s="23"/>
      <c r="AE1239" s="28" t="s">
        <v>10</v>
      </c>
      <c r="AF1239" s="23" t="str">
        <f>IFERROR(__xludf.DUMMYFUNCTION("TEXTJOIN("", "", TRUE,
  FILTER(Champions!C:C,
    ISNUMBER(SEARCH(C1239, Champions!W:W))
  )
)"),"Bhavna Mohan Agnihotri, Wilson Antoine")</f>
        <v>Bhavna Mohan Agnihotri, Wilson Antoine</v>
      </c>
      <c r="AG1239" s="23"/>
      <c r="AH1239" s="23" t="str">
        <f>IFERROR(__xludf.DUMMYFUNCTION("IF(
ISNUMBER(MATCH(
C1239,
IMPORTRANGE(""https://docs.google.com/spreadsheets/d/1yTh1ELC33JHYOeEdgIiEclxPRyh0zOKtlawDltfUay8"",""'Interns'!A:A""),
0
)),
""Outreach Conducted"",
"""")"),"")</f>
        <v/>
      </c>
      <c r="AI1239" s="23"/>
      <c r="AJ1239" s="23"/>
      <c r="AK1239" s="23" t="str">
        <f>IFERROR(__xludf.DUMMYFUNCTION("XLOOKUP(C1239, 
   IMPORTRANGE(""1RdEdgHYrZ33LJ7RUHj_h-qkAFL92bcVjtIdVa-UlsCw"", ""Interns!D:D""), 
   IMPORTRANGE(""1RdEdgHYrZ33LJ7RUHj_h-qkAFL92bcVjtIdVa-UlsCw"", ""Interns!M:M""), 
   ""Not Found"")"),"")</f>
        <v/>
      </c>
      <c r="AL1239" s="23" t="str">
        <f>IFERROR(__xludf.DUMMYFUNCTION("XLOOKUP(C1239, 
   IMPORTRANGE(""1RdEdgHYrZ33LJ7RUHj_h-qkAFL92bcVjtIdVa-UlsCw"", ""Interns!D:D""), 
   IMPORTRANGE(""1RdEdgHYrZ33LJ7RUHj_h-qkAFL92bcVjtIdVa-UlsCw"", ""Interns!N:N""), 
   ""Not Found"")"),"")</f>
        <v/>
      </c>
      <c r="AM1239" s="23" t="str">
        <f>IFERROR(__xludf.DUMMYFUNCTION("XLOOKUP(C1239, 
   IMPORTRANGE(""1RdEdgHYrZ33LJ7RUHj_h-qkAFL92bcVjtIdVa-UlsCw"", ""Interns!D:D""), 
   IMPORTRANGE(""1RdEdgHYrZ33LJ7RUHj_h-qkAFL92bcVjtIdVa-UlsCw"", ""Interns!O:O""), 
   ""Not Found"")"),"")</f>
        <v/>
      </c>
      <c r="AN1239" s="23"/>
      <c r="AO1239" s="23" t="s">
        <v>12996</v>
      </c>
      <c r="AP1239" s="28" t="s">
        <v>5182</v>
      </c>
      <c r="AQ1239" s="28" t="s">
        <v>12997</v>
      </c>
      <c r="AR1239" s="23" t="s">
        <v>12998</v>
      </c>
      <c r="AS1239" s="23"/>
      <c r="AT1239" s="23"/>
      <c r="AU1239" s="23"/>
      <c r="AV1239" s="23"/>
    </row>
    <row r="1240">
      <c r="A1240" s="28" t="s">
        <v>5161</v>
      </c>
      <c r="B1240" s="28" t="s">
        <v>5162</v>
      </c>
      <c r="C1240" s="23" t="str">
        <f t="shared" si="1"/>
        <v>willian villalobis</v>
      </c>
      <c r="D1240" s="22" t="s">
        <v>12999</v>
      </c>
      <c r="E1240" s="22" t="s">
        <v>13000</v>
      </c>
      <c r="F1240" s="23"/>
      <c r="G1240" s="23"/>
      <c r="H1240" s="22">
        <v>2048.0</v>
      </c>
      <c r="I1240" s="28"/>
      <c r="J1240" s="28" t="s">
        <v>6002</v>
      </c>
      <c r="K1240" s="28" t="s">
        <v>5463</v>
      </c>
      <c r="L1240" s="28" t="s">
        <v>5165</v>
      </c>
      <c r="M1240" s="29" t="s">
        <v>13001</v>
      </c>
      <c r="N1240" s="61">
        <v>45384.4125</v>
      </c>
      <c r="O1240" s="25">
        <v>45384.0</v>
      </c>
      <c r="P1240" s="28">
        <f t="shared" si="36"/>
        <v>2</v>
      </c>
      <c r="Q1240" s="62" t="s">
        <v>240</v>
      </c>
      <c r="R1240" s="22" t="s">
        <v>13002</v>
      </c>
      <c r="S1240" s="28">
        <v>13.0</v>
      </c>
      <c r="T1240" s="28">
        <v>30.0</v>
      </c>
      <c r="U1240" s="28">
        <v>70.0</v>
      </c>
      <c r="V1240" s="28">
        <v>9.0</v>
      </c>
      <c r="W1240" s="28" t="s">
        <v>271</v>
      </c>
      <c r="X1240" s="28" t="s">
        <v>272</v>
      </c>
      <c r="Y1240" s="64"/>
      <c r="Z1240" s="22" t="s">
        <v>13003</v>
      </c>
      <c r="AA1240" s="28" t="s">
        <v>6863</v>
      </c>
      <c r="AB1240" s="28">
        <v>9.0</v>
      </c>
      <c r="AC1240" s="28" t="s">
        <v>27</v>
      </c>
      <c r="AD1240" s="23"/>
      <c r="AE1240" s="28" t="s">
        <v>18</v>
      </c>
      <c r="AF1240" s="23"/>
      <c r="AG1240" s="23"/>
      <c r="AH1240" s="23" t="str">
        <f>IFERROR(__xludf.DUMMYFUNCTION("IF(
ISNUMBER(MATCH(
C1240,
IMPORTRANGE(""https://docs.google.com/spreadsheets/d/1yTh1ELC33JHYOeEdgIiEclxPRyh0zOKtlawDltfUay8"",""'Interns'!A:A""),
0
)),
""Outreach Conducted"",
"""")"),"")</f>
        <v/>
      </c>
      <c r="AI1240" s="23"/>
      <c r="AJ1240" s="23"/>
      <c r="AK1240" s="23" t="str">
        <f>IFERROR(__xludf.DUMMYFUNCTION("XLOOKUP(C1240, 
   IMPORTRANGE(""1RdEdgHYrZ33LJ7RUHj_h-qkAFL92bcVjtIdVa-UlsCw"", ""Interns!D:D""), 
   IMPORTRANGE(""1RdEdgHYrZ33LJ7RUHj_h-qkAFL92bcVjtIdVa-UlsCw"", ""Interns!M:M""), 
   ""Not Found"")"),"Not Found")</f>
        <v>Not Found</v>
      </c>
      <c r="AL1240" s="23" t="str">
        <f>IFERROR(__xludf.DUMMYFUNCTION("XLOOKUP(C1240, 
   IMPORTRANGE(""1RdEdgHYrZ33LJ7RUHj_h-qkAFL92bcVjtIdVa-UlsCw"", ""Interns!D:D""), 
   IMPORTRANGE(""1RdEdgHYrZ33LJ7RUHj_h-qkAFL92bcVjtIdVa-UlsCw"", ""Interns!N:N""), 
   ""Not Found"")"),"Not Found")</f>
        <v>Not Found</v>
      </c>
      <c r="AM1240" s="23" t="str">
        <f>IFERROR(__xludf.DUMMYFUNCTION("XLOOKUP(C1240, 
   IMPORTRANGE(""1RdEdgHYrZ33LJ7RUHj_h-qkAFL92bcVjtIdVa-UlsCw"", ""Interns!D:D""), 
   IMPORTRANGE(""1RdEdgHYrZ33LJ7RUHj_h-qkAFL92bcVjtIdVa-UlsCw"", ""Interns!O:O""), 
   ""Not Found"")"),"Not Found")</f>
        <v>Not Found</v>
      </c>
      <c r="AN1240" s="23"/>
      <c r="AO1240" s="23" t="s">
        <v>13004</v>
      </c>
      <c r="AP1240" s="28" t="s">
        <v>5880</v>
      </c>
      <c r="AQ1240" s="28" t="s">
        <v>13005</v>
      </c>
      <c r="AR1240" s="23">
        <v>2.12694602E9</v>
      </c>
      <c r="AS1240" s="23"/>
      <c r="AT1240" s="23"/>
      <c r="AU1240" s="23"/>
      <c r="AV1240" s="23"/>
    </row>
    <row r="1241">
      <c r="A1241" s="28" t="s">
        <v>5202</v>
      </c>
      <c r="B1241" s="28" t="s">
        <v>5162</v>
      </c>
      <c r="C1241" s="23" t="str">
        <f t="shared" si="1"/>
        <v>Yusra Sabeeh</v>
      </c>
      <c r="D1241" s="28" t="s">
        <v>13006</v>
      </c>
      <c r="E1241" s="28" t="s">
        <v>13007</v>
      </c>
      <c r="F1241" s="23" t="str">
        <f t="array" ref="F1241">IFERROR(
    INDEX('Hub Interns 226'!A:A, MATCH(C1241, 'Hub Interns 226'!B:B, 0)),"")</f>
        <v/>
      </c>
      <c r="G1241" s="23" t="str">
        <f t="array" ref="G1241">IFERROR(
    INDEX('Hub Users 226'!A:A, MATCH(C1241, 'Hub Users 226'!B:B, 0)),"")</f>
        <v/>
      </c>
      <c r="H1241" s="28">
        <v>39.0</v>
      </c>
      <c r="I1241" s="28" t="s">
        <v>260</v>
      </c>
      <c r="J1241" s="28" t="s">
        <v>12129</v>
      </c>
      <c r="K1241" s="28" t="s">
        <v>5186</v>
      </c>
      <c r="L1241" s="28" t="s">
        <v>5196</v>
      </c>
      <c r="M1241" s="23"/>
      <c r="N1241" s="57">
        <v>43741.63055555556</v>
      </c>
      <c r="O1241" s="58"/>
      <c r="P1241" s="28"/>
      <c r="Q1241" s="28" t="s">
        <v>240</v>
      </c>
      <c r="R1241" s="23"/>
      <c r="S1241" s="28"/>
      <c r="T1241" s="28"/>
      <c r="U1241" s="28"/>
      <c r="V1241" s="28"/>
      <c r="W1241" s="28" t="s">
        <v>380</v>
      </c>
      <c r="X1241" s="28" t="s">
        <v>381</v>
      </c>
      <c r="Y1241" s="28" t="s">
        <v>13008</v>
      </c>
      <c r="Z1241" s="28" t="s">
        <v>5491</v>
      </c>
      <c r="AA1241" s="28" t="s">
        <v>5492</v>
      </c>
      <c r="AB1241" s="28">
        <v>47.0</v>
      </c>
      <c r="AC1241" s="28" t="s">
        <v>25</v>
      </c>
      <c r="AD1241" s="23"/>
      <c r="AE1241" s="28" t="s">
        <v>4</v>
      </c>
      <c r="AF1241" s="23" t="str">
        <f>IFERROR(__xludf.DUMMYFUNCTION("TEXTJOIN("", "", TRUE,
  FILTER(Champions!C:C,
    ISNUMBER(SEARCH(C1241, Champions!W:W))
  )
)"),"#N/A")</f>
        <v>#N/A</v>
      </c>
      <c r="AG1241" s="23"/>
      <c r="AH1241" s="23" t="str">
        <f>IFERROR(__xludf.DUMMYFUNCTION("IF(
ISNUMBER(MATCH(
C1241,
IMPORTRANGE(""https://docs.google.com/spreadsheets/d/1yTh1ELC33JHYOeEdgIiEclxPRyh0zOKtlawDltfUay8"",""'Interns'!A:A""),
0
)),
""Outreach Conducted"",
"""")"),"")</f>
        <v/>
      </c>
      <c r="AI1241" s="23"/>
      <c r="AJ1241" s="23"/>
      <c r="AK1241" s="23" t="str">
        <f>IFERROR(__xludf.DUMMYFUNCTION("XLOOKUP(C1241, 
   IMPORTRANGE(""1RdEdgHYrZ33LJ7RUHj_h-qkAFL92bcVjtIdVa-UlsCw"", ""Interns!D:D""), 
   IMPORTRANGE(""1RdEdgHYrZ33LJ7RUHj_h-qkAFL92bcVjtIdVa-UlsCw"", ""Interns!M:M""), 
   ""Not Found"")"),"")</f>
        <v/>
      </c>
      <c r="AL1241" s="23" t="str">
        <f>IFERROR(__xludf.DUMMYFUNCTION("XLOOKUP(C1241, 
   IMPORTRANGE(""1RdEdgHYrZ33LJ7RUHj_h-qkAFL92bcVjtIdVa-UlsCw"", ""Interns!D:D""), 
   IMPORTRANGE(""1RdEdgHYrZ33LJ7RUHj_h-qkAFL92bcVjtIdVa-UlsCw"", ""Interns!N:N""), 
   ""Not Found"")"),"")</f>
        <v/>
      </c>
      <c r="AM1241" s="23" t="str">
        <f>IFERROR(__xludf.DUMMYFUNCTION("XLOOKUP(C1241, 
   IMPORTRANGE(""1RdEdgHYrZ33LJ7RUHj_h-qkAFL92bcVjtIdVa-UlsCw"", ""Interns!D:D""), 
   IMPORTRANGE(""1RdEdgHYrZ33LJ7RUHj_h-qkAFL92bcVjtIdVa-UlsCw"", ""Interns!O:O""), 
   ""Not Found"")"),"")</f>
        <v/>
      </c>
      <c r="AN1241" s="23"/>
      <c r="AO1241" s="23" t="s">
        <v>13009</v>
      </c>
      <c r="AP1241" s="28" t="s">
        <v>5182</v>
      </c>
      <c r="AQ1241" s="28" t="s">
        <v>13009</v>
      </c>
      <c r="AR1241" s="23" t="s">
        <v>13010</v>
      </c>
      <c r="AS1241" s="23"/>
      <c r="AT1241" s="23"/>
      <c r="AU1241" s="23"/>
      <c r="AV1241" s="23"/>
    </row>
    <row r="1242">
      <c r="A1242" s="28" t="s">
        <v>5161</v>
      </c>
      <c r="B1242" s="28" t="s">
        <v>5162</v>
      </c>
      <c r="C1242" s="23" t="str">
        <f t="shared" si="1"/>
        <v>Annelisse (Maribel) Gutierrez</v>
      </c>
      <c r="D1242" s="28" t="s">
        <v>13011</v>
      </c>
      <c r="E1242" s="28" t="s">
        <v>6489</v>
      </c>
      <c r="F1242" s="23">
        <f t="array" ref="F1242">IFERROR(
    INDEX('Hub Interns 226'!A:A, MATCH("Maribel", 'Hub Interns 226'!B:B, 0)),"")</f>
        <v>1398</v>
      </c>
      <c r="G1242" s="23">
        <f t="array" ref="G1242">IFERROR(
    INDEX('Hub Users 226'!A:A, MATCH("Annelisse Gutierrez", 'Hub Users 226'!B:B, 0)),"")</f>
        <v>1956</v>
      </c>
      <c r="H1242" s="28">
        <v>1810.0</v>
      </c>
      <c r="I1242" s="28"/>
      <c r="J1242" s="28" t="s">
        <v>6002</v>
      </c>
      <c r="K1242" s="28" t="s">
        <v>5463</v>
      </c>
      <c r="L1242" s="28" t="s">
        <v>6647</v>
      </c>
      <c r="M1242" s="56" t="s">
        <v>13012</v>
      </c>
      <c r="N1242" s="57">
        <v>45379.720138888886</v>
      </c>
      <c r="O1242" s="58">
        <v>38688.0</v>
      </c>
      <c r="P1242" s="28">
        <f t="shared" ref="P1242:P1262" si="37">DATEDIF(O1242, TODAY(), "Y")</f>
        <v>20</v>
      </c>
      <c r="Q1242" s="28" t="s">
        <v>13013</v>
      </c>
      <c r="R1242" s="28" t="s">
        <v>13014</v>
      </c>
      <c r="S1242" s="28">
        <v>13.0</v>
      </c>
      <c r="T1242" s="28">
        <v>30.0</v>
      </c>
      <c r="U1242" s="28">
        <v>70.0</v>
      </c>
      <c r="V1242" s="28">
        <v>9.0</v>
      </c>
      <c r="W1242" s="28" t="s">
        <v>271</v>
      </c>
      <c r="X1242" s="28" t="s">
        <v>272</v>
      </c>
      <c r="Y1242" s="23"/>
      <c r="Z1242" s="28" t="s">
        <v>6876</v>
      </c>
      <c r="AA1242" s="28" t="s">
        <v>6863</v>
      </c>
      <c r="AB1242" s="28">
        <v>9.0</v>
      </c>
      <c r="AC1242" s="28" t="s">
        <v>27</v>
      </c>
      <c r="AD1242" s="23"/>
      <c r="AE1242" s="28" t="s">
        <v>18</v>
      </c>
      <c r="AF1242" s="23"/>
      <c r="AG1242" s="23"/>
      <c r="AH1242" s="23" t="str">
        <f>IFERROR(__xludf.DUMMYFUNCTION("IF(
ISNUMBER(MATCH(
C1242,
IMPORTRANGE(""https://docs.google.com/spreadsheets/d/1yTh1ELC33JHYOeEdgIiEclxPRyh0zOKtlawDltfUay8"",""'Interns'!A:A""),
0
)),
""Outreach Conducted"",
"""")"),"")</f>
        <v/>
      </c>
      <c r="AI1242" s="23"/>
      <c r="AJ1242" s="23"/>
      <c r="AK1242" s="23" t="str">
        <f>IFERROR(__xludf.DUMMYFUNCTION("XLOOKUP(C1242, 
   IMPORTRANGE(""1RdEdgHYrZ33LJ7RUHj_h-qkAFL92bcVjtIdVa-UlsCw"", ""Interns!D:D""), 
   IMPORTRANGE(""1RdEdgHYrZ33LJ7RUHj_h-qkAFL92bcVjtIdVa-UlsCw"", ""Interns!M:M""), 
   ""Not Found"")"),"Contacted")</f>
        <v>Contacted</v>
      </c>
      <c r="AL1242" s="23" t="str">
        <f>IFERROR(__xludf.DUMMYFUNCTION("XLOOKUP(C1242, 
   IMPORTRANGE(""1RdEdgHYrZ33LJ7RUHj_h-qkAFL92bcVjtIdVa-UlsCw"", ""Interns!D:D""), 
   IMPORTRANGE(""1RdEdgHYrZ33LJ7RUHj_h-qkAFL92bcVjtIdVa-UlsCw"", ""Interns!N:N""), 
   ""Not Found"")"),"#Cheers4Careers")</f>
        <v>#Cheers4Careers</v>
      </c>
      <c r="AM1242" s="23" t="str">
        <f>IFERROR(__xludf.DUMMYFUNCTION("XLOOKUP(C1242, 
   IMPORTRANGE(""1RdEdgHYrZ33LJ7RUHj_h-qkAFL92bcVjtIdVa-UlsCw"", ""Interns!D:D""), 
   IMPORTRANGE(""1RdEdgHYrZ33LJ7RUHj_h-qkAFL92bcVjtIdVa-UlsCw"", ""Interns!O:O""), 
   ""Not Found"")"),"Hetal reached out March 27 for March #Cheers4 Careers")</f>
        <v>Hetal reached out March 27 for March #Cheers4 Careers</v>
      </c>
      <c r="AN1242" s="23"/>
      <c r="AO1242" s="23"/>
      <c r="AP1242" s="28" t="s">
        <v>9686</v>
      </c>
      <c r="AQ1242" s="28" t="s">
        <v>13015</v>
      </c>
      <c r="AR1242" s="23">
        <v>2.12694602E9</v>
      </c>
      <c r="AS1242" s="23"/>
      <c r="AT1242" s="23"/>
      <c r="AU1242" s="23"/>
      <c r="AV1242" s="23"/>
    </row>
    <row r="1243">
      <c r="A1243" s="28" t="s">
        <v>5161</v>
      </c>
      <c r="B1243" s="28" t="s">
        <v>5162</v>
      </c>
      <c r="C1243" s="23" t="str">
        <f t="shared" si="1"/>
        <v>Rafael Cordero</v>
      </c>
      <c r="D1243" s="22" t="s">
        <v>12955</v>
      </c>
      <c r="E1243" s="22" t="s">
        <v>13016</v>
      </c>
      <c r="F1243" s="23"/>
      <c r="G1243" s="23"/>
      <c r="H1243" s="22">
        <v>2047.0</v>
      </c>
      <c r="I1243" s="28"/>
      <c r="J1243" s="28" t="s">
        <v>6002</v>
      </c>
      <c r="K1243" s="28" t="s">
        <v>5463</v>
      </c>
      <c r="L1243" s="28" t="s">
        <v>5165</v>
      </c>
      <c r="M1243" s="29" t="s">
        <v>13017</v>
      </c>
      <c r="N1243" s="61">
        <v>45384.41805555556</v>
      </c>
      <c r="O1243" s="25">
        <v>39668.0</v>
      </c>
      <c r="P1243" s="28">
        <f t="shared" si="37"/>
        <v>17</v>
      </c>
      <c r="Q1243" s="62" t="s">
        <v>240</v>
      </c>
      <c r="R1243" s="22" t="s">
        <v>13018</v>
      </c>
      <c r="S1243" s="28">
        <v>13.0</v>
      </c>
      <c r="T1243" s="28">
        <v>30.0</v>
      </c>
      <c r="U1243" s="28">
        <v>70.0</v>
      </c>
      <c r="V1243" s="28">
        <v>9.0</v>
      </c>
      <c r="W1243" s="28" t="s">
        <v>271</v>
      </c>
      <c r="X1243" s="28" t="s">
        <v>272</v>
      </c>
      <c r="Y1243" s="64"/>
      <c r="Z1243" s="22" t="s">
        <v>13003</v>
      </c>
      <c r="AA1243" s="28" t="s">
        <v>6863</v>
      </c>
      <c r="AB1243" s="28">
        <v>9.0</v>
      </c>
      <c r="AC1243" s="28" t="s">
        <v>27</v>
      </c>
      <c r="AD1243" s="23"/>
      <c r="AE1243" s="28" t="s">
        <v>18</v>
      </c>
      <c r="AF1243" s="23"/>
      <c r="AG1243" s="23"/>
      <c r="AH1243" s="23" t="str">
        <f>IFERROR(__xludf.DUMMYFUNCTION("IF(
ISNUMBER(MATCH(
C1243,
IMPORTRANGE(""https://docs.google.com/spreadsheets/d/1yTh1ELC33JHYOeEdgIiEclxPRyh0zOKtlawDltfUay8"",""'Interns'!A:A""),
0
)),
""Outreach Conducted"",
"""")"),"")</f>
        <v/>
      </c>
      <c r="AI1243" s="23"/>
      <c r="AJ1243" s="23"/>
      <c r="AK1243" s="23" t="str">
        <f>IFERROR(__xludf.DUMMYFUNCTION("XLOOKUP(C1243, 
   IMPORTRANGE(""1RdEdgHYrZ33LJ7RUHj_h-qkAFL92bcVjtIdVa-UlsCw"", ""Interns!D:D""), 
   IMPORTRANGE(""1RdEdgHYrZ33LJ7RUHj_h-qkAFL92bcVjtIdVa-UlsCw"", ""Interns!M:M""), 
   ""Not Found"")"),"Not Found")</f>
        <v>Not Found</v>
      </c>
      <c r="AL1243" s="23" t="str">
        <f>IFERROR(__xludf.DUMMYFUNCTION("XLOOKUP(C1243, 
   IMPORTRANGE(""1RdEdgHYrZ33LJ7RUHj_h-qkAFL92bcVjtIdVa-UlsCw"", ""Interns!D:D""), 
   IMPORTRANGE(""1RdEdgHYrZ33LJ7RUHj_h-qkAFL92bcVjtIdVa-UlsCw"", ""Interns!N:N""), 
   ""Not Found"")"),"Not Found")</f>
        <v>Not Found</v>
      </c>
      <c r="AM1243" s="23" t="str">
        <f>IFERROR(__xludf.DUMMYFUNCTION("XLOOKUP(C1243, 
   IMPORTRANGE(""1RdEdgHYrZ33LJ7RUHj_h-qkAFL92bcVjtIdVa-UlsCw"", ""Interns!D:D""), 
   IMPORTRANGE(""1RdEdgHYrZ33LJ7RUHj_h-qkAFL92bcVjtIdVa-UlsCw"", ""Interns!O:O""), 
   ""Not Found"")"),"Not Found")</f>
        <v>Not Found</v>
      </c>
      <c r="AN1243" s="23"/>
      <c r="AO1243" s="23" t="s">
        <v>9685</v>
      </c>
      <c r="AP1243" s="28" t="s">
        <v>11776</v>
      </c>
      <c r="AQ1243" s="28" t="s">
        <v>9687</v>
      </c>
      <c r="AR1243" s="23">
        <v>2.12694602E9</v>
      </c>
      <c r="AS1243" s="23"/>
      <c r="AT1243" s="23"/>
      <c r="AU1243" s="23"/>
      <c r="AV1243" s="23"/>
    </row>
    <row r="1244">
      <c r="A1244" s="28" t="s">
        <v>5161</v>
      </c>
      <c r="B1244" s="28" t="s">
        <v>5162</v>
      </c>
      <c r="C1244" s="23" t="str">
        <f t="shared" si="1"/>
        <v>Ehileem Sanchez</v>
      </c>
      <c r="D1244" s="28" t="s">
        <v>13019</v>
      </c>
      <c r="E1244" s="28" t="s">
        <v>6853</v>
      </c>
      <c r="F1244" s="23" t="str">
        <f t="array" ref="F1244">IFERROR(
    INDEX('Hub Interns 226'!A:A, MATCH(C1244, 'Hub Interns 226'!B:B, 0)),"")</f>
        <v/>
      </c>
      <c r="G1244" s="23">
        <f t="array" ref="G1244">IFERROR(
    INDEX('Hub Users 226'!A:A, MATCH(C1244, 'Hub Users 226'!B:B, 0)),"")</f>
        <v>2004</v>
      </c>
      <c r="H1244" s="28">
        <v>1831.0</v>
      </c>
      <c r="I1244" s="28" t="s">
        <v>1963</v>
      </c>
      <c r="J1244" s="28" t="s">
        <v>6002</v>
      </c>
      <c r="K1244" s="28" t="s">
        <v>5463</v>
      </c>
      <c r="L1244" s="28" t="s">
        <v>5196</v>
      </c>
      <c r="M1244" s="56" t="s">
        <v>13020</v>
      </c>
      <c r="N1244" s="57">
        <v>45482.93819444445</v>
      </c>
      <c r="O1244" s="58">
        <v>39912.0</v>
      </c>
      <c r="P1244" s="28">
        <f t="shared" si="37"/>
        <v>17</v>
      </c>
      <c r="Q1244" s="28" t="s">
        <v>13021</v>
      </c>
      <c r="R1244" s="28" t="s">
        <v>12072</v>
      </c>
      <c r="S1244" s="28">
        <v>13.0</v>
      </c>
      <c r="T1244" s="28">
        <v>30.0</v>
      </c>
      <c r="U1244" s="28">
        <v>70.0</v>
      </c>
      <c r="V1244" s="28">
        <v>9.0</v>
      </c>
      <c r="W1244" s="28" t="s">
        <v>271</v>
      </c>
      <c r="X1244" s="28" t="s">
        <v>272</v>
      </c>
      <c r="Y1244" s="28">
        <v>1.9296852784E10</v>
      </c>
      <c r="Z1244" s="28" t="s">
        <v>6876</v>
      </c>
      <c r="AA1244" s="28" t="s">
        <v>6863</v>
      </c>
      <c r="AB1244" s="28">
        <v>9.0</v>
      </c>
      <c r="AC1244" s="28" t="s">
        <v>27</v>
      </c>
      <c r="AD1244" s="23"/>
      <c r="AE1244" s="28" t="s">
        <v>18</v>
      </c>
      <c r="AF1244" s="23"/>
      <c r="AG1244" s="23"/>
      <c r="AH1244" s="23" t="str">
        <f>IFERROR(__xludf.DUMMYFUNCTION("IF(
ISNUMBER(MATCH(
C1244,
IMPORTRANGE(""https://docs.google.com/spreadsheets/d/1yTh1ELC33JHYOeEdgIiEclxPRyh0zOKtlawDltfUay8"",""'Interns'!A:A""),
0
)),
""Outreach Conducted"",
"""")"),"")</f>
        <v/>
      </c>
      <c r="AI1244" s="23"/>
      <c r="AJ1244" s="23"/>
      <c r="AK1244" s="23" t="str">
        <f>IFERROR(__xludf.DUMMYFUNCTION("XLOOKUP(C1244, 
   IMPORTRANGE(""1RdEdgHYrZ33LJ7RUHj_h-qkAFL92bcVjtIdVa-UlsCw"", ""Interns!D:D""), 
   IMPORTRANGE(""1RdEdgHYrZ33LJ7RUHj_h-qkAFL92bcVjtIdVa-UlsCw"", ""Interns!M:M""), 
   ""Not Found"")"),"Contacted")</f>
        <v>Contacted</v>
      </c>
      <c r="AL1244" s="23" t="str">
        <f>IFERROR(__xludf.DUMMYFUNCTION("XLOOKUP(C1244, 
   IMPORTRANGE(""1RdEdgHYrZ33LJ7RUHj_h-qkAFL92bcVjtIdVa-UlsCw"", ""Interns!D:D""), 
   IMPORTRANGE(""1RdEdgHYrZ33LJ7RUHj_h-qkAFL92bcVjtIdVa-UlsCw"", ""Interns!N:N""), 
   ""Not Found"")"),"#Cheers4Careers")</f>
        <v>#Cheers4Careers</v>
      </c>
      <c r="AM1244" s="23" t="str">
        <f>IFERROR(__xludf.DUMMYFUNCTION("XLOOKUP(C1244, 
   IMPORTRANGE(""1RdEdgHYrZ33LJ7RUHj_h-qkAFL92bcVjtIdVa-UlsCw"", ""Interns!D:D""), 
   IMPORTRANGE(""1RdEdgHYrZ33LJ7RUHj_h-qkAFL92bcVjtIdVa-UlsCw"", ""Interns!O:O""), 
   ""Not Found"")"),"Hetal reached out March 27 for March #Cheers4 Careers")</f>
        <v>Hetal reached out March 27 for March #Cheers4 Careers</v>
      </c>
      <c r="AN1244" s="23"/>
      <c r="AO1244" s="23" t="s">
        <v>13022</v>
      </c>
      <c r="AP1244" s="28" t="s">
        <v>9686</v>
      </c>
      <c r="AQ1244" s="28" t="s">
        <v>13023</v>
      </c>
      <c r="AR1244" s="23">
        <v>2.12694602E9</v>
      </c>
      <c r="AS1244" s="23"/>
      <c r="AT1244" s="23"/>
      <c r="AU1244" s="23"/>
      <c r="AV1244" s="23"/>
    </row>
    <row r="1245">
      <c r="A1245" s="28" t="s">
        <v>5202</v>
      </c>
      <c r="B1245" s="28" t="s">
        <v>5162</v>
      </c>
      <c r="C1245" s="23" t="str">
        <f t="shared" si="1"/>
        <v>rashani Rodriguez</v>
      </c>
      <c r="D1245" s="28" t="s">
        <v>13024</v>
      </c>
      <c r="E1245" s="28" t="s">
        <v>536</v>
      </c>
      <c r="F1245" s="23">
        <f t="array" ref="F1245">IFERROR(
    INDEX('Hub Interns 226'!A:A, MATCH(C1245, 'Hub Interns 226'!B:B, 0)),"")</f>
        <v>1004</v>
      </c>
      <c r="G1245" s="23">
        <f t="array" ref="G1245">IFERROR(
    INDEX('Hub Users 226'!A:A, MATCH(C1245, 'Hub Users 226'!B:B, 0)),"")</f>
        <v>1437</v>
      </c>
      <c r="H1245" s="28">
        <v>966.0</v>
      </c>
      <c r="I1245" s="28" t="s">
        <v>239</v>
      </c>
      <c r="J1245" s="28" t="s">
        <v>12187</v>
      </c>
      <c r="K1245" s="28" t="s">
        <v>5177</v>
      </c>
      <c r="L1245" s="28" t="s">
        <v>5196</v>
      </c>
      <c r="M1245" s="56" t="s">
        <v>13025</v>
      </c>
      <c r="N1245" s="57">
        <v>44628.563888888886</v>
      </c>
      <c r="O1245" s="58">
        <v>37809.0</v>
      </c>
      <c r="P1245" s="28">
        <f t="shared" si="37"/>
        <v>22</v>
      </c>
      <c r="Q1245" s="28" t="s">
        <v>240</v>
      </c>
      <c r="R1245" s="28" t="s">
        <v>13026</v>
      </c>
      <c r="S1245" s="28">
        <v>8.0</v>
      </c>
      <c r="T1245" s="28">
        <v>19.0</v>
      </c>
      <c r="U1245" s="28">
        <v>60.0</v>
      </c>
      <c r="V1245" s="28">
        <v>42.0</v>
      </c>
      <c r="W1245" s="28" t="s">
        <v>294</v>
      </c>
      <c r="X1245" s="28" t="s">
        <v>272</v>
      </c>
      <c r="Y1245" s="28" t="s">
        <v>13027</v>
      </c>
      <c r="Z1245" s="28" t="s">
        <v>5589</v>
      </c>
      <c r="AA1245" s="28" t="s">
        <v>5590</v>
      </c>
      <c r="AB1245" s="28">
        <v>35.0</v>
      </c>
      <c r="AC1245" s="28" t="s">
        <v>24</v>
      </c>
      <c r="AD1245" s="23"/>
      <c r="AE1245" s="28" t="s">
        <v>10</v>
      </c>
      <c r="AF1245" s="23"/>
      <c r="AG1245" s="23"/>
      <c r="AH1245" s="23" t="str">
        <f>IFERROR(__xludf.DUMMYFUNCTION("IF(
ISNUMBER(MATCH(
C1245,
IMPORTRANGE(""https://docs.google.com/spreadsheets/d/1yTh1ELC33JHYOeEdgIiEclxPRyh0zOKtlawDltfUay8"",""'Interns'!A:A""),
0
)),
""Outreach Conducted"",
"""")"),"")</f>
        <v/>
      </c>
      <c r="AI1245" s="23"/>
      <c r="AJ1245" s="23"/>
      <c r="AK1245" s="23" t="str">
        <f>IFERROR(__xludf.DUMMYFUNCTION("XLOOKUP(C1245, 
   IMPORTRANGE(""1RdEdgHYrZ33LJ7RUHj_h-qkAFL92bcVjtIdVa-UlsCw"", ""Interns!D:D""), 
   IMPORTRANGE(""1RdEdgHYrZ33LJ7RUHj_h-qkAFL92bcVjtIdVa-UlsCw"", ""Interns!M:M""), 
   ""Not Found"")"),"")</f>
        <v/>
      </c>
      <c r="AL1245" s="23" t="str">
        <f>IFERROR(__xludf.DUMMYFUNCTION("XLOOKUP(C1245, 
   IMPORTRANGE(""1RdEdgHYrZ33LJ7RUHj_h-qkAFL92bcVjtIdVa-UlsCw"", ""Interns!D:D""), 
   IMPORTRANGE(""1RdEdgHYrZ33LJ7RUHj_h-qkAFL92bcVjtIdVa-UlsCw"", ""Interns!N:N""), 
   ""Not Found"")"),"")</f>
        <v/>
      </c>
      <c r="AM1245" s="23" t="str">
        <f>IFERROR(__xludf.DUMMYFUNCTION("XLOOKUP(C1245, 
   IMPORTRANGE(""1RdEdgHYrZ33LJ7RUHj_h-qkAFL92bcVjtIdVa-UlsCw"", ""Interns!D:D""), 
   IMPORTRANGE(""1RdEdgHYrZ33LJ7RUHj_h-qkAFL92bcVjtIdVa-UlsCw"", ""Interns!O:O""), 
   ""Not Found"")"),"")</f>
        <v/>
      </c>
      <c r="AN1245" s="23"/>
      <c r="AO1245" s="23" t="s">
        <v>13028</v>
      </c>
      <c r="AP1245" s="28" t="s">
        <v>5182</v>
      </c>
      <c r="AQ1245" s="28"/>
      <c r="AR1245" s="23"/>
      <c r="AS1245" s="23"/>
      <c r="AT1245" s="23"/>
      <c r="AU1245" s="23"/>
      <c r="AV1245" s="23"/>
    </row>
    <row r="1246">
      <c r="A1246" s="28" t="s">
        <v>5161</v>
      </c>
      <c r="B1246" s="28" t="s">
        <v>5162</v>
      </c>
      <c r="C1246" s="23" t="str">
        <f t="shared" si="1"/>
        <v>Fanny Belisario</v>
      </c>
      <c r="D1246" s="28" t="s">
        <v>9294</v>
      </c>
      <c r="E1246" s="28" t="s">
        <v>13029</v>
      </c>
      <c r="F1246" s="23">
        <f t="array" ref="F1246">IFERROR(
    INDEX('Hub Interns 226'!A:A, MATCH(C1246, 'Hub Interns 226'!B:B, 0)),"")</f>
        <v>1400</v>
      </c>
      <c r="G1246" s="23">
        <f t="array" ref="G1246">IFERROR(
    INDEX('Hub Users 226'!A:A, MATCH(C1246, 'Hub Users 226'!B:B, 0)),"")</f>
        <v>1958</v>
      </c>
      <c r="H1246" s="28">
        <v>1807.0</v>
      </c>
      <c r="I1246" s="28"/>
      <c r="J1246" s="28" t="s">
        <v>6002</v>
      </c>
      <c r="K1246" s="28" t="s">
        <v>5463</v>
      </c>
      <c r="L1246" s="28" t="s">
        <v>5196</v>
      </c>
      <c r="M1246" s="56" t="s">
        <v>13030</v>
      </c>
      <c r="N1246" s="57">
        <v>45379.677083333336</v>
      </c>
      <c r="O1246" s="58">
        <v>39428.0</v>
      </c>
      <c r="P1246" s="28">
        <f t="shared" si="37"/>
        <v>18</v>
      </c>
      <c r="Q1246" s="28" t="s">
        <v>240</v>
      </c>
      <c r="R1246" s="28" t="s">
        <v>10458</v>
      </c>
      <c r="S1246" s="28">
        <v>13.0</v>
      </c>
      <c r="T1246" s="28">
        <v>30.0</v>
      </c>
      <c r="U1246" s="28">
        <v>70.0</v>
      </c>
      <c r="V1246" s="28">
        <v>9.0</v>
      </c>
      <c r="W1246" s="28" t="s">
        <v>271</v>
      </c>
      <c r="X1246" s="28" t="s">
        <v>272</v>
      </c>
      <c r="Y1246" s="23"/>
      <c r="Z1246" s="28" t="s">
        <v>6876</v>
      </c>
      <c r="AA1246" s="28" t="s">
        <v>6863</v>
      </c>
      <c r="AB1246" s="28">
        <v>9.0</v>
      </c>
      <c r="AC1246" s="28" t="s">
        <v>27</v>
      </c>
      <c r="AD1246" s="23"/>
      <c r="AE1246" s="28" t="s">
        <v>18</v>
      </c>
      <c r="AF1246" s="23"/>
      <c r="AG1246" s="23"/>
      <c r="AH1246" s="23" t="str">
        <f>IFERROR(__xludf.DUMMYFUNCTION("IF(
ISNUMBER(MATCH(
C1246,
IMPORTRANGE(""https://docs.google.com/spreadsheets/d/1yTh1ELC33JHYOeEdgIiEclxPRyh0zOKtlawDltfUay8"",""'Interns'!A:A""),
0
)),
""Outreach Conducted"",
"""")"),"")</f>
        <v/>
      </c>
      <c r="AI1246" s="23"/>
      <c r="AJ1246" s="23"/>
      <c r="AK1246" s="23" t="str">
        <f>IFERROR(__xludf.DUMMYFUNCTION("XLOOKUP(C1246, 
   IMPORTRANGE(""1RdEdgHYrZ33LJ7RUHj_h-qkAFL92bcVjtIdVa-UlsCw"", ""Interns!D:D""), 
   IMPORTRANGE(""1RdEdgHYrZ33LJ7RUHj_h-qkAFL92bcVjtIdVa-UlsCw"", ""Interns!M:M""), 
   ""Not Found"")"),"Contacted")</f>
        <v>Contacted</v>
      </c>
      <c r="AL1246" s="23" t="str">
        <f>IFERROR(__xludf.DUMMYFUNCTION("XLOOKUP(C1246, 
   IMPORTRANGE(""1RdEdgHYrZ33LJ7RUHj_h-qkAFL92bcVjtIdVa-UlsCw"", ""Interns!D:D""), 
   IMPORTRANGE(""1RdEdgHYrZ33LJ7RUHj_h-qkAFL92bcVjtIdVa-UlsCw"", ""Interns!N:N""), 
   ""Not Found"")"),"#Cheers4Careers")</f>
        <v>#Cheers4Careers</v>
      </c>
      <c r="AM1246" s="23" t="str">
        <f>IFERROR(__xludf.DUMMYFUNCTION("XLOOKUP(C1246, 
   IMPORTRANGE(""1RdEdgHYrZ33LJ7RUHj_h-qkAFL92bcVjtIdVa-UlsCw"", ""Interns!D:D""), 
   IMPORTRANGE(""1RdEdgHYrZ33LJ7RUHj_h-qkAFL92bcVjtIdVa-UlsCw"", ""Interns!O:O""), 
   ""Not Found"")"),"Hetal reached out March 27 for March #Cheers4 Careers")</f>
        <v>Hetal reached out March 27 for March #Cheers4 Careers</v>
      </c>
      <c r="AN1246" s="23"/>
      <c r="AO1246" s="23" t="s">
        <v>13031</v>
      </c>
      <c r="AP1246" s="28" t="s">
        <v>13032</v>
      </c>
      <c r="AQ1246" s="28" t="s">
        <v>13033</v>
      </c>
      <c r="AR1246" s="23">
        <v>2.12694602E9</v>
      </c>
      <c r="AS1246" s="23"/>
      <c r="AT1246" s="23"/>
      <c r="AU1246" s="23"/>
      <c r="AV1246" s="23"/>
    </row>
    <row r="1247">
      <c r="A1247" s="28" t="s">
        <v>5161</v>
      </c>
      <c r="B1247" s="28" t="s">
        <v>5162</v>
      </c>
      <c r="C1247" s="23" t="str">
        <f t="shared" si="1"/>
        <v>Keiverson Oliveros</v>
      </c>
      <c r="D1247" s="28" t="s">
        <v>13034</v>
      </c>
      <c r="E1247" s="28" t="s">
        <v>13035</v>
      </c>
      <c r="F1247" s="23">
        <f t="array" ref="F1247">IFERROR(
    INDEX('Hub Interns 226'!A:A, MATCH(C1247, 'Hub Interns 226'!B:B, 0)),"")</f>
        <v>1410</v>
      </c>
      <c r="G1247" s="23">
        <f t="array" ref="G1247">IFERROR(
    INDEX('Hub Users 226'!A:A, MATCH(C1247, 'Hub Users 226'!B:B, 0)),"")</f>
        <v>1968</v>
      </c>
      <c r="H1247" s="28">
        <v>1812.0</v>
      </c>
      <c r="I1247" s="28"/>
      <c r="J1247" s="28" t="s">
        <v>6002</v>
      </c>
      <c r="K1247" s="28" t="s">
        <v>5463</v>
      </c>
      <c r="L1247" s="28" t="s">
        <v>5165</v>
      </c>
      <c r="M1247" s="56" t="s">
        <v>13036</v>
      </c>
      <c r="N1247" s="57">
        <v>45386.572916666664</v>
      </c>
      <c r="O1247" s="58">
        <v>39175.0</v>
      </c>
      <c r="P1247" s="28">
        <f t="shared" si="37"/>
        <v>19</v>
      </c>
      <c r="Q1247" s="28" t="s">
        <v>240</v>
      </c>
      <c r="R1247" s="28" t="s">
        <v>13037</v>
      </c>
      <c r="S1247" s="28">
        <v>13.0</v>
      </c>
      <c r="T1247" s="28">
        <v>30.0</v>
      </c>
      <c r="U1247" s="28">
        <v>70.0</v>
      </c>
      <c r="V1247" s="28">
        <v>9.0</v>
      </c>
      <c r="W1247" s="28" t="s">
        <v>271</v>
      </c>
      <c r="X1247" s="28" t="s">
        <v>272</v>
      </c>
      <c r="Y1247" s="28">
        <v>9.145014161E9</v>
      </c>
      <c r="Z1247" s="28" t="s">
        <v>6876</v>
      </c>
      <c r="AA1247" s="28" t="s">
        <v>6863</v>
      </c>
      <c r="AB1247" s="28">
        <v>9.0</v>
      </c>
      <c r="AC1247" s="28" t="s">
        <v>27</v>
      </c>
      <c r="AD1247" s="23"/>
      <c r="AE1247" s="28" t="s">
        <v>18</v>
      </c>
      <c r="AF1247" s="23"/>
      <c r="AG1247" s="23"/>
      <c r="AH1247" s="23" t="str">
        <f>IFERROR(__xludf.DUMMYFUNCTION("IF(
ISNUMBER(MATCH(
C1247,
IMPORTRANGE(""https://docs.google.com/spreadsheets/d/1yTh1ELC33JHYOeEdgIiEclxPRyh0zOKtlawDltfUay8"",""'Interns'!A:A""),
0
)),
""Outreach Conducted"",
"""")"),"")</f>
        <v/>
      </c>
      <c r="AI1247" s="23"/>
      <c r="AJ1247" s="23"/>
      <c r="AK1247" s="23" t="str">
        <f>IFERROR(__xludf.DUMMYFUNCTION("XLOOKUP(C1247, 
   IMPORTRANGE(""1RdEdgHYrZ33LJ7RUHj_h-qkAFL92bcVjtIdVa-UlsCw"", ""Interns!D:D""), 
   IMPORTRANGE(""1RdEdgHYrZ33LJ7RUHj_h-qkAFL92bcVjtIdVa-UlsCw"", ""Interns!M:M""), 
   ""Not Found"")"),"Contacted")</f>
        <v>Contacted</v>
      </c>
      <c r="AL1247" s="23" t="str">
        <f>IFERROR(__xludf.DUMMYFUNCTION("XLOOKUP(C1247, 
   IMPORTRANGE(""1RdEdgHYrZ33LJ7RUHj_h-qkAFL92bcVjtIdVa-UlsCw"", ""Interns!D:D""), 
   IMPORTRANGE(""1RdEdgHYrZ33LJ7RUHj_h-qkAFL92bcVjtIdVa-UlsCw"", ""Interns!N:N""), 
   ""Not Found"")"),"#Cheers4Careers")</f>
        <v>#Cheers4Careers</v>
      </c>
      <c r="AM1247" s="23" t="str">
        <f>IFERROR(__xludf.DUMMYFUNCTION("XLOOKUP(C1247, 
   IMPORTRANGE(""1RdEdgHYrZ33LJ7RUHj_h-qkAFL92bcVjtIdVa-UlsCw"", ""Interns!D:D""), 
   IMPORTRANGE(""1RdEdgHYrZ33LJ7RUHj_h-qkAFL92bcVjtIdVa-UlsCw"", ""Interns!O:O""), 
   ""Not Found"")"),"Hetal reached out March 27 for March #Cheers4 Careers")</f>
        <v>Hetal reached out March 27 for March #Cheers4 Careers</v>
      </c>
      <c r="AN1247" s="23"/>
      <c r="AO1247" s="23" t="s">
        <v>6877</v>
      </c>
      <c r="AP1247" s="28" t="s">
        <v>13038</v>
      </c>
      <c r="AQ1247" s="28" t="s">
        <v>13039</v>
      </c>
      <c r="AR1247" s="23">
        <v>2.12694602E9</v>
      </c>
      <c r="AS1247" s="23"/>
      <c r="AT1247" s="23"/>
      <c r="AU1247" s="23"/>
      <c r="AV1247" s="23"/>
    </row>
    <row r="1248">
      <c r="A1248" s="28"/>
      <c r="B1248" s="28" t="s">
        <v>5162</v>
      </c>
      <c r="C1248" s="23" t="str">
        <f t="shared" si="1"/>
        <v>Ricardo Stiven Puluche Vega</v>
      </c>
      <c r="D1248" s="22" t="s">
        <v>13040</v>
      </c>
      <c r="E1248" s="22" t="s">
        <v>13041</v>
      </c>
      <c r="F1248" s="23"/>
      <c r="G1248" s="23"/>
      <c r="H1248" s="22">
        <v>2045.0</v>
      </c>
      <c r="I1248" s="28"/>
      <c r="J1248" s="28" t="s">
        <v>12199</v>
      </c>
      <c r="K1248" s="28" t="s">
        <v>5463</v>
      </c>
      <c r="L1248" s="28" t="s">
        <v>5165</v>
      </c>
      <c r="M1248" s="29" t="s">
        <v>13042</v>
      </c>
      <c r="N1248" s="61">
        <v>45395.43819444445</v>
      </c>
      <c r="O1248" s="25">
        <v>40291.0</v>
      </c>
      <c r="P1248" s="28">
        <f t="shared" si="37"/>
        <v>16</v>
      </c>
      <c r="Q1248" s="62" t="s">
        <v>13043</v>
      </c>
      <c r="R1248" s="22" t="s">
        <v>13044</v>
      </c>
      <c r="S1248" s="28">
        <v>12.0</v>
      </c>
      <c r="T1248" s="28">
        <v>28.0</v>
      </c>
      <c r="U1248" s="28">
        <v>75.0</v>
      </c>
      <c r="V1248" s="28">
        <v>3.0</v>
      </c>
      <c r="W1248" s="28"/>
      <c r="X1248" s="28"/>
      <c r="Y1248" s="22">
        <v>7.863654523E9</v>
      </c>
      <c r="Z1248" s="22" t="s">
        <v>13045</v>
      </c>
      <c r="AA1248" s="28"/>
      <c r="AB1248" s="23"/>
      <c r="AC1248" s="28"/>
      <c r="AD1248" s="23"/>
      <c r="AE1248" s="28" t="s">
        <v>18</v>
      </c>
      <c r="AF1248" s="23"/>
      <c r="AG1248" s="23"/>
      <c r="AH1248" s="23" t="str">
        <f>IFERROR(__xludf.DUMMYFUNCTION("IF(
ISNUMBER(MATCH(
C1248,
IMPORTRANGE(""https://docs.google.com/spreadsheets/d/1yTh1ELC33JHYOeEdgIiEclxPRyh0zOKtlawDltfUay8"",""'Interns'!A:A""),
0
)),
""Outreach Conducted"",
"""")"),"")</f>
        <v/>
      </c>
      <c r="AI1248" s="23"/>
      <c r="AJ1248" s="23"/>
      <c r="AK1248" s="23" t="str">
        <f>IFERROR(__xludf.DUMMYFUNCTION("XLOOKUP(C1248, 
   IMPORTRANGE(""1RdEdgHYrZ33LJ7RUHj_h-qkAFL92bcVjtIdVa-UlsCw"", ""Interns!D:D""), 
   IMPORTRANGE(""1RdEdgHYrZ33LJ7RUHj_h-qkAFL92bcVjtIdVa-UlsCw"", ""Interns!M:M""), 
   ""Not Found"")"),"Not Found")</f>
        <v>Not Found</v>
      </c>
      <c r="AL1248" s="23" t="str">
        <f>IFERROR(__xludf.DUMMYFUNCTION("XLOOKUP(C1248, 
   IMPORTRANGE(""1RdEdgHYrZ33LJ7RUHj_h-qkAFL92bcVjtIdVa-UlsCw"", ""Interns!D:D""), 
   IMPORTRANGE(""1RdEdgHYrZ33LJ7RUHj_h-qkAFL92bcVjtIdVa-UlsCw"", ""Interns!N:N""), 
   ""Not Found"")"),"Not Found")</f>
        <v>Not Found</v>
      </c>
      <c r="AM1248" s="23" t="str">
        <f>IFERROR(__xludf.DUMMYFUNCTION("XLOOKUP(C1248, 
   IMPORTRANGE(""1RdEdgHYrZ33LJ7RUHj_h-qkAFL92bcVjtIdVa-UlsCw"", ""Interns!D:D""), 
   IMPORTRANGE(""1RdEdgHYrZ33LJ7RUHj_h-qkAFL92bcVjtIdVa-UlsCw"", ""Interns!O:O""), 
   ""Not Found"")"),"Not Found")</f>
        <v>Not Found</v>
      </c>
      <c r="AN1248" s="23"/>
      <c r="AO1248" s="23" t="s">
        <v>13046</v>
      </c>
      <c r="AP1248" s="28" t="s">
        <v>5182</v>
      </c>
      <c r="AQ1248" s="28" t="s">
        <v>13047</v>
      </c>
      <c r="AR1248" s="23">
        <v>6.462442715E9</v>
      </c>
      <c r="AS1248" s="23"/>
      <c r="AT1248" s="23"/>
      <c r="AU1248" s="23"/>
      <c r="AV1248" s="23"/>
    </row>
    <row r="1249">
      <c r="A1249" s="28" t="s">
        <v>5161</v>
      </c>
      <c r="B1249" s="28" t="s">
        <v>5162</v>
      </c>
      <c r="C1249" s="23" t="str">
        <f t="shared" si="1"/>
        <v>Kelianny Briceno</v>
      </c>
      <c r="D1249" s="28" t="s">
        <v>13048</v>
      </c>
      <c r="E1249" s="28" t="s">
        <v>12908</v>
      </c>
      <c r="F1249" s="23" t="str">
        <f t="array" ref="F1249">IFERROR(
    INDEX('Hub Interns 226'!A:A, MATCH(C1249, 'Hub Interns 226'!B:B, 0)),"")</f>
        <v/>
      </c>
      <c r="G1249" s="23">
        <f t="array" ref="G1249">IFERROR(
    INDEX('Hub Users 226'!A:A, MATCH(C1249, 'Hub Users 226'!B:B, 0)),"")</f>
        <v>1957</v>
      </c>
      <c r="H1249" s="28">
        <v>1805.0</v>
      </c>
      <c r="I1249" s="28"/>
      <c r="J1249" s="28" t="s">
        <v>6002</v>
      </c>
      <c r="K1249" s="28" t="s">
        <v>5463</v>
      </c>
      <c r="L1249" s="28" t="s">
        <v>5196</v>
      </c>
      <c r="M1249" s="56" t="s">
        <v>13049</v>
      </c>
      <c r="N1249" s="57">
        <v>45379.669444444444</v>
      </c>
      <c r="O1249" s="58">
        <v>39537.0</v>
      </c>
      <c r="P1249" s="28">
        <f t="shared" si="37"/>
        <v>18</v>
      </c>
      <c r="Q1249" s="28" t="s">
        <v>13050</v>
      </c>
      <c r="R1249" s="28" t="s">
        <v>13037</v>
      </c>
      <c r="S1249" s="28">
        <v>13.0</v>
      </c>
      <c r="T1249" s="28">
        <v>30.0</v>
      </c>
      <c r="U1249" s="28">
        <v>70.0</v>
      </c>
      <c r="V1249" s="28">
        <v>9.0</v>
      </c>
      <c r="W1249" s="28" t="s">
        <v>271</v>
      </c>
      <c r="X1249" s="28" t="s">
        <v>272</v>
      </c>
      <c r="Y1249" s="23"/>
      <c r="Z1249" s="28" t="s">
        <v>6876</v>
      </c>
      <c r="AA1249" s="28" t="s">
        <v>6863</v>
      </c>
      <c r="AB1249" s="28">
        <v>9.0</v>
      </c>
      <c r="AC1249" s="28" t="s">
        <v>27</v>
      </c>
      <c r="AD1249" s="28" t="s">
        <v>101</v>
      </c>
      <c r="AE1249" s="28" t="s">
        <v>18</v>
      </c>
      <c r="AF1249" s="23"/>
      <c r="AG1249" s="23"/>
      <c r="AH1249" s="23" t="str">
        <f>IFERROR(__xludf.DUMMYFUNCTION("IF(
ISNUMBER(MATCH(
C1249,
IMPORTRANGE(""https://docs.google.com/spreadsheets/d/1yTh1ELC33JHYOeEdgIiEclxPRyh0zOKtlawDltfUay8"",""'Interns'!A:A""),
0
)),
""Outreach Conducted"",
"""")"),"")</f>
        <v/>
      </c>
      <c r="AI1249" s="23"/>
      <c r="AJ1249" s="23"/>
      <c r="AK1249" s="23" t="str">
        <f>IFERROR(__xludf.DUMMYFUNCTION("XLOOKUP(C1249, 
   IMPORTRANGE(""1RdEdgHYrZ33LJ7RUHj_h-qkAFL92bcVjtIdVa-UlsCw"", ""Interns!D:D""), 
   IMPORTRANGE(""1RdEdgHYrZ33LJ7RUHj_h-qkAFL92bcVjtIdVa-UlsCw"", ""Interns!M:M""), 
   ""Not Found"")"),"Contacted")</f>
        <v>Contacted</v>
      </c>
      <c r="AL1249" s="23" t="str">
        <f>IFERROR(__xludf.DUMMYFUNCTION("XLOOKUP(C1249, 
   IMPORTRANGE(""1RdEdgHYrZ33LJ7RUHj_h-qkAFL92bcVjtIdVa-UlsCw"", ""Interns!D:D""), 
   IMPORTRANGE(""1RdEdgHYrZ33LJ7RUHj_h-qkAFL92bcVjtIdVa-UlsCw"", ""Interns!N:N""), 
   ""Not Found"")"),"#Cheers4Careers")</f>
        <v>#Cheers4Careers</v>
      </c>
      <c r="AM1249" s="23" t="str">
        <f>IFERROR(__xludf.DUMMYFUNCTION("XLOOKUP(C1249, 
   IMPORTRANGE(""1RdEdgHYrZ33LJ7RUHj_h-qkAFL92bcVjtIdVa-UlsCw"", ""Interns!D:D""), 
   IMPORTRANGE(""1RdEdgHYrZ33LJ7RUHj_h-qkAFL92bcVjtIdVa-UlsCw"", ""Interns!O:O""), 
   ""Not Found"")"),"Hetal reached out March 27 for March #Cheers4 Careers")</f>
        <v>Hetal reached out March 27 for March #Cheers4 Careers</v>
      </c>
      <c r="AN1249" s="23"/>
      <c r="AO1249" s="23" t="s">
        <v>9685</v>
      </c>
      <c r="AP1249" s="28" t="s">
        <v>9686</v>
      </c>
      <c r="AQ1249" s="28" t="s">
        <v>9687</v>
      </c>
      <c r="AR1249" s="23">
        <v>2.12694602E9</v>
      </c>
      <c r="AS1249" s="23"/>
      <c r="AT1249" s="23"/>
      <c r="AU1249" s="23"/>
      <c r="AV1249" s="23"/>
    </row>
    <row r="1250">
      <c r="A1250" s="28" t="s">
        <v>5161</v>
      </c>
      <c r="B1250" s="28" t="s">
        <v>5162</v>
      </c>
      <c r="C1250" s="23" t="str">
        <f t="shared" si="1"/>
        <v>Kevin Marquez</v>
      </c>
      <c r="D1250" s="28" t="s">
        <v>3690</v>
      </c>
      <c r="E1250" s="28" t="s">
        <v>9427</v>
      </c>
      <c r="F1250" s="23" t="str">
        <f t="array" ref="F1250">IFERROR(
    INDEX('Hub Interns 226'!A:A, MATCH(C1250, 'Hub Interns 226'!B:B, 0)),"")</f>
        <v/>
      </c>
      <c r="G1250" s="23">
        <f t="array" ref="G1250">IFERROR(
    INDEX('Hub Users 226'!A:A, MATCH(C1250, 'Hub Users 226'!B:B, 0)),"")</f>
        <v>1966</v>
      </c>
      <c r="H1250" s="28">
        <v>1814.0</v>
      </c>
      <c r="I1250" s="28"/>
      <c r="J1250" s="28" t="s">
        <v>6002</v>
      </c>
      <c r="K1250" s="28" t="s">
        <v>5463</v>
      </c>
      <c r="L1250" s="28" t="s">
        <v>5165</v>
      </c>
      <c r="M1250" s="56" t="s">
        <v>13051</v>
      </c>
      <c r="N1250" s="57">
        <v>45386.58819444444</v>
      </c>
      <c r="O1250" s="58">
        <v>45384.0</v>
      </c>
      <c r="P1250" s="28">
        <f t="shared" si="37"/>
        <v>2</v>
      </c>
      <c r="Q1250" s="28" t="s">
        <v>13052</v>
      </c>
      <c r="R1250" s="28" t="s">
        <v>13037</v>
      </c>
      <c r="S1250" s="28">
        <v>13.0</v>
      </c>
      <c r="T1250" s="28">
        <v>30.0</v>
      </c>
      <c r="U1250" s="28">
        <v>70.0</v>
      </c>
      <c r="V1250" s="28">
        <v>9.0</v>
      </c>
      <c r="W1250" s="28" t="s">
        <v>271</v>
      </c>
      <c r="X1250" s="28" t="s">
        <v>272</v>
      </c>
      <c r="Y1250" s="23"/>
      <c r="Z1250" s="28" t="s">
        <v>6876</v>
      </c>
      <c r="AA1250" s="28" t="s">
        <v>6863</v>
      </c>
      <c r="AB1250" s="28">
        <v>9.0</v>
      </c>
      <c r="AC1250" s="28" t="s">
        <v>27</v>
      </c>
      <c r="AD1250" s="28" t="s">
        <v>101</v>
      </c>
      <c r="AE1250" s="28" t="s">
        <v>18</v>
      </c>
      <c r="AF1250" s="23"/>
      <c r="AG1250" s="23"/>
      <c r="AH1250" s="23" t="str">
        <f>IFERROR(__xludf.DUMMYFUNCTION("IF(
ISNUMBER(MATCH(
C1250,
IMPORTRANGE(""https://docs.google.com/spreadsheets/d/1yTh1ELC33JHYOeEdgIiEclxPRyh0zOKtlawDltfUay8"",""'Interns'!A:A""),
0
)),
""Outreach Conducted"",
"""")"),"")</f>
        <v/>
      </c>
      <c r="AI1250" s="23"/>
      <c r="AJ1250" s="23"/>
      <c r="AK1250" s="23" t="str">
        <f>IFERROR(__xludf.DUMMYFUNCTION("XLOOKUP(C1250, 
   IMPORTRANGE(""1RdEdgHYrZ33LJ7RUHj_h-qkAFL92bcVjtIdVa-UlsCw"", ""Interns!D:D""), 
   IMPORTRANGE(""1RdEdgHYrZ33LJ7RUHj_h-qkAFL92bcVjtIdVa-UlsCw"", ""Interns!M:M""), 
   ""Not Found"")"),"Contacted")</f>
        <v>Contacted</v>
      </c>
      <c r="AL1250" s="23" t="str">
        <f>IFERROR(__xludf.DUMMYFUNCTION("XLOOKUP(C1250, 
   IMPORTRANGE(""1RdEdgHYrZ33LJ7RUHj_h-qkAFL92bcVjtIdVa-UlsCw"", ""Interns!D:D""), 
   IMPORTRANGE(""1RdEdgHYrZ33LJ7RUHj_h-qkAFL92bcVjtIdVa-UlsCw"", ""Interns!N:N""), 
   ""Not Found"")"),"#Cheers4Careers")</f>
        <v>#Cheers4Careers</v>
      </c>
      <c r="AM1250" s="23" t="str">
        <f>IFERROR(__xludf.DUMMYFUNCTION("XLOOKUP(C1250, 
   IMPORTRANGE(""1RdEdgHYrZ33LJ7RUHj_h-qkAFL92bcVjtIdVa-UlsCw"", ""Interns!D:D""), 
   IMPORTRANGE(""1RdEdgHYrZ33LJ7RUHj_h-qkAFL92bcVjtIdVa-UlsCw"", ""Interns!O:O""), 
   ""Not Found"")"),"Hetal reached out March 27 for March #Cheers4 Careers")</f>
        <v>Hetal reached out March 27 for March #Cheers4 Careers</v>
      </c>
      <c r="AN1250" s="23"/>
      <c r="AO1250" s="23" t="s">
        <v>13022</v>
      </c>
      <c r="AP1250" s="28" t="s">
        <v>9686</v>
      </c>
      <c r="AQ1250" s="28" t="s">
        <v>9687</v>
      </c>
      <c r="AR1250" s="23">
        <v>2.12694602E9</v>
      </c>
      <c r="AS1250" s="23"/>
      <c r="AT1250" s="23"/>
      <c r="AU1250" s="23"/>
      <c r="AV1250" s="23"/>
    </row>
    <row r="1251">
      <c r="A1251" s="28" t="s">
        <v>5161</v>
      </c>
      <c r="B1251" s="28" t="s">
        <v>5162</v>
      </c>
      <c r="C1251" s="23" t="str">
        <f t="shared" si="1"/>
        <v>Ronny Jeuff</v>
      </c>
      <c r="D1251" s="28" t="s">
        <v>13053</v>
      </c>
      <c r="E1251" s="28" t="s">
        <v>13054</v>
      </c>
      <c r="F1251" s="23" t="str">
        <f t="array" ref="F1251">IFERROR(
    INDEX('Hub Interns 226'!A:A, MATCH(C1251, 'Hub Interns 226'!B:B, 0)),"")</f>
        <v/>
      </c>
      <c r="G1251" s="23">
        <f t="array" ref="G1251">IFERROR(
    INDEX('Hub Users 226'!A:A, MATCH(C1251, 'Hub Users 226'!B:B, 0)),"")</f>
        <v>1954</v>
      </c>
      <c r="H1251" s="28">
        <v>1804.0</v>
      </c>
      <c r="I1251" s="28"/>
      <c r="J1251" s="28" t="s">
        <v>6002</v>
      </c>
      <c r="K1251" s="28" t="s">
        <v>5463</v>
      </c>
      <c r="L1251" s="28" t="s">
        <v>5165</v>
      </c>
      <c r="M1251" s="56" t="s">
        <v>13055</v>
      </c>
      <c r="N1251" s="57">
        <v>45379.6625</v>
      </c>
      <c r="O1251" s="58">
        <v>45377.0</v>
      </c>
      <c r="P1251" s="28">
        <f t="shared" si="37"/>
        <v>2</v>
      </c>
      <c r="Q1251" s="28" t="s">
        <v>240</v>
      </c>
      <c r="R1251" s="28" t="s">
        <v>13056</v>
      </c>
      <c r="S1251" s="28">
        <v>13.0</v>
      </c>
      <c r="T1251" s="28">
        <v>30.0</v>
      </c>
      <c r="U1251" s="28">
        <v>70.0</v>
      </c>
      <c r="V1251" s="28">
        <v>9.0</v>
      </c>
      <c r="W1251" s="28" t="s">
        <v>271</v>
      </c>
      <c r="X1251" s="28" t="s">
        <v>272</v>
      </c>
      <c r="Y1251" s="28">
        <v>9.296985973E9</v>
      </c>
      <c r="Z1251" s="28" t="s">
        <v>6876</v>
      </c>
      <c r="AA1251" s="28" t="s">
        <v>6863</v>
      </c>
      <c r="AB1251" s="28">
        <v>9.0</v>
      </c>
      <c r="AC1251" s="28" t="s">
        <v>27</v>
      </c>
      <c r="AD1251" s="23"/>
      <c r="AE1251" s="28" t="s">
        <v>18</v>
      </c>
      <c r="AF1251" s="23"/>
      <c r="AG1251" s="23"/>
      <c r="AH1251" s="23" t="str">
        <f>IFERROR(__xludf.DUMMYFUNCTION("IF(
ISNUMBER(MATCH(
C1251,
IMPORTRANGE(""https://docs.google.com/spreadsheets/d/1yTh1ELC33JHYOeEdgIiEclxPRyh0zOKtlawDltfUay8"",""'Interns'!A:A""),
0
)),
""Outreach Conducted"",
"""")"),"")</f>
        <v/>
      </c>
      <c r="AI1251" s="23"/>
      <c r="AJ1251" s="23"/>
      <c r="AK1251" s="23" t="str">
        <f>IFERROR(__xludf.DUMMYFUNCTION("XLOOKUP(C1251, 
   IMPORTRANGE(""1RdEdgHYrZ33LJ7RUHj_h-qkAFL92bcVjtIdVa-UlsCw"", ""Interns!D:D""), 
   IMPORTRANGE(""1RdEdgHYrZ33LJ7RUHj_h-qkAFL92bcVjtIdVa-UlsCw"", ""Interns!M:M""), 
   ""Not Found"")"),"Contacted")</f>
        <v>Contacted</v>
      </c>
      <c r="AL1251" s="23" t="str">
        <f>IFERROR(__xludf.DUMMYFUNCTION("XLOOKUP(C1251, 
   IMPORTRANGE(""1RdEdgHYrZ33LJ7RUHj_h-qkAFL92bcVjtIdVa-UlsCw"", ""Interns!D:D""), 
   IMPORTRANGE(""1RdEdgHYrZ33LJ7RUHj_h-qkAFL92bcVjtIdVa-UlsCw"", ""Interns!N:N""), 
   ""Not Found"")"),"#Cheers4Careers")</f>
        <v>#Cheers4Careers</v>
      </c>
      <c r="AM1251" s="23" t="str">
        <f>IFERROR(__xludf.DUMMYFUNCTION("XLOOKUP(C1251, 
   IMPORTRANGE(""1RdEdgHYrZ33LJ7RUHj_h-qkAFL92bcVjtIdVa-UlsCw"", ""Interns!D:D""), 
   IMPORTRANGE(""1RdEdgHYrZ33LJ7RUHj_h-qkAFL92bcVjtIdVa-UlsCw"", ""Interns!O:O""), 
   ""Not Found"")"),"Hetal reached out March 27 for March #Cheers4 Careers")</f>
        <v>Hetal reached out March 27 for March #Cheers4 Careers</v>
      </c>
      <c r="AN1251" s="23"/>
      <c r="AO1251" s="23" t="s">
        <v>9685</v>
      </c>
      <c r="AP1251" s="28" t="s">
        <v>9686</v>
      </c>
      <c r="AQ1251" s="28" t="s">
        <v>9687</v>
      </c>
      <c r="AR1251" s="23">
        <v>2.12694602E9</v>
      </c>
      <c r="AS1251" s="23"/>
      <c r="AT1251" s="23"/>
      <c r="AU1251" s="23"/>
      <c r="AV1251" s="23"/>
    </row>
    <row r="1252">
      <c r="A1252" s="28" t="s">
        <v>5161</v>
      </c>
      <c r="B1252" s="28" t="s">
        <v>5162</v>
      </c>
      <c r="C1252" s="23" t="str">
        <f t="shared" si="1"/>
        <v>Kenry Aldana</v>
      </c>
      <c r="D1252" s="28" t="s">
        <v>13057</v>
      </c>
      <c r="E1252" s="28" t="s">
        <v>9703</v>
      </c>
      <c r="F1252" s="23">
        <f t="array" ref="F1252">IFERROR(
    INDEX('Hub Interns 226'!A:A, MATCH(C1252, 'Hub Interns 226'!B:B, 0)),"")</f>
        <v>713</v>
      </c>
      <c r="G1252" s="23">
        <f t="array" ref="G1252">IFERROR(
    INDEX('Hub Users 226'!A:A, MATCH(C1252, 'Hub Users 226'!B:B, 0)),"")</f>
        <v>1146</v>
      </c>
      <c r="H1252" s="28">
        <v>1458.0</v>
      </c>
      <c r="I1252" s="28" t="s">
        <v>260</v>
      </c>
      <c r="J1252" s="28" t="s">
        <v>6002</v>
      </c>
      <c r="K1252" s="28" t="s">
        <v>5463</v>
      </c>
      <c r="L1252" s="28" t="s">
        <v>5165</v>
      </c>
      <c r="M1252" s="56" t="s">
        <v>13058</v>
      </c>
      <c r="N1252" s="57">
        <v>44935.60555555556</v>
      </c>
      <c r="O1252" s="58">
        <v>38489.0</v>
      </c>
      <c r="P1252" s="28">
        <f t="shared" si="37"/>
        <v>21</v>
      </c>
      <c r="Q1252" s="28" t="s">
        <v>13059</v>
      </c>
      <c r="R1252" s="28" t="s">
        <v>13060</v>
      </c>
      <c r="S1252" s="28">
        <v>6.0</v>
      </c>
      <c r="T1252" s="28">
        <v>15.0</v>
      </c>
      <c r="U1252" s="28">
        <v>28.0</v>
      </c>
      <c r="V1252" s="28">
        <v>14.0</v>
      </c>
      <c r="W1252" s="28" t="s">
        <v>859</v>
      </c>
      <c r="X1252" s="28" t="s">
        <v>272</v>
      </c>
      <c r="Y1252" s="28" t="s">
        <v>13061</v>
      </c>
      <c r="Z1252" s="28" t="s">
        <v>5918</v>
      </c>
      <c r="AA1252" s="28" t="s">
        <v>477</v>
      </c>
      <c r="AB1252" s="28">
        <v>15.0</v>
      </c>
      <c r="AC1252" s="28" t="s">
        <v>25</v>
      </c>
      <c r="AD1252" s="28" t="s">
        <v>101</v>
      </c>
      <c r="AE1252" s="28" t="s">
        <v>17</v>
      </c>
      <c r="AF1252" s="23" t="str">
        <f>IFERROR(__xludf.DUMMYFUNCTION("TEXTJOIN("", "", TRUE,
  FILTER(Champions!C:C,
    ISNUMBER(SEARCH(C1252, Champions!W:W))
  )
)"),"Amrita Pritam, Leif Castren, Luz Santana, Wendy Velasquez Ebanks, Esteban Proaño")</f>
        <v>Amrita Pritam, Leif Castren, Luz Santana, Wendy Velasquez Ebanks, Esteban Proaño</v>
      </c>
      <c r="AG1252" s="26" t="s">
        <v>7320</v>
      </c>
      <c r="AH1252" s="23" t="str">
        <f>IFERROR(__xludf.DUMMYFUNCTION("IF(
ISNUMBER(MATCH(
C1252,
IMPORTRANGE(""https://docs.google.com/spreadsheets/d/1yTh1ELC33JHYOeEdgIiEclxPRyh0zOKtlawDltfUay8"",""'Interns'!A:A""),
0
)),
""Outreach Conducted"",
"""")"),"")</f>
        <v/>
      </c>
      <c r="AI1252" s="23"/>
      <c r="AJ1252" s="23"/>
      <c r="AK1252" s="23" t="str">
        <f>IFERROR(__xludf.DUMMYFUNCTION("XLOOKUP(C1252, 
   IMPORTRANGE(""1RdEdgHYrZ33LJ7RUHj_h-qkAFL92bcVjtIdVa-UlsCw"", ""Interns!D:D""), 
   IMPORTRANGE(""1RdEdgHYrZ33LJ7RUHj_h-qkAFL92bcVjtIdVa-UlsCw"", ""Interns!M:M""), 
   ""Not Found"")"),"")</f>
        <v/>
      </c>
      <c r="AL1252" s="23" t="str">
        <f>IFERROR(__xludf.DUMMYFUNCTION("XLOOKUP(C1252, 
   IMPORTRANGE(""1RdEdgHYrZ33LJ7RUHj_h-qkAFL92bcVjtIdVa-UlsCw"", ""Interns!D:D""), 
   IMPORTRANGE(""1RdEdgHYrZ33LJ7RUHj_h-qkAFL92bcVjtIdVa-UlsCw"", ""Interns!N:N""), 
   ""Not Found"")"),"")</f>
        <v/>
      </c>
      <c r="AM1252" s="23" t="str">
        <f>IFERROR(__xludf.DUMMYFUNCTION("XLOOKUP(C1252, 
   IMPORTRANGE(""1RdEdgHYrZ33LJ7RUHj_h-qkAFL92bcVjtIdVa-UlsCw"", ""Interns!D:D""), 
   IMPORTRANGE(""1RdEdgHYrZ33LJ7RUHj_h-qkAFL92bcVjtIdVa-UlsCw"", ""Interns!O:O""), 
   ""Not Found"")"),"")</f>
        <v/>
      </c>
      <c r="AN1252" s="23"/>
      <c r="AO1252" s="23" t="s">
        <v>13062</v>
      </c>
      <c r="AP1252" s="28" t="s">
        <v>5908</v>
      </c>
      <c r="AQ1252" s="28" t="s">
        <v>13063</v>
      </c>
      <c r="AR1252" s="23" t="s">
        <v>13061</v>
      </c>
      <c r="AS1252" s="23"/>
      <c r="AT1252" s="23"/>
      <c r="AU1252" s="23"/>
      <c r="AV1252" s="23"/>
    </row>
    <row r="1253">
      <c r="A1253" s="28" t="s">
        <v>5161</v>
      </c>
      <c r="B1253" s="28" t="s">
        <v>5162</v>
      </c>
      <c r="C1253" s="23" t="str">
        <f t="shared" si="1"/>
        <v>Andrea Guevara</v>
      </c>
      <c r="D1253" s="28" t="s">
        <v>422</v>
      </c>
      <c r="E1253" s="28" t="s">
        <v>9813</v>
      </c>
      <c r="F1253" s="23">
        <f t="array" ref="F1253">IFERROR(
    INDEX('Hub Interns 226'!A:A, MATCH(C1253, 'Hub Interns 226'!B:B, 0)),"")</f>
        <v>33</v>
      </c>
      <c r="G1253" s="23">
        <f t="array" ref="G1253">IFERROR(
    INDEX('Hub Users 226'!A:A, MATCH(C1253, 'Hub Users 226'!B:B, 0)),"")</f>
        <v>466</v>
      </c>
      <c r="H1253" s="28">
        <v>729.0</v>
      </c>
      <c r="I1253" s="28" t="s">
        <v>785</v>
      </c>
      <c r="J1253" s="28" t="s">
        <v>6002</v>
      </c>
      <c r="K1253" s="28" t="s">
        <v>5463</v>
      </c>
      <c r="L1253" s="28" t="s">
        <v>5196</v>
      </c>
      <c r="M1253" s="56" t="s">
        <v>9814</v>
      </c>
      <c r="N1253" s="59">
        <v>44550.54722222222</v>
      </c>
      <c r="O1253" s="58">
        <v>38295.0</v>
      </c>
      <c r="P1253" s="28">
        <f t="shared" si="37"/>
        <v>21</v>
      </c>
      <c r="Q1253" s="28" t="s">
        <v>240</v>
      </c>
      <c r="R1253" s="28" t="s">
        <v>9815</v>
      </c>
      <c r="S1253" s="28">
        <v>6.0</v>
      </c>
      <c r="T1253" s="28">
        <v>12.0</v>
      </c>
      <c r="U1253" s="28">
        <v>30.0</v>
      </c>
      <c r="V1253" s="28">
        <v>26.0</v>
      </c>
      <c r="W1253" s="28" t="s">
        <v>271</v>
      </c>
      <c r="X1253" s="28" t="s">
        <v>272</v>
      </c>
      <c r="Y1253" s="28" t="s">
        <v>9816</v>
      </c>
      <c r="Z1253" s="28" t="s">
        <v>5259</v>
      </c>
      <c r="AA1253" s="28" t="s">
        <v>704</v>
      </c>
      <c r="AB1253" s="28">
        <v>2.0</v>
      </c>
      <c r="AC1253" s="28" t="s">
        <v>25</v>
      </c>
      <c r="AD1253" s="23"/>
      <c r="AE1253" s="28" t="s">
        <v>10</v>
      </c>
      <c r="AF1253" s="23" t="str">
        <f>IFERROR(__xludf.DUMMYFUNCTION("TEXTJOIN("", "", TRUE,
  FILTER(Champions!C:C,
    ISNUMBER(SEARCH(C1253, Champions!W:W))
  )
)"),"Frank Guia, Paola Lopez")</f>
        <v>Frank Guia, Paola Lopez</v>
      </c>
      <c r="AG1253" s="23"/>
      <c r="AH1253" s="23" t="str">
        <f>IFERROR(__xludf.DUMMYFUNCTION("IF(
ISNUMBER(MATCH(
C1253,
IMPORTRANGE(""https://docs.google.com/spreadsheets/d/1yTh1ELC33JHYOeEdgIiEclxPRyh0zOKtlawDltfUay8"",""'Interns'!A:A""),
0
)),
""Outreach Conducted"",
"""")"),"")</f>
        <v/>
      </c>
      <c r="AI1253" s="23"/>
      <c r="AJ1253" s="23"/>
      <c r="AK1253" s="23" t="str">
        <f>IFERROR(__xludf.DUMMYFUNCTION("XLOOKUP(C1253, 
   IMPORTRANGE(""1RdEdgHYrZ33LJ7RUHj_h-qkAFL92bcVjtIdVa-UlsCw"", ""Interns!D:D""), 
   IMPORTRANGE(""1RdEdgHYrZ33LJ7RUHj_h-qkAFL92bcVjtIdVa-UlsCw"", ""Interns!M:M""), 
   ""Not Found"")"),"")</f>
        <v/>
      </c>
      <c r="AL1253" s="23" t="str">
        <f>IFERROR(__xludf.DUMMYFUNCTION("XLOOKUP(C1253, 
   IMPORTRANGE(""1RdEdgHYrZ33LJ7RUHj_h-qkAFL92bcVjtIdVa-UlsCw"", ""Interns!D:D""), 
   IMPORTRANGE(""1RdEdgHYrZ33LJ7RUHj_h-qkAFL92bcVjtIdVa-UlsCw"", ""Interns!N:N""), 
   ""Not Found"")"),"")</f>
        <v/>
      </c>
      <c r="AM1253" s="23" t="str">
        <f>IFERROR(__xludf.DUMMYFUNCTION("XLOOKUP(C1253, 
   IMPORTRANGE(""1RdEdgHYrZ33LJ7RUHj_h-qkAFL92bcVjtIdVa-UlsCw"", ""Interns!D:D""), 
   IMPORTRANGE(""1RdEdgHYrZ33LJ7RUHj_h-qkAFL92bcVjtIdVa-UlsCw"", ""Interns!O:O""), 
   ""Not Found"")"),"")</f>
        <v/>
      </c>
      <c r="AN1253" s="23"/>
      <c r="AO1253" s="23" t="s">
        <v>9818</v>
      </c>
      <c r="AP1253" s="28" t="s">
        <v>5182</v>
      </c>
      <c r="AQ1253" s="28" t="s">
        <v>9819</v>
      </c>
      <c r="AR1253" s="23" t="s">
        <v>9820</v>
      </c>
      <c r="AS1253" s="23"/>
      <c r="AT1253" s="23"/>
      <c r="AU1253" s="23"/>
      <c r="AV1253" s="23"/>
    </row>
    <row r="1254">
      <c r="A1254" s="28" t="s">
        <v>5202</v>
      </c>
      <c r="B1254" s="28" t="s">
        <v>5162</v>
      </c>
      <c r="C1254" s="23" t="str">
        <f t="shared" si="1"/>
        <v>Johnkarl Royales</v>
      </c>
      <c r="D1254" s="28" t="s">
        <v>13064</v>
      </c>
      <c r="E1254" s="28" t="s">
        <v>13065</v>
      </c>
      <c r="F1254" s="23">
        <f t="array" ref="F1254">IFERROR(
    INDEX('Hub Interns 226'!A:A, MATCH(C1254, 'Hub Interns 226'!B:B, 0)),"")</f>
        <v>45</v>
      </c>
      <c r="G1254" s="23">
        <f t="array" ref="G1254">IFERROR(
    INDEX('Hub Users 226'!A:A, MATCH(C1254, 'Hub Users 226'!B:B, 0)),"")</f>
        <v>478</v>
      </c>
      <c r="H1254" s="28">
        <v>919.0</v>
      </c>
      <c r="I1254" s="28"/>
      <c r="J1254" s="28" t="s">
        <v>12284</v>
      </c>
      <c r="K1254" s="28" t="s">
        <v>5186</v>
      </c>
      <c r="L1254" s="28" t="s">
        <v>5165</v>
      </c>
      <c r="M1254" s="56" t="s">
        <v>13066</v>
      </c>
      <c r="N1254" s="57">
        <v>44603.404861111114</v>
      </c>
      <c r="O1254" s="58">
        <v>38732.0</v>
      </c>
      <c r="P1254" s="28">
        <f t="shared" si="37"/>
        <v>20</v>
      </c>
      <c r="Q1254" s="28" t="s">
        <v>240</v>
      </c>
      <c r="R1254" s="28" t="s">
        <v>13067</v>
      </c>
      <c r="S1254" s="28">
        <v>5.0</v>
      </c>
      <c r="T1254" s="28">
        <v>14.0</v>
      </c>
      <c r="U1254" s="28">
        <v>33.0</v>
      </c>
      <c r="V1254" s="28">
        <v>27.0</v>
      </c>
      <c r="W1254" s="28" t="s">
        <v>1173</v>
      </c>
      <c r="X1254" s="28" t="s">
        <v>272</v>
      </c>
      <c r="Y1254" s="28" t="s">
        <v>13068</v>
      </c>
      <c r="Z1254" s="28" t="s">
        <v>5259</v>
      </c>
      <c r="AA1254" s="28" t="s">
        <v>704</v>
      </c>
      <c r="AB1254" s="28">
        <v>2.0</v>
      </c>
      <c r="AC1254" s="28" t="s">
        <v>24</v>
      </c>
      <c r="AD1254" s="23"/>
      <c r="AE1254" s="28" t="s">
        <v>10</v>
      </c>
      <c r="AF1254" s="23"/>
      <c r="AG1254" s="23"/>
      <c r="AH1254" s="23" t="str">
        <f>IFERROR(__xludf.DUMMYFUNCTION("IF(
ISNUMBER(MATCH(
C1254,
IMPORTRANGE(""https://docs.google.com/spreadsheets/d/1yTh1ELC33JHYOeEdgIiEclxPRyh0zOKtlawDltfUay8"",""'Interns'!A:A""),
0
)),
""Outreach Conducted"",
"""")"),"")</f>
        <v/>
      </c>
      <c r="AI1254" s="23"/>
      <c r="AJ1254" s="23"/>
      <c r="AK1254" s="23" t="str">
        <f>IFERROR(__xludf.DUMMYFUNCTION("XLOOKUP(C1254, 
   IMPORTRANGE(""1RdEdgHYrZ33LJ7RUHj_h-qkAFL92bcVjtIdVa-UlsCw"", ""Interns!D:D""), 
   IMPORTRANGE(""1RdEdgHYrZ33LJ7RUHj_h-qkAFL92bcVjtIdVa-UlsCw"", ""Interns!M:M""), 
   ""Not Found"")"),"")</f>
        <v/>
      </c>
      <c r="AL1254" s="23" t="str">
        <f>IFERROR(__xludf.DUMMYFUNCTION("XLOOKUP(C1254, 
   IMPORTRANGE(""1RdEdgHYrZ33LJ7RUHj_h-qkAFL92bcVjtIdVa-UlsCw"", ""Interns!D:D""), 
   IMPORTRANGE(""1RdEdgHYrZ33LJ7RUHj_h-qkAFL92bcVjtIdVa-UlsCw"", ""Interns!N:N""), 
   ""Not Found"")"),"")</f>
        <v/>
      </c>
      <c r="AM1254" s="23" t="str">
        <f>IFERROR(__xludf.DUMMYFUNCTION("XLOOKUP(C1254, 
   IMPORTRANGE(""1RdEdgHYrZ33LJ7RUHj_h-qkAFL92bcVjtIdVa-UlsCw"", ""Interns!D:D""), 
   IMPORTRANGE(""1RdEdgHYrZ33LJ7RUHj_h-qkAFL92bcVjtIdVa-UlsCw"", ""Interns!O:O""), 
   ""Not Found"")"),"")</f>
        <v/>
      </c>
      <c r="AN1254" s="23"/>
      <c r="AO1254" s="23" t="s">
        <v>13069</v>
      </c>
      <c r="AP1254" s="28" t="s">
        <v>5182</v>
      </c>
      <c r="AQ1254" s="28"/>
      <c r="AR1254" s="23"/>
      <c r="AS1254" s="23"/>
      <c r="AT1254" s="23"/>
      <c r="AU1254" s="23"/>
      <c r="AV1254" s="23"/>
    </row>
    <row r="1255">
      <c r="A1255" s="28" t="s">
        <v>5161</v>
      </c>
      <c r="B1255" s="28" t="s">
        <v>5162</v>
      </c>
      <c r="C1255" s="23" t="str">
        <f t="shared" si="1"/>
        <v>Valentina Hernandez</v>
      </c>
      <c r="D1255" s="28" t="s">
        <v>3440</v>
      </c>
      <c r="E1255" s="28" t="s">
        <v>2168</v>
      </c>
      <c r="F1255" s="23" t="str">
        <f t="array" ref="F1255">IFERROR(
    INDEX('Hub Interns 226'!A:A, MATCH(C1255, 'Hub Interns 226'!B:B, 0)),"")</f>
        <v/>
      </c>
      <c r="G1255" s="23">
        <f t="array" ref="G1255">IFERROR(
    INDEX('Hub Users 226'!A:A, MATCH(C1255, 'Hub Users 226'!B:B, 0)),"")</f>
        <v>1963</v>
      </c>
      <c r="H1255" s="28">
        <v>1808.0</v>
      </c>
      <c r="I1255" s="28"/>
      <c r="J1255" s="28" t="s">
        <v>6002</v>
      </c>
      <c r="K1255" s="28" t="s">
        <v>5463</v>
      </c>
      <c r="L1255" s="28" t="s">
        <v>5196</v>
      </c>
      <c r="M1255" s="56" t="s">
        <v>13070</v>
      </c>
      <c r="N1255" s="57">
        <v>45379.70486111111</v>
      </c>
      <c r="O1255" s="58">
        <v>39051.0</v>
      </c>
      <c r="P1255" s="28">
        <f t="shared" si="37"/>
        <v>19</v>
      </c>
      <c r="Q1255" s="28" t="s">
        <v>13071</v>
      </c>
      <c r="R1255" s="28" t="s">
        <v>13072</v>
      </c>
      <c r="S1255" s="28">
        <v>12.0</v>
      </c>
      <c r="T1255" s="28">
        <v>28.0</v>
      </c>
      <c r="U1255" s="28">
        <v>75.0</v>
      </c>
      <c r="V1255" s="28">
        <v>3.0</v>
      </c>
      <c r="W1255" s="28" t="s">
        <v>271</v>
      </c>
      <c r="X1255" s="28" t="s">
        <v>272</v>
      </c>
      <c r="Y1255" s="23"/>
      <c r="Z1255" s="28" t="s">
        <v>6876</v>
      </c>
      <c r="AA1255" s="28" t="s">
        <v>6863</v>
      </c>
      <c r="AB1255" s="28">
        <v>9.0</v>
      </c>
      <c r="AC1255" s="28" t="s">
        <v>27</v>
      </c>
      <c r="AD1255" s="28" t="s">
        <v>101</v>
      </c>
      <c r="AE1255" s="28" t="s">
        <v>18</v>
      </c>
      <c r="AF1255" s="23"/>
      <c r="AG1255" s="23"/>
      <c r="AH1255" s="23" t="str">
        <f>IFERROR(__xludf.DUMMYFUNCTION("IF(
ISNUMBER(MATCH(
C1255,
IMPORTRANGE(""https://docs.google.com/spreadsheets/d/1yTh1ELC33JHYOeEdgIiEclxPRyh0zOKtlawDltfUay8"",""'Interns'!A:A""),
0
)),
""Outreach Conducted"",
"""")"),"")</f>
        <v/>
      </c>
      <c r="AI1255" s="23"/>
      <c r="AJ1255" s="23"/>
      <c r="AK1255" s="23" t="str">
        <f>IFERROR(__xludf.DUMMYFUNCTION("XLOOKUP(C1255, 
   IMPORTRANGE(""1RdEdgHYrZ33LJ7RUHj_h-qkAFL92bcVjtIdVa-UlsCw"", ""Interns!D:D""), 
   IMPORTRANGE(""1RdEdgHYrZ33LJ7RUHj_h-qkAFL92bcVjtIdVa-UlsCw"", ""Interns!M:M""), 
   ""Not Found"")"),"Contacted")</f>
        <v>Contacted</v>
      </c>
      <c r="AL1255" s="23" t="str">
        <f>IFERROR(__xludf.DUMMYFUNCTION("XLOOKUP(C1255, 
   IMPORTRANGE(""1RdEdgHYrZ33LJ7RUHj_h-qkAFL92bcVjtIdVa-UlsCw"", ""Interns!D:D""), 
   IMPORTRANGE(""1RdEdgHYrZ33LJ7RUHj_h-qkAFL92bcVjtIdVa-UlsCw"", ""Interns!N:N""), 
   ""Not Found"")"),"#Cheers4Careers")</f>
        <v>#Cheers4Careers</v>
      </c>
      <c r="AM1255" s="23" t="str">
        <f>IFERROR(__xludf.DUMMYFUNCTION("XLOOKUP(C1255, 
   IMPORTRANGE(""1RdEdgHYrZ33LJ7RUHj_h-qkAFL92bcVjtIdVa-UlsCw"", ""Interns!D:D""), 
   IMPORTRANGE(""1RdEdgHYrZ33LJ7RUHj_h-qkAFL92bcVjtIdVa-UlsCw"", ""Interns!O:O""), 
   ""Not Found"")"),"Hetal reached out March 27 for March #Cheers4 Careers")</f>
        <v>Hetal reached out March 27 for March #Cheers4 Careers</v>
      </c>
      <c r="AN1255" s="23"/>
      <c r="AO1255" s="23" t="s">
        <v>9685</v>
      </c>
      <c r="AP1255" s="28" t="s">
        <v>13073</v>
      </c>
      <c r="AQ1255" s="28" t="s">
        <v>13074</v>
      </c>
      <c r="AR1255" s="23">
        <v>2.12694602E9</v>
      </c>
      <c r="AS1255" s="23"/>
      <c r="AT1255" s="23"/>
      <c r="AU1255" s="23"/>
      <c r="AV1255" s="23"/>
    </row>
    <row r="1256">
      <c r="A1256" s="28" t="s">
        <v>5161</v>
      </c>
      <c r="B1256" s="28" t="s">
        <v>5162</v>
      </c>
      <c r="C1256" s="23" t="str">
        <f t="shared" si="1"/>
        <v>Mathias Auyanet</v>
      </c>
      <c r="D1256" s="28" t="s">
        <v>8859</v>
      </c>
      <c r="E1256" s="28" t="s">
        <v>13075</v>
      </c>
      <c r="F1256" s="23" t="str">
        <f t="array" ref="F1256">IFERROR(
    INDEX('Hub Interns 226'!A:A, MATCH(C1256, 'Hub Interns 226'!B:B, 0)),"")</f>
        <v/>
      </c>
      <c r="G1256" s="23">
        <f t="array" ref="G1256">IFERROR(
    INDEX('Hub Users 226'!A:A, MATCH(C1256, 'Hub Users 226'!B:B, 0)),"")</f>
        <v>2103</v>
      </c>
      <c r="H1256" s="28">
        <v>1850.0</v>
      </c>
      <c r="I1256" s="28" t="s">
        <v>239</v>
      </c>
      <c r="J1256" s="28" t="s">
        <v>6002</v>
      </c>
      <c r="K1256" s="28" t="s">
        <v>5463</v>
      </c>
      <c r="L1256" s="28" t="s">
        <v>5165</v>
      </c>
      <c r="M1256" s="56" t="s">
        <v>13076</v>
      </c>
      <c r="N1256" s="59">
        <v>45583.77222222222</v>
      </c>
      <c r="O1256" s="58">
        <v>40893.0</v>
      </c>
      <c r="P1256" s="28">
        <f t="shared" si="37"/>
        <v>14</v>
      </c>
      <c r="Q1256" s="28" t="s">
        <v>13077</v>
      </c>
      <c r="R1256" s="28" t="s">
        <v>13078</v>
      </c>
      <c r="S1256" s="28">
        <v>6.0</v>
      </c>
      <c r="T1256" s="28">
        <v>15.0</v>
      </c>
      <c r="U1256" s="28">
        <v>28.0</v>
      </c>
      <c r="V1256" s="28">
        <v>30.0</v>
      </c>
      <c r="W1256" s="28" t="s">
        <v>271</v>
      </c>
      <c r="X1256" s="28" t="s">
        <v>272</v>
      </c>
      <c r="Y1256" s="28">
        <v>3.475889402E9</v>
      </c>
      <c r="Z1256" s="28" t="s">
        <v>6332</v>
      </c>
      <c r="AA1256" s="28" t="s">
        <v>5512</v>
      </c>
      <c r="AB1256" s="28">
        <v>30.0</v>
      </c>
      <c r="AC1256" s="28" t="s">
        <v>23</v>
      </c>
      <c r="AD1256" s="23"/>
      <c r="AE1256" s="28" t="s">
        <v>19</v>
      </c>
      <c r="AF1256" s="23"/>
      <c r="AG1256" s="23"/>
      <c r="AH1256" s="23" t="str">
        <f>IFERROR(__xludf.DUMMYFUNCTION("IF(
ISNUMBER(MATCH(
C1256,
IMPORTRANGE(""https://docs.google.com/spreadsheets/d/1yTh1ELC33JHYOeEdgIiEclxPRyh0zOKtlawDltfUay8"",""'Interns'!A:A""),
0
)),
""Outreach Conducted"",
"""")"),"")</f>
        <v/>
      </c>
      <c r="AI1256" s="23"/>
      <c r="AJ1256" s="23"/>
      <c r="AK1256" s="23" t="str">
        <f>IFERROR(__xludf.DUMMYFUNCTION("XLOOKUP(C1256, 
   IMPORTRANGE(""1RdEdgHYrZ33LJ7RUHj_h-qkAFL92bcVjtIdVa-UlsCw"", ""Interns!D:D""), 
   IMPORTRANGE(""1RdEdgHYrZ33LJ7RUHj_h-qkAFL92bcVjtIdVa-UlsCw"", ""Interns!M:M""), 
   ""Not Found"")"),"Contacted")</f>
        <v>Contacted</v>
      </c>
      <c r="AL1256" s="23" t="str">
        <f>IFERROR(__xludf.DUMMYFUNCTION("XLOOKUP(C1256, 
   IMPORTRANGE(""1RdEdgHYrZ33LJ7RUHj_h-qkAFL92bcVjtIdVa-UlsCw"", ""Interns!D:D""), 
   IMPORTRANGE(""1RdEdgHYrZ33LJ7RUHj_h-qkAFL92bcVjtIdVa-UlsCw"", ""Interns!N:N""), 
   ""Not Found"")"),"#Cheers4Careers")</f>
        <v>#Cheers4Careers</v>
      </c>
      <c r="AM1256" s="23" t="str">
        <f>IFERROR(__xludf.DUMMYFUNCTION("XLOOKUP(C1256, 
   IMPORTRANGE(""1RdEdgHYrZ33LJ7RUHj_h-qkAFL92bcVjtIdVa-UlsCw"", ""Interns!D:D""), 
   IMPORTRANGE(""1RdEdgHYrZ33LJ7RUHj_h-qkAFL92bcVjtIdVa-UlsCw"", ""Interns!O:O""), 
   ""Not Found"")"),"Hetal reached out March 27 for March #Cheers4 Careers ")</f>
        <v>Hetal reached out March 27 for March #Cheers4 Careers </v>
      </c>
      <c r="AN1256" s="23"/>
      <c r="AO1256" s="23" t="s">
        <v>13079</v>
      </c>
      <c r="AP1256" s="28" t="s">
        <v>5182</v>
      </c>
      <c r="AQ1256" s="28" t="s">
        <v>13080</v>
      </c>
      <c r="AR1256" s="23">
        <v>3.475889402E9</v>
      </c>
      <c r="AS1256" s="23"/>
      <c r="AT1256" s="23"/>
      <c r="AU1256" s="23"/>
      <c r="AV1256" s="23"/>
    </row>
    <row r="1257">
      <c r="A1257" s="28" t="s">
        <v>5161</v>
      </c>
      <c r="B1257" s="28" t="s">
        <v>5162</v>
      </c>
      <c r="C1257" s="23" t="str">
        <f t="shared" si="1"/>
        <v>Claudelys Gonzalez</v>
      </c>
      <c r="D1257" s="28" t="s">
        <v>13081</v>
      </c>
      <c r="E1257" s="28" t="s">
        <v>1377</v>
      </c>
      <c r="F1257" s="23" t="str">
        <f t="array" ref="F1257">IFERROR(
    INDEX('Hub Interns 226'!A:A, MATCH(C1257, 'Hub Interns 226'!B:B, 0)),"")</f>
        <v/>
      </c>
      <c r="G1257" s="23">
        <f t="array" ref="G1257">IFERROR(
    INDEX('Hub Users 226'!A:A, MATCH(C1257, 'Hub Users 226'!B:B, 0)),"")</f>
        <v>1766</v>
      </c>
      <c r="H1257" s="28">
        <v>1662.0</v>
      </c>
      <c r="I1257" s="28" t="s">
        <v>107</v>
      </c>
      <c r="J1257" s="28" t="s">
        <v>6002</v>
      </c>
      <c r="K1257" s="28" t="s">
        <v>5463</v>
      </c>
      <c r="L1257" s="28" t="s">
        <v>5196</v>
      </c>
      <c r="M1257" s="56" t="s">
        <v>13082</v>
      </c>
      <c r="N1257" s="59">
        <v>45213.025</v>
      </c>
      <c r="O1257" s="58">
        <v>39920.0</v>
      </c>
      <c r="P1257" s="28">
        <f t="shared" si="37"/>
        <v>17</v>
      </c>
      <c r="Q1257" s="28" t="s">
        <v>13083</v>
      </c>
      <c r="R1257" s="28" t="s">
        <v>13084</v>
      </c>
      <c r="S1257" s="28">
        <v>14.0</v>
      </c>
      <c r="T1257" s="28">
        <v>13.0</v>
      </c>
      <c r="U1257" s="28">
        <v>35.0</v>
      </c>
      <c r="V1257" s="28">
        <v>22.0</v>
      </c>
      <c r="W1257" s="28" t="s">
        <v>1173</v>
      </c>
      <c r="X1257" s="28" t="s">
        <v>272</v>
      </c>
      <c r="Y1257" s="28" t="s">
        <v>13085</v>
      </c>
      <c r="Z1257" s="28" t="s">
        <v>5918</v>
      </c>
      <c r="AA1257" s="28" t="s">
        <v>477</v>
      </c>
      <c r="AB1257" s="28">
        <v>15.0</v>
      </c>
      <c r="AC1257" s="28" t="s">
        <v>25</v>
      </c>
      <c r="AD1257" s="23"/>
      <c r="AE1257" s="28" t="s">
        <v>18</v>
      </c>
      <c r="AF1257" s="23" t="str">
        <f>IFERROR(__xludf.DUMMYFUNCTION("TEXTJOIN("", "", TRUE,
  FILTER(Champions!C:C,
    ISNUMBER(SEARCH(C1257, Champions!W:W))
  )
)"),"Fernanda Montane Azpiri, Esteban Proaño")</f>
        <v>Fernanda Montane Azpiri, Esteban Proaño</v>
      </c>
      <c r="AG1257" s="23"/>
      <c r="AH1257" s="23" t="str">
        <f>IFERROR(__xludf.DUMMYFUNCTION("IF(
ISNUMBER(MATCH(
C1257,
IMPORTRANGE(""https://docs.google.com/spreadsheets/d/1yTh1ELC33JHYOeEdgIiEclxPRyh0zOKtlawDltfUay8"",""'Interns'!A:A""),
0
)),
""Outreach Conducted"",
"""")"),"")</f>
        <v/>
      </c>
      <c r="AI1257" s="23"/>
      <c r="AJ1257" s="23"/>
      <c r="AK1257" s="23" t="str">
        <f>IFERROR(__xludf.DUMMYFUNCTION("XLOOKUP(C1257, 
   IMPORTRANGE(""1RdEdgHYrZ33LJ7RUHj_h-qkAFL92bcVjtIdVa-UlsCw"", ""Interns!D:D""), 
   IMPORTRANGE(""1RdEdgHYrZ33LJ7RUHj_h-qkAFL92bcVjtIdVa-UlsCw"", ""Interns!M:M""), 
   ""Not Found"")"),"")</f>
        <v/>
      </c>
      <c r="AL1257" s="23" t="str">
        <f>IFERROR(__xludf.DUMMYFUNCTION("XLOOKUP(C1257, 
   IMPORTRANGE(""1RdEdgHYrZ33LJ7RUHj_h-qkAFL92bcVjtIdVa-UlsCw"", ""Interns!D:D""), 
   IMPORTRANGE(""1RdEdgHYrZ33LJ7RUHj_h-qkAFL92bcVjtIdVa-UlsCw"", ""Interns!N:N""), 
   ""Not Found"")"),"")</f>
        <v/>
      </c>
      <c r="AM1257" s="23" t="str">
        <f>IFERROR(__xludf.DUMMYFUNCTION("XLOOKUP(C1257, 
   IMPORTRANGE(""1RdEdgHYrZ33LJ7RUHj_h-qkAFL92bcVjtIdVa-UlsCw"", ""Interns!D:D""), 
   IMPORTRANGE(""1RdEdgHYrZ33LJ7RUHj_h-qkAFL92bcVjtIdVa-UlsCw"", ""Interns!O:O""), 
   ""Not Found"")"),"Alicia reached out by email on 5/15 for #SpeakingMyName")</f>
        <v>Alicia reached out by email on 5/15 for #SpeakingMyName</v>
      </c>
      <c r="AN1257" s="23"/>
      <c r="AO1257" s="23" t="s">
        <v>13086</v>
      </c>
      <c r="AP1257" s="28" t="s">
        <v>5182</v>
      </c>
      <c r="AQ1257" s="28" t="s">
        <v>13087</v>
      </c>
      <c r="AR1257" s="23" t="s">
        <v>13088</v>
      </c>
      <c r="AS1257" s="23"/>
      <c r="AT1257" s="23"/>
      <c r="AU1257" s="23"/>
      <c r="AV1257" s="23"/>
    </row>
    <row r="1258">
      <c r="A1258" s="28" t="s">
        <v>5161</v>
      </c>
      <c r="B1258" s="28" t="s">
        <v>5162</v>
      </c>
      <c r="C1258" s="23" t="str">
        <f t="shared" si="1"/>
        <v>Vy Vo</v>
      </c>
      <c r="D1258" s="28" t="s">
        <v>10079</v>
      </c>
      <c r="E1258" s="28" t="s">
        <v>1986</v>
      </c>
      <c r="F1258" s="23">
        <f t="array" ref="F1258">IFERROR(
    INDEX('Hub Interns 226'!A:A, MATCH(C1258, 'Hub Interns 226'!B:B, 0)),"")</f>
        <v>70</v>
      </c>
      <c r="G1258" s="23">
        <f t="array" ref="G1258">IFERROR(
    INDEX('Hub Users 226'!A:A, MATCH(C1258, 'Hub Users 226'!B:B, 0)),"")</f>
        <v>503</v>
      </c>
      <c r="H1258" s="28">
        <v>731.0</v>
      </c>
      <c r="I1258" s="28" t="s">
        <v>407</v>
      </c>
      <c r="J1258" s="28" t="s">
        <v>13089</v>
      </c>
      <c r="K1258" s="28" t="s">
        <v>5186</v>
      </c>
      <c r="L1258" s="28" t="s">
        <v>5196</v>
      </c>
      <c r="M1258" s="56" t="s">
        <v>10080</v>
      </c>
      <c r="N1258" s="59">
        <v>44550.54861111111</v>
      </c>
      <c r="O1258" s="58">
        <v>37933.0</v>
      </c>
      <c r="P1258" s="28">
        <f t="shared" si="37"/>
        <v>22</v>
      </c>
      <c r="Q1258" s="28" t="s">
        <v>10081</v>
      </c>
      <c r="R1258" s="28" t="s">
        <v>10082</v>
      </c>
      <c r="S1258" s="28">
        <v>13.0</v>
      </c>
      <c r="T1258" s="28">
        <v>30.0</v>
      </c>
      <c r="U1258" s="28">
        <v>68.0</v>
      </c>
      <c r="V1258" s="28">
        <v>9.0</v>
      </c>
      <c r="W1258" s="28" t="s">
        <v>271</v>
      </c>
      <c r="X1258" s="28" t="s">
        <v>272</v>
      </c>
      <c r="Y1258" s="28" t="s">
        <v>10083</v>
      </c>
      <c r="Z1258" s="28" t="s">
        <v>5259</v>
      </c>
      <c r="AA1258" s="28" t="s">
        <v>704</v>
      </c>
      <c r="AB1258" s="28">
        <v>2.0</v>
      </c>
      <c r="AC1258" s="28" t="s">
        <v>25</v>
      </c>
      <c r="AD1258" s="23"/>
      <c r="AE1258" s="28" t="s">
        <v>10</v>
      </c>
      <c r="AF1258" s="23" t="str">
        <f>IFERROR(__xludf.DUMMYFUNCTION("TEXTJOIN("", "", TRUE,
  FILTER(Champions!C:C,
    ISNUMBER(SEARCH(C1258, Champions!W:W))
  )
)"),"Elise George, Yan Guan")</f>
        <v>Elise George, Yan Guan</v>
      </c>
      <c r="AG1258" s="23"/>
      <c r="AH1258" s="23" t="str">
        <f>IFERROR(__xludf.DUMMYFUNCTION("IF(
ISNUMBER(MATCH(
C1258,
IMPORTRANGE(""https://docs.google.com/spreadsheets/d/1yTh1ELC33JHYOeEdgIiEclxPRyh0zOKtlawDltfUay8"",""'Interns'!A:A""),
0
)),
""Outreach Conducted"",
"""")"),"")</f>
        <v/>
      </c>
      <c r="AI1258" s="23"/>
      <c r="AJ1258" s="23"/>
      <c r="AK1258" s="23" t="str">
        <f>IFERROR(__xludf.DUMMYFUNCTION("XLOOKUP(C1258, 
   IMPORTRANGE(""1RdEdgHYrZ33LJ7RUHj_h-qkAFL92bcVjtIdVa-UlsCw"", ""Interns!D:D""), 
   IMPORTRANGE(""1RdEdgHYrZ33LJ7RUHj_h-qkAFL92bcVjtIdVa-UlsCw"", ""Interns!M:M""), 
   ""Not Found"")"),"")</f>
        <v/>
      </c>
      <c r="AL1258" s="23" t="str">
        <f>IFERROR(__xludf.DUMMYFUNCTION("XLOOKUP(C1258, 
   IMPORTRANGE(""1RdEdgHYrZ33LJ7RUHj_h-qkAFL92bcVjtIdVa-UlsCw"", ""Interns!D:D""), 
   IMPORTRANGE(""1RdEdgHYrZ33LJ7RUHj_h-qkAFL92bcVjtIdVa-UlsCw"", ""Interns!N:N""), 
   ""Not Found"")"),"")</f>
        <v/>
      </c>
      <c r="AM1258" s="23" t="str">
        <f>IFERROR(__xludf.DUMMYFUNCTION("XLOOKUP(C1258, 
   IMPORTRANGE(""1RdEdgHYrZ33LJ7RUHj_h-qkAFL92bcVjtIdVa-UlsCw"", ""Interns!D:D""), 
   IMPORTRANGE(""1RdEdgHYrZ33LJ7RUHj_h-qkAFL92bcVjtIdVa-UlsCw"", ""Interns!O:O""), 
   ""Not Found"")"),"")</f>
        <v/>
      </c>
      <c r="AN1258" s="23"/>
      <c r="AO1258" s="23" t="s">
        <v>10084</v>
      </c>
      <c r="AP1258" s="28" t="s">
        <v>5191</v>
      </c>
      <c r="AQ1258" s="28" t="s">
        <v>10085</v>
      </c>
      <c r="AR1258" s="23" t="s">
        <v>10086</v>
      </c>
      <c r="AS1258" s="23"/>
      <c r="AT1258" s="23"/>
      <c r="AU1258" s="23"/>
      <c r="AV1258" s="23"/>
    </row>
    <row r="1259">
      <c r="A1259" s="28" t="s">
        <v>5202</v>
      </c>
      <c r="B1259" s="28" t="s">
        <v>5162</v>
      </c>
      <c r="C1259" s="23" t="str">
        <f t="shared" si="1"/>
        <v>Jhon Castro</v>
      </c>
      <c r="D1259" s="28" t="s">
        <v>8686</v>
      </c>
      <c r="E1259" s="28" t="s">
        <v>2092</v>
      </c>
      <c r="F1259" s="23">
        <f t="array" ref="F1259">IFERROR(
    INDEX('Hub Interns 226'!A:A, MATCH(C1259, 'Hub Interns 226'!B:B, 0)),"")</f>
        <v>377</v>
      </c>
      <c r="G1259" s="23">
        <f t="array" ref="G1259">IFERROR(
    INDEX('Hub Users 226'!A:A, MATCH(C1259, 'Hub Users 226'!B:B, 0)),"")</f>
        <v>810</v>
      </c>
      <c r="H1259" s="28">
        <v>889.0</v>
      </c>
      <c r="I1259" s="28" t="s">
        <v>239</v>
      </c>
      <c r="J1259" s="28" t="s">
        <v>12284</v>
      </c>
      <c r="K1259" s="28" t="s">
        <v>5186</v>
      </c>
      <c r="L1259" s="28" t="s">
        <v>5165</v>
      </c>
      <c r="M1259" s="56" t="s">
        <v>13090</v>
      </c>
      <c r="N1259" s="57">
        <v>44601.53055555555</v>
      </c>
      <c r="O1259" s="58">
        <v>37991.0</v>
      </c>
      <c r="P1259" s="28">
        <f t="shared" si="37"/>
        <v>22</v>
      </c>
      <c r="Q1259" s="28" t="s">
        <v>240</v>
      </c>
      <c r="R1259" s="28" t="s">
        <v>13091</v>
      </c>
      <c r="S1259" s="28">
        <v>6.0</v>
      </c>
      <c r="T1259" s="28">
        <v>12.0</v>
      </c>
      <c r="U1259" s="28">
        <v>30.0</v>
      </c>
      <c r="V1259" s="28">
        <v>25.0</v>
      </c>
      <c r="W1259" s="28" t="s">
        <v>1173</v>
      </c>
      <c r="X1259" s="28" t="s">
        <v>272</v>
      </c>
      <c r="Y1259" s="28" t="s">
        <v>13092</v>
      </c>
      <c r="Z1259" s="28" t="s">
        <v>5189</v>
      </c>
      <c r="AA1259" s="28" t="s">
        <v>619</v>
      </c>
      <c r="AB1259" s="28">
        <v>20.0</v>
      </c>
      <c r="AC1259" s="28" t="s">
        <v>24</v>
      </c>
      <c r="AD1259" s="23"/>
      <c r="AE1259" s="28" t="s">
        <v>10</v>
      </c>
      <c r="AF1259" s="23"/>
      <c r="AG1259" s="23"/>
      <c r="AH1259" s="23" t="str">
        <f>IFERROR(__xludf.DUMMYFUNCTION("IF(
ISNUMBER(MATCH(
C1259,
IMPORTRANGE(""https://docs.google.com/spreadsheets/d/1yTh1ELC33JHYOeEdgIiEclxPRyh0zOKtlawDltfUay8"",""'Interns'!A:A""),
0
)),
""Outreach Conducted"",
"""")"),"")</f>
        <v/>
      </c>
      <c r="AI1259" s="23"/>
      <c r="AJ1259" s="23"/>
      <c r="AK1259" s="23" t="str">
        <f>IFERROR(__xludf.DUMMYFUNCTION("XLOOKUP(C1259, 
   IMPORTRANGE(""1RdEdgHYrZ33LJ7RUHj_h-qkAFL92bcVjtIdVa-UlsCw"", ""Interns!D:D""), 
   IMPORTRANGE(""1RdEdgHYrZ33LJ7RUHj_h-qkAFL92bcVjtIdVa-UlsCw"", ""Interns!M:M""), 
   ""Not Found"")"),"")</f>
        <v/>
      </c>
      <c r="AL1259" s="23" t="str">
        <f>IFERROR(__xludf.DUMMYFUNCTION("XLOOKUP(C1259, 
   IMPORTRANGE(""1RdEdgHYrZ33LJ7RUHj_h-qkAFL92bcVjtIdVa-UlsCw"", ""Interns!D:D""), 
   IMPORTRANGE(""1RdEdgHYrZ33LJ7RUHj_h-qkAFL92bcVjtIdVa-UlsCw"", ""Interns!N:N""), 
   ""Not Found"")"),"")</f>
        <v/>
      </c>
      <c r="AM1259" s="23" t="str">
        <f>IFERROR(__xludf.DUMMYFUNCTION("XLOOKUP(C1259, 
   IMPORTRANGE(""1RdEdgHYrZ33LJ7RUHj_h-qkAFL92bcVjtIdVa-UlsCw"", ""Interns!D:D""), 
   IMPORTRANGE(""1RdEdgHYrZ33LJ7RUHj_h-qkAFL92bcVjtIdVa-UlsCw"", ""Interns!O:O""), 
   ""Not Found"")"),"")</f>
        <v/>
      </c>
      <c r="AN1259" s="23"/>
      <c r="AO1259" s="23" t="s">
        <v>13093</v>
      </c>
      <c r="AP1259" s="28" t="s">
        <v>5182</v>
      </c>
      <c r="AQ1259" s="28"/>
      <c r="AR1259" s="23"/>
      <c r="AS1259" s="23"/>
      <c r="AT1259" s="23"/>
      <c r="AU1259" s="23"/>
      <c r="AV1259" s="23"/>
    </row>
    <row r="1260">
      <c r="A1260" s="28" t="s">
        <v>5161</v>
      </c>
      <c r="B1260" s="28" t="s">
        <v>5162</v>
      </c>
      <c r="C1260" s="23" t="str">
        <f t="shared" si="1"/>
        <v>An Nguyen</v>
      </c>
      <c r="D1260" s="28" t="s">
        <v>13094</v>
      </c>
      <c r="E1260" s="28" t="s">
        <v>1709</v>
      </c>
      <c r="F1260" s="23">
        <f t="array" ref="F1260">IFERROR(
    INDEX('Hub Interns 226'!A:A, MATCH(C1260, 'Hub Interns 226'!B:B, 0)),"")</f>
        <v>217</v>
      </c>
      <c r="G1260" s="23">
        <f t="array" ref="G1260">IFERROR(
    INDEX('Hub Users 226'!A:A, MATCH(C1260, 'Hub Users 226'!B:B, 0)),"")</f>
        <v>650</v>
      </c>
      <c r="H1260" s="28">
        <v>398.0</v>
      </c>
      <c r="I1260" s="28" t="s">
        <v>239</v>
      </c>
      <c r="J1260" s="28" t="s">
        <v>13089</v>
      </c>
      <c r="K1260" s="28" t="s">
        <v>5186</v>
      </c>
      <c r="L1260" s="28" t="s">
        <v>5196</v>
      </c>
      <c r="M1260" s="56" t="s">
        <v>13095</v>
      </c>
      <c r="N1260" s="57">
        <v>44295.64027777778</v>
      </c>
      <c r="O1260" s="58">
        <v>37605.0</v>
      </c>
      <c r="P1260" s="28">
        <f t="shared" si="37"/>
        <v>23</v>
      </c>
      <c r="Q1260" s="28" t="s">
        <v>240</v>
      </c>
      <c r="R1260" s="28" t="s">
        <v>13096</v>
      </c>
      <c r="S1260" s="28">
        <v>13.0</v>
      </c>
      <c r="T1260" s="28">
        <v>33.0</v>
      </c>
      <c r="U1260" s="28">
        <v>78.0</v>
      </c>
      <c r="V1260" s="28">
        <v>14.0</v>
      </c>
      <c r="W1260" s="28" t="s">
        <v>859</v>
      </c>
      <c r="X1260" s="28" t="s">
        <v>272</v>
      </c>
      <c r="Y1260" s="28" t="s">
        <v>13097</v>
      </c>
      <c r="Z1260" s="28" t="s">
        <v>5435</v>
      </c>
      <c r="AA1260" s="28" t="s">
        <v>7761</v>
      </c>
      <c r="AB1260" s="28">
        <v>10.0</v>
      </c>
      <c r="AC1260" s="28" t="s">
        <v>24</v>
      </c>
      <c r="AD1260" s="23"/>
      <c r="AE1260" s="28" t="s">
        <v>8</v>
      </c>
      <c r="AF1260" s="23"/>
      <c r="AG1260" s="23"/>
      <c r="AH1260" s="23" t="str">
        <f>IFERROR(__xludf.DUMMYFUNCTION("IF(
ISNUMBER(MATCH(
C1260,
IMPORTRANGE(""https://docs.google.com/spreadsheets/d/1yTh1ELC33JHYOeEdgIiEclxPRyh0zOKtlawDltfUay8"",""'Interns'!A:A""),
0
)),
""Outreach Conducted"",
"""")"),"")</f>
        <v/>
      </c>
      <c r="AI1260" s="23"/>
      <c r="AJ1260" s="23"/>
      <c r="AK1260" s="23" t="str">
        <f>IFERROR(__xludf.DUMMYFUNCTION("XLOOKUP(C1260, 
   IMPORTRANGE(""1RdEdgHYrZ33LJ7RUHj_h-qkAFL92bcVjtIdVa-UlsCw"", ""Interns!D:D""), 
   IMPORTRANGE(""1RdEdgHYrZ33LJ7RUHj_h-qkAFL92bcVjtIdVa-UlsCw"", ""Interns!M:M""), 
   ""Not Found"")"),"")</f>
        <v/>
      </c>
      <c r="AL1260" s="23" t="str">
        <f>IFERROR(__xludf.DUMMYFUNCTION("XLOOKUP(C1260, 
   IMPORTRANGE(""1RdEdgHYrZ33LJ7RUHj_h-qkAFL92bcVjtIdVa-UlsCw"", ""Interns!D:D""), 
   IMPORTRANGE(""1RdEdgHYrZ33LJ7RUHj_h-qkAFL92bcVjtIdVa-UlsCw"", ""Interns!N:N""), 
   ""Not Found"")"),"")</f>
        <v/>
      </c>
      <c r="AM1260" s="23" t="str">
        <f>IFERROR(__xludf.DUMMYFUNCTION("XLOOKUP(C1260, 
   IMPORTRANGE(""1RdEdgHYrZ33LJ7RUHj_h-qkAFL92bcVjtIdVa-UlsCw"", ""Interns!D:D""), 
   IMPORTRANGE(""1RdEdgHYrZ33LJ7RUHj_h-qkAFL92bcVjtIdVa-UlsCw"", ""Interns!O:O""), 
   ""Not Found"")"),"")</f>
        <v/>
      </c>
      <c r="AN1260" s="23"/>
      <c r="AO1260" s="23" t="s">
        <v>13098</v>
      </c>
      <c r="AP1260" s="28" t="s">
        <v>5240</v>
      </c>
      <c r="AQ1260" s="28"/>
      <c r="AR1260" s="23"/>
      <c r="AS1260" s="23"/>
      <c r="AT1260" s="23"/>
      <c r="AU1260" s="23"/>
      <c r="AV1260" s="23"/>
    </row>
    <row r="1261">
      <c r="A1261" s="28" t="s">
        <v>5161</v>
      </c>
      <c r="B1261" s="28" t="s">
        <v>5162</v>
      </c>
      <c r="C1261" s="23" t="str">
        <f t="shared" si="1"/>
        <v>Pablo Velez</v>
      </c>
      <c r="D1261" s="28" t="s">
        <v>5889</v>
      </c>
      <c r="E1261" s="28" t="s">
        <v>12981</v>
      </c>
      <c r="F1261" s="23">
        <f t="array" ref="F1261">IFERROR(
    INDEX('Hub Interns 226'!A:A, MATCH(C1261, 'Hub Interns 226'!B:B, 0)),"")</f>
        <v>107</v>
      </c>
      <c r="G1261" s="23">
        <f t="array" ref="G1261">IFERROR(
    INDEX('Hub Users 226'!A:A, MATCH(C1261, 'Hub Users 226'!B:B, 0)),"")</f>
        <v>540</v>
      </c>
      <c r="H1261" s="28">
        <v>1145.0</v>
      </c>
      <c r="I1261" s="28" t="s">
        <v>407</v>
      </c>
      <c r="J1261" s="28" t="s">
        <v>2388</v>
      </c>
      <c r="K1261" s="28" t="s">
        <v>5463</v>
      </c>
      <c r="L1261" s="28" t="s">
        <v>5165</v>
      </c>
      <c r="M1261" s="56" t="s">
        <v>13099</v>
      </c>
      <c r="N1261" s="57">
        <v>44749.53958333333</v>
      </c>
      <c r="O1261" s="58">
        <v>38398.0</v>
      </c>
      <c r="P1261" s="28">
        <f t="shared" si="37"/>
        <v>21</v>
      </c>
      <c r="Q1261" s="28" t="s">
        <v>240</v>
      </c>
      <c r="R1261" s="28" t="s">
        <v>13100</v>
      </c>
      <c r="S1261" s="28">
        <v>6.0</v>
      </c>
      <c r="T1261" s="28">
        <v>13.0</v>
      </c>
      <c r="U1261" s="28">
        <v>39.0</v>
      </c>
      <c r="V1261" s="28">
        <v>21.0</v>
      </c>
      <c r="W1261" s="28" t="s">
        <v>1173</v>
      </c>
      <c r="X1261" s="28" t="s">
        <v>272</v>
      </c>
      <c r="Y1261" s="28" t="s">
        <v>13101</v>
      </c>
      <c r="Z1261" s="28" t="s">
        <v>5259</v>
      </c>
      <c r="AA1261" s="28" t="s">
        <v>704</v>
      </c>
      <c r="AB1261" s="28">
        <v>2.0</v>
      </c>
      <c r="AC1261" s="28" t="s">
        <v>23</v>
      </c>
      <c r="AD1261" s="23"/>
      <c r="AE1261" s="28" t="s">
        <v>15</v>
      </c>
      <c r="AF1261" s="23"/>
      <c r="AG1261" s="23"/>
      <c r="AH1261" s="23" t="str">
        <f>IFERROR(__xludf.DUMMYFUNCTION("IF(
ISNUMBER(MATCH(
C1261,
IMPORTRANGE(""https://docs.google.com/spreadsheets/d/1yTh1ELC33JHYOeEdgIiEclxPRyh0zOKtlawDltfUay8"",""'Interns'!A:A""),
0
)),
""Outreach Conducted"",
"""")"),"")</f>
        <v/>
      </c>
      <c r="AI1261" s="23"/>
      <c r="AJ1261" s="23"/>
      <c r="AK1261" s="23" t="str">
        <f>IFERROR(__xludf.DUMMYFUNCTION("XLOOKUP(C1261, 
   IMPORTRANGE(""1RdEdgHYrZ33LJ7RUHj_h-qkAFL92bcVjtIdVa-UlsCw"", ""Interns!D:D""), 
   IMPORTRANGE(""1RdEdgHYrZ33LJ7RUHj_h-qkAFL92bcVjtIdVa-UlsCw"", ""Interns!M:M""), 
   ""Not Found"")"),"Contacted")</f>
        <v>Contacted</v>
      </c>
      <c r="AL1261" s="23" t="str">
        <f>IFERROR(__xludf.DUMMYFUNCTION("XLOOKUP(C1261, 
   IMPORTRANGE(""1RdEdgHYrZ33LJ7RUHj_h-qkAFL92bcVjtIdVa-UlsCw"", ""Interns!D:D""), 
   IMPORTRANGE(""1RdEdgHYrZ33LJ7RUHj_h-qkAFL92bcVjtIdVa-UlsCw"", ""Interns!N:N""), 
   ""Not Found"")"),"#Cheers4Careers")</f>
        <v>#Cheers4Careers</v>
      </c>
      <c r="AM1261" s="23" t="str">
        <f>IFERROR(__xludf.DUMMYFUNCTION("XLOOKUP(C1261, 
   IMPORTRANGE(""1RdEdgHYrZ33LJ7RUHj_h-qkAFL92bcVjtIdVa-UlsCw"", ""Interns!D:D""), 
   IMPORTRANGE(""1RdEdgHYrZ33LJ7RUHj_h-qkAFL92bcVjtIdVa-UlsCw"", ""Interns!O:O""), 
   ""Not Found"")"),"Ousmane reached out by email 3/26 and reach out by text 3/28")</f>
        <v>Ousmane reached out by email 3/26 and reach out by text 3/28</v>
      </c>
      <c r="AN1261" s="23"/>
      <c r="AO1261" s="23" t="s">
        <v>13102</v>
      </c>
      <c r="AP1261" s="28" t="s">
        <v>5182</v>
      </c>
      <c r="AQ1261" s="28"/>
      <c r="AR1261" s="23"/>
      <c r="AS1261" s="23"/>
      <c r="AT1261" s="23"/>
      <c r="AU1261" s="23"/>
      <c r="AV1261" s="23"/>
    </row>
    <row r="1262">
      <c r="A1262" s="28" t="s">
        <v>5202</v>
      </c>
      <c r="B1262" s="28" t="s">
        <v>5162</v>
      </c>
      <c r="C1262" s="23" t="str">
        <f t="shared" si="1"/>
        <v>Juliana Claire Cahumnas</v>
      </c>
      <c r="D1262" s="28" t="s">
        <v>13103</v>
      </c>
      <c r="E1262" s="28" t="s">
        <v>13104</v>
      </c>
      <c r="F1262" s="23">
        <f t="array" ref="F1262">IFERROR(
    INDEX('Hub Interns 226'!A:A, MATCH(C1262, 'Hub Interns 226'!B:B, 0)),"")</f>
        <v>705</v>
      </c>
      <c r="G1262" s="23">
        <f t="array" ref="G1262">IFERROR(
    INDEX('Hub Users 226'!A:A, MATCH(C1262, 'Hub Users 226'!B:B, 0)),"")</f>
        <v>1138</v>
      </c>
      <c r="H1262" s="28">
        <v>675.0</v>
      </c>
      <c r="I1262" s="28" t="s">
        <v>407</v>
      </c>
      <c r="J1262" s="28" t="s">
        <v>12284</v>
      </c>
      <c r="K1262" s="28" t="s">
        <v>5186</v>
      </c>
      <c r="L1262" s="28" t="s">
        <v>5196</v>
      </c>
      <c r="M1262" s="56" t="s">
        <v>13105</v>
      </c>
      <c r="N1262" s="59">
        <v>44546.47222222222</v>
      </c>
      <c r="O1262" s="58">
        <v>38195.0</v>
      </c>
      <c r="P1262" s="28">
        <f t="shared" si="37"/>
        <v>21</v>
      </c>
      <c r="Q1262" s="28" t="s">
        <v>13106</v>
      </c>
      <c r="R1262" s="28" t="s">
        <v>13107</v>
      </c>
      <c r="S1262" s="28">
        <v>6.0</v>
      </c>
      <c r="T1262" s="28">
        <v>12.0</v>
      </c>
      <c r="U1262" s="28">
        <v>30.0</v>
      </c>
      <c r="V1262" s="28">
        <v>25.0</v>
      </c>
      <c r="W1262" s="28" t="s">
        <v>1173</v>
      </c>
      <c r="X1262" s="28" t="s">
        <v>272</v>
      </c>
      <c r="Y1262" s="28" t="s">
        <v>13108</v>
      </c>
      <c r="Z1262" s="28" t="s">
        <v>5483</v>
      </c>
      <c r="AA1262" s="28" t="s">
        <v>457</v>
      </c>
      <c r="AB1262" s="28">
        <v>25.0</v>
      </c>
      <c r="AC1262" s="28" t="s">
        <v>25</v>
      </c>
      <c r="AD1262" s="23"/>
      <c r="AE1262" s="28" t="s">
        <v>10</v>
      </c>
      <c r="AF1262" s="23" t="str">
        <f>IFERROR(__xludf.DUMMYFUNCTION("TEXTJOIN("", "", TRUE,
  FILTER(Champions!C:C,
    ISNUMBER(SEARCH(C1262, Champions!W:W))
  )
)"),"Frank Weber")</f>
        <v>Frank Weber</v>
      </c>
      <c r="AG1262" s="23"/>
      <c r="AH1262" s="23" t="str">
        <f>IFERROR(__xludf.DUMMYFUNCTION("IF(
ISNUMBER(MATCH(
C1262,
IMPORTRANGE(""https://docs.google.com/spreadsheets/d/1yTh1ELC33JHYOeEdgIiEclxPRyh0zOKtlawDltfUay8"",""'Interns'!A:A""),
0
)),
""Outreach Conducted"",
"""")"),"")</f>
        <v/>
      </c>
      <c r="AI1262" s="23"/>
      <c r="AJ1262" s="23"/>
      <c r="AK1262" s="23" t="str">
        <f>IFERROR(__xludf.DUMMYFUNCTION("XLOOKUP(C1262, 
   IMPORTRANGE(""1RdEdgHYrZ33LJ7RUHj_h-qkAFL92bcVjtIdVa-UlsCw"", ""Interns!D:D""), 
   IMPORTRANGE(""1RdEdgHYrZ33LJ7RUHj_h-qkAFL92bcVjtIdVa-UlsCw"", ""Interns!M:M""), 
   ""Not Found"")"),"")</f>
        <v/>
      </c>
      <c r="AL1262" s="23" t="str">
        <f>IFERROR(__xludf.DUMMYFUNCTION("XLOOKUP(C1262, 
   IMPORTRANGE(""1RdEdgHYrZ33LJ7RUHj_h-qkAFL92bcVjtIdVa-UlsCw"", ""Interns!D:D""), 
   IMPORTRANGE(""1RdEdgHYrZ33LJ7RUHj_h-qkAFL92bcVjtIdVa-UlsCw"", ""Interns!N:N""), 
   ""Not Found"")"),"")</f>
        <v/>
      </c>
      <c r="AM1262" s="23" t="str">
        <f>IFERROR(__xludf.DUMMYFUNCTION("XLOOKUP(C1262, 
   IMPORTRANGE(""1RdEdgHYrZ33LJ7RUHj_h-qkAFL92bcVjtIdVa-UlsCw"", ""Interns!D:D""), 
   IMPORTRANGE(""1RdEdgHYrZ33LJ7RUHj_h-qkAFL92bcVjtIdVa-UlsCw"", ""Interns!O:O""), 
   ""Not Found"")"),"")</f>
        <v/>
      </c>
      <c r="AN1262" s="23"/>
      <c r="AO1262" s="23" t="s">
        <v>13109</v>
      </c>
      <c r="AP1262" s="28" t="s">
        <v>5182</v>
      </c>
      <c r="AQ1262" s="28" t="s">
        <v>13110</v>
      </c>
      <c r="AR1262" s="23" t="s">
        <v>13111</v>
      </c>
      <c r="AS1262" s="23"/>
      <c r="AT1262" s="23"/>
      <c r="AU1262" s="23"/>
      <c r="AV1262" s="23"/>
    </row>
    <row r="1263">
      <c r="A1263" s="28" t="s">
        <v>5161</v>
      </c>
      <c r="B1263" s="28" t="s">
        <v>5162</v>
      </c>
      <c r="C1263" s="23" t="str">
        <f t="shared" si="1"/>
        <v>Vy Nguyen</v>
      </c>
      <c r="D1263" s="28" t="s">
        <v>10079</v>
      </c>
      <c r="E1263" s="28" t="s">
        <v>1709</v>
      </c>
      <c r="F1263" s="23" t="str">
        <f t="array" ref="F1263">IFERROR(
    INDEX('Hub Interns 226'!A:A, MATCH(C1263, 'Hub Interns 226'!B:B, 0)),"")</f>
        <v/>
      </c>
      <c r="G1263" s="23" t="str">
        <f t="array" ref="G1263">IFERROR(
    INDEX('Hub Users 226'!A:A, MATCH(C1263, 'Hub Users 226'!B:B, 0)),"")</f>
        <v/>
      </c>
      <c r="H1263" s="28">
        <v>28.0</v>
      </c>
      <c r="I1263" s="28"/>
      <c r="J1263" s="28" t="s">
        <v>13089</v>
      </c>
      <c r="K1263" s="28" t="s">
        <v>5186</v>
      </c>
      <c r="L1263" s="28" t="s">
        <v>5196</v>
      </c>
      <c r="M1263" s="28"/>
      <c r="N1263" s="57">
        <v>43741.63055555556</v>
      </c>
      <c r="O1263" s="58"/>
      <c r="P1263" s="28"/>
      <c r="Q1263" s="28" t="s">
        <v>240</v>
      </c>
      <c r="R1263" s="23"/>
      <c r="S1263" s="28"/>
      <c r="T1263" s="28"/>
      <c r="U1263" s="28"/>
      <c r="V1263" s="28"/>
      <c r="W1263" s="28" t="s">
        <v>380</v>
      </c>
      <c r="X1263" s="28" t="s">
        <v>381</v>
      </c>
      <c r="Y1263" s="28" t="s">
        <v>13112</v>
      </c>
      <c r="Z1263" s="28" t="s">
        <v>5491</v>
      </c>
      <c r="AA1263" s="28" t="s">
        <v>5492</v>
      </c>
      <c r="AB1263" s="28">
        <v>47.0</v>
      </c>
      <c r="AC1263" s="28" t="s">
        <v>25</v>
      </c>
      <c r="AD1263" s="23"/>
      <c r="AE1263" s="28" t="s">
        <v>4</v>
      </c>
      <c r="AF1263" s="23" t="str">
        <f>IFERROR(__xludf.DUMMYFUNCTION("TEXTJOIN("", "", TRUE,
  FILTER(Champions!C:C,
    ISNUMBER(SEARCH(C1263, Champions!W:W))
  )
)"),"#N/A")</f>
        <v>#N/A</v>
      </c>
      <c r="AG1263" s="23"/>
      <c r="AH1263" s="23" t="str">
        <f>IFERROR(__xludf.DUMMYFUNCTION("IF(
ISNUMBER(MATCH(
C1263,
IMPORTRANGE(""https://docs.google.com/spreadsheets/d/1yTh1ELC33JHYOeEdgIiEclxPRyh0zOKtlawDltfUay8"",""'Interns'!A:A""),
0
)),
""Outreach Conducted"",
"""")"),"")</f>
        <v/>
      </c>
      <c r="AI1263" s="23"/>
      <c r="AJ1263" s="23"/>
      <c r="AK1263" s="23" t="str">
        <f>IFERROR(__xludf.DUMMYFUNCTION("XLOOKUP(C1263, 
   IMPORTRANGE(""1RdEdgHYrZ33LJ7RUHj_h-qkAFL92bcVjtIdVa-UlsCw"", ""Interns!D:D""), 
   IMPORTRANGE(""1RdEdgHYrZ33LJ7RUHj_h-qkAFL92bcVjtIdVa-UlsCw"", ""Interns!M:M""), 
   ""Not Found"")"),"")</f>
        <v/>
      </c>
      <c r="AL1263" s="23" t="str">
        <f>IFERROR(__xludf.DUMMYFUNCTION("XLOOKUP(C1263, 
   IMPORTRANGE(""1RdEdgHYrZ33LJ7RUHj_h-qkAFL92bcVjtIdVa-UlsCw"", ""Interns!D:D""), 
   IMPORTRANGE(""1RdEdgHYrZ33LJ7RUHj_h-qkAFL92bcVjtIdVa-UlsCw"", ""Interns!N:N""), 
   ""Not Found"")"),"")</f>
        <v/>
      </c>
      <c r="AM1263" s="23" t="str">
        <f>IFERROR(__xludf.DUMMYFUNCTION("XLOOKUP(C1263, 
   IMPORTRANGE(""1RdEdgHYrZ33LJ7RUHj_h-qkAFL92bcVjtIdVa-UlsCw"", ""Interns!D:D""), 
   IMPORTRANGE(""1RdEdgHYrZ33LJ7RUHj_h-qkAFL92bcVjtIdVa-UlsCw"", ""Interns!O:O""), 
   ""Not Found"")"),"")</f>
        <v/>
      </c>
      <c r="AN1263" s="23"/>
      <c r="AO1263" s="23" t="s">
        <v>13113</v>
      </c>
      <c r="AP1263" s="28" t="s">
        <v>5191</v>
      </c>
      <c r="AQ1263" s="28" t="s">
        <v>13113</v>
      </c>
      <c r="AR1263" s="23" t="s">
        <v>13114</v>
      </c>
      <c r="AS1263" s="23"/>
      <c r="AT1263" s="23"/>
      <c r="AU1263" s="23"/>
      <c r="AV1263" s="23"/>
    </row>
    <row r="1264">
      <c r="A1264" s="28" t="s">
        <v>5161</v>
      </c>
      <c r="B1264" s="28" t="s">
        <v>5162</v>
      </c>
      <c r="C1264" s="23" t="str">
        <f t="shared" si="1"/>
        <v>Nana Keita</v>
      </c>
      <c r="D1264" s="28" t="s">
        <v>13115</v>
      </c>
      <c r="E1264" s="28" t="s">
        <v>13116</v>
      </c>
      <c r="F1264" s="23" t="str">
        <f t="array" ref="F1264">IFERROR(
    INDEX('Hub Interns 226'!A:A, MATCH(C1264, 'Hub Interns 226'!B:B, 0)),"")</f>
        <v/>
      </c>
      <c r="G1264" s="23">
        <f t="array" ref="G1264">IFERROR(
    INDEX('Hub Users 226'!A:A, MATCH(C1264, 'Hub Users 226'!B:B, 0)),"")</f>
        <v>1346</v>
      </c>
      <c r="H1264" s="28">
        <v>1214.0</v>
      </c>
      <c r="I1264" s="28" t="s">
        <v>260</v>
      </c>
      <c r="J1264" s="28" t="s">
        <v>11408</v>
      </c>
      <c r="K1264" s="28" t="s">
        <v>5245</v>
      </c>
      <c r="L1264" s="28" t="s">
        <v>5196</v>
      </c>
      <c r="M1264" s="56" t="s">
        <v>13117</v>
      </c>
      <c r="N1264" s="57">
        <v>44835.81180555555</v>
      </c>
      <c r="O1264" s="58">
        <v>37818.0</v>
      </c>
      <c r="P1264" s="28">
        <f t="shared" ref="P1264:P1338" si="38">DATEDIF(O1264, TODAY(), "Y")</f>
        <v>22</v>
      </c>
      <c r="Q1264" s="28" t="s">
        <v>13118</v>
      </c>
      <c r="R1264" s="28" t="s">
        <v>13119</v>
      </c>
      <c r="S1264" s="28">
        <v>15.0</v>
      </c>
      <c r="T1264" s="28">
        <v>36.0</v>
      </c>
      <c r="U1264" s="28">
        <v>83.0</v>
      </c>
      <c r="V1264" s="28">
        <v>12.0</v>
      </c>
      <c r="W1264" s="28" t="s">
        <v>859</v>
      </c>
      <c r="X1264" s="28" t="s">
        <v>272</v>
      </c>
      <c r="Y1264" s="28">
        <v>3.475029332E9</v>
      </c>
      <c r="Z1264" s="28" t="s">
        <v>5435</v>
      </c>
      <c r="AA1264" s="28" t="s">
        <v>5436</v>
      </c>
      <c r="AB1264" s="28">
        <v>10.0</v>
      </c>
      <c r="AC1264" s="28" t="s">
        <v>25</v>
      </c>
      <c r="AD1264" s="23"/>
      <c r="AE1264" s="28" t="s">
        <v>15</v>
      </c>
      <c r="AF1264" s="23" t="str">
        <f>IFERROR(__xludf.DUMMYFUNCTION("TEXTJOIN("", "", TRUE,
  FILTER(Champions!C:C,
    ISNUMBER(SEARCH(C1264, Champions!W:W))
  )
)"),"Monique Rochell Anderson, Saima Malik, Saima Malik (D)")</f>
        <v>Monique Rochell Anderson, Saima Malik, Saima Malik (D)</v>
      </c>
      <c r="AG1264" s="23"/>
      <c r="AH1264" s="23" t="str">
        <f>IFERROR(__xludf.DUMMYFUNCTION("IF(
ISNUMBER(MATCH(
C1264,
IMPORTRANGE(""https://docs.google.com/spreadsheets/d/1yTh1ELC33JHYOeEdgIiEclxPRyh0zOKtlawDltfUay8"",""'Interns'!A:A""),
0
)),
""Outreach Conducted"",
"""")"),"")</f>
        <v/>
      </c>
      <c r="AI1264" s="23"/>
      <c r="AJ1264" s="23"/>
      <c r="AK1264" s="23" t="str">
        <f>IFERROR(__xludf.DUMMYFUNCTION("XLOOKUP(C1264, 
   IMPORTRANGE(""1RdEdgHYrZ33LJ7RUHj_h-qkAFL92bcVjtIdVa-UlsCw"", ""Interns!D:D""), 
   IMPORTRANGE(""1RdEdgHYrZ33LJ7RUHj_h-qkAFL92bcVjtIdVa-UlsCw"", ""Interns!M:M""), 
   ""Not Found"")"),"Contacted")</f>
        <v>Contacted</v>
      </c>
      <c r="AL1264" s="23" t="str">
        <f>IFERROR(__xludf.DUMMYFUNCTION("XLOOKUP(C1264, 
   IMPORTRANGE(""1RdEdgHYrZ33LJ7RUHj_h-qkAFL92bcVjtIdVa-UlsCw"", ""Interns!D:D""), 
   IMPORTRANGE(""1RdEdgHYrZ33LJ7RUHj_h-qkAFL92bcVjtIdVa-UlsCw"", ""Interns!N:N""), 
   ""Not Found"")"),"#Cheers4Careers")</f>
        <v>#Cheers4Careers</v>
      </c>
      <c r="AM1264" s="23" t="str">
        <f>IFERROR(__xludf.DUMMYFUNCTION("XLOOKUP(C1264, 
   IMPORTRANGE(""1RdEdgHYrZ33LJ7RUHj_h-qkAFL92bcVjtIdVa-UlsCw"", ""Interns!D:D""), 
   IMPORTRANGE(""1RdEdgHYrZ33LJ7RUHj_h-qkAFL92bcVjtIdVa-UlsCw"", ""Interns!O:O""), 
   ""Not Found"")"),"Hetal reached out by email 3/27")</f>
        <v>Hetal reached out by email 3/27</v>
      </c>
      <c r="AN1264" s="23"/>
      <c r="AO1264" s="23" t="s">
        <v>13120</v>
      </c>
      <c r="AP1264" s="28" t="s">
        <v>5880</v>
      </c>
      <c r="AQ1264" s="28" t="s">
        <v>13121</v>
      </c>
      <c r="AR1264" s="23">
        <v>6.463847656E9</v>
      </c>
      <c r="AS1264" s="23"/>
      <c r="AT1264" s="23"/>
      <c r="AU1264" s="23"/>
      <c r="AV1264" s="23"/>
    </row>
    <row r="1265">
      <c r="A1265" s="28" t="s">
        <v>5161</v>
      </c>
      <c r="B1265" s="28" t="s">
        <v>5162</v>
      </c>
      <c r="C1265" s="23" t="str">
        <f t="shared" si="1"/>
        <v>Audrey Made Mewoli</v>
      </c>
      <c r="D1265" s="28" t="s">
        <v>6986</v>
      </c>
      <c r="E1265" s="28" t="s">
        <v>13122</v>
      </c>
      <c r="F1265" s="23">
        <f t="array" ref="F1265">IFERROR(
    INDEX('Hub Interns 226'!A:A, MATCH(C1265, 'Hub Interns 226'!B:B, 0)),"")</f>
        <v>275</v>
      </c>
      <c r="G1265" s="23">
        <f t="array" ref="G1265">IFERROR(
    INDEX('Hub Users 226'!A:A, MATCH(C1265, 'Hub Users 226'!B:B, 0)),"")</f>
        <v>708</v>
      </c>
      <c r="H1265" s="28">
        <v>1155.0</v>
      </c>
      <c r="I1265" s="28" t="s">
        <v>107</v>
      </c>
      <c r="J1265" s="28" t="s">
        <v>5926</v>
      </c>
      <c r="K1265" s="28" t="s">
        <v>5245</v>
      </c>
      <c r="L1265" s="28" t="s">
        <v>5196</v>
      </c>
      <c r="M1265" s="56" t="s">
        <v>8872</v>
      </c>
      <c r="N1265" s="57">
        <v>44750.88333333333</v>
      </c>
      <c r="O1265" s="58">
        <v>38247.0</v>
      </c>
      <c r="P1265" s="28">
        <f t="shared" si="38"/>
        <v>21</v>
      </c>
      <c r="Q1265" s="28" t="s">
        <v>13123</v>
      </c>
      <c r="R1265" s="28" t="s">
        <v>13124</v>
      </c>
      <c r="S1265" s="28">
        <v>13.0</v>
      </c>
      <c r="T1265" s="28">
        <v>31.0</v>
      </c>
      <c r="U1265" s="28">
        <v>86.0</v>
      </c>
      <c r="V1265" s="28">
        <v>14.0</v>
      </c>
      <c r="W1265" s="28" t="s">
        <v>859</v>
      </c>
      <c r="X1265" s="28" t="s">
        <v>272</v>
      </c>
      <c r="Y1265" s="28" t="s">
        <v>8874</v>
      </c>
      <c r="Z1265" s="28" t="s">
        <v>7670</v>
      </c>
      <c r="AA1265" s="28" t="s">
        <v>7671</v>
      </c>
      <c r="AB1265" s="28">
        <v>10.0</v>
      </c>
      <c r="AC1265" s="28" t="s">
        <v>25</v>
      </c>
      <c r="AD1265" s="23"/>
      <c r="AE1265" s="28" t="s">
        <v>15</v>
      </c>
      <c r="AF1265" s="23" t="str">
        <f>IFERROR(__xludf.DUMMYFUNCTION("TEXTJOIN("", "", TRUE,
  FILTER(Champions!C:C,
    ISNUMBER(SEARCH(C1265, Champions!W:W))
  )
)"),"Leif Castren, Nishika Vidanage-Lulejian, Sharon Shi")</f>
        <v>Leif Castren, Nishika Vidanage-Lulejian, Sharon Shi</v>
      </c>
      <c r="AG1265" s="26" t="s">
        <v>7320</v>
      </c>
      <c r="AH1265" s="23" t="str">
        <f>IFERROR(__xludf.DUMMYFUNCTION("IF(
ISNUMBER(MATCH(
C1265,
IMPORTRANGE(""https://docs.google.com/spreadsheets/d/1yTh1ELC33JHYOeEdgIiEclxPRyh0zOKtlawDltfUay8"",""'Interns'!A:A""),
0
)),
""Outreach Conducted"",
"""")"),"")</f>
        <v/>
      </c>
      <c r="AI1265" s="23"/>
      <c r="AJ1265" s="23"/>
      <c r="AK1265" s="23" t="str">
        <f>IFERROR(__xludf.DUMMYFUNCTION("XLOOKUP(C1265, 
   IMPORTRANGE(""1RdEdgHYrZ33LJ7RUHj_h-qkAFL92bcVjtIdVa-UlsCw"", ""Interns!D:D""), 
   IMPORTRANGE(""1RdEdgHYrZ33LJ7RUHj_h-qkAFL92bcVjtIdVa-UlsCw"", ""Interns!M:M""), 
   ""Not Found"")"),"Contacted")</f>
        <v>Contacted</v>
      </c>
      <c r="AL1265" s="23" t="str">
        <f>IFERROR(__xludf.DUMMYFUNCTION("XLOOKUP(C1265, 
   IMPORTRANGE(""1RdEdgHYrZ33LJ7RUHj_h-qkAFL92bcVjtIdVa-UlsCw"", ""Interns!D:D""), 
   IMPORTRANGE(""1RdEdgHYrZ33LJ7RUHj_h-qkAFL92bcVjtIdVa-UlsCw"", ""Interns!N:N""), 
   ""Not Found"")"),"#Cheers4Careers")</f>
        <v>#Cheers4Careers</v>
      </c>
      <c r="AM1265" s="23" t="str">
        <f>IFERROR(__xludf.DUMMYFUNCTION("XLOOKUP(C1265, 
   IMPORTRANGE(""1RdEdgHYrZ33LJ7RUHj_h-qkAFL92bcVjtIdVa-UlsCw"", ""Interns!D:D""), 
   IMPORTRANGE(""1RdEdgHYrZ33LJ7RUHj_h-qkAFL92bcVjtIdVa-UlsCw"", ""Interns!O:O""), 
   ""Not Found"")"),"Hetal reached out by email 3/27")</f>
        <v>Hetal reached out by email 3/27</v>
      </c>
      <c r="AN1265" s="23"/>
      <c r="AO1265" s="23" t="s">
        <v>8875</v>
      </c>
      <c r="AP1265" s="28" t="s">
        <v>5182</v>
      </c>
      <c r="AQ1265" s="28" t="s">
        <v>13125</v>
      </c>
      <c r="AR1265" s="23" t="s">
        <v>13126</v>
      </c>
      <c r="AS1265" s="23"/>
      <c r="AT1265" s="23"/>
      <c r="AU1265" s="23"/>
      <c r="AV1265" s="23"/>
    </row>
    <row r="1266">
      <c r="A1266" s="28" t="s">
        <v>5202</v>
      </c>
      <c r="B1266" s="28" t="s">
        <v>5162</v>
      </c>
      <c r="C1266" s="23" t="str">
        <f t="shared" si="1"/>
        <v>Jandel Garcia</v>
      </c>
      <c r="D1266" s="28" t="s">
        <v>13127</v>
      </c>
      <c r="E1266" s="28" t="s">
        <v>1484</v>
      </c>
      <c r="F1266" s="23">
        <f t="array" ref="F1266">IFERROR(
    INDEX('Hub Interns 226'!A:A, MATCH(C1266, 'Hub Interns 226'!B:B, 0)),"")</f>
        <v>622</v>
      </c>
      <c r="G1266" s="23">
        <f t="array" ref="G1266">IFERROR(
    INDEX('Hub Users 226'!A:A, MATCH(C1266, 'Hub Users 226'!B:B, 0)),"")</f>
        <v>1055</v>
      </c>
      <c r="H1266" s="28">
        <v>925.0</v>
      </c>
      <c r="I1266" s="28"/>
      <c r="J1266" s="28" t="s">
        <v>12357</v>
      </c>
      <c r="K1266" s="28" t="s">
        <v>5177</v>
      </c>
      <c r="L1266" s="28" t="s">
        <v>5165</v>
      </c>
      <c r="M1266" s="56" t="s">
        <v>13128</v>
      </c>
      <c r="N1266" s="57">
        <v>44603.47361111111</v>
      </c>
      <c r="O1266" s="58">
        <v>37948.0</v>
      </c>
      <c r="P1266" s="28">
        <f t="shared" si="38"/>
        <v>22</v>
      </c>
      <c r="Q1266" s="28" t="s">
        <v>240</v>
      </c>
      <c r="R1266" s="28" t="s">
        <v>13129</v>
      </c>
      <c r="S1266" s="28">
        <v>14.0</v>
      </c>
      <c r="T1266" s="28">
        <v>29.0</v>
      </c>
      <c r="U1266" s="28">
        <v>85.0</v>
      </c>
      <c r="V1266" s="28">
        <v>17.0</v>
      </c>
      <c r="W1266" s="28" t="s">
        <v>859</v>
      </c>
      <c r="X1266" s="28" t="s">
        <v>272</v>
      </c>
      <c r="Y1266" s="28" t="s">
        <v>13130</v>
      </c>
      <c r="Z1266" s="28" t="s">
        <v>5208</v>
      </c>
      <c r="AA1266" s="28" t="s">
        <v>2141</v>
      </c>
      <c r="AB1266" s="28">
        <v>8.0</v>
      </c>
      <c r="AC1266" s="28" t="s">
        <v>24</v>
      </c>
      <c r="AD1266" s="23"/>
      <c r="AE1266" s="28" t="s">
        <v>10</v>
      </c>
      <c r="AF1266" s="23"/>
      <c r="AG1266" s="23"/>
      <c r="AH1266" s="23" t="str">
        <f>IFERROR(__xludf.DUMMYFUNCTION("IF(
ISNUMBER(MATCH(
C1266,
IMPORTRANGE(""https://docs.google.com/spreadsheets/d/1yTh1ELC33JHYOeEdgIiEclxPRyh0zOKtlawDltfUay8"",""'Interns'!A:A""),
0
)),
""Outreach Conducted"",
"""")"),"")</f>
        <v/>
      </c>
      <c r="AI1266" s="23"/>
      <c r="AJ1266" s="23"/>
      <c r="AK1266" s="23" t="str">
        <f>IFERROR(__xludf.DUMMYFUNCTION("XLOOKUP(C1266, 
   IMPORTRANGE(""1RdEdgHYrZ33LJ7RUHj_h-qkAFL92bcVjtIdVa-UlsCw"", ""Interns!D:D""), 
   IMPORTRANGE(""1RdEdgHYrZ33LJ7RUHj_h-qkAFL92bcVjtIdVa-UlsCw"", ""Interns!M:M""), 
   ""Not Found"")"),"")</f>
        <v/>
      </c>
      <c r="AL1266" s="23" t="str">
        <f>IFERROR(__xludf.DUMMYFUNCTION("XLOOKUP(C1266, 
   IMPORTRANGE(""1RdEdgHYrZ33LJ7RUHj_h-qkAFL92bcVjtIdVa-UlsCw"", ""Interns!D:D""), 
   IMPORTRANGE(""1RdEdgHYrZ33LJ7RUHj_h-qkAFL92bcVjtIdVa-UlsCw"", ""Interns!N:N""), 
   ""Not Found"")"),"")</f>
        <v/>
      </c>
      <c r="AM1266" s="23" t="str">
        <f>IFERROR(__xludf.DUMMYFUNCTION("XLOOKUP(C1266, 
   IMPORTRANGE(""1RdEdgHYrZ33LJ7RUHj_h-qkAFL92bcVjtIdVa-UlsCw"", ""Interns!D:D""), 
   IMPORTRANGE(""1RdEdgHYrZ33LJ7RUHj_h-qkAFL92bcVjtIdVa-UlsCw"", ""Interns!O:O""), 
   ""Not Found"")"),"")</f>
        <v/>
      </c>
      <c r="AN1266" s="23"/>
      <c r="AO1266" s="23" t="s">
        <v>13131</v>
      </c>
      <c r="AP1266" s="28" t="s">
        <v>5182</v>
      </c>
      <c r="AQ1266" s="28"/>
      <c r="AR1266" s="23"/>
      <c r="AS1266" s="23"/>
      <c r="AT1266" s="23"/>
      <c r="AU1266" s="23"/>
      <c r="AV1266" s="23"/>
    </row>
    <row r="1267">
      <c r="A1267" s="28" t="s">
        <v>5161</v>
      </c>
      <c r="B1267" s="28" t="s">
        <v>5162</v>
      </c>
      <c r="C1267" s="23" t="str">
        <f t="shared" si="1"/>
        <v>Rasel Ali</v>
      </c>
      <c r="D1267" s="28" t="s">
        <v>13132</v>
      </c>
      <c r="E1267" s="28" t="s">
        <v>9802</v>
      </c>
      <c r="F1267" s="23">
        <f t="array" ref="F1267">IFERROR(
    INDEX('Hub Interns 226'!A:A, MATCH(C1267, 'Hub Interns 226'!B:B, 0)),"")</f>
        <v>1017</v>
      </c>
      <c r="G1267" s="23">
        <f t="array" ref="G1267">IFERROR(
    INDEX('Hub Users 226'!A:A, MATCH(C1267, 'Hub Users 226'!B:B, 0)),"")</f>
        <v>1450</v>
      </c>
      <c r="H1267" s="28">
        <v>462.0</v>
      </c>
      <c r="I1267" s="28" t="s">
        <v>239</v>
      </c>
      <c r="J1267" s="28" t="s">
        <v>5416</v>
      </c>
      <c r="K1267" s="28" t="s">
        <v>5186</v>
      </c>
      <c r="L1267" s="28" t="s">
        <v>5165</v>
      </c>
      <c r="M1267" s="56" t="s">
        <v>154</v>
      </c>
      <c r="N1267" s="57">
        <v>44357.47708333333</v>
      </c>
      <c r="O1267" s="58">
        <v>37261.0</v>
      </c>
      <c r="P1267" s="28">
        <f t="shared" si="38"/>
        <v>24</v>
      </c>
      <c r="Q1267" s="28" t="s">
        <v>13133</v>
      </c>
      <c r="R1267" s="28" t="s">
        <v>13134</v>
      </c>
      <c r="S1267" s="28">
        <v>14.0</v>
      </c>
      <c r="T1267" s="28">
        <v>34.0</v>
      </c>
      <c r="U1267" s="28">
        <v>87.0</v>
      </c>
      <c r="V1267" s="28">
        <v>18.0</v>
      </c>
      <c r="W1267" s="28" t="s">
        <v>859</v>
      </c>
      <c r="X1267" s="28" t="s">
        <v>272</v>
      </c>
      <c r="Y1267" s="28" t="s">
        <v>13135</v>
      </c>
      <c r="Z1267" s="28" t="s">
        <v>5208</v>
      </c>
      <c r="AA1267" s="28" t="s">
        <v>2141</v>
      </c>
      <c r="AB1267" s="28">
        <v>8.0</v>
      </c>
      <c r="AC1267" s="28" t="s">
        <v>25</v>
      </c>
      <c r="AD1267" s="23"/>
      <c r="AE1267" s="28" t="s">
        <v>10</v>
      </c>
      <c r="AF1267" s="23" t="str">
        <f>IFERROR(__xludf.DUMMYFUNCTION("TEXTJOIN("", "", TRUE,
  FILTER(Champions!C:C,
    ISNUMBER(SEARCH(C1267, Champions!W:W))
  )
)"),"Anya Smith, Anya Smith, Loren Hernandez, Soraya Senosier")</f>
        <v>Anya Smith, Anya Smith, Loren Hernandez, Soraya Senosier</v>
      </c>
      <c r="AG1267" s="26" t="s">
        <v>13136</v>
      </c>
      <c r="AH1267" s="23" t="str">
        <f>IFERROR(__xludf.DUMMYFUNCTION("IF(
ISNUMBER(MATCH(
C1267,
IMPORTRANGE(""https://docs.google.com/spreadsheets/d/1yTh1ELC33JHYOeEdgIiEclxPRyh0zOKtlawDltfUay8"",""'Interns'!A:A""),
0
)),
""Outreach Conducted"",
"""")"),"")</f>
        <v/>
      </c>
      <c r="AI1267" s="23"/>
      <c r="AJ1267" s="23"/>
      <c r="AK1267" s="23" t="str">
        <f>IFERROR(__xludf.DUMMYFUNCTION("XLOOKUP(C1267, 
   IMPORTRANGE(""1RdEdgHYrZ33LJ7RUHj_h-qkAFL92bcVjtIdVa-UlsCw"", ""Interns!D:D""), 
   IMPORTRANGE(""1RdEdgHYrZ33LJ7RUHj_h-qkAFL92bcVjtIdVa-UlsCw"", ""Interns!M:M""), 
   ""Not Found"")"),"In Communication")</f>
        <v>In Communication</v>
      </c>
      <c r="AL1267" s="23" t="str">
        <f>IFERROR(__xludf.DUMMYFUNCTION("XLOOKUP(C1267, 
   IMPORTRANGE(""1RdEdgHYrZ33LJ7RUHj_h-qkAFL92bcVjtIdVa-UlsCw"", ""Interns!D:D""), 
   IMPORTRANGE(""1RdEdgHYrZ33LJ7RUHj_h-qkAFL92bcVjtIdVa-UlsCw"", ""Interns!N:N""), 
   ""Not Found"")"),"#Cheers4Careers")</f>
        <v>#Cheers4Careers</v>
      </c>
      <c r="AM1267" s="23" t="str">
        <f>IFERROR(__xludf.DUMMYFUNCTION("XLOOKUP(C1267, 
   IMPORTRANGE(""1RdEdgHYrZ33LJ7RUHj_h-qkAFL92bcVjtIdVa-UlsCw"", ""Interns!D:D""), 
   IMPORTRANGE(""1RdEdgHYrZ33LJ7RUHj_h-qkAFL92bcVjtIdVa-UlsCw"", ""Interns!O:O""), 
   ""Not Found"")"),"Hetal reached out by email 3/27 -- he came to the over 21 March #Cheers4Careers in Manhattan; in communication about joining Board
Hetal reached out on 4/10 by whatsapp for April 18th #Cheers4Careers")</f>
        <v>Hetal reached out by email 3/27 -- he came to the over 21 March #Cheers4Careers in Manhattan; in communication about joining Board
Hetal reached out on 4/10 by whatsapp for April 18th #Cheers4Careers</v>
      </c>
      <c r="AN1267" s="23"/>
      <c r="AO1267" s="23" t="s">
        <v>13137</v>
      </c>
      <c r="AP1267" s="28" t="s">
        <v>5182</v>
      </c>
      <c r="AQ1267" s="28" t="s">
        <v>154</v>
      </c>
      <c r="AR1267" s="23" t="s">
        <v>13138</v>
      </c>
      <c r="AS1267" s="28" t="s">
        <v>8320</v>
      </c>
      <c r="AT1267" s="23"/>
      <c r="AU1267" s="23"/>
      <c r="AV1267" s="23"/>
    </row>
    <row r="1268">
      <c r="A1268" s="28" t="s">
        <v>5202</v>
      </c>
      <c r="B1268" s="28" t="s">
        <v>5162</v>
      </c>
      <c r="C1268" s="23" t="str">
        <f t="shared" si="1"/>
        <v>Julieth Vasquez</v>
      </c>
      <c r="D1268" s="28" t="s">
        <v>13139</v>
      </c>
      <c r="E1268" s="28" t="s">
        <v>7764</v>
      </c>
      <c r="F1268" s="23">
        <f t="array" ref="F1268">IFERROR(
    INDEX('Hub Interns 226'!A:A, MATCH(C1268, 'Hub Interns 226'!B:B, 0)),"")</f>
        <v>710</v>
      </c>
      <c r="G1268" s="23">
        <f t="array" ref="G1268">IFERROR(
    INDEX('Hub Users 226'!A:A, MATCH(C1268, 'Hub Users 226'!B:B, 0)),"")</f>
        <v>1143</v>
      </c>
      <c r="H1268" s="28">
        <v>274.0</v>
      </c>
      <c r="I1268" s="28" t="s">
        <v>260</v>
      </c>
      <c r="J1268" s="28" t="s">
        <v>12357</v>
      </c>
      <c r="K1268" s="28" t="s">
        <v>5177</v>
      </c>
      <c r="L1268" s="28" t="s">
        <v>5196</v>
      </c>
      <c r="M1268" s="56" t="s">
        <v>13140</v>
      </c>
      <c r="N1268" s="57">
        <v>44211.41180555556</v>
      </c>
      <c r="O1268" s="58">
        <v>38169.0</v>
      </c>
      <c r="P1268" s="28">
        <f t="shared" si="38"/>
        <v>21</v>
      </c>
      <c r="Q1268" s="28" t="s">
        <v>13141</v>
      </c>
      <c r="R1268" s="28" t="s">
        <v>13142</v>
      </c>
      <c r="S1268" s="28">
        <v>15.0</v>
      </c>
      <c r="T1268" s="28">
        <v>32.0</v>
      </c>
      <c r="U1268" s="28">
        <v>79.0</v>
      </c>
      <c r="V1268" s="28">
        <v>15.0</v>
      </c>
      <c r="W1268" s="28" t="s">
        <v>859</v>
      </c>
      <c r="X1268" s="28" t="s">
        <v>272</v>
      </c>
      <c r="Y1268" s="28" t="s">
        <v>13143</v>
      </c>
      <c r="Z1268" s="28" t="s">
        <v>5918</v>
      </c>
      <c r="AA1268" s="28" t="s">
        <v>477</v>
      </c>
      <c r="AB1268" s="28">
        <v>15.0</v>
      </c>
      <c r="AC1268" s="28" t="s">
        <v>25</v>
      </c>
      <c r="AD1268" s="23"/>
      <c r="AE1268" s="28" t="s">
        <v>8</v>
      </c>
      <c r="AF1268" s="23" t="str">
        <f>IFERROR(__xludf.DUMMYFUNCTION("TEXTJOIN("", "", TRUE,
  FILTER(Champions!C:C,
    ISNUMBER(SEARCH(C1268, Champions!W:W))
  )
)"),"Divya Padgaonkar")</f>
        <v>Divya Padgaonkar</v>
      </c>
      <c r="AG1268" s="23"/>
      <c r="AH1268" s="23" t="str">
        <f>IFERROR(__xludf.DUMMYFUNCTION("IF(
ISNUMBER(MATCH(
C1268,
IMPORTRANGE(""https://docs.google.com/spreadsheets/d/1yTh1ELC33JHYOeEdgIiEclxPRyh0zOKtlawDltfUay8"",""'Interns'!A:A""),
0
)),
""Outreach Conducted"",
"""")"),"")</f>
        <v/>
      </c>
      <c r="AI1268" s="23"/>
      <c r="AJ1268" s="23"/>
      <c r="AK1268" s="23" t="str">
        <f>IFERROR(__xludf.DUMMYFUNCTION("XLOOKUP(C1268, 
   IMPORTRANGE(""1RdEdgHYrZ33LJ7RUHj_h-qkAFL92bcVjtIdVa-UlsCw"", ""Interns!D:D""), 
   IMPORTRANGE(""1RdEdgHYrZ33LJ7RUHj_h-qkAFL92bcVjtIdVa-UlsCw"", ""Interns!M:M""), 
   ""Not Found"")"),"")</f>
        <v/>
      </c>
      <c r="AL1268" s="23" t="str">
        <f>IFERROR(__xludf.DUMMYFUNCTION("XLOOKUP(C1268, 
   IMPORTRANGE(""1RdEdgHYrZ33LJ7RUHj_h-qkAFL92bcVjtIdVa-UlsCw"", ""Interns!D:D""), 
   IMPORTRANGE(""1RdEdgHYrZ33LJ7RUHj_h-qkAFL92bcVjtIdVa-UlsCw"", ""Interns!N:N""), 
   ""Not Found"")"),"")</f>
        <v/>
      </c>
      <c r="AM1268" s="23" t="str">
        <f>IFERROR(__xludf.DUMMYFUNCTION("XLOOKUP(C1268, 
   IMPORTRANGE(""1RdEdgHYrZ33LJ7RUHj_h-qkAFL92bcVjtIdVa-UlsCw"", ""Interns!D:D""), 
   IMPORTRANGE(""1RdEdgHYrZ33LJ7RUHj_h-qkAFL92bcVjtIdVa-UlsCw"", ""Interns!O:O""), 
   ""Not Found"")"),"")</f>
        <v/>
      </c>
      <c r="AN1268" s="23"/>
      <c r="AO1268" s="23" t="s">
        <v>13144</v>
      </c>
      <c r="AP1268" s="28" t="s">
        <v>5182</v>
      </c>
      <c r="AQ1268" s="28" t="s">
        <v>13145</v>
      </c>
      <c r="AR1268" s="23">
        <v>3.473030073E9</v>
      </c>
      <c r="AS1268" s="23"/>
      <c r="AT1268" s="23"/>
      <c r="AU1268" s="23"/>
      <c r="AV1268" s="23"/>
    </row>
    <row r="1269">
      <c r="A1269" s="28" t="s">
        <v>5161</v>
      </c>
      <c r="B1269" s="28" t="s">
        <v>5162</v>
      </c>
      <c r="C1269" s="23" t="str">
        <f t="shared" si="1"/>
        <v>Santiago Espinel</v>
      </c>
      <c r="D1269" s="28" t="s">
        <v>6377</v>
      </c>
      <c r="E1269" s="28" t="s">
        <v>13146</v>
      </c>
      <c r="F1269" s="23">
        <f t="array" ref="F1269">IFERROR(
    INDEX('Hub Interns 226'!A:A, MATCH(C1269, 'Hub Interns 226'!B:B, 0)),"")</f>
        <v>1068</v>
      </c>
      <c r="G1269" s="23">
        <f t="array" ref="G1269">IFERROR(
    INDEX('Hub Users 226'!A:A, MATCH(C1269, 'Hub Users 226'!B:B, 0)),"")</f>
        <v>1501</v>
      </c>
      <c r="H1269" s="28">
        <v>608.0</v>
      </c>
      <c r="I1269" s="28" t="s">
        <v>260</v>
      </c>
      <c r="J1269" s="28" t="s">
        <v>2388</v>
      </c>
      <c r="K1269" s="28" t="s">
        <v>5463</v>
      </c>
      <c r="L1269" s="28" t="s">
        <v>5165</v>
      </c>
      <c r="M1269" s="56" t="s">
        <v>13147</v>
      </c>
      <c r="N1269" s="59">
        <v>44490.654861111114</v>
      </c>
      <c r="O1269" s="58">
        <v>38412.0</v>
      </c>
      <c r="P1269" s="28">
        <f t="shared" si="38"/>
        <v>21</v>
      </c>
      <c r="Q1269" s="28" t="s">
        <v>240</v>
      </c>
      <c r="R1269" s="28" t="s">
        <v>13148</v>
      </c>
      <c r="S1269" s="28">
        <v>6.0</v>
      </c>
      <c r="T1269" s="28">
        <v>16.0</v>
      </c>
      <c r="U1269" s="28">
        <v>40.0</v>
      </c>
      <c r="V1269" s="28">
        <v>20.0</v>
      </c>
      <c r="W1269" s="28" t="s">
        <v>1173</v>
      </c>
      <c r="X1269" s="28" t="s">
        <v>272</v>
      </c>
      <c r="Y1269" s="28" t="s">
        <v>13149</v>
      </c>
      <c r="Z1269" s="28" t="s">
        <v>5189</v>
      </c>
      <c r="AA1269" s="28" t="s">
        <v>619</v>
      </c>
      <c r="AB1269" s="28">
        <v>20.0</v>
      </c>
      <c r="AC1269" s="28" t="s">
        <v>25</v>
      </c>
      <c r="AD1269" s="23"/>
      <c r="AE1269" s="28" t="s">
        <v>10</v>
      </c>
      <c r="AF1269" s="23" t="str">
        <f>IFERROR(__xludf.DUMMYFUNCTION("TEXTJOIN("", "", TRUE,
  FILTER(Champions!C:C,
    ISNUMBER(SEARCH(C1269, Champions!W:W))
  )
)"),"Harrison Thai, Luisa Castro")</f>
        <v>Harrison Thai, Luisa Castro</v>
      </c>
      <c r="AG1269" s="23"/>
      <c r="AH1269" s="23" t="str">
        <f>IFERROR(__xludf.DUMMYFUNCTION("IF(
ISNUMBER(MATCH(
C1269,
IMPORTRANGE(""https://docs.google.com/spreadsheets/d/1yTh1ELC33JHYOeEdgIiEclxPRyh0zOKtlawDltfUay8"",""'Interns'!A:A""),
0
)),
""Outreach Conducted"",
"""")"),"")</f>
        <v/>
      </c>
      <c r="AI1269" s="23"/>
      <c r="AJ1269" s="23"/>
      <c r="AK1269" s="23" t="str">
        <f>IFERROR(__xludf.DUMMYFUNCTION("XLOOKUP(C1269, 
   IMPORTRANGE(""1RdEdgHYrZ33LJ7RUHj_h-qkAFL92bcVjtIdVa-UlsCw"", ""Interns!D:D""), 
   IMPORTRANGE(""1RdEdgHYrZ33LJ7RUHj_h-qkAFL92bcVjtIdVa-UlsCw"", ""Interns!M:M""), 
   ""Not Found"")"),"Contacted")</f>
        <v>Contacted</v>
      </c>
      <c r="AL1269" s="23" t="str">
        <f>IFERROR(__xludf.DUMMYFUNCTION("XLOOKUP(C1269, 
   IMPORTRANGE(""1RdEdgHYrZ33LJ7RUHj_h-qkAFL92bcVjtIdVa-UlsCw"", ""Interns!D:D""), 
   IMPORTRANGE(""1RdEdgHYrZ33LJ7RUHj_h-qkAFL92bcVjtIdVa-UlsCw"", ""Interns!N:N""), 
   ""Not Found"")"),"#Cheers4Careers")</f>
        <v>#Cheers4Careers</v>
      </c>
      <c r="AM1269" s="23" t="str">
        <f>IFERROR(__xludf.DUMMYFUNCTION("XLOOKUP(C1269, 
   IMPORTRANGE(""1RdEdgHYrZ33LJ7RUHj_h-qkAFL92bcVjtIdVa-UlsCw"", ""Interns!D:D""), 
   IMPORTRANGE(""1RdEdgHYrZ33LJ7RUHj_h-qkAFL92bcVjtIdVa-UlsCw"", ""Interns!O:O""), 
   ""Not Found"")"),"Hetal reached out by email 3/27 followed by text")</f>
        <v>Hetal reached out by email 3/27 followed by text</v>
      </c>
      <c r="AN1269" s="23"/>
      <c r="AO1269" s="23" t="s">
        <v>13150</v>
      </c>
      <c r="AP1269" s="28" t="s">
        <v>5191</v>
      </c>
      <c r="AQ1269" s="28" t="s">
        <v>13151</v>
      </c>
      <c r="AR1269" s="23" t="s">
        <v>13152</v>
      </c>
      <c r="AS1269" s="23"/>
      <c r="AT1269" s="23"/>
      <c r="AU1269" s="23"/>
      <c r="AV1269" s="23"/>
    </row>
    <row r="1270">
      <c r="A1270" s="28" t="s">
        <v>5161</v>
      </c>
      <c r="B1270" s="28" t="s">
        <v>5162</v>
      </c>
      <c r="C1270" s="23" t="str">
        <f t="shared" si="1"/>
        <v>Mahmoud Ahmed</v>
      </c>
      <c r="D1270" s="28" t="s">
        <v>9963</v>
      </c>
      <c r="E1270" s="28" t="s">
        <v>237</v>
      </c>
      <c r="F1270" s="23">
        <f t="array" ref="F1270">IFERROR(
    INDEX('Hub Interns 226'!A:A, MATCH(C1270, 'Hub Interns 226'!B:B, 0)),"")</f>
        <v>815</v>
      </c>
      <c r="G1270" s="23">
        <f t="array" ref="G1270">IFERROR(
    INDEX('Hub Users 226'!A:A, MATCH(C1270, 'Hub Users 226'!B:B, 0)),"")</f>
        <v>1248</v>
      </c>
      <c r="H1270" s="28">
        <v>679.0</v>
      </c>
      <c r="I1270" s="28" t="s">
        <v>260</v>
      </c>
      <c r="J1270" s="28" t="s">
        <v>8975</v>
      </c>
      <c r="K1270" s="28" t="s">
        <v>5245</v>
      </c>
      <c r="L1270" s="28" t="s">
        <v>5165</v>
      </c>
      <c r="M1270" s="56" t="s">
        <v>13153</v>
      </c>
      <c r="N1270" s="59">
        <v>44546.475694444445</v>
      </c>
      <c r="O1270" s="58">
        <v>37737.0</v>
      </c>
      <c r="P1270" s="28">
        <f t="shared" si="38"/>
        <v>23</v>
      </c>
      <c r="Q1270" s="28" t="s">
        <v>240</v>
      </c>
      <c r="R1270" s="28" t="s">
        <v>13154</v>
      </c>
      <c r="S1270" s="28">
        <v>14.0</v>
      </c>
      <c r="T1270" s="28">
        <v>13.0</v>
      </c>
      <c r="U1270" s="28">
        <v>35.0</v>
      </c>
      <c r="V1270" s="28">
        <v>21.0</v>
      </c>
      <c r="W1270" s="28" t="s">
        <v>1173</v>
      </c>
      <c r="X1270" s="28" t="s">
        <v>272</v>
      </c>
      <c r="Y1270" s="28" t="s">
        <v>13155</v>
      </c>
      <c r="Z1270" s="28" t="s">
        <v>5483</v>
      </c>
      <c r="AA1270" s="28" t="s">
        <v>457</v>
      </c>
      <c r="AB1270" s="28">
        <v>25.0</v>
      </c>
      <c r="AC1270" s="28" t="s">
        <v>25</v>
      </c>
      <c r="AD1270" s="23"/>
      <c r="AE1270" s="28" t="s">
        <v>10</v>
      </c>
      <c r="AF1270" s="23" t="str">
        <f>IFERROR(__xludf.DUMMYFUNCTION("TEXTJOIN("", "", TRUE,
  FILTER(Champions!C:C,
    ISNUMBER(SEARCH(C1270, Champions!W:W))
  )
)"),"Lena K Dandy, Seema Dixit, Lena K Dandy (D)")</f>
        <v>Lena K Dandy, Seema Dixit, Lena K Dandy (D)</v>
      </c>
      <c r="AG1270" s="23"/>
      <c r="AH1270" s="23" t="str">
        <f>IFERROR(__xludf.DUMMYFUNCTION("IF(
ISNUMBER(MATCH(
C1270,
IMPORTRANGE(""https://docs.google.com/spreadsheets/d/1yTh1ELC33JHYOeEdgIiEclxPRyh0zOKtlawDltfUay8"",""'Interns'!A:A""),
0
)),
""Outreach Conducted"",
"""")"),"")</f>
        <v/>
      </c>
      <c r="AI1270" s="23"/>
      <c r="AJ1270" s="23"/>
      <c r="AK1270" s="23" t="str">
        <f>IFERROR(__xludf.DUMMYFUNCTION("XLOOKUP(C1270, 
   IMPORTRANGE(""1RdEdgHYrZ33LJ7RUHj_h-qkAFL92bcVjtIdVa-UlsCw"", ""Interns!D:D""), 
   IMPORTRANGE(""1RdEdgHYrZ33LJ7RUHj_h-qkAFL92bcVjtIdVa-UlsCw"", ""Interns!M:M""), 
   ""Not Found"")"),"Contacted")</f>
        <v>Contacted</v>
      </c>
      <c r="AL1270" s="23" t="str">
        <f>IFERROR(__xludf.DUMMYFUNCTION("XLOOKUP(C1270, 
   IMPORTRANGE(""1RdEdgHYrZ33LJ7RUHj_h-qkAFL92bcVjtIdVa-UlsCw"", ""Interns!D:D""), 
   IMPORTRANGE(""1RdEdgHYrZ33LJ7RUHj_h-qkAFL92bcVjtIdVa-UlsCw"", ""Interns!N:N""), 
   ""Not Found"")"),"#Cheers4Careers")</f>
        <v>#Cheers4Careers</v>
      </c>
      <c r="AM1270" s="23" t="str">
        <f>IFERROR(__xludf.DUMMYFUNCTION("XLOOKUP(C1270, 
   IMPORTRANGE(""1RdEdgHYrZ33LJ7RUHj_h-qkAFL92bcVjtIdVa-UlsCw"", ""Interns!D:D""), 
   IMPORTRANGE(""1RdEdgHYrZ33LJ7RUHj_h-qkAFL92bcVjtIdVa-UlsCw"", ""Interns!O:O""), 
   ""Not Found"")"),"Hetal reached out by email 3/27")</f>
        <v>Hetal reached out by email 3/27</v>
      </c>
      <c r="AN1270" s="23"/>
      <c r="AO1270" s="23" t="s">
        <v>13156</v>
      </c>
      <c r="AP1270" s="28" t="s">
        <v>5191</v>
      </c>
      <c r="AQ1270" s="28" t="s">
        <v>13157</v>
      </c>
      <c r="AR1270" s="23" t="s">
        <v>13158</v>
      </c>
      <c r="AS1270" s="23"/>
      <c r="AT1270" s="23"/>
      <c r="AU1270" s="23"/>
      <c r="AV1270" s="23"/>
    </row>
    <row r="1271">
      <c r="A1271" s="28" t="s">
        <v>5161</v>
      </c>
      <c r="B1271" s="28" t="s">
        <v>5162</v>
      </c>
      <c r="C1271" s="23" t="str">
        <f t="shared" si="1"/>
        <v>Rakdh Alzukary</v>
      </c>
      <c r="D1271" s="28" t="s">
        <v>13159</v>
      </c>
      <c r="E1271" s="28" t="s">
        <v>13160</v>
      </c>
      <c r="F1271" s="23">
        <f t="array" ref="F1271">IFERROR(
    INDEX('Hub Interns 226'!A:A, MATCH(C1271, 'Hub Interns 226'!B:B, 0)),"")</f>
        <v>1012</v>
      </c>
      <c r="G1271" s="23">
        <f t="array" ref="G1271">IFERROR(
    INDEX('Hub Users 226'!A:A, MATCH(C1271, 'Hub Users 226'!B:B, 0)),"")</f>
        <v>1445</v>
      </c>
      <c r="H1271" s="28">
        <v>347.0</v>
      </c>
      <c r="I1271" s="28" t="s">
        <v>260</v>
      </c>
      <c r="J1271" s="28" t="s">
        <v>9487</v>
      </c>
      <c r="K1271" s="28" t="s">
        <v>5186</v>
      </c>
      <c r="L1271" s="28" t="s">
        <v>5196</v>
      </c>
      <c r="M1271" s="56" t="s">
        <v>13161</v>
      </c>
      <c r="N1271" s="57">
        <v>44244.71875</v>
      </c>
      <c r="O1271" s="58">
        <v>37756.0</v>
      </c>
      <c r="P1271" s="28">
        <f t="shared" si="38"/>
        <v>23</v>
      </c>
      <c r="Q1271" s="28" t="s">
        <v>13162</v>
      </c>
      <c r="R1271" s="28" t="s">
        <v>13163</v>
      </c>
      <c r="S1271" s="28">
        <v>7.0</v>
      </c>
      <c r="T1271" s="28">
        <v>18.0</v>
      </c>
      <c r="U1271" s="28">
        <v>54.0</v>
      </c>
      <c r="V1271" s="28">
        <v>37.0</v>
      </c>
      <c r="W1271" s="28" t="s">
        <v>1173</v>
      </c>
      <c r="X1271" s="28" t="s">
        <v>272</v>
      </c>
      <c r="Y1271" s="23"/>
      <c r="Z1271" s="28" t="s">
        <v>7813</v>
      </c>
      <c r="AA1271" s="28" t="s">
        <v>2033</v>
      </c>
      <c r="AB1271" s="28">
        <v>37.0</v>
      </c>
      <c r="AC1271" s="28" t="s">
        <v>25</v>
      </c>
      <c r="AD1271" s="23"/>
      <c r="AE1271" s="28" t="s">
        <v>8</v>
      </c>
      <c r="AF1271" s="23" t="str">
        <f>IFERROR(__xludf.DUMMYFUNCTION("TEXTJOIN("", "", TRUE,
  FILTER(Champions!C:C,
    ISNUMBER(SEARCH(C1271, Champions!W:W))
  )
)"),"Ibtesam Khan, Seema Dixit")</f>
        <v>Ibtesam Khan, Seema Dixit</v>
      </c>
      <c r="AG1271" s="23"/>
      <c r="AH1271" s="23" t="str">
        <f>IFERROR(__xludf.DUMMYFUNCTION("IF(
ISNUMBER(MATCH(
C1271,
IMPORTRANGE(""https://docs.google.com/spreadsheets/d/1yTh1ELC33JHYOeEdgIiEclxPRyh0zOKtlawDltfUay8"",""'Interns'!A:A""),
0
)),
""Outreach Conducted"",
"""")"),"")</f>
        <v/>
      </c>
      <c r="AI1271" s="23"/>
      <c r="AJ1271" s="23"/>
      <c r="AK1271" s="23" t="str">
        <f>IFERROR(__xludf.DUMMYFUNCTION("XLOOKUP(C1271, 
   IMPORTRANGE(""1RdEdgHYrZ33LJ7RUHj_h-qkAFL92bcVjtIdVa-UlsCw"", ""Interns!D:D""), 
   IMPORTRANGE(""1RdEdgHYrZ33LJ7RUHj_h-qkAFL92bcVjtIdVa-UlsCw"", ""Interns!M:M""), 
   ""Not Found"")"),"")</f>
        <v/>
      </c>
      <c r="AL1271" s="23" t="str">
        <f>IFERROR(__xludf.DUMMYFUNCTION("XLOOKUP(C1271, 
   IMPORTRANGE(""1RdEdgHYrZ33LJ7RUHj_h-qkAFL92bcVjtIdVa-UlsCw"", ""Interns!D:D""), 
   IMPORTRANGE(""1RdEdgHYrZ33LJ7RUHj_h-qkAFL92bcVjtIdVa-UlsCw"", ""Interns!N:N""), 
   ""Not Found"")"),"")</f>
        <v/>
      </c>
      <c r="AM1271" s="23" t="str">
        <f>IFERROR(__xludf.DUMMYFUNCTION("XLOOKUP(C1271, 
   IMPORTRANGE(""1RdEdgHYrZ33LJ7RUHj_h-qkAFL92bcVjtIdVa-UlsCw"", ""Interns!D:D""), 
   IMPORTRANGE(""1RdEdgHYrZ33LJ7RUHj_h-qkAFL92bcVjtIdVa-UlsCw"", ""Interns!O:O""), 
   ""Not Found"")"),"")</f>
        <v/>
      </c>
      <c r="AN1271" s="23"/>
      <c r="AO1271" s="23" t="s">
        <v>13164</v>
      </c>
      <c r="AP1271" s="28" t="s">
        <v>5191</v>
      </c>
      <c r="AQ1271" s="28" t="s">
        <v>13165</v>
      </c>
      <c r="AR1271" s="23" t="s">
        <v>13166</v>
      </c>
      <c r="AS1271" s="23"/>
      <c r="AT1271" s="23"/>
      <c r="AU1271" s="23"/>
      <c r="AV1271" s="23"/>
    </row>
    <row r="1272">
      <c r="A1272" s="28" t="s">
        <v>5161</v>
      </c>
      <c r="B1272" s="28" t="s">
        <v>5162</v>
      </c>
      <c r="C1272" s="23" t="str">
        <f t="shared" si="1"/>
        <v>Asmaa Alkhadashi</v>
      </c>
      <c r="D1272" s="28" t="s">
        <v>13167</v>
      </c>
      <c r="E1272" s="28" t="s">
        <v>13168</v>
      </c>
      <c r="F1272" s="23">
        <f t="array" ref="F1272">IFERROR(
    INDEX('Hub Interns 226'!A:A, MATCH(C1272, 'Hub Interns 226'!B:B, 0)),"")</f>
        <v>272</v>
      </c>
      <c r="G1272" s="23">
        <f t="array" ref="G1272">IFERROR(
    INDEX('Hub Users 226'!A:A, MATCH(C1272, 'Hub Users 226'!B:B, 0)),"")</f>
        <v>705</v>
      </c>
      <c r="H1272" s="28">
        <v>235.0</v>
      </c>
      <c r="I1272" s="28" t="s">
        <v>239</v>
      </c>
      <c r="J1272" s="28" t="s">
        <v>9487</v>
      </c>
      <c r="K1272" s="28" t="s">
        <v>5186</v>
      </c>
      <c r="L1272" s="28" t="s">
        <v>5196</v>
      </c>
      <c r="M1272" s="56" t="s">
        <v>13169</v>
      </c>
      <c r="N1272" s="59">
        <v>44127.46111111111</v>
      </c>
      <c r="O1272" s="58">
        <v>36153.0</v>
      </c>
      <c r="P1272" s="28">
        <f t="shared" si="38"/>
        <v>27</v>
      </c>
      <c r="Q1272" s="28" t="s">
        <v>13170</v>
      </c>
      <c r="R1272" s="28" t="s">
        <v>13171</v>
      </c>
      <c r="S1272" s="28">
        <v>15.0</v>
      </c>
      <c r="T1272" s="28">
        <v>33.0</v>
      </c>
      <c r="U1272" s="28">
        <v>80.0</v>
      </c>
      <c r="V1272" s="28">
        <v>13.0</v>
      </c>
      <c r="W1272" s="28" t="s">
        <v>859</v>
      </c>
      <c r="X1272" s="28" t="s">
        <v>272</v>
      </c>
      <c r="Y1272" s="28">
        <v>9.175477997E9</v>
      </c>
      <c r="Z1272" s="28" t="s">
        <v>5435</v>
      </c>
      <c r="AA1272" s="28" t="s">
        <v>5436</v>
      </c>
      <c r="AB1272" s="28">
        <v>10.0</v>
      </c>
      <c r="AC1272" s="28" t="s">
        <v>25</v>
      </c>
      <c r="AD1272" s="23"/>
      <c r="AE1272" s="28" t="s">
        <v>8</v>
      </c>
      <c r="AF1272" s="23" t="str">
        <f>IFERROR(__xludf.DUMMYFUNCTION("TEXTJOIN("", "", TRUE,
  FILTER(Champions!C:C,
    ISNUMBER(SEARCH(C1272, Champions!W:W))
  )
)"),"Amelia Geary, Bhavna Mohan Agnihotri, Sahabia Ahmed, Stephanie Zhou")</f>
        <v>Amelia Geary, Bhavna Mohan Agnihotri, Sahabia Ahmed, Stephanie Zhou</v>
      </c>
      <c r="AG1272" s="23"/>
      <c r="AH1272" s="23" t="str">
        <f>IFERROR(__xludf.DUMMYFUNCTION("IF(
ISNUMBER(MATCH(
C1272,
IMPORTRANGE(""https://docs.google.com/spreadsheets/d/1yTh1ELC33JHYOeEdgIiEclxPRyh0zOKtlawDltfUay8"",""'Interns'!A:A""),
0
)),
""Outreach Conducted"",
"""")"),"")</f>
        <v/>
      </c>
      <c r="AI1272" s="23"/>
      <c r="AJ1272" s="23"/>
      <c r="AK1272" s="23" t="str">
        <f>IFERROR(__xludf.DUMMYFUNCTION("XLOOKUP(C1272, 
   IMPORTRANGE(""1RdEdgHYrZ33LJ7RUHj_h-qkAFL92bcVjtIdVa-UlsCw"", ""Interns!D:D""), 
   IMPORTRANGE(""1RdEdgHYrZ33LJ7RUHj_h-qkAFL92bcVjtIdVa-UlsCw"", ""Interns!M:M""), 
   ""Not Found"")"),"Contacted")</f>
        <v>Contacted</v>
      </c>
      <c r="AL1272" s="23" t="str">
        <f>IFERROR(__xludf.DUMMYFUNCTION("XLOOKUP(C1272, 
   IMPORTRANGE(""1RdEdgHYrZ33LJ7RUHj_h-qkAFL92bcVjtIdVa-UlsCw"", ""Interns!D:D""), 
   IMPORTRANGE(""1RdEdgHYrZ33LJ7RUHj_h-qkAFL92bcVjtIdVa-UlsCw"", ""Interns!N:N""), 
   ""Not Found"")"),"#Cheers4Careers")</f>
        <v>#Cheers4Careers</v>
      </c>
      <c r="AM1272" s="23" t="str">
        <f>IFERROR(__xludf.DUMMYFUNCTION("XLOOKUP(C1272, 
   IMPORTRANGE(""1RdEdgHYrZ33LJ7RUHj_h-qkAFL92bcVjtIdVa-UlsCw"", ""Interns!D:D""), 
   IMPORTRANGE(""1RdEdgHYrZ33LJ7RUHj_h-qkAFL92bcVjtIdVa-UlsCw"", ""Interns!O:O""), 
   ""Not Found"")"),"Hetal reached out by email 3/27")</f>
        <v>Hetal reached out by email 3/27</v>
      </c>
      <c r="AN1272" s="23"/>
      <c r="AO1272" s="23" t="s">
        <v>13172</v>
      </c>
      <c r="AP1272" s="28" t="s">
        <v>5191</v>
      </c>
      <c r="AQ1272" s="28" t="s">
        <v>13173</v>
      </c>
      <c r="AR1272" s="23">
        <v>9.294045235E9</v>
      </c>
      <c r="AS1272" s="28" t="s">
        <v>13174</v>
      </c>
      <c r="AT1272" s="23"/>
      <c r="AU1272" s="23"/>
      <c r="AV1272" s="23"/>
    </row>
    <row r="1273">
      <c r="A1273" s="28" t="s">
        <v>5161</v>
      </c>
      <c r="B1273" s="28" t="s">
        <v>5162</v>
      </c>
      <c r="C1273" s="23" t="str">
        <f t="shared" si="1"/>
        <v>Bashayer Ali</v>
      </c>
      <c r="D1273" s="28" t="s">
        <v>13175</v>
      </c>
      <c r="E1273" s="28" t="s">
        <v>9802</v>
      </c>
      <c r="F1273" s="23">
        <f t="array" ref="F1273">IFERROR(
    INDEX('Hub Interns 226'!A:A, MATCH(C1273, 'Hub Interns 226'!B:B, 0)),"")</f>
        <v>287</v>
      </c>
      <c r="G1273" s="23">
        <f t="array" ref="G1273">IFERROR(
    INDEX('Hub Users 226'!A:A, MATCH(C1273, 'Hub Users 226'!B:B, 0)),"")</f>
        <v>720</v>
      </c>
      <c r="H1273" s="28">
        <v>1284.0</v>
      </c>
      <c r="I1273" s="28" t="s">
        <v>260</v>
      </c>
      <c r="J1273" s="28" t="s">
        <v>9487</v>
      </c>
      <c r="K1273" s="28" t="s">
        <v>5186</v>
      </c>
      <c r="L1273" s="28" t="s">
        <v>5196</v>
      </c>
      <c r="M1273" s="56" t="s">
        <v>13176</v>
      </c>
      <c r="N1273" s="59">
        <v>44845.611805555556</v>
      </c>
      <c r="O1273" s="58">
        <v>39298.0</v>
      </c>
      <c r="P1273" s="28">
        <f t="shared" si="38"/>
        <v>18</v>
      </c>
      <c r="Q1273" s="28" t="s">
        <v>240</v>
      </c>
      <c r="R1273" s="28" t="s">
        <v>13177</v>
      </c>
      <c r="S1273" s="28">
        <v>15.0</v>
      </c>
      <c r="T1273" s="28">
        <v>33.0</v>
      </c>
      <c r="U1273" s="28">
        <v>80.0</v>
      </c>
      <c r="V1273" s="28">
        <v>13.0</v>
      </c>
      <c r="W1273" s="28" t="s">
        <v>859</v>
      </c>
      <c r="X1273" s="28" t="s">
        <v>272</v>
      </c>
      <c r="Y1273" s="28" t="s">
        <v>13178</v>
      </c>
      <c r="Z1273" s="28" t="s">
        <v>5918</v>
      </c>
      <c r="AA1273" s="28" t="s">
        <v>477</v>
      </c>
      <c r="AB1273" s="28">
        <v>15.0</v>
      </c>
      <c r="AC1273" s="28" t="s">
        <v>23</v>
      </c>
      <c r="AD1273" s="28" t="s">
        <v>101</v>
      </c>
      <c r="AE1273" s="28" t="s">
        <v>15</v>
      </c>
      <c r="AF1273" s="23"/>
      <c r="AG1273" s="23"/>
      <c r="AH1273" s="23" t="str">
        <f>IFERROR(__xludf.DUMMYFUNCTION("IF(
ISNUMBER(MATCH(
C1273,
IMPORTRANGE(""https://docs.google.com/spreadsheets/d/1yTh1ELC33JHYOeEdgIiEclxPRyh0zOKtlawDltfUay8"",""'Interns'!A:A""),
0
)),
""Outreach Conducted"",
"""")"),"")</f>
        <v/>
      </c>
      <c r="AI1273" s="23"/>
      <c r="AJ1273" s="23"/>
      <c r="AK1273" s="23" t="str">
        <f>IFERROR(__xludf.DUMMYFUNCTION("XLOOKUP(C1273, 
   IMPORTRANGE(""1RdEdgHYrZ33LJ7RUHj_h-qkAFL92bcVjtIdVa-UlsCw"", ""Interns!D:D""), 
   IMPORTRANGE(""1RdEdgHYrZ33LJ7RUHj_h-qkAFL92bcVjtIdVa-UlsCw"", ""Interns!M:M""), 
   ""Not Found"")"),"")</f>
        <v/>
      </c>
      <c r="AL1273" s="23" t="str">
        <f>IFERROR(__xludf.DUMMYFUNCTION("XLOOKUP(C1273, 
   IMPORTRANGE(""1RdEdgHYrZ33LJ7RUHj_h-qkAFL92bcVjtIdVa-UlsCw"", ""Interns!D:D""), 
   IMPORTRANGE(""1RdEdgHYrZ33LJ7RUHj_h-qkAFL92bcVjtIdVa-UlsCw"", ""Interns!N:N""), 
   ""Not Found"")"),"#SpeakingMyName")</f>
        <v>#SpeakingMyName</v>
      </c>
      <c r="AM1273" s="23" t="str">
        <f>IFERROR(__xludf.DUMMYFUNCTION("XLOOKUP(C1273, 
   IMPORTRANGE(""1RdEdgHYrZ33LJ7RUHj_h-qkAFL92bcVjtIdVa-UlsCw"", ""Interns!D:D""), 
   IMPORTRANGE(""1RdEdgHYrZ33LJ7RUHj_h-qkAFL92bcVjtIdVa-UlsCw"", ""Interns!O:O""), 
   ""Not Found"")"),"Alicia reached out by email on 5/15 for #SpeakingMyName")</f>
        <v>Alicia reached out by email on 5/15 for #SpeakingMyName</v>
      </c>
      <c r="AN1273" s="23"/>
      <c r="AO1273" s="23" t="s">
        <v>13179</v>
      </c>
      <c r="AP1273" s="28" t="s">
        <v>5191</v>
      </c>
      <c r="AQ1273" s="28"/>
      <c r="AR1273" s="23"/>
      <c r="AS1273" s="23"/>
      <c r="AT1273" s="23"/>
      <c r="AU1273" s="23"/>
      <c r="AV1273" s="23"/>
    </row>
    <row r="1274">
      <c r="A1274" s="28" t="s">
        <v>5161</v>
      </c>
      <c r="B1274" s="28" t="s">
        <v>5162</v>
      </c>
      <c r="C1274" s="23" t="str">
        <f t="shared" si="1"/>
        <v>Rasheed Abdulla</v>
      </c>
      <c r="D1274" s="28" t="s">
        <v>13180</v>
      </c>
      <c r="E1274" s="28" t="s">
        <v>10261</v>
      </c>
      <c r="F1274" s="23">
        <f t="array" ref="F1274">IFERROR(
    INDEX('Hub Interns 226'!A:A, MATCH(C1274, 'Hub Interns 226'!B:B, 0)),"")</f>
        <v>1018</v>
      </c>
      <c r="G1274" s="23">
        <f t="array" ref="G1274">IFERROR(
    INDEX('Hub Users 226'!A:A, MATCH(C1274, 'Hub Users 226'!B:B, 0)),"")</f>
        <v>1451</v>
      </c>
      <c r="H1274" s="28">
        <v>1213.0</v>
      </c>
      <c r="I1274" s="28" t="s">
        <v>239</v>
      </c>
      <c r="J1274" s="28" t="s">
        <v>9487</v>
      </c>
      <c r="K1274" s="28" t="s">
        <v>5186</v>
      </c>
      <c r="L1274" s="28" t="s">
        <v>5165</v>
      </c>
      <c r="M1274" s="56" t="s">
        <v>13181</v>
      </c>
      <c r="N1274" s="57">
        <v>44835.80625</v>
      </c>
      <c r="O1274" s="58">
        <v>37788.0</v>
      </c>
      <c r="P1274" s="28">
        <f t="shared" si="38"/>
        <v>22</v>
      </c>
      <c r="Q1274" s="28" t="s">
        <v>13182</v>
      </c>
      <c r="R1274" s="28" t="s">
        <v>13183</v>
      </c>
      <c r="S1274" s="28">
        <v>15.0</v>
      </c>
      <c r="T1274" s="28">
        <v>33.0</v>
      </c>
      <c r="U1274" s="28">
        <v>81.0</v>
      </c>
      <c r="V1274" s="28">
        <v>11.0</v>
      </c>
      <c r="W1274" s="28" t="s">
        <v>859</v>
      </c>
      <c r="X1274" s="28" t="s">
        <v>272</v>
      </c>
      <c r="Y1274" s="23"/>
      <c r="Z1274" s="28" t="s">
        <v>5435</v>
      </c>
      <c r="AA1274" s="28" t="s">
        <v>5436</v>
      </c>
      <c r="AB1274" s="28">
        <v>10.0</v>
      </c>
      <c r="AC1274" s="28" t="s">
        <v>25</v>
      </c>
      <c r="AD1274" s="23"/>
      <c r="AE1274" s="28" t="s">
        <v>15</v>
      </c>
      <c r="AF1274" s="23" t="str">
        <f>IFERROR(__xludf.DUMMYFUNCTION("TEXTJOIN("", "", TRUE,
  FILTER(Champions!C:C,
    ISNUMBER(SEARCH(C1274, Champions!W:W))
  )
)"),"Joseph Temowo, Neeti Nayak")</f>
        <v>Joseph Temowo, Neeti Nayak</v>
      </c>
      <c r="AG1274" s="23"/>
      <c r="AH1274" s="23" t="str">
        <f>IFERROR(__xludf.DUMMYFUNCTION("IF(
ISNUMBER(MATCH(
C1274,
IMPORTRANGE(""https://docs.google.com/spreadsheets/d/1yTh1ELC33JHYOeEdgIiEclxPRyh0zOKtlawDltfUay8"",""'Interns'!A:A""),
0
)),
""Outreach Conducted"",
"""")"),"")</f>
        <v/>
      </c>
      <c r="AI1274" s="23"/>
      <c r="AJ1274" s="23"/>
      <c r="AK1274" s="23" t="str">
        <f>IFERROR(__xludf.DUMMYFUNCTION("XLOOKUP(C1274, 
   IMPORTRANGE(""1RdEdgHYrZ33LJ7RUHj_h-qkAFL92bcVjtIdVa-UlsCw"", ""Interns!D:D""), 
   IMPORTRANGE(""1RdEdgHYrZ33LJ7RUHj_h-qkAFL92bcVjtIdVa-UlsCw"", ""Interns!M:M""), 
   ""Not Found"")"),"Contacted")</f>
        <v>Contacted</v>
      </c>
      <c r="AL1274" s="23" t="str">
        <f>IFERROR(__xludf.DUMMYFUNCTION("XLOOKUP(C1274, 
   IMPORTRANGE(""1RdEdgHYrZ33LJ7RUHj_h-qkAFL92bcVjtIdVa-UlsCw"", ""Interns!D:D""), 
   IMPORTRANGE(""1RdEdgHYrZ33LJ7RUHj_h-qkAFL92bcVjtIdVa-UlsCw"", ""Interns!N:N""), 
   ""Not Found"")"),"#Cheers4Careers")</f>
        <v>#Cheers4Careers</v>
      </c>
      <c r="AM1274" s="23" t="str">
        <f>IFERROR(__xludf.DUMMYFUNCTION("XLOOKUP(C1274, 
   IMPORTRANGE(""1RdEdgHYrZ33LJ7RUHj_h-qkAFL92bcVjtIdVa-UlsCw"", ""Interns!D:D""), 
   IMPORTRANGE(""1RdEdgHYrZ33LJ7RUHj_h-qkAFL92bcVjtIdVa-UlsCw"", ""Interns!O:O""), 
   ""Not Found"")"),"Hetal reached out by email 3/27")</f>
        <v>Hetal reached out by email 3/27</v>
      </c>
      <c r="AN1274" s="23"/>
      <c r="AO1274" s="23" t="s">
        <v>13184</v>
      </c>
      <c r="AP1274" s="28" t="s">
        <v>13185</v>
      </c>
      <c r="AQ1274" s="28" t="s">
        <v>10266</v>
      </c>
      <c r="AR1274" s="23">
        <v>9.292487092E9</v>
      </c>
      <c r="AS1274" s="23"/>
      <c r="AT1274" s="23"/>
      <c r="AU1274" s="23"/>
      <c r="AV1274" s="23"/>
    </row>
    <row r="1275">
      <c r="A1275" s="28" t="s">
        <v>5161</v>
      </c>
      <c r="B1275" s="28" t="s">
        <v>5162</v>
      </c>
      <c r="C1275" s="23" t="str">
        <f t="shared" si="1"/>
        <v>Arwa Alhaj</v>
      </c>
      <c r="D1275" s="28" t="s">
        <v>13186</v>
      </c>
      <c r="E1275" s="28" t="s">
        <v>13187</v>
      </c>
      <c r="F1275" s="23">
        <f t="array" ref="F1275">IFERROR(
    INDEX('Hub Interns 226'!A:A, MATCH(C1275, 'Hub Interns 226'!B:B, 0)),"")</f>
        <v>265</v>
      </c>
      <c r="G1275" s="23">
        <f t="array" ref="G1275">IFERROR(
    INDEX('Hub Users 226'!A:A, MATCH(C1275, 'Hub Users 226'!B:B, 0)),"")</f>
        <v>698</v>
      </c>
      <c r="H1275" s="28">
        <v>234.0</v>
      </c>
      <c r="I1275" s="28" t="s">
        <v>239</v>
      </c>
      <c r="J1275" s="28" t="s">
        <v>9487</v>
      </c>
      <c r="K1275" s="28" t="s">
        <v>5186</v>
      </c>
      <c r="L1275" s="28" t="s">
        <v>5196</v>
      </c>
      <c r="M1275" s="56" t="s">
        <v>13188</v>
      </c>
      <c r="N1275" s="59">
        <v>44127.447916666664</v>
      </c>
      <c r="O1275" s="58">
        <v>35746.0</v>
      </c>
      <c r="P1275" s="28">
        <f t="shared" si="38"/>
        <v>28</v>
      </c>
      <c r="Q1275" s="28" t="s">
        <v>240</v>
      </c>
      <c r="R1275" s="28" t="s">
        <v>13189</v>
      </c>
      <c r="S1275" s="28">
        <v>15.0</v>
      </c>
      <c r="T1275" s="28">
        <v>33.0</v>
      </c>
      <c r="U1275" s="28">
        <v>80.0</v>
      </c>
      <c r="V1275" s="28">
        <v>13.0</v>
      </c>
      <c r="W1275" s="28" t="s">
        <v>859</v>
      </c>
      <c r="X1275" s="28" t="s">
        <v>272</v>
      </c>
      <c r="Y1275" s="28">
        <v>9.293948379E9</v>
      </c>
      <c r="Z1275" s="28" t="s">
        <v>5435</v>
      </c>
      <c r="AA1275" s="28" t="s">
        <v>5436</v>
      </c>
      <c r="AB1275" s="28">
        <v>10.0</v>
      </c>
      <c r="AC1275" s="28" t="s">
        <v>25</v>
      </c>
      <c r="AD1275" s="23"/>
      <c r="AE1275" s="28" t="s">
        <v>8</v>
      </c>
      <c r="AF1275" s="23" t="str">
        <f>IFERROR(__xludf.DUMMYFUNCTION("TEXTJOIN("", "", TRUE,
  FILTER(Champions!C:C,
    ISNUMBER(SEARCH(C1275, Champions!W:W))
  )
)"),"Amelia Geary, Lena K Dandy, Sahabia Ahmed, Stephanie Zhou, Lena K Dandy (D)")</f>
        <v>Amelia Geary, Lena K Dandy, Sahabia Ahmed, Stephanie Zhou, Lena K Dandy (D)</v>
      </c>
      <c r="AG1275" s="23"/>
      <c r="AH1275" s="23" t="str">
        <f>IFERROR(__xludf.DUMMYFUNCTION("IF(
ISNUMBER(MATCH(
C1275,
IMPORTRANGE(""https://docs.google.com/spreadsheets/d/1yTh1ELC33JHYOeEdgIiEclxPRyh0zOKtlawDltfUay8"",""'Interns'!A:A""),
0
)),
""Outreach Conducted"",
"""")"),"")</f>
        <v/>
      </c>
      <c r="AI1275" s="23"/>
      <c r="AJ1275" s="23"/>
      <c r="AK1275" s="23" t="str">
        <f>IFERROR(__xludf.DUMMYFUNCTION("XLOOKUP(C1275, 
   IMPORTRANGE(""1RdEdgHYrZ33LJ7RUHj_h-qkAFL92bcVjtIdVa-UlsCw"", ""Interns!D:D""), 
   IMPORTRANGE(""1RdEdgHYrZ33LJ7RUHj_h-qkAFL92bcVjtIdVa-UlsCw"", ""Interns!M:M""), 
   ""Not Found"")"),"Contacted")</f>
        <v>Contacted</v>
      </c>
      <c r="AL1275" s="23" t="str">
        <f>IFERROR(__xludf.DUMMYFUNCTION("XLOOKUP(C1275, 
   IMPORTRANGE(""1RdEdgHYrZ33LJ7RUHj_h-qkAFL92bcVjtIdVa-UlsCw"", ""Interns!D:D""), 
   IMPORTRANGE(""1RdEdgHYrZ33LJ7RUHj_h-qkAFL92bcVjtIdVa-UlsCw"", ""Interns!N:N""), 
   ""Not Found"")"),"#Cheers4Careers")</f>
        <v>#Cheers4Careers</v>
      </c>
      <c r="AM1275" s="23" t="str">
        <f>IFERROR(__xludf.DUMMYFUNCTION("XLOOKUP(C1275, 
   IMPORTRANGE(""1RdEdgHYrZ33LJ7RUHj_h-qkAFL92bcVjtIdVa-UlsCw"", ""Interns!D:D""), 
   IMPORTRANGE(""1RdEdgHYrZ33LJ7RUHj_h-qkAFL92bcVjtIdVa-UlsCw"", ""Interns!O:O""), 
   ""Not Found"")"),"Hetal reached out by email 3/27")</f>
        <v>Hetal reached out by email 3/27</v>
      </c>
      <c r="AN1275" s="23"/>
      <c r="AO1275" s="23" t="s">
        <v>13190</v>
      </c>
      <c r="AP1275" s="28" t="s">
        <v>5191</v>
      </c>
      <c r="AQ1275" s="28" t="s">
        <v>13191</v>
      </c>
      <c r="AR1275" s="23">
        <v>6.46327162E9</v>
      </c>
      <c r="AS1275" s="23"/>
      <c r="AT1275" s="23"/>
      <c r="AU1275" s="23"/>
      <c r="AV1275" s="23"/>
    </row>
    <row r="1276">
      <c r="A1276" s="28" t="s">
        <v>5161</v>
      </c>
      <c r="B1276" s="28" t="s">
        <v>5162</v>
      </c>
      <c r="C1276" s="23" t="str">
        <f t="shared" si="1"/>
        <v>Akram Mehdi</v>
      </c>
      <c r="D1276" s="28" t="s">
        <v>13192</v>
      </c>
      <c r="E1276" s="28" t="s">
        <v>13193</v>
      </c>
      <c r="F1276" s="23">
        <f t="array" ref="F1276">IFERROR(
    INDEX('Hub Interns 226'!A:A, MATCH(C1276, 'Hub Interns 226'!B:B, 0)),"")</f>
        <v>170</v>
      </c>
      <c r="G1276" s="23">
        <f t="array" ref="G1276">IFERROR(
    INDEX('Hub Users 226'!A:A, MATCH(C1276, 'Hub Users 226'!B:B, 0)),"")</f>
        <v>603</v>
      </c>
      <c r="H1276" s="28">
        <v>421.0</v>
      </c>
      <c r="I1276" s="28"/>
      <c r="J1276" s="28" t="s">
        <v>9487</v>
      </c>
      <c r="K1276" s="28" t="s">
        <v>5186</v>
      </c>
      <c r="L1276" s="28" t="s">
        <v>5165</v>
      </c>
      <c r="M1276" s="56" t="s">
        <v>13194</v>
      </c>
      <c r="N1276" s="57">
        <v>44314.540972222225</v>
      </c>
      <c r="O1276" s="58">
        <v>38184.0</v>
      </c>
      <c r="P1276" s="28">
        <f t="shared" si="38"/>
        <v>21</v>
      </c>
      <c r="Q1276" s="28" t="s">
        <v>240</v>
      </c>
      <c r="R1276" s="28" t="s">
        <v>13195</v>
      </c>
      <c r="S1276" s="28">
        <v>15.0</v>
      </c>
      <c r="T1276" s="28">
        <v>32.0</v>
      </c>
      <c r="U1276" s="28">
        <v>77.0</v>
      </c>
      <c r="V1276" s="28">
        <v>16.0</v>
      </c>
      <c r="W1276" s="28" t="s">
        <v>859</v>
      </c>
      <c r="X1276" s="28" t="s">
        <v>272</v>
      </c>
      <c r="Y1276" s="28" t="s">
        <v>13196</v>
      </c>
      <c r="Z1276" s="28" t="s">
        <v>5310</v>
      </c>
      <c r="AA1276" s="28" t="s">
        <v>362</v>
      </c>
      <c r="AB1276" s="28">
        <v>16.0</v>
      </c>
      <c r="AC1276" s="28" t="s">
        <v>24</v>
      </c>
      <c r="AD1276" s="23"/>
      <c r="AE1276" s="28" t="s">
        <v>8</v>
      </c>
      <c r="AF1276" s="23"/>
      <c r="AG1276" s="23"/>
      <c r="AH1276" s="23" t="str">
        <f>IFERROR(__xludf.DUMMYFUNCTION("IF(
ISNUMBER(MATCH(
C1276,
IMPORTRANGE(""https://docs.google.com/spreadsheets/d/1yTh1ELC33JHYOeEdgIiEclxPRyh0zOKtlawDltfUay8"",""'Interns'!A:A""),
0
)),
""Outreach Conducted"",
"""")"),"")</f>
        <v/>
      </c>
      <c r="AI1276" s="23"/>
      <c r="AJ1276" s="23"/>
      <c r="AK1276" s="23" t="str">
        <f>IFERROR(__xludf.DUMMYFUNCTION("XLOOKUP(C1276, 
   IMPORTRANGE(""1RdEdgHYrZ33LJ7RUHj_h-qkAFL92bcVjtIdVa-UlsCw"", ""Interns!D:D""), 
   IMPORTRANGE(""1RdEdgHYrZ33LJ7RUHj_h-qkAFL92bcVjtIdVa-UlsCw"", ""Interns!M:M""), 
   ""Not Found"")"),"")</f>
        <v/>
      </c>
      <c r="AL1276" s="23" t="str">
        <f>IFERROR(__xludf.DUMMYFUNCTION("XLOOKUP(C1276, 
   IMPORTRANGE(""1RdEdgHYrZ33LJ7RUHj_h-qkAFL92bcVjtIdVa-UlsCw"", ""Interns!D:D""), 
   IMPORTRANGE(""1RdEdgHYrZ33LJ7RUHj_h-qkAFL92bcVjtIdVa-UlsCw"", ""Interns!N:N""), 
   ""Not Found"")"),"#Cheers4Careers, #SpeakingMyName")</f>
        <v>#Cheers4Careers, #SpeakingMyName</v>
      </c>
      <c r="AM1276" s="23" t="str">
        <f>IFERROR(__xludf.DUMMYFUNCTION("XLOOKUP(C1276, 
   IMPORTRANGE(""1RdEdgHYrZ33LJ7RUHj_h-qkAFL92bcVjtIdVa-UlsCw"", ""Interns!D:D""), 
   IMPORTRANGE(""1RdEdgHYrZ33LJ7RUHj_h-qkAFL92bcVjtIdVa-UlsCw"", ""Interns!O:O""), 
   ""Not Found"")"),"Ousmane reached out on 04/28 by text about the Cheers4careers May 24th.
Alicia reached out by email on 5/15 for #SpeakingMyName")</f>
        <v>Ousmane reached out on 04/28 by text about the Cheers4careers May 24th.
Alicia reached out by email on 5/15 for #SpeakingMyName</v>
      </c>
      <c r="AN1276" s="23"/>
      <c r="AO1276" s="23" t="s">
        <v>13197</v>
      </c>
      <c r="AP1276" s="28" t="s">
        <v>5191</v>
      </c>
      <c r="AQ1276" s="28"/>
      <c r="AR1276" s="23"/>
      <c r="AS1276" s="23"/>
      <c r="AT1276" s="23"/>
      <c r="AU1276" s="23"/>
      <c r="AV1276" s="23"/>
    </row>
    <row r="1277">
      <c r="A1277" s="28" t="s">
        <v>5161</v>
      </c>
      <c r="B1277" s="28" t="s">
        <v>5162</v>
      </c>
      <c r="C1277" s="23" t="str">
        <f t="shared" si="1"/>
        <v>Ibraheem Ahmed</v>
      </c>
      <c r="D1277" s="28" t="s">
        <v>13198</v>
      </c>
      <c r="E1277" s="28" t="s">
        <v>237</v>
      </c>
      <c r="F1277" s="23">
        <f t="array" ref="F1277">IFERROR(
    INDEX('Hub Interns 226'!A:A, MATCH(C1277, 'Hub Interns 226'!B:B, 0)),"")</f>
        <v>1604</v>
      </c>
      <c r="G1277" s="23">
        <f t="array" ref="G1277">IFERROR(
    INDEX('Hub Users 226'!A:A, MATCH(C1277, 'Hub Users 226'!B:B, 0)),"")</f>
        <v>2213</v>
      </c>
      <c r="H1277" s="28">
        <v>1869.0</v>
      </c>
      <c r="I1277" s="28"/>
      <c r="J1277" s="28" t="s">
        <v>9487</v>
      </c>
      <c r="K1277" s="28" t="s">
        <v>5186</v>
      </c>
      <c r="L1277" s="28" t="s">
        <v>5165</v>
      </c>
      <c r="M1277" s="56" t="s">
        <v>13199</v>
      </c>
      <c r="N1277" s="62">
        <v>45692.58819444444</v>
      </c>
      <c r="O1277" s="58">
        <v>39679.0</v>
      </c>
      <c r="P1277" s="28">
        <f t="shared" si="38"/>
        <v>17</v>
      </c>
      <c r="Q1277" s="23"/>
      <c r="R1277" s="28" t="s">
        <v>13200</v>
      </c>
      <c r="S1277" s="28">
        <v>10.0</v>
      </c>
      <c r="T1277" s="28">
        <v>26.0</v>
      </c>
      <c r="U1277" s="28">
        <v>52.0</v>
      </c>
      <c r="V1277" s="28">
        <v>33.0</v>
      </c>
      <c r="W1277" s="28" t="s">
        <v>271</v>
      </c>
      <c r="X1277" s="28" t="s">
        <v>272</v>
      </c>
      <c r="Y1277" s="28" t="s">
        <v>13201</v>
      </c>
      <c r="Z1277" s="28" t="s">
        <v>5853</v>
      </c>
      <c r="AA1277" s="28" t="s">
        <v>704</v>
      </c>
      <c r="AB1277" s="28">
        <v>2.0</v>
      </c>
      <c r="AC1277" s="28" t="s">
        <v>25</v>
      </c>
      <c r="AD1277" s="23"/>
      <c r="AE1277" s="28" t="s">
        <v>19</v>
      </c>
      <c r="AF1277" s="23" t="str">
        <f>IFERROR(__xludf.DUMMYFUNCTION("TEXTJOIN("", "", TRUE,
  FILTER(Champions!C:C,
    ISNUMBER(SEARCH(C1277, Champions!W:W))
  )
)"),"YAZMIN PARIAMACHI")</f>
        <v>YAZMIN PARIAMACHI</v>
      </c>
      <c r="AG1277" s="23"/>
      <c r="AH1277" s="23" t="str">
        <f>IFERROR(__xludf.DUMMYFUNCTION("IF(
ISNUMBER(MATCH(
C1277,
IMPORTRANGE(""https://docs.google.com/spreadsheets/d/1yTh1ELC33JHYOeEdgIiEclxPRyh0zOKtlawDltfUay8"",""'Interns'!A:A""),
0
)),
""Outreach Conducted"",
"""")"),"")</f>
        <v/>
      </c>
      <c r="AI1277" s="23"/>
      <c r="AJ1277" s="23"/>
      <c r="AK1277" s="23" t="str">
        <f>IFERROR(__xludf.DUMMYFUNCTION("XLOOKUP(C1277, 
   IMPORTRANGE(""1RdEdgHYrZ33LJ7RUHj_h-qkAFL92bcVjtIdVa-UlsCw"", ""Interns!D:D""), 
   IMPORTRANGE(""1RdEdgHYrZ33LJ7RUHj_h-qkAFL92bcVjtIdVa-UlsCw"", ""Interns!M:M""), 
   ""Not Found"")"),"Contacted")</f>
        <v>Contacted</v>
      </c>
      <c r="AL1277" s="23" t="str">
        <f>IFERROR(__xludf.DUMMYFUNCTION("XLOOKUP(C1277, 
   IMPORTRANGE(""1RdEdgHYrZ33LJ7RUHj_h-qkAFL92bcVjtIdVa-UlsCw"", ""Interns!D:D""), 
   IMPORTRANGE(""1RdEdgHYrZ33LJ7RUHj_h-qkAFL92bcVjtIdVa-UlsCw"", ""Interns!N:N""), 
   ""Not Found"")"),"#Cheers4Careers")</f>
        <v>#Cheers4Careers</v>
      </c>
      <c r="AM1277" s="23" t="str">
        <f>IFERROR(__xludf.DUMMYFUNCTION("XLOOKUP(C1277, 
   IMPORTRANGE(""1RdEdgHYrZ33LJ7RUHj_h-qkAFL92bcVjtIdVa-UlsCw"", ""Interns!D:D""), 
   IMPORTRANGE(""1RdEdgHYrZ33LJ7RUHj_h-qkAFL92bcVjtIdVa-UlsCw"", ""Interns!O:O""), 
   ""Not Found"")"),"Ousmane reached out by email 3/26 and reach out by text 3/28")</f>
        <v>Ousmane reached out by email 3/26 and reach out by text 3/28</v>
      </c>
      <c r="AN1277" s="23"/>
      <c r="AO1277" s="23" t="s">
        <v>13202</v>
      </c>
      <c r="AP1277" s="28" t="s">
        <v>5880</v>
      </c>
      <c r="AQ1277" s="28" t="s">
        <v>13203</v>
      </c>
      <c r="AR1277" s="23" t="s">
        <v>13204</v>
      </c>
      <c r="AS1277" s="23"/>
      <c r="AT1277" s="23"/>
      <c r="AU1277" s="23"/>
      <c r="AV1277" s="23"/>
    </row>
    <row r="1278">
      <c r="A1278" s="28" t="s">
        <v>5161</v>
      </c>
      <c r="B1278" s="28" t="s">
        <v>5162</v>
      </c>
      <c r="C1278" s="23" t="str">
        <f t="shared" si="1"/>
        <v>Akram mehdi</v>
      </c>
      <c r="D1278" s="28" t="s">
        <v>13192</v>
      </c>
      <c r="E1278" s="28" t="s">
        <v>13205</v>
      </c>
      <c r="F1278" s="23">
        <f t="array" ref="F1278">IFERROR(
    INDEX('Hub Interns 226'!A:A, MATCH(C1278, 'Hub Interns 226'!B:B, 0)),"")</f>
        <v>170</v>
      </c>
      <c r="G1278" s="23">
        <f t="array" ref="G1278">IFERROR(
    INDEX('Hub Users 226'!A:A, MATCH(C1278, 'Hub Users 226'!B:B, 0)),"")</f>
        <v>603</v>
      </c>
      <c r="H1278" s="28">
        <v>872.0</v>
      </c>
      <c r="I1278" s="28" t="s">
        <v>239</v>
      </c>
      <c r="J1278" s="28" t="s">
        <v>9487</v>
      </c>
      <c r="K1278" s="28" t="s">
        <v>5186</v>
      </c>
      <c r="L1278" s="28" t="s">
        <v>5165</v>
      </c>
      <c r="M1278" s="56" t="s">
        <v>13194</v>
      </c>
      <c r="N1278" s="57">
        <v>44596.48541666667</v>
      </c>
      <c r="O1278" s="58">
        <v>38184.0</v>
      </c>
      <c r="P1278" s="28">
        <f t="shared" si="38"/>
        <v>21</v>
      </c>
      <c r="Q1278" s="28" t="s">
        <v>240</v>
      </c>
      <c r="R1278" s="28" t="s">
        <v>13206</v>
      </c>
      <c r="S1278" s="28">
        <v>7.0</v>
      </c>
      <c r="T1278" s="28">
        <v>18.0</v>
      </c>
      <c r="U1278" s="28">
        <v>54.0</v>
      </c>
      <c r="V1278" s="28">
        <v>37.0</v>
      </c>
      <c r="W1278" s="28" t="s">
        <v>294</v>
      </c>
      <c r="X1278" s="28" t="s">
        <v>272</v>
      </c>
      <c r="Y1278" s="28" t="s">
        <v>13196</v>
      </c>
      <c r="Z1278" s="28" t="s">
        <v>5310</v>
      </c>
      <c r="AA1278" s="28" t="s">
        <v>362</v>
      </c>
      <c r="AB1278" s="28">
        <v>16.0</v>
      </c>
      <c r="AC1278" s="28" t="s">
        <v>25</v>
      </c>
      <c r="AD1278" s="23"/>
      <c r="AE1278" s="28" t="s">
        <v>10</v>
      </c>
      <c r="AF1278" s="23" t="str">
        <f>IFERROR(__xludf.DUMMYFUNCTION("TEXTJOIN("", "", TRUE,
  FILTER(Champions!C:C,
    ISNUMBER(SEARCH(C1278, Champions!W:W))
  )
)"),"Harshitha Girithara Gopalan, Melissa Mozelle Schad, Neeti Nayak")</f>
        <v>Harshitha Girithara Gopalan, Melissa Mozelle Schad, Neeti Nayak</v>
      </c>
      <c r="AG1278" s="23"/>
      <c r="AH1278" s="23" t="str">
        <f>IFERROR(__xludf.DUMMYFUNCTION("IF(
ISNUMBER(MATCH(
C1278,
IMPORTRANGE(""https://docs.google.com/spreadsheets/d/1yTh1ELC33JHYOeEdgIiEclxPRyh0zOKtlawDltfUay8"",""'Interns'!A:A""),
0
)),
""Outreach Conducted"",
"""")"),"")</f>
        <v/>
      </c>
      <c r="AI1278" s="23"/>
      <c r="AJ1278" s="23"/>
      <c r="AK1278" s="23" t="str">
        <f>IFERROR(__xludf.DUMMYFUNCTION("XLOOKUP(C1278, 
   IMPORTRANGE(""1RdEdgHYrZ33LJ7RUHj_h-qkAFL92bcVjtIdVa-UlsCw"", ""Interns!D:D""), 
   IMPORTRANGE(""1RdEdgHYrZ33LJ7RUHj_h-qkAFL92bcVjtIdVa-UlsCw"", ""Interns!M:M""), 
   ""Not Found"")"),"")</f>
        <v/>
      </c>
      <c r="AL1278" s="23" t="str">
        <f>IFERROR(__xludf.DUMMYFUNCTION("XLOOKUP(C1278, 
   IMPORTRANGE(""1RdEdgHYrZ33LJ7RUHj_h-qkAFL92bcVjtIdVa-UlsCw"", ""Interns!D:D""), 
   IMPORTRANGE(""1RdEdgHYrZ33LJ7RUHj_h-qkAFL92bcVjtIdVa-UlsCw"", ""Interns!N:N""), 
   ""Not Found"")"),"#Cheers4Careers, #SpeakingMyName")</f>
        <v>#Cheers4Careers, #SpeakingMyName</v>
      </c>
      <c r="AM1278" s="23" t="str">
        <f>IFERROR(__xludf.DUMMYFUNCTION("XLOOKUP(C1278, 
   IMPORTRANGE(""1RdEdgHYrZ33LJ7RUHj_h-qkAFL92bcVjtIdVa-UlsCw"", ""Interns!D:D""), 
   IMPORTRANGE(""1RdEdgHYrZ33LJ7RUHj_h-qkAFL92bcVjtIdVa-UlsCw"", ""Interns!O:O""), 
   ""Not Found"")"),"Ousmane reached out on 04/28 by text about the Cheers4careers May 24th.
Alicia reached out by email on 5/15 for #SpeakingMyName")</f>
        <v>Ousmane reached out on 04/28 by text about the Cheers4careers May 24th.
Alicia reached out by email on 5/15 for #SpeakingMyName</v>
      </c>
      <c r="AN1278" s="23"/>
      <c r="AO1278" s="23" t="s">
        <v>13207</v>
      </c>
      <c r="AP1278" s="28" t="s">
        <v>5191</v>
      </c>
      <c r="AQ1278" s="28" t="s">
        <v>13208</v>
      </c>
      <c r="AR1278" s="23" t="s">
        <v>13209</v>
      </c>
      <c r="AS1278" s="23"/>
      <c r="AT1278" s="23"/>
      <c r="AU1278" s="23"/>
      <c r="AV1278" s="23"/>
    </row>
    <row r="1279">
      <c r="A1279" s="28" t="s">
        <v>5161</v>
      </c>
      <c r="B1279" s="28" t="s">
        <v>5162</v>
      </c>
      <c r="C1279" s="23" t="str">
        <f t="shared" si="1"/>
        <v>Raghd Salah</v>
      </c>
      <c r="D1279" s="28" t="s">
        <v>13210</v>
      </c>
      <c r="E1279" s="28" t="s">
        <v>13211</v>
      </c>
      <c r="F1279" s="23">
        <f t="array" ref="F1279">IFERROR(
    INDEX('Hub Interns 226'!A:A, MATCH(C1279, 'Hub Interns 226'!B:B, 0)),"")</f>
        <v>11</v>
      </c>
      <c r="G1279" s="28">
        <v>22.0</v>
      </c>
      <c r="H1279" s="28">
        <v>1626.0</v>
      </c>
      <c r="I1279" s="28" t="s">
        <v>407</v>
      </c>
      <c r="J1279" s="28" t="s">
        <v>9487</v>
      </c>
      <c r="K1279" s="28" t="s">
        <v>5186</v>
      </c>
      <c r="L1279" s="28" t="s">
        <v>5196</v>
      </c>
      <c r="M1279" s="56" t="s">
        <v>13212</v>
      </c>
      <c r="N1279" s="57">
        <v>45099.9625</v>
      </c>
      <c r="O1279" s="58">
        <v>45099.0</v>
      </c>
      <c r="P1279" s="28">
        <f t="shared" si="38"/>
        <v>2</v>
      </c>
      <c r="Q1279" s="28" t="s">
        <v>13213</v>
      </c>
      <c r="R1279" s="28" t="s">
        <v>13214</v>
      </c>
      <c r="S1279" s="28">
        <v>15.0</v>
      </c>
      <c r="T1279" s="28">
        <v>29.0</v>
      </c>
      <c r="U1279" s="28">
        <v>84.0</v>
      </c>
      <c r="V1279" s="28">
        <v>8.0</v>
      </c>
      <c r="W1279" s="28" t="s">
        <v>859</v>
      </c>
      <c r="X1279" s="28" t="s">
        <v>272</v>
      </c>
      <c r="Y1279" s="28">
        <v>3.477813339E9</v>
      </c>
      <c r="Z1279" s="28" t="s">
        <v>5208</v>
      </c>
      <c r="AA1279" s="28" t="s">
        <v>2141</v>
      </c>
      <c r="AB1279" s="28">
        <v>8.0</v>
      </c>
      <c r="AC1279" s="28" t="s">
        <v>25</v>
      </c>
      <c r="AD1279" s="23"/>
      <c r="AE1279" s="28" t="s">
        <v>18</v>
      </c>
      <c r="AF1279" s="23" t="str">
        <f>IFERROR(__xludf.DUMMYFUNCTION("TEXTJOIN("", "", TRUE,
  FILTER(Champions!C:C,
    ISNUMBER(SEARCH(C1279, Champions!W:W))
  )
)"),"Anna Butuzova, Diane French")</f>
        <v>Anna Butuzova, Diane French</v>
      </c>
      <c r="AG1279" s="23"/>
      <c r="AH1279" s="23" t="str">
        <f>IFERROR(__xludf.DUMMYFUNCTION("IF(
ISNUMBER(MATCH(
C1279,
IMPORTRANGE(""https://docs.google.com/spreadsheets/d/1yTh1ELC33JHYOeEdgIiEclxPRyh0zOKtlawDltfUay8"",""'Interns'!A:A""),
0
)),
""Outreach Conducted"",
"""")"),"")</f>
        <v/>
      </c>
      <c r="AI1279" s="23"/>
      <c r="AJ1279" s="23"/>
      <c r="AK1279" s="23" t="str">
        <f>IFERROR(__xludf.DUMMYFUNCTION("XLOOKUP(C1279, 
   IMPORTRANGE(""1RdEdgHYrZ33LJ7RUHj_h-qkAFL92bcVjtIdVa-UlsCw"", ""Interns!D:D""), 
   IMPORTRANGE(""1RdEdgHYrZ33LJ7RUHj_h-qkAFL92bcVjtIdVa-UlsCw"", ""Interns!M:M""), 
   ""Not Found"")"),"Contacted")</f>
        <v>Contacted</v>
      </c>
      <c r="AL1279" s="23" t="str">
        <f>IFERROR(__xludf.DUMMYFUNCTION("XLOOKUP(C1279, 
   IMPORTRANGE(""1RdEdgHYrZ33LJ7RUHj_h-qkAFL92bcVjtIdVa-UlsCw"", ""Interns!D:D""), 
   IMPORTRANGE(""1RdEdgHYrZ33LJ7RUHj_h-qkAFL92bcVjtIdVa-UlsCw"", ""Interns!N:N""), 
   ""Not Found"")"),"#Cheers4Careers")</f>
        <v>#Cheers4Careers</v>
      </c>
      <c r="AM1279" s="23" t="str">
        <f>IFERROR(__xludf.DUMMYFUNCTION("XLOOKUP(C1279, 
   IMPORTRANGE(""1RdEdgHYrZ33LJ7RUHj_h-qkAFL92bcVjtIdVa-UlsCw"", ""Interns!D:D""), 
   IMPORTRANGE(""1RdEdgHYrZ33LJ7RUHj_h-qkAFL92bcVjtIdVa-UlsCw"", ""Interns!O:O""), 
   ""Not Found"")"),"Hetal reached out by email 3/27")</f>
        <v>Hetal reached out by email 3/27</v>
      </c>
      <c r="AN1279" s="23"/>
      <c r="AO1279" s="23" t="s">
        <v>13215</v>
      </c>
      <c r="AP1279" s="28" t="s">
        <v>5182</v>
      </c>
      <c r="AQ1279" s="28" t="s">
        <v>13216</v>
      </c>
      <c r="AR1279" s="23">
        <v>3.475399001E9</v>
      </c>
      <c r="AS1279" s="23"/>
      <c r="AT1279" s="23"/>
      <c r="AU1279" s="23"/>
      <c r="AV1279" s="23"/>
    </row>
    <row r="1280">
      <c r="A1280" s="28" t="s">
        <v>5161</v>
      </c>
      <c r="B1280" s="28" t="s">
        <v>5162</v>
      </c>
      <c r="C1280" s="23" t="str">
        <f t="shared" si="1"/>
        <v>Abdalmanaim Salah</v>
      </c>
      <c r="D1280" s="28" t="s">
        <v>13217</v>
      </c>
      <c r="E1280" s="28" t="s">
        <v>13211</v>
      </c>
      <c r="F1280" s="23" t="str">
        <f t="array" ref="F1280">IFERROR(
    INDEX('Hub Interns 226'!A:A, MATCH(C1280, 'Hub Interns 226'!B:B, 0)),"")</f>
        <v/>
      </c>
      <c r="G1280" s="23">
        <f t="array" ref="G1280">IFERROR(
    INDEX('Hub Users 226'!A:A, MATCH(C1280, 'Hub Users 226'!B:B, 0)),"")</f>
        <v>450</v>
      </c>
      <c r="H1280" s="28">
        <v>241.0</v>
      </c>
      <c r="I1280" s="28" t="s">
        <v>290</v>
      </c>
      <c r="J1280" s="28" t="s">
        <v>9487</v>
      </c>
      <c r="K1280" s="28" t="s">
        <v>5186</v>
      </c>
      <c r="L1280" s="28" t="s">
        <v>5165</v>
      </c>
      <c r="M1280" s="56" t="s">
        <v>13218</v>
      </c>
      <c r="N1280" s="59">
        <v>44133.561111111114</v>
      </c>
      <c r="O1280" s="58">
        <v>38209.0</v>
      </c>
      <c r="P1280" s="28">
        <f t="shared" si="38"/>
        <v>21</v>
      </c>
      <c r="Q1280" s="28" t="s">
        <v>13219</v>
      </c>
      <c r="R1280" s="28" t="s">
        <v>13220</v>
      </c>
      <c r="S1280" s="28"/>
      <c r="T1280" s="28"/>
      <c r="U1280" s="28"/>
      <c r="V1280" s="28"/>
      <c r="W1280" s="28" t="s">
        <v>380</v>
      </c>
      <c r="X1280" s="28" t="s">
        <v>381</v>
      </c>
      <c r="Y1280" s="28">
        <v>2.674691916E9</v>
      </c>
      <c r="Z1280" s="28" t="s">
        <v>5220</v>
      </c>
      <c r="AA1280" s="28" t="s">
        <v>1570</v>
      </c>
      <c r="AB1280" s="28" t="s">
        <v>5221</v>
      </c>
      <c r="AC1280" s="28" t="s">
        <v>25</v>
      </c>
      <c r="AD1280" s="23"/>
      <c r="AE1280" s="28" t="s">
        <v>8</v>
      </c>
      <c r="AF1280" s="23" t="str">
        <f>IFERROR(__xludf.DUMMYFUNCTION("TEXTJOIN("", "", TRUE,
  FILTER(Champions!C:C,
    ISNUMBER(SEARCH(C1280, Champions!W:W))
  )
)"),"Rajnarind Kaur, Stephanie Grandjacques, Vicki Teman")</f>
        <v>Rajnarind Kaur, Stephanie Grandjacques, Vicki Teman</v>
      </c>
      <c r="AG1280" s="23"/>
      <c r="AH1280" s="23" t="str">
        <f>IFERROR(__xludf.DUMMYFUNCTION("IF(
ISNUMBER(MATCH(
C1280,
IMPORTRANGE(""https://docs.google.com/spreadsheets/d/1yTh1ELC33JHYOeEdgIiEclxPRyh0zOKtlawDltfUay8"",""'Interns'!A:A""),
0
)),
""Outreach Conducted"",
"""")"),"")</f>
        <v/>
      </c>
      <c r="AI1280" s="23"/>
      <c r="AJ1280" s="23"/>
      <c r="AK1280" s="23" t="str">
        <f>IFERROR(__xludf.DUMMYFUNCTION("XLOOKUP(C1280, 
   IMPORTRANGE(""1RdEdgHYrZ33LJ7RUHj_h-qkAFL92bcVjtIdVa-UlsCw"", ""Interns!D:D""), 
   IMPORTRANGE(""1RdEdgHYrZ33LJ7RUHj_h-qkAFL92bcVjtIdVa-UlsCw"", ""Interns!M:M""), 
   ""Not Found"")"),"")</f>
        <v/>
      </c>
      <c r="AL1280" s="23" t="str">
        <f>IFERROR(__xludf.DUMMYFUNCTION("XLOOKUP(C1280, 
   IMPORTRANGE(""1RdEdgHYrZ33LJ7RUHj_h-qkAFL92bcVjtIdVa-UlsCw"", ""Interns!D:D""), 
   IMPORTRANGE(""1RdEdgHYrZ33LJ7RUHj_h-qkAFL92bcVjtIdVa-UlsCw"", ""Interns!N:N""), 
   ""Not Found"")"),"")</f>
        <v/>
      </c>
      <c r="AM1280" s="23" t="str">
        <f>IFERROR(__xludf.DUMMYFUNCTION("XLOOKUP(C1280, 
   IMPORTRANGE(""1RdEdgHYrZ33LJ7RUHj_h-qkAFL92bcVjtIdVa-UlsCw"", ""Interns!D:D""), 
   IMPORTRANGE(""1RdEdgHYrZ33LJ7RUHj_h-qkAFL92bcVjtIdVa-UlsCw"", ""Interns!O:O""), 
   ""Not Found"")"),"")</f>
        <v/>
      </c>
      <c r="AN1280" s="23"/>
      <c r="AO1280" s="23" t="s">
        <v>13221</v>
      </c>
      <c r="AP1280" s="28" t="s">
        <v>5191</v>
      </c>
      <c r="AQ1280" s="28" t="s">
        <v>13218</v>
      </c>
      <c r="AR1280" s="23">
        <v>2.152149086E9</v>
      </c>
      <c r="AS1280" s="23"/>
      <c r="AT1280" s="23"/>
      <c r="AU1280" s="23"/>
      <c r="AV1280" s="23"/>
    </row>
    <row r="1281">
      <c r="A1281" s="28" t="s">
        <v>5161</v>
      </c>
      <c r="B1281" s="28" t="s">
        <v>5162</v>
      </c>
      <c r="C1281" s="23" t="str">
        <f t="shared" si="1"/>
        <v>Rana Musleh</v>
      </c>
      <c r="D1281" s="28" t="s">
        <v>4382</v>
      </c>
      <c r="E1281" s="28" t="s">
        <v>13222</v>
      </c>
      <c r="F1281" s="23">
        <f t="array" ref="F1281">IFERROR(
    INDEX('Hub Interns 226'!A:A, MATCH(C1281, 'Hub Interns 226'!B:B, 0)),"")</f>
        <v>1015</v>
      </c>
      <c r="G1281" s="23">
        <f t="array" ref="G1281">IFERROR(
    INDEX('Hub Users 226'!A:A, MATCH(C1281, 'Hub Users 226'!B:B, 0)),"")</f>
        <v>1448</v>
      </c>
      <c r="H1281" s="28">
        <v>1225.0</v>
      </c>
      <c r="I1281" s="28" t="s">
        <v>107</v>
      </c>
      <c r="J1281" s="28" t="s">
        <v>9487</v>
      </c>
      <c r="K1281" s="28" t="s">
        <v>5186</v>
      </c>
      <c r="L1281" s="28" t="s">
        <v>5196</v>
      </c>
      <c r="M1281" s="56" t="s">
        <v>13223</v>
      </c>
      <c r="N1281" s="57">
        <v>44838.43819444445</v>
      </c>
      <c r="O1281" s="58">
        <v>38639.0</v>
      </c>
      <c r="P1281" s="28">
        <f t="shared" si="38"/>
        <v>20</v>
      </c>
      <c r="Q1281" s="28" t="s">
        <v>13224</v>
      </c>
      <c r="R1281" s="28" t="s">
        <v>13225</v>
      </c>
      <c r="S1281" s="28">
        <v>13.0</v>
      </c>
      <c r="T1281" s="28">
        <v>31.0</v>
      </c>
      <c r="U1281" s="28">
        <v>72.0</v>
      </c>
      <c r="V1281" s="28">
        <v>10.0</v>
      </c>
      <c r="W1281" s="28" t="s">
        <v>271</v>
      </c>
      <c r="X1281" s="28" t="s">
        <v>272</v>
      </c>
      <c r="Y1281" s="23"/>
      <c r="Z1281" s="28" t="s">
        <v>5341</v>
      </c>
      <c r="AA1281" s="28" t="s">
        <v>1085</v>
      </c>
      <c r="AB1281" s="28">
        <v>10.0</v>
      </c>
      <c r="AC1281" s="28" t="s">
        <v>25</v>
      </c>
      <c r="AD1281" s="28" t="s">
        <v>101</v>
      </c>
      <c r="AE1281" s="28" t="s">
        <v>15</v>
      </c>
      <c r="AF1281" s="23" t="str">
        <f>IFERROR(__xludf.DUMMYFUNCTION("TEXTJOIN("", "", TRUE,
  FILTER(Champions!C:C,
    ISNUMBER(SEARCH(C1281, Champions!W:W))
  )
)"),"Bhavna Mohan Agnihotri, Joanne Hsu, Frank Weber")</f>
        <v>Bhavna Mohan Agnihotri, Joanne Hsu, Frank Weber</v>
      </c>
      <c r="AG1281" s="26" t="s">
        <v>7320</v>
      </c>
      <c r="AH1281" s="23" t="str">
        <f>IFERROR(__xludf.DUMMYFUNCTION("IF(
ISNUMBER(MATCH(
C1281,
IMPORTRANGE(""https://docs.google.com/spreadsheets/d/1yTh1ELC33JHYOeEdgIiEclxPRyh0zOKtlawDltfUay8"",""'Interns'!A:A""),
0
)),
""Outreach Conducted"",
"""")"),"Outreach Conducted")</f>
        <v>Outreach Conducted</v>
      </c>
      <c r="AI1281" s="23"/>
      <c r="AJ1281" s="28" t="s">
        <v>13226</v>
      </c>
      <c r="AK1281" s="23" t="str">
        <f>IFERROR(__xludf.DUMMYFUNCTION("XLOOKUP(C1281, 
   IMPORTRANGE(""1RdEdgHYrZ33LJ7RUHj_h-qkAFL92bcVjtIdVa-UlsCw"", ""Interns!D:D""), 
   IMPORTRANGE(""1RdEdgHYrZ33LJ7RUHj_h-qkAFL92bcVjtIdVa-UlsCw"", ""Interns!M:M""), 
   ""Not Found"")"),"Contacted")</f>
        <v>Contacted</v>
      </c>
      <c r="AL1281" s="23" t="str">
        <f>IFERROR(__xludf.DUMMYFUNCTION("XLOOKUP(C1281, 
   IMPORTRANGE(""1RdEdgHYrZ33LJ7RUHj_h-qkAFL92bcVjtIdVa-UlsCw"", ""Interns!D:D""), 
   IMPORTRANGE(""1RdEdgHYrZ33LJ7RUHj_h-qkAFL92bcVjtIdVa-UlsCw"", ""Interns!N:N""), 
   ""Not Found"")"),"#Cheers4Careers")</f>
        <v>#Cheers4Careers</v>
      </c>
      <c r="AM1281" s="23" t="str">
        <f>IFERROR(__xludf.DUMMYFUNCTION("XLOOKUP(C1281, 
   IMPORTRANGE(""1RdEdgHYrZ33LJ7RUHj_h-qkAFL92bcVjtIdVa-UlsCw"", ""Interns!D:D""), 
   IMPORTRANGE(""1RdEdgHYrZ33LJ7RUHj_h-qkAFL92bcVjtIdVa-UlsCw"", ""Interns!O:O""), 
   ""Not Found"")"),"Texted on April 14 for #Cheers4Careers event")</f>
        <v>Texted on April 14 for #Cheers4Careers event</v>
      </c>
      <c r="AN1281" s="23"/>
      <c r="AO1281" s="23" t="s">
        <v>13227</v>
      </c>
      <c r="AP1281" s="28" t="s">
        <v>5191</v>
      </c>
      <c r="AQ1281" s="28" t="s">
        <v>13228</v>
      </c>
      <c r="AR1281" s="23" t="s">
        <v>13229</v>
      </c>
      <c r="AS1281" s="23"/>
      <c r="AT1281" s="23"/>
      <c r="AU1281" s="23"/>
      <c r="AV1281" s="23"/>
    </row>
    <row r="1282">
      <c r="A1282" s="28" t="s">
        <v>5161</v>
      </c>
      <c r="B1282" s="28" t="s">
        <v>5162</v>
      </c>
      <c r="C1282" s="23" t="str">
        <f t="shared" si="1"/>
        <v>Dema Alhuraibi</v>
      </c>
      <c r="D1282" s="28" t="s">
        <v>13230</v>
      </c>
      <c r="E1282" s="28" t="s">
        <v>13231</v>
      </c>
      <c r="F1282" s="23">
        <f t="array" ref="F1282">IFERROR(
    INDEX('Hub Interns 226'!A:A, MATCH(C1282, 'Hub Interns 226'!B:B, 0)),"")</f>
        <v>430</v>
      </c>
      <c r="G1282" s="23">
        <f t="array" ref="G1282">IFERROR(
    INDEX('Hub Users 226'!A:A, MATCH(C1282, 'Hub Users 226'!B:B, 0)),"")</f>
        <v>863</v>
      </c>
      <c r="H1282" s="28">
        <v>26.0</v>
      </c>
      <c r="I1282" s="28" t="s">
        <v>239</v>
      </c>
      <c r="J1282" s="28" t="s">
        <v>9487</v>
      </c>
      <c r="K1282" s="28" t="s">
        <v>5186</v>
      </c>
      <c r="L1282" s="28" t="s">
        <v>5196</v>
      </c>
      <c r="M1282" s="56" t="s">
        <v>13232</v>
      </c>
      <c r="N1282" s="57">
        <v>43741.63055555556</v>
      </c>
      <c r="O1282" s="58"/>
      <c r="P1282" s="28">
        <f t="shared" si="38"/>
        <v>126</v>
      </c>
      <c r="Q1282" s="28" t="s">
        <v>13233</v>
      </c>
      <c r="R1282" s="23"/>
      <c r="S1282" s="28"/>
      <c r="T1282" s="28"/>
      <c r="U1282" s="28"/>
      <c r="V1282" s="28"/>
      <c r="W1282" s="28" t="s">
        <v>380</v>
      </c>
      <c r="X1282" s="28" t="s">
        <v>381</v>
      </c>
      <c r="Y1282" s="28" t="s">
        <v>13234</v>
      </c>
      <c r="Z1282" s="28" t="s">
        <v>5491</v>
      </c>
      <c r="AA1282" s="28" t="s">
        <v>5492</v>
      </c>
      <c r="AB1282" s="28">
        <v>47.0</v>
      </c>
      <c r="AC1282" s="28" t="s">
        <v>25</v>
      </c>
      <c r="AD1282" s="28" t="s">
        <v>101</v>
      </c>
      <c r="AE1282" s="28" t="s">
        <v>4</v>
      </c>
      <c r="AF1282" s="23" t="str">
        <f>IFERROR(__xludf.DUMMYFUNCTION("TEXTJOIN("", "", TRUE,
  FILTER(Champions!C:C,
    ISNUMBER(SEARCH(C1282, Champions!W:W))
  )
)"),"Amy Sit")</f>
        <v>Amy Sit</v>
      </c>
      <c r="AG1282" s="23"/>
      <c r="AH1282" s="23" t="str">
        <f>IFERROR(__xludf.DUMMYFUNCTION("IF(
ISNUMBER(MATCH(
C1282,
IMPORTRANGE(""https://docs.google.com/spreadsheets/d/1yTh1ELC33JHYOeEdgIiEclxPRyh0zOKtlawDltfUay8"",""'Interns'!A:A""),
0
)),
""Outreach Conducted"",
"""")"),"")</f>
        <v/>
      </c>
      <c r="AI1282" s="23"/>
      <c r="AJ1282" s="23"/>
      <c r="AK1282" s="23" t="str">
        <f>IFERROR(__xludf.DUMMYFUNCTION("XLOOKUP(C1282, 
   IMPORTRANGE(""1RdEdgHYrZ33LJ7RUHj_h-qkAFL92bcVjtIdVa-UlsCw"", ""Interns!D:D""), 
   IMPORTRANGE(""1RdEdgHYrZ33LJ7RUHj_h-qkAFL92bcVjtIdVa-UlsCw"", ""Interns!M:M""), 
   ""Not Found"")"),"")</f>
        <v/>
      </c>
      <c r="AL1282" s="23" t="str">
        <f>IFERROR(__xludf.DUMMYFUNCTION("XLOOKUP(C1282, 
   IMPORTRANGE(""1RdEdgHYrZ33LJ7RUHj_h-qkAFL92bcVjtIdVa-UlsCw"", ""Interns!D:D""), 
   IMPORTRANGE(""1RdEdgHYrZ33LJ7RUHj_h-qkAFL92bcVjtIdVa-UlsCw"", ""Interns!N:N""), 
   ""Not Found"")"),"")</f>
        <v/>
      </c>
      <c r="AM1282" s="23" t="str">
        <f>IFERROR(__xludf.DUMMYFUNCTION("XLOOKUP(C1282, 
   IMPORTRANGE(""1RdEdgHYrZ33LJ7RUHj_h-qkAFL92bcVjtIdVa-UlsCw"", ""Interns!D:D""), 
   IMPORTRANGE(""1RdEdgHYrZ33LJ7RUHj_h-qkAFL92bcVjtIdVa-UlsCw"", ""Interns!O:O""), 
   ""Not Found"")"),"")</f>
        <v/>
      </c>
      <c r="AN1282" s="23"/>
      <c r="AO1282" s="23" t="s">
        <v>13235</v>
      </c>
      <c r="AP1282" s="28" t="s">
        <v>5182</v>
      </c>
      <c r="AQ1282" s="28" t="s">
        <v>13235</v>
      </c>
      <c r="AR1282" s="23" t="s">
        <v>13236</v>
      </c>
      <c r="AS1282" s="23"/>
      <c r="AT1282" s="23"/>
      <c r="AU1282" s="23"/>
      <c r="AV1282" s="23"/>
    </row>
    <row r="1283">
      <c r="A1283" s="28" t="s">
        <v>5161</v>
      </c>
      <c r="B1283" s="28" t="s">
        <v>5162</v>
      </c>
      <c r="C1283" s="23" t="str">
        <f t="shared" si="1"/>
        <v>Jayden Lliguichuzhca</v>
      </c>
      <c r="D1283" s="28" t="s">
        <v>13237</v>
      </c>
      <c r="E1283" s="28" t="s">
        <v>9203</v>
      </c>
      <c r="F1283" s="23">
        <f t="array" ref="F1283">IFERROR(
    INDEX('Hub Interns 226'!A:A, MATCH(C1283, 'Hub Interns 226'!B:B, 0)),"")</f>
        <v>140</v>
      </c>
      <c r="G1283" s="23">
        <f t="array" ref="G1283">IFERROR(
    INDEX('Hub Users 226'!A:A, MATCH(C1283, 'Hub Users 226'!B:B, 0)),"")</f>
        <v>573</v>
      </c>
      <c r="H1283" s="28">
        <v>1533.0</v>
      </c>
      <c r="I1283" s="28" t="s">
        <v>239</v>
      </c>
      <c r="J1283" s="28"/>
      <c r="K1283" s="28"/>
      <c r="L1283" s="28" t="s">
        <v>5165</v>
      </c>
      <c r="M1283" s="56" t="s">
        <v>13238</v>
      </c>
      <c r="N1283" s="57">
        <v>44953.410416666666</v>
      </c>
      <c r="O1283" s="58">
        <v>40022.0</v>
      </c>
      <c r="P1283" s="28">
        <f t="shared" si="38"/>
        <v>16</v>
      </c>
      <c r="Q1283" s="28" t="s">
        <v>13239</v>
      </c>
      <c r="R1283" s="28">
        <v>11347.0</v>
      </c>
      <c r="S1283" s="28"/>
      <c r="T1283" s="28"/>
      <c r="U1283" s="28"/>
      <c r="V1283" s="28"/>
      <c r="W1283" s="28" t="s">
        <v>1173</v>
      </c>
      <c r="X1283" s="28" t="s">
        <v>272</v>
      </c>
      <c r="Y1283" s="28" t="s">
        <v>13240</v>
      </c>
      <c r="Z1283" s="28" t="s">
        <v>5403</v>
      </c>
      <c r="AA1283" s="28" t="s">
        <v>5404</v>
      </c>
      <c r="AB1283" s="28">
        <v>21.0</v>
      </c>
      <c r="AC1283" s="28" t="s">
        <v>23</v>
      </c>
      <c r="AD1283" s="23"/>
      <c r="AE1283" s="28" t="s">
        <v>15</v>
      </c>
      <c r="AF1283" s="23"/>
      <c r="AG1283" s="23"/>
      <c r="AH1283" s="23" t="str">
        <f>IFERROR(__xludf.DUMMYFUNCTION("IF(
ISNUMBER(MATCH(
C1283,
IMPORTRANGE(""https://docs.google.com/spreadsheets/d/1yTh1ELC33JHYOeEdgIiEclxPRyh0zOKtlawDltfUay8"",""'Interns'!A:A""),
0
)),
""Outreach Conducted"",
"""")"),"")</f>
        <v/>
      </c>
      <c r="AI1283" s="23"/>
      <c r="AJ1283" s="23"/>
      <c r="AK1283" s="23" t="str">
        <f>IFERROR(__xludf.DUMMYFUNCTION("XLOOKUP(C1283, 
   IMPORTRANGE(""1RdEdgHYrZ33LJ7RUHj_h-qkAFL92bcVjtIdVa-UlsCw"", ""Interns!D:D""), 
   IMPORTRANGE(""1RdEdgHYrZ33LJ7RUHj_h-qkAFL92bcVjtIdVa-UlsCw"", ""Interns!M:M""), 
   ""Not Found"")"),"Contacted")</f>
        <v>Contacted</v>
      </c>
      <c r="AL1283" s="23" t="str">
        <f>IFERROR(__xludf.DUMMYFUNCTION("XLOOKUP(C1283, 
   IMPORTRANGE(""1RdEdgHYrZ33LJ7RUHj_h-qkAFL92bcVjtIdVa-UlsCw"", ""Interns!D:D""), 
   IMPORTRANGE(""1RdEdgHYrZ33LJ7RUHj_h-qkAFL92bcVjtIdVa-UlsCw"", ""Interns!N:N""), 
   ""Not Found"")"),"#Cheers4Careers, #SpeakingMyName")</f>
        <v>#Cheers4Careers, #SpeakingMyName</v>
      </c>
      <c r="AM1283" s="23" t="str">
        <f>IFERROR(__xludf.DUMMYFUNCTION("XLOOKUP(C1283, 
   IMPORTRANGE(""1RdEdgHYrZ33LJ7RUHj_h-qkAFL92bcVjtIdVa-UlsCw"", ""Interns!D:D""), 
   IMPORTRANGE(""1RdEdgHYrZ33LJ7RUHj_h-qkAFL92bcVjtIdVa-UlsCw"", ""Interns!O:O""), 
   ""Not Found"")"),"Reached out by text 3/26-3/28 followed up by email 3/27 by Jackie
Alicia reached out by email on 5/15 for #SpeakingMyName")</f>
        <v>Reached out by text 3/26-3/28 followed up by email 3/27 by Jackie
Alicia reached out by email on 5/15 for #SpeakingMyName</v>
      </c>
      <c r="AN1283" s="23"/>
      <c r="AO1283" s="23" t="s">
        <v>13241</v>
      </c>
      <c r="AP1283" s="28" t="s">
        <v>5182</v>
      </c>
      <c r="AQ1283" s="28"/>
      <c r="AR1283" s="23"/>
      <c r="AS1283" s="23"/>
      <c r="AT1283" s="23"/>
      <c r="AU1283" s="23"/>
      <c r="AV1283" s="23"/>
    </row>
    <row r="1284">
      <c r="A1284" s="28" t="s">
        <v>5161</v>
      </c>
      <c r="B1284" s="28" t="s">
        <v>5162</v>
      </c>
      <c r="C1284" s="23" t="str">
        <f t="shared" si="1"/>
        <v>Jesus Gonzalez</v>
      </c>
      <c r="D1284" s="28" t="s">
        <v>13242</v>
      </c>
      <c r="E1284" s="28" t="s">
        <v>1377</v>
      </c>
      <c r="F1284" s="23">
        <f t="array" ref="F1284">IFERROR(
    INDEX('Hub Interns 226'!A:A, MATCH(C1284, 'Hub Interns 226'!B:B, 0)),"")</f>
        <v>656</v>
      </c>
      <c r="G1284" s="23">
        <f t="array" ref="G1284">IFERROR(
    INDEX('Hub Users 226'!A:A, MATCH(C1284, 'Hub Users 226'!B:B, 0)),"")</f>
        <v>1089</v>
      </c>
      <c r="H1284" s="28">
        <v>1527.0</v>
      </c>
      <c r="I1284" s="28" t="s">
        <v>269</v>
      </c>
      <c r="J1284" s="28"/>
      <c r="K1284" s="28"/>
      <c r="L1284" s="28" t="s">
        <v>5165</v>
      </c>
      <c r="M1284" s="56" t="s">
        <v>13243</v>
      </c>
      <c r="N1284" s="57">
        <v>44953.379166666666</v>
      </c>
      <c r="O1284" s="58">
        <v>39969.0</v>
      </c>
      <c r="P1284" s="28">
        <f t="shared" si="38"/>
        <v>16</v>
      </c>
      <c r="Q1284" s="28" t="s">
        <v>240</v>
      </c>
      <c r="R1284" s="28">
        <v>11368.0</v>
      </c>
      <c r="S1284" s="28"/>
      <c r="T1284" s="28"/>
      <c r="U1284" s="28"/>
      <c r="V1284" s="28"/>
      <c r="W1284" s="28" t="s">
        <v>1173</v>
      </c>
      <c r="X1284" s="28" t="s">
        <v>272</v>
      </c>
      <c r="Y1284" s="28" t="s">
        <v>13244</v>
      </c>
      <c r="Z1284" s="28" t="s">
        <v>5403</v>
      </c>
      <c r="AA1284" s="28" t="s">
        <v>5404</v>
      </c>
      <c r="AB1284" s="28">
        <v>21.0</v>
      </c>
      <c r="AC1284" s="28" t="s">
        <v>23</v>
      </c>
      <c r="AD1284" s="23"/>
      <c r="AE1284" s="28" t="s">
        <v>15</v>
      </c>
      <c r="AF1284" s="23"/>
      <c r="AG1284" s="23"/>
      <c r="AH1284" s="23" t="str">
        <f>IFERROR(__xludf.DUMMYFUNCTION("IF(
ISNUMBER(MATCH(
C1284,
IMPORTRANGE(""https://docs.google.com/spreadsheets/d/1yTh1ELC33JHYOeEdgIiEclxPRyh0zOKtlawDltfUay8"",""'Interns'!A:A""),
0
)),
""Outreach Conducted"",
"""")"),"")</f>
        <v/>
      </c>
      <c r="AI1284" s="23"/>
      <c r="AJ1284" s="23"/>
      <c r="AK1284" s="23" t="str">
        <f>IFERROR(__xludf.DUMMYFUNCTION("XLOOKUP(C1284, 
   IMPORTRANGE(""1RdEdgHYrZ33LJ7RUHj_h-qkAFL92bcVjtIdVa-UlsCw"", ""Interns!D:D""), 
   IMPORTRANGE(""1RdEdgHYrZ33LJ7RUHj_h-qkAFL92bcVjtIdVa-UlsCw"", ""Interns!M:M""), 
   ""Not Found"")"),"Contacted")</f>
        <v>Contacted</v>
      </c>
      <c r="AL1284" s="23" t="str">
        <f>IFERROR(__xludf.DUMMYFUNCTION("XLOOKUP(C1284, 
   IMPORTRANGE(""1RdEdgHYrZ33LJ7RUHj_h-qkAFL92bcVjtIdVa-UlsCw"", ""Interns!D:D""), 
   IMPORTRANGE(""1RdEdgHYrZ33LJ7RUHj_h-qkAFL92bcVjtIdVa-UlsCw"", ""Interns!N:N""), 
   ""Not Found"")"),"#Cheers4Careers")</f>
        <v>#Cheers4Careers</v>
      </c>
      <c r="AM1284" s="23" t="str">
        <f>IFERROR(__xludf.DUMMYFUNCTION("XLOOKUP(C1284,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284" s="23"/>
      <c r="AO1284" s="23" t="s">
        <v>13245</v>
      </c>
      <c r="AP1284" s="28" t="s">
        <v>5191</v>
      </c>
      <c r="AQ1284" s="28"/>
      <c r="AR1284" s="23"/>
      <c r="AS1284" s="23"/>
      <c r="AT1284" s="23"/>
      <c r="AU1284" s="23"/>
      <c r="AV1284" s="23"/>
    </row>
    <row r="1285">
      <c r="A1285" s="28" t="s">
        <v>5161</v>
      </c>
      <c r="B1285" s="28" t="s">
        <v>5162</v>
      </c>
      <c r="C1285" s="23" t="str">
        <f t="shared" si="1"/>
        <v>Nelly Zumba</v>
      </c>
      <c r="D1285" s="28" t="s">
        <v>13246</v>
      </c>
      <c r="E1285" s="28" t="s">
        <v>9784</v>
      </c>
      <c r="F1285" s="23">
        <f t="array" ref="F1285">IFERROR(
    INDEX('Hub Interns 226'!A:A, MATCH(C1285, 'Hub Interns 226'!B:B, 0)),"")</f>
        <v>1263</v>
      </c>
      <c r="G1285" s="23">
        <f t="array" ref="G1285">IFERROR(
    INDEX('Hub Users 226'!A:A, MATCH(C1285, 'Hub Users 226'!B:B, 0)),"")</f>
        <v>1696</v>
      </c>
      <c r="H1285" s="28">
        <v>1517.0</v>
      </c>
      <c r="I1285" s="28" t="s">
        <v>260</v>
      </c>
      <c r="J1285" s="28"/>
      <c r="K1285" s="28"/>
      <c r="L1285" s="28" t="s">
        <v>5196</v>
      </c>
      <c r="M1285" s="56" t="s">
        <v>13247</v>
      </c>
      <c r="N1285" s="57">
        <v>44953.36944444444</v>
      </c>
      <c r="O1285" s="58">
        <v>40739.0</v>
      </c>
      <c r="P1285" s="28">
        <f t="shared" si="38"/>
        <v>14</v>
      </c>
      <c r="Q1285" s="28" t="s">
        <v>13248</v>
      </c>
      <c r="R1285" s="28">
        <v>3518103.0</v>
      </c>
      <c r="S1285" s="28"/>
      <c r="T1285" s="28"/>
      <c r="U1285" s="28"/>
      <c r="V1285" s="28"/>
      <c r="W1285" s="28" t="s">
        <v>1173</v>
      </c>
      <c r="X1285" s="28" t="s">
        <v>272</v>
      </c>
      <c r="Y1285" s="28" t="s">
        <v>13249</v>
      </c>
      <c r="Z1285" s="28" t="s">
        <v>5403</v>
      </c>
      <c r="AA1285" s="28" t="s">
        <v>5404</v>
      </c>
      <c r="AB1285" s="28">
        <v>21.0</v>
      </c>
      <c r="AC1285" s="28" t="s">
        <v>23</v>
      </c>
      <c r="AD1285" s="23"/>
      <c r="AE1285" s="28" t="s">
        <v>15</v>
      </c>
      <c r="AF1285" s="23"/>
      <c r="AG1285" s="23"/>
      <c r="AH1285" s="23" t="str">
        <f>IFERROR(__xludf.DUMMYFUNCTION("IF(
ISNUMBER(MATCH(
C1285,
IMPORTRANGE(""https://docs.google.com/spreadsheets/d/1yTh1ELC33JHYOeEdgIiEclxPRyh0zOKtlawDltfUay8"",""'Interns'!A:A""),
0
)),
""Outreach Conducted"",
"""")"),"")</f>
        <v/>
      </c>
      <c r="AI1285" s="23"/>
      <c r="AJ1285" s="23"/>
      <c r="AK1285" s="23" t="str">
        <f>IFERROR(__xludf.DUMMYFUNCTION("XLOOKUP(C1285, 
   IMPORTRANGE(""1RdEdgHYrZ33LJ7RUHj_h-qkAFL92bcVjtIdVa-UlsCw"", ""Interns!D:D""), 
   IMPORTRANGE(""1RdEdgHYrZ33LJ7RUHj_h-qkAFL92bcVjtIdVa-UlsCw"", ""Interns!M:M""), 
   ""Not Found"")"),"Contacted")</f>
        <v>Contacted</v>
      </c>
      <c r="AL1285" s="23" t="str">
        <f>IFERROR(__xludf.DUMMYFUNCTION("XLOOKUP(C1285, 
   IMPORTRANGE(""1RdEdgHYrZ33LJ7RUHj_h-qkAFL92bcVjtIdVa-UlsCw"", ""Interns!D:D""), 
   IMPORTRANGE(""1RdEdgHYrZ33LJ7RUHj_h-qkAFL92bcVjtIdVa-UlsCw"", ""Interns!N:N""), 
   ""Not Found"")"),"#Cheers4Careers")</f>
        <v>#Cheers4Careers</v>
      </c>
      <c r="AM1285" s="23" t="str">
        <f>IFERROR(__xludf.DUMMYFUNCTION("XLOOKUP(C1285,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285" s="23"/>
      <c r="AO1285" s="23" t="s">
        <v>13250</v>
      </c>
      <c r="AP1285" s="28" t="s">
        <v>5182</v>
      </c>
      <c r="AQ1285" s="28"/>
      <c r="AR1285" s="23"/>
      <c r="AS1285" s="23"/>
      <c r="AT1285" s="23"/>
      <c r="AU1285" s="23"/>
      <c r="AV1285" s="23"/>
    </row>
    <row r="1286">
      <c r="A1286" s="28" t="s">
        <v>5161</v>
      </c>
      <c r="B1286" s="28" t="s">
        <v>5162</v>
      </c>
      <c r="C1286" s="23" t="str">
        <f t="shared" si="1"/>
        <v>Tyliek Ward</v>
      </c>
      <c r="D1286" s="28" t="s">
        <v>13251</v>
      </c>
      <c r="E1286" s="28" t="s">
        <v>13252</v>
      </c>
      <c r="F1286" s="23">
        <f t="array" ref="F1286">IFERROR(
    INDEX('Hub Interns 226'!A:A, MATCH(C1286, 'Hub Interns 226'!B:B, 0)),"")</f>
        <v>1160</v>
      </c>
      <c r="G1286" s="23">
        <f t="array" ref="G1286">IFERROR(
    INDEX('Hub Users 226'!A:A, MATCH(C1286, 'Hub Users 226'!B:B, 0)),"")</f>
        <v>1593</v>
      </c>
      <c r="H1286" s="28">
        <v>1377.0</v>
      </c>
      <c r="I1286" s="28"/>
      <c r="J1286" s="28"/>
      <c r="K1286" s="28"/>
      <c r="L1286" s="28" t="s">
        <v>5165</v>
      </c>
      <c r="M1286" s="56" t="s">
        <v>13253</v>
      </c>
      <c r="N1286" s="59">
        <v>44860.49097222222</v>
      </c>
      <c r="O1286" s="58">
        <v>39639.0</v>
      </c>
      <c r="P1286" s="28">
        <f t="shared" si="38"/>
        <v>17</v>
      </c>
      <c r="Q1286" s="28" t="s">
        <v>240</v>
      </c>
      <c r="R1286" s="28" t="s">
        <v>159</v>
      </c>
      <c r="S1286" s="28"/>
      <c r="T1286" s="28"/>
      <c r="U1286" s="28"/>
      <c r="V1286" s="28"/>
      <c r="W1286" s="28" t="s">
        <v>1173</v>
      </c>
      <c r="X1286" s="28" t="s">
        <v>272</v>
      </c>
      <c r="Y1286" s="28" t="s">
        <v>13254</v>
      </c>
      <c r="Z1286" s="28" t="s">
        <v>5332</v>
      </c>
      <c r="AA1286" s="28" t="s">
        <v>421</v>
      </c>
      <c r="AB1286" s="28">
        <v>31.0</v>
      </c>
      <c r="AC1286" s="28" t="s">
        <v>23</v>
      </c>
      <c r="AD1286" s="23"/>
      <c r="AE1286" s="28" t="s">
        <v>15</v>
      </c>
      <c r="AF1286" s="23"/>
      <c r="AG1286" s="23"/>
      <c r="AH1286" s="23" t="str">
        <f>IFERROR(__xludf.DUMMYFUNCTION("IF(
ISNUMBER(MATCH(
C1286,
IMPORTRANGE(""https://docs.google.com/spreadsheets/d/1yTh1ELC33JHYOeEdgIiEclxPRyh0zOKtlawDltfUay8"",""'Interns'!A:A""),
0
)),
""Outreach Conducted"",
"""")"),"")</f>
        <v/>
      </c>
      <c r="AI1286" s="23"/>
      <c r="AJ1286" s="23"/>
      <c r="AK1286" s="23" t="str">
        <f>IFERROR(__xludf.DUMMYFUNCTION("XLOOKUP(C1286, 
   IMPORTRANGE(""1RdEdgHYrZ33LJ7RUHj_h-qkAFL92bcVjtIdVa-UlsCw"", ""Interns!D:D""), 
   IMPORTRANGE(""1RdEdgHYrZ33LJ7RUHj_h-qkAFL92bcVjtIdVa-UlsCw"", ""Interns!M:M""), 
   ""Not Found"")"),"Contacted")</f>
        <v>Contacted</v>
      </c>
      <c r="AL1286" s="23" t="str">
        <f>IFERROR(__xludf.DUMMYFUNCTION("XLOOKUP(C1286, 
   IMPORTRANGE(""1RdEdgHYrZ33LJ7RUHj_h-qkAFL92bcVjtIdVa-UlsCw"", ""Interns!D:D""), 
   IMPORTRANGE(""1RdEdgHYrZ33LJ7RUHj_h-qkAFL92bcVjtIdVa-UlsCw"", ""Interns!N:N""), 
   ""Not Found"")"),"#Cheers4Careers")</f>
        <v>#Cheers4Careers</v>
      </c>
      <c r="AM1286" s="23" t="str">
        <f>IFERROR(__xludf.DUMMYFUNCTION("XLOOKUP(C1286, 
   IMPORTRANGE(""1RdEdgHYrZ33LJ7RUHj_h-qkAFL92bcVjtIdVa-UlsCw"", ""Interns!D:D""), 
   IMPORTRANGE(""1RdEdgHYrZ33LJ7RUHj_h-qkAFL92bcVjtIdVa-UlsCw"", ""Interns!O:O""), 
   ""Not Found"")"),"Hetal reached out March 27 for March #Cheers4 Careers  and texted")</f>
        <v>Hetal reached out March 27 for March #Cheers4 Careers  and texted</v>
      </c>
      <c r="AN1286" s="23"/>
      <c r="AO1286" s="23" t="s">
        <v>13255</v>
      </c>
      <c r="AP1286" s="28" t="s">
        <v>5191</v>
      </c>
      <c r="AQ1286" s="28"/>
      <c r="AR1286" s="23"/>
      <c r="AS1286" s="23"/>
      <c r="AT1286" s="23"/>
      <c r="AU1286" s="23"/>
      <c r="AV1286" s="23"/>
    </row>
    <row r="1287">
      <c r="A1287" s="28" t="s">
        <v>5161</v>
      </c>
      <c r="B1287" s="28" t="s">
        <v>5162</v>
      </c>
      <c r="C1287" s="23" t="str">
        <f t="shared" si="1"/>
        <v>Mike Humala</v>
      </c>
      <c r="D1287" s="28" t="s">
        <v>13256</v>
      </c>
      <c r="E1287" s="28" t="s">
        <v>13257</v>
      </c>
      <c r="F1287" s="23">
        <f t="array" ref="F1287">IFERROR(
    INDEX('Hub Interns 226'!A:A, MATCH(C1287, 'Hub Interns 226'!B:B, 0)),"")</f>
        <v>887</v>
      </c>
      <c r="G1287" s="23">
        <f t="array" ref="G1287">IFERROR(
    INDEX('Hub Users 226'!A:A, MATCH(C1287, 'Hub Users 226'!B:B, 0)),"")</f>
        <v>1320</v>
      </c>
      <c r="H1287" s="28">
        <v>1593.0</v>
      </c>
      <c r="I1287" s="28"/>
      <c r="J1287" s="28"/>
      <c r="K1287" s="28"/>
      <c r="L1287" s="28" t="s">
        <v>5165</v>
      </c>
      <c r="M1287" s="56" t="s">
        <v>13258</v>
      </c>
      <c r="N1287" s="57">
        <v>45016.39097222222</v>
      </c>
      <c r="O1287" s="58">
        <v>39944.0</v>
      </c>
      <c r="P1287" s="28">
        <f t="shared" si="38"/>
        <v>17</v>
      </c>
      <c r="Q1287" s="28" t="s">
        <v>240</v>
      </c>
      <c r="R1287" s="28" t="s">
        <v>13259</v>
      </c>
      <c r="S1287" s="28">
        <v>6.0</v>
      </c>
      <c r="T1287" s="28">
        <v>12.0</v>
      </c>
      <c r="U1287" s="28">
        <v>30.0</v>
      </c>
      <c r="V1287" s="28">
        <v>30.0</v>
      </c>
      <c r="W1287" s="28" t="s">
        <v>1173</v>
      </c>
      <c r="X1287" s="28" t="s">
        <v>272</v>
      </c>
      <c r="Y1287" s="28" t="s">
        <v>5169</v>
      </c>
      <c r="Z1287" s="28" t="s">
        <v>5170</v>
      </c>
      <c r="AA1287" s="28" t="s">
        <v>5171</v>
      </c>
      <c r="AB1287" s="28">
        <v>30.0</v>
      </c>
      <c r="AC1287" s="28" t="s">
        <v>23</v>
      </c>
      <c r="AD1287" s="23"/>
      <c r="AE1287" s="28" t="s">
        <v>15</v>
      </c>
      <c r="AF1287" s="23"/>
      <c r="AG1287" s="23"/>
      <c r="AH1287" s="23" t="str">
        <f>IFERROR(__xludf.DUMMYFUNCTION("IF(
ISNUMBER(MATCH(
C1287,
IMPORTRANGE(""https://docs.google.com/spreadsheets/d/1yTh1ELC33JHYOeEdgIiEclxPRyh0zOKtlawDltfUay8"",""'Interns'!A:A""),
0
)),
""Outreach Conducted"",
"""")"),"")</f>
        <v/>
      </c>
      <c r="AI1287" s="23"/>
      <c r="AJ1287" s="23"/>
      <c r="AK1287" s="23" t="str">
        <f>IFERROR(__xludf.DUMMYFUNCTION("XLOOKUP(C1287, 
   IMPORTRANGE(""1RdEdgHYrZ33LJ7RUHj_h-qkAFL92bcVjtIdVa-UlsCw"", ""Interns!D:D""), 
   IMPORTRANGE(""1RdEdgHYrZ33LJ7RUHj_h-qkAFL92bcVjtIdVa-UlsCw"", ""Interns!M:M""), 
   ""Not Found"")"),"Contacted")</f>
        <v>Contacted</v>
      </c>
      <c r="AL1287" s="23" t="str">
        <f>IFERROR(__xludf.DUMMYFUNCTION("XLOOKUP(C1287, 
   IMPORTRANGE(""1RdEdgHYrZ33LJ7RUHj_h-qkAFL92bcVjtIdVa-UlsCw"", ""Interns!D:D""), 
   IMPORTRANGE(""1RdEdgHYrZ33LJ7RUHj_h-qkAFL92bcVjtIdVa-UlsCw"", ""Interns!N:N""), 
   ""Not Found"")"),"#Cheers4Careers")</f>
        <v>#Cheers4Careers</v>
      </c>
      <c r="AM1287" s="23" t="str">
        <f>IFERROR(__xludf.DUMMYFUNCTION("XLOOKUP(C1287, 
   IMPORTRANGE(""1RdEdgHYrZ33LJ7RUHj_h-qkAFL92bcVjtIdVa-UlsCw"", ""Interns!D:D""), 
   IMPORTRANGE(""1RdEdgHYrZ33LJ7RUHj_h-qkAFL92bcVjtIdVa-UlsCw"", ""Interns!O:O""), 
   ""Not Found"")"),"Hetal reached out March 27 for March #Cheers4 Careers ")</f>
        <v>Hetal reached out March 27 for March #Cheers4 Careers </v>
      </c>
      <c r="AN1287" s="23"/>
      <c r="AO1287" s="23" t="s">
        <v>13260</v>
      </c>
      <c r="AP1287" s="28" t="s">
        <v>5182</v>
      </c>
      <c r="AQ1287" s="28"/>
      <c r="AR1287" s="23"/>
      <c r="AS1287" s="23"/>
      <c r="AT1287" s="23"/>
      <c r="AU1287" s="23"/>
      <c r="AV1287" s="23"/>
    </row>
    <row r="1288">
      <c r="A1288" s="28" t="s">
        <v>5161</v>
      </c>
      <c r="B1288" s="28" t="s">
        <v>5162</v>
      </c>
      <c r="C1288" s="23" t="str">
        <f t="shared" si="1"/>
        <v>Natalie Fernandez</v>
      </c>
      <c r="D1288" s="28" t="s">
        <v>2587</v>
      </c>
      <c r="E1288" s="28" t="s">
        <v>2413</v>
      </c>
      <c r="F1288" s="23">
        <f t="array" ref="F1288">IFERROR(
    INDEX('Hub Interns 226'!A:A, MATCH(C1288, 'Hub Interns 226'!B:B, 0)),"")</f>
        <v>923</v>
      </c>
      <c r="G1288" s="23">
        <f t="array" ref="G1288">IFERROR(
    INDEX('Hub Users 226'!A:A, MATCH(C1288, 'Hub Users 226'!B:B, 0)),"")</f>
        <v>1356</v>
      </c>
      <c r="H1288" s="28">
        <v>1531.0</v>
      </c>
      <c r="I1288" s="28" t="s">
        <v>269</v>
      </c>
      <c r="J1288" s="28"/>
      <c r="K1288" s="28"/>
      <c r="L1288" s="28" t="s">
        <v>5196</v>
      </c>
      <c r="M1288" s="56" t="s">
        <v>13261</v>
      </c>
      <c r="N1288" s="57">
        <v>44953.388194444444</v>
      </c>
      <c r="O1288" s="58">
        <v>40780.0</v>
      </c>
      <c r="P1288" s="28">
        <f t="shared" si="38"/>
        <v>14</v>
      </c>
      <c r="Q1288" s="28" t="s">
        <v>240</v>
      </c>
      <c r="R1288" s="28" t="s">
        <v>13262</v>
      </c>
      <c r="S1288" s="28">
        <v>14.0</v>
      </c>
      <c r="T1288" s="28">
        <v>13.0</v>
      </c>
      <c r="U1288" s="28">
        <v>34.0</v>
      </c>
      <c r="V1288" s="28">
        <v>21.0</v>
      </c>
      <c r="W1288" s="28" t="s">
        <v>1173</v>
      </c>
      <c r="X1288" s="28" t="s">
        <v>272</v>
      </c>
      <c r="Y1288" s="28" t="s">
        <v>13263</v>
      </c>
      <c r="Z1288" s="28" t="s">
        <v>5403</v>
      </c>
      <c r="AA1288" s="28" t="s">
        <v>5404</v>
      </c>
      <c r="AB1288" s="28">
        <v>21.0</v>
      </c>
      <c r="AC1288" s="28" t="s">
        <v>23</v>
      </c>
      <c r="AD1288" s="28" t="s">
        <v>101</v>
      </c>
      <c r="AE1288" s="28" t="s">
        <v>15</v>
      </c>
      <c r="AF1288" s="23"/>
      <c r="AG1288" s="23"/>
      <c r="AH1288" s="23" t="str">
        <f>IFERROR(__xludf.DUMMYFUNCTION("IF(
ISNUMBER(MATCH(
C1288,
IMPORTRANGE(""https://docs.google.com/spreadsheets/d/1yTh1ELC33JHYOeEdgIiEclxPRyh0zOKtlawDltfUay8"",""'Interns'!A:A""),
0
)),
""Outreach Conducted"",
"""")"),"")</f>
        <v/>
      </c>
      <c r="AI1288" s="23"/>
      <c r="AJ1288" s="23"/>
      <c r="AK1288" s="23" t="str">
        <f>IFERROR(__xludf.DUMMYFUNCTION("XLOOKUP(C1288, 
   IMPORTRANGE(""1RdEdgHYrZ33LJ7RUHj_h-qkAFL92bcVjtIdVa-UlsCw"", ""Interns!D:D""), 
   IMPORTRANGE(""1RdEdgHYrZ33LJ7RUHj_h-qkAFL92bcVjtIdVa-UlsCw"", ""Interns!M:M""), 
   ""Not Found"")"),"Contacted")</f>
        <v>Contacted</v>
      </c>
      <c r="AL1288" s="23" t="str">
        <f>IFERROR(__xludf.DUMMYFUNCTION("XLOOKUP(C1288, 
   IMPORTRANGE(""1RdEdgHYrZ33LJ7RUHj_h-qkAFL92bcVjtIdVa-UlsCw"", ""Interns!D:D""), 
   IMPORTRANGE(""1RdEdgHYrZ33LJ7RUHj_h-qkAFL92bcVjtIdVa-UlsCw"", ""Interns!N:N""), 
   ""Not Found"")"),"#Cheers4Careers")</f>
        <v>#Cheers4Careers</v>
      </c>
      <c r="AM1288" s="23" t="str">
        <f>IFERROR(__xludf.DUMMYFUNCTION("XLOOKUP(C1288,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288" s="23"/>
      <c r="AO1288" s="23" t="s">
        <v>13264</v>
      </c>
      <c r="AP1288" s="28" t="s">
        <v>5182</v>
      </c>
      <c r="AQ1288" s="28"/>
      <c r="AR1288" s="23"/>
      <c r="AS1288" s="23"/>
      <c r="AT1288" s="23"/>
      <c r="AU1288" s="23"/>
      <c r="AV1288" s="23"/>
    </row>
    <row r="1289">
      <c r="A1289" s="28" t="s">
        <v>5161</v>
      </c>
      <c r="B1289" s="28" t="s">
        <v>5162</v>
      </c>
      <c r="C1289" s="23" t="str">
        <f t="shared" si="1"/>
        <v>Ashley Soriano</v>
      </c>
      <c r="D1289" s="28" t="s">
        <v>4281</v>
      </c>
      <c r="E1289" s="28" t="s">
        <v>13265</v>
      </c>
      <c r="F1289" s="23">
        <f t="array" ref="F1289">IFERROR(
    INDEX('Hub Interns 226'!A:A, MATCH(C1289, 'Hub Interns 226'!B:B, 0)),"")</f>
        <v>270</v>
      </c>
      <c r="G1289" s="23">
        <f t="array" ref="G1289">IFERROR(
    INDEX('Hub Users 226'!A:A, MATCH(C1289, 'Hub Users 226'!B:B, 0)),"")</f>
        <v>703</v>
      </c>
      <c r="H1289" s="28">
        <v>1532.0</v>
      </c>
      <c r="I1289" s="28" t="s">
        <v>407</v>
      </c>
      <c r="J1289" s="28"/>
      <c r="K1289" s="28"/>
      <c r="L1289" s="28" t="s">
        <v>5196</v>
      </c>
      <c r="M1289" s="56" t="s">
        <v>13266</v>
      </c>
      <c r="N1289" s="57">
        <v>44953.38958333333</v>
      </c>
      <c r="O1289" s="58">
        <v>40159.0</v>
      </c>
      <c r="P1289" s="28">
        <f t="shared" si="38"/>
        <v>16</v>
      </c>
      <c r="Q1289" s="28" t="s">
        <v>240</v>
      </c>
      <c r="R1289" s="28" t="s">
        <v>13267</v>
      </c>
      <c r="S1289" s="28">
        <v>14.0</v>
      </c>
      <c r="T1289" s="28">
        <v>13.0</v>
      </c>
      <c r="U1289" s="28">
        <v>34.0</v>
      </c>
      <c r="V1289" s="28">
        <v>21.0</v>
      </c>
      <c r="W1289" s="28" t="s">
        <v>1173</v>
      </c>
      <c r="X1289" s="28" t="s">
        <v>272</v>
      </c>
      <c r="Y1289" s="28" t="s">
        <v>13268</v>
      </c>
      <c r="Z1289" s="28" t="s">
        <v>5403</v>
      </c>
      <c r="AA1289" s="28" t="s">
        <v>5404</v>
      </c>
      <c r="AB1289" s="28">
        <v>21.0</v>
      </c>
      <c r="AC1289" s="28" t="s">
        <v>23</v>
      </c>
      <c r="AD1289" s="23"/>
      <c r="AE1289" s="28" t="s">
        <v>15</v>
      </c>
      <c r="AF1289" s="23"/>
      <c r="AG1289" s="23"/>
      <c r="AH1289" s="23" t="str">
        <f>IFERROR(__xludf.DUMMYFUNCTION("IF(
ISNUMBER(MATCH(
C1289,
IMPORTRANGE(""https://docs.google.com/spreadsheets/d/1yTh1ELC33JHYOeEdgIiEclxPRyh0zOKtlawDltfUay8"",""'Interns'!A:A""),
0
)),
""Outreach Conducted"",
"""")"),"")</f>
        <v/>
      </c>
      <c r="AI1289" s="23"/>
      <c r="AJ1289" s="23"/>
      <c r="AK1289" s="23" t="str">
        <f>IFERROR(__xludf.DUMMYFUNCTION("XLOOKUP(C1289, 
   IMPORTRANGE(""1RdEdgHYrZ33LJ7RUHj_h-qkAFL92bcVjtIdVa-UlsCw"", ""Interns!D:D""), 
   IMPORTRANGE(""1RdEdgHYrZ33LJ7RUHj_h-qkAFL92bcVjtIdVa-UlsCw"", ""Interns!M:M""), 
   ""Not Found"")"),"Contacted")</f>
        <v>Contacted</v>
      </c>
      <c r="AL1289" s="23" t="str">
        <f>IFERROR(__xludf.DUMMYFUNCTION("XLOOKUP(C1289, 
   IMPORTRANGE(""1RdEdgHYrZ33LJ7RUHj_h-qkAFL92bcVjtIdVa-UlsCw"", ""Interns!D:D""), 
   IMPORTRANGE(""1RdEdgHYrZ33LJ7RUHj_h-qkAFL92bcVjtIdVa-UlsCw"", ""Interns!N:N""), 
   ""Not Found"")"),"#Cheers4Careers")</f>
        <v>#Cheers4Careers</v>
      </c>
      <c r="AM1289" s="23" t="str">
        <f>IFERROR(__xludf.DUMMYFUNCTION("XLOOKUP(C1289, 
   IMPORTRANGE(""1RdEdgHYrZ33LJ7RUHj_h-qkAFL92bcVjtIdVa-UlsCw"", ""Interns!D:D""), 
   IMPORTRANGE(""1RdEdgHYrZ33LJ7RUHj_h-qkAFL92bcVjtIdVa-UlsCw"", ""Interns!O:O""), 
   ""Not Found"")"),"Reached out by text 3/26-3/28 followed up by email 3/27 by Jackie")</f>
        <v>Reached out by text 3/26-3/28 followed up by email 3/27 by Jackie</v>
      </c>
      <c r="AN1289" s="23"/>
      <c r="AO1289" s="23" t="s">
        <v>13269</v>
      </c>
      <c r="AP1289" s="28" t="s">
        <v>5182</v>
      </c>
      <c r="AQ1289" s="28"/>
      <c r="AR1289" s="23"/>
      <c r="AS1289" s="23"/>
      <c r="AT1289" s="23"/>
      <c r="AU1289" s="23"/>
      <c r="AV1289" s="23"/>
    </row>
    <row r="1290">
      <c r="A1290" s="28" t="s">
        <v>5161</v>
      </c>
      <c r="B1290" s="28" t="s">
        <v>5162</v>
      </c>
      <c r="C1290" s="23" t="str">
        <f t="shared" si="1"/>
        <v>Mayra Garcia</v>
      </c>
      <c r="D1290" s="28" t="s">
        <v>5399</v>
      </c>
      <c r="E1290" s="28" t="s">
        <v>1484</v>
      </c>
      <c r="F1290" s="23">
        <f t="array" ref="F1290">IFERROR(
    INDEX('Hub Interns 226'!A:A, MATCH(C1290, 'Hub Interns 226'!B:B, 0)),"")</f>
        <v>862</v>
      </c>
      <c r="G1290" s="23">
        <f t="array" ref="G1290">IFERROR(
    INDEX('Hub Users 226'!A:A, MATCH(C1290, 'Hub Users 226'!B:B, 0)),"")</f>
        <v>1295</v>
      </c>
      <c r="H1290" s="28">
        <v>1095.0</v>
      </c>
      <c r="I1290" s="28" t="s">
        <v>260</v>
      </c>
      <c r="J1290" s="28"/>
      <c r="K1290" s="28"/>
      <c r="L1290" s="28" t="s">
        <v>5196</v>
      </c>
      <c r="M1290" s="56" t="s">
        <v>13270</v>
      </c>
      <c r="N1290" s="57">
        <v>44715.347916666666</v>
      </c>
      <c r="O1290" s="58">
        <v>40057.0</v>
      </c>
      <c r="P1290" s="28">
        <f t="shared" si="38"/>
        <v>16</v>
      </c>
      <c r="Q1290" s="28" t="s">
        <v>240</v>
      </c>
      <c r="R1290" s="28" t="s">
        <v>13271</v>
      </c>
      <c r="S1290" s="28">
        <v>14.0</v>
      </c>
      <c r="T1290" s="28">
        <v>13.0</v>
      </c>
      <c r="U1290" s="28">
        <v>34.0</v>
      </c>
      <c r="V1290" s="28">
        <v>21.0</v>
      </c>
      <c r="W1290" s="28" t="s">
        <v>1173</v>
      </c>
      <c r="X1290" s="28" t="s">
        <v>272</v>
      </c>
      <c r="Y1290" s="28" t="s">
        <v>13272</v>
      </c>
      <c r="Z1290" s="28" t="s">
        <v>5403</v>
      </c>
      <c r="AA1290" s="28" t="s">
        <v>5404</v>
      </c>
      <c r="AB1290" s="28">
        <v>21.0</v>
      </c>
      <c r="AC1290" s="28" t="s">
        <v>24</v>
      </c>
      <c r="AD1290" s="23"/>
      <c r="AE1290" s="28" t="s">
        <v>10</v>
      </c>
      <c r="AF1290" s="23"/>
      <c r="AG1290" s="23"/>
      <c r="AH1290" s="23" t="str">
        <f>IFERROR(__xludf.DUMMYFUNCTION("IF(
ISNUMBER(MATCH(
C1290,
IMPORTRANGE(""https://docs.google.com/spreadsheets/d/1yTh1ELC33JHYOeEdgIiEclxPRyh0zOKtlawDltfUay8"",""'Interns'!A:A""),
0
)),
""Outreach Conducted"",
"""")"),"")</f>
        <v/>
      </c>
      <c r="AI1290" s="23"/>
      <c r="AJ1290" s="23"/>
      <c r="AK1290" s="23" t="str">
        <f>IFERROR(__xludf.DUMMYFUNCTION("XLOOKUP(C1290, 
   IMPORTRANGE(""1RdEdgHYrZ33LJ7RUHj_h-qkAFL92bcVjtIdVa-UlsCw"", ""Interns!D:D""), 
   IMPORTRANGE(""1RdEdgHYrZ33LJ7RUHj_h-qkAFL92bcVjtIdVa-UlsCw"", ""Interns!M:M""), 
   ""Not Found"")"),"Contacted")</f>
        <v>Contacted</v>
      </c>
      <c r="AL1290" s="23" t="str">
        <f>IFERROR(__xludf.DUMMYFUNCTION("XLOOKUP(C1290, 
   IMPORTRANGE(""1RdEdgHYrZ33LJ7RUHj_h-qkAFL92bcVjtIdVa-UlsCw"", ""Interns!D:D""), 
   IMPORTRANGE(""1RdEdgHYrZ33LJ7RUHj_h-qkAFL92bcVjtIdVa-UlsCw"", ""Interns!N:N""), 
   ""Not Found"")"),"#Cheers4Careers")</f>
        <v>#Cheers4Careers</v>
      </c>
      <c r="AM1290" s="23" t="str">
        <f>IFERROR(__xludf.DUMMYFUNCTION("XLOOKUP(C1290,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290" s="23"/>
      <c r="AO1290" s="23" t="s">
        <v>5405</v>
      </c>
      <c r="AP1290" s="28" t="s">
        <v>5182</v>
      </c>
      <c r="AQ1290" s="28"/>
      <c r="AR1290" s="23"/>
      <c r="AS1290" s="23"/>
      <c r="AT1290" s="23"/>
      <c r="AU1290" s="23"/>
      <c r="AV1290" s="23"/>
    </row>
    <row r="1291">
      <c r="A1291" s="28" t="s">
        <v>5161</v>
      </c>
      <c r="B1291" s="28" t="s">
        <v>5162</v>
      </c>
      <c r="C1291" s="23" t="str">
        <f t="shared" si="1"/>
        <v>Christian Huerta Reyes</v>
      </c>
      <c r="D1291" s="28" t="s">
        <v>932</v>
      </c>
      <c r="E1291" s="28" t="s">
        <v>13273</v>
      </c>
      <c r="F1291" s="23">
        <f t="array" ref="F1291">IFERROR(
    INDEX('Hub Interns 226'!A:A, MATCH(C1291, 'Hub Interns 226'!B:B, 0)),"")</f>
        <v>364</v>
      </c>
      <c r="G1291" s="23">
        <f t="array" ref="G1291">IFERROR(
    INDEX('Hub Users 226'!A:A, MATCH(C1291, 'Hub Users 226'!B:B, 0)),"")</f>
        <v>797</v>
      </c>
      <c r="H1291" s="28">
        <v>1608.0</v>
      </c>
      <c r="I1291" s="28" t="s">
        <v>407</v>
      </c>
      <c r="J1291" s="28"/>
      <c r="K1291" s="28"/>
      <c r="L1291" s="28" t="s">
        <v>5165</v>
      </c>
      <c r="M1291" s="56" t="s">
        <v>13274</v>
      </c>
      <c r="N1291" s="57">
        <v>45068.34930555556</v>
      </c>
      <c r="O1291" s="58">
        <v>40700.0</v>
      </c>
      <c r="P1291" s="28">
        <f t="shared" si="38"/>
        <v>14</v>
      </c>
      <c r="Q1291" s="28" t="s">
        <v>240</v>
      </c>
      <c r="R1291" s="28" t="s">
        <v>13275</v>
      </c>
      <c r="S1291" s="28">
        <v>14.0</v>
      </c>
      <c r="T1291" s="28">
        <v>13.0</v>
      </c>
      <c r="U1291" s="28">
        <v>34.0</v>
      </c>
      <c r="V1291" s="28">
        <v>21.0</v>
      </c>
      <c r="W1291" s="28" t="s">
        <v>1173</v>
      </c>
      <c r="X1291" s="28" t="s">
        <v>272</v>
      </c>
      <c r="Y1291" s="28" t="s">
        <v>13276</v>
      </c>
      <c r="Z1291" s="28" t="s">
        <v>5403</v>
      </c>
      <c r="AA1291" s="28" t="s">
        <v>5404</v>
      </c>
      <c r="AB1291" s="28">
        <v>21.0</v>
      </c>
      <c r="AC1291" s="28" t="s">
        <v>23</v>
      </c>
      <c r="AD1291" s="23"/>
      <c r="AE1291" s="28" t="s">
        <v>15</v>
      </c>
      <c r="AF1291" s="23"/>
      <c r="AG1291" s="23"/>
      <c r="AH1291" s="23" t="str">
        <f>IFERROR(__xludf.DUMMYFUNCTION("IF(
ISNUMBER(MATCH(
C1291,
IMPORTRANGE(""https://docs.google.com/spreadsheets/d/1yTh1ELC33JHYOeEdgIiEclxPRyh0zOKtlawDltfUay8"",""'Interns'!A:A""),
0
)),
""Outreach Conducted"",
"""")"),"")</f>
        <v/>
      </c>
      <c r="AI1291" s="23"/>
      <c r="AJ1291" s="23"/>
      <c r="AK1291" s="23" t="str">
        <f>IFERROR(__xludf.DUMMYFUNCTION("XLOOKUP(C1291, 
   IMPORTRANGE(""1RdEdgHYrZ33LJ7RUHj_h-qkAFL92bcVjtIdVa-UlsCw"", ""Interns!D:D""), 
   IMPORTRANGE(""1RdEdgHYrZ33LJ7RUHj_h-qkAFL92bcVjtIdVa-UlsCw"", ""Interns!M:M""), 
   ""Not Found"")"),"Contacted")</f>
        <v>Contacted</v>
      </c>
      <c r="AL1291" s="23" t="str">
        <f>IFERROR(__xludf.DUMMYFUNCTION("XLOOKUP(C1291, 
   IMPORTRANGE(""1RdEdgHYrZ33LJ7RUHj_h-qkAFL92bcVjtIdVa-UlsCw"", ""Interns!D:D""), 
   IMPORTRANGE(""1RdEdgHYrZ33LJ7RUHj_h-qkAFL92bcVjtIdVa-UlsCw"", ""Interns!N:N""), 
   ""Not Found"")"),"#Cheers4Careers")</f>
        <v>#Cheers4Careers</v>
      </c>
      <c r="AM1291" s="23" t="str">
        <f>IFERROR(__xludf.DUMMYFUNCTION("XLOOKUP(C1291, 
   IMPORTRANGE(""1RdEdgHYrZ33LJ7RUHj_h-qkAFL92bcVjtIdVa-UlsCw"", ""Interns!D:D""), 
   IMPORTRANGE(""1RdEdgHYrZ33LJ7RUHj_h-qkAFL92bcVjtIdVa-UlsCw"", ""Interns!O:O""), 
   ""Not Found"")"),"Reached out by text 3/26-3/28 followed up by email 3/27 by Jackie")</f>
        <v>Reached out by text 3/26-3/28 followed up by email 3/27 by Jackie</v>
      </c>
      <c r="AN1291" s="23"/>
      <c r="AO1291" s="23" t="s">
        <v>13277</v>
      </c>
      <c r="AP1291" s="28" t="s">
        <v>5182</v>
      </c>
      <c r="AQ1291" s="28"/>
      <c r="AR1291" s="23"/>
      <c r="AS1291" s="23"/>
      <c r="AT1291" s="23"/>
      <c r="AU1291" s="23"/>
      <c r="AV1291" s="23"/>
    </row>
    <row r="1292">
      <c r="A1292" s="28" t="s">
        <v>5161</v>
      </c>
      <c r="B1292" s="28" t="s">
        <v>5162</v>
      </c>
      <c r="C1292" s="23" t="str">
        <f t="shared" si="1"/>
        <v>Gabrielle (Gabby) Newlandg</v>
      </c>
      <c r="D1292" s="22" t="s">
        <v>13278</v>
      </c>
      <c r="E1292" s="22" t="s">
        <v>13279</v>
      </c>
      <c r="F1292" s="23"/>
      <c r="G1292" s="23"/>
      <c r="H1292" s="22">
        <v>1928.0</v>
      </c>
      <c r="I1292" s="28"/>
      <c r="J1292" s="28"/>
      <c r="K1292" s="28"/>
      <c r="L1292" s="28" t="s">
        <v>5196</v>
      </c>
      <c r="M1292" s="29" t="s">
        <v>13280</v>
      </c>
      <c r="N1292" s="61">
        <v>45771.44513888889</v>
      </c>
      <c r="O1292" s="25">
        <v>45771.0</v>
      </c>
      <c r="P1292" s="28">
        <f t="shared" si="38"/>
        <v>1</v>
      </c>
      <c r="Q1292" s="62" t="s">
        <v>13281</v>
      </c>
      <c r="R1292" s="22" t="s">
        <v>13282</v>
      </c>
      <c r="S1292" s="28">
        <v>5.0</v>
      </c>
      <c r="T1292" s="28">
        <v>14.0</v>
      </c>
      <c r="U1292" s="28">
        <v>33.0</v>
      </c>
      <c r="V1292" s="28">
        <v>2.0</v>
      </c>
      <c r="W1292" s="23"/>
      <c r="X1292" s="23"/>
      <c r="Y1292" s="22" t="s">
        <v>13283</v>
      </c>
      <c r="Z1292" s="22" t="s">
        <v>7490</v>
      </c>
      <c r="AA1292" s="28" t="s">
        <v>5659</v>
      </c>
      <c r="AB1292" s="28">
        <v>23.0</v>
      </c>
      <c r="AC1292" s="28" t="s">
        <v>23</v>
      </c>
      <c r="AD1292" s="23"/>
      <c r="AE1292" s="28" t="s">
        <v>19</v>
      </c>
      <c r="AF1292" s="23"/>
      <c r="AG1292" s="23"/>
      <c r="AH1292" s="23" t="str">
        <f>IFERROR(__xludf.DUMMYFUNCTION("IF(
ISNUMBER(MATCH(
C1292,
IMPORTRANGE(""https://docs.google.com/spreadsheets/d/1yTh1ELC33JHYOeEdgIiEclxPRyh0zOKtlawDltfUay8"",""'Interns'!A:A""),
0
)),
""Outreach Conducted"",
"""")"),"")</f>
        <v/>
      </c>
      <c r="AI1292" s="23"/>
      <c r="AJ1292" s="23"/>
      <c r="AK1292" s="23"/>
      <c r="AL1292" s="23" t="str">
        <f>IFERROR(__xludf.DUMMYFUNCTION("XLOOKUP(C1292, 
   IMPORTRANGE(""1RdEdgHYrZ33LJ7RUHj_h-qkAFL92bcVjtIdVa-UlsCw"", ""Interns!D:D""), 
   IMPORTRANGE(""1RdEdgHYrZ33LJ7RUHj_h-qkAFL92bcVjtIdVa-UlsCw"", ""Interns!N:N""), 
   ""Not Found"")"),"#Cheers4Careers")</f>
        <v>#Cheers4Careers</v>
      </c>
      <c r="AM1292" s="23" t="str">
        <f>IFERROR(__xludf.DUMMYFUNCTION("XLOOKUP(C1292, 
   IMPORTRANGE(""1RdEdgHYrZ33LJ7RUHj_h-qkAFL92bcVjtIdVa-UlsCw"", ""Interns!D:D""), 
   IMPORTRANGE(""1RdEdgHYrZ33LJ7RUHj_h-qkAFL92bcVjtIdVa-UlsCw"", ""Interns!O:O""), 
   ""Not Found"")"),"Hetal reached out March 27 for March #Cheers4 Careers ")</f>
        <v>Hetal reached out March 27 for March #Cheers4 Careers </v>
      </c>
      <c r="AN1292" s="23"/>
      <c r="AO1292" s="23" t="s">
        <v>13284</v>
      </c>
      <c r="AP1292" s="28" t="s">
        <v>5191</v>
      </c>
      <c r="AQ1292" s="28" t="s">
        <v>13285</v>
      </c>
      <c r="AR1292" s="23" t="s">
        <v>13286</v>
      </c>
      <c r="AS1292" s="23"/>
      <c r="AT1292" s="23"/>
      <c r="AU1292" s="23"/>
      <c r="AV1292" s="23"/>
    </row>
    <row r="1293">
      <c r="A1293" s="28" t="s">
        <v>5202</v>
      </c>
      <c r="B1293" s="28" t="s">
        <v>5162</v>
      </c>
      <c r="C1293" s="23" t="str">
        <f t="shared" si="1"/>
        <v>Alexza Martinez</v>
      </c>
      <c r="D1293" s="28" t="s">
        <v>13287</v>
      </c>
      <c r="E1293" s="28" t="s">
        <v>2010</v>
      </c>
      <c r="F1293" s="23">
        <f t="array" ref="F1293">IFERROR(
    INDEX('Hub Interns 226'!A:A, MATCH(C1293, 'Hub Interns 226'!B:B, 0)),"")</f>
        <v>18</v>
      </c>
      <c r="G1293" s="23">
        <f t="array" ref="G1293">IFERROR(
    INDEX('Hub Users 226'!A:A, MATCH(C1293, 'Hub Users 226'!B:B, 0)),"")</f>
        <v>451</v>
      </c>
      <c r="H1293" s="28">
        <v>658.0</v>
      </c>
      <c r="I1293" s="28" t="s">
        <v>407</v>
      </c>
      <c r="J1293" s="28" t="s">
        <v>12357</v>
      </c>
      <c r="K1293" s="28" t="s">
        <v>5177</v>
      </c>
      <c r="L1293" s="28" t="s">
        <v>6647</v>
      </c>
      <c r="M1293" s="56" t="s">
        <v>13288</v>
      </c>
      <c r="N1293" s="59">
        <v>44540.48333333333</v>
      </c>
      <c r="O1293" s="58">
        <v>38088.0</v>
      </c>
      <c r="P1293" s="28">
        <f t="shared" si="38"/>
        <v>22</v>
      </c>
      <c r="Q1293" s="28" t="s">
        <v>13289</v>
      </c>
      <c r="R1293" s="28" t="s">
        <v>13290</v>
      </c>
      <c r="S1293" s="28"/>
      <c r="T1293" s="28"/>
      <c r="U1293" s="28"/>
      <c r="V1293" s="28"/>
      <c r="W1293" s="28" t="s">
        <v>380</v>
      </c>
      <c r="X1293" s="28" t="s">
        <v>381</v>
      </c>
      <c r="Y1293" s="28" t="s">
        <v>13291</v>
      </c>
      <c r="Z1293" s="28" t="s">
        <v>5272</v>
      </c>
      <c r="AA1293" s="28" t="s">
        <v>629</v>
      </c>
      <c r="AB1293" s="28" t="s">
        <v>5221</v>
      </c>
      <c r="AC1293" s="28" t="s">
        <v>25</v>
      </c>
      <c r="AD1293" s="23"/>
      <c r="AE1293" s="28" t="s">
        <v>10</v>
      </c>
      <c r="AF1293" s="23" t="str">
        <f>IFERROR(__xludf.DUMMYFUNCTION("TEXTJOIN("", "", TRUE,
  FILTER(Champions!C:C,
    ISNUMBER(SEARCH(C1293, Champions!W:W))
  )
)"),"Shoshana Leon")</f>
        <v>Shoshana Leon</v>
      </c>
      <c r="AG1293" s="23"/>
      <c r="AH1293" s="23" t="str">
        <f>IFERROR(__xludf.DUMMYFUNCTION("IF(
ISNUMBER(MATCH(
C1293,
IMPORTRANGE(""https://docs.google.com/spreadsheets/d/1yTh1ELC33JHYOeEdgIiEclxPRyh0zOKtlawDltfUay8"",""'Interns'!A:A""),
0
)),
""Outreach Conducted"",
"""")"),"")</f>
        <v/>
      </c>
      <c r="AI1293" s="23"/>
      <c r="AJ1293" s="23"/>
      <c r="AK1293" s="23" t="str">
        <f>IFERROR(__xludf.DUMMYFUNCTION("XLOOKUP(C1293, 
   IMPORTRANGE(""1RdEdgHYrZ33LJ7RUHj_h-qkAFL92bcVjtIdVa-UlsCw"", ""Interns!D:D""), 
   IMPORTRANGE(""1RdEdgHYrZ33LJ7RUHj_h-qkAFL92bcVjtIdVa-UlsCw"", ""Interns!M:M""), 
   ""Not Found"")"),"")</f>
        <v/>
      </c>
      <c r="AL1293" s="23" t="str">
        <f>IFERROR(__xludf.DUMMYFUNCTION("XLOOKUP(C1293, 
   IMPORTRANGE(""1RdEdgHYrZ33LJ7RUHj_h-qkAFL92bcVjtIdVa-UlsCw"", ""Interns!D:D""), 
   IMPORTRANGE(""1RdEdgHYrZ33LJ7RUHj_h-qkAFL92bcVjtIdVa-UlsCw"", ""Interns!N:N""), 
   ""Not Found"")"),"")</f>
        <v/>
      </c>
      <c r="AM1293" s="23" t="str">
        <f>IFERROR(__xludf.DUMMYFUNCTION("XLOOKUP(C1293, 
   IMPORTRANGE(""1RdEdgHYrZ33LJ7RUHj_h-qkAFL92bcVjtIdVa-UlsCw"", ""Interns!D:D""), 
   IMPORTRANGE(""1RdEdgHYrZ33LJ7RUHj_h-qkAFL92bcVjtIdVa-UlsCw"", ""Interns!O:O""), 
   ""Not Found"")"),"")</f>
        <v/>
      </c>
      <c r="AN1293" s="23"/>
      <c r="AO1293" s="23" t="s">
        <v>13292</v>
      </c>
      <c r="AP1293" s="28" t="s">
        <v>5240</v>
      </c>
      <c r="AQ1293" s="28" t="s">
        <v>13293</v>
      </c>
      <c r="AR1293" s="23" t="s">
        <v>13294</v>
      </c>
      <c r="AS1293" s="23"/>
      <c r="AT1293" s="23"/>
      <c r="AU1293" s="23"/>
      <c r="AV1293" s="23"/>
    </row>
    <row r="1294">
      <c r="A1294" s="28" t="s">
        <v>5161</v>
      </c>
      <c r="B1294" s="28" t="s">
        <v>5162</v>
      </c>
      <c r="C1294" s="23" t="str">
        <f t="shared" si="1"/>
        <v>Emily Guzman</v>
      </c>
      <c r="D1294" s="28" t="s">
        <v>1285</v>
      </c>
      <c r="E1294" s="28" t="s">
        <v>847</v>
      </c>
      <c r="F1294" s="23">
        <f t="array" ref="F1294">IFERROR(
    INDEX('Hub Interns 226'!A:A, MATCH(C1294, 'Hub Interns 226'!B:B, 0)),"")</f>
        <v>489</v>
      </c>
      <c r="G1294" s="23">
        <f t="array" ref="G1294">IFERROR(
    INDEX('Hub Users 226'!A:A, MATCH(C1294, 'Hub Users 226'!B:B, 0)),"")</f>
        <v>922</v>
      </c>
      <c r="H1294" s="28">
        <v>1524.0</v>
      </c>
      <c r="I1294" s="28" t="s">
        <v>107</v>
      </c>
      <c r="J1294" s="28"/>
      <c r="K1294" s="28"/>
      <c r="L1294" s="28" t="s">
        <v>5196</v>
      </c>
      <c r="M1294" s="56" t="s">
        <v>13295</v>
      </c>
      <c r="N1294" s="57">
        <v>44953.37291666667</v>
      </c>
      <c r="O1294" s="58">
        <v>40487.0</v>
      </c>
      <c r="P1294" s="28">
        <f t="shared" si="38"/>
        <v>15</v>
      </c>
      <c r="Q1294" s="28" t="s">
        <v>240</v>
      </c>
      <c r="R1294" s="28" t="s">
        <v>13296</v>
      </c>
      <c r="S1294" s="28">
        <v>14.0</v>
      </c>
      <c r="T1294" s="28">
        <v>13.0</v>
      </c>
      <c r="U1294" s="28">
        <v>34.0</v>
      </c>
      <c r="V1294" s="28">
        <v>21.0</v>
      </c>
      <c r="W1294" s="28" t="s">
        <v>1173</v>
      </c>
      <c r="X1294" s="28" t="s">
        <v>272</v>
      </c>
      <c r="Y1294" s="28" t="s">
        <v>13297</v>
      </c>
      <c r="Z1294" s="28" t="s">
        <v>5403</v>
      </c>
      <c r="AA1294" s="28" t="s">
        <v>5404</v>
      </c>
      <c r="AB1294" s="28">
        <v>21.0</v>
      </c>
      <c r="AC1294" s="28" t="s">
        <v>23</v>
      </c>
      <c r="AD1294" s="23"/>
      <c r="AE1294" s="28" t="s">
        <v>15</v>
      </c>
      <c r="AF1294" s="23"/>
      <c r="AG1294" s="23"/>
      <c r="AH1294" s="23" t="str">
        <f>IFERROR(__xludf.DUMMYFUNCTION("IF(
ISNUMBER(MATCH(
C1294,
IMPORTRANGE(""https://docs.google.com/spreadsheets/d/1yTh1ELC33JHYOeEdgIiEclxPRyh0zOKtlawDltfUay8"",""'Interns'!A:A""),
0
)),
""Outreach Conducted"",
"""")"),"")</f>
        <v/>
      </c>
      <c r="AI1294" s="23"/>
      <c r="AJ1294" s="23"/>
      <c r="AK1294" s="23" t="str">
        <f>IFERROR(__xludf.DUMMYFUNCTION("XLOOKUP(C1294, 
   IMPORTRANGE(""1RdEdgHYrZ33LJ7RUHj_h-qkAFL92bcVjtIdVa-UlsCw"", ""Interns!D:D""), 
   IMPORTRANGE(""1RdEdgHYrZ33LJ7RUHj_h-qkAFL92bcVjtIdVa-UlsCw"", ""Interns!M:M""), 
   ""Not Found"")"),"Contacted")</f>
        <v>Contacted</v>
      </c>
      <c r="AL1294" s="23" t="str">
        <f>IFERROR(__xludf.DUMMYFUNCTION("XLOOKUP(C1294, 
   IMPORTRANGE(""1RdEdgHYrZ33LJ7RUHj_h-qkAFL92bcVjtIdVa-UlsCw"", ""Interns!D:D""), 
   IMPORTRANGE(""1RdEdgHYrZ33LJ7RUHj_h-qkAFL92bcVjtIdVa-UlsCw"", ""Interns!N:N""), 
   ""Not Found"")"),"#Cheers4Careers")</f>
        <v>#Cheers4Careers</v>
      </c>
      <c r="AM1294" s="23" t="str">
        <f>IFERROR(__xludf.DUMMYFUNCTION("XLOOKUP(C1294, 
   IMPORTRANGE(""1RdEdgHYrZ33LJ7RUHj_h-qkAFL92bcVjtIdVa-UlsCw"", ""Interns!D:D""), 
   IMPORTRANGE(""1RdEdgHYrZ33LJ7RUHj_h-qkAFL92bcVjtIdVa-UlsCw"", ""Interns!O:O""), 
   ""Not Found"")"),"Reached out by text 3/26-3/28 followed up by email 3/27 by Jackie")</f>
        <v>Reached out by text 3/26-3/28 followed up by email 3/27 by Jackie</v>
      </c>
      <c r="AN1294" s="23"/>
      <c r="AO1294" s="23" t="s">
        <v>13298</v>
      </c>
      <c r="AP1294" s="28" t="s">
        <v>5182</v>
      </c>
      <c r="AQ1294" s="28"/>
      <c r="AR1294" s="23"/>
      <c r="AS1294" s="23"/>
      <c r="AT1294" s="23"/>
      <c r="AU1294" s="23"/>
      <c r="AV1294" s="23"/>
    </row>
    <row r="1295">
      <c r="A1295" s="28" t="s">
        <v>5161</v>
      </c>
      <c r="B1295" s="28" t="s">
        <v>5162</v>
      </c>
      <c r="C1295" s="23" t="str">
        <f t="shared" si="1"/>
        <v>Pamela Mondragón</v>
      </c>
      <c r="D1295" s="28" t="s">
        <v>2771</v>
      </c>
      <c r="E1295" s="28" t="s">
        <v>13299</v>
      </c>
      <c r="F1295" s="23">
        <f t="array" ref="F1295">IFERROR(
    INDEX('Hub Interns 226'!A:A, MATCH(C1295, 'Hub Interns 226'!B:B, 0)),"")</f>
        <v>986</v>
      </c>
      <c r="G1295" s="28">
        <v>1419.0</v>
      </c>
      <c r="H1295" s="28">
        <v>1508.0</v>
      </c>
      <c r="I1295" s="28" t="s">
        <v>1235</v>
      </c>
      <c r="J1295" s="28"/>
      <c r="K1295" s="28"/>
      <c r="L1295" s="28" t="s">
        <v>5196</v>
      </c>
      <c r="M1295" s="56" t="s">
        <v>13300</v>
      </c>
      <c r="N1295" s="57">
        <v>44953.36388888889</v>
      </c>
      <c r="O1295" s="58">
        <v>40404.0</v>
      </c>
      <c r="P1295" s="28">
        <f t="shared" si="38"/>
        <v>15</v>
      </c>
      <c r="Q1295" s="28" t="s">
        <v>240</v>
      </c>
      <c r="R1295" s="28" t="s">
        <v>13301</v>
      </c>
      <c r="S1295" s="28">
        <v>6.0</v>
      </c>
      <c r="T1295" s="28">
        <v>13.0</v>
      </c>
      <c r="U1295" s="28">
        <v>39.0</v>
      </c>
      <c r="V1295" s="28">
        <v>21.0</v>
      </c>
      <c r="W1295" s="28" t="s">
        <v>1173</v>
      </c>
      <c r="X1295" s="28" t="s">
        <v>272</v>
      </c>
      <c r="Y1295" s="28" t="s">
        <v>13302</v>
      </c>
      <c r="Z1295" s="28" t="s">
        <v>5403</v>
      </c>
      <c r="AA1295" s="28" t="s">
        <v>5404</v>
      </c>
      <c r="AB1295" s="28">
        <v>21.0</v>
      </c>
      <c r="AC1295" s="28" t="s">
        <v>23</v>
      </c>
      <c r="AD1295" s="28" t="s">
        <v>101</v>
      </c>
      <c r="AE1295" s="28" t="s">
        <v>15</v>
      </c>
      <c r="AF1295" s="23"/>
      <c r="AG1295" s="23"/>
      <c r="AH1295" s="23" t="str">
        <f>IFERROR(__xludf.DUMMYFUNCTION("IF(
ISNUMBER(MATCH(
C1295,
IMPORTRANGE(""https://docs.google.com/spreadsheets/d/1yTh1ELC33JHYOeEdgIiEclxPRyh0zOKtlawDltfUay8"",""'Interns'!A:A""),
0
)),
""Outreach Conducted"",
"""")"),"")</f>
        <v/>
      </c>
      <c r="AI1295" s="23"/>
      <c r="AJ1295" s="23"/>
      <c r="AK1295" s="23" t="str">
        <f>IFERROR(__xludf.DUMMYFUNCTION("XLOOKUP(C1295, 
   IMPORTRANGE(""1RdEdgHYrZ33LJ7RUHj_h-qkAFL92bcVjtIdVa-UlsCw"", ""Interns!D:D""), 
   IMPORTRANGE(""1RdEdgHYrZ33LJ7RUHj_h-qkAFL92bcVjtIdVa-UlsCw"", ""Interns!M:M""), 
   ""Not Found"")"),"Contacted")</f>
        <v>Contacted</v>
      </c>
      <c r="AL1295" s="23" t="str">
        <f>IFERROR(__xludf.DUMMYFUNCTION("XLOOKUP(C1295, 
   IMPORTRANGE(""1RdEdgHYrZ33LJ7RUHj_h-qkAFL92bcVjtIdVa-UlsCw"", ""Interns!D:D""), 
   IMPORTRANGE(""1RdEdgHYrZ33LJ7RUHj_h-qkAFL92bcVjtIdVa-UlsCw"", ""Interns!N:N""), 
   ""Not Found"")"),"#Cheers4Careers")</f>
        <v>#Cheers4Careers</v>
      </c>
      <c r="AM1295" s="23" t="str">
        <f>IFERROR(__xludf.DUMMYFUNCTION("XLOOKUP(C1295,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295" s="23"/>
      <c r="AO1295" s="23" t="s">
        <v>13303</v>
      </c>
      <c r="AP1295" s="28" t="s">
        <v>5182</v>
      </c>
      <c r="AQ1295" s="28"/>
      <c r="AR1295" s="23"/>
      <c r="AS1295" s="23"/>
      <c r="AT1295" s="23"/>
      <c r="AU1295" s="23"/>
      <c r="AV1295" s="23"/>
    </row>
    <row r="1296">
      <c r="A1296" s="28" t="s">
        <v>5161</v>
      </c>
      <c r="B1296" s="28" t="s">
        <v>5162</v>
      </c>
      <c r="C1296" s="23" t="str">
        <f t="shared" si="1"/>
        <v>Nemesis Macias Rosales</v>
      </c>
      <c r="D1296" s="28" t="s">
        <v>13304</v>
      </c>
      <c r="E1296" s="28" t="s">
        <v>13305</v>
      </c>
      <c r="F1296" s="23">
        <f t="array" ref="F1296">IFERROR(
    INDEX('Hub Interns 226'!A:A, MATCH(C1296, 'Hub Interns 226'!B:B, 0)),"")</f>
        <v>934</v>
      </c>
      <c r="G1296" s="23">
        <f t="array" ref="G1296">IFERROR(
    INDEX('Hub Users 226'!A:A, MATCH(C1296, 'Hub Users 226'!B:B, 0)),"")</f>
        <v>1367</v>
      </c>
      <c r="H1296" s="28">
        <v>1512.0</v>
      </c>
      <c r="I1296" s="28" t="s">
        <v>107</v>
      </c>
      <c r="J1296" s="28"/>
      <c r="K1296" s="28"/>
      <c r="L1296" s="28" t="s">
        <v>7001</v>
      </c>
      <c r="M1296" s="56" t="s">
        <v>13306</v>
      </c>
      <c r="N1296" s="57">
        <v>44953.36736111111</v>
      </c>
      <c r="O1296" s="58">
        <v>39934.0</v>
      </c>
      <c r="P1296" s="28">
        <f t="shared" si="38"/>
        <v>17</v>
      </c>
      <c r="Q1296" s="28" t="s">
        <v>240</v>
      </c>
      <c r="R1296" s="28" t="s">
        <v>13307</v>
      </c>
      <c r="S1296" s="28">
        <v>14.0</v>
      </c>
      <c r="T1296" s="28">
        <v>13.0</v>
      </c>
      <c r="U1296" s="28">
        <v>34.0</v>
      </c>
      <c r="V1296" s="28">
        <v>21.0</v>
      </c>
      <c r="W1296" s="28" t="s">
        <v>1173</v>
      </c>
      <c r="X1296" s="28" t="s">
        <v>272</v>
      </c>
      <c r="Y1296" s="28" t="s">
        <v>13308</v>
      </c>
      <c r="Z1296" s="28" t="s">
        <v>5403</v>
      </c>
      <c r="AA1296" s="28" t="s">
        <v>5404</v>
      </c>
      <c r="AB1296" s="28">
        <v>21.0</v>
      </c>
      <c r="AC1296" s="28" t="s">
        <v>23</v>
      </c>
      <c r="AD1296" s="23"/>
      <c r="AE1296" s="28" t="s">
        <v>15</v>
      </c>
      <c r="AF1296" s="23"/>
      <c r="AG1296" s="23"/>
      <c r="AH1296" s="23" t="str">
        <f>IFERROR(__xludf.DUMMYFUNCTION("IF(
ISNUMBER(MATCH(
C1296,
IMPORTRANGE(""https://docs.google.com/spreadsheets/d/1yTh1ELC33JHYOeEdgIiEclxPRyh0zOKtlawDltfUay8"",""'Interns'!A:A""),
0
)),
""Outreach Conducted"",
"""")"),"")</f>
        <v/>
      </c>
      <c r="AI1296" s="23"/>
      <c r="AJ1296" s="23"/>
      <c r="AK1296" s="23" t="str">
        <f>IFERROR(__xludf.DUMMYFUNCTION("XLOOKUP(C1296, 
   IMPORTRANGE(""1RdEdgHYrZ33LJ7RUHj_h-qkAFL92bcVjtIdVa-UlsCw"", ""Interns!D:D""), 
   IMPORTRANGE(""1RdEdgHYrZ33LJ7RUHj_h-qkAFL92bcVjtIdVa-UlsCw"", ""Interns!M:M""), 
   ""Not Found"")"),"Contacted")</f>
        <v>Contacted</v>
      </c>
      <c r="AL1296" s="23" t="str">
        <f>IFERROR(__xludf.DUMMYFUNCTION("XLOOKUP(C1296, 
   IMPORTRANGE(""1RdEdgHYrZ33LJ7RUHj_h-qkAFL92bcVjtIdVa-UlsCw"", ""Interns!D:D""), 
   IMPORTRANGE(""1RdEdgHYrZ33LJ7RUHj_h-qkAFL92bcVjtIdVa-UlsCw"", ""Interns!N:N""), 
   ""Not Found"")"),"#Cheers4Careers")</f>
        <v>#Cheers4Careers</v>
      </c>
      <c r="AM1296" s="23" t="str">
        <f>IFERROR(__xludf.DUMMYFUNCTION("XLOOKUP(C1296,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296" s="23"/>
      <c r="AO1296" s="23" t="s">
        <v>13309</v>
      </c>
      <c r="AP1296" s="28" t="s">
        <v>5182</v>
      </c>
      <c r="AQ1296" s="28"/>
      <c r="AR1296" s="23"/>
      <c r="AS1296" s="23"/>
      <c r="AT1296" s="23"/>
      <c r="AU1296" s="23"/>
      <c r="AV1296" s="23"/>
    </row>
    <row r="1297">
      <c r="A1297" s="28" t="s">
        <v>5161</v>
      </c>
      <c r="B1297" s="28" t="s">
        <v>5162</v>
      </c>
      <c r="C1297" s="23" t="str">
        <f t="shared" si="1"/>
        <v>Brandon Vazquez</v>
      </c>
      <c r="D1297" s="28" t="s">
        <v>12684</v>
      </c>
      <c r="E1297" s="28" t="s">
        <v>9463</v>
      </c>
      <c r="F1297" s="23">
        <f t="array" ref="F1297">IFERROR(
    INDEX('Hub Interns 226'!A:A, MATCH(C1297, 'Hub Interns 226'!B:B, 0)),"")</f>
        <v>516</v>
      </c>
      <c r="G1297" s="23">
        <f t="array" ref="G1297">IFERROR(
    INDEX('Hub Users 226'!A:A, MATCH(C1297, 'Hub Users 226'!B:B, 0)),"")</f>
        <v>949</v>
      </c>
      <c r="H1297" s="28">
        <v>1012.0</v>
      </c>
      <c r="I1297" s="28"/>
      <c r="J1297" s="28"/>
      <c r="K1297" s="28"/>
      <c r="L1297" s="28" t="s">
        <v>5165</v>
      </c>
      <c r="M1297" s="56" t="s">
        <v>13310</v>
      </c>
      <c r="N1297" s="57">
        <v>44656.45347222222</v>
      </c>
      <c r="O1297" s="58">
        <v>40049.0</v>
      </c>
      <c r="P1297" s="28">
        <f t="shared" si="38"/>
        <v>16</v>
      </c>
      <c r="Q1297" s="28" t="s">
        <v>240</v>
      </c>
      <c r="R1297" s="28" t="s">
        <v>13311</v>
      </c>
      <c r="S1297" s="28">
        <v>5.0</v>
      </c>
      <c r="T1297" s="28">
        <v>15.0</v>
      </c>
      <c r="U1297" s="28">
        <v>38.0</v>
      </c>
      <c r="V1297" s="28">
        <v>29.0</v>
      </c>
      <c r="W1297" s="28" t="s">
        <v>1173</v>
      </c>
      <c r="X1297" s="28" t="s">
        <v>272</v>
      </c>
      <c r="Y1297" s="28" t="s">
        <v>13312</v>
      </c>
      <c r="Z1297" s="28" t="s">
        <v>7427</v>
      </c>
      <c r="AA1297" s="28" t="s">
        <v>7428</v>
      </c>
      <c r="AB1297" s="28">
        <v>34.0</v>
      </c>
      <c r="AC1297" s="28" t="s">
        <v>24</v>
      </c>
      <c r="AD1297" s="23"/>
      <c r="AE1297" s="28" t="s">
        <v>10</v>
      </c>
      <c r="AF1297" s="23"/>
      <c r="AG1297" s="23"/>
      <c r="AH1297" s="23" t="str">
        <f>IFERROR(__xludf.DUMMYFUNCTION("IF(
ISNUMBER(MATCH(
C1297,
IMPORTRANGE(""https://docs.google.com/spreadsheets/d/1yTh1ELC33JHYOeEdgIiEclxPRyh0zOKtlawDltfUay8"",""'Interns'!A:A""),
0
)),
""Outreach Conducted"",
"""")"),"")</f>
        <v/>
      </c>
      <c r="AI1297" s="23"/>
      <c r="AJ1297" s="23"/>
      <c r="AK1297" s="23" t="str">
        <f>IFERROR(__xludf.DUMMYFUNCTION("XLOOKUP(C1297, 
   IMPORTRANGE(""1RdEdgHYrZ33LJ7RUHj_h-qkAFL92bcVjtIdVa-UlsCw"", ""Interns!D:D""), 
   IMPORTRANGE(""1RdEdgHYrZ33LJ7RUHj_h-qkAFL92bcVjtIdVa-UlsCw"", ""Interns!M:M""), 
   ""Not Found"")"),"Contacted")</f>
        <v>Contacted</v>
      </c>
      <c r="AL1297" s="23" t="str">
        <f>IFERROR(__xludf.DUMMYFUNCTION("XLOOKUP(C1297, 
   IMPORTRANGE(""1RdEdgHYrZ33LJ7RUHj_h-qkAFL92bcVjtIdVa-UlsCw"", ""Interns!D:D""), 
   IMPORTRANGE(""1RdEdgHYrZ33LJ7RUHj_h-qkAFL92bcVjtIdVa-UlsCw"", ""Interns!N:N""), 
   ""Not Found"")"),"#Cheers4Careers")</f>
        <v>#Cheers4Careers</v>
      </c>
      <c r="AM1297" s="23" t="str">
        <f>IFERROR(__xludf.DUMMYFUNCTION("XLOOKUP(C1297, 
   IMPORTRANGE(""1RdEdgHYrZ33LJ7RUHj_h-qkAFL92bcVjtIdVa-UlsCw"", ""Interns!D:D""), 
   IMPORTRANGE(""1RdEdgHYrZ33LJ7RUHj_h-qkAFL92bcVjtIdVa-UlsCw"", ""Interns!O:O""), 
   ""Not Found"")"),"Hetal reached out by email 3/27")</f>
        <v>Hetal reached out by email 3/27</v>
      </c>
      <c r="AN1297" s="23"/>
      <c r="AO1297" s="23" t="s">
        <v>13313</v>
      </c>
      <c r="AP1297" s="28" t="s">
        <v>5182</v>
      </c>
      <c r="AQ1297" s="28"/>
      <c r="AR1297" s="23"/>
      <c r="AS1297" s="23"/>
      <c r="AT1297" s="23"/>
      <c r="AU1297" s="23"/>
      <c r="AV1297" s="23"/>
    </row>
    <row r="1298">
      <c r="A1298" s="28" t="s">
        <v>5161</v>
      </c>
      <c r="B1298" s="28" t="s">
        <v>5162</v>
      </c>
      <c r="C1298" s="23" t="str">
        <f t="shared" si="1"/>
        <v>Alison Aucancela</v>
      </c>
      <c r="D1298" s="28" t="s">
        <v>5461</v>
      </c>
      <c r="E1298" s="28" t="s">
        <v>13314</v>
      </c>
      <c r="F1298" s="23">
        <f t="array" ref="F1298">IFERROR(
    INDEX('Hub Interns 226'!A:A, MATCH(C1298, 'Hub Interns 226'!B:B, 0)),"")</f>
        <v>193</v>
      </c>
      <c r="G1298" s="23">
        <f t="array" ref="G1298">IFERROR(
    INDEX('Hub Users 226'!A:A, MATCH(C1298, 'Hub Users 226'!B:B, 0)),"")</f>
        <v>626</v>
      </c>
      <c r="H1298" s="28">
        <v>1516.0</v>
      </c>
      <c r="I1298" s="28" t="s">
        <v>239</v>
      </c>
      <c r="J1298" s="28"/>
      <c r="K1298" s="28"/>
      <c r="L1298" s="28" t="s">
        <v>5196</v>
      </c>
      <c r="M1298" s="56" t="s">
        <v>13315</v>
      </c>
      <c r="N1298" s="57">
        <v>44953.368055555555</v>
      </c>
      <c r="O1298" s="58">
        <v>40119.0</v>
      </c>
      <c r="P1298" s="28">
        <f t="shared" si="38"/>
        <v>16</v>
      </c>
      <c r="Q1298" s="28" t="s">
        <v>13316</v>
      </c>
      <c r="R1298" s="28" t="s">
        <v>13317</v>
      </c>
      <c r="S1298" s="28">
        <v>14.0</v>
      </c>
      <c r="T1298" s="28">
        <v>13.0</v>
      </c>
      <c r="U1298" s="28">
        <v>35.0</v>
      </c>
      <c r="V1298" s="28">
        <v>21.0</v>
      </c>
      <c r="W1298" s="28" t="s">
        <v>1173</v>
      </c>
      <c r="X1298" s="28" t="s">
        <v>272</v>
      </c>
      <c r="Y1298" s="28" t="s">
        <v>13318</v>
      </c>
      <c r="Z1298" s="28" t="s">
        <v>5403</v>
      </c>
      <c r="AA1298" s="28" t="s">
        <v>5404</v>
      </c>
      <c r="AB1298" s="28">
        <v>21.0</v>
      </c>
      <c r="AC1298" s="28" t="s">
        <v>23</v>
      </c>
      <c r="AD1298" s="28" t="s">
        <v>101</v>
      </c>
      <c r="AE1298" s="28" t="s">
        <v>15</v>
      </c>
      <c r="AF1298" s="23"/>
      <c r="AG1298" s="26" t="s">
        <v>5316</v>
      </c>
      <c r="AH1298" s="23" t="str">
        <f>IFERROR(__xludf.DUMMYFUNCTION("IF(
ISNUMBER(MATCH(
C1298,
IMPORTRANGE(""https://docs.google.com/spreadsheets/d/1yTh1ELC33JHYOeEdgIiEclxPRyh0zOKtlawDltfUay8"",""'Interns'!A:A""),
0
)),
""Outreach Conducted"",
"""")"),"")</f>
        <v/>
      </c>
      <c r="AI1298" s="23"/>
      <c r="AJ1298" s="28" t="s">
        <v>13319</v>
      </c>
      <c r="AK1298" s="23" t="str">
        <f>IFERROR(__xludf.DUMMYFUNCTION("XLOOKUP(C1298, 
   IMPORTRANGE(""1RdEdgHYrZ33LJ7RUHj_h-qkAFL92bcVjtIdVa-UlsCw"", ""Interns!D:D""), 
   IMPORTRANGE(""1RdEdgHYrZ33LJ7RUHj_h-qkAFL92bcVjtIdVa-UlsCw"", ""Interns!M:M""), 
   ""Not Found"")"),"Contacted")</f>
        <v>Contacted</v>
      </c>
      <c r="AL1298" s="23" t="str">
        <f>IFERROR(__xludf.DUMMYFUNCTION("XLOOKUP(C1298, 
   IMPORTRANGE(""1RdEdgHYrZ33LJ7RUHj_h-qkAFL92bcVjtIdVa-UlsCw"", ""Interns!D:D""), 
   IMPORTRANGE(""1RdEdgHYrZ33LJ7RUHj_h-qkAFL92bcVjtIdVa-UlsCw"", ""Interns!N:N""), 
   ""Not Found"")"),"#Cheers4Careers")</f>
        <v>#Cheers4Careers</v>
      </c>
      <c r="AM1298" s="23" t="str">
        <f>IFERROR(__xludf.DUMMYFUNCTION("XLOOKUP(C1298, 
   IMPORTRANGE(""1RdEdgHYrZ33LJ7RUHj_h-qkAFL92bcVjtIdVa-UlsCw"", ""Interns!D:D""), 
   IMPORTRANGE(""1RdEdgHYrZ33LJ7RUHj_h-qkAFL92bcVjtIdVa-UlsCw"", ""Interns!O:O""), 
   ""Not Found"")"),"Reached out by text 3/26-3/28 followed up by email 3/27 by Jackie")</f>
        <v>Reached out by text 3/26-3/28 followed up by email 3/27 by Jackie</v>
      </c>
      <c r="AN1298" s="23"/>
      <c r="AO1298" s="23" t="s">
        <v>13320</v>
      </c>
      <c r="AP1298" s="28" t="s">
        <v>5182</v>
      </c>
      <c r="AQ1298" s="28"/>
      <c r="AR1298" s="23"/>
      <c r="AS1298" s="23"/>
      <c r="AT1298" s="23"/>
      <c r="AU1298" s="23"/>
      <c r="AV1298" s="23"/>
    </row>
    <row r="1299">
      <c r="A1299" s="28" t="s">
        <v>5161</v>
      </c>
      <c r="B1299" s="28" t="s">
        <v>5162</v>
      </c>
      <c r="C1299" s="23" t="str">
        <f t="shared" si="1"/>
        <v>Mario Nieves</v>
      </c>
      <c r="D1299" s="28" t="s">
        <v>2384</v>
      </c>
      <c r="E1299" s="28" t="s">
        <v>13321</v>
      </c>
      <c r="F1299" s="23">
        <f t="array" ref="F1299">IFERROR(
    INDEX('Hub Interns 226'!A:A, MATCH(C1299, 'Hub Interns 226'!B:B, 0)),"")</f>
        <v>846</v>
      </c>
      <c r="G1299" s="23">
        <f t="array" ref="G1299">IFERROR(
    INDEX('Hub Users 226'!A:A, MATCH(C1299, 'Hub Users 226'!B:B, 0)),"")</f>
        <v>1279</v>
      </c>
      <c r="H1299" s="28">
        <v>1528.0</v>
      </c>
      <c r="I1299" s="28" t="s">
        <v>107</v>
      </c>
      <c r="J1299" s="28"/>
      <c r="K1299" s="28"/>
      <c r="L1299" s="28" t="s">
        <v>5165</v>
      </c>
      <c r="M1299" s="56" t="s">
        <v>13322</v>
      </c>
      <c r="N1299" s="57">
        <v>44953.38125</v>
      </c>
      <c r="O1299" s="58">
        <v>39501.0</v>
      </c>
      <c r="P1299" s="28">
        <f t="shared" si="38"/>
        <v>18</v>
      </c>
      <c r="Q1299" s="28" t="s">
        <v>240</v>
      </c>
      <c r="R1299" s="28" t="s">
        <v>13323</v>
      </c>
      <c r="S1299" s="28"/>
      <c r="T1299" s="28"/>
      <c r="U1299" s="28"/>
      <c r="V1299" s="28"/>
      <c r="W1299" s="28" t="s">
        <v>1173</v>
      </c>
      <c r="X1299" s="28" t="s">
        <v>272</v>
      </c>
      <c r="Y1299" s="28" t="s">
        <v>13324</v>
      </c>
      <c r="Z1299" s="28" t="s">
        <v>5403</v>
      </c>
      <c r="AA1299" s="28" t="s">
        <v>5404</v>
      </c>
      <c r="AB1299" s="28">
        <v>21.0</v>
      </c>
      <c r="AC1299" s="28" t="s">
        <v>23</v>
      </c>
      <c r="AD1299" s="28" t="s">
        <v>101</v>
      </c>
      <c r="AE1299" s="28" t="s">
        <v>15</v>
      </c>
      <c r="AF1299" s="23"/>
      <c r="AG1299" s="23"/>
      <c r="AH1299" s="23" t="str">
        <f>IFERROR(__xludf.DUMMYFUNCTION("IF(
ISNUMBER(MATCH(
C1299,
IMPORTRANGE(""https://docs.google.com/spreadsheets/d/1yTh1ELC33JHYOeEdgIiEclxPRyh0zOKtlawDltfUay8"",""'Interns'!A:A""),
0
)),
""Outreach Conducted"",
"""")"),"")</f>
        <v/>
      </c>
      <c r="AI1299" s="23"/>
      <c r="AJ1299" s="23"/>
      <c r="AK1299" s="23" t="str">
        <f>IFERROR(__xludf.DUMMYFUNCTION("XLOOKUP(C1299, 
   IMPORTRANGE(""1RdEdgHYrZ33LJ7RUHj_h-qkAFL92bcVjtIdVa-UlsCw"", ""Interns!D:D""), 
   IMPORTRANGE(""1RdEdgHYrZ33LJ7RUHj_h-qkAFL92bcVjtIdVa-UlsCw"", ""Interns!M:M""), 
   ""Not Found"")"),"Contacted")</f>
        <v>Contacted</v>
      </c>
      <c r="AL1299" s="23" t="str">
        <f>IFERROR(__xludf.DUMMYFUNCTION("XLOOKUP(C1299, 
   IMPORTRANGE(""1RdEdgHYrZ33LJ7RUHj_h-qkAFL92bcVjtIdVa-UlsCw"", ""Interns!D:D""), 
   IMPORTRANGE(""1RdEdgHYrZ33LJ7RUHj_h-qkAFL92bcVjtIdVa-UlsCw"", ""Interns!N:N""), 
   ""Not Found"")"),"#Cheers4Careers")</f>
        <v>#Cheers4Careers</v>
      </c>
      <c r="AM1299" s="23" t="str">
        <f>IFERROR(__xludf.DUMMYFUNCTION("XLOOKUP(C1299,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299" s="23"/>
      <c r="AO1299" s="23" t="s">
        <v>13321</v>
      </c>
      <c r="AP1299" s="28" t="s">
        <v>5191</v>
      </c>
      <c r="AQ1299" s="28"/>
      <c r="AR1299" s="23"/>
      <c r="AS1299" s="23"/>
      <c r="AT1299" s="23"/>
      <c r="AU1299" s="23"/>
      <c r="AV1299" s="23"/>
    </row>
    <row r="1300">
      <c r="A1300" s="28" t="s">
        <v>5161</v>
      </c>
      <c r="B1300" s="28" t="s">
        <v>5162</v>
      </c>
      <c r="C1300" s="23" t="str">
        <f t="shared" si="1"/>
        <v>Ashley Zapatanga</v>
      </c>
      <c r="D1300" s="28" t="s">
        <v>4281</v>
      </c>
      <c r="E1300" s="28" t="s">
        <v>13325</v>
      </c>
      <c r="F1300" s="23">
        <f t="array" ref="F1300">IFERROR(
    INDEX('Hub Interns 226'!A:A, MATCH(C1300, 'Hub Interns 226'!B:B, 0)),"")</f>
        <v>269</v>
      </c>
      <c r="G1300" s="23">
        <f t="array" ref="G1300">IFERROR(
    INDEX('Hub Users 226'!A:A, MATCH(C1300, 'Hub Users 226'!B:B, 0)),"")</f>
        <v>702</v>
      </c>
      <c r="H1300" s="28">
        <v>1336.0</v>
      </c>
      <c r="I1300" s="28"/>
      <c r="J1300" s="28"/>
      <c r="K1300" s="28"/>
      <c r="L1300" s="28" t="s">
        <v>5196</v>
      </c>
      <c r="M1300" s="56" t="s">
        <v>13326</v>
      </c>
      <c r="N1300" s="59">
        <v>44857.89236111111</v>
      </c>
      <c r="O1300" s="58">
        <v>40338.0</v>
      </c>
      <c r="P1300" s="28">
        <f t="shared" si="38"/>
        <v>15</v>
      </c>
      <c r="Q1300" s="28" t="s">
        <v>240</v>
      </c>
      <c r="R1300" s="28" t="s">
        <v>13327</v>
      </c>
      <c r="S1300" s="28">
        <v>14.0</v>
      </c>
      <c r="T1300" s="28">
        <v>13.0</v>
      </c>
      <c r="U1300" s="28">
        <v>35.0</v>
      </c>
      <c r="V1300" s="28">
        <v>21.0</v>
      </c>
      <c r="W1300" s="28" t="s">
        <v>1173</v>
      </c>
      <c r="X1300" s="28" t="s">
        <v>272</v>
      </c>
      <c r="Y1300" s="28" t="s">
        <v>13328</v>
      </c>
      <c r="Z1300" s="28" t="s">
        <v>5403</v>
      </c>
      <c r="AA1300" s="28" t="s">
        <v>5404</v>
      </c>
      <c r="AB1300" s="28">
        <v>21.0</v>
      </c>
      <c r="AC1300" s="28" t="s">
        <v>23</v>
      </c>
      <c r="AD1300" s="23"/>
      <c r="AE1300" s="28" t="s">
        <v>15</v>
      </c>
      <c r="AF1300" s="23"/>
      <c r="AG1300" s="23"/>
      <c r="AH1300" s="23" t="str">
        <f>IFERROR(__xludf.DUMMYFUNCTION("IF(
ISNUMBER(MATCH(
C1300,
IMPORTRANGE(""https://docs.google.com/spreadsheets/d/1yTh1ELC33JHYOeEdgIiEclxPRyh0zOKtlawDltfUay8"",""'Interns'!A:A""),
0
)),
""Outreach Conducted"",
"""")"),"")</f>
        <v/>
      </c>
      <c r="AI1300" s="23"/>
      <c r="AJ1300" s="23"/>
      <c r="AK1300" s="23" t="str">
        <f>IFERROR(__xludf.DUMMYFUNCTION("XLOOKUP(C1300, 
   IMPORTRANGE(""1RdEdgHYrZ33LJ7RUHj_h-qkAFL92bcVjtIdVa-UlsCw"", ""Interns!D:D""), 
   IMPORTRANGE(""1RdEdgHYrZ33LJ7RUHj_h-qkAFL92bcVjtIdVa-UlsCw"", ""Interns!M:M""), 
   ""Not Found"")"),"Contacted")</f>
        <v>Contacted</v>
      </c>
      <c r="AL1300" s="23" t="str">
        <f>IFERROR(__xludf.DUMMYFUNCTION("XLOOKUP(C1300, 
   IMPORTRANGE(""1RdEdgHYrZ33LJ7RUHj_h-qkAFL92bcVjtIdVa-UlsCw"", ""Interns!D:D""), 
   IMPORTRANGE(""1RdEdgHYrZ33LJ7RUHj_h-qkAFL92bcVjtIdVa-UlsCw"", ""Interns!N:N""), 
   ""Not Found"")"),"#Cheers4Careers")</f>
        <v>#Cheers4Careers</v>
      </c>
      <c r="AM1300" s="23" t="str">
        <f>IFERROR(__xludf.DUMMYFUNCTION("XLOOKUP(C1300, 
   IMPORTRANGE(""1RdEdgHYrZ33LJ7RUHj_h-qkAFL92bcVjtIdVa-UlsCw"", ""Interns!D:D""), 
   IMPORTRANGE(""1RdEdgHYrZ33LJ7RUHj_h-qkAFL92bcVjtIdVa-UlsCw"", ""Interns!O:O""), 
   ""Not Found"")"),"Reached out by text 3/26-3/28 followed up by email 3/27 by Jackie")</f>
        <v>Reached out by text 3/26-3/28 followed up by email 3/27 by Jackie</v>
      </c>
      <c r="AN1300" s="23"/>
      <c r="AO1300" s="23" t="s">
        <v>13329</v>
      </c>
      <c r="AP1300" s="28" t="s">
        <v>5182</v>
      </c>
      <c r="AQ1300" s="28"/>
      <c r="AR1300" s="23"/>
      <c r="AS1300" s="23"/>
      <c r="AT1300" s="23"/>
      <c r="AU1300" s="23"/>
      <c r="AV1300" s="23"/>
    </row>
    <row r="1301">
      <c r="A1301" s="28" t="s">
        <v>5161</v>
      </c>
      <c r="B1301" s="28" t="s">
        <v>5162</v>
      </c>
      <c r="C1301" s="23" t="str">
        <f t="shared" si="1"/>
        <v>Lutherson Lozandier</v>
      </c>
      <c r="D1301" s="28" t="s">
        <v>13330</v>
      </c>
      <c r="E1301" s="28" t="s">
        <v>13331</v>
      </c>
      <c r="F1301" s="23">
        <f t="array" ref="F1301">IFERROR(
    INDEX('Hub Interns 226'!A:A, MATCH(C1301, 'Hub Interns 226'!B:B, 0)),"")</f>
        <v>807</v>
      </c>
      <c r="G1301" s="23">
        <f t="array" ref="G1301">IFERROR(
    INDEX('Hub Users 226'!A:A, MATCH(C1301, 'Hub Users 226'!B:B, 0)),"")</f>
        <v>1240</v>
      </c>
      <c r="H1301" s="28">
        <v>1403.0</v>
      </c>
      <c r="I1301" s="28" t="s">
        <v>239</v>
      </c>
      <c r="J1301" s="28"/>
      <c r="K1301" s="28"/>
      <c r="L1301" s="28" t="s">
        <v>5165</v>
      </c>
      <c r="M1301" s="56" t="s">
        <v>13332</v>
      </c>
      <c r="N1301" s="59">
        <v>44865.4625</v>
      </c>
      <c r="O1301" s="58">
        <v>39559.0</v>
      </c>
      <c r="P1301" s="28">
        <f t="shared" si="38"/>
        <v>18</v>
      </c>
      <c r="Q1301" s="28" t="s">
        <v>13333</v>
      </c>
      <c r="R1301" s="28" t="s">
        <v>13334</v>
      </c>
      <c r="S1301" s="28">
        <v>5.0</v>
      </c>
      <c r="T1301" s="28">
        <v>14.0</v>
      </c>
      <c r="U1301" s="28">
        <v>33.0</v>
      </c>
      <c r="V1301" s="28">
        <v>27.0</v>
      </c>
      <c r="W1301" s="28" t="s">
        <v>1173</v>
      </c>
      <c r="X1301" s="28" t="s">
        <v>272</v>
      </c>
      <c r="Y1301" s="28" t="s">
        <v>13335</v>
      </c>
      <c r="Z1301" s="28" t="s">
        <v>5332</v>
      </c>
      <c r="AA1301" s="28" t="s">
        <v>421</v>
      </c>
      <c r="AB1301" s="28">
        <v>31.0</v>
      </c>
      <c r="AC1301" s="28" t="s">
        <v>23</v>
      </c>
      <c r="AD1301" s="23"/>
      <c r="AE1301" s="28" t="s">
        <v>15</v>
      </c>
      <c r="AF1301" s="23"/>
      <c r="AG1301" s="23"/>
      <c r="AH1301" s="23" t="str">
        <f>IFERROR(__xludf.DUMMYFUNCTION("IF(
ISNUMBER(MATCH(
C1301,
IMPORTRANGE(""https://docs.google.com/spreadsheets/d/1yTh1ELC33JHYOeEdgIiEclxPRyh0zOKtlawDltfUay8"",""'Interns'!A:A""),
0
)),
""Outreach Conducted"",
"""")"),"")</f>
        <v/>
      </c>
      <c r="AI1301" s="23"/>
      <c r="AJ1301" s="23"/>
      <c r="AK1301" s="23" t="str">
        <f>IFERROR(__xludf.DUMMYFUNCTION("XLOOKUP(C1301, 
   IMPORTRANGE(""1RdEdgHYrZ33LJ7RUHj_h-qkAFL92bcVjtIdVa-UlsCw"", ""Interns!D:D""), 
   IMPORTRANGE(""1RdEdgHYrZ33LJ7RUHj_h-qkAFL92bcVjtIdVa-UlsCw"", ""Interns!M:M""), 
   ""Not Found"")"),"Contacted")</f>
        <v>Contacted</v>
      </c>
      <c r="AL1301" s="23" t="str">
        <f>IFERROR(__xludf.DUMMYFUNCTION("XLOOKUP(C1301, 
   IMPORTRANGE(""1RdEdgHYrZ33LJ7RUHj_h-qkAFL92bcVjtIdVa-UlsCw"", ""Interns!D:D""), 
   IMPORTRANGE(""1RdEdgHYrZ33LJ7RUHj_h-qkAFL92bcVjtIdVa-UlsCw"", ""Interns!N:N""), 
   ""Not Found"")"),"#Cheers4Careers")</f>
        <v>#Cheers4Careers</v>
      </c>
      <c r="AM1301" s="23" t="str">
        <f>IFERROR(__xludf.DUMMYFUNCTION("XLOOKUP(C1301, 
   IMPORTRANGE(""1RdEdgHYrZ33LJ7RUHj_h-qkAFL92bcVjtIdVa-UlsCw"", ""Interns!D:D""), 
   IMPORTRANGE(""1RdEdgHYrZ33LJ7RUHj_h-qkAFL92bcVjtIdVa-UlsCw"", ""Interns!O:O""), 
   ""Not Found"")"),"Hetal reached out March 27 for March #Cheers4 Careers ")</f>
        <v>Hetal reached out March 27 for March #Cheers4 Careers </v>
      </c>
      <c r="AN1301" s="23"/>
      <c r="AO1301" s="23" t="s">
        <v>13336</v>
      </c>
      <c r="AP1301" s="28" t="s">
        <v>5182</v>
      </c>
      <c r="AQ1301" s="28"/>
      <c r="AR1301" s="23"/>
      <c r="AS1301" s="23"/>
      <c r="AT1301" s="23"/>
      <c r="AU1301" s="23"/>
      <c r="AV1301" s="23"/>
    </row>
    <row r="1302">
      <c r="A1302" s="28" t="s">
        <v>5161</v>
      </c>
      <c r="B1302" s="28" t="s">
        <v>5162</v>
      </c>
      <c r="C1302" s="23" t="str">
        <f t="shared" si="1"/>
        <v>Alicia Vaquero</v>
      </c>
      <c r="D1302" s="28" t="s">
        <v>9666</v>
      </c>
      <c r="E1302" s="28" t="s">
        <v>13337</v>
      </c>
      <c r="F1302" s="23">
        <f t="array" ref="F1302">IFERROR(
    INDEX('Hub Interns 226'!A:A, MATCH(C1302, 'Hub Interns 226'!B:B, 0)),"")</f>
        <v>143</v>
      </c>
      <c r="G1302" s="23">
        <f t="array" ref="G1302">IFERROR(
    INDEX('Hub Users 226'!A:A, MATCH(C1302, 'Hub Users 226'!B:B, 0)),"")</f>
        <v>576</v>
      </c>
      <c r="H1302" s="28">
        <v>1049.0</v>
      </c>
      <c r="I1302" s="28"/>
      <c r="J1302" s="28"/>
      <c r="K1302" s="28"/>
      <c r="L1302" s="28" t="s">
        <v>5196</v>
      </c>
      <c r="M1302" s="56" t="s">
        <v>13338</v>
      </c>
      <c r="N1302" s="57">
        <v>44684.52222222222</v>
      </c>
      <c r="O1302" s="58">
        <v>39610.0</v>
      </c>
      <c r="P1302" s="28">
        <f t="shared" si="38"/>
        <v>17</v>
      </c>
      <c r="Q1302" s="28" t="s">
        <v>13339</v>
      </c>
      <c r="R1302" s="28" t="s">
        <v>13340</v>
      </c>
      <c r="S1302" s="28">
        <v>14.0</v>
      </c>
      <c r="T1302" s="28">
        <v>34.0</v>
      </c>
      <c r="U1302" s="28">
        <v>87.0</v>
      </c>
      <c r="V1302" s="28">
        <v>18.0</v>
      </c>
      <c r="W1302" s="28" t="s">
        <v>859</v>
      </c>
      <c r="X1302" s="28" t="s">
        <v>272</v>
      </c>
      <c r="Y1302" s="28" t="s">
        <v>13341</v>
      </c>
      <c r="Z1302" s="28" t="s">
        <v>5352</v>
      </c>
      <c r="AA1302" s="28" t="s">
        <v>5287</v>
      </c>
      <c r="AB1302" s="28">
        <v>26.0</v>
      </c>
      <c r="AC1302" s="28" t="s">
        <v>24</v>
      </c>
      <c r="AD1302" s="23"/>
      <c r="AE1302" s="28" t="s">
        <v>10</v>
      </c>
      <c r="AF1302" s="23"/>
      <c r="AG1302" s="23"/>
      <c r="AH1302" s="23" t="str">
        <f>IFERROR(__xludf.DUMMYFUNCTION("IF(
ISNUMBER(MATCH(
C1302,
IMPORTRANGE(""https://docs.google.com/spreadsheets/d/1yTh1ELC33JHYOeEdgIiEclxPRyh0zOKtlawDltfUay8"",""'Interns'!A:A""),
0
)),
""Outreach Conducted"",
"""")"),"")</f>
        <v/>
      </c>
      <c r="AI1302" s="23"/>
      <c r="AJ1302" s="23"/>
      <c r="AK1302" s="23" t="str">
        <f>IFERROR(__xludf.DUMMYFUNCTION("XLOOKUP(C1302, 
   IMPORTRANGE(""1RdEdgHYrZ33LJ7RUHj_h-qkAFL92bcVjtIdVa-UlsCw"", ""Interns!D:D""), 
   IMPORTRANGE(""1RdEdgHYrZ33LJ7RUHj_h-qkAFL92bcVjtIdVa-UlsCw"", ""Interns!M:M""), 
   ""Not Found"")"),"Contacted")</f>
        <v>Contacted</v>
      </c>
      <c r="AL1302" s="23" t="str">
        <f>IFERROR(__xludf.DUMMYFUNCTION("XLOOKUP(C1302, 
   IMPORTRANGE(""1RdEdgHYrZ33LJ7RUHj_h-qkAFL92bcVjtIdVa-UlsCw"", ""Interns!D:D""), 
   IMPORTRANGE(""1RdEdgHYrZ33LJ7RUHj_h-qkAFL92bcVjtIdVa-UlsCw"", ""Interns!N:N""), 
   ""Not Found"")"),"#Cheers4Careers")</f>
        <v>#Cheers4Careers</v>
      </c>
      <c r="AM1302" s="23" t="str">
        <f>IFERROR(__xludf.DUMMYFUNCTION("XLOOKUP(C1302, 
   IMPORTRANGE(""1RdEdgHYrZ33LJ7RUHj_h-qkAFL92bcVjtIdVa-UlsCw"", ""Interns!D:D""), 
   IMPORTRANGE(""1RdEdgHYrZ33LJ7RUHj_h-qkAFL92bcVjtIdVa-UlsCw"", ""Interns!O:O""), 
   ""Not Found"")"),"Hetal reached out by email 3/27")</f>
        <v>Hetal reached out by email 3/27</v>
      </c>
      <c r="AN1302" s="23"/>
      <c r="AO1302" s="23" t="s">
        <v>13342</v>
      </c>
      <c r="AP1302" s="28" t="s">
        <v>5182</v>
      </c>
      <c r="AQ1302" s="28"/>
      <c r="AR1302" s="23"/>
      <c r="AS1302" s="23"/>
      <c r="AT1302" s="23"/>
      <c r="AU1302" s="23"/>
      <c r="AV1302" s="23"/>
    </row>
    <row r="1303">
      <c r="A1303" s="28" t="s">
        <v>5202</v>
      </c>
      <c r="B1303" s="28" t="s">
        <v>5162</v>
      </c>
      <c r="C1303" s="23" t="str">
        <f t="shared" si="1"/>
        <v>Naomi Lantigua</v>
      </c>
      <c r="D1303" s="28" t="s">
        <v>8635</v>
      </c>
      <c r="E1303" s="28" t="s">
        <v>7247</v>
      </c>
      <c r="F1303" s="23">
        <f t="array" ref="F1303">IFERROR(
    INDEX('Hub Interns 226'!A:A, MATCH(C1303, 'Hub Interns 226'!B:B, 0)),"")</f>
        <v>942</v>
      </c>
      <c r="G1303" s="23">
        <f t="array" ref="G1303">IFERROR(
    INDEX('Hub Users 226'!A:A, MATCH(C1303, 'Hub Users 226'!B:B, 0)),"")</f>
        <v>1375</v>
      </c>
      <c r="H1303" s="28">
        <v>496.0</v>
      </c>
      <c r="I1303" s="28" t="s">
        <v>107</v>
      </c>
      <c r="J1303" s="28" t="s">
        <v>11092</v>
      </c>
      <c r="K1303" s="28" t="s">
        <v>5177</v>
      </c>
      <c r="L1303" s="28" t="s">
        <v>5196</v>
      </c>
      <c r="M1303" s="56" t="s">
        <v>13343</v>
      </c>
      <c r="N1303" s="57">
        <v>44475.64722222222</v>
      </c>
      <c r="O1303" s="58">
        <v>38053.0</v>
      </c>
      <c r="P1303" s="28">
        <f t="shared" si="38"/>
        <v>22</v>
      </c>
      <c r="Q1303" s="28" t="s">
        <v>7343</v>
      </c>
      <c r="R1303" s="28" t="s">
        <v>13344</v>
      </c>
      <c r="S1303" s="28">
        <v>15.0</v>
      </c>
      <c r="T1303" s="28">
        <v>33.0</v>
      </c>
      <c r="U1303" s="28">
        <v>80.0</v>
      </c>
      <c r="V1303" s="28">
        <v>11.0</v>
      </c>
      <c r="W1303" s="28" t="s">
        <v>859</v>
      </c>
      <c r="X1303" s="28" t="s">
        <v>272</v>
      </c>
      <c r="Y1303" s="28" t="s">
        <v>13345</v>
      </c>
      <c r="Z1303" s="28" t="s">
        <v>5918</v>
      </c>
      <c r="AA1303" s="28" t="s">
        <v>477</v>
      </c>
      <c r="AB1303" s="28">
        <v>15.0</v>
      </c>
      <c r="AC1303" s="28" t="s">
        <v>25</v>
      </c>
      <c r="AD1303" s="23"/>
      <c r="AE1303" s="28" t="s">
        <v>10</v>
      </c>
      <c r="AF1303" s="23" t="str">
        <f>IFERROR(__xludf.DUMMYFUNCTION("TEXTJOIN("", "", TRUE,
  FILTER(Champions!C:C,
    ISNUMBER(SEARCH(C1303, Champions!W:W))
  )
)"),"#N/A")</f>
        <v>#N/A</v>
      </c>
      <c r="AG1303" s="23"/>
      <c r="AH1303" s="23" t="str">
        <f>IFERROR(__xludf.DUMMYFUNCTION("IF(
ISNUMBER(MATCH(
C1303,
IMPORTRANGE(""https://docs.google.com/spreadsheets/d/1yTh1ELC33JHYOeEdgIiEclxPRyh0zOKtlawDltfUay8"",""'Interns'!A:A""),
0
)),
""Outreach Conducted"",
"""")"),"")</f>
        <v/>
      </c>
      <c r="AI1303" s="23"/>
      <c r="AJ1303" s="23"/>
      <c r="AK1303" s="23" t="str">
        <f>IFERROR(__xludf.DUMMYFUNCTION("XLOOKUP(C1303, 
   IMPORTRANGE(""1RdEdgHYrZ33LJ7RUHj_h-qkAFL92bcVjtIdVa-UlsCw"", ""Interns!D:D""), 
   IMPORTRANGE(""1RdEdgHYrZ33LJ7RUHj_h-qkAFL92bcVjtIdVa-UlsCw"", ""Interns!M:M""), 
   ""Not Found"")"),"")</f>
        <v/>
      </c>
      <c r="AL1303" s="23" t="str">
        <f>IFERROR(__xludf.DUMMYFUNCTION("XLOOKUP(C1303, 
   IMPORTRANGE(""1RdEdgHYrZ33LJ7RUHj_h-qkAFL92bcVjtIdVa-UlsCw"", ""Interns!D:D""), 
   IMPORTRANGE(""1RdEdgHYrZ33LJ7RUHj_h-qkAFL92bcVjtIdVa-UlsCw"", ""Interns!N:N""), 
   ""Not Found"")"),"")</f>
        <v/>
      </c>
      <c r="AM1303" s="23" t="str">
        <f>IFERROR(__xludf.DUMMYFUNCTION("XLOOKUP(C1303, 
   IMPORTRANGE(""1RdEdgHYrZ33LJ7RUHj_h-qkAFL92bcVjtIdVa-UlsCw"", ""Interns!D:D""), 
   IMPORTRANGE(""1RdEdgHYrZ33LJ7RUHj_h-qkAFL92bcVjtIdVa-UlsCw"", ""Interns!O:O""), 
   ""Not Found"")"),"")</f>
        <v/>
      </c>
      <c r="AN1303" s="23"/>
      <c r="AO1303" s="23" t="s">
        <v>13346</v>
      </c>
      <c r="AP1303" s="28" t="s">
        <v>5182</v>
      </c>
      <c r="AQ1303" s="28" t="s">
        <v>13347</v>
      </c>
      <c r="AR1303" s="23" t="s">
        <v>13348</v>
      </c>
      <c r="AS1303" s="23"/>
      <c r="AT1303" s="23"/>
      <c r="AU1303" s="23"/>
      <c r="AV1303" s="23"/>
    </row>
    <row r="1304">
      <c r="A1304" s="28" t="s">
        <v>5202</v>
      </c>
      <c r="B1304" s="28" t="s">
        <v>5162</v>
      </c>
      <c r="C1304" s="23" t="str">
        <f t="shared" si="1"/>
        <v>Arlen Ramos Vasquez</v>
      </c>
      <c r="D1304" s="28" t="s">
        <v>13349</v>
      </c>
      <c r="E1304" s="28" t="s">
        <v>13350</v>
      </c>
      <c r="F1304" s="23">
        <f t="array" ref="F1304">IFERROR(
    INDEX('Hub Interns 226'!A:A, MATCH(C1304, 'Hub Interns 226'!B:B, 0)),"")</f>
        <v>262</v>
      </c>
      <c r="G1304" s="23">
        <f t="array" ref="G1304">IFERROR(
    INDEX('Hub Users 226'!A:A, MATCH(C1304, 'Hub Users 226'!B:B, 0)),"")</f>
        <v>695</v>
      </c>
      <c r="H1304" s="28">
        <v>1296.0</v>
      </c>
      <c r="I1304" s="28"/>
      <c r="J1304" s="28" t="s">
        <v>5336</v>
      </c>
      <c r="K1304" s="28" t="s">
        <v>5177</v>
      </c>
      <c r="L1304" s="28" t="s">
        <v>5196</v>
      </c>
      <c r="M1304" s="56" t="s">
        <v>13351</v>
      </c>
      <c r="N1304" s="59">
        <v>44846.54305555556</v>
      </c>
      <c r="O1304" s="58">
        <v>38790.0</v>
      </c>
      <c r="P1304" s="28">
        <f t="shared" si="38"/>
        <v>20</v>
      </c>
      <c r="Q1304" s="28" t="s">
        <v>240</v>
      </c>
      <c r="R1304" s="28" t="s">
        <v>13352</v>
      </c>
      <c r="S1304" s="28">
        <v>13.0</v>
      </c>
      <c r="T1304" s="28">
        <v>33.0</v>
      </c>
      <c r="U1304" s="28">
        <v>78.0</v>
      </c>
      <c r="V1304" s="28">
        <v>14.0</v>
      </c>
      <c r="W1304" s="28" t="s">
        <v>859</v>
      </c>
      <c r="X1304" s="28" t="s">
        <v>272</v>
      </c>
      <c r="Y1304" s="28" t="s">
        <v>13353</v>
      </c>
      <c r="Z1304" s="28" t="s">
        <v>5918</v>
      </c>
      <c r="AA1304" s="28" t="s">
        <v>477</v>
      </c>
      <c r="AB1304" s="28">
        <v>15.0</v>
      </c>
      <c r="AC1304" s="28" t="s">
        <v>23</v>
      </c>
      <c r="AD1304" s="28" t="s">
        <v>101</v>
      </c>
      <c r="AE1304" s="28" t="s">
        <v>15</v>
      </c>
      <c r="AF1304" s="23"/>
      <c r="AG1304" s="23"/>
      <c r="AH1304" s="23" t="str">
        <f>IFERROR(__xludf.DUMMYFUNCTION("IF(
ISNUMBER(MATCH(
C1304,
IMPORTRANGE(""https://docs.google.com/spreadsheets/d/1yTh1ELC33JHYOeEdgIiEclxPRyh0zOKtlawDltfUay8"",""'Interns'!A:A""),
0
)),
""Outreach Conducted"",
"""")"),"")</f>
        <v/>
      </c>
      <c r="AI1304" s="23"/>
      <c r="AJ1304" s="23"/>
      <c r="AK1304" s="23" t="str">
        <f>IFERROR(__xludf.DUMMYFUNCTION("XLOOKUP(C1304, 
   IMPORTRANGE(""1RdEdgHYrZ33LJ7RUHj_h-qkAFL92bcVjtIdVa-UlsCw"", ""Interns!D:D""), 
   IMPORTRANGE(""1RdEdgHYrZ33LJ7RUHj_h-qkAFL92bcVjtIdVa-UlsCw"", ""Interns!M:M""), 
   ""Not Found"")"),"")</f>
        <v/>
      </c>
      <c r="AL1304" s="23" t="str">
        <f>IFERROR(__xludf.DUMMYFUNCTION("XLOOKUP(C1304, 
   IMPORTRANGE(""1RdEdgHYrZ33LJ7RUHj_h-qkAFL92bcVjtIdVa-UlsCw"", ""Interns!D:D""), 
   IMPORTRANGE(""1RdEdgHYrZ33LJ7RUHj_h-qkAFL92bcVjtIdVa-UlsCw"", ""Interns!N:N""), 
   ""Not Found"")"),"")</f>
        <v/>
      </c>
      <c r="AM1304" s="23" t="str">
        <f>IFERROR(__xludf.DUMMYFUNCTION("XLOOKUP(C1304, 
   IMPORTRANGE(""1RdEdgHYrZ33LJ7RUHj_h-qkAFL92bcVjtIdVa-UlsCw"", ""Interns!D:D""), 
   IMPORTRANGE(""1RdEdgHYrZ33LJ7RUHj_h-qkAFL92bcVjtIdVa-UlsCw"", ""Interns!O:O""), 
   ""Not Found"")"),"")</f>
        <v/>
      </c>
      <c r="AN1304" s="23"/>
      <c r="AO1304" s="23" t="s">
        <v>13354</v>
      </c>
      <c r="AP1304" s="28" t="s">
        <v>5191</v>
      </c>
      <c r="AQ1304" s="28"/>
      <c r="AR1304" s="23"/>
      <c r="AS1304" s="23"/>
      <c r="AT1304" s="23"/>
      <c r="AU1304" s="23"/>
      <c r="AV1304" s="23"/>
    </row>
    <row r="1305">
      <c r="A1305" s="28" t="s">
        <v>5161</v>
      </c>
      <c r="B1305" s="28" t="s">
        <v>5162</v>
      </c>
      <c r="C1305" s="23" t="str">
        <f t="shared" si="1"/>
        <v>Jordan Houseal</v>
      </c>
      <c r="D1305" s="22" t="s">
        <v>9072</v>
      </c>
      <c r="E1305" s="22" t="s">
        <v>13355</v>
      </c>
      <c r="F1305" s="23"/>
      <c r="G1305" s="23"/>
      <c r="H1305" s="22">
        <v>1886.0</v>
      </c>
      <c r="I1305" s="28"/>
      <c r="J1305" s="28"/>
      <c r="K1305" s="28"/>
      <c r="L1305" s="28" t="s">
        <v>5196</v>
      </c>
      <c r="M1305" s="29" t="s">
        <v>13356</v>
      </c>
      <c r="N1305" s="22"/>
      <c r="O1305" s="25">
        <v>45847.0</v>
      </c>
      <c r="P1305" s="28">
        <f t="shared" si="38"/>
        <v>0</v>
      </c>
      <c r="Q1305" s="62" t="s">
        <v>240</v>
      </c>
      <c r="R1305" s="22" t="s">
        <v>13357</v>
      </c>
      <c r="S1305" s="28">
        <v>8.0</v>
      </c>
      <c r="T1305" s="28">
        <v>19.0</v>
      </c>
      <c r="U1305" s="28">
        <v>60.0</v>
      </c>
      <c r="V1305" s="28">
        <v>46.0</v>
      </c>
      <c r="W1305" s="28" t="s">
        <v>294</v>
      </c>
      <c r="X1305" s="28" t="s">
        <v>272</v>
      </c>
      <c r="Y1305" s="22" t="s">
        <v>13358</v>
      </c>
      <c r="Z1305" s="22" t="s">
        <v>5822</v>
      </c>
      <c r="AA1305" s="28" t="s">
        <v>5822</v>
      </c>
      <c r="AB1305" s="28">
        <v>30.0</v>
      </c>
      <c r="AC1305" s="28" t="s">
        <v>27</v>
      </c>
      <c r="AD1305" s="23"/>
      <c r="AE1305" s="28" t="s">
        <v>20</v>
      </c>
      <c r="AF1305" s="23"/>
      <c r="AG1305" s="23"/>
      <c r="AH1305" s="23" t="str">
        <f>IFERROR(__xludf.DUMMYFUNCTION("IF(
ISNUMBER(MATCH(
C1305,
IMPORTRANGE(""https://docs.google.com/spreadsheets/d/1yTh1ELC33JHYOeEdgIiEclxPRyh0zOKtlawDltfUay8"",""'Interns'!A:A""),
0
)),
""Outreach Conducted"",
"""")"),"")</f>
        <v/>
      </c>
      <c r="AI1305" s="23"/>
      <c r="AJ1305" s="23"/>
      <c r="AK1305" s="23"/>
      <c r="AL1305" s="23" t="str">
        <f>IFERROR(__xludf.DUMMYFUNCTION("XLOOKUP(C1305, 
   IMPORTRANGE(""1RdEdgHYrZ33LJ7RUHj_h-qkAFL92bcVjtIdVa-UlsCw"", ""Interns!D:D""), 
   IMPORTRANGE(""1RdEdgHYrZ33LJ7RUHj_h-qkAFL92bcVjtIdVa-UlsCw"", ""Interns!N:N""), 
   ""Not Found"")"),"#Cheers4Careers")</f>
        <v>#Cheers4Careers</v>
      </c>
      <c r="AM1305" s="23" t="str">
        <f>IFERROR(__xludf.DUMMYFUNCTION("XLOOKUP(C1305, 
   IMPORTRANGE(""1RdEdgHYrZ33LJ7RUHj_h-qkAFL92bcVjtIdVa-UlsCw"", ""Interns!D:D""), 
   IMPORTRANGE(""1RdEdgHYrZ33LJ7RUHj_h-qkAFL92bcVjtIdVa-UlsCw"", ""Interns!O:O""), 
   ""Not Found"")"),"Hetal reached out March 27 for March #Cheers4 Careers ")</f>
        <v>Hetal reached out March 27 for March #Cheers4 Careers </v>
      </c>
      <c r="AN1305" s="23"/>
      <c r="AO1305" s="23" t="s">
        <v>9072</v>
      </c>
      <c r="AP1305" s="28" t="s">
        <v>5182</v>
      </c>
      <c r="AQ1305" s="28" t="s">
        <v>13359</v>
      </c>
      <c r="AR1305" s="23" t="s">
        <v>13358</v>
      </c>
      <c r="AS1305" s="23"/>
      <c r="AT1305" s="23"/>
      <c r="AU1305" s="23"/>
      <c r="AV1305" s="23"/>
    </row>
    <row r="1306">
      <c r="A1306" s="28" t="s">
        <v>5161</v>
      </c>
      <c r="B1306" s="28" t="s">
        <v>5162</v>
      </c>
      <c r="C1306" s="23" t="str">
        <f t="shared" si="1"/>
        <v>Erika Matias</v>
      </c>
      <c r="D1306" s="28" t="s">
        <v>9050</v>
      </c>
      <c r="E1306" s="28" t="s">
        <v>12406</v>
      </c>
      <c r="F1306" s="23">
        <f t="array" ref="F1306">IFERROR(
    INDEX('Hub Interns 226'!A:A, MATCH(C1306, 'Hub Interns 226'!B:B, 0)),"")</f>
        <v>858</v>
      </c>
      <c r="G1306" s="23">
        <f t="array" ref="G1306">IFERROR(
    INDEX('Hub Users 226'!A:A, MATCH(C1306, 'Hub Users 226'!B:B, 0)),"")</f>
        <v>1291</v>
      </c>
      <c r="H1306" s="28">
        <v>742.0</v>
      </c>
      <c r="I1306" s="28" t="s">
        <v>260</v>
      </c>
      <c r="J1306" s="28"/>
      <c r="K1306" s="28"/>
      <c r="L1306" s="28" t="s">
        <v>5196</v>
      </c>
      <c r="M1306" s="56" t="s">
        <v>13360</v>
      </c>
      <c r="N1306" s="59">
        <v>44551.419444444444</v>
      </c>
      <c r="O1306" s="58">
        <v>38390.0</v>
      </c>
      <c r="P1306" s="28">
        <f t="shared" si="38"/>
        <v>21</v>
      </c>
      <c r="Q1306" s="28" t="s">
        <v>240</v>
      </c>
      <c r="R1306" s="28" t="s">
        <v>13361</v>
      </c>
      <c r="S1306" s="28">
        <v>14.0</v>
      </c>
      <c r="T1306" s="28">
        <v>13.0</v>
      </c>
      <c r="U1306" s="28">
        <v>35.0</v>
      </c>
      <c r="V1306" s="28">
        <v>21.0</v>
      </c>
      <c r="W1306" s="28" t="s">
        <v>1173</v>
      </c>
      <c r="X1306" s="28" t="s">
        <v>272</v>
      </c>
      <c r="Y1306" s="28" t="s">
        <v>13362</v>
      </c>
      <c r="Z1306" s="28" t="s">
        <v>5483</v>
      </c>
      <c r="AA1306" s="28" t="s">
        <v>457</v>
      </c>
      <c r="AB1306" s="28">
        <v>25.0</v>
      </c>
      <c r="AC1306" s="28" t="s">
        <v>25</v>
      </c>
      <c r="AD1306" s="23"/>
      <c r="AE1306" s="28" t="s">
        <v>10</v>
      </c>
      <c r="AF1306" s="23" t="str">
        <f>IFERROR(__xludf.DUMMYFUNCTION("TEXTJOIN("", "", TRUE,
  FILTER(Champions!C:C,
    ISNUMBER(SEARCH(C1306, Champions!W:W))
  )
)"),"Jennifer Rosen, Sarah Anne Mead Lupberger")</f>
        <v>Jennifer Rosen, Sarah Anne Mead Lupberger</v>
      </c>
      <c r="AG1306" s="23"/>
      <c r="AH1306" s="23" t="str">
        <f>IFERROR(__xludf.DUMMYFUNCTION("IF(
ISNUMBER(MATCH(
C1306,
IMPORTRANGE(""https://docs.google.com/spreadsheets/d/1yTh1ELC33JHYOeEdgIiEclxPRyh0zOKtlawDltfUay8"",""'Interns'!A:A""),
0
)),
""Outreach Conducted"",
"""")"),"")</f>
        <v/>
      </c>
      <c r="AI1306" s="23"/>
      <c r="AJ1306" s="23"/>
      <c r="AK1306" s="23" t="str">
        <f>IFERROR(__xludf.DUMMYFUNCTION("XLOOKUP(C1306, 
   IMPORTRANGE(""1RdEdgHYrZ33LJ7RUHj_h-qkAFL92bcVjtIdVa-UlsCw"", ""Interns!D:D""), 
   IMPORTRANGE(""1RdEdgHYrZ33LJ7RUHj_h-qkAFL92bcVjtIdVa-UlsCw"", ""Interns!M:M""), 
   ""Not Found"")"),"Contacted")</f>
        <v>Contacted</v>
      </c>
      <c r="AL1306" s="23" t="str">
        <f>IFERROR(__xludf.DUMMYFUNCTION("XLOOKUP(C1306, 
   IMPORTRANGE(""1RdEdgHYrZ33LJ7RUHj_h-qkAFL92bcVjtIdVa-UlsCw"", ""Interns!D:D""), 
   IMPORTRANGE(""1RdEdgHYrZ33LJ7RUHj_h-qkAFL92bcVjtIdVa-UlsCw"", ""Interns!N:N""), 
   ""Not Found"")"),"#Cheers4Careers")</f>
        <v>#Cheers4Careers</v>
      </c>
      <c r="AM1306" s="23" t="str">
        <f>IFERROR(__xludf.DUMMYFUNCTION("XLOOKUP(C1306, 
   IMPORTRANGE(""1RdEdgHYrZ33LJ7RUHj_h-qkAFL92bcVjtIdVa-UlsCw"", ""Interns!D:D""), 
   IMPORTRANGE(""1RdEdgHYrZ33LJ7RUHj_h-qkAFL92bcVjtIdVa-UlsCw"", ""Interns!O:O""), 
   ""Not Found"")"),"Hetal reached out by email 3/27")</f>
        <v>Hetal reached out by email 3/27</v>
      </c>
      <c r="AN1306" s="23"/>
      <c r="AO1306" s="23" t="s">
        <v>13363</v>
      </c>
      <c r="AP1306" s="28" t="s">
        <v>5182</v>
      </c>
      <c r="AQ1306" s="28" t="s">
        <v>13364</v>
      </c>
      <c r="AR1306" s="23" t="s">
        <v>13365</v>
      </c>
      <c r="AS1306" s="23"/>
      <c r="AT1306" s="23"/>
      <c r="AU1306" s="23"/>
      <c r="AV1306" s="23"/>
    </row>
    <row r="1307">
      <c r="A1307" s="28" t="s">
        <v>5161</v>
      </c>
      <c r="B1307" s="28" t="s">
        <v>5162</v>
      </c>
      <c r="C1307" s="23" t="str">
        <f t="shared" si="1"/>
        <v>Jose Castillo</v>
      </c>
      <c r="D1307" s="28" t="s">
        <v>6697</v>
      </c>
      <c r="E1307" s="28" t="s">
        <v>4484</v>
      </c>
      <c r="F1307" s="23">
        <f t="array" ref="F1307">IFERROR(
    INDEX('Hub Interns 226'!A:A, MATCH(C1307, 'Hub Interns 226'!B:B, 0)),"")</f>
        <v>684</v>
      </c>
      <c r="G1307" s="23">
        <f t="array" ref="G1307">IFERROR(
    INDEX('Hub Users 226'!A:A, MATCH(C1307, 'Hub Users 226'!B:B, 0)),"")</f>
        <v>1117</v>
      </c>
      <c r="H1307" s="28">
        <v>1368.0</v>
      </c>
      <c r="I1307" s="28" t="s">
        <v>269</v>
      </c>
      <c r="J1307" s="28"/>
      <c r="K1307" s="28"/>
      <c r="L1307" s="28" t="s">
        <v>5165</v>
      </c>
      <c r="M1307" s="56" t="s">
        <v>13366</v>
      </c>
      <c r="N1307" s="59">
        <v>44859.69583333333</v>
      </c>
      <c r="O1307" s="58">
        <v>39588.0</v>
      </c>
      <c r="P1307" s="28">
        <f t="shared" si="38"/>
        <v>17</v>
      </c>
      <c r="Q1307" s="28" t="s">
        <v>13367</v>
      </c>
      <c r="R1307" s="28" t="s">
        <v>13368</v>
      </c>
      <c r="S1307" s="28">
        <v>5.0</v>
      </c>
      <c r="T1307" s="28">
        <v>14.0</v>
      </c>
      <c r="U1307" s="28">
        <v>33.0</v>
      </c>
      <c r="V1307" s="28">
        <v>27.0</v>
      </c>
      <c r="W1307" s="28" t="s">
        <v>1173</v>
      </c>
      <c r="X1307" s="28" t="s">
        <v>272</v>
      </c>
      <c r="Y1307" s="28" t="s">
        <v>13369</v>
      </c>
      <c r="Z1307" s="28" t="s">
        <v>5332</v>
      </c>
      <c r="AA1307" s="28" t="s">
        <v>421</v>
      </c>
      <c r="AB1307" s="28">
        <v>31.0</v>
      </c>
      <c r="AC1307" s="28" t="s">
        <v>23</v>
      </c>
      <c r="AD1307" s="28" t="s">
        <v>101</v>
      </c>
      <c r="AE1307" s="28" t="s">
        <v>15</v>
      </c>
      <c r="AF1307" s="23"/>
      <c r="AG1307" s="23"/>
      <c r="AH1307" s="23" t="str">
        <f>IFERROR(__xludf.DUMMYFUNCTION("IF(
ISNUMBER(MATCH(
C1307,
IMPORTRANGE(""https://docs.google.com/spreadsheets/d/1yTh1ELC33JHYOeEdgIiEclxPRyh0zOKtlawDltfUay8"",""'Interns'!A:A""),
0
)),
""Outreach Conducted"",
"""")"),"")</f>
        <v/>
      </c>
      <c r="AI1307" s="23"/>
      <c r="AJ1307" s="23"/>
      <c r="AK1307" s="23" t="str">
        <f>IFERROR(__xludf.DUMMYFUNCTION("XLOOKUP(C1307, 
   IMPORTRANGE(""1RdEdgHYrZ33LJ7RUHj_h-qkAFL92bcVjtIdVa-UlsCw"", ""Interns!D:D""), 
   IMPORTRANGE(""1RdEdgHYrZ33LJ7RUHj_h-qkAFL92bcVjtIdVa-UlsCw"", ""Interns!M:M""), 
   ""Not Found"")"),"Contacted")</f>
        <v>Contacted</v>
      </c>
      <c r="AL1307" s="23" t="str">
        <f>IFERROR(__xludf.DUMMYFUNCTION("XLOOKUP(C1307, 
   IMPORTRANGE(""1RdEdgHYrZ33LJ7RUHj_h-qkAFL92bcVjtIdVa-UlsCw"", ""Interns!D:D""), 
   IMPORTRANGE(""1RdEdgHYrZ33LJ7RUHj_h-qkAFL92bcVjtIdVa-UlsCw"", ""Interns!N:N""), 
   ""Not Found"")"),"#Cheers4Careers")</f>
        <v>#Cheers4Careers</v>
      </c>
      <c r="AM1307" s="23" t="str">
        <f>IFERROR(__xludf.DUMMYFUNCTION("XLOOKUP(C1307, 
   IMPORTRANGE(""1RdEdgHYrZ33LJ7RUHj_h-qkAFL92bcVjtIdVa-UlsCw"", ""Interns!D:D""), 
   IMPORTRANGE(""1RdEdgHYrZ33LJ7RUHj_h-qkAFL92bcVjtIdVa-UlsCw"", ""Interns!O:O""), 
   ""Not Found"")"),"Hetal reached out March 27 for March #Cheers4 Careers ")</f>
        <v>Hetal reached out March 27 for March #Cheers4 Careers </v>
      </c>
      <c r="AN1307" s="23"/>
      <c r="AO1307" s="23" t="s">
        <v>6475</v>
      </c>
      <c r="AP1307" s="28" t="s">
        <v>5182</v>
      </c>
      <c r="AQ1307" s="28"/>
      <c r="AR1307" s="23"/>
      <c r="AS1307" s="23"/>
      <c r="AT1307" s="23"/>
      <c r="AU1307" s="23"/>
      <c r="AV1307" s="23"/>
    </row>
    <row r="1308">
      <c r="A1308" s="28" t="s">
        <v>5161</v>
      </c>
      <c r="B1308" s="28" t="s">
        <v>5162</v>
      </c>
      <c r="C1308" s="23" t="str">
        <f t="shared" si="1"/>
        <v>Abellah Abreu</v>
      </c>
      <c r="D1308" s="28" t="s">
        <v>13370</v>
      </c>
      <c r="E1308" s="28" t="s">
        <v>8005</v>
      </c>
      <c r="F1308" s="23">
        <f t="array" ref="F1308">IFERROR(
    INDEX('Hub Interns 226'!A:A, MATCH(C1308, 'Hub Interns 226'!B:B, 0)),"")</f>
        <v>132</v>
      </c>
      <c r="G1308" s="23">
        <f t="array" ref="G1308">IFERROR(
    INDEX('Hub Users 226'!A:A, MATCH(C1308, 'Hub Users 226'!B:B, 0)),"")</f>
        <v>565</v>
      </c>
      <c r="H1308" s="28">
        <v>1526.0</v>
      </c>
      <c r="I1308" s="28" t="s">
        <v>107</v>
      </c>
      <c r="J1308" s="28"/>
      <c r="K1308" s="28"/>
      <c r="L1308" s="28" t="s">
        <v>5196</v>
      </c>
      <c r="M1308" s="56" t="s">
        <v>13371</v>
      </c>
      <c r="N1308" s="57">
        <v>44953.37847222222</v>
      </c>
      <c r="O1308" s="58">
        <v>40233.0</v>
      </c>
      <c r="P1308" s="28">
        <f t="shared" si="38"/>
        <v>16</v>
      </c>
      <c r="Q1308" s="28" t="s">
        <v>240</v>
      </c>
      <c r="R1308" s="28" t="s">
        <v>13372</v>
      </c>
      <c r="S1308" s="28">
        <v>14.0</v>
      </c>
      <c r="T1308" s="28">
        <v>13.0</v>
      </c>
      <c r="U1308" s="28">
        <v>35.0</v>
      </c>
      <c r="V1308" s="28">
        <v>21.0</v>
      </c>
      <c r="W1308" s="28" t="s">
        <v>1173</v>
      </c>
      <c r="X1308" s="28" t="s">
        <v>272</v>
      </c>
      <c r="Y1308" s="28" t="s">
        <v>13373</v>
      </c>
      <c r="Z1308" s="28" t="s">
        <v>5403</v>
      </c>
      <c r="AA1308" s="28" t="s">
        <v>5404</v>
      </c>
      <c r="AB1308" s="28">
        <v>21.0</v>
      </c>
      <c r="AC1308" s="28" t="s">
        <v>23</v>
      </c>
      <c r="AD1308" s="28" t="s">
        <v>101</v>
      </c>
      <c r="AE1308" s="28" t="s">
        <v>15</v>
      </c>
      <c r="AF1308" s="23"/>
      <c r="AG1308" s="23"/>
      <c r="AH1308" s="23" t="str">
        <f>IFERROR(__xludf.DUMMYFUNCTION("IF(
ISNUMBER(MATCH(
C1308,
IMPORTRANGE(""https://docs.google.com/spreadsheets/d/1yTh1ELC33JHYOeEdgIiEclxPRyh0zOKtlawDltfUay8"",""'Interns'!A:A""),
0
)),
""Outreach Conducted"",
"""")"),"")</f>
        <v/>
      </c>
      <c r="AI1308" s="23"/>
      <c r="AJ1308" s="23"/>
      <c r="AK1308" s="23" t="str">
        <f>IFERROR(__xludf.DUMMYFUNCTION("XLOOKUP(C1308, 
   IMPORTRANGE(""1RdEdgHYrZ33LJ7RUHj_h-qkAFL92bcVjtIdVa-UlsCw"", ""Interns!D:D""), 
   IMPORTRANGE(""1RdEdgHYrZ33LJ7RUHj_h-qkAFL92bcVjtIdVa-UlsCw"", ""Interns!M:M""), 
   ""Not Found"")"),"Contacted")</f>
        <v>Contacted</v>
      </c>
      <c r="AL1308" s="23" t="str">
        <f>IFERROR(__xludf.DUMMYFUNCTION("XLOOKUP(C1308, 
   IMPORTRANGE(""1RdEdgHYrZ33LJ7RUHj_h-qkAFL92bcVjtIdVa-UlsCw"", ""Interns!D:D""), 
   IMPORTRANGE(""1RdEdgHYrZ33LJ7RUHj_h-qkAFL92bcVjtIdVa-UlsCw"", ""Interns!N:N""), 
   ""Not Found"")"),"#Cheers4Careers, #SpeakingMyName")</f>
        <v>#Cheers4Careers, #SpeakingMyName</v>
      </c>
      <c r="AM1308" s="23" t="str">
        <f>IFERROR(__xludf.DUMMYFUNCTION("XLOOKUP(C1308, 
   IMPORTRANGE(""1RdEdgHYrZ33LJ7RUHj_h-qkAFL92bcVjtIdVa-UlsCw"", ""Interns!D:D""), 
   IMPORTRANGE(""1RdEdgHYrZ33LJ7RUHj_h-qkAFL92bcVjtIdVa-UlsCw"", ""Interns!O:O""), 
   ""Not Found"")"),"Reached out by text 3/26-3/28 followed up by email 3/27 by Jackie
Alicia reached out by email on 5/15 for #SpeakingMyName")</f>
        <v>Reached out by text 3/26-3/28 followed up by email 3/27 by Jackie
Alicia reached out by email on 5/15 for #SpeakingMyName</v>
      </c>
      <c r="AN1308" s="23"/>
      <c r="AO1308" s="23" t="s">
        <v>13374</v>
      </c>
      <c r="AP1308" s="28" t="s">
        <v>5182</v>
      </c>
      <c r="AQ1308" s="28"/>
      <c r="AR1308" s="23"/>
      <c r="AS1308" s="23"/>
      <c r="AT1308" s="23"/>
      <c r="AU1308" s="23"/>
      <c r="AV1308" s="23"/>
    </row>
    <row r="1309">
      <c r="A1309" s="28" t="s">
        <v>5161</v>
      </c>
      <c r="B1309" s="28" t="s">
        <v>5162</v>
      </c>
      <c r="C1309" s="23" t="str">
        <f t="shared" si="1"/>
        <v>Aviana (Jezeniah) Crespo</v>
      </c>
      <c r="D1309" s="22" t="s">
        <v>13375</v>
      </c>
      <c r="E1309" s="22" t="s">
        <v>13376</v>
      </c>
      <c r="F1309" s="23"/>
      <c r="G1309" s="23"/>
      <c r="H1309" s="22">
        <v>1910.0</v>
      </c>
      <c r="I1309" s="28"/>
      <c r="J1309" s="28"/>
      <c r="K1309" s="28"/>
      <c r="L1309" s="28" t="s">
        <v>5196</v>
      </c>
      <c r="M1309" s="29" t="s">
        <v>13377</v>
      </c>
      <c r="N1309" s="61">
        <v>45845.595138888886</v>
      </c>
      <c r="O1309" s="25">
        <v>39715.0</v>
      </c>
      <c r="P1309" s="28">
        <f t="shared" si="38"/>
        <v>17</v>
      </c>
      <c r="Q1309" s="62" t="s">
        <v>13378</v>
      </c>
      <c r="R1309" s="22" t="s">
        <v>13379</v>
      </c>
      <c r="S1309" s="28">
        <v>8.0</v>
      </c>
      <c r="T1309" s="28">
        <v>25.0</v>
      </c>
      <c r="U1309" s="28">
        <v>55.0</v>
      </c>
      <c r="V1309" s="28">
        <v>41.0</v>
      </c>
      <c r="W1309" s="28" t="s">
        <v>294</v>
      </c>
      <c r="X1309" s="28" t="s">
        <v>272</v>
      </c>
      <c r="Y1309" s="22" t="s">
        <v>13380</v>
      </c>
      <c r="Z1309" s="22" t="s">
        <v>5822</v>
      </c>
      <c r="AA1309" s="28" t="s">
        <v>5822</v>
      </c>
      <c r="AB1309" s="28">
        <v>30.0</v>
      </c>
      <c r="AC1309" s="28" t="s">
        <v>27</v>
      </c>
      <c r="AD1309" s="23"/>
      <c r="AE1309" s="28" t="s">
        <v>20</v>
      </c>
      <c r="AF1309" s="23"/>
      <c r="AG1309" s="23"/>
      <c r="AH1309" s="23" t="str">
        <f>IFERROR(__xludf.DUMMYFUNCTION("IF(
ISNUMBER(MATCH(
C1309,
IMPORTRANGE(""https://docs.google.com/spreadsheets/d/1yTh1ELC33JHYOeEdgIiEclxPRyh0zOKtlawDltfUay8"",""'Interns'!A:A""),
0
)),
""Outreach Conducted"",
"""")"),"")</f>
        <v/>
      </c>
      <c r="AI1309" s="23"/>
      <c r="AJ1309" s="23"/>
      <c r="AK1309" s="23"/>
      <c r="AL1309" s="23" t="str">
        <f>IFERROR(__xludf.DUMMYFUNCTION("XLOOKUP(C1309, 
   IMPORTRANGE(""1RdEdgHYrZ33LJ7RUHj_h-qkAFL92bcVjtIdVa-UlsCw"", ""Interns!D:D""), 
   IMPORTRANGE(""1RdEdgHYrZ33LJ7RUHj_h-qkAFL92bcVjtIdVa-UlsCw"", ""Interns!N:N""), 
   ""Not Found"")"),"#Cheers4Careers")</f>
        <v>#Cheers4Careers</v>
      </c>
      <c r="AM1309" s="23" t="str">
        <f>IFERROR(__xludf.DUMMYFUNCTION("XLOOKUP(C1309, 
   IMPORTRANGE(""1RdEdgHYrZ33LJ7RUHj_h-qkAFL92bcVjtIdVa-UlsCw"", ""Interns!D:D""), 
   IMPORTRANGE(""1RdEdgHYrZ33LJ7RUHj_h-qkAFL92bcVjtIdVa-UlsCw"", ""Interns!O:O""), 
   ""Not Found"")"),"Hetal reached out March 27 for March #Cheers4 Careers ")</f>
        <v>Hetal reached out March 27 for March #Cheers4 Careers </v>
      </c>
      <c r="AN1309" s="23"/>
      <c r="AO1309" s="23" t="s">
        <v>13381</v>
      </c>
      <c r="AP1309" s="28" t="s">
        <v>5191</v>
      </c>
      <c r="AQ1309" s="28" t="s">
        <v>13382</v>
      </c>
      <c r="AR1309" s="23" t="s">
        <v>13383</v>
      </c>
      <c r="AS1309" s="23"/>
      <c r="AT1309" s="23"/>
      <c r="AU1309" s="23"/>
      <c r="AV1309" s="23"/>
    </row>
    <row r="1310">
      <c r="A1310" s="28" t="s">
        <v>5161</v>
      </c>
      <c r="B1310" s="28" t="s">
        <v>5162</v>
      </c>
      <c r="C1310" s="23" t="str">
        <f t="shared" si="1"/>
        <v>Kelly Gutierrez</v>
      </c>
      <c r="D1310" s="28" t="s">
        <v>2545</v>
      </c>
      <c r="E1310" s="28" t="s">
        <v>6489</v>
      </c>
      <c r="F1310" s="23">
        <f t="array" ref="F1310">IFERROR(
    INDEX('Hub Interns 226'!A:A, MATCH(C1310, 'Hub Interns 226'!B:B, 0)),"")</f>
        <v>738</v>
      </c>
      <c r="G1310" s="23">
        <f t="array" ref="G1310">IFERROR(
    INDEX('Hub Users 226'!A:A, MATCH(C1310, 'Hub Users 226'!B:B, 0)),"")</f>
        <v>1171</v>
      </c>
      <c r="H1310" s="28">
        <v>1002.0</v>
      </c>
      <c r="I1310" s="28" t="s">
        <v>107</v>
      </c>
      <c r="J1310" s="28"/>
      <c r="K1310" s="28"/>
      <c r="L1310" s="28" t="s">
        <v>8087</v>
      </c>
      <c r="M1310" s="56" t="s">
        <v>13384</v>
      </c>
      <c r="N1310" s="57">
        <v>44649.76458333333</v>
      </c>
      <c r="O1310" s="58">
        <v>40006.0</v>
      </c>
      <c r="P1310" s="28">
        <f t="shared" si="38"/>
        <v>16</v>
      </c>
      <c r="Q1310" s="28" t="s">
        <v>240</v>
      </c>
      <c r="R1310" s="28" t="s">
        <v>13385</v>
      </c>
      <c r="S1310" s="28">
        <v>6.0</v>
      </c>
      <c r="T1310" s="28">
        <v>13.0</v>
      </c>
      <c r="U1310" s="28">
        <v>35.0</v>
      </c>
      <c r="V1310" s="28">
        <v>21.0</v>
      </c>
      <c r="W1310" s="28" t="s">
        <v>1173</v>
      </c>
      <c r="X1310" s="28" t="s">
        <v>272</v>
      </c>
      <c r="Y1310" s="28" t="s">
        <v>13386</v>
      </c>
      <c r="Z1310" s="28" t="s">
        <v>5403</v>
      </c>
      <c r="AA1310" s="28" t="s">
        <v>5404</v>
      </c>
      <c r="AB1310" s="28">
        <v>21.0</v>
      </c>
      <c r="AC1310" s="28" t="s">
        <v>24</v>
      </c>
      <c r="AD1310" s="23"/>
      <c r="AE1310" s="28" t="s">
        <v>10</v>
      </c>
      <c r="AF1310" s="23"/>
      <c r="AG1310" s="23"/>
      <c r="AH1310" s="23" t="str">
        <f>IFERROR(__xludf.DUMMYFUNCTION("IF(
ISNUMBER(MATCH(
C1310,
IMPORTRANGE(""https://docs.google.com/spreadsheets/d/1yTh1ELC33JHYOeEdgIiEclxPRyh0zOKtlawDltfUay8"",""'Interns'!A:A""),
0
)),
""Outreach Conducted"",
"""")"),"")</f>
        <v/>
      </c>
      <c r="AI1310" s="23"/>
      <c r="AJ1310" s="23"/>
      <c r="AK1310" s="23" t="str">
        <f>IFERROR(__xludf.DUMMYFUNCTION("XLOOKUP(C1310, 
   IMPORTRANGE(""1RdEdgHYrZ33LJ7RUHj_h-qkAFL92bcVjtIdVa-UlsCw"", ""Interns!D:D""), 
   IMPORTRANGE(""1RdEdgHYrZ33LJ7RUHj_h-qkAFL92bcVjtIdVa-UlsCw"", ""Interns!M:M""), 
   ""Not Found"")"),"Contacted")</f>
        <v>Contacted</v>
      </c>
      <c r="AL1310" s="23" t="str">
        <f>IFERROR(__xludf.DUMMYFUNCTION("XLOOKUP(C1310, 
   IMPORTRANGE(""1RdEdgHYrZ33LJ7RUHj_h-qkAFL92bcVjtIdVa-UlsCw"", ""Interns!D:D""), 
   IMPORTRANGE(""1RdEdgHYrZ33LJ7RUHj_h-qkAFL92bcVjtIdVa-UlsCw"", ""Interns!N:N""), 
   ""Not Found"")"),"#Cheers4Careers")</f>
        <v>#Cheers4Careers</v>
      </c>
      <c r="AM1310" s="23" t="str">
        <f>IFERROR(__xludf.DUMMYFUNCTION("XLOOKUP(C1310, 
   IMPORTRANGE(""1RdEdgHYrZ33LJ7RUHj_h-qkAFL92bcVjtIdVa-UlsCw"", ""Interns!D:D""), 
   IMPORTRANGE(""1RdEdgHYrZ33LJ7RUHj_h-qkAFL92bcVjtIdVa-UlsCw"", ""Interns!O:O""), 
   ""Not Found"")"),"reached out by email 3/27 by Menna and Hetal reached out by whatsapp on 3/28
Hetal reached out on 4/10 by whatsapp for April 18th #Cheers4Careers")</f>
        <v>reached out by email 3/27 by Menna and Hetal reached out by whatsapp on 3/28
Hetal reached out on 4/10 by whatsapp for April 18th #Cheers4Careers</v>
      </c>
      <c r="AN1310" s="23"/>
      <c r="AO1310" s="23" t="s">
        <v>13387</v>
      </c>
      <c r="AP1310" s="28" t="s">
        <v>5182</v>
      </c>
      <c r="AQ1310" s="28"/>
      <c r="AR1310" s="23"/>
      <c r="AS1310" s="23"/>
      <c r="AT1310" s="23"/>
      <c r="AU1310" s="23"/>
      <c r="AV1310" s="23"/>
    </row>
    <row r="1311">
      <c r="A1311" s="28" t="s">
        <v>5161</v>
      </c>
      <c r="B1311" s="28" t="s">
        <v>31</v>
      </c>
      <c r="C1311" s="23" t="str">
        <f t="shared" si="1"/>
        <v>Kelly Gutierrez</v>
      </c>
      <c r="D1311" s="28" t="s">
        <v>2545</v>
      </c>
      <c r="E1311" s="28" t="s">
        <v>6489</v>
      </c>
      <c r="F1311" s="23">
        <f t="array" ref="F1311">IFERROR(
    INDEX('Hub Interns 226'!A:A, MATCH(C1311, 'Hub Interns 226'!B:B, 0)),"")</f>
        <v>738</v>
      </c>
      <c r="G1311" s="23">
        <f t="array" ref="G1311">IFERROR(
    INDEX('Hub Users 226'!A:A, MATCH(C1311, 'Hub Users 226'!B:B, 0)),"")</f>
        <v>1171</v>
      </c>
      <c r="H1311" s="28">
        <v>1326.0</v>
      </c>
      <c r="I1311" s="28" t="s">
        <v>290</v>
      </c>
      <c r="J1311" s="28"/>
      <c r="K1311" s="28"/>
      <c r="L1311" s="28" t="s">
        <v>6647</v>
      </c>
      <c r="M1311" s="56" t="s">
        <v>13388</v>
      </c>
      <c r="N1311" s="59">
        <v>44851.70486111111</v>
      </c>
      <c r="O1311" s="58">
        <v>40006.0</v>
      </c>
      <c r="P1311" s="28">
        <f t="shared" si="38"/>
        <v>16</v>
      </c>
      <c r="Q1311" s="28" t="s">
        <v>13389</v>
      </c>
      <c r="R1311" s="28" t="s">
        <v>13390</v>
      </c>
      <c r="S1311" s="28">
        <v>6.0</v>
      </c>
      <c r="T1311" s="28">
        <v>13.0</v>
      </c>
      <c r="U1311" s="28">
        <v>35.0</v>
      </c>
      <c r="V1311" s="28">
        <v>21.0</v>
      </c>
      <c r="W1311" s="28" t="s">
        <v>1173</v>
      </c>
      <c r="X1311" s="28" t="s">
        <v>272</v>
      </c>
      <c r="Y1311" s="28" t="s">
        <v>13391</v>
      </c>
      <c r="Z1311" s="28" t="s">
        <v>5403</v>
      </c>
      <c r="AA1311" s="28" t="s">
        <v>5404</v>
      </c>
      <c r="AB1311" s="28">
        <v>21.0</v>
      </c>
      <c r="AC1311" s="28" t="s">
        <v>23</v>
      </c>
      <c r="AD1311" s="28" t="s">
        <v>101</v>
      </c>
      <c r="AE1311" s="28" t="s">
        <v>15</v>
      </c>
      <c r="AF1311" s="23"/>
      <c r="AG1311" s="23"/>
      <c r="AH1311" s="23" t="str">
        <f>IFERROR(__xludf.DUMMYFUNCTION("IF(
ISNUMBER(MATCH(
C1311,
IMPORTRANGE(""https://docs.google.com/spreadsheets/d/1yTh1ELC33JHYOeEdgIiEclxPRyh0zOKtlawDltfUay8"",""'Interns'!A:A""),
0
)),
""Outreach Conducted"",
"""")"),"")</f>
        <v/>
      </c>
      <c r="AI1311" s="23"/>
      <c r="AJ1311" s="23"/>
      <c r="AK1311" s="23" t="str">
        <f>IFERROR(__xludf.DUMMYFUNCTION("XLOOKUP(C1311, 
   IMPORTRANGE(""1RdEdgHYrZ33LJ7RUHj_h-qkAFL92bcVjtIdVa-UlsCw"", ""Interns!D:D""), 
   IMPORTRANGE(""1RdEdgHYrZ33LJ7RUHj_h-qkAFL92bcVjtIdVa-UlsCw"", ""Interns!M:M""), 
   ""Not Found"")"),"Contacted")</f>
        <v>Contacted</v>
      </c>
      <c r="AL1311" s="23" t="str">
        <f>IFERROR(__xludf.DUMMYFUNCTION("XLOOKUP(C1311, 
   IMPORTRANGE(""1RdEdgHYrZ33LJ7RUHj_h-qkAFL92bcVjtIdVa-UlsCw"", ""Interns!D:D""), 
   IMPORTRANGE(""1RdEdgHYrZ33LJ7RUHj_h-qkAFL92bcVjtIdVa-UlsCw"", ""Interns!N:N""), 
   ""Not Found"")"),"#Cheers4Careers")</f>
        <v>#Cheers4Careers</v>
      </c>
      <c r="AM1311" s="23" t="str">
        <f>IFERROR(__xludf.DUMMYFUNCTION("XLOOKUP(C1311, 
   IMPORTRANGE(""1RdEdgHYrZ33LJ7RUHj_h-qkAFL92bcVjtIdVa-UlsCw"", ""Interns!D:D""), 
   IMPORTRANGE(""1RdEdgHYrZ33LJ7RUHj_h-qkAFL92bcVjtIdVa-UlsCw"", ""Interns!O:O""), 
   ""Not Found"")"),"reached out by email 3/27 by Menna and Hetal reached out by whatsapp on 3/28
Hetal reached out on 4/10 by whatsapp for April 18th #Cheers4Careers")</f>
        <v>reached out by email 3/27 by Menna and Hetal reached out by whatsapp on 3/28
Hetal reached out on 4/10 by whatsapp for April 18th #Cheers4Careers</v>
      </c>
      <c r="AN1311" s="23"/>
      <c r="AO1311" s="23" t="s">
        <v>13387</v>
      </c>
      <c r="AP1311" s="28" t="s">
        <v>5182</v>
      </c>
      <c r="AQ1311" s="28"/>
      <c r="AR1311" s="23"/>
      <c r="AS1311" s="23"/>
      <c r="AT1311" s="23"/>
      <c r="AU1311" s="23"/>
      <c r="AV1311" s="23"/>
    </row>
    <row r="1312">
      <c r="A1312" s="28" t="s">
        <v>5161</v>
      </c>
      <c r="B1312" s="28" t="s">
        <v>5162</v>
      </c>
      <c r="C1312" s="23" t="str">
        <f t="shared" si="1"/>
        <v>Malachi Cooke</v>
      </c>
      <c r="D1312" s="28" t="s">
        <v>13392</v>
      </c>
      <c r="E1312" s="28" t="s">
        <v>13393</v>
      </c>
      <c r="F1312" s="23">
        <f t="array" ref="F1312">IFERROR(
    INDEX('Hub Interns 226'!A:A, MATCH(C1312, 'Hub Interns 226'!B:B, 0)),"")</f>
        <v>947</v>
      </c>
      <c r="G1312" s="23">
        <f t="array" ref="G1312">IFERROR(
    INDEX('Hub Users 226'!A:A, MATCH(C1312, 'Hub Users 226'!B:B, 0)),"")</f>
        <v>1380</v>
      </c>
      <c r="H1312" s="28">
        <v>1410.0</v>
      </c>
      <c r="I1312" s="28" t="s">
        <v>260</v>
      </c>
      <c r="J1312" s="28"/>
      <c r="K1312" s="28"/>
      <c r="L1312" s="28" t="s">
        <v>5165</v>
      </c>
      <c r="M1312" s="56" t="s">
        <v>13394</v>
      </c>
      <c r="N1312" s="59">
        <v>44865.479166666664</v>
      </c>
      <c r="O1312" s="58">
        <v>39167.0</v>
      </c>
      <c r="P1312" s="28">
        <f t="shared" si="38"/>
        <v>19</v>
      </c>
      <c r="Q1312" s="28" t="s">
        <v>240</v>
      </c>
      <c r="R1312" s="28" t="s">
        <v>13395</v>
      </c>
      <c r="S1312" s="28">
        <v>5.0</v>
      </c>
      <c r="T1312" s="28">
        <v>14.0</v>
      </c>
      <c r="U1312" s="28">
        <v>32.0</v>
      </c>
      <c r="V1312" s="28">
        <v>27.0</v>
      </c>
      <c r="W1312" s="28" t="s">
        <v>1173</v>
      </c>
      <c r="X1312" s="28" t="s">
        <v>272</v>
      </c>
      <c r="Y1312" s="28" t="s">
        <v>13396</v>
      </c>
      <c r="Z1312" s="28" t="s">
        <v>5332</v>
      </c>
      <c r="AA1312" s="28" t="s">
        <v>421</v>
      </c>
      <c r="AB1312" s="28">
        <v>31.0</v>
      </c>
      <c r="AC1312" s="28" t="s">
        <v>23</v>
      </c>
      <c r="AD1312" s="23"/>
      <c r="AE1312" s="28" t="s">
        <v>15</v>
      </c>
      <c r="AF1312" s="23"/>
      <c r="AG1312" s="23"/>
      <c r="AH1312" s="23" t="str">
        <f>IFERROR(__xludf.DUMMYFUNCTION("IF(
ISNUMBER(MATCH(
C1312,
IMPORTRANGE(""https://docs.google.com/spreadsheets/d/1yTh1ELC33JHYOeEdgIiEclxPRyh0zOKtlawDltfUay8"",""'Interns'!A:A""),
0
)),
""Outreach Conducted"",
"""")"),"")</f>
        <v/>
      </c>
      <c r="AI1312" s="23"/>
      <c r="AJ1312" s="23"/>
      <c r="AK1312" s="23" t="str">
        <f>IFERROR(__xludf.DUMMYFUNCTION("XLOOKUP(C1312, 
   IMPORTRANGE(""1RdEdgHYrZ33LJ7RUHj_h-qkAFL92bcVjtIdVa-UlsCw"", ""Interns!D:D""), 
   IMPORTRANGE(""1RdEdgHYrZ33LJ7RUHj_h-qkAFL92bcVjtIdVa-UlsCw"", ""Interns!M:M""), 
   ""Not Found"")"),"Contacted")</f>
        <v>Contacted</v>
      </c>
      <c r="AL1312" s="23" t="str">
        <f>IFERROR(__xludf.DUMMYFUNCTION("XLOOKUP(C1312, 
   IMPORTRANGE(""1RdEdgHYrZ33LJ7RUHj_h-qkAFL92bcVjtIdVa-UlsCw"", ""Interns!D:D""), 
   IMPORTRANGE(""1RdEdgHYrZ33LJ7RUHj_h-qkAFL92bcVjtIdVa-UlsCw"", ""Interns!N:N""), 
   ""Not Found"")"),"#Cheers4Careers")</f>
        <v>#Cheers4Careers</v>
      </c>
      <c r="AM1312" s="23" t="str">
        <f>IFERROR(__xludf.DUMMYFUNCTION("XLOOKUP(C1312, 
   IMPORTRANGE(""1RdEdgHYrZ33LJ7RUHj_h-qkAFL92bcVjtIdVa-UlsCw"", ""Interns!D:D""), 
   IMPORTRANGE(""1RdEdgHYrZ33LJ7RUHj_h-qkAFL92bcVjtIdVa-UlsCw"", ""Interns!O:O""), 
   ""Not Found"")"),"Hetal reached out March 27 for March #Cheers4 Careers  and texted")</f>
        <v>Hetal reached out March 27 for March #Cheers4 Careers  and texted</v>
      </c>
      <c r="AN1312" s="23"/>
      <c r="AO1312" s="23" t="s">
        <v>13397</v>
      </c>
      <c r="AP1312" s="28" t="s">
        <v>5182</v>
      </c>
      <c r="AQ1312" s="28"/>
      <c r="AR1312" s="23"/>
      <c r="AS1312" s="23"/>
      <c r="AT1312" s="23"/>
      <c r="AU1312" s="23"/>
      <c r="AV1312" s="23"/>
    </row>
    <row r="1313">
      <c r="A1313" s="28" t="s">
        <v>5161</v>
      </c>
      <c r="B1313" s="28" t="s">
        <v>5162</v>
      </c>
      <c r="C1313" s="23" t="str">
        <f t="shared" si="1"/>
        <v>katerin Vasquez</v>
      </c>
      <c r="D1313" s="28" t="s">
        <v>13398</v>
      </c>
      <c r="E1313" s="28" t="s">
        <v>7764</v>
      </c>
      <c r="F1313" s="23">
        <f t="array" ref="F1313">IFERROR(
    INDEX('Hub Interns 226'!A:A, MATCH(C1313, 'Hub Interns 226'!B:B, 0)),"")</f>
        <v>730</v>
      </c>
      <c r="G1313" s="23">
        <f t="array" ref="G1313">IFERROR(
    INDEX('Hub Users 226'!A:A, MATCH(C1313, 'Hub Users 226'!B:B, 0)),"")</f>
        <v>1163</v>
      </c>
      <c r="H1313" s="28">
        <v>928.0</v>
      </c>
      <c r="I1313" s="28" t="s">
        <v>407</v>
      </c>
      <c r="J1313" s="28"/>
      <c r="K1313" s="28"/>
      <c r="L1313" s="28" t="s">
        <v>5196</v>
      </c>
      <c r="M1313" s="56" t="s">
        <v>10298</v>
      </c>
      <c r="N1313" s="57">
        <v>44603.478472222225</v>
      </c>
      <c r="O1313" s="58">
        <v>38528.0</v>
      </c>
      <c r="P1313" s="28">
        <f t="shared" si="38"/>
        <v>20</v>
      </c>
      <c r="Q1313" s="28" t="s">
        <v>240</v>
      </c>
      <c r="R1313" s="28" t="s">
        <v>13399</v>
      </c>
      <c r="S1313" s="28">
        <v>14.0</v>
      </c>
      <c r="T1313" s="28">
        <v>32.0</v>
      </c>
      <c r="U1313" s="28">
        <v>85.0</v>
      </c>
      <c r="V1313" s="28">
        <v>18.0</v>
      </c>
      <c r="W1313" s="28" t="s">
        <v>859</v>
      </c>
      <c r="X1313" s="28" t="s">
        <v>272</v>
      </c>
      <c r="Y1313" s="28" t="s">
        <v>10301</v>
      </c>
      <c r="Z1313" s="28" t="s">
        <v>5208</v>
      </c>
      <c r="AA1313" s="28" t="s">
        <v>2141</v>
      </c>
      <c r="AB1313" s="28">
        <v>8.0</v>
      </c>
      <c r="AC1313" s="28" t="s">
        <v>24</v>
      </c>
      <c r="AD1313" s="23"/>
      <c r="AE1313" s="28" t="s">
        <v>10</v>
      </c>
      <c r="AF1313" s="23"/>
      <c r="AG1313" s="23"/>
      <c r="AH1313" s="23" t="str">
        <f>IFERROR(__xludf.DUMMYFUNCTION("IF(
ISNUMBER(MATCH(
C1313,
IMPORTRANGE(""https://docs.google.com/spreadsheets/d/1yTh1ELC33JHYOeEdgIiEclxPRyh0zOKtlawDltfUay8"",""'Interns'!A:A""),
0
)),
""Outreach Conducted"",
"""")"),"")</f>
        <v/>
      </c>
      <c r="AI1313" s="23"/>
      <c r="AJ1313" s="23"/>
      <c r="AK1313" s="23" t="str">
        <f>IFERROR(__xludf.DUMMYFUNCTION("XLOOKUP(C1313, 
   IMPORTRANGE(""1RdEdgHYrZ33LJ7RUHj_h-qkAFL92bcVjtIdVa-UlsCw"", ""Interns!D:D""), 
   IMPORTRANGE(""1RdEdgHYrZ33LJ7RUHj_h-qkAFL92bcVjtIdVa-UlsCw"", ""Interns!M:M""), 
   ""Not Found"")"),"Contacted")</f>
        <v>Contacted</v>
      </c>
      <c r="AL1313" s="23" t="str">
        <f>IFERROR(__xludf.DUMMYFUNCTION("XLOOKUP(C1313, 
   IMPORTRANGE(""1RdEdgHYrZ33LJ7RUHj_h-qkAFL92bcVjtIdVa-UlsCw"", ""Interns!D:D""), 
   IMPORTRANGE(""1RdEdgHYrZ33LJ7RUHj_h-qkAFL92bcVjtIdVa-UlsCw"", ""Interns!N:N""), 
   ""Not Found"")"),"#Cheers4Careers")</f>
        <v>#Cheers4Careers</v>
      </c>
      <c r="AM1313" s="23" t="str">
        <f>IFERROR(__xludf.DUMMYFUNCTION("XLOOKUP(C1313, 
   IMPORTRANGE(""1RdEdgHYrZ33LJ7RUHj_h-qkAFL92bcVjtIdVa-UlsCw"", ""Interns!D:D""), 
   IMPORTRANGE(""1RdEdgHYrZ33LJ7RUHj_h-qkAFL92bcVjtIdVa-UlsCw"", ""Interns!O:O""), 
   ""Not Found"")"),"Hetal reached out by email 3/27 and text")</f>
        <v>Hetal reached out by email 3/27 and text</v>
      </c>
      <c r="AN1313" s="23"/>
      <c r="AO1313" s="23" t="s">
        <v>13400</v>
      </c>
      <c r="AP1313" s="28" t="s">
        <v>5182</v>
      </c>
      <c r="AQ1313" s="28"/>
      <c r="AR1313" s="23"/>
      <c r="AS1313" s="23"/>
      <c r="AT1313" s="23"/>
      <c r="AU1313" s="23"/>
      <c r="AV1313" s="23"/>
    </row>
    <row r="1314">
      <c r="A1314" s="28" t="s">
        <v>5161</v>
      </c>
      <c r="B1314" s="28" t="s">
        <v>5162</v>
      </c>
      <c r="C1314" s="23" t="str">
        <f t="shared" si="1"/>
        <v>Norell Pauling</v>
      </c>
      <c r="D1314" s="28" t="s">
        <v>13401</v>
      </c>
      <c r="E1314" s="28" t="s">
        <v>13402</v>
      </c>
      <c r="F1314" s="23">
        <f t="array" ref="F1314">IFERROR(
    INDEX('Hub Interns 226'!A:A, MATCH(C1314, 'Hub Interns 226'!B:B, 0)),"")</f>
        <v>946</v>
      </c>
      <c r="G1314" s="23">
        <f t="array" ref="G1314">IFERROR(
    INDEX('Hub Users 226'!A:A, MATCH(C1314, 'Hub Users 226'!B:B, 0)),"")</f>
        <v>1379</v>
      </c>
      <c r="H1314" s="28">
        <v>419.0</v>
      </c>
      <c r="I1314" s="28" t="s">
        <v>290</v>
      </c>
      <c r="J1314" s="28"/>
      <c r="K1314" s="28"/>
      <c r="L1314" s="28" t="s">
        <v>5165</v>
      </c>
      <c r="M1314" s="56" t="s">
        <v>13403</v>
      </c>
      <c r="N1314" s="57">
        <v>44313.97638888889</v>
      </c>
      <c r="O1314" s="58">
        <v>38050.0</v>
      </c>
      <c r="P1314" s="28">
        <f t="shared" si="38"/>
        <v>22</v>
      </c>
      <c r="Q1314" s="28" t="s">
        <v>240</v>
      </c>
      <c r="R1314" s="28" t="s">
        <v>13404</v>
      </c>
      <c r="S1314" s="28">
        <v>5.0</v>
      </c>
      <c r="T1314" s="28">
        <v>14.0</v>
      </c>
      <c r="U1314" s="28">
        <v>33.0</v>
      </c>
      <c r="V1314" s="28">
        <v>27.0</v>
      </c>
      <c r="W1314" s="28" t="s">
        <v>1173</v>
      </c>
      <c r="X1314" s="28" t="s">
        <v>272</v>
      </c>
      <c r="Y1314" s="28">
        <v>9.296025715E9</v>
      </c>
      <c r="Z1314" s="28" t="s">
        <v>5332</v>
      </c>
      <c r="AA1314" s="28" t="s">
        <v>421</v>
      </c>
      <c r="AB1314" s="28">
        <v>31.0</v>
      </c>
      <c r="AC1314" s="28" t="s">
        <v>24</v>
      </c>
      <c r="AD1314" s="23"/>
      <c r="AE1314" s="28" t="s">
        <v>8</v>
      </c>
      <c r="AF1314" s="23"/>
      <c r="AG1314" s="23"/>
      <c r="AH1314" s="23" t="str">
        <f>IFERROR(__xludf.DUMMYFUNCTION("IF(
ISNUMBER(MATCH(
C1314,
IMPORTRANGE(""https://docs.google.com/spreadsheets/d/1yTh1ELC33JHYOeEdgIiEclxPRyh0zOKtlawDltfUay8"",""'Interns'!A:A""),
0
)),
""Outreach Conducted"",
"""")"),"")</f>
        <v/>
      </c>
      <c r="AI1314" s="23"/>
      <c r="AJ1314" s="23"/>
      <c r="AK1314" s="23" t="str">
        <f>IFERROR(__xludf.DUMMYFUNCTION("XLOOKUP(C1314, 
   IMPORTRANGE(""1RdEdgHYrZ33LJ7RUHj_h-qkAFL92bcVjtIdVa-UlsCw"", ""Interns!D:D""), 
   IMPORTRANGE(""1RdEdgHYrZ33LJ7RUHj_h-qkAFL92bcVjtIdVa-UlsCw"", ""Interns!M:M""), 
   ""Not Found"")"),"Contacted")</f>
        <v>Contacted</v>
      </c>
      <c r="AL1314" s="23" t="str">
        <f>IFERROR(__xludf.DUMMYFUNCTION("XLOOKUP(C1314, 
   IMPORTRANGE(""1RdEdgHYrZ33LJ7RUHj_h-qkAFL92bcVjtIdVa-UlsCw"", ""Interns!D:D""), 
   IMPORTRANGE(""1RdEdgHYrZ33LJ7RUHj_h-qkAFL92bcVjtIdVa-UlsCw"", ""Interns!N:N""), 
   ""Not Found"")"),"#Cheers4Careers")</f>
        <v>#Cheers4Careers</v>
      </c>
      <c r="AM1314" s="23" t="str">
        <f>IFERROR(__xludf.DUMMYFUNCTION("XLOOKUP(C1314, 
   IMPORTRANGE(""1RdEdgHYrZ33LJ7RUHj_h-qkAFL92bcVjtIdVa-UlsCw"", ""Interns!D:D""), 
   IMPORTRANGE(""1RdEdgHYrZ33LJ7RUHj_h-qkAFL92bcVjtIdVa-UlsCw"", ""Interns!O:O""), 
   ""Not Found"")"),"Hetal reached out March 27 for March #Cheers4 Careers ")</f>
        <v>Hetal reached out March 27 for March #Cheers4 Careers </v>
      </c>
      <c r="AN1314" s="23"/>
      <c r="AO1314" s="23" t="s">
        <v>13405</v>
      </c>
      <c r="AP1314" s="28" t="s">
        <v>5182</v>
      </c>
      <c r="AQ1314" s="28"/>
      <c r="AR1314" s="23"/>
      <c r="AS1314" s="28" t="s">
        <v>13406</v>
      </c>
      <c r="AT1314" s="23"/>
      <c r="AU1314" s="23"/>
      <c r="AV1314" s="23"/>
    </row>
    <row r="1315">
      <c r="A1315" s="28" t="s">
        <v>5161</v>
      </c>
      <c r="B1315" s="28" t="s">
        <v>5162</v>
      </c>
      <c r="C1315" s="23" t="str">
        <f t="shared" si="1"/>
        <v>Leslie Prado</v>
      </c>
      <c r="D1315" s="28" t="s">
        <v>13407</v>
      </c>
      <c r="E1315" s="28" t="s">
        <v>5355</v>
      </c>
      <c r="F1315" s="23">
        <f t="array" ref="F1315">IFERROR(
    INDEX('Hub Interns 226'!A:A, MATCH(C1315, 'Hub Interns 226'!B:B, 0)),"")</f>
        <v>774</v>
      </c>
      <c r="G1315" s="23">
        <f t="array" ref="G1315">IFERROR(
    INDEX('Hub Users 226'!A:A, MATCH(C1315, 'Hub Users 226'!B:B, 0)),"")</f>
        <v>1207</v>
      </c>
      <c r="H1315" s="28">
        <v>996.0</v>
      </c>
      <c r="I1315" s="28" t="s">
        <v>538</v>
      </c>
      <c r="J1315" s="28"/>
      <c r="K1315" s="28"/>
      <c r="L1315" s="28" t="s">
        <v>5196</v>
      </c>
      <c r="M1315" s="56" t="s">
        <v>13408</v>
      </c>
      <c r="N1315" s="57">
        <v>44646.51666666667</v>
      </c>
      <c r="O1315" s="58">
        <v>40050.0</v>
      </c>
      <c r="P1315" s="28">
        <f t="shared" si="38"/>
        <v>16</v>
      </c>
      <c r="Q1315" s="28" t="s">
        <v>240</v>
      </c>
      <c r="R1315" s="28" t="s">
        <v>13409</v>
      </c>
      <c r="S1315" s="28">
        <v>5.0</v>
      </c>
      <c r="T1315" s="28">
        <v>14.0</v>
      </c>
      <c r="U1315" s="28">
        <v>32.0</v>
      </c>
      <c r="V1315" s="28">
        <v>28.0</v>
      </c>
      <c r="W1315" s="28" t="s">
        <v>1173</v>
      </c>
      <c r="X1315" s="28" t="s">
        <v>272</v>
      </c>
      <c r="Y1315" s="28" t="s">
        <v>13410</v>
      </c>
      <c r="Z1315" s="28" t="s">
        <v>9652</v>
      </c>
      <c r="AA1315" s="28" t="s">
        <v>9653</v>
      </c>
      <c r="AB1315" s="28">
        <v>30.0</v>
      </c>
      <c r="AC1315" s="28" t="s">
        <v>24</v>
      </c>
      <c r="AD1315" s="23"/>
      <c r="AE1315" s="28" t="s">
        <v>10</v>
      </c>
      <c r="AF1315" s="23"/>
      <c r="AG1315" s="23"/>
      <c r="AH1315" s="23" t="str">
        <f>IFERROR(__xludf.DUMMYFUNCTION("IF(
ISNUMBER(MATCH(
C1315,
IMPORTRANGE(""https://docs.google.com/spreadsheets/d/1yTh1ELC33JHYOeEdgIiEclxPRyh0zOKtlawDltfUay8"",""'Interns'!A:A""),
0
)),
""Outreach Conducted"",
"""")"),"")</f>
        <v/>
      </c>
      <c r="AI1315" s="23"/>
      <c r="AJ1315" s="23"/>
      <c r="AK1315" s="23" t="str">
        <f>IFERROR(__xludf.DUMMYFUNCTION("XLOOKUP(C1315, 
   IMPORTRANGE(""1RdEdgHYrZ33LJ7RUHj_h-qkAFL92bcVjtIdVa-UlsCw"", ""Interns!D:D""), 
   IMPORTRANGE(""1RdEdgHYrZ33LJ7RUHj_h-qkAFL92bcVjtIdVa-UlsCw"", ""Interns!M:M""), 
   ""Not Found"")"),"Contacted")</f>
        <v>Contacted</v>
      </c>
      <c r="AL1315" s="23" t="str">
        <f>IFERROR(__xludf.DUMMYFUNCTION("XLOOKUP(C1315, 
   IMPORTRANGE(""1RdEdgHYrZ33LJ7RUHj_h-qkAFL92bcVjtIdVa-UlsCw"", ""Interns!D:D""), 
   IMPORTRANGE(""1RdEdgHYrZ33LJ7RUHj_h-qkAFL92bcVjtIdVa-UlsCw"", ""Interns!N:N""), 
   ""Not Found"")"),"#Cheers4Careers")</f>
        <v>#Cheers4Careers</v>
      </c>
      <c r="AM1315" s="23" t="str">
        <f>IFERROR(__xludf.DUMMYFUNCTION("XLOOKUP(C1315, 
   IMPORTRANGE(""1RdEdgHYrZ33LJ7RUHj_h-qkAFL92bcVjtIdVa-UlsCw"", ""Interns!D:D""), 
   IMPORTRANGE(""1RdEdgHYrZ33LJ7RUHj_h-qkAFL92bcVjtIdVa-UlsCw"", ""Interns!O:O""), 
   ""Not Found"")"),"MENNA: Reached out by email 3/26 and by text 3/27  for Cheers 4 Careers Reached out again 3/28 but no response …. MENNA REACHED OUT BY TEXT FOR THE APRIL 18")</f>
        <v>MENNA: Reached out by email 3/26 and by text 3/27  for Cheers 4 Careers Reached out again 3/28 but no response …. MENNA REACHED OUT BY TEXT FOR THE APRIL 18</v>
      </c>
      <c r="AN1315" s="23"/>
      <c r="AO1315" s="23" t="s">
        <v>13411</v>
      </c>
      <c r="AP1315" s="28" t="s">
        <v>5182</v>
      </c>
      <c r="AQ1315" s="28"/>
      <c r="AR1315" s="23"/>
      <c r="AS1315" s="23"/>
      <c r="AT1315" s="23"/>
      <c r="AU1315" s="23"/>
      <c r="AV1315" s="23"/>
    </row>
    <row r="1316">
      <c r="A1316" s="28" t="s">
        <v>5161</v>
      </c>
      <c r="B1316" s="28" t="s">
        <v>5162</v>
      </c>
      <c r="C1316" s="23" t="str">
        <f t="shared" si="1"/>
        <v>Isaiah Callender</v>
      </c>
      <c r="D1316" s="28" t="s">
        <v>13412</v>
      </c>
      <c r="E1316" s="28" t="s">
        <v>5707</v>
      </c>
      <c r="F1316" s="23">
        <f t="array" ref="F1316">IFERROR(
    INDEX('Hub Interns 226'!A:A, MATCH(C1316, 'Hub Interns 226'!B:B, 0)),"")</f>
        <v>554</v>
      </c>
      <c r="G1316" s="23">
        <f t="array" ref="G1316">IFERROR(
    INDEX('Hub Users 226'!A:A, MATCH(C1316, 'Hub Users 226'!B:B, 0)),"")</f>
        <v>987</v>
      </c>
      <c r="H1316" s="28">
        <v>583.0</v>
      </c>
      <c r="I1316" s="28" t="s">
        <v>407</v>
      </c>
      <c r="J1316" s="28"/>
      <c r="K1316" s="28"/>
      <c r="L1316" s="28" t="s">
        <v>5165</v>
      </c>
      <c r="M1316" s="56" t="s">
        <v>13413</v>
      </c>
      <c r="N1316" s="59">
        <v>44481.60625</v>
      </c>
      <c r="O1316" s="58">
        <v>38686.0</v>
      </c>
      <c r="P1316" s="28">
        <f t="shared" si="38"/>
        <v>20</v>
      </c>
      <c r="Q1316" s="28" t="s">
        <v>240</v>
      </c>
      <c r="R1316" s="28" t="s">
        <v>13414</v>
      </c>
      <c r="S1316" s="28"/>
      <c r="T1316" s="28"/>
      <c r="U1316" s="28"/>
      <c r="V1316" s="28"/>
      <c r="W1316" s="28" t="s">
        <v>1173</v>
      </c>
      <c r="X1316" s="28" t="s">
        <v>272</v>
      </c>
      <c r="Y1316" s="28" t="s">
        <v>13415</v>
      </c>
      <c r="Z1316" s="28" t="s">
        <v>5332</v>
      </c>
      <c r="AA1316" s="28" t="s">
        <v>421</v>
      </c>
      <c r="AB1316" s="28">
        <v>31.0</v>
      </c>
      <c r="AC1316" s="28" t="s">
        <v>25</v>
      </c>
      <c r="AD1316" s="23"/>
      <c r="AE1316" s="28" t="s">
        <v>10</v>
      </c>
      <c r="AF1316" s="23" t="str">
        <f>IFERROR(__xludf.DUMMYFUNCTION("TEXTJOIN("", "", TRUE,
  FILTER(Champions!C:C,
    ISNUMBER(SEARCH(C1316, Champions!W:W))
  )
)"),"Natsumi Komatani, Niki Pham")</f>
        <v>Natsumi Komatani, Niki Pham</v>
      </c>
      <c r="AG1316" s="23"/>
      <c r="AH1316" s="23" t="str">
        <f>IFERROR(__xludf.DUMMYFUNCTION("IF(
ISNUMBER(MATCH(
C1316,
IMPORTRANGE(""https://docs.google.com/spreadsheets/d/1yTh1ELC33JHYOeEdgIiEclxPRyh0zOKtlawDltfUay8"",""'Interns'!A:A""),
0
)),
""Outreach Conducted"",
"""")"),"")</f>
        <v/>
      </c>
      <c r="AI1316" s="23"/>
      <c r="AJ1316" s="23"/>
      <c r="AK1316" s="23" t="str">
        <f>IFERROR(__xludf.DUMMYFUNCTION("XLOOKUP(C1316, 
   IMPORTRANGE(""1RdEdgHYrZ33LJ7RUHj_h-qkAFL92bcVjtIdVa-UlsCw"", ""Interns!D:D""), 
   IMPORTRANGE(""1RdEdgHYrZ33LJ7RUHj_h-qkAFL92bcVjtIdVa-UlsCw"", ""Interns!M:M""), 
   ""Not Found"")"),"Contacted")</f>
        <v>Contacted</v>
      </c>
      <c r="AL1316" s="23" t="str">
        <f>IFERROR(__xludf.DUMMYFUNCTION("XLOOKUP(C1316, 
   IMPORTRANGE(""1RdEdgHYrZ33LJ7RUHj_h-qkAFL92bcVjtIdVa-UlsCw"", ""Interns!D:D""), 
   IMPORTRANGE(""1RdEdgHYrZ33LJ7RUHj_h-qkAFL92bcVjtIdVa-UlsCw"", ""Interns!N:N""), 
   ""Not Found"")"),"#Cheers4Careers")</f>
        <v>#Cheers4Careers</v>
      </c>
      <c r="AM1316" s="23" t="str">
        <f>IFERROR(__xludf.DUMMYFUNCTION("XLOOKUP(C1316, 
   IMPORTRANGE(""1RdEdgHYrZ33LJ7RUHj_h-qkAFL92bcVjtIdVa-UlsCw"", ""Interns!D:D""), 
   IMPORTRANGE(""1RdEdgHYrZ33LJ7RUHj_h-qkAFL92bcVjtIdVa-UlsCw"", ""Interns!O:O""), 
   ""Not Found"")"),"Hetal reached out March 27 for March #Cheers4 Careers and texted")</f>
        <v>Hetal reached out March 27 for March #Cheers4 Careers and texted</v>
      </c>
      <c r="AN1316" s="23"/>
      <c r="AO1316" s="23" t="s">
        <v>5711</v>
      </c>
      <c r="AP1316" s="28" t="s">
        <v>5182</v>
      </c>
      <c r="AQ1316" s="28" t="s">
        <v>5712</v>
      </c>
      <c r="AR1316" s="23" t="s">
        <v>5713</v>
      </c>
      <c r="AS1316" s="28" t="s">
        <v>13416</v>
      </c>
      <c r="AT1316" s="23"/>
      <c r="AU1316" s="23"/>
      <c r="AV1316" s="23"/>
    </row>
    <row r="1317">
      <c r="A1317" s="28" t="s">
        <v>5161</v>
      </c>
      <c r="B1317" s="28" t="s">
        <v>31</v>
      </c>
      <c r="C1317" s="23" t="str">
        <f t="shared" si="1"/>
        <v>Leyli Hernandez</v>
      </c>
      <c r="D1317" s="28" t="s">
        <v>13417</v>
      </c>
      <c r="E1317" s="28" t="s">
        <v>2168</v>
      </c>
      <c r="F1317" s="23">
        <f t="array" ref="F1317">IFERROR(
    INDEX('Hub Interns 226'!A:A, MATCH(C1317, 'Hub Interns 226'!B:B, 0)),"")</f>
        <v>778</v>
      </c>
      <c r="G1317" s="23">
        <f t="array" ref="G1317">IFERROR(
    INDEX('Hub Users 226'!A:A, MATCH(C1317, 'Hub Users 226'!B:B, 0)),"")</f>
        <v>2017</v>
      </c>
      <c r="H1317" s="28">
        <v>1325.0</v>
      </c>
      <c r="I1317" s="28" t="s">
        <v>239</v>
      </c>
      <c r="J1317" s="28"/>
      <c r="K1317" s="28"/>
      <c r="L1317" s="28" t="s">
        <v>5196</v>
      </c>
      <c r="M1317" s="56" t="s">
        <v>13418</v>
      </c>
      <c r="N1317" s="59">
        <v>44851.70208333333</v>
      </c>
      <c r="O1317" s="58">
        <v>39957.0</v>
      </c>
      <c r="P1317" s="28">
        <f t="shared" si="38"/>
        <v>16</v>
      </c>
      <c r="Q1317" s="28" t="s">
        <v>240</v>
      </c>
      <c r="R1317" s="28" t="s">
        <v>13419</v>
      </c>
      <c r="S1317" s="28"/>
      <c r="T1317" s="28"/>
      <c r="U1317" s="28"/>
      <c r="V1317" s="28"/>
      <c r="W1317" s="28" t="s">
        <v>1173</v>
      </c>
      <c r="X1317" s="28" t="s">
        <v>272</v>
      </c>
      <c r="Y1317" s="28" t="s">
        <v>13420</v>
      </c>
      <c r="Z1317" s="28" t="s">
        <v>5403</v>
      </c>
      <c r="AA1317" s="28" t="s">
        <v>5404</v>
      </c>
      <c r="AB1317" s="28">
        <v>21.0</v>
      </c>
      <c r="AC1317" s="28" t="s">
        <v>23</v>
      </c>
      <c r="AD1317" s="28" t="s">
        <v>101</v>
      </c>
      <c r="AE1317" s="28" t="s">
        <v>15</v>
      </c>
      <c r="AF1317" s="23"/>
      <c r="AG1317" s="26" t="s">
        <v>12990</v>
      </c>
      <c r="AH1317" s="23" t="str">
        <f>IFERROR(__xludf.DUMMYFUNCTION("IF(
ISNUMBER(MATCH(
C1317,
IMPORTRANGE(""https://docs.google.com/spreadsheets/d/1yTh1ELC33JHYOeEdgIiEclxPRyh0zOKtlawDltfUay8"",""'Interns'!A:A""),
0
)),
""Outreach Conducted"",
"""")"),"Outreach Conducted")</f>
        <v>Outreach Conducted</v>
      </c>
      <c r="AI1317" s="23"/>
      <c r="AJ1317" s="23"/>
      <c r="AK1317" s="23" t="str">
        <f>IFERROR(__xludf.DUMMYFUNCTION("XLOOKUP(C1317, 
   IMPORTRANGE(""1RdEdgHYrZ33LJ7RUHj_h-qkAFL92bcVjtIdVa-UlsCw"", ""Interns!D:D""), 
   IMPORTRANGE(""1RdEdgHYrZ33LJ7RUHj_h-qkAFL92bcVjtIdVa-UlsCw"", ""Interns!M:M""), 
   ""Not Found"")"),"Contacted")</f>
        <v>Contacted</v>
      </c>
      <c r="AL1317" s="23" t="str">
        <f>IFERROR(__xludf.DUMMYFUNCTION("XLOOKUP(C1317, 
   IMPORTRANGE(""1RdEdgHYrZ33LJ7RUHj_h-qkAFL92bcVjtIdVa-UlsCw"", ""Interns!D:D""), 
   IMPORTRANGE(""1RdEdgHYrZ33LJ7RUHj_h-qkAFL92bcVjtIdVa-UlsCw"", ""Interns!N:N""), 
   ""Not Found"")"),"#Cheers4Careers")</f>
        <v>#Cheers4Careers</v>
      </c>
      <c r="AM1317" s="23" t="str">
        <f>IFERROR(__xludf.DUMMYFUNCTION("XLOOKUP(C1317,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317" s="23"/>
      <c r="AO1317" s="23" t="s">
        <v>13421</v>
      </c>
      <c r="AP1317" s="28" t="s">
        <v>5182</v>
      </c>
      <c r="AQ1317" s="28"/>
      <c r="AR1317" s="23"/>
      <c r="AS1317" s="23"/>
      <c r="AT1317" s="23"/>
      <c r="AU1317" s="23"/>
      <c r="AV1317" s="23"/>
    </row>
    <row r="1318">
      <c r="A1318" s="28" t="s">
        <v>5161</v>
      </c>
      <c r="B1318" s="28" t="s">
        <v>31</v>
      </c>
      <c r="C1318" s="23" t="str">
        <f t="shared" si="1"/>
        <v>Leyli. Hernandez</v>
      </c>
      <c r="D1318" s="28" t="s">
        <v>13422</v>
      </c>
      <c r="E1318" s="28" t="s">
        <v>2168</v>
      </c>
      <c r="F1318" s="23">
        <f t="array" ref="F1318">IFERROR(
    INDEX('Hub Interns 226'!A:A, MATCH(C1318, 'Hub Interns 226'!B:B, 0)),"")</f>
        <v>779</v>
      </c>
      <c r="G1318" s="23">
        <f t="array" ref="G1318">IFERROR(
    INDEX('Hub Users 226'!A:A, MATCH(C1318, 'Hub Users 226'!B:B, 0)),"")</f>
        <v>1212</v>
      </c>
      <c r="H1318" s="28">
        <v>1511.0</v>
      </c>
      <c r="I1318" s="28" t="s">
        <v>239</v>
      </c>
      <c r="J1318" s="28"/>
      <c r="K1318" s="28"/>
      <c r="L1318" s="28" t="s">
        <v>5196</v>
      </c>
      <c r="M1318" s="56" t="s">
        <v>13418</v>
      </c>
      <c r="N1318" s="57">
        <v>44953.36736111111</v>
      </c>
      <c r="O1318" s="58">
        <v>39957.0</v>
      </c>
      <c r="P1318" s="28">
        <f t="shared" si="38"/>
        <v>16</v>
      </c>
      <c r="Q1318" s="28" t="s">
        <v>13423</v>
      </c>
      <c r="R1318" s="28" t="s">
        <v>13424</v>
      </c>
      <c r="S1318" s="28"/>
      <c r="T1318" s="28"/>
      <c r="U1318" s="28"/>
      <c r="V1318" s="28"/>
      <c r="W1318" s="28" t="s">
        <v>1173</v>
      </c>
      <c r="X1318" s="28" t="s">
        <v>272</v>
      </c>
      <c r="Y1318" s="28" t="s">
        <v>13425</v>
      </c>
      <c r="Z1318" s="23"/>
      <c r="AA1318" s="28" t="s">
        <v>5639</v>
      </c>
      <c r="AB1318" s="28">
        <v>21.0</v>
      </c>
      <c r="AC1318" s="28" t="s">
        <v>27</v>
      </c>
      <c r="AD1318" s="28" t="s">
        <v>101</v>
      </c>
      <c r="AE1318" s="28" t="s">
        <v>18</v>
      </c>
      <c r="AF1318" s="23"/>
      <c r="AG1318" s="23"/>
      <c r="AH1318" s="23" t="str">
        <f>IFERROR(__xludf.DUMMYFUNCTION("IF(
ISNUMBER(MATCH(
C1318,
IMPORTRANGE(""https://docs.google.com/spreadsheets/d/1yTh1ELC33JHYOeEdgIiEclxPRyh0zOKtlawDltfUay8"",""'Interns'!A:A""),
0
)),
""Outreach Conducted"",
"""")"),"")</f>
        <v/>
      </c>
      <c r="AI1318" s="23"/>
      <c r="AJ1318" s="23"/>
      <c r="AK1318" s="23" t="str">
        <f>IFERROR(__xludf.DUMMYFUNCTION("XLOOKUP(C1318, 
   IMPORTRANGE(""1RdEdgHYrZ33LJ7RUHj_h-qkAFL92bcVjtIdVa-UlsCw"", ""Interns!D:D""), 
   IMPORTRANGE(""1RdEdgHYrZ33LJ7RUHj_h-qkAFL92bcVjtIdVa-UlsCw"", ""Interns!M:M""), 
   ""Not Found"")"),"")</f>
        <v/>
      </c>
      <c r="AL1318" s="23" t="str">
        <f>IFERROR(__xludf.DUMMYFUNCTION("XLOOKUP(C1318, 
   IMPORTRANGE(""1RdEdgHYrZ33LJ7RUHj_h-qkAFL92bcVjtIdVa-UlsCw"", ""Interns!D:D""), 
   IMPORTRANGE(""1RdEdgHYrZ33LJ7RUHj_h-qkAFL92bcVjtIdVa-UlsCw"", ""Interns!N:N""), 
   ""Not Found"")"),"")</f>
        <v/>
      </c>
      <c r="AM1318" s="23" t="str">
        <f>IFERROR(__xludf.DUMMYFUNCTION("XLOOKUP(C1318, 
   IMPORTRANGE(""1RdEdgHYrZ33LJ7RUHj_h-qkAFL92bcVjtIdVa-UlsCw"", ""Interns!D:D""), 
   IMPORTRANGE(""1RdEdgHYrZ33LJ7RUHj_h-qkAFL92bcVjtIdVa-UlsCw"", ""Interns!O:O""), 
   ""Not Found"")"),"")</f>
        <v/>
      </c>
      <c r="AN1318" s="23"/>
      <c r="AO1318" s="23" t="s">
        <v>13421</v>
      </c>
      <c r="AP1318" s="28" t="s">
        <v>5182</v>
      </c>
      <c r="AQ1318" s="28"/>
      <c r="AR1318" s="23"/>
      <c r="AS1318" s="23"/>
      <c r="AT1318" s="23"/>
      <c r="AU1318" s="23"/>
      <c r="AV1318" s="23"/>
    </row>
    <row r="1319">
      <c r="A1319" s="28" t="s">
        <v>5161</v>
      </c>
      <c r="B1319" s="28" t="s">
        <v>5162</v>
      </c>
      <c r="C1319" s="23" t="str">
        <f t="shared" si="1"/>
        <v>Shirlise Young</v>
      </c>
      <c r="D1319" s="22" t="s">
        <v>13426</v>
      </c>
      <c r="E1319" s="22" t="s">
        <v>3079</v>
      </c>
      <c r="F1319" s="23"/>
      <c r="G1319" s="23"/>
      <c r="H1319" s="22">
        <v>1933.0</v>
      </c>
      <c r="I1319" s="28"/>
      <c r="J1319" s="28"/>
      <c r="K1319" s="28"/>
      <c r="L1319" s="28" t="s">
        <v>5196</v>
      </c>
      <c r="M1319" s="29" t="s">
        <v>13427</v>
      </c>
      <c r="N1319" s="61">
        <v>45771.44097222222</v>
      </c>
      <c r="O1319" s="25">
        <v>40206.0</v>
      </c>
      <c r="P1319" s="28">
        <f t="shared" si="38"/>
        <v>16</v>
      </c>
      <c r="Q1319" s="62" t="s">
        <v>13428</v>
      </c>
      <c r="R1319" s="22" t="s">
        <v>13429</v>
      </c>
      <c r="S1319" s="28">
        <v>5.0</v>
      </c>
      <c r="T1319" s="28">
        <v>14.0</v>
      </c>
      <c r="U1319" s="28">
        <v>33.0</v>
      </c>
      <c r="V1319" s="28">
        <v>27.0</v>
      </c>
      <c r="W1319" s="23"/>
      <c r="X1319" s="23"/>
      <c r="Y1319" s="22" t="s">
        <v>13430</v>
      </c>
      <c r="Z1319" s="22" t="s">
        <v>7490</v>
      </c>
      <c r="AA1319" s="28" t="s">
        <v>5659</v>
      </c>
      <c r="AB1319" s="28">
        <v>23.0</v>
      </c>
      <c r="AC1319" s="28" t="s">
        <v>23</v>
      </c>
      <c r="AD1319" s="23"/>
      <c r="AE1319" s="28" t="s">
        <v>19</v>
      </c>
      <c r="AF1319" s="23"/>
      <c r="AG1319" s="23"/>
      <c r="AH1319" s="23" t="str">
        <f>IFERROR(__xludf.DUMMYFUNCTION("IF(
ISNUMBER(MATCH(
C1319,
IMPORTRANGE(""https://docs.google.com/spreadsheets/d/1yTh1ELC33JHYOeEdgIiEclxPRyh0zOKtlawDltfUay8"",""'Interns'!A:A""),
0
)),
""Outreach Conducted"",
"""")"),"")</f>
        <v/>
      </c>
      <c r="AI1319" s="23"/>
      <c r="AJ1319" s="23"/>
      <c r="AK1319" s="23"/>
      <c r="AL1319" s="23" t="str">
        <f>IFERROR(__xludf.DUMMYFUNCTION("XLOOKUP(C1319, 
   IMPORTRANGE(""1RdEdgHYrZ33LJ7RUHj_h-qkAFL92bcVjtIdVa-UlsCw"", ""Interns!D:D""), 
   IMPORTRANGE(""1RdEdgHYrZ33LJ7RUHj_h-qkAFL92bcVjtIdVa-UlsCw"", ""Interns!N:N""), 
   ""Not Found"")"),"#Cheers4Careers")</f>
        <v>#Cheers4Careers</v>
      </c>
      <c r="AM1319" s="23" t="str">
        <f>IFERROR(__xludf.DUMMYFUNCTION("XLOOKUP(C1319, 
   IMPORTRANGE(""1RdEdgHYrZ33LJ7RUHj_h-qkAFL92bcVjtIdVa-UlsCw"", ""Interns!D:D""), 
   IMPORTRANGE(""1RdEdgHYrZ33LJ7RUHj_h-qkAFL92bcVjtIdVa-UlsCw"", ""Interns!O:O""), 
   ""Not Found"")"),"Hetal reached out March 27 for March #Cheers4 Careers ")</f>
        <v>Hetal reached out March 27 for March #Cheers4 Careers </v>
      </c>
      <c r="AN1319" s="23"/>
      <c r="AO1319" s="23" t="s">
        <v>13431</v>
      </c>
      <c r="AP1319" s="28" t="s">
        <v>5182</v>
      </c>
      <c r="AQ1319" s="28" t="s">
        <v>13432</v>
      </c>
      <c r="AR1319" s="23" t="s">
        <v>13433</v>
      </c>
      <c r="AS1319" s="23"/>
      <c r="AT1319" s="23"/>
      <c r="AU1319" s="23"/>
      <c r="AV1319" s="23"/>
    </row>
    <row r="1320">
      <c r="A1320" s="28" t="s">
        <v>5161</v>
      </c>
      <c r="B1320" s="28" t="s">
        <v>5162</v>
      </c>
      <c r="C1320" s="23" t="str">
        <f t="shared" si="1"/>
        <v>Carolyn Burrow</v>
      </c>
      <c r="D1320" s="22" t="s">
        <v>7006</v>
      </c>
      <c r="E1320" s="22" t="s">
        <v>13434</v>
      </c>
      <c r="F1320" s="23"/>
      <c r="G1320" s="23"/>
      <c r="H1320" s="22">
        <v>1909.0</v>
      </c>
      <c r="I1320" s="28"/>
      <c r="J1320" s="28"/>
      <c r="K1320" s="28"/>
      <c r="L1320" s="28" t="s">
        <v>5196</v>
      </c>
      <c r="M1320" s="29" t="s">
        <v>13435</v>
      </c>
      <c r="N1320" s="61">
        <v>45845.595138888886</v>
      </c>
      <c r="O1320" s="25">
        <v>45845.0</v>
      </c>
      <c r="P1320" s="28">
        <f t="shared" si="38"/>
        <v>0</v>
      </c>
      <c r="Q1320" s="62" t="s">
        <v>240</v>
      </c>
      <c r="R1320" s="22" t="s">
        <v>13436</v>
      </c>
      <c r="S1320" s="28">
        <v>11.0</v>
      </c>
      <c r="T1320" s="28">
        <v>23.0</v>
      </c>
      <c r="U1320" s="28">
        <v>63.0</v>
      </c>
      <c r="V1320" s="28">
        <v>49.0</v>
      </c>
      <c r="W1320" s="23"/>
      <c r="X1320" s="23"/>
      <c r="Y1320" s="22" t="s">
        <v>13437</v>
      </c>
      <c r="Z1320" s="22" t="s">
        <v>5822</v>
      </c>
      <c r="AA1320" s="28" t="s">
        <v>5822</v>
      </c>
      <c r="AB1320" s="28">
        <v>30.0</v>
      </c>
      <c r="AC1320" s="28" t="s">
        <v>27</v>
      </c>
      <c r="AD1320" s="23"/>
      <c r="AE1320" s="28" t="s">
        <v>20</v>
      </c>
      <c r="AF1320" s="23"/>
      <c r="AG1320" s="23"/>
      <c r="AH1320" s="23" t="str">
        <f>IFERROR(__xludf.DUMMYFUNCTION("IF(
ISNUMBER(MATCH(
C1320,
IMPORTRANGE(""https://docs.google.com/spreadsheets/d/1yTh1ELC33JHYOeEdgIiEclxPRyh0zOKtlawDltfUay8"",""'Interns'!A:A""),
0
)),
""Outreach Conducted"",
"""")"),"")</f>
        <v/>
      </c>
      <c r="AI1320" s="23"/>
      <c r="AJ1320" s="23"/>
      <c r="AK1320" s="23"/>
      <c r="AL1320" s="23" t="str">
        <f>IFERROR(__xludf.DUMMYFUNCTION("XLOOKUP(C1320, 
   IMPORTRANGE(""1RdEdgHYrZ33LJ7RUHj_h-qkAFL92bcVjtIdVa-UlsCw"", ""Interns!D:D""), 
   IMPORTRANGE(""1RdEdgHYrZ33LJ7RUHj_h-qkAFL92bcVjtIdVa-UlsCw"", ""Interns!N:N""), 
   ""Not Found"")"),"#Cheers4Careers")</f>
        <v>#Cheers4Careers</v>
      </c>
      <c r="AM1320" s="23" t="str">
        <f>IFERROR(__xludf.DUMMYFUNCTION("XLOOKUP(C1320, 
   IMPORTRANGE(""1RdEdgHYrZ33LJ7RUHj_h-qkAFL92bcVjtIdVa-UlsCw"", ""Interns!D:D""), 
   IMPORTRANGE(""1RdEdgHYrZ33LJ7RUHj_h-qkAFL92bcVjtIdVa-UlsCw"", ""Interns!O:O""), 
   ""Not Found"")"),"Hetal reached out March 27 for March #Cheers4 Careers ")</f>
        <v>Hetal reached out March 27 for March #Cheers4 Careers </v>
      </c>
      <c r="AN1320" s="23"/>
      <c r="AO1320" s="23" t="s">
        <v>13438</v>
      </c>
      <c r="AP1320" s="28" t="s">
        <v>5182</v>
      </c>
      <c r="AQ1320" s="28" t="s">
        <v>13439</v>
      </c>
      <c r="AR1320" s="23" t="s">
        <v>13440</v>
      </c>
      <c r="AS1320" s="23"/>
      <c r="AT1320" s="23"/>
      <c r="AU1320" s="23"/>
      <c r="AV1320" s="23"/>
    </row>
    <row r="1321">
      <c r="A1321" s="28" t="s">
        <v>5202</v>
      </c>
      <c r="B1321" s="28" t="s">
        <v>5162</v>
      </c>
      <c r="C1321" s="23" t="str">
        <f t="shared" si="1"/>
        <v>Alisson Galay</v>
      </c>
      <c r="D1321" s="28" t="s">
        <v>13441</v>
      </c>
      <c r="E1321" s="28" t="s">
        <v>6981</v>
      </c>
      <c r="F1321" s="23">
        <f t="array" ref="F1321">IFERROR(
    INDEX('Hub Interns 226'!A:A, MATCH(C1321, 'Hub Interns 226'!B:B, 0)),"")</f>
        <v>194</v>
      </c>
      <c r="G1321" s="23">
        <f t="array" ref="G1321">IFERROR(
    INDEX('Hub Users 226'!A:A, MATCH(C1321, 'Hub Users 226'!B:B, 0)),"")</f>
        <v>627</v>
      </c>
      <c r="H1321" s="28">
        <v>1211.0</v>
      </c>
      <c r="I1321" s="28" t="s">
        <v>785</v>
      </c>
      <c r="J1321" s="28" t="s">
        <v>5336</v>
      </c>
      <c r="K1321" s="28" t="s">
        <v>5177</v>
      </c>
      <c r="L1321" s="28" t="s">
        <v>5196</v>
      </c>
      <c r="M1321" s="56" t="s">
        <v>6982</v>
      </c>
      <c r="N1321" s="57">
        <v>44835.79722222222</v>
      </c>
      <c r="O1321" s="58">
        <v>38348.0</v>
      </c>
      <c r="P1321" s="28">
        <f t="shared" si="38"/>
        <v>21</v>
      </c>
      <c r="Q1321" s="28" t="s">
        <v>13442</v>
      </c>
      <c r="R1321" s="28" t="s">
        <v>13443</v>
      </c>
      <c r="S1321" s="28">
        <v>15.0</v>
      </c>
      <c r="T1321" s="28">
        <v>33.0</v>
      </c>
      <c r="U1321" s="28">
        <v>80.0</v>
      </c>
      <c r="V1321" s="28">
        <v>11.0</v>
      </c>
      <c r="W1321" s="28" t="s">
        <v>859</v>
      </c>
      <c r="X1321" s="28" t="s">
        <v>272</v>
      </c>
      <c r="Y1321" s="28" t="s">
        <v>13444</v>
      </c>
      <c r="Z1321" s="28" t="s">
        <v>5435</v>
      </c>
      <c r="AA1321" s="28" t="s">
        <v>5436</v>
      </c>
      <c r="AB1321" s="28">
        <v>10.0</v>
      </c>
      <c r="AC1321" s="28" t="s">
        <v>25</v>
      </c>
      <c r="AD1321" s="23"/>
      <c r="AE1321" s="28" t="s">
        <v>15</v>
      </c>
      <c r="AF1321" s="23" t="str">
        <f>IFERROR(__xludf.DUMMYFUNCTION("TEXTJOIN("", "", TRUE,
  FILTER(Champions!C:C,
    ISNUMBER(SEARCH(C1321, Champions!W:W))
  )
)"),"Diane French, Sharon Shi")</f>
        <v>Diane French, Sharon Shi</v>
      </c>
      <c r="AG1321" s="23"/>
      <c r="AH1321" s="23" t="str">
        <f>IFERROR(__xludf.DUMMYFUNCTION("IF(
ISNUMBER(MATCH(
C1321,
IMPORTRANGE(""https://docs.google.com/spreadsheets/d/1yTh1ELC33JHYOeEdgIiEclxPRyh0zOKtlawDltfUay8"",""'Interns'!A:A""),
0
)),
""Outreach Conducted"",
"""")"),"")</f>
        <v/>
      </c>
      <c r="AI1321" s="23"/>
      <c r="AJ1321" s="23"/>
      <c r="AK1321" s="23" t="str">
        <f>IFERROR(__xludf.DUMMYFUNCTION("XLOOKUP(C1321, 
   IMPORTRANGE(""1RdEdgHYrZ33LJ7RUHj_h-qkAFL92bcVjtIdVa-UlsCw"", ""Interns!D:D""), 
   IMPORTRANGE(""1RdEdgHYrZ33LJ7RUHj_h-qkAFL92bcVjtIdVa-UlsCw"", ""Interns!M:M""), 
   ""Not Found"")"),"")</f>
        <v/>
      </c>
      <c r="AL1321" s="23" t="str">
        <f>IFERROR(__xludf.DUMMYFUNCTION("XLOOKUP(C1321, 
   IMPORTRANGE(""1RdEdgHYrZ33LJ7RUHj_h-qkAFL92bcVjtIdVa-UlsCw"", ""Interns!D:D""), 
   IMPORTRANGE(""1RdEdgHYrZ33LJ7RUHj_h-qkAFL92bcVjtIdVa-UlsCw"", ""Interns!N:N""), 
   ""Not Found"")"),"")</f>
        <v/>
      </c>
      <c r="AM1321" s="23" t="str">
        <f>IFERROR(__xludf.DUMMYFUNCTION("XLOOKUP(C1321, 
   IMPORTRANGE(""1RdEdgHYrZ33LJ7RUHj_h-qkAFL92bcVjtIdVa-UlsCw"", ""Interns!D:D""), 
   IMPORTRANGE(""1RdEdgHYrZ33LJ7RUHj_h-qkAFL92bcVjtIdVa-UlsCw"", ""Interns!O:O""), 
   ""Not Found"")"),"")</f>
        <v/>
      </c>
      <c r="AN1321" s="23"/>
      <c r="AO1321" s="23" t="s">
        <v>13445</v>
      </c>
      <c r="AP1321" s="28" t="s">
        <v>5182</v>
      </c>
      <c r="AQ1321" s="28" t="s">
        <v>6987</v>
      </c>
      <c r="AR1321" s="23" t="s">
        <v>13444</v>
      </c>
      <c r="AS1321" s="23"/>
      <c r="AT1321" s="23"/>
      <c r="AU1321" s="23"/>
      <c r="AV1321" s="23"/>
    </row>
    <row r="1322">
      <c r="A1322" s="28" t="s">
        <v>5161</v>
      </c>
      <c r="B1322" s="28" t="s">
        <v>5162</v>
      </c>
      <c r="C1322" s="23" t="str">
        <f t="shared" si="1"/>
        <v>Madison Berjot</v>
      </c>
      <c r="D1322" s="28" t="s">
        <v>13446</v>
      </c>
      <c r="E1322" s="28" t="s">
        <v>13447</v>
      </c>
      <c r="F1322" s="23">
        <f t="array" ref="F1322">IFERROR(
    INDEX('Hub Interns 226'!A:A, MATCH(C1322, 'Hub Interns 226'!B:B, 0)),"")</f>
        <v>818</v>
      </c>
      <c r="G1322" s="23">
        <f t="array" ref="G1322">IFERROR(
    INDEX('Hub Users 226'!A:A, MATCH(C1322, 'Hub Users 226'!B:B, 0)),"")</f>
        <v>1251</v>
      </c>
      <c r="H1322" s="28">
        <v>444.0</v>
      </c>
      <c r="I1322" s="28" t="s">
        <v>260</v>
      </c>
      <c r="J1322" s="28"/>
      <c r="K1322" s="28"/>
      <c r="L1322" s="28" t="s">
        <v>5196</v>
      </c>
      <c r="M1322" s="56" t="s">
        <v>13448</v>
      </c>
      <c r="N1322" s="57">
        <v>44336.40347222222</v>
      </c>
      <c r="O1322" s="58">
        <v>38349.0</v>
      </c>
      <c r="P1322" s="28">
        <f t="shared" si="38"/>
        <v>21</v>
      </c>
      <c r="Q1322" s="28" t="s">
        <v>13449</v>
      </c>
      <c r="R1322" s="28" t="s">
        <v>13450</v>
      </c>
      <c r="S1322" s="28">
        <v>5.0</v>
      </c>
      <c r="T1322" s="28">
        <v>14.0</v>
      </c>
      <c r="U1322" s="28">
        <v>33.0</v>
      </c>
      <c r="V1322" s="28">
        <v>27.0</v>
      </c>
      <c r="W1322" s="28" t="s">
        <v>1173</v>
      </c>
      <c r="X1322" s="28" t="s">
        <v>272</v>
      </c>
      <c r="Y1322" s="28" t="s">
        <v>13451</v>
      </c>
      <c r="Z1322" s="28" t="s">
        <v>5332</v>
      </c>
      <c r="AA1322" s="28" t="s">
        <v>421</v>
      </c>
      <c r="AB1322" s="28">
        <v>31.0</v>
      </c>
      <c r="AC1322" s="28" t="s">
        <v>24</v>
      </c>
      <c r="AD1322" s="23"/>
      <c r="AE1322" s="28" t="s">
        <v>8</v>
      </c>
      <c r="AF1322" s="23"/>
      <c r="AG1322" s="23"/>
      <c r="AH1322" s="23" t="str">
        <f>IFERROR(__xludf.DUMMYFUNCTION("IF(
ISNUMBER(MATCH(
C1322,
IMPORTRANGE(""https://docs.google.com/spreadsheets/d/1yTh1ELC33JHYOeEdgIiEclxPRyh0zOKtlawDltfUay8"",""'Interns'!A:A""),
0
)),
""Outreach Conducted"",
"""")"),"")</f>
        <v/>
      </c>
      <c r="AI1322" s="23"/>
      <c r="AJ1322" s="23"/>
      <c r="AK1322" s="23" t="str">
        <f>IFERROR(__xludf.DUMMYFUNCTION("XLOOKUP(C1322, 
   IMPORTRANGE(""1RdEdgHYrZ33LJ7RUHj_h-qkAFL92bcVjtIdVa-UlsCw"", ""Interns!D:D""), 
   IMPORTRANGE(""1RdEdgHYrZ33LJ7RUHj_h-qkAFL92bcVjtIdVa-UlsCw"", ""Interns!M:M""), 
   ""Not Found"")"),"In Communication")</f>
        <v>In Communication</v>
      </c>
      <c r="AL1322" s="23" t="str">
        <f>IFERROR(__xludf.DUMMYFUNCTION("XLOOKUP(C1322, 
   IMPORTRANGE(""1RdEdgHYrZ33LJ7RUHj_h-qkAFL92bcVjtIdVa-UlsCw"", ""Interns!D:D""), 
   IMPORTRANGE(""1RdEdgHYrZ33LJ7RUHj_h-qkAFL92bcVjtIdVa-UlsCw"", ""Interns!N:N""), 
   ""Not Found"")"),"#Cheers4Careers")</f>
        <v>#Cheers4Careers</v>
      </c>
      <c r="AM1322" s="23" t="str">
        <f>IFERROR(__xludf.DUMMYFUNCTION("XLOOKUP(C1322, 
   IMPORTRANGE(""1RdEdgHYrZ33LJ7RUHj_h-qkAFL92bcVjtIdVa-UlsCw"", ""Interns!D:D""), 
   IMPORTRANGE(""1RdEdgHYrZ33LJ7RUHj_h-qkAFL92bcVjtIdVa-UlsCw"", ""Interns!O:O""), 
   ""Not Found"")"),"Hetal reached out March 27 for March #Cheers4 Careers  and texted")</f>
        <v>Hetal reached out March 27 for March #Cheers4 Careers  and texted</v>
      </c>
      <c r="AN1322" s="23"/>
      <c r="AO1322" s="23" t="s">
        <v>13452</v>
      </c>
      <c r="AP1322" s="28" t="s">
        <v>5182</v>
      </c>
      <c r="AQ1322" s="28"/>
      <c r="AR1322" s="23"/>
      <c r="AS1322" s="28" t="s">
        <v>13453</v>
      </c>
      <c r="AT1322" s="23"/>
      <c r="AU1322" s="23"/>
      <c r="AV1322" s="23"/>
    </row>
    <row r="1323">
      <c r="A1323" s="28" t="s">
        <v>5161</v>
      </c>
      <c r="B1323" s="28" t="s">
        <v>5162</v>
      </c>
      <c r="C1323" s="27" t="s">
        <v>13454</v>
      </c>
      <c r="D1323" s="28" t="s">
        <v>13455</v>
      </c>
      <c r="E1323" s="28" t="s">
        <v>13456</v>
      </c>
      <c r="F1323" s="23" t="str">
        <f t="array" ref="F1323">IFERROR(
    INDEX('Hub Interns 226'!A:A, MATCH(C1323, 'Hub Interns 226'!B:B, 0)),"")</f>
        <v/>
      </c>
      <c r="G1323" s="23" t="str">
        <f t="array" ref="G1323">IFERROR(
    INDEX('Hub Users 226'!A:A, MATCH(C1323, 'Hub Users 226'!B:B, 0)),"")</f>
        <v/>
      </c>
      <c r="H1323" s="28">
        <v>354.0</v>
      </c>
      <c r="I1323" s="28" t="s">
        <v>260</v>
      </c>
      <c r="J1323" s="28"/>
      <c r="K1323" s="28"/>
      <c r="L1323" s="28" t="s">
        <v>5196</v>
      </c>
      <c r="M1323" s="56" t="s">
        <v>13457</v>
      </c>
      <c r="N1323" s="57">
        <v>44246.873611111114</v>
      </c>
      <c r="O1323" s="58">
        <v>38128.0</v>
      </c>
      <c r="P1323" s="28">
        <f t="shared" si="38"/>
        <v>21</v>
      </c>
      <c r="Q1323" s="28" t="s">
        <v>13458</v>
      </c>
      <c r="R1323" s="28" t="s">
        <v>13459</v>
      </c>
      <c r="S1323" s="28">
        <v>5.0</v>
      </c>
      <c r="T1323" s="28">
        <v>14.0</v>
      </c>
      <c r="U1323" s="28">
        <v>29.0</v>
      </c>
      <c r="V1323" s="28">
        <v>27.0</v>
      </c>
      <c r="W1323" s="28" t="s">
        <v>294</v>
      </c>
      <c r="X1323" s="28" t="s">
        <v>272</v>
      </c>
      <c r="Y1323" s="28" t="s">
        <v>13460</v>
      </c>
      <c r="Z1323" s="28" t="s">
        <v>7813</v>
      </c>
      <c r="AA1323" s="28" t="s">
        <v>2033</v>
      </c>
      <c r="AB1323" s="28">
        <v>37.0</v>
      </c>
      <c r="AC1323" s="28" t="s">
        <v>25</v>
      </c>
      <c r="AD1323" s="23"/>
      <c r="AE1323" s="28" t="s">
        <v>8</v>
      </c>
      <c r="AF1323" s="23" t="str">
        <f>IFERROR(__xludf.DUMMYFUNCTION("TEXTJOIN("", "", TRUE,
  FILTER(Champions!C:C,
    ISNUMBER(SEARCH(C1323, Champions!W:W))
  )
)"),"#N/A")</f>
        <v>#N/A</v>
      </c>
      <c r="AG1323" s="23"/>
      <c r="AH1323" s="23" t="str">
        <f>IFERROR(__xludf.DUMMYFUNCTION("IF(
ISNUMBER(MATCH(
C1323,
IMPORTRANGE(""https://docs.google.com/spreadsheets/d/1yTh1ELC33JHYOeEdgIiEclxPRyh0zOKtlawDltfUay8"",""'Interns'!A:A""),
0
)),
""Outreach Conducted"",
"""")"),"")</f>
        <v/>
      </c>
      <c r="AI1323" s="23"/>
      <c r="AJ1323" s="23"/>
      <c r="AK1323" s="23" t="str">
        <f>IFERROR(__xludf.DUMMYFUNCTION("XLOOKUP(C1323, 
   IMPORTRANGE(""1RdEdgHYrZ33LJ7RUHj_h-qkAFL92bcVjtIdVa-UlsCw"", ""Interns!D:D""), 
   IMPORTRANGE(""1RdEdgHYrZ33LJ7RUHj_h-qkAFL92bcVjtIdVa-UlsCw"", ""Interns!M:M""), 
   ""Not Found"")"),"Not Found")</f>
        <v>Not Found</v>
      </c>
      <c r="AL1323" s="23" t="str">
        <f>IFERROR(__xludf.DUMMYFUNCTION("XLOOKUP(C1323, 
   IMPORTRANGE(""1RdEdgHYrZ33LJ7RUHj_h-qkAFL92bcVjtIdVa-UlsCw"", ""Interns!D:D""), 
   IMPORTRANGE(""1RdEdgHYrZ33LJ7RUHj_h-qkAFL92bcVjtIdVa-UlsCw"", ""Interns!N:N""), 
   ""Not Found"")"),"Not Found")</f>
        <v>Not Found</v>
      </c>
      <c r="AM1323" s="23" t="str">
        <f>IFERROR(__xludf.DUMMYFUNCTION("XLOOKUP(C1323, 
   IMPORTRANGE(""1RdEdgHYrZ33LJ7RUHj_h-qkAFL92bcVjtIdVa-UlsCw"", ""Interns!D:D""), 
   IMPORTRANGE(""1RdEdgHYrZ33LJ7RUHj_h-qkAFL92bcVjtIdVa-UlsCw"", ""Interns!O:O""), 
   ""Not Found"")"),"Not Found")</f>
        <v>Not Found</v>
      </c>
      <c r="AN1323" s="23"/>
      <c r="AO1323" s="23" t="s">
        <v>13461</v>
      </c>
      <c r="AP1323" s="28" t="s">
        <v>5182</v>
      </c>
      <c r="AQ1323" s="28" t="s">
        <v>13462</v>
      </c>
      <c r="AR1323" s="23" t="s">
        <v>13463</v>
      </c>
      <c r="AS1323" s="28" t="s">
        <v>13464</v>
      </c>
      <c r="AT1323" s="23"/>
      <c r="AU1323" s="23"/>
      <c r="AV1323" s="23"/>
    </row>
    <row r="1324">
      <c r="A1324" s="28" t="s">
        <v>5161</v>
      </c>
      <c r="B1324" s="28" t="s">
        <v>5162</v>
      </c>
      <c r="C1324" s="23" t="str">
        <f t="shared" ref="C1324:C1864" si="39">CONCATENATE(D1324," ",E1324)</f>
        <v>Jessica Mendoza</v>
      </c>
      <c r="D1324" s="28" t="s">
        <v>1602</v>
      </c>
      <c r="E1324" s="28" t="s">
        <v>4503</v>
      </c>
      <c r="F1324" s="23">
        <f t="array" ref="F1324">IFERROR(
    INDEX('Hub Interns 226'!A:A, MATCH(C1324, 'Hub Interns 226'!B:B, 0)),"")</f>
        <v>654</v>
      </c>
      <c r="G1324" s="23">
        <f t="array" ref="G1324">IFERROR(
    INDEX('Hub Users 226'!A:A, MATCH(C1324, 'Hub Users 226'!B:B, 0)),"")</f>
        <v>1087</v>
      </c>
      <c r="H1324" s="28">
        <v>1125.0</v>
      </c>
      <c r="I1324" s="28"/>
      <c r="J1324" s="28"/>
      <c r="K1324" s="28"/>
      <c r="L1324" s="28" t="s">
        <v>5196</v>
      </c>
      <c r="M1324" s="56" t="s">
        <v>13465</v>
      </c>
      <c r="N1324" s="57">
        <v>44729.384722222225</v>
      </c>
      <c r="O1324" s="58">
        <v>39606.0</v>
      </c>
      <c r="P1324" s="28">
        <f t="shared" si="38"/>
        <v>17</v>
      </c>
      <c r="Q1324" s="28" t="s">
        <v>240</v>
      </c>
      <c r="R1324" s="28" t="s">
        <v>13466</v>
      </c>
      <c r="S1324" s="28">
        <v>15.0</v>
      </c>
      <c r="T1324" s="28">
        <v>29.0</v>
      </c>
      <c r="U1324" s="28">
        <v>84.0</v>
      </c>
      <c r="V1324" s="28">
        <v>16.0</v>
      </c>
      <c r="W1324" s="28" t="s">
        <v>859</v>
      </c>
      <c r="X1324" s="28" t="s">
        <v>272</v>
      </c>
      <c r="Y1324" s="28" t="s">
        <v>13467</v>
      </c>
      <c r="Z1324" s="28" t="s">
        <v>5170</v>
      </c>
      <c r="AA1324" s="28" t="s">
        <v>5171</v>
      </c>
      <c r="AB1324" s="28">
        <v>30.0</v>
      </c>
      <c r="AC1324" s="28" t="s">
        <v>24</v>
      </c>
      <c r="AD1324" s="23"/>
      <c r="AE1324" s="28" t="s">
        <v>10</v>
      </c>
      <c r="AF1324" s="23"/>
      <c r="AG1324" s="23"/>
      <c r="AH1324" s="23" t="str">
        <f>IFERROR(__xludf.DUMMYFUNCTION("IF(
ISNUMBER(MATCH(
C1324,
IMPORTRANGE(""https://docs.google.com/spreadsheets/d/1yTh1ELC33JHYOeEdgIiEclxPRyh0zOKtlawDltfUay8"",""'Interns'!A:A""),
0
)),
""Outreach Conducted"",
"""")"),"")</f>
        <v/>
      </c>
      <c r="AI1324" s="23"/>
      <c r="AJ1324" s="23"/>
      <c r="AK1324" s="23" t="str">
        <f>IFERROR(__xludf.DUMMYFUNCTION("XLOOKUP(C1324, 
   IMPORTRANGE(""1RdEdgHYrZ33LJ7RUHj_h-qkAFL92bcVjtIdVa-UlsCw"", ""Interns!D:D""), 
   IMPORTRANGE(""1RdEdgHYrZ33LJ7RUHj_h-qkAFL92bcVjtIdVa-UlsCw"", ""Interns!M:M""), 
   ""Not Found"")"),"Contacted")</f>
        <v>Contacted</v>
      </c>
      <c r="AL1324" s="23" t="str">
        <f>IFERROR(__xludf.DUMMYFUNCTION("XLOOKUP(C1324, 
   IMPORTRANGE(""1RdEdgHYrZ33LJ7RUHj_h-qkAFL92bcVjtIdVa-UlsCw"", ""Interns!D:D""), 
   IMPORTRANGE(""1RdEdgHYrZ33LJ7RUHj_h-qkAFL92bcVjtIdVa-UlsCw"", ""Interns!N:N""), 
   ""Not Found"")"),"#Cheers4Careers")</f>
        <v>#Cheers4Careers</v>
      </c>
      <c r="AM1324" s="23" t="str">
        <f>IFERROR(__xludf.DUMMYFUNCTION("XLOOKUP(C1324, 
   IMPORTRANGE(""1RdEdgHYrZ33LJ7RUHj_h-qkAFL92bcVjtIdVa-UlsCw"", ""Interns!D:D""), 
   IMPORTRANGE(""1RdEdgHYrZ33LJ7RUHj_h-qkAFL92bcVjtIdVa-UlsCw"", ""Interns!O:O""), 
   ""Not Found"")"),"Hetal reached out March 27 for March #Cheers4 Careers ")</f>
        <v>Hetal reached out March 27 for March #Cheers4 Careers </v>
      </c>
      <c r="AN1324" s="23"/>
      <c r="AO1324" s="23" t="s">
        <v>13468</v>
      </c>
      <c r="AP1324" s="28" t="s">
        <v>5182</v>
      </c>
      <c r="AQ1324" s="28"/>
      <c r="AR1324" s="23"/>
      <c r="AS1324" s="23"/>
      <c r="AT1324" s="23"/>
      <c r="AU1324" s="23"/>
      <c r="AV1324" s="23"/>
    </row>
    <row r="1325">
      <c r="A1325" s="28" t="s">
        <v>5202</v>
      </c>
      <c r="B1325" s="28" t="s">
        <v>5162</v>
      </c>
      <c r="C1325" s="23" t="str">
        <f t="shared" si="39"/>
        <v>Ruth Terrero</v>
      </c>
      <c r="D1325" s="28" t="s">
        <v>9019</v>
      </c>
      <c r="E1325" s="28" t="s">
        <v>7827</v>
      </c>
      <c r="F1325" s="23">
        <f t="array" ref="F1325">IFERROR(
    INDEX('Hub Interns 226'!A:A, MATCH(C1325, 'Hub Interns 226'!B:B, 0)),"")</f>
        <v>1048</v>
      </c>
      <c r="G1325" s="23">
        <f t="array" ref="G1325">IFERROR(
    INDEX('Hub Users 226'!A:A, MATCH(C1325, 'Hub Users 226'!B:B, 0)),"")</f>
        <v>1481</v>
      </c>
      <c r="H1325" s="28">
        <v>1040.0</v>
      </c>
      <c r="I1325" s="28" t="s">
        <v>260</v>
      </c>
      <c r="J1325" s="28" t="s">
        <v>5336</v>
      </c>
      <c r="K1325" s="28" t="s">
        <v>5177</v>
      </c>
      <c r="L1325" s="28" t="s">
        <v>5196</v>
      </c>
      <c r="M1325" s="56" t="s">
        <v>13469</v>
      </c>
      <c r="N1325" s="57">
        <v>44684.425</v>
      </c>
      <c r="O1325" s="58">
        <v>44684.0</v>
      </c>
      <c r="P1325" s="28">
        <f t="shared" si="38"/>
        <v>4</v>
      </c>
      <c r="Q1325" s="28" t="s">
        <v>240</v>
      </c>
      <c r="R1325" s="28" t="s">
        <v>13470</v>
      </c>
      <c r="S1325" s="28">
        <v>15.0</v>
      </c>
      <c r="T1325" s="28">
        <v>32.0</v>
      </c>
      <c r="U1325" s="28">
        <v>86.0</v>
      </c>
      <c r="V1325" s="28">
        <v>15.0</v>
      </c>
      <c r="W1325" s="28" t="s">
        <v>859</v>
      </c>
      <c r="X1325" s="28" t="s">
        <v>272</v>
      </c>
      <c r="Y1325" s="28" t="s">
        <v>13471</v>
      </c>
      <c r="Z1325" s="28" t="s">
        <v>5310</v>
      </c>
      <c r="AA1325" s="28" t="s">
        <v>362</v>
      </c>
      <c r="AB1325" s="28">
        <v>16.0</v>
      </c>
      <c r="AC1325" s="28" t="s">
        <v>24</v>
      </c>
      <c r="AD1325" s="23"/>
      <c r="AE1325" s="28" t="s">
        <v>10</v>
      </c>
      <c r="AF1325" s="23"/>
      <c r="AG1325" s="23"/>
      <c r="AH1325" s="23" t="str">
        <f>IFERROR(__xludf.DUMMYFUNCTION("IF(
ISNUMBER(MATCH(
C1325,
IMPORTRANGE(""https://docs.google.com/spreadsheets/d/1yTh1ELC33JHYOeEdgIiEclxPRyh0zOKtlawDltfUay8"",""'Interns'!A:A""),
0
)),
""Outreach Conducted"",
"""")"),"")</f>
        <v/>
      </c>
      <c r="AI1325" s="23"/>
      <c r="AJ1325" s="23"/>
      <c r="AK1325" s="23" t="str">
        <f>IFERROR(__xludf.DUMMYFUNCTION("XLOOKUP(C1325, 
   IMPORTRANGE(""1RdEdgHYrZ33LJ7RUHj_h-qkAFL92bcVjtIdVa-UlsCw"", ""Interns!D:D""), 
   IMPORTRANGE(""1RdEdgHYrZ33LJ7RUHj_h-qkAFL92bcVjtIdVa-UlsCw"", ""Interns!M:M""), 
   ""Not Found"")"),"")</f>
        <v/>
      </c>
      <c r="AL1325" s="23" t="str">
        <f>IFERROR(__xludf.DUMMYFUNCTION("XLOOKUP(C1325, 
   IMPORTRANGE(""1RdEdgHYrZ33LJ7RUHj_h-qkAFL92bcVjtIdVa-UlsCw"", ""Interns!D:D""), 
   IMPORTRANGE(""1RdEdgHYrZ33LJ7RUHj_h-qkAFL92bcVjtIdVa-UlsCw"", ""Interns!N:N""), 
   ""Not Found"")"),"")</f>
        <v/>
      </c>
      <c r="AM1325" s="23" t="str">
        <f>IFERROR(__xludf.DUMMYFUNCTION("XLOOKUP(C1325, 
   IMPORTRANGE(""1RdEdgHYrZ33LJ7RUHj_h-qkAFL92bcVjtIdVa-UlsCw"", ""Interns!D:D""), 
   IMPORTRANGE(""1RdEdgHYrZ33LJ7RUHj_h-qkAFL92bcVjtIdVa-UlsCw"", ""Interns!O:O""), 
   ""Not Found"")"),"")</f>
        <v/>
      </c>
      <c r="AN1325" s="23"/>
      <c r="AO1325" s="23" t="s">
        <v>13472</v>
      </c>
      <c r="AP1325" s="28" t="s">
        <v>5182</v>
      </c>
      <c r="AQ1325" s="28"/>
      <c r="AR1325" s="23"/>
      <c r="AS1325" s="23"/>
      <c r="AT1325" s="23"/>
      <c r="AU1325" s="23"/>
      <c r="AV1325" s="23"/>
    </row>
    <row r="1326">
      <c r="A1326" s="28" t="s">
        <v>5161</v>
      </c>
      <c r="B1326" s="28" t="s">
        <v>5162</v>
      </c>
      <c r="C1326" s="23" t="str">
        <f t="shared" si="39"/>
        <v>Arielle Matapersad</v>
      </c>
      <c r="D1326" s="28" t="s">
        <v>13473</v>
      </c>
      <c r="E1326" s="28" t="s">
        <v>13474</v>
      </c>
      <c r="F1326" s="23">
        <f t="array" ref="F1326">IFERROR(
    INDEX('Hub Interns 226'!A:A, MATCH(C1326, 'Hub Interns 226'!B:B, 0)),"")</f>
        <v>259</v>
      </c>
      <c r="G1326" s="23">
        <f t="array" ref="G1326">IFERROR(
    INDEX('Hub Users 226'!A:A, MATCH(C1326, 'Hub Users 226'!B:B, 0)),"")</f>
        <v>692</v>
      </c>
      <c r="H1326" s="28">
        <v>1351.0</v>
      </c>
      <c r="I1326" s="28" t="s">
        <v>239</v>
      </c>
      <c r="J1326" s="28"/>
      <c r="K1326" s="28"/>
      <c r="L1326" s="28" t="s">
        <v>5196</v>
      </c>
      <c r="M1326" s="56" t="s">
        <v>13475</v>
      </c>
      <c r="N1326" s="59">
        <v>44859.481944444444</v>
      </c>
      <c r="O1326" s="58">
        <v>39786.0</v>
      </c>
      <c r="P1326" s="28">
        <f t="shared" si="38"/>
        <v>17</v>
      </c>
      <c r="Q1326" s="28" t="s">
        <v>240</v>
      </c>
      <c r="R1326" s="28" t="s">
        <v>13476</v>
      </c>
      <c r="S1326" s="28">
        <v>5.0</v>
      </c>
      <c r="T1326" s="28">
        <v>10.0</v>
      </c>
      <c r="U1326" s="28">
        <v>29.0</v>
      </c>
      <c r="V1326" s="28">
        <v>28.0</v>
      </c>
      <c r="W1326" s="28" t="s">
        <v>1173</v>
      </c>
      <c r="X1326" s="28" t="s">
        <v>272</v>
      </c>
      <c r="Y1326" s="28" t="s">
        <v>13477</v>
      </c>
      <c r="Z1326" s="28" t="s">
        <v>5332</v>
      </c>
      <c r="AA1326" s="28" t="s">
        <v>421</v>
      </c>
      <c r="AB1326" s="28">
        <v>31.0</v>
      </c>
      <c r="AC1326" s="28" t="s">
        <v>23</v>
      </c>
      <c r="AD1326" s="28" t="s">
        <v>101</v>
      </c>
      <c r="AE1326" s="28" t="s">
        <v>15</v>
      </c>
      <c r="AF1326" s="23"/>
      <c r="AG1326" s="23"/>
      <c r="AH1326" s="23" t="str">
        <f>IFERROR(__xludf.DUMMYFUNCTION("IF(
ISNUMBER(MATCH(
C1326,
IMPORTRANGE(""https://docs.google.com/spreadsheets/d/1yTh1ELC33JHYOeEdgIiEclxPRyh0zOKtlawDltfUay8"",""'Interns'!A:A""),
0
)),
""Outreach Conducted"",
"""")"),"")</f>
        <v/>
      </c>
      <c r="AI1326" s="23"/>
      <c r="AJ1326" s="23"/>
      <c r="AK1326" s="23" t="str">
        <f>IFERROR(__xludf.DUMMYFUNCTION("XLOOKUP(C1326, 
   IMPORTRANGE(""1RdEdgHYrZ33LJ7RUHj_h-qkAFL92bcVjtIdVa-UlsCw"", ""Interns!D:D""), 
   IMPORTRANGE(""1RdEdgHYrZ33LJ7RUHj_h-qkAFL92bcVjtIdVa-UlsCw"", ""Interns!M:M""), 
   ""Not Found"")"),"Contacted")</f>
        <v>Contacted</v>
      </c>
      <c r="AL1326" s="23" t="str">
        <f>IFERROR(__xludf.DUMMYFUNCTION("XLOOKUP(C1326, 
   IMPORTRANGE(""1RdEdgHYrZ33LJ7RUHj_h-qkAFL92bcVjtIdVa-UlsCw"", ""Interns!D:D""), 
   IMPORTRANGE(""1RdEdgHYrZ33LJ7RUHj_h-qkAFL92bcVjtIdVa-UlsCw"", ""Interns!N:N""), 
   ""Not Found"")"),"#Cheers4Careers")</f>
        <v>#Cheers4Careers</v>
      </c>
      <c r="AM1326" s="23" t="str">
        <f>IFERROR(__xludf.DUMMYFUNCTION("XLOOKUP(C1326, 
   IMPORTRANGE(""1RdEdgHYrZ33LJ7RUHj_h-qkAFL92bcVjtIdVa-UlsCw"", ""Interns!D:D""), 
   IMPORTRANGE(""1RdEdgHYrZ33LJ7RUHj_h-qkAFL92bcVjtIdVa-UlsCw"", ""Interns!O:O""), 
   ""Not Found"")"),"Hetal reached out March 27 for March #Cheers4 Careers and texted")</f>
        <v>Hetal reached out March 27 for March #Cheers4 Careers and texted</v>
      </c>
      <c r="AN1326" s="23"/>
      <c r="AO1326" s="23" t="s">
        <v>13478</v>
      </c>
      <c r="AP1326" s="28" t="s">
        <v>5182</v>
      </c>
      <c r="AQ1326" s="28"/>
      <c r="AR1326" s="23"/>
      <c r="AS1326" s="23"/>
      <c r="AT1326" s="23"/>
      <c r="AU1326" s="23"/>
      <c r="AV1326" s="23"/>
    </row>
    <row r="1327">
      <c r="A1327" s="28" t="s">
        <v>5161</v>
      </c>
      <c r="B1327" s="28" t="s">
        <v>5162</v>
      </c>
      <c r="C1327" s="23" t="str">
        <f t="shared" si="39"/>
        <v>Jonathan Sevilla</v>
      </c>
      <c r="D1327" s="22" t="s">
        <v>3728</v>
      </c>
      <c r="E1327" s="22" t="s">
        <v>13479</v>
      </c>
      <c r="F1327" s="23"/>
      <c r="G1327" s="23"/>
      <c r="H1327" s="22">
        <v>1887.0</v>
      </c>
      <c r="I1327" s="28"/>
      <c r="J1327" s="28"/>
      <c r="K1327" s="28"/>
      <c r="L1327" s="28" t="s">
        <v>5165</v>
      </c>
      <c r="M1327" s="29" t="s">
        <v>13480</v>
      </c>
      <c r="N1327" s="22"/>
      <c r="O1327" s="25">
        <v>39537.0</v>
      </c>
      <c r="P1327" s="28">
        <f t="shared" si="38"/>
        <v>18</v>
      </c>
      <c r="Q1327" s="62" t="s">
        <v>13481</v>
      </c>
      <c r="R1327" s="22" t="s">
        <v>13482</v>
      </c>
      <c r="S1327" s="28">
        <v>16.0</v>
      </c>
      <c r="T1327" s="28">
        <v>36.0</v>
      </c>
      <c r="U1327" s="28">
        <v>82.0</v>
      </c>
      <c r="V1327" s="28">
        <v>12.0</v>
      </c>
      <c r="W1327" s="23"/>
      <c r="X1327" s="23"/>
      <c r="Y1327" s="22" t="s">
        <v>13483</v>
      </c>
      <c r="Z1327" s="22" t="s">
        <v>5822</v>
      </c>
      <c r="AA1327" s="28" t="s">
        <v>5822</v>
      </c>
      <c r="AB1327" s="28">
        <v>30.0</v>
      </c>
      <c r="AC1327" s="28" t="s">
        <v>27</v>
      </c>
      <c r="AD1327" s="23"/>
      <c r="AE1327" s="28" t="s">
        <v>20</v>
      </c>
      <c r="AF1327" s="23"/>
      <c r="AG1327" s="23"/>
      <c r="AH1327" s="23" t="str">
        <f>IFERROR(__xludf.DUMMYFUNCTION("IF(
ISNUMBER(MATCH(
C1327,
IMPORTRANGE(""https://docs.google.com/spreadsheets/d/1yTh1ELC33JHYOeEdgIiEclxPRyh0zOKtlawDltfUay8"",""'Interns'!A:A""),
0
)),
""Outreach Conducted"",
"""")"),"")</f>
        <v/>
      </c>
      <c r="AI1327" s="23"/>
      <c r="AJ1327" s="23"/>
      <c r="AK1327" s="23"/>
      <c r="AL1327" s="23" t="str">
        <f>IFERROR(__xludf.DUMMYFUNCTION("XLOOKUP(C1327, 
   IMPORTRANGE(""1RdEdgHYrZ33LJ7RUHj_h-qkAFL92bcVjtIdVa-UlsCw"", ""Interns!D:D""), 
   IMPORTRANGE(""1RdEdgHYrZ33LJ7RUHj_h-qkAFL92bcVjtIdVa-UlsCw"", ""Interns!N:N""), 
   ""Not Found"")"),"#Cheers4Careers")</f>
        <v>#Cheers4Careers</v>
      </c>
      <c r="AM1327" s="23" t="str">
        <f>IFERROR(__xludf.DUMMYFUNCTION("XLOOKUP(C1327, 
   IMPORTRANGE(""1RdEdgHYrZ33LJ7RUHj_h-qkAFL92bcVjtIdVa-UlsCw"", ""Interns!D:D""), 
   IMPORTRANGE(""1RdEdgHYrZ33LJ7RUHj_h-qkAFL92bcVjtIdVa-UlsCw"", ""Interns!O:O""), 
   ""Not Found"")"),"Hetal reached out March 27 for March #Cheers4 Careers ")</f>
        <v>Hetal reached out March 27 for March #Cheers4 Careers </v>
      </c>
      <c r="AN1327" s="23"/>
      <c r="AO1327" s="23" t="s">
        <v>13484</v>
      </c>
      <c r="AP1327" s="28" t="s">
        <v>5191</v>
      </c>
      <c r="AQ1327" s="28" t="s">
        <v>13485</v>
      </c>
      <c r="AR1327" s="23" t="s">
        <v>13486</v>
      </c>
      <c r="AS1327" s="23"/>
      <c r="AT1327" s="23"/>
      <c r="AU1327" s="23"/>
      <c r="AV1327" s="23"/>
    </row>
    <row r="1328">
      <c r="A1328" s="28" t="s">
        <v>5161</v>
      </c>
      <c r="B1328" s="28" t="s">
        <v>5162</v>
      </c>
      <c r="C1328" s="23" t="str">
        <f t="shared" si="39"/>
        <v>Chris Lewis</v>
      </c>
      <c r="D1328" s="28" t="s">
        <v>13487</v>
      </c>
      <c r="E1328" s="28" t="s">
        <v>13488</v>
      </c>
      <c r="F1328" s="23">
        <f t="array" ref="F1328">IFERROR(
    INDEX('Hub Interns 226'!A:A, MATCH(C1328, 'Hub Interns 226'!B:B, 0)),"")</f>
        <v>361</v>
      </c>
      <c r="G1328" s="23">
        <f t="array" ref="G1328">IFERROR(
    INDEX('Hub Users 226'!A:A, MATCH(C1328, 'Hub Users 226'!B:B, 0)),"")</f>
        <v>794</v>
      </c>
      <c r="H1328" s="28">
        <v>1338.0</v>
      </c>
      <c r="I1328" s="28" t="s">
        <v>538</v>
      </c>
      <c r="J1328" s="28"/>
      <c r="K1328" s="28"/>
      <c r="L1328" s="28" t="s">
        <v>5165</v>
      </c>
      <c r="M1328" s="56" t="s">
        <v>13489</v>
      </c>
      <c r="N1328" s="59">
        <v>44858.47152777778</v>
      </c>
      <c r="O1328" s="58">
        <v>39700.0</v>
      </c>
      <c r="P1328" s="28">
        <f t="shared" si="38"/>
        <v>17</v>
      </c>
      <c r="Q1328" s="28" t="s">
        <v>240</v>
      </c>
      <c r="R1328" s="28" t="s">
        <v>13490</v>
      </c>
      <c r="S1328" s="28">
        <v>5.0</v>
      </c>
      <c r="T1328" s="28">
        <v>10.0</v>
      </c>
      <c r="U1328" s="28">
        <v>32.0</v>
      </c>
      <c r="V1328" s="28">
        <v>28.0</v>
      </c>
      <c r="W1328" s="28" t="s">
        <v>1173</v>
      </c>
      <c r="X1328" s="28" t="s">
        <v>272</v>
      </c>
      <c r="Y1328" s="28" t="s">
        <v>13491</v>
      </c>
      <c r="Z1328" s="28" t="s">
        <v>5332</v>
      </c>
      <c r="AA1328" s="28" t="s">
        <v>421</v>
      </c>
      <c r="AB1328" s="28">
        <v>31.0</v>
      </c>
      <c r="AC1328" s="28" t="s">
        <v>23</v>
      </c>
      <c r="AD1328" s="28" t="s">
        <v>101</v>
      </c>
      <c r="AE1328" s="28" t="s">
        <v>15</v>
      </c>
      <c r="AF1328" s="23"/>
      <c r="AG1328" s="23"/>
      <c r="AH1328" s="23" t="str">
        <f>IFERROR(__xludf.DUMMYFUNCTION("IF(
ISNUMBER(MATCH(
C1328,
IMPORTRANGE(""https://docs.google.com/spreadsheets/d/1yTh1ELC33JHYOeEdgIiEclxPRyh0zOKtlawDltfUay8"",""'Interns'!A:A""),
0
)),
""Outreach Conducted"",
"""")"),"")</f>
        <v/>
      </c>
      <c r="AI1328" s="23"/>
      <c r="AJ1328" s="23"/>
      <c r="AK1328" s="23" t="str">
        <f>IFERROR(__xludf.DUMMYFUNCTION("XLOOKUP(C1328, 
   IMPORTRANGE(""1RdEdgHYrZ33LJ7RUHj_h-qkAFL92bcVjtIdVa-UlsCw"", ""Interns!D:D""), 
   IMPORTRANGE(""1RdEdgHYrZ33LJ7RUHj_h-qkAFL92bcVjtIdVa-UlsCw"", ""Interns!M:M""), 
   ""Not Found"")"),"Contacted")</f>
        <v>Contacted</v>
      </c>
      <c r="AL1328" s="23" t="str">
        <f>IFERROR(__xludf.DUMMYFUNCTION("XLOOKUP(C1328, 
   IMPORTRANGE(""1RdEdgHYrZ33LJ7RUHj_h-qkAFL92bcVjtIdVa-UlsCw"", ""Interns!D:D""), 
   IMPORTRANGE(""1RdEdgHYrZ33LJ7RUHj_h-qkAFL92bcVjtIdVa-UlsCw"", ""Interns!N:N""), 
   ""Not Found"")"),"#Cheers4Careers")</f>
        <v>#Cheers4Careers</v>
      </c>
      <c r="AM1328" s="23" t="str">
        <f>IFERROR(__xludf.DUMMYFUNCTION("XLOOKUP(C1328, 
   IMPORTRANGE(""1RdEdgHYrZ33LJ7RUHj_h-qkAFL92bcVjtIdVa-UlsCw"", ""Interns!D:D""), 
   IMPORTRANGE(""1RdEdgHYrZ33LJ7RUHj_h-qkAFL92bcVjtIdVa-UlsCw"", ""Interns!O:O""), 
   ""Not Found"")"),"Hetal reached out March 27 for March #Cheers4 Careers and texted")</f>
        <v>Hetal reached out March 27 for March #Cheers4 Careers and texted</v>
      </c>
      <c r="AN1328" s="23"/>
      <c r="AO1328" s="23" t="s">
        <v>13492</v>
      </c>
      <c r="AP1328" s="28" t="s">
        <v>5191</v>
      </c>
      <c r="AQ1328" s="28"/>
      <c r="AR1328" s="23"/>
      <c r="AS1328" s="23"/>
      <c r="AT1328" s="23"/>
      <c r="AU1328" s="23"/>
      <c r="AV1328" s="23"/>
    </row>
    <row r="1329">
      <c r="A1329" s="28" t="s">
        <v>5161</v>
      </c>
      <c r="B1329" s="28" t="s">
        <v>5162</v>
      </c>
      <c r="C1329" s="23" t="str">
        <f t="shared" si="39"/>
        <v>Zoe Salas</v>
      </c>
      <c r="D1329" s="22" t="s">
        <v>9647</v>
      </c>
      <c r="E1329" s="22" t="s">
        <v>12725</v>
      </c>
      <c r="F1329" s="23"/>
      <c r="G1329" s="23"/>
      <c r="H1329" s="22">
        <v>1983.0</v>
      </c>
      <c r="I1329" s="28"/>
      <c r="J1329" s="28"/>
      <c r="K1329" s="28"/>
      <c r="L1329" s="28" t="s">
        <v>5196</v>
      </c>
      <c r="M1329" s="29" t="s">
        <v>13493</v>
      </c>
      <c r="N1329" s="61">
        <v>45632.39166666667</v>
      </c>
      <c r="O1329" s="25">
        <v>40738.0</v>
      </c>
      <c r="P1329" s="28">
        <f t="shared" si="38"/>
        <v>14</v>
      </c>
      <c r="Q1329" s="62" t="s">
        <v>240</v>
      </c>
      <c r="R1329" s="22" t="s">
        <v>13494</v>
      </c>
      <c r="S1329" s="28"/>
      <c r="T1329" s="28"/>
      <c r="U1329" s="28"/>
      <c r="V1329" s="28"/>
      <c r="W1329" s="23"/>
      <c r="X1329" s="23"/>
      <c r="Y1329" s="22">
        <v>3.475694044E9</v>
      </c>
      <c r="Z1329" s="22" t="s">
        <v>5520</v>
      </c>
      <c r="AA1329" s="28" t="s">
        <v>5171</v>
      </c>
      <c r="AB1329" s="28">
        <v>30.0</v>
      </c>
      <c r="AC1329" s="28" t="s">
        <v>23</v>
      </c>
      <c r="AD1329" s="23"/>
      <c r="AE1329" s="28" t="s">
        <v>19</v>
      </c>
      <c r="AF1329" s="23"/>
      <c r="AG1329" s="23"/>
      <c r="AH1329" s="23" t="str">
        <f>IFERROR(__xludf.DUMMYFUNCTION("IF(
ISNUMBER(MATCH(
C1329,
IMPORTRANGE(""https://docs.google.com/spreadsheets/d/1yTh1ELC33JHYOeEdgIiEclxPRyh0zOKtlawDltfUay8"",""'Interns'!A:A""),
0
)),
""Outreach Conducted"",
"""")"),"")</f>
        <v/>
      </c>
      <c r="AI1329" s="23"/>
      <c r="AJ1329" s="23"/>
      <c r="AK1329" s="23"/>
      <c r="AL1329" s="23" t="str">
        <f>IFERROR(__xludf.DUMMYFUNCTION("XLOOKUP(C1329, 
   IMPORTRANGE(""1RdEdgHYrZ33LJ7RUHj_h-qkAFL92bcVjtIdVa-UlsCw"", ""Interns!D:D""), 
   IMPORTRANGE(""1RdEdgHYrZ33LJ7RUHj_h-qkAFL92bcVjtIdVa-UlsCw"", ""Interns!N:N""), 
   ""Not Found"")"),"Not Found")</f>
        <v>Not Found</v>
      </c>
      <c r="AM1329" s="23" t="str">
        <f>IFERROR(__xludf.DUMMYFUNCTION("XLOOKUP(C1329, 
   IMPORTRANGE(""1RdEdgHYrZ33LJ7RUHj_h-qkAFL92bcVjtIdVa-UlsCw"", ""Interns!D:D""), 
   IMPORTRANGE(""1RdEdgHYrZ33LJ7RUHj_h-qkAFL92bcVjtIdVa-UlsCw"", ""Interns!O:O""), 
   ""Not Found"")"),"Not Found")</f>
        <v>Not Found</v>
      </c>
      <c r="AN1329" s="23"/>
      <c r="AO1329" s="23" t="s">
        <v>13495</v>
      </c>
      <c r="AP1329" s="28" t="s">
        <v>5182</v>
      </c>
      <c r="AQ1329" s="28" t="s">
        <v>13496</v>
      </c>
      <c r="AR1329" s="23"/>
      <c r="AS1329" s="23"/>
      <c r="AT1329" s="23"/>
      <c r="AU1329" s="23"/>
      <c r="AV1329" s="23"/>
    </row>
    <row r="1330">
      <c r="A1330" s="28" t="s">
        <v>5161</v>
      </c>
      <c r="B1330" s="28" t="s">
        <v>5162</v>
      </c>
      <c r="C1330" s="23" t="str">
        <f t="shared" si="39"/>
        <v>Angelo Cifuentes</v>
      </c>
      <c r="D1330" s="28" t="s">
        <v>535</v>
      </c>
      <c r="E1330" s="28" t="s">
        <v>13497</v>
      </c>
      <c r="F1330" s="23">
        <f t="array" ref="F1330">IFERROR(
    INDEX('Hub Interns 226'!A:A, MATCH(C1330, 'Hub Interns 226'!B:B, 0)),"")</f>
        <v>238</v>
      </c>
      <c r="G1330" s="23">
        <f t="array" ref="G1330">IFERROR(
    INDEX('Hub Users 226'!A:A, MATCH(C1330, 'Hub Users 226'!B:B, 0)),"")</f>
        <v>671</v>
      </c>
      <c r="H1330" s="28">
        <v>1379.0</v>
      </c>
      <c r="I1330" s="28"/>
      <c r="J1330" s="28"/>
      <c r="K1330" s="28"/>
      <c r="L1330" s="28" t="s">
        <v>5165</v>
      </c>
      <c r="M1330" s="56" t="s">
        <v>13498</v>
      </c>
      <c r="N1330" s="59">
        <v>44860.59305555555</v>
      </c>
      <c r="O1330" s="58">
        <v>31867.0</v>
      </c>
      <c r="P1330" s="28">
        <f t="shared" si="38"/>
        <v>39</v>
      </c>
      <c r="Q1330" s="28" t="s">
        <v>240</v>
      </c>
      <c r="R1330" s="28" t="s">
        <v>13499</v>
      </c>
      <c r="S1330" s="28"/>
      <c r="T1330" s="28"/>
      <c r="U1330" s="28"/>
      <c r="V1330" s="28"/>
      <c r="W1330" s="28" t="s">
        <v>1173</v>
      </c>
      <c r="X1330" s="28" t="s">
        <v>272</v>
      </c>
      <c r="Y1330" s="28" t="s">
        <v>13500</v>
      </c>
      <c r="Z1330" s="28" t="s">
        <v>5332</v>
      </c>
      <c r="AA1330" s="28" t="s">
        <v>421</v>
      </c>
      <c r="AB1330" s="28">
        <v>31.0</v>
      </c>
      <c r="AC1330" s="28" t="s">
        <v>23</v>
      </c>
      <c r="AD1330" s="23"/>
      <c r="AE1330" s="28" t="s">
        <v>15</v>
      </c>
      <c r="AF1330" s="23"/>
      <c r="AG1330" s="23"/>
      <c r="AH1330" s="23" t="str">
        <f>IFERROR(__xludf.DUMMYFUNCTION("IF(
ISNUMBER(MATCH(
C1330,
IMPORTRANGE(""https://docs.google.com/spreadsheets/d/1yTh1ELC33JHYOeEdgIiEclxPRyh0zOKtlawDltfUay8"",""'Interns'!A:A""),
0
)),
""Outreach Conducted"",
"""")"),"")</f>
        <v/>
      </c>
      <c r="AI1330" s="23"/>
      <c r="AJ1330" s="23"/>
      <c r="AK1330" s="23" t="str">
        <f>IFERROR(__xludf.DUMMYFUNCTION("XLOOKUP(C1330, 
   IMPORTRANGE(""1RdEdgHYrZ33LJ7RUHj_h-qkAFL92bcVjtIdVa-UlsCw"", ""Interns!D:D""), 
   IMPORTRANGE(""1RdEdgHYrZ33LJ7RUHj_h-qkAFL92bcVjtIdVa-UlsCw"", ""Interns!M:M""), 
   ""Not Found"")"),"Contacted")</f>
        <v>Contacted</v>
      </c>
      <c r="AL1330" s="23" t="str">
        <f>IFERROR(__xludf.DUMMYFUNCTION("XLOOKUP(C1330, 
   IMPORTRANGE(""1RdEdgHYrZ33LJ7RUHj_h-qkAFL92bcVjtIdVa-UlsCw"", ""Interns!D:D""), 
   IMPORTRANGE(""1RdEdgHYrZ33LJ7RUHj_h-qkAFL92bcVjtIdVa-UlsCw"", ""Interns!N:N""), 
   ""Not Found"")"),"#Cheers4Careers")</f>
        <v>#Cheers4Careers</v>
      </c>
      <c r="AM1330" s="23" t="str">
        <f>IFERROR(__xludf.DUMMYFUNCTION("XLOOKUP(C1330, 
   IMPORTRANGE(""1RdEdgHYrZ33LJ7RUHj_h-qkAFL92bcVjtIdVa-UlsCw"", ""Interns!D:D""), 
   IMPORTRANGE(""1RdEdgHYrZ33LJ7RUHj_h-qkAFL92bcVjtIdVa-UlsCw"", ""Interns!O:O""), 
   ""Not Found"")"),"Hetal reached out March 27 for March #Cheers4 Careers and texted")</f>
        <v>Hetal reached out March 27 for March #Cheers4 Careers and texted</v>
      </c>
      <c r="AN1330" s="23"/>
      <c r="AO1330" s="23" t="s">
        <v>13501</v>
      </c>
      <c r="AP1330" s="28" t="s">
        <v>5191</v>
      </c>
      <c r="AQ1330" s="28"/>
      <c r="AR1330" s="23"/>
      <c r="AS1330" s="23"/>
      <c r="AT1330" s="23"/>
      <c r="AU1330" s="23"/>
      <c r="AV1330" s="23"/>
    </row>
    <row r="1331">
      <c r="A1331" s="28" t="s">
        <v>5161</v>
      </c>
      <c r="B1331" s="28" t="s">
        <v>5162</v>
      </c>
      <c r="C1331" s="23" t="str">
        <f t="shared" si="39"/>
        <v>Germayoly German</v>
      </c>
      <c r="D1331" s="28" t="s">
        <v>13502</v>
      </c>
      <c r="E1331" s="28" t="s">
        <v>13503</v>
      </c>
      <c r="F1331" s="23">
        <f t="array" ref="F1331">IFERROR(
    INDEX('Hub Interns 226'!A:A, MATCH(C1331, 'Hub Interns 226'!B:B, 0)),"")</f>
        <v>545</v>
      </c>
      <c r="G1331" s="23">
        <f t="array" ref="G1331">IFERROR(
    INDEX('Hub Users 226'!A:A, MATCH(C1331, 'Hub Users 226'!B:B, 0)),"")</f>
        <v>978</v>
      </c>
      <c r="H1331" s="28">
        <v>1567.0</v>
      </c>
      <c r="I1331" s="28"/>
      <c r="J1331" s="28"/>
      <c r="K1331" s="28"/>
      <c r="L1331" s="28" t="s">
        <v>8087</v>
      </c>
      <c r="M1331" s="56" t="s">
        <v>13504</v>
      </c>
      <c r="N1331" s="57">
        <v>45015.45972222222</v>
      </c>
      <c r="O1331" s="58">
        <v>39060.0</v>
      </c>
      <c r="P1331" s="28">
        <f t="shared" si="38"/>
        <v>19</v>
      </c>
      <c r="Q1331" s="28" t="s">
        <v>13505</v>
      </c>
      <c r="R1331" s="28" t="s">
        <v>13506</v>
      </c>
      <c r="S1331" s="28"/>
      <c r="T1331" s="28"/>
      <c r="U1331" s="28"/>
      <c r="V1331" s="28"/>
      <c r="W1331" s="23"/>
      <c r="X1331" s="23"/>
      <c r="Y1331" s="28" t="s">
        <v>13507</v>
      </c>
      <c r="Z1331" s="28" t="s">
        <v>5341</v>
      </c>
      <c r="AA1331" s="28" t="s">
        <v>1085</v>
      </c>
      <c r="AB1331" s="28">
        <v>10.0</v>
      </c>
      <c r="AC1331" s="28" t="s">
        <v>23</v>
      </c>
      <c r="AD1331" s="28" t="s">
        <v>101</v>
      </c>
      <c r="AE1331" s="28" t="s">
        <v>15</v>
      </c>
      <c r="AF1331" s="23"/>
      <c r="AG1331" s="26" t="s">
        <v>5342</v>
      </c>
      <c r="AH1331" s="23" t="str">
        <f>IFERROR(__xludf.DUMMYFUNCTION("IF(
ISNUMBER(MATCH(
C1331,
IMPORTRANGE(""https://docs.google.com/spreadsheets/d/1yTh1ELC33JHYOeEdgIiEclxPRyh0zOKtlawDltfUay8"",""'Interns'!A:A""),
0
)),
""Outreach Conducted"",
"""")"),"")</f>
        <v/>
      </c>
      <c r="AI1331" s="23"/>
      <c r="AJ1331" s="23"/>
      <c r="AK1331" s="23" t="str">
        <f>IFERROR(__xludf.DUMMYFUNCTION("XLOOKUP(C1331, 
   IMPORTRANGE(""1RdEdgHYrZ33LJ7RUHj_h-qkAFL92bcVjtIdVa-UlsCw"", ""Interns!D:D""), 
   IMPORTRANGE(""1RdEdgHYrZ33LJ7RUHj_h-qkAFL92bcVjtIdVa-UlsCw"", ""Interns!M:M""), 
   ""Not Found"")"),"")</f>
        <v/>
      </c>
      <c r="AL1331" s="23" t="str">
        <f>IFERROR(__xludf.DUMMYFUNCTION("XLOOKUP(C1331, 
   IMPORTRANGE(""1RdEdgHYrZ33LJ7RUHj_h-qkAFL92bcVjtIdVa-UlsCw"", ""Interns!D:D""), 
   IMPORTRANGE(""1RdEdgHYrZ33LJ7RUHj_h-qkAFL92bcVjtIdVa-UlsCw"", ""Interns!N:N""), 
   ""Not Found"")"),"")</f>
        <v/>
      </c>
      <c r="AM1331" s="23" t="str">
        <f>IFERROR(__xludf.DUMMYFUNCTION("XLOOKUP(C1331, 
   IMPORTRANGE(""1RdEdgHYrZ33LJ7RUHj_h-qkAFL92bcVjtIdVa-UlsCw"", ""Interns!D:D""), 
   IMPORTRANGE(""1RdEdgHYrZ33LJ7RUHj_h-qkAFL92bcVjtIdVa-UlsCw"", ""Interns!O:O""), 
   ""Not Found"")"),"")</f>
        <v/>
      </c>
      <c r="AN1331" s="23"/>
      <c r="AO1331" s="23" t="s">
        <v>13503</v>
      </c>
      <c r="AP1331" s="28" t="s">
        <v>5182</v>
      </c>
      <c r="AQ1331" s="28"/>
      <c r="AR1331" s="23"/>
      <c r="AS1331" s="23"/>
      <c r="AT1331" s="23"/>
      <c r="AU1331" s="23"/>
      <c r="AV1331" s="23"/>
    </row>
    <row r="1332">
      <c r="A1332" s="28" t="s">
        <v>5202</v>
      </c>
      <c r="B1332" s="28" t="s">
        <v>5162</v>
      </c>
      <c r="C1332" s="23" t="str">
        <f t="shared" si="39"/>
        <v>Sabina Musayeva</v>
      </c>
      <c r="D1332" s="28" t="s">
        <v>13508</v>
      </c>
      <c r="E1332" s="28" t="s">
        <v>13509</v>
      </c>
      <c r="F1332" s="23">
        <f t="array" ref="F1332">IFERROR(
    INDEX('Hub Interns 226'!A:A, MATCH(C1332, 'Hub Interns 226'!B:B, 0)),"")</f>
        <v>906</v>
      </c>
      <c r="G1332" s="23">
        <f t="array" ref="G1332">IFERROR(
    INDEX('Hub Users 226'!A:A, MATCH(C1332, 'Hub Users 226'!B:B, 0)),"")</f>
        <v>1339</v>
      </c>
      <c r="H1332" s="28">
        <v>718.0</v>
      </c>
      <c r="I1332" s="28" t="s">
        <v>107</v>
      </c>
      <c r="J1332" s="28" t="s">
        <v>12457</v>
      </c>
      <c r="K1332" s="28" t="s">
        <v>5186</v>
      </c>
      <c r="L1332" s="28" t="s">
        <v>5196</v>
      </c>
      <c r="M1332" s="56" t="s">
        <v>13510</v>
      </c>
      <c r="N1332" s="59">
        <v>44547.64513888889</v>
      </c>
      <c r="O1332" s="58">
        <v>37884.0</v>
      </c>
      <c r="P1332" s="28">
        <f t="shared" si="38"/>
        <v>22</v>
      </c>
      <c r="Q1332" s="28" t="s">
        <v>13511</v>
      </c>
      <c r="R1332" s="28" t="s">
        <v>13512</v>
      </c>
      <c r="S1332" s="28"/>
      <c r="T1332" s="28"/>
      <c r="U1332" s="28"/>
      <c r="V1332" s="28"/>
      <c r="W1332" s="28" t="s">
        <v>380</v>
      </c>
      <c r="X1332" s="28" t="s">
        <v>381</v>
      </c>
      <c r="Y1332" s="28" t="s">
        <v>13513</v>
      </c>
      <c r="Z1332" s="28" t="s">
        <v>5272</v>
      </c>
      <c r="AA1332" s="28" t="s">
        <v>629</v>
      </c>
      <c r="AB1332" s="28" t="s">
        <v>5221</v>
      </c>
      <c r="AC1332" s="28" t="s">
        <v>25</v>
      </c>
      <c r="AD1332" s="23"/>
      <c r="AE1332" s="28" t="s">
        <v>10</v>
      </c>
      <c r="AF1332" s="23" t="str">
        <f>IFERROR(__xludf.DUMMYFUNCTION("TEXTJOIN("", "", TRUE,
  FILTER(Champions!C:C,
    ISNUMBER(SEARCH(C1332, Champions!W:W))
  )
)"),"David Temple")</f>
        <v>David Temple</v>
      </c>
      <c r="AG1332" s="23"/>
      <c r="AH1332" s="23" t="str">
        <f>IFERROR(__xludf.DUMMYFUNCTION("IF(
ISNUMBER(MATCH(
C1332,
IMPORTRANGE(""https://docs.google.com/spreadsheets/d/1yTh1ELC33JHYOeEdgIiEclxPRyh0zOKtlawDltfUay8"",""'Interns'!A:A""),
0
)),
""Outreach Conducted"",
"""")"),"")</f>
        <v/>
      </c>
      <c r="AI1332" s="23"/>
      <c r="AJ1332" s="23"/>
      <c r="AK1332" s="23" t="str">
        <f>IFERROR(__xludf.DUMMYFUNCTION("XLOOKUP(C1332, 
   IMPORTRANGE(""1RdEdgHYrZ33LJ7RUHj_h-qkAFL92bcVjtIdVa-UlsCw"", ""Interns!D:D""), 
   IMPORTRANGE(""1RdEdgHYrZ33LJ7RUHj_h-qkAFL92bcVjtIdVa-UlsCw"", ""Interns!M:M""), 
   ""Not Found"")"),"")</f>
        <v/>
      </c>
      <c r="AL1332" s="23" t="str">
        <f>IFERROR(__xludf.DUMMYFUNCTION("XLOOKUP(C1332, 
   IMPORTRANGE(""1RdEdgHYrZ33LJ7RUHj_h-qkAFL92bcVjtIdVa-UlsCw"", ""Interns!D:D""), 
   IMPORTRANGE(""1RdEdgHYrZ33LJ7RUHj_h-qkAFL92bcVjtIdVa-UlsCw"", ""Interns!N:N""), 
   ""Not Found"")"),"")</f>
        <v/>
      </c>
      <c r="AM1332" s="23" t="str">
        <f>IFERROR(__xludf.DUMMYFUNCTION("XLOOKUP(C1332, 
   IMPORTRANGE(""1RdEdgHYrZ33LJ7RUHj_h-qkAFL92bcVjtIdVa-UlsCw"", ""Interns!D:D""), 
   IMPORTRANGE(""1RdEdgHYrZ33LJ7RUHj_h-qkAFL92bcVjtIdVa-UlsCw"", ""Interns!O:O""), 
   ""Not Found"")"),"")</f>
        <v/>
      </c>
      <c r="AN1332" s="23"/>
      <c r="AO1332" s="23" t="s">
        <v>13514</v>
      </c>
      <c r="AP1332" s="28" t="s">
        <v>5182</v>
      </c>
      <c r="AQ1332" s="28" t="s">
        <v>13515</v>
      </c>
      <c r="AR1332" s="23" t="s">
        <v>13516</v>
      </c>
      <c r="AS1332" s="23"/>
      <c r="AT1332" s="23"/>
      <c r="AU1332" s="23"/>
      <c r="AV1332" s="23"/>
    </row>
    <row r="1333">
      <c r="A1333" s="28" t="s">
        <v>5161</v>
      </c>
      <c r="B1333" s="28" t="s">
        <v>5162</v>
      </c>
      <c r="C1333" s="23" t="str">
        <f t="shared" si="39"/>
        <v>Jose Salas</v>
      </c>
      <c r="D1333" s="28" t="s">
        <v>6697</v>
      </c>
      <c r="E1333" s="28" t="s">
        <v>12725</v>
      </c>
      <c r="F1333" s="23">
        <f t="array" ref="F1333">IFERROR(
    INDEX('Hub Interns 226'!A:A, MATCH(C1333, 'Hub Interns 226'!B:B, 0)),"")</f>
        <v>690</v>
      </c>
      <c r="G1333" s="23">
        <f t="array" ref="G1333">IFERROR(
    INDEX('Hub Users 226'!A:A, MATCH(C1333, 'Hub Users 226'!B:B, 0)),"")</f>
        <v>1123</v>
      </c>
      <c r="H1333" s="28">
        <v>437.0</v>
      </c>
      <c r="I1333" s="28" t="s">
        <v>239</v>
      </c>
      <c r="J1333" s="28"/>
      <c r="K1333" s="28"/>
      <c r="L1333" s="28" t="s">
        <v>5165</v>
      </c>
      <c r="M1333" s="56" t="s">
        <v>12726</v>
      </c>
      <c r="N1333" s="57">
        <v>44315.55763888889</v>
      </c>
      <c r="O1333" s="58">
        <v>38192.0</v>
      </c>
      <c r="P1333" s="28">
        <f t="shared" si="38"/>
        <v>21</v>
      </c>
      <c r="Q1333" s="28" t="s">
        <v>240</v>
      </c>
      <c r="R1333" s="28" t="s">
        <v>13517</v>
      </c>
      <c r="S1333" s="28">
        <v>15.0</v>
      </c>
      <c r="T1333" s="28">
        <v>32.0</v>
      </c>
      <c r="U1333" s="28">
        <v>77.0</v>
      </c>
      <c r="V1333" s="28">
        <v>16.0</v>
      </c>
      <c r="W1333" s="28" t="s">
        <v>859</v>
      </c>
      <c r="X1333" s="28" t="s">
        <v>272</v>
      </c>
      <c r="Y1333" s="28" t="s">
        <v>12728</v>
      </c>
      <c r="Z1333" s="28" t="s">
        <v>5310</v>
      </c>
      <c r="AA1333" s="28" t="s">
        <v>362</v>
      </c>
      <c r="AB1333" s="28">
        <v>16.0</v>
      </c>
      <c r="AC1333" s="28" t="s">
        <v>25</v>
      </c>
      <c r="AD1333" s="23"/>
      <c r="AE1333" s="28" t="s">
        <v>10</v>
      </c>
      <c r="AF1333" s="23" t="str">
        <f>IFERROR(__xludf.DUMMYFUNCTION("TEXTJOIN("", "", TRUE,
  FILTER(Champions!C:C,
    ISNUMBER(SEARCH(C1333, Champions!W:W))
  )
)"),"Chante Adams, Prithvi Mattur")</f>
        <v>Chante Adams, Prithvi Mattur</v>
      </c>
      <c r="AG1333" s="23"/>
      <c r="AH1333" s="23" t="str">
        <f>IFERROR(__xludf.DUMMYFUNCTION("IF(
ISNUMBER(MATCH(
C1333,
IMPORTRANGE(""https://docs.google.com/spreadsheets/d/1yTh1ELC33JHYOeEdgIiEclxPRyh0zOKtlawDltfUay8"",""'Interns'!A:A""),
0
)),
""Outreach Conducted"",
"""")"),"")</f>
        <v/>
      </c>
      <c r="AI1333" s="23"/>
      <c r="AJ1333" s="23"/>
      <c r="AK1333" s="23" t="str">
        <f>IFERROR(__xludf.DUMMYFUNCTION("XLOOKUP(C1333, 
   IMPORTRANGE(""1RdEdgHYrZ33LJ7RUHj_h-qkAFL92bcVjtIdVa-UlsCw"", ""Interns!D:D""), 
   IMPORTRANGE(""1RdEdgHYrZ33LJ7RUHj_h-qkAFL92bcVjtIdVa-UlsCw"", ""Interns!M:M""), 
   ""Not Found"")"),"")</f>
        <v/>
      </c>
      <c r="AL1333" s="23" t="str">
        <f>IFERROR(__xludf.DUMMYFUNCTION("XLOOKUP(C1333, 
   IMPORTRANGE(""1RdEdgHYrZ33LJ7RUHj_h-qkAFL92bcVjtIdVa-UlsCw"", ""Interns!D:D""), 
   IMPORTRANGE(""1RdEdgHYrZ33LJ7RUHj_h-qkAFL92bcVjtIdVa-UlsCw"", ""Interns!N:N""), 
   ""Not Found"")"),"")</f>
        <v/>
      </c>
      <c r="AM1333" s="23" t="str">
        <f>IFERROR(__xludf.DUMMYFUNCTION("XLOOKUP(C1333, 
   IMPORTRANGE(""1RdEdgHYrZ33LJ7RUHj_h-qkAFL92bcVjtIdVa-UlsCw"", ""Interns!D:D""), 
   IMPORTRANGE(""1RdEdgHYrZ33LJ7RUHj_h-qkAFL92bcVjtIdVa-UlsCw"", ""Interns!O:O""), 
   ""Not Found"")"),"")</f>
        <v/>
      </c>
      <c r="AN1333" s="23"/>
      <c r="AO1333" s="23" t="s">
        <v>13518</v>
      </c>
      <c r="AP1333" s="28" t="s">
        <v>5182</v>
      </c>
      <c r="AQ1333" s="28"/>
      <c r="AR1333" s="23"/>
      <c r="AS1333" s="23"/>
      <c r="AT1333" s="23"/>
      <c r="AU1333" s="23"/>
      <c r="AV1333" s="23"/>
    </row>
    <row r="1334">
      <c r="A1334" s="28" t="s">
        <v>5161</v>
      </c>
      <c r="B1334" s="28" t="s">
        <v>31</v>
      </c>
      <c r="C1334" s="23" t="str">
        <f t="shared" si="39"/>
        <v>April Hiciano</v>
      </c>
      <c r="D1334" s="28" t="s">
        <v>597</v>
      </c>
      <c r="E1334" s="28" t="s">
        <v>13519</v>
      </c>
      <c r="F1334" s="23">
        <f t="array" ref="F1334">IFERROR(
    INDEX('Hub Interns 226'!A:A, MATCH(C1334, 'Hub Interns 226'!B:B, 0)),"")</f>
        <v>252</v>
      </c>
      <c r="G1334" s="23">
        <f t="array" ref="G1334">IFERROR(
    INDEX('Hub Users 226'!A:A, MATCH(C1334, 'Hub Users 226'!B:B, 0)),"")</f>
        <v>685</v>
      </c>
      <c r="H1334" s="28">
        <v>1307.0</v>
      </c>
      <c r="I1334" s="28"/>
      <c r="J1334" s="28"/>
      <c r="K1334" s="28"/>
      <c r="L1334" s="28" t="s">
        <v>5196</v>
      </c>
      <c r="M1334" s="56" t="s">
        <v>13520</v>
      </c>
      <c r="N1334" s="59">
        <v>44847.45208333333</v>
      </c>
      <c r="O1334" s="58">
        <v>38820.0</v>
      </c>
      <c r="P1334" s="28">
        <f t="shared" si="38"/>
        <v>20</v>
      </c>
      <c r="Q1334" s="28" t="s">
        <v>240</v>
      </c>
      <c r="R1334" s="28" t="s">
        <v>13521</v>
      </c>
      <c r="S1334" s="28"/>
      <c r="T1334" s="28"/>
      <c r="U1334" s="28"/>
      <c r="V1334" s="28"/>
      <c r="W1334" s="28" t="s">
        <v>271</v>
      </c>
      <c r="X1334" s="28" t="s">
        <v>272</v>
      </c>
      <c r="Y1334" s="28" t="s">
        <v>13522</v>
      </c>
      <c r="Z1334" s="28" t="s">
        <v>5341</v>
      </c>
      <c r="AA1334" s="28" t="s">
        <v>1085</v>
      </c>
      <c r="AB1334" s="28">
        <v>10.0</v>
      </c>
      <c r="AC1334" s="28" t="s">
        <v>28</v>
      </c>
      <c r="AD1334" s="23"/>
      <c r="AE1334" s="28" t="s">
        <v>15</v>
      </c>
      <c r="AF1334" s="23"/>
      <c r="AG1334" s="23"/>
      <c r="AH1334" s="23" t="str">
        <f>IFERROR(__xludf.DUMMYFUNCTION("IF(
ISNUMBER(MATCH(
C1334,
IMPORTRANGE(""https://docs.google.com/spreadsheets/d/1yTh1ELC33JHYOeEdgIiEclxPRyh0zOKtlawDltfUay8"",""'Interns'!A:A""),
0
)),
""Outreach Conducted"",
"""")"),"")</f>
        <v/>
      </c>
      <c r="AI1334" s="23"/>
      <c r="AJ1334" s="23"/>
      <c r="AK1334" s="23" t="str">
        <f>IFERROR(__xludf.DUMMYFUNCTION("XLOOKUP(C1334, 
   IMPORTRANGE(""1RdEdgHYrZ33LJ7RUHj_h-qkAFL92bcVjtIdVa-UlsCw"", ""Interns!D:D""), 
   IMPORTRANGE(""1RdEdgHYrZ33LJ7RUHj_h-qkAFL92bcVjtIdVa-UlsCw"", ""Interns!M:M""), 
   ""Not Found"")"),"")</f>
        <v/>
      </c>
      <c r="AL1334" s="23" t="str">
        <f>IFERROR(__xludf.DUMMYFUNCTION("XLOOKUP(C1334, 
   IMPORTRANGE(""1RdEdgHYrZ33LJ7RUHj_h-qkAFL92bcVjtIdVa-UlsCw"", ""Interns!D:D""), 
   IMPORTRANGE(""1RdEdgHYrZ33LJ7RUHj_h-qkAFL92bcVjtIdVa-UlsCw"", ""Interns!N:N""), 
   ""Not Found"")"),"")</f>
        <v/>
      </c>
      <c r="AM1334" s="23" t="str">
        <f>IFERROR(__xludf.DUMMYFUNCTION("XLOOKUP(C1334, 
   IMPORTRANGE(""1RdEdgHYrZ33LJ7RUHj_h-qkAFL92bcVjtIdVa-UlsCw"", ""Interns!D:D""), 
   IMPORTRANGE(""1RdEdgHYrZ33LJ7RUHj_h-qkAFL92bcVjtIdVa-UlsCw"", ""Interns!O:O""), 
   ""Not Found"")"),"")</f>
        <v/>
      </c>
      <c r="AN1334" s="23"/>
      <c r="AO1334" s="23" t="s">
        <v>13523</v>
      </c>
      <c r="AP1334" s="28" t="s">
        <v>5182</v>
      </c>
      <c r="AQ1334" s="28"/>
      <c r="AR1334" s="23"/>
      <c r="AS1334" s="23"/>
      <c r="AT1334" s="23"/>
      <c r="AU1334" s="23"/>
      <c r="AV1334" s="23"/>
    </row>
    <row r="1335">
      <c r="A1335" s="28" t="s">
        <v>5161</v>
      </c>
      <c r="B1335" s="28" t="s">
        <v>5162</v>
      </c>
      <c r="C1335" s="23" t="str">
        <f t="shared" si="39"/>
        <v>Brian Ali</v>
      </c>
      <c r="D1335" s="28" t="s">
        <v>3996</v>
      </c>
      <c r="E1335" s="28" t="s">
        <v>9802</v>
      </c>
      <c r="F1335" s="23">
        <f t="array" ref="F1335">IFERROR(
    INDEX('Hub Interns 226'!A:A, MATCH(C1335, 'Hub Interns 226'!B:B, 0)),"")</f>
        <v>288</v>
      </c>
      <c r="G1335" s="23">
        <f t="array" ref="G1335">IFERROR(
    INDEX('Hub Users 226'!A:A, MATCH(C1335, 'Hub Users 226'!B:B, 0)),"")</f>
        <v>721</v>
      </c>
      <c r="H1335" s="28">
        <v>1380.0</v>
      </c>
      <c r="I1335" s="28" t="s">
        <v>269</v>
      </c>
      <c r="J1335" s="28"/>
      <c r="K1335" s="28"/>
      <c r="L1335" s="28" t="s">
        <v>5165</v>
      </c>
      <c r="M1335" s="56" t="s">
        <v>13524</v>
      </c>
      <c r="N1335" s="59">
        <v>44860.59444444445</v>
      </c>
      <c r="O1335" s="58">
        <v>39321.0</v>
      </c>
      <c r="P1335" s="28">
        <f t="shared" si="38"/>
        <v>18</v>
      </c>
      <c r="Q1335" s="28" t="s">
        <v>240</v>
      </c>
      <c r="R1335" s="28" t="s">
        <v>13525</v>
      </c>
      <c r="S1335" s="28">
        <v>5.0</v>
      </c>
      <c r="T1335" s="28">
        <v>10.0</v>
      </c>
      <c r="U1335" s="28">
        <v>32.0</v>
      </c>
      <c r="V1335" s="28">
        <v>27.0</v>
      </c>
      <c r="W1335" s="28" t="s">
        <v>1173</v>
      </c>
      <c r="X1335" s="28" t="s">
        <v>272</v>
      </c>
      <c r="Y1335" s="28" t="s">
        <v>13526</v>
      </c>
      <c r="Z1335" s="28" t="s">
        <v>5332</v>
      </c>
      <c r="AA1335" s="28" t="s">
        <v>421</v>
      </c>
      <c r="AB1335" s="28">
        <v>31.0</v>
      </c>
      <c r="AC1335" s="28" t="s">
        <v>23</v>
      </c>
      <c r="AD1335" s="28" t="s">
        <v>101</v>
      </c>
      <c r="AE1335" s="28" t="s">
        <v>15</v>
      </c>
      <c r="AF1335" s="23"/>
      <c r="AG1335" s="23"/>
      <c r="AH1335" s="23" t="str">
        <f>IFERROR(__xludf.DUMMYFUNCTION("IF(
ISNUMBER(MATCH(
C1335,
IMPORTRANGE(""https://docs.google.com/spreadsheets/d/1yTh1ELC33JHYOeEdgIiEclxPRyh0zOKtlawDltfUay8"",""'Interns'!A:A""),
0
)),
""Outreach Conducted"",
"""")"),"")</f>
        <v/>
      </c>
      <c r="AI1335" s="23"/>
      <c r="AJ1335" s="23"/>
      <c r="AK1335" s="23" t="str">
        <f>IFERROR(__xludf.DUMMYFUNCTION("XLOOKUP(C1335, 
   IMPORTRANGE(""1RdEdgHYrZ33LJ7RUHj_h-qkAFL92bcVjtIdVa-UlsCw"", ""Interns!D:D""), 
   IMPORTRANGE(""1RdEdgHYrZ33LJ7RUHj_h-qkAFL92bcVjtIdVa-UlsCw"", ""Interns!M:M""), 
   ""Not Found"")"),"Contacted")</f>
        <v>Contacted</v>
      </c>
      <c r="AL1335" s="23" t="str">
        <f>IFERROR(__xludf.DUMMYFUNCTION("XLOOKUP(C1335, 
   IMPORTRANGE(""1RdEdgHYrZ33LJ7RUHj_h-qkAFL92bcVjtIdVa-UlsCw"", ""Interns!D:D""), 
   IMPORTRANGE(""1RdEdgHYrZ33LJ7RUHj_h-qkAFL92bcVjtIdVa-UlsCw"", ""Interns!N:N""), 
   ""Not Found"")"),"#Cheers4Careers")</f>
        <v>#Cheers4Careers</v>
      </c>
      <c r="AM1335" s="23" t="str">
        <f>IFERROR(__xludf.DUMMYFUNCTION("XLOOKUP(C1335, 
   IMPORTRANGE(""1RdEdgHYrZ33LJ7RUHj_h-qkAFL92bcVjtIdVa-UlsCw"", ""Interns!D:D""), 
   IMPORTRANGE(""1RdEdgHYrZ33LJ7RUHj_h-qkAFL92bcVjtIdVa-UlsCw"", ""Interns!O:O""), 
   ""Not Found"")"),"Hetal reached out March 27 for March #Cheers4 Careers and texted")</f>
        <v>Hetal reached out March 27 for March #Cheers4 Careers and texted</v>
      </c>
      <c r="AN1335" s="23"/>
      <c r="AO1335" s="23" t="s">
        <v>13527</v>
      </c>
      <c r="AP1335" s="28" t="s">
        <v>5191</v>
      </c>
      <c r="AQ1335" s="28"/>
      <c r="AR1335" s="23"/>
      <c r="AS1335" s="23"/>
      <c r="AT1335" s="23"/>
      <c r="AU1335" s="23"/>
      <c r="AV1335" s="23"/>
    </row>
    <row r="1336">
      <c r="A1336" s="28" t="s">
        <v>5161</v>
      </c>
      <c r="B1336" s="28" t="s">
        <v>5162</v>
      </c>
      <c r="C1336" s="23" t="str">
        <f t="shared" si="39"/>
        <v>Justin Smith</v>
      </c>
      <c r="D1336" s="28" t="s">
        <v>6724</v>
      </c>
      <c r="E1336" s="28" t="s">
        <v>495</v>
      </c>
      <c r="F1336" s="23">
        <f t="array" ref="F1336">IFERROR(
    INDEX('Hub Interns 226'!A:A, MATCH(C1336, 'Hub Interns 226'!B:B, 0)),"")</f>
        <v>707</v>
      </c>
      <c r="G1336" s="23">
        <f t="array" ref="G1336">IFERROR(
    INDEX('Hub Users 226'!A:A, MATCH(C1336, 'Hub Users 226'!B:B, 0)),"")</f>
        <v>1140</v>
      </c>
      <c r="H1336" s="28">
        <v>1370.0</v>
      </c>
      <c r="I1336" s="28" t="s">
        <v>239</v>
      </c>
      <c r="J1336" s="28"/>
      <c r="K1336" s="28"/>
      <c r="L1336" s="28" t="s">
        <v>5165</v>
      </c>
      <c r="M1336" s="56" t="s">
        <v>13528</v>
      </c>
      <c r="N1336" s="59">
        <v>44859.93263888889</v>
      </c>
      <c r="O1336" s="58">
        <v>39506.0</v>
      </c>
      <c r="P1336" s="28">
        <f t="shared" si="38"/>
        <v>18</v>
      </c>
      <c r="Q1336" s="28" t="s">
        <v>240</v>
      </c>
      <c r="R1336" s="28" t="s">
        <v>13529</v>
      </c>
      <c r="S1336" s="28">
        <v>5.0</v>
      </c>
      <c r="T1336" s="28">
        <v>14.0</v>
      </c>
      <c r="U1336" s="28">
        <v>29.0</v>
      </c>
      <c r="V1336" s="28">
        <v>31.0</v>
      </c>
      <c r="W1336" s="28" t="s">
        <v>1173</v>
      </c>
      <c r="X1336" s="28" t="s">
        <v>272</v>
      </c>
      <c r="Y1336" s="28" t="s">
        <v>13530</v>
      </c>
      <c r="Z1336" s="28" t="s">
        <v>5332</v>
      </c>
      <c r="AA1336" s="28" t="s">
        <v>421</v>
      </c>
      <c r="AB1336" s="28">
        <v>31.0</v>
      </c>
      <c r="AC1336" s="28" t="s">
        <v>23</v>
      </c>
      <c r="AD1336" s="28" t="s">
        <v>101</v>
      </c>
      <c r="AE1336" s="28" t="s">
        <v>15</v>
      </c>
      <c r="AF1336" s="23"/>
      <c r="AG1336" s="23"/>
      <c r="AH1336" s="23" t="str">
        <f>IFERROR(__xludf.DUMMYFUNCTION("IF(
ISNUMBER(MATCH(
C1336,
IMPORTRANGE(""https://docs.google.com/spreadsheets/d/1yTh1ELC33JHYOeEdgIiEclxPRyh0zOKtlawDltfUay8"",""'Interns'!A:A""),
0
)),
""Outreach Conducted"",
"""")"),"")</f>
        <v/>
      </c>
      <c r="AI1336" s="23"/>
      <c r="AJ1336" s="23"/>
      <c r="AK1336" s="23" t="str">
        <f>IFERROR(__xludf.DUMMYFUNCTION("XLOOKUP(C1336, 
   IMPORTRANGE(""1RdEdgHYrZ33LJ7RUHj_h-qkAFL92bcVjtIdVa-UlsCw"", ""Interns!D:D""), 
   IMPORTRANGE(""1RdEdgHYrZ33LJ7RUHj_h-qkAFL92bcVjtIdVa-UlsCw"", ""Interns!M:M""), 
   ""Not Found"")"),"Contacted")</f>
        <v>Contacted</v>
      </c>
      <c r="AL1336" s="23" t="str">
        <f>IFERROR(__xludf.DUMMYFUNCTION("XLOOKUP(C1336, 
   IMPORTRANGE(""1RdEdgHYrZ33LJ7RUHj_h-qkAFL92bcVjtIdVa-UlsCw"", ""Interns!D:D""), 
   IMPORTRANGE(""1RdEdgHYrZ33LJ7RUHj_h-qkAFL92bcVjtIdVa-UlsCw"", ""Interns!N:N""), 
   ""Not Found"")"),"#Cheers4Careers")</f>
        <v>#Cheers4Careers</v>
      </c>
      <c r="AM1336" s="23" t="str">
        <f>IFERROR(__xludf.DUMMYFUNCTION("XLOOKUP(C1336, 
   IMPORTRANGE(""1RdEdgHYrZ33LJ7RUHj_h-qkAFL92bcVjtIdVa-UlsCw"", ""Interns!D:D""), 
   IMPORTRANGE(""1RdEdgHYrZ33LJ7RUHj_h-qkAFL92bcVjtIdVa-UlsCw"", ""Interns!O:O""), 
   ""Not Found"")"),"Hetal reached out March 27 for March #Cheers4 Careers ")</f>
        <v>Hetal reached out March 27 for March #Cheers4 Careers </v>
      </c>
      <c r="AN1336" s="23"/>
      <c r="AO1336" s="23" t="s">
        <v>13531</v>
      </c>
      <c r="AP1336" s="28" t="s">
        <v>5182</v>
      </c>
      <c r="AQ1336" s="28"/>
      <c r="AR1336" s="23"/>
      <c r="AS1336" s="23"/>
      <c r="AT1336" s="23"/>
      <c r="AU1336" s="23"/>
      <c r="AV1336" s="23"/>
    </row>
    <row r="1337">
      <c r="A1337" s="28" t="s">
        <v>5161</v>
      </c>
      <c r="B1337" s="28" t="s">
        <v>5162</v>
      </c>
      <c r="C1337" s="23" t="str">
        <f t="shared" si="39"/>
        <v>Tiannae Charles</v>
      </c>
      <c r="D1337" s="28" t="s">
        <v>13532</v>
      </c>
      <c r="E1337" s="28" t="s">
        <v>10754</v>
      </c>
      <c r="F1337" s="23">
        <f t="array" ref="F1337">IFERROR(
    INDEX('Hub Interns 226'!A:A, MATCH(C1337, 'Hub Interns 226'!B:B, 0)),"")</f>
        <v>214</v>
      </c>
      <c r="G1337" s="23">
        <f t="array" ref="G1337">IFERROR(
    INDEX('Hub Users 226'!A:A, MATCH(C1337, 'Hub Users 226'!B:B, 0)),"")</f>
        <v>647</v>
      </c>
      <c r="H1337" s="28">
        <v>1401.0</v>
      </c>
      <c r="I1337" s="28" t="s">
        <v>407</v>
      </c>
      <c r="J1337" s="28"/>
      <c r="K1337" s="28"/>
      <c r="L1337" s="28" t="s">
        <v>5196</v>
      </c>
      <c r="M1337" s="56" t="s">
        <v>13533</v>
      </c>
      <c r="N1337" s="59">
        <v>44865.459027777775</v>
      </c>
      <c r="O1337" s="58">
        <v>39394.0</v>
      </c>
      <c r="P1337" s="28">
        <f t="shared" si="38"/>
        <v>18</v>
      </c>
      <c r="Q1337" s="28" t="s">
        <v>240</v>
      </c>
      <c r="R1337" s="28" t="s">
        <v>13534</v>
      </c>
      <c r="S1337" s="28">
        <v>5.0</v>
      </c>
      <c r="T1337" s="28">
        <v>10.0</v>
      </c>
      <c r="U1337" s="28">
        <v>32.0</v>
      </c>
      <c r="V1337" s="28">
        <v>28.0</v>
      </c>
      <c r="W1337" s="28" t="s">
        <v>1173</v>
      </c>
      <c r="X1337" s="28" t="s">
        <v>272</v>
      </c>
      <c r="Y1337" s="28" t="s">
        <v>13535</v>
      </c>
      <c r="Z1337" s="28" t="s">
        <v>5332</v>
      </c>
      <c r="AA1337" s="28" t="s">
        <v>421</v>
      </c>
      <c r="AB1337" s="28">
        <v>31.0</v>
      </c>
      <c r="AC1337" s="28" t="s">
        <v>23</v>
      </c>
      <c r="AD1337" s="23"/>
      <c r="AE1337" s="28" t="s">
        <v>15</v>
      </c>
      <c r="AF1337" s="23"/>
      <c r="AG1337" s="23"/>
      <c r="AH1337" s="23" t="str">
        <f>IFERROR(__xludf.DUMMYFUNCTION("IF(
ISNUMBER(MATCH(
C1337,
IMPORTRANGE(""https://docs.google.com/spreadsheets/d/1yTh1ELC33JHYOeEdgIiEclxPRyh0zOKtlawDltfUay8"",""'Interns'!A:A""),
0
)),
""Outreach Conducted"",
"""")"),"")</f>
        <v/>
      </c>
      <c r="AI1337" s="23"/>
      <c r="AJ1337" s="23"/>
      <c r="AK1337" s="23" t="str">
        <f>IFERROR(__xludf.DUMMYFUNCTION("XLOOKUP(C1337, 
   IMPORTRANGE(""1RdEdgHYrZ33LJ7RUHj_h-qkAFL92bcVjtIdVa-UlsCw"", ""Interns!D:D""), 
   IMPORTRANGE(""1RdEdgHYrZ33LJ7RUHj_h-qkAFL92bcVjtIdVa-UlsCw"", ""Interns!M:M""), 
   ""Not Found"")"),"Contacted")</f>
        <v>Contacted</v>
      </c>
      <c r="AL1337" s="23" t="str">
        <f>IFERROR(__xludf.DUMMYFUNCTION("XLOOKUP(C1337, 
   IMPORTRANGE(""1RdEdgHYrZ33LJ7RUHj_h-qkAFL92bcVjtIdVa-UlsCw"", ""Interns!D:D""), 
   IMPORTRANGE(""1RdEdgHYrZ33LJ7RUHj_h-qkAFL92bcVjtIdVa-UlsCw"", ""Interns!N:N""), 
   ""Not Found"")"),"#Cheers4Careers")</f>
        <v>#Cheers4Careers</v>
      </c>
      <c r="AM1337" s="23" t="str">
        <f>IFERROR(__xludf.DUMMYFUNCTION("XLOOKUP(C1337, 
   IMPORTRANGE(""1RdEdgHYrZ33LJ7RUHj_h-qkAFL92bcVjtIdVa-UlsCw"", ""Interns!D:D""), 
   IMPORTRANGE(""1RdEdgHYrZ33LJ7RUHj_h-qkAFL92bcVjtIdVa-UlsCw"", ""Interns!O:O""), 
   ""Not Found"")"),"Hetal reached out March 27 for March #Cheers4 Careers and texted")</f>
        <v>Hetal reached out March 27 for March #Cheers4 Careers and texted</v>
      </c>
      <c r="AN1337" s="23"/>
      <c r="AO1337" s="23" t="s">
        <v>13536</v>
      </c>
      <c r="AP1337" s="28" t="s">
        <v>5182</v>
      </c>
      <c r="AQ1337" s="28"/>
      <c r="AR1337" s="23"/>
      <c r="AS1337" s="23"/>
      <c r="AT1337" s="23"/>
      <c r="AU1337" s="23"/>
      <c r="AV1337" s="23"/>
    </row>
    <row r="1338">
      <c r="A1338" s="28" t="s">
        <v>5161</v>
      </c>
      <c r="B1338" s="28" t="s">
        <v>31</v>
      </c>
      <c r="C1338" s="23" t="str">
        <f t="shared" si="39"/>
        <v>Brailyn Ramirez</v>
      </c>
      <c r="D1338" s="28" t="s">
        <v>13537</v>
      </c>
      <c r="E1338" s="28" t="s">
        <v>2127</v>
      </c>
      <c r="F1338" s="23">
        <f t="array" ref="F1338">IFERROR(
    INDEX('Hub Interns 226'!A:A, MATCH(C1338, 'Hub Interns 226'!B:B, 0)),"")</f>
        <v>310</v>
      </c>
      <c r="G1338" s="23">
        <f t="array" ref="G1338">IFERROR(
    INDEX('Hub Users 226'!A:A, MATCH(C1338, 'Hub Users 226'!B:B, 0)),"")</f>
        <v>743</v>
      </c>
      <c r="H1338" s="28">
        <v>1180.0</v>
      </c>
      <c r="I1338" s="28" t="s">
        <v>269</v>
      </c>
      <c r="J1338" s="28"/>
      <c r="K1338" s="28"/>
      <c r="L1338" s="28" t="s">
        <v>5165</v>
      </c>
      <c r="M1338" s="56" t="s">
        <v>13538</v>
      </c>
      <c r="N1338" s="57">
        <v>44833.44861111111</v>
      </c>
      <c r="O1338" s="58">
        <v>39005.0</v>
      </c>
      <c r="P1338" s="28">
        <f t="shared" si="38"/>
        <v>19</v>
      </c>
      <c r="Q1338" s="28" t="s">
        <v>240</v>
      </c>
      <c r="R1338" s="28" t="s">
        <v>13539</v>
      </c>
      <c r="S1338" s="28"/>
      <c r="T1338" s="28"/>
      <c r="U1338" s="28"/>
      <c r="V1338" s="28"/>
      <c r="W1338" s="28" t="s">
        <v>271</v>
      </c>
      <c r="X1338" s="28" t="s">
        <v>272</v>
      </c>
      <c r="Y1338" s="28" t="s">
        <v>13540</v>
      </c>
      <c r="Z1338" s="28" t="s">
        <v>5341</v>
      </c>
      <c r="AA1338" s="28" t="s">
        <v>1085</v>
      </c>
      <c r="AB1338" s="28">
        <v>10.0</v>
      </c>
      <c r="AC1338" s="28" t="s">
        <v>28</v>
      </c>
      <c r="AD1338" s="28" t="s">
        <v>101</v>
      </c>
      <c r="AE1338" s="28" t="s">
        <v>15</v>
      </c>
      <c r="AF1338" s="23"/>
      <c r="AG1338" s="23"/>
      <c r="AH1338" s="23" t="str">
        <f>IFERROR(__xludf.DUMMYFUNCTION("IF(
ISNUMBER(MATCH(
C1338,
IMPORTRANGE(""https://docs.google.com/spreadsheets/d/1yTh1ELC33JHYOeEdgIiEclxPRyh0zOKtlawDltfUay8"",""'Interns'!A:A""),
0
)),
""Outreach Conducted"",
"""")"),"")</f>
        <v/>
      </c>
      <c r="AI1338" s="23"/>
      <c r="AJ1338" s="23"/>
      <c r="AK1338" s="23" t="str">
        <f>IFERROR(__xludf.DUMMYFUNCTION("XLOOKUP(C1338, 
   IMPORTRANGE(""1RdEdgHYrZ33LJ7RUHj_h-qkAFL92bcVjtIdVa-UlsCw"", ""Interns!D:D""), 
   IMPORTRANGE(""1RdEdgHYrZ33LJ7RUHj_h-qkAFL92bcVjtIdVa-UlsCw"", ""Interns!M:M""), 
   ""Not Found"")"),"")</f>
        <v/>
      </c>
      <c r="AL1338" s="23" t="str">
        <f>IFERROR(__xludf.DUMMYFUNCTION("XLOOKUP(C1338, 
   IMPORTRANGE(""1RdEdgHYrZ33LJ7RUHj_h-qkAFL92bcVjtIdVa-UlsCw"", ""Interns!D:D""), 
   IMPORTRANGE(""1RdEdgHYrZ33LJ7RUHj_h-qkAFL92bcVjtIdVa-UlsCw"", ""Interns!N:N""), 
   ""Not Found"")"),"")</f>
        <v/>
      </c>
      <c r="AM1338" s="23" t="str">
        <f>IFERROR(__xludf.DUMMYFUNCTION("XLOOKUP(C1338, 
   IMPORTRANGE(""1RdEdgHYrZ33LJ7RUHj_h-qkAFL92bcVjtIdVa-UlsCw"", ""Interns!D:D""), 
   IMPORTRANGE(""1RdEdgHYrZ33LJ7RUHj_h-qkAFL92bcVjtIdVa-UlsCw"", ""Interns!O:O""), 
   ""Not Found"")"),"")</f>
        <v/>
      </c>
      <c r="AN1338" s="23"/>
      <c r="AO1338" s="23" t="s">
        <v>13541</v>
      </c>
      <c r="AP1338" s="28" t="s">
        <v>5182</v>
      </c>
      <c r="AQ1338" s="28"/>
      <c r="AR1338" s="23"/>
      <c r="AS1338" s="23"/>
      <c r="AT1338" s="23"/>
      <c r="AU1338" s="23"/>
      <c r="AV1338" s="23"/>
    </row>
    <row r="1339">
      <c r="A1339" s="28" t="s">
        <v>5202</v>
      </c>
      <c r="B1339" s="28" t="s">
        <v>5162</v>
      </c>
      <c r="C1339" s="23" t="str">
        <f t="shared" si="39"/>
        <v>Darina Pugach</v>
      </c>
      <c r="D1339" s="28" t="s">
        <v>13542</v>
      </c>
      <c r="E1339" s="28" t="s">
        <v>13543</v>
      </c>
      <c r="F1339" s="23" t="str">
        <f t="array" ref="F1339">IFERROR(
    INDEX('Hub Interns 226'!A:A, MATCH(C1339, 'Hub Interns 226'!B:B, 0)),"")</f>
        <v/>
      </c>
      <c r="G1339" s="23" t="str">
        <f t="array" ref="G1339">IFERROR(
    INDEX('Hub Users 226'!A:A, MATCH(C1339, 'Hub Users 226'!B:B, 0)),"")</f>
        <v/>
      </c>
      <c r="H1339" s="28">
        <v>20.0</v>
      </c>
      <c r="I1339" s="28"/>
      <c r="J1339" s="28" t="s">
        <v>12457</v>
      </c>
      <c r="K1339" s="28" t="s">
        <v>5186</v>
      </c>
      <c r="L1339" s="28" t="s">
        <v>5196</v>
      </c>
      <c r="M1339" s="23"/>
      <c r="N1339" s="57">
        <v>43741.63055555556</v>
      </c>
      <c r="O1339" s="58"/>
      <c r="P1339" s="28"/>
      <c r="Q1339" s="28" t="s">
        <v>240</v>
      </c>
      <c r="R1339" s="23"/>
      <c r="S1339" s="28"/>
      <c r="T1339" s="28"/>
      <c r="U1339" s="28"/>
      <c r="V1339" s="28"/>
      <c r="W1339" s="28" t="s">
        <v>380</v>
      </c>
      <c r="X1339" s="28" t="s">
        <v>381</v>
      </c>
      <c r="Y1339" s="28" t="s">
        <v>13544</v>
      </c>
      <c r="Z1339" s="28" t="s">
        <v>5272</v>
      </c>
      <c r="AA1339" s="28" t="s">
        <v>629</v>
      </c>
      <c r="AB1339" s="28" t="s">
        <v>5221</v>
      </c>
      <c r="AC1339" s="28" t="s">
        <v>25</v>
      </c>
      <c r="AD1339" s="23"/>
      <c r="AE1339" s="28" t="s">
        <v>4</v>
      </c>
      <c r="AF1339" s="23" t="str">
        <f>IFERROR(__xludf.DUMMYFUNCTION("TEXTJOIN("", "", TRUE,
  FILTER(Champions!C:C,
    ISNUMBER(SEARCH(C1339, Champions!W:W))
  )
)"),"Tatiana Nechaeva")</f>
        <v>Tatiana Nechaeva</v>
      </c>
      <c r="AG1339" s="23"/>
      <c r="AH1339" s="23" t="str">
        <f>IFERROR(__xludf.DUMMYFUNCTION("IF(
ISNUMBER(MATCH(
C1339,
IMPORTRANGE(""https://docs.google.com/spreadsheets/d/1yTh1ELC33JHYOeEdgIiEclxPRyh0zOKtlawDltfUay8"",""'Interns'!A:A""),
0
)),
""Outreach Conducted"",
"""")"),"")</f>
        <v/>
      </c>
      <c r="AI1339" s="23"/>
      <c r="AJ1339" s="23"/>
      <c r="AK1339" s="23" t="str">
        <f>IFERROR(__xludf.DUMMYFUNCTION("XLOOKUP(C1339, 
   IMPORTRANGE(""1RdEdgHYrZ33LJ7RUHj_h-qkAFL92bcVjtIdVa-UlsCw"", ""Interns!D:D""), 
   IMPORTRANGE(""1RdEdgHYrZ33LJ7RUHj_h-qkAFL92bcVjtIdVa-UlsCw"", ""Interns!M:M""), 
   ""Not Found"")"),"")</f>
        <v/>
      </c>
      <c r="AL1339" s="23" t="str">
        <f>IFERROR(__xludf.DUMMYFUNCTION("XLOOKUP(C1339, 
   IMPORTRANGE(""1RdEdgHYrZ33LJ7RUHj_h-qkAFL92bcVjtIdVa-UlsCw"", ""Interns!D:D""), 
   IMPORTRANGE(""1RdEdgHYrZ33LJ7RUHj_h-qkAFL92bcVjtIdVa-UlsCw"", ""Interns!N:N""), 
   ""Not Found"")"),"")</f>
        <v/>
      </c>
      <c r="AM1339" s="23" t="str">
        <f>IFERROR(__xludf.DUMMYFUNCTION("XLOOKUP(C1339, 
   IMPORTRANGE(""1RdEdgHYrZ33LJ7RUHj_h-qkAFL92bcVjtIdVa-UlsCw"", ""Interns!D:D""), 
   IMPORTRANGE(""1RdEdgHYrZ33LJ7RUHj_h-qkAFL92bcVjtIdVa-UlsCw"", ""Interns!O:O""), 
   ""Not Found"")"),"")</f>
        <v/>
      </c>
      <c r="AN1339" s="23"/>
      <c r="AO1339" s="23" t="s">
        <v>13545</v>
      </c>
      <c r="AP1339" s="28" t="s">
        <v>5191</v>
      </c>
      <c r="AQ1339" s="28" t="s">
        <v>13545</v>
      </c>
      <c r="AR1339" s="23" t="s">
        <v>13546</v>
      </c>
      <c r="AS1339" s="23"/>
      <c r="AT1339" s="23"/>
      <c r="AU1339" s="23"/>
      <c r="AV1339" s="23"/>
    </row>
    <row r="1340">
      <c r="A1340" s="28" t="s">
        <v>5202</v>
      </c>
      <c r="B1340" s="28" t="s">
        <v>5162</v>
      </c>
      <c r="C1340" s="23" t="str">
        <f t="shared" si="39"/>
        <v>yosselin solis</v>
      </c>
      <c r="D1340" s="28" t="s">
        <v>13547</v>
      </c>
      <c r="E1340" s="28" t="s">
        <v>13548</v>
      </c>
      <c r="F1340" s="23">
        <f t="array" ref="F1340">IFERROR(
    INDEX('Hub Interns 226'!A:A, MATCH(C1340, 'Hub Interns 226'!B:B, 0)),"")</f>
        <v>1246</v>
      </c>
      <c r="G1340" s="23">
        <f t="array" ref="G1340">IFERROR(
    INDEX('Hub Users 226'!A:A, MATCH(C1340, 'Hub Users 226'!B:B, 0)),"")</f>
        <v>1679</v>
      </c>
      <c r="H1340" s="28">
        <v>1270.0</v>
      </c>
      <c r="I1340" s="28" t="s">
        <v>107</v>
      </c>
      <c r="J1340" s="28" t="s">
        <v>9066</v>
      </c>
      <c r="K1340" s="28" t="s">
        <v>5177</v>
      </c>
      <c r="L1340" s="28" t="s">
        <v>5196</v>
      </c>
      <c r="M1340" s="56" t="s">
        <v>13549</v>
      </c>
      <c r="N1340" s="59">
        <v>44845.455555555556</v>
      </c>
      <c r="O1340" s="58">
        <v>38802.0</v>
      </c>
      <c r="P1340" s="28">
        <f t="shared" ref="P1340:P1389" si="40">DATEDIF(O1340, TODAY(), "Y")</f>
        <v>20</v>
      </c>
      <c r="Q1340" s="28" t="s">
        <v>240</v>
      </c>
      <c r="R1340" s="28" t="s">
        <v>13550</v>
      </c>
      <c r="S1340" s="28">
        <v>15.0</v>
      </c>
      <c r="T1340" s="28">
        <v>33.0</v>
      </c>
      <c r="U1340" s="28">
        <v>86.0</v>
      </c>
      <c r="V1340" s="28">
        <v>14.0</v>
      </c>
      <c r="W1340" s="28" t="s">
        <v>859</v>
      </c>
      <c r="X1340" s="28" t="s">
        <v>272</v>
      </c>
      <c r="Y1340" s="28" t="s">
        <v>13551</v>
      </c>
      <c r="Z1340" s="28" t="s">
        <v>5918</v>
      </c>
      <c r="AA1340" s="28" t="s">
        <v>477</v>
      </c>
      <c r="AB1340" s="28">
        <v>15.0</v>
      </c>
      <c r="AC1340" s="28" t="s">
        <v>23</v>
      </c>
      <c r="AD1340" s="23"/>
      <c r="AE1340" s="28" t="s">
        <v>15</v>
      </c>
      <c r="AF1340" s="23"/>
      <c r="AG1340" s="23"/>
      <c r="AH1340" s="23" t="str">
        <f>IFERROR(__xludf.DUMMYFUNCTION("IF(
ISNUMBER(MATCH(
C1340,
IMPORTRANGE(""https://docs.google.com/spreadsheets/d/1yTh1ELC33JHYOeEdgIiEclxPRyh0zOKtlawDltfUay8"",""'Interns'!A:A""),
0
)),
""Outreach Conducted"",
"""")"),"")</f>
        <v/>
      </c>
      <c r="AI1340" s="23"/>
      <c r="AJ1340" s="23"/>
      <c r="AK1340" s="23" t="str">
        <f>IFERROR(__xludf.DUMMYFUNCTION("XLOOKUP(C1340, 
   IMPORTRANGE(""1RdEdgHYrZ33LJ7RUHj_h-qkAFL92bcVjtIdVa-UlsCw"", ""Interns!D:D""), 
   IMPORTRANGE(""1RdEdgHYrZ33LJ7RUHj_h-qkAFL92bcVjtIdVa-UlsCw"", ""Interns!M:M""), 
   ""Not Found"")"),"")</f>
        <v/>
      </c>
      <c r="AL1340" s="23" t="str">
        <f>IFERROR(__xludf.DUMMYFUNCTION("XLOOKUP(C1340, 
   IMPORTRANGE(""1RdEdgHYrZ33LJ7RUHj_h-qkAFL92bcVjtIdVa-UlsCw"", ""Interns!D:D""), 
   IMPORTRANGE(""1RdEdgHYrZ33LJ7RUHj_h-qkAFL92bcVjtIdVa-UlsCw"", ""Interns!N:N""), 
   ""Not Found"")"),"")</f>
        <v/>
      </c>
      <c r="AM1340" s="23" t="str">
        <f>IFERROR(__xludf.DUMMYFUNCTION("XLOOKUP(C1340, 
   IMPORTRANGE(""1RdEdgHYrZ33LJ7RUHj_h-qkAFL92bcVjtIdVa-UlsCw"", ""Interns!D:D""), 
   IMPORTRANGE(""1RdEdgHYrZ33LJ7RUHj_h-qkAFL92bcVjtIdVa-UlsCw"", ""Interns!O:O""), 
   ""Not Found"")"),"")</f>
        <v/>
      </c>
      <c r="AN1340" s="23"/>
      <c r="AO1340" s="23" t="s">
        <v>13552</v>
      </c>
      <c r="AP1340" s="28" t="s">
        <v>5173</v>
      </c>
      <c r="AQ1340" s="28"/>
      <c r="AR1340" s="23"/>
      <c r="AS1340" s="23"/>
      <c r="AT1340" s="23"/>
      <c r="AU1340" s="23"/>
      <c r="AV1340" s="23"/>
    </row>
    <row r="1341">
      <c r="A1341" s="28" t="s">
        <v>5161</v>
      </c>
      <c r="B1341" s="28" t="s">
        <v>31</v>
      </c>
      <c r="C1341" s="23" t="str">
        <f t="shared" si="39"/>
        <v>Britney Peralta</v>
      </c>
      <c r="D1341" s="28" t="s">
        <v>13553</v>
      </c>
      <c r="E1341" s="28" t="s">
        <v>8653</v>
      </c>
      <c r="F1341" s="23">
        <f t="array" ref="F1341">IFERROR(
    INDEX('Hub Interns 226'!A:A, MATCH(C1341, 'Hub Interns 226'!B:B, 0)),"")</f>
        <v>319</v>
      </c>
      <c r="G1341" s="23">
        <f t="array" ref="G1341">IFERROR(
    INDEX('Hub Users 226'!A:A, MATCH(C1341, 'Hub Users 226'!B:B, 0)),"")</f>
        <v>752</v>
      </c>
      <c r="H1341" s="28">
        <v>1568.0</v>
      </c>
      <c r="I1341" s="28"/>
      <c r="J1341" s="28"/>
      <c r="K1341" s="28"/>
      <c r="L1341" s="28" t="s">
        <v>5196</v>
      </c>
      <c r="M1341" s="56" t="s">
        <v>13554</v>
      </c>
      <c r="N1341" s="57">
        <v>45015.461805555555</v>
      </c>
      <c r="O1341" s="58">
        <v>38916.0</v>
      </c>
      <c r="P1341" s="28">
        <f t="shared" si="40"/>
        <v>19</v>
      </c>
      <c r="Q1341" s="28" t="s">
        <v>240</v>
      </c>
      <c r="R1341" s="28" t="s">
        <v>13555</v>
      </c>
      <c r="S1341" s="28"/>
      <c r="T1341" s="28"/>
      <c r="U1341" s="28"/>
      <c r="V1341" s="28"/>
      <c r="W1341" s="23"/>
      <c r="X1341" s="23"/>
      <c r="Y1341" s="28" t="s">
        <v>13556</v>
      </c>
      <c r="Z1341" s="28" t="s">
        <v>5341</v>
      </c>
      <c r="AA1341" s="28" t="s">
        <v>1085</v>
      </c>
      <c r="AB1341" s="28">
        <v>10.0</v>
      </c>
      <c r="AC1341" s="28" t="s">
        <v>28</v>
      </c>
      <c r="AD1341" s="23"/>
      <c r="AE1341" s="28" t="s">
        <v>15</v>
      </c>
      <c r="AF1341" s="23"/>
      <c r="AG1341" s="23"/>
      <c r="AH1341" s="23" t="str">
        <f>IFERROR(__xludf.DUMMYFUNCTION("IF(
ISNUMBER(MATCH(
C1341,
IMPORTRANGE(""https://docs.google.com/spreadsheets/d/1yTh1ELC33JHYOeEdgIiEclxPRyh0zOKtlawDltfUay8"",""'Interns'!A:A""),
0
)),
""Outreach Conducted"",
"""")"),"")</f>
        <v/>
      </c>
      <c r="AI1341" s="23"/>
      <c r="AJ1341" s="23"/>
      <c r="AK1341" s="23" t="str">
        <f>IFERROR(__xludf.DUMMYFUNCTION("XLOOKUP(C1341, 
   IMPORTRANGE(""1RdEdgHYrZ33LJ7RUHj_h-qkAFL92bcVjtIdVa-UlsCw"", ""Interns!D:D""), 
   IMPORTRANGE(""1RdEdgHYrZ33LJ7RUHj_h-qkAFL92bcVjtIdVa-UlsCw"", ""Interns!M:M""), 
   ""Not Found"")"),"")</f>
        <v/>
      </c>
      <c r="AL1341" s="23" t="str">
        <f>IFERROR(__xludf.DUMMYFUNCTION("XLOOKUP(C1341, 
   IMPORTRANGE(""1RdEdgHYrZ33LJ7RUHj_h-qkAFL92bcVjtIdVa-UlsCw"", ""Interns!D:D""), 
   IMPORTRANGE(""1RdEdgHYrZ33LJ7RUHj_h-qkAFL92bcVjtIdVa-UlsCw"", ""Interns!N:N""), 
   ""Not Found"")"),"")</f>
        <v/>
      </c>
      <c r="AM1341" s="23" t="str">
        <f>IFERROR(__xludf.DUMMYFUNCTION("XLOOKUP(C1341, 
   IMPORTRANGE(""1RdEdgHYrZ33LJ7RUHj_h-qkAFL92bcVjtIdVa-UlsCw"", ""Interns!D:D""), 
   IMPORTRANGE(""1RdEdgHYrZ33LJ7RUHj_h-qkAFL92bcVjtIdVa-UlsCw"", ""Interns!O:O""), 
   ""Not Found"")"),"")</f>
        <v/>
      </c>
      <c r="AN1341" s="23"/>
      <c r="AO1341" s="23" t="s">
        <v>13557</v>
      </c>
      <c r="AP1341" s="28" t="s">
        <v>5182</v>
      </c>
      <c r="AQ1341" s="28"/>
      <c r="AR1341" s="23"/>
      <c r="AS1341" s="23"/>
      <c r="AT1341" s="23"/>
      <c r="AU1341" s="23"/>
      <c r="AV1341" s="23"/>
    </row>
    <row r="1342">
      <c r="A1342" s="28" t="s">
        <v>5161</v>
      </c>
      <c r="B1342" s="28" t="s">
        <v>5162</v>
      </c>
      <c r="C1342" s="23" t="str">
        <f t="shared" si="39"/>
        <v>Adam Francis</v>
      </c>
      <c r="D1342" s="28" t="s">
        <v>4181</v>
      </c>
      <c r="E1342" s="28" t="s">
        <v>1384</v>
      </c>
      <c r="F1342" s="23">
        <f t="array" ref="F1342">IFERROR(
    INDEX('Hub Interns 226'!A:A, MATCH(C1342, 'Hub Interns 226'!B:B, 0)),"")</f>
        <v>149</v>
      </c>
      <c r="G1342" s="23">
        <f t="array" ref="G1342">IFERROR(
    INDEX('Hub Users 226'!A:A, MATCH(C1342, 'Hub Users 226'!B:B, 0)),"")</f>
        <v>582</v>
      </c>
      <c r="H1342" s="28">
        <v>1343.0</v>
      </c>
      <c r="I1342" s="28" t="s">
        <v>260</v>
      </c>
      <c r="J1342" s="28"/>
      <c r="K1342" s="28"/>
      <c r="L1342" s="28" t="s">
        <v>5165</v>
      </c>
      <c r="M1342" s="56" t="s">
        <v>13558</v>
      </c>
      <c r="N1342" s="59">
        <v>44858.59861111111</v>
      </c>
      <c r="O1342" s="58">
        <v>39632.0</v>
      </c>
      <c r="P1342" s="28">
        <f t="shared" si="40"/>
        <v>17</v>
      </c>
      <c r="Q1342" s="28" t="s">
        <v>240</v>
      </c>
      <c r="R1342" s="28" t="s">
        <v>13559</v>
      </c>
      <c r="S1342" s="28">
        <v>5.0</v>
      </c>
      <c r="T1342" s="28">
        <v>14.0</v>
      </c>
      <c r="U1342" s="28">
        <v>29.0</v>
      </c>
      <c r="V1342" s="28">
        <v>31.0</v>
      </c>
      <c r="W1342" s="28" t="s">
        <v>271</v>
      </c>
      <c r="X1342" s="28" t="s">
        <v>272</v>
      </c>
      <c r="Y1342" s="28" t="s">
        <v>13560</v>
      </c>
      <c r="Z1342" s="28" t="s">
        <v>5332</v>
      </c>
      <c r="AA1342" s="28" t="s">
        <v>421</v>
      </c>
      <c r="AB1342" s="28">
        <v>31.0</v>
      </c>
      <c r="AC1342" s="28" t="s">
        <v>23</v>
      </c>
      <c r="AD1342" s="28" t="s">
        <v>101</v>
      </c>
      <c r="AE1342" s="28" t="s">
        <v>15</v>
      </c>
      <c r="AF1342" s="23"/>
      <c r="AG1342" s="23"/>
      <c r="AH1342" s="23" t="str">
        <f>IFERROR(__xludf.DUMMYFUNCTION("IF(
ISNUMBER(MATCH(
C1342,
IMPORTRANGE(""https://docs.google.com/spreadsheets/d/1yTh1ELC33JHYOeEdgIiEclxPRyh0zOKtlawDltfUay8"",""'Interns'!A:A""),
0
)),
""Outreach Conducted"",
"""")"),"")</f>
        <v/>
      </c>
      <c r="AI1342" s="23"/>
      <c r="AJ1342" s="23"/>
      <c r="AK1342" s="23" t="str">
        <f>IFERROR(__xludf.DUMMYFUNCTION("XLOOKUP(C1342, 
   IMPORTRANGE(""1RdEdgHYrZ33LJ7RUHj_h-qkAFL92bcVjtIdVa-UlsCw"", ""Interns!D:D""), 
   IMPORTRANGE(""1RdEdgHYrZ33LJ7RUHj_h-qkAFL92bcVjtIdVa-UlsCw"", ""Interns!M:M""), 
   ""Not Found"")"),"Contacted")</f>
        <v>Contacted</v>
      </c>
      <c r="AL1342" s="23" t="str">
        <f>IFERROR(__xludf.DUMMYFUNCTION("XLOOKUP(C1342, 
   IMPORTRANGE(""1RdEdgHYrZ33LJ7RUHj_h-qkAFL92bcVjtIdVa-UlsCw"", ""Interns!D:D""), 
   IMPORTRANGE(""1RdEdgHYrZ33LJ7RUHj_h-qkAFL92bcVjtIdVa-UlsCw"", ""Interns!N:N""), 
   ""Not Found"")"),"#Cheers4Careers")</f>
        <v>#Cheers4Careers</v>
      </c>
      <c r="AM1342" s="23" t="str">
        <f>IFERROR(__xludf.DUMMYFUNCTION("XLOOKUP(C1342, 
   IMPORTRANGE(""1RdEdgHYrZ33LJ7RUHj_h-qkAFL92bcVjtIdVa-UlsCw"", ""Interns!D:D""), 
   IMPORTRANGE(""1RdEdgHYrZ33LJ7RUHj_h-qkAFL92bcVjtIdVa-UlsCw"", ""Interns!O:O""), 
   ""Not Found"")"),"Hetal reached out March 27 for March #Cheers4 Careers and texted")</f>
        <v>Hetal reached out March 27 for March #Cheers4 Careers and texted</v>
      </c>
      <c r="AN1342" s="23"/>
      <c r="AO1342" s="23" t="s">
        <v>13561</v>
      </c>
      <c r="AP1342" s="28" t="s">
        <v>5191</v>
      </c>
      <c r="AQ1342" s="28"/>
      <c r="AR1342" s="23"/>
      <c r="AS1342" s="23"/>
      <c r="AT1342" s="23"/>
      <c r="AU1342" s="23"/>
      <c r="AV1342" s="23"/>
    </row>
    <row r="1343">
      <c r="A1343" s="67" t="s">
        <v>5161</v>
      </c>
      <c r="B1343" s="28" t="s">
        <v>31</v>
      </c>
      <c r="C1343" s="23" t="str">
        <f t="shared" si="39"/>
        <v>Carlos Vasquez</v>
      </c>
      <c r="D1343" s="67" t="s">
        <v>846</v>
      </c>
      <c r="E1343" s="67" t="s">
        <v>7764</v>
      </c>
      <c r="F1343" s="23">
        <f t="array" ref="F1343">IFERROR(
    INDEX('Hub Interns 226'!A:A, MATCH(C1343, 'Hub Interns 226'!B:B, 0)),"")</f>
        <v>333</v>
      </c>
      <c r="G1343" s="23">
        <f t="array" ref="G1343">IFERROR(
    INDEX('Hub Users 226'!A:A, MATCH(C1343, 'Hub Users 226'!B:B, 0)),"")</f>
        <v>766</v>
      </c>
      <c r="H1343" s="67">
        <v>1234.0</v>
      </c>
      <c r="I1343" s="28" t="s">
        <v>239</v>
      </c>
      <c r="J1343" s="28"/>
      <c r="K1343" s="28"/>
      <c r="L1343" s="28" t="s">
        <v>5165</v>
      </c>
      <c r="M1343" s="56" t="s">
        <v>8535</v>
      </c>
      <c r="N1343" s="68">
        <v>44838.45208333333</v>
      </c>
      <c r="O1343" s="58">
        <v>38967.0</v>
      </c>
      <c r="P1343" s="28">
        <f t="shared" si="40"/>
        <v>19</v>
      </c>
      <c r="Q1343" s="67" t="s">
        <v>240</v>
      </c>
      <c r="R1343" s="67" t="s">
        <v>8536</v>
      </c>
      <c r="S1343" s="67"/>
      <c r="T1343" s="67"/>
      <c r="U1343" s="67"/>
      <c r="V1343" s="67"/>
      <c r="W1343" s="67" t="s">
        <v>271</v>
      </c>
      <c r="X1343" s="67" t="s">
        <v>272</v>
      </c>
      <c r="Y1343" s="67" t="s">
        <v>8537</v>
      </c>
      <c r="Z1343" s="67" t="s">
        <v>5341</v>
      </c>
      <c r="AA1343" s="67" t="s">
        <v>1085</v>
      </c>
      <c r="AB1343" s="28">
        <v>10.0</v>
      </c>
      <c r="AC1343" s="28" t="s">
        <v>28</v>
      </c>
      <c r="AD1343" s="23"/>
      <c r="AE1343" s="67" t="s">
        <v>15</v>
      </c>
      <c r="AF1343" s="23"/>
      <c r="AG1343" s="23"/>
      <c r="AH1343" s="23" t="str">
        <f>IFERROR(__xludf.DUMMYFUNCTION("IF(
ISNUMBER(MATCH(
C1343,
IMPORTRANGE(""https://docs.google.com/spreadsheets/d/1yTh1ELC33JHYOeEdgIiEclxPRyh0zOKtlawDltfUay8"",""'Interns'!A:A""),
0
)),
""Outreach Conducted"",
"""")"),"")</f>
        <v/>
      </c>
      <c r="AI1343" s="23"/>
      <c r="AJ1343" s="23"/>
      <c r="AK1343" s="23" t="str">
        <f>IFERROR(__xludf.DUMMYFUNCTION("XLOOKUP(C1343, 
   IMPORTRANGE(""1RdEdgHYrZ33LJ7RUHj_h-qkAFL92bcVjtIdVa-UlsCw"", ""Interns!D:D""), 
   IMPORTRANGE(""1RdEdgHYrZ33LJ7RUHj_h-qkAFL92bcVjtIdVa-UlsCw"", ""Interns!M:M""), 
   ""Not Found"")"),"")</f>
        <v/>
      </c>
      <c r="AL1343" s="23" t="str">
        <f>IFERROR(__xludf.DUMMYFUNCTION("XLOOKUP(C1343, 
   IMPORTRANGE(""1RdEdgHYrZ33LJ7RUHj_h-qkAFL92bcVjtIdVa-UlsCw"", ""Interns!D:D""), 
   IMPORTRANGE(""1RdEdgHYrZ33LJ7RUHj_h-qkAFL92bcVjtIdVa-UlsCw"", ""Interns!N:N""), 
   ""Not Found"")"),"")</f>
        <v/>
      </c>
      <c r="AM1343" s="23" t="str">
        <f>IFERROR(__xludf.DUMMYFUNCTION("XLOOKUP(C1343, 
   IMPORTRANGE(""1RdEdgHYrZ33LJ7RUHj_h-qkAFL92bcVjtIdVa-UlsCw"", ""Interns!D:D""), 
   IMPORTRANGE(""1RdEdgHYrZ33LJ7RUHj_h-qkAFL92bcVjtIdVa-UlsCw"", ""Interns!O:O""), 
   ""Not Found"")"),"")</f>
        <v/>
      </c>
      <c r="AN1343" s="23"/>
      <c r="AO1343" s="23" t="s">
        <v>8538</v>
      </c>
      <c r="AP1343" s="28" t="s">
        <v>5191</v>
      </c>
      <c r="AQ1343" s="28"/>
      <c r="AR1343" s="23"/>
      <c r="AS1343" s="23"/>
      <c r="AT1343" s="23"/>
      <c r="AU1343" s="23"/>
      <c r="AV1343" s="23"/>
    </row>
    <row r="1344">
      <c r="A1344" s="28" t="s">
        <v>5202</v>
      </c>
      <c r="B1344" s="28" t="s">
        <v>5162</v>
      </c>
      <c r="C1344" s="23" t="str">
        <f t="shared" si="39"/>
        <v>Cheikhouna Keinde</v>
      </c>
      <c r="D1344" s="28" t="s">
        <v>13562</v>
      </c>
      <c r="E1344" s="28" t="s">
        <v>13563</v>
      </c>
      <c r="F1344" s="23">
        <f t="array" ref="F1344">IFERROR(
    INDEX('Hub Interns 226'!A:A, MATCH(C1344, 'Hub Interns 226'!B:B, 0)),"")</f>
        <v>7</v>
      </c>
      <c r="G1344" s="23">
        <f t="array" ref="G1344">IFERROR(
    INDEX('Hub Users 226'!A:A, MATCH(C1344, 'Hub Users 226'!B:B, 0)),"")</f>
        <v>15</v>
      </c>
      <c r="H1344" s="28">
        <v>1629.0</v>
      </c>
      <c r="I1344" s="28" t="s">
        <v>407</v>
      </c>
      <c r="J1344" s="28" t="s">
        <v>8907</v>
      </c>
      <c r="K1344" s="28" t="s">
        <v>5245</v>
      </c>
      <c r="L1344" s="28" t="s">
        <v>5165</v>
      </c>
      <c r="M1344" s="56" t="s">
        <v>13564</v>
      </c>
      <c r="N1344" s="57">
        <v>45108.62430555555</v>
      </c>
      <c r="O1344" s="58">
        <v>38440.0</v>
      </c>
      <c r="P1344" s="28">
        <f t="shared" si="40"/>
        <v>21</v>
      </c>
      <c r="Q1344" s="28" t="s">
        <v>13565</v>
      </c>
      <c r="R1344" s="28" t="s">
        <v>13566</v>
      </c>
      <c r="S1344" s="28">
        <v>13.0</v>
      </c>
      <c r="T1344" s="28">
        <v>30.0</v>
      </c>
      <c r="U1344" s="28">
        <v>70.0</v>
      </c>
      <c r="V1344" s="28">
        <v>9.0</v>
      </c>
      <c r="W1344" s="28" t="s">
        <v>859</v>
      </c>
      <c r="X1344" s="28" t="s">
        <v>272</v>
      </c>
      <c r="Y1344" s="28">
        <v>4.433108423E9</v>
      </c>
      <c r="Z1344" s="28" t="s">
        <v>5208</v>
      </c>
      <c r="AA1344" s="28" t="s">
        <v>2141</v>
      </c>
      <c r="AB1344" s="28">
        <v>8.0</v>
      </c>
      <c r="AC1344" s="28" t="s">
        <v>25</v>
      </c>
      <c r="AD1344" s="23"/>
      <c r="AE1344" s="28" t="s">
        <v>18</v>
      </c>
      <c r="AF1344" s="23" t="str">
        <f>IFERROR(__xludf.DUMMYFUNCTION("TEXTJOIN("", "", TRUE,
  FILTER(Champions!C:C,
    ISNUMBER(SEARCH(C1344, Champions!W:W))
  )
)"),"Keylin Rivera")</f>
        <v>Keylin Rivera</v>
      </c>
      <c r="AG1344" s="23"/>
      <c r="AH1344" s="23" t="str">
        <f>IFERROR(__xludf.DUMMYFUNCTION("IF(
ISNUMBER(MATCH(
C1344,
IMPORTRANGE(""https://docs.google.com/spreadsheets/d/1yTh1ELC33JHYOeEdgIiEclxPRyh0zOKtlawDltfUay8"",""'Interns'!A:A""),
0
)),
""Outreach Conducted"",
"""")"),"")</f>
        <v/>
      </c>
      <c r="AI1344" s="23"/>
      <c r="AJ1344" s="23"/>
      <c r="AK1344" s="23" t="str">
        <f>IFERROR(__xludf.DUMMYFUNCTION("XLOOKUP(C1344, 
   IMPORTRANGE(""1RdEdgHYrZ33LJ7RUHj_h-qkAFL92bcVjtIdVa-UlsCw"", ""Interns!D:D""), 
   IMPORTRANGE(""1RdEdgHYrZ33LJ7RUHj_h-qkAFL92bcVjtIdVa-UlsCw"", ""Interns!M:M""), 
   ""Not Found"")"),"")</f>
        <v/>
      </c>
      <c r="AL1344" s="23" t="str">
        <f>IFERROR(__xludf.DUMMYFUNCTION("XLOOKUP(C1344, 
   IMPORTRANGE(""1RdEdgHYrZ33LJ7RUHj_h-qkAFL92bcVjtIdVa-UlsCw"", ""Interns!D:D""), 
   IMPORTRANGE(""1RdEdgHYrZ33LJ7RUHj_h-qkAFL92bcVjtIdVa-UlsCw"", ""Interns!N:N""), 
   ""Not Found"")"),"")</f>
        <v/>
      </c>
      <c r="AM1344" s="23" t="str">
        <f>IFERROR(__xludf.DUMMYFUNCTION("XLOOKUP(C1344, 
   IMPORTRANGE(""1RdEdgHYrZ33LJ7RUHj_h-qkAFL92bcVjtIdVa-UlsCw"", ""Interns!D:D""), 
   IMPORTRANGE(""1RdEdgHYrZ33LJ7RUHj_h-qkAFL92bcVjtIdVa-UlsCw"", ""Interns!O:O""), 
   ""Not Found"")"),"")</f>
        <v/>
      </c>
      <c r="AN1344" s="23"/>
      <c r="AO1344" s="23" t="s">
        <v>13567</v>
      </c>
      <c r="AP1344" s="28" t="s">
        <v>5240</v>
      </c>
      <c r="AQ1344" s="28" t="s">
        <v>13568</v>
      </c>
      <c r="AR1344" s="23">
        <v>6.46691732E9</v>
      </c>
      <c r="AS1344" s="23"/>
      <c r="AT1344" s="23"/>
      <c r="AU1344" s="23"/>
      <c r="AV1344" s="23"/>
    </row>
    <row r="1345">
      <c r="A1345" s="28" t="s">
        <v>5161</v>
      </c>
      <c r="B1345" s="28" t="s">
        <v>5162</v>
      </c>
      <c r="C1345" s="23" t="str">
        <f t="shared" si="39"/>
        <v>Mama Kouyate</v>
      </c>
      <c r="D1345" s="28" t="s">
        <v>13569</v>
      </c>
      <c r="E1345" s="28" t="s">
        <v>13570</v>
      </c>
      <c r="F1345" s="23" t="str">
        <f t="array" ref="F1345">IFERROR(
    INDEX('Hub Interns 226'!A:A, MATCH(C1345, 'Hub Interns 226'!B:B, 0)),"")</f>
        <v/>
      </c>
      <c r="G1345" s="23">
        <f t="array" ref="G1345">IFERROR(
    INDEX('Hub Users 226'!A:A, MATCH(C1345, 'Hub Users 226'!B:B, 0)),"")</f>
        <v>1260</v>
      </c>
      <c r="H1345" s="28">
        <v>211.0</v>
      </c>
      <c r="I1345" s="28" t="s">
        <v>425</v>
      </c>
      <c r="J1345" s="28"/>
      <c r="K1345" s="28" t="s">
        <v>5245</v>
      </c>
      <c r="L1345" s="28" t="s">
        <v>5196</v>
      </c>
      <c r="M1345" s="56" t="s">
        <v>13571</v>
      </c>
      <c r="N1345" s="57">
        <v>44070.93472222222</v>
      </c>
      <c r="O1345" s="58">
        <v>36449.0</v>
      </c>
      <c r="P1345" s="28">
        <f t="shared" si="40"/>
        <v>26</v>
      </c>
      <c r="Q1345" s="28" t="s">
        <v>240</v>
      </c>
      <c r="R1345" s="28" t="s">
        <v>13572</v>
      </c>
      <c r="S1345" s="28">
        <v>15.0</v>
      </c>
      <c r="T1345" s="28">
        <v>29.0</v>
      </c>
      <c r="U1345" s="28">
        <v>77.0</v>
      </c>
      <c r="V1345" s="28">
        <v>16.0</v>
      </c>
      <c r="W1345" s="28" t="s">
        <v>859</v>
      </c>
      <c r="X1345" s="28" t="s">
        <v>272</v>
      </c>
      <c r="Y1345" s="28">
        <v>9.292402579E9</v>
      </c>
      <c r="Z1345" s="28" t="s">
        <v>5435</v>
      </c>
      <c r="AA1345" s="28" t="s">
        <v>5436</v>
      </c>
      <c r="AB1345" s="28">
        <v>10.0</v>
      </c>
      <c r="AC1345" s="28" t="s">
        <v>25</v>
      </c>
      <c r="AD1345" s="23"/>
      <c r="AE1345" s="28" t="s">
        <v>8</v>
      </c>
      <c r="AF1345" s="23" t="str">
        <f>IFERROR(__xludf.DUMMYFUNCTION("TEXTJOIN("", "", TRUE,
  FILTER(Champions!C:C,
    ISNUMBER(SEARCH(C1345, Champions!W:W))
  )
)"),"Joy Shri Das, Rajnarind Kaur, Oluwatomisin (Tomi) Adesokan")</f>
        <v>Joy Shri Das, Rajnarind Kaur, Oluwatomisin (Tomi) Adesokan</v>
      </c>
      <c r="AG1345" s="23"/>
      <c r="AH1345" s="23" t="str">
        <f>IFERROR(__xludf.DUMMYFUNCTION("IF(
ISNUMBER(MATCH(
C1345,
IMPORTRANGE(""https://docs.google.com/spreadsheets/d/1yTh1ELC33JHYOeEdgIiEclxPRyh0zOKtlawDltfUay8"",""'Interns'!A:A""),
0
)),
""Outreach Conducted"",
"""")"),"")</f>
        <v/>
      </c>
      <c r="AI1345" s="23"/>
      <c r="AJ1345" s="23"/>
      <c r="AK1345" s="23" t="str">
        <f>IFERROR(__xludf.DUMMYFUNCTION("XLOOKUP(C1345, 
   IMPORTRANGE(""1RdEdgHYrZ33LJ7RUHj_h-qkAFL92bcVjtIdVa-UlsCw"", ""Interns!D:D""), 
   IMPORTRANGE(""1RdEdgHYrZ33LJ7RUHj_h-qkAFL92bcVjtIdVa-UlsCw"", ""Interns!M:M""), 
   ""Not Found"")"),"Contacted")</f>
        <v>Contacted</v>
      </c>
      <c r="AL1345" s="23" t="str">
        <f>IFERROR(__xludf.DUMMYFUNCTION("XLOOKUP(C1345, 
   IMPORTRANGE(""1RdEdgHYrZ33LJ7RUHj_h-qkAFL92bcVjtIdVa-UlsCw"", ""Interns!D:D""), 
   IMPORTRANGE(""1RdEdgHYrZ33LJ7RUHj_h-qkAFL92bcVjtIdVa-UlsCw"", ""Interns!N:N""), 
   ""Not Found"")"),"#Cheers4Careers")</f>
        <v>#Cheers4Careers</v>
      </c>
      <c r="AM1345" s="23" t="str">
        <f>IFERROR(__xludf.DUMMYFUNCTION("XLOOKUP(C1345, 
   IMPORTRANGE(""1RdEdgHYrZ33LJ7RUHj_h-qkAFL92bcVjtIdVa-UlsCw"", ""Interns!D:D""), 
   IMPORTRANGE(""1RdEdgHYrZ33LJ7RUHj_h-qkAFL92bcVjtIdVa-UlsCw"", ""Interns!O:O""), 
   ""Not Found"")"),"Hetal reached out by email 3/27")</f>
        <v>Hetal reached out by email 3/27</v>
      </c>
      <c r="AN1345" s="23"/>
      <c r="AO1345" s="23" t="s">
        <v>13573</v>
      </c>
      <c r="AP1345" s="28" t="s">
        <v>5182</v>
      </c>
      <c r="AQ1345" s="28" t="s">
        <v>13574</v>
      </c>
      <c r="AR1345" s="23">
        <v>6.463592827E9</v>
      </c>
      <c r="AS1345" s="23"/>
      <c r="AT1345" s="23"/>
      <c r="AU1345" s="23"/>
      <c r="AV1345" s="23"/>
    </row>
    <row r="1346">
      <c r="A1346" s="28" t="s">
        <v>5161</v>
      </c>
      <c r="B1346" s="28" t="s">
        <v>5162</v>
      </c>
      <c r="C1346" s="23" t="str">
        <f t="shared" si="39"/>
        <v>Jhmiere Jackson</v>
      </c>
      <c r="D1346" s="22" t="s">
        <v>13575</v>
      </c>
      <c r="E1346" s="22" t="s">
        <v>1312</v>
      </c>
      <c r="F1346" s="23"/>
      <c r="G1346" s="23"/>
      <c r="H1346" s="22">
        <v>1880.0</v>
      </c>
      <c r="I1346" s="28" t="s">
        <v>239</v>
      </c>
      <c r="J1346" s="28"/>
      <c r="K1346" s="28"/>
      <c r="L1346" s="28" t="s">
        <v>5165</v>
      </c>
      <c r="M1346" s="29" t="s">
        <v>13576</v>
      </c>
      <c r="N1346" s="22" t="s">
        <v>240</v>
      </c>
      <c r="O1346" s="25">
        <v>39876.0</v>
      </c>
      <c r="P1346" s="28">
        <f t="shared" si="40"/>
        <v>17</v>
      </c>
      <c r="Q1346" s="62" t="s">
        <v>240</v>
      </c>
      <c r="R1346" s="22" t="s">
        <v>13577</v>
      </c>
      <c r="S1346" s="28"/>
      <c r="T1346" s="28"/>
      <c r="U1346" s="28"/>
      <c r="V1346" s="28"/>
      <c r="W1346" s="23"/>
      <c r="X1346" s="23"/>
      <c r="Y1346" s="22" t="s">
        <v>13578</v>
      </c>
      <c r="Z1346" s="22" t="s">
        <v>5822</v>
      </c>
      <c r="AA1346" s="28" t="s">
        <v>5822</v>
      </c>
      <c r="AB1346" s="28">
        <v>30.0</v>
      </c>
      <c r="AC1346" s="28" t="s">
        <v>27</v>
      </c>
      <c r="AD1346" s="23"/>
      <c r="AE1346" s="28" t="s">
        <v>20</v>
      </c>
      <c r="AF1346" s="23"/>
      <c r="AG1346" s="23"/>
      <c r="AH1346" s="23" t="str">
        <f>IFERROR(__xludf.DUMMYFUNCTION("IF(
ISNUMBER(MATCH(
C1346,
IMPORTRANGE(""https://docs.google.com/spreadsheets/d/1yTh1ELC33JHYOeEdgIiEclxPRyh0zOKtlawDltfUay8"",""'Interns'!A:A""),
0
)),
""Outreach Conducted"",
"""")"),"")</f>
        <v/>
      </c>
      <c r="AI1346" s="23"/>
      <c r="AJ1346" s="23"/>
      <c r="AK1346" s="23"/>
      <c r="AL1346" s="23" t="str">
        <f>IFERROR(__xludf.DUMMYFUNCTION("XLOOKUP(C1346, 
   IMPORTRANGE(""1RdEdgHYrZ33LJ7RUHj_h-qkAFL92bcVjtIdVa-UlsCw"", ""Interns!D:D""), 
   IMPORTRANGE(""1RdEdgHYrZ33LJ7RUHj_h-qkAFL92bcVjtIdVa-UlsCw"", ""Interns!N:N""), 
   ""Not Found"")"),"#Cheers4Careers")</f>
        <v>#Cheers4Careers</v>
      </c>
      <c r="AM1346" s="23" t="str">
        <f>IFERROR(__xludf.DUMMYFUNCTION("XLOOKUP(C1346, 
   IMPORTRANGE(""1RdEdgHYrZ33LJ7RUHj_h-qkAFL92bcVjtIdVa-UlsCw"", ""Interns!D:D""), 
   IMPORTRANGE(""1RdEdgHYrZ33LJ7RUHj_h-qkAFL92bcVjtIdVa-UlsCw"", ""Interns!O:O""), 
   ""Not Found"")"),"Hetal reached out March 27 for March #Cheers4 Careers ")</f>
        <v>Hetal reached out March 27 for March #Cheers4 Careers </v>
      </c>
      <c r="AN1346" s="23"/>
      <c r="AO1346" s="23" t="s">
        <v>13579</v>
      </c>
      <c r="AP1346" s="28" t="s">
        <v>5182</v>
      </c>
      <c r="AQ1346" s="28" t="s">
        <v>13580</v>
      </c>
      <c r="AR1346" s="23" t="s">
        <v>13581</v>
      </c>
      <c r="AS1346" s="23"/>
      <c r="AT1346" s="23"/>
      <c r="AU1346" s="23"/>
      <c r="AV1346" s="23"/>
    </row>
    <row r="1347">
      <c r="A1347" s="28" t="s">
        <v>5161</v>
      </c>
      <c r="B1347" s="28" t="s">
        <v>5162</v>
      </c>
      <c r="C1347" s="23" t="str">
        <f t="shared" si="39"/>
        <v>Wilmary Ramirez</v>
      </c>
      <c r="D1347" s="28" t="s">
        <v>13582</v>
      </c>
      <c r="E1347" s="28" t="s">
        <v>2127</v>
      </c>
      <c r="F1347" s="23" t="str">
        <f t="array" ref="F1347">IFERROR(
    INDEX('Hub Interns 226'!A:A, MATCH(C1347, 'Hub Interns 226'!B:B, 0)),"")</f>
        <v/>
      </c>
      <c r="G1347" s="23">
        <f t="array" ref="G1347">IFERROR(
    INDEX('Hub Users 226'!A:A, MATCH(C1347, 'Hub Users 226'!B:B, 0)),"")</f>
        <v>1923</v>
      </c>
      <c r="H1347" s="28">
        <v>1794.0</v>
      </c>
      <c r="I1347" s="28" t="s">
        <v>1235</v>
      </c>
      <c r="J1347" s="28"/>
      <c r="K1347" s="28"/>
      <c r="L1347" s="28" t="s">
        <v>6647</v>
      </c>
      <c r="M1347" s="56" t="s">
        <v>13583</v>
      </c>
      <c r="N1347" s="57">
        <v>45314.95138888889</v>
      </c>
      <c r="O1347" s="58">
        <v>38593.0</v>
      </c>
      <c r="P1347" s="28">
        <f t="shared" si="40"/>
        <v>20</v>
      </c>
      <c r="Q1347" s="28" t="s">
        <v>13584</v>
      </c>
      <c r="R1347" s="28" t="s">
        <v>13585</v>
      </c>
      <c r="S1347" s="28">
        <v>5.0</v>
      </c>
      <c r="T1347" s="28">
        <v>14.0</v>
      </c>
      <c r="U1347" s="28">
        <v>32.0</v>
      </c>
      <c r="V1347" s="28">
        <v>24.0</v>
      </c>
      <c r="W1347" s="28" t="s">
        <v>1173</v>
      </c>
      <c r="X1347" s="28" t="s">
        <v>272</v>
      </c>
      <c r="Y1347" s="28" t="s">
        <v>13586</v>
      </c>
      <c r="Z1347" s="28" t="s">
        <v>5259</v>
      </c>
      <c r="AA1347" s="28" t="s">
        <v>704</v>
      </c>
      <c r="AB1347" s="28">
        <v>2.0</v>
      </c>
      <c r="AC1347" s="28" t="s">
        <v>27</v>
      </c>
      <c r="AD1347" s="28" t="s">
        <v>101</v>
      </c>
      <c r="AE1347" s="28" t="s">
        <v>18</v>
      </c>
      <c r="AF1347" s="23"/>
      <c r="AG1347" s="23"/>
      <c r="AH1347" s="23" t="str">
        <f>IFERROR(__xludf.DUMMYFUNCTION("IF(
ISNUMBER(MATCH(
C1347,
IMPORTRANGE(""https://docs.google.com/spreadsheets/d/1yTh1ELC33JHYOeEdgIiEclxPRyh0zOKtlawDltfUay8"",""'Interns'!A:A""),
0
)),
""Outreach Conducted"",
"""")"),"")</f>
        <v/>
      </c>
      <c r="AI1347" s="23"/>
      <c r="AJ1347" s="23"/>
      <c r="AK1347" s="23" t="str">
        <f>IFERROR(__xludf.DUMMYFUNCTION("XLOOKUP(C1347, 
   IMPORTRANGE(""1RdEdgHYrZ33LJ7RUHj_h-qkAFL92bcVjtIdVa-UlsCw"", ""Interns!D:D""), 
   IMPORTRANGE(""1RdEdgHYrZ33LJ7RUHj_h-qkAFL92bcVjtIdVa-UlsCw"", ""Interns!M:M""), 
   ""Not Found"")"),"Contacted")</f>
        <v>Contacted</v>
      </c>
      <c r="AL1347" s="23" t="str">
        <f>IFERROR(__xludf.DUMMYFUNCTION("XLOOKUP(C1347, 
   IMPORTRANGE(""1RdEdgHYrZ33LJ7RUHj_h-qkAFL92bcVjtIdVa-UlsCw"", ""Interns!D:D""), 
   IMPORTRANGE(""1RdEdgHYrZ33LJ7RUHj_h-qkAFL92bcVjtIdVa-UlsCw"", ""Interns!N:N""), 
   ""Not Found"")"),"#Cheers4Careers")</f>
        <v>#Cheers4Careers</v>
      </c>
      <c r="AM1347" s="23" t="str">
        <f>IFERROR(__xludf.DUMMYFUNCTION("XLOOKUP(C1347, 
   IMPORTRANGE(""1RdEdgHYrZ33LJ7RUHj_h-qkAFL92bcVjtIdVa-UlsCw"", ""Interns!D:D""), 
   IMPORTRANGE(""1RdEdgHYrZ33LJ7RUHj_h-qkAFL92bcVjtIdVa-UlsCw"", ""Interns!O:O""), 
   ""Not Found"")"),"Ousmane reached out by email 3/26 and reach out by text 3/28")</f>
        <v>Ousmane reached out by email 3/26 and reach out by text 3/28</v>
      </c>
      <c r="AN1347" s="23"/>
      <c r="AO1347" s="23" t="s">
        <v>13587</v>
      </c>
      <c r="AP1347" s="28" t="s">
        <v>5182</v>
      </c>
      <c r="AQ1347" s="28" t="s">
        <v>13588</v>
      </c>
      <c r="AR1347" s="23" t="s">
        <v>13589</v>
      </c>
      <c r="AS1347" s="23"/>
      <c r="AT1347" s="23"/>
      <c r="AU1347" s="23"/>
      <c r="AV1347" s="23"/>
    </row>
    <row r="1348">
      <c r="A1348" s="28" t="s">
        <v>5202</v>
      </c>
      <c r="B1348" s="28" t="s">
        <v>5162</v>
      </c>
      <c r="C1348" s="23" t="str">
        <f t="shared" si="39"/>
        <v>Nabeel adam</v>
      </c>
      <c r="D1348" s="28" t="s">
        <v>13590</v>
      </c>
      <c r="E1348" s="28" t="s">
        <v>13591</v>
      </c>
      <c r="F1348" s="23">
        <f t="array" ref="F1348">IFERROR(
    INDEX('Hub Interns 226'!A:A, MATCH(C1348, 'Hub Interns 226'!B:B, 0)),"")</f>
        <v>109</v>
      </c>
      <c r="G1348" s="23">
        <f t="array" ref="G1348">IFERROR(
    INDEX('Hub Users 226'!A:A, MATCH(C1348, 'Hub Users 226'!B:B, 0)),"")</f>
        <v>542</v>
      </c>
      <c r="H1348" s="28">
        <v>669.0</v>
      </c>
      <c r="I1348" s="28" t="s">
        <v>239</v>
      </c>
      <c r="J1348" s="28" t="s">
        <v>12617</v>
      </c>
      <c r="K1348" s="28" t="s">
        <v>5245</v>
      </c>
      <c r="L1348" s="28" t="s">
        <v>5165</v>
      </c>
      <c r="M1348" s="56" t="s">
        <v>13592</v>
      </c>
      <c r="N1348" s="59">
        <v>44545.45277777778</v>
      </c>
      <c r="O1348" s="58">
        <v>38067.0</v>
      </c>
      <c r="P1348" s="28">
        <f t="shared" si="40"/>
        <v>22</v>
      </c>
      <c r="Q1348" s="28" t="s">
        <v>240</v>
      </c>
      <c r="R1348" s="28" t="s">
        <v>13593</v>
      </c>
      <c r="S1348" s="28"/>
      <c r="T1348" s="28"/>
      <c r="U1348" s="28"/>
      <c r="V1348" s="28"/>
      <c r="W1348" s="28" t="s">
        <v>380</v>
      </c>
      <c r="X1348" s="28" t="s">
        <v>381</v>
      </c>
      <c r="Y1348" s="28" t="s">
        <v>13594</v>
      </c>
      <c r="Z1348" s="28" t="s">
        <v>5272</v>
      </c>
      <c r="AA1348" s="28" t="s">
        <v>629</v>
      </c>
      <c r="AB1348" s="28" t="s">
        <v>5221</v>
      </c>
      <c r="AC1348" s="28" t="s">
        <v>25</v>
      </c>
      <c r="AD1348" s="23"/>
      <c r="AE1348" s="28" t="s">
        <v>10</v>
      </c>
      <c r="AF1348" s="23" t="str">
        <f>IFERROR(__xludf.DUMMYFUNCTION("TEXTJOIN("", "", TRUE,
  FILTER(Champions!C:C,
    ISNUMBER(SEARCH(C1348, Champions!W:W))
  )
)"),"Loic Uriel Nguoghia")</f>
        <v>Loic Uriel Nguoghia</v>
      </c>
      <c r="AG1348" s="23"/>
      <c r="AH1348" s="23" t="str">
        <f>IFERROR(__xludf.DUMMYFUNCTION("IF(
ISNUMBER(MATCH(
C1348,
IMPORTRANGE(""https://docs.google.com/spreadsheets/d/1yTh1ELC33JHYOeEdgIiEclxPRyh0zOKtlawDltfUay8"",""'Interns'!A:A""),
0
)),
""Outreach Conducted"",
"""")"),"")</f>
        <v/>
      </c>
      <c r="AI1348" s="23"/>
      <c r="AJ1348" s="23"/>
      <c r="AK1348" s="23" t="str">
        <f>IFERROR(__xludf.DUMMYFUNCTION("XLOOKUP(C1348, 
   IMPORTRANGE(""1RdEdgHYrZ33LJ7RUHj_h-qkAFL92bcVjtIdVa-UlsCw"", ""Interns!D:D""), 
   IMPORTRANGE(""1RdEdgHYrZ33LJ7RUHj_h-qkAFL92bcVjtIdVa-UlsCw"", ""Interns!M:M""), 
   ""Not Found"")"),"")</f>
        <v/>
      </c>
      <c r="AL1348" s="23" t="str">
        <f>IFERROR(__xludf.DUMMYFUNCTION("XLOOKUP(C1348, 
   IMPORTRANGE(""1RdEdgHYrZ33LJ7RUHj_h-qkAFL92bcVjtIdVa-UlsCw"", ""Interns!D:D""), 
   IMPORTRANGE(""1RdEdgHYrZ33LJ7RUHj_h-qkAFL92bcVjtIdVa-UlsCw"", ""Interns!N:N""), 
   ""Not Found"")"),"")</f>
        <v/>
      </c>
      <c r="AM1348" s="23" t="str">
        <f>IFERROR(__xludf.DUMMYFUNCTION("XLOOKUP(C1348, 
   IMPORTRANGE(""1RdEdgHYrZ33LJ7RUHj_h-qkAFL92bcVjtIdVa-UlsCw"", ""Interns!D:D""), 
   IMPORTRANGE(""1RdEdgHYrZ33LJ7RUHj_h-qkAFL92bcVjtIdVa-UlsCw"", ""Interns!O:O""), 
   ""Not Found"")"),"")</f>
        <v/>
      </c>
      <c r="AN1348" s="23"/>
      <c r="AO1348" s="23" t="s">
        <v>13595</v>
      </c>
      <c r="AP1348" s="28" t="s">
        <v>5182</v>
      </c>
      <c r="AQ1348" s="28" t="s">
        <v>13596</v>
      </c>
      <c r="AR1348" s="23" t="s">
        <v>13597</v>
      </c>
      <c r="AS1348" s="23"/>
      <c r="AT1348" s="23"/>
      <c r="AU1348" s="23"/>
      <c r="AV1348" s="23"/>
    </row>
    <row r="1349">
      <c r="A1349" s="28" t="s">
        <v>5161</v>
      </c>
      <c r="B1349" s="28" t="s">
        <v>31</v>
      </c>
      <c r="C1349" s="23" t="str">
        <f t="shared" si="39"/>
        <v>Dilcia Guzman</v>
      </c>
      <c r="D1349" s="28" t="s">
        <v>8059</v>
      </c>
      <c r="E1349" s="28" t="s">
        <v>847</v>
      </c>
      <c r="F1349" s="23">
        <f t="array" ref="F1349">IFERROR(
    INDEX('Hub Interns 226'!A:A, MATCH(C1349, 'Hub Interns 226'!B:B, 0)),"")</f>
        <v>449</v>
      </c>
      <c r="G1349" s="23">
        <f t="array" ref="G1349">IFERROR(
    INDEX('Hub Users 226'!A:A, MATCH(C1349, 'Hub Users 226'!B:B, 0)),"")</f>
        <v>882</v>
      </c>
      <c r="H1349" s="28">
        <v>1236.0</v>
      </c>
      <c r="I1349" s="28" t="s">
        <v>407</v>
      </c>
      <c r="J1349" s="28"/>
      <c r="K1349" s="28"/>
      <c r="L1349" s="28" t="s">
        <v>5196</v>
      </c>
      <c r="M1349" s="56" t="s">
        <v>8060</v>
      </c>
      <c r="N1349" s="57">
        <v>44838.459027777775</v>
      </c>
      <c r="O1349" s="58">
        <v>38694.0</v>
      </c>
      <c r="P1349" s="28">
        <f t="shared" si="40"/>
        <v>20</v>
      </c>
      <c r="Q1349" s="28" t="s">
        <v>240</v>
      </c>
      <c r="R1349" s="28" t="s">
        <v>8061</v>
      </c>
      <c r="S1349" s="28"/>
      <c r="T1349" s="28"/>
      <c r="U1349" s="28"/>
      <c r="V1349" s="28"/>
      <c r="W1349" s="28" t="s">
        <v>271</v>
      </c>
      <c r="X1349" s="28" t="s">
        <v>272</v>
      </c>
      <c r="Y1349" s="28" t="s">
        <v>8062</v>
      </c>
      <c r="Z1349" s="28" t="s">
        <v>5341</v>
      </c>
      <c r="AA1349" s="28" t="s">
        <v>1085</v>
      </c>
      <c r="AB1349" s="28">
        <v>10.0</v>
      </c>
      <c r="AC1349" s="28" t="s">
        <v>28</v>
      </c>
      <c r="AD1349" s="23"/>
      <c r="AE1349" s="28" t="s">
        <v>15</v>
      </c>
      <c r="AF1349" s="23"/>
      <c r="AG1349" s="23"/>
      <c r="AH1349" s="23" t="str">
        <f>IFERROR(__xludf.DUMMYFUNCTION("IF(
ISNUMBER(MATCH(
C1349,
IMPORTRANGE(""https://docs.google.com/spreadsheets/d/1yTh1ELC33JHYOeEdgIiEclxPRyh0zOKtlawDltfUay8"",""'Interns'!A:A""),
0
)),
""Outreach Conducted"",
"""")"),"")</f>
        <v/>
      </c>
      <c r="AI1349" s="23"/>
      <c r="AJ1349" s="23"/>
      <c r="AK1349" s="23" t="str">
        <f>IFERROR(__xludf.DUMMYFUNCTION("XLOOKUP(C1349, 
   IMPORTRANGE(""1RdEdgHYrZ33LJ7RUHj_h-qkAFL92bcVjtIdVa-UlsCw"", ""Interns!D:D""), 
   IMPORTRANGE(""1RdEdgHYrZ33LJ7RUHj_h-qkAFL92bcVjtIdVa-UlsCw"", ""Interns!M:M""), 
   ""Not Found"")"),"")</f>
        <v/>
      </c>
      <c r="AL1349" s="23" t="str">
        <f>IFERROR(__xludf.DUMMYFUNCTION("XLOOKUP(C1349, 
   IMPORTRANGE(""1RdEdgHYrZ33LJ7RUHj_h-qkAFL92bcVjtIdVa-UlsCw"", ""Interns!D:D""), 
   IMPORTRANGE(""1RdEdgHYrZ33LJ7RUHj_h-qkAFL92bcVjtIdVa-UlsCw"", ""Interns!N:N""), 
   ""Not Found"")"),"")</f>
        <v/>
      </c>
      <c r="AM1349" s="23" t="str">
        <f>IFERROR(__xludf.DUMMYFUNCTION("XLOOKUP(C1349, 
   IMPORTRANGE(""1RdEdgHYrZ33LJ7RUHj_h-qkAFL92bcVjtIdVa-UlsCw"", ""Interns!D:D""), 
   IMPORTRANGE(""1RdEdgHYrZ33LJ7RUHj_h-qkAFL92bcVjtIdVa-UlsCw"", ""Interns!O:O""), 
   ""Not Found"")"),"")</f>
        <v/>
      </c>
      <c r="AN1349" s="23"/>
      <c r="AO1349" s="23" t="s">
        <v>8063</v>
      </c>
      <c r="AP1349" s="28" t="s">
        <v>5182</v>
      </c>
      <c r="AQ1349" s="28"/>
      <c r="AR1349" s="23"/>
      <c r="AS1349" s="23"/>
      <c r="AT1349" s="23"/>
      <c r="AU1349" s="23"/>
      <c r="AV1349" s="23"/>
    </row>
    <row r="1350">
      <c r="A1350" s="28" t="s">
        <v>5161</v>
      </c>
      <c r="B1350" s="28" t="s">
        <v>5162</v>
      </c>
      <c r="C1350" s="23" t="str">
        <f t="shared" si="39"/>
        <v>Nowell Sue-Kam-Ling</v>
      </c>
      <c r="D1350" s="22" t="s">
        <v>13598</v>
      </c>
      <c r="E1350" s="22" t="s">
        <v>13599</v>
      </c>
      <c r="F1350" s="23"/>
      <c r="G1350" s="23"/>
      <c r="H1350" s="22">
        <v>1920.0</v>
      </c>
      <c r="I1350" s="28"/>
      <c r="J1350" s="28"/>
      <c r="K1350" s="28"/>
      <c r="L1350" s="28" t="s">
        <v>5196</v>
      </c>
      <c r="M1350" s="29" t="s">
        <v>13600</v>
      </c>
      <c r="N1350" s="61">
        <v>45771.455555555556</v>
      </c>
      <c r="O1350" s="25">
        <v>45771.0</v>
      </c>
      <c r="P1350" s="28">
        <f t="shared" si="40"/>
        <v>1</v>
      </c>
      <c r="Q1350" s="62" t="s">
        <v>13601</v>
      </c>
      <c r="R1350" s="22" t="s">
        <v>13602</v>
      </c>
      <c r="S1350" s="28">
        <v>5.0</v>
      </c>
      <c r="T1350" s="28">
        <v>10.0</v>
      </c>
      <c r="U1350" s="28">
        <v>29.0</v>
      </c>
      <c r="V1350" s="28">
        <v>31.0</v>
      </c>
      <c r="W1350" s="23"/>
      <c r="X1350" s="23"/>
      <c r="Y1350" s="22" t="s">
        <v>13603</v>
      </c>
      <c r="Z1350" s="22" t="s">
        <v>7490</v>
      </c>
      <c r="AA1350" s="28" t="s">
        <v>5659</v>
      </c>
      <c r="AB1350" s="28">
        <v>23.0</v>
      </c>
      <c r="AC1350" s="28" t="s">
        <v>23</v>
      </c>
      <c r="AD1350" s="23"/>
      <c r="AE1350" s="28" t="s">
        <v>19</v>
      </c>
      <c r="AF1350" s="23"/>
      <c r="AG1350" s="23"/>
      <c r="AH1350" s="23" t="str">
        <f>IFERROR(__xludf.DUMMYFUNCTION("IF(
ISNUMBER(MATCH(
C1350,
IMPORTRANGE(""https://docs.google.com/spreadsheets/d/1yTh1ELC33JHYOeEdgIiEclxPRyh0zOKtlawDltfUay8"",""'Interns'!A:A""),
0
)),
""Outreach Conducted"",
"""")"),"")</f>
        <v/>
      </c>
      <c r="AI1350" s="23"/>
      <c r="AJ1350" s="23"/>
      <c r="AK1350" s="23"/>
      <c r="AL1350" s="23" t="str">
        <f>IFERROR(__xludf.DUMMYFUNCTION("XLOOKUP(C1350, 
   IMPORTRANGE(""1RdEdgHYrZ33LJ7RUHj_h-qkAFL92bcVjtIdVa-UlsCw"", ""Interns!D:D""), 
   IMPORTRANGE(""1RdEdgHYrZ33LJ7RUHj_h-qkAFL92bcVjtIdVa-UlsCw"", ""Interns!N:N""), 
   ""Not Found"")"),"#Cheers4Careers")</f>
        <v>#Cheers4Careers</v>
      </c>
      <c r="AM1350" s="23" t="str">
        <f>IFERROR(__xludf.DUMMYFUNCTION("XLOOKUP(C1350, 
   IMPORTRANGE(""1RdEdgHYrZ33LJ7RUHj_h-qkAFL92bcVjtIdVa-UlsCw"", ""Interns!D:D""), 
   IMPORTRANGE(""1RdEdgHYrZ33LJ7RUHj_h-qkAFL92bcVjtIdVa-UlsCw"", ""Interns!O:O""), 
   ""Not Found"")"),"Hetal reached out March 27 for March #Cheers4 Careers ")</f>
        <v>Hetal reached out March 27 for March #Cheers4 Careers </v>
      </c>
      <c r="AN1350" s="23"/>
      <c r="AO1350" s="23" t="s">
        <v>13604</v>
      </c>
      <c r="AP1350" s="28" t="s">
        <v>5182</v>
      </c>
      <c r="AQ1350" s="28" t="s">
        <v>13605</v>
      </c>
      <c r="AR1350" s="23" t="s">
        <v>13606</v>
      </c>
      <c r="AS1350" s="23"/>
      <c r="AT1350" s="23"/>
      <c r="AU1350" s="23"/>
      <c r="AV1350" s="23"/>
    </row>
    <row r="1351">
      <c r="A1351" s="28" t="s">
        <v>5161</v>
      </c>
      <c r="B1351" s="28" t="s">
        <v>5162</v>
      </c>
      <c r="C1351" s="23" t="str">
        <f t="shared" si="39"/>
        <v>Helena Bedward</v>
      </c>
      <c r="D1351" s="28" t="s">
        <v>13607</v>
      </c>
      <c r="E1351" s="28" t="s">
        <v>13608</v>
      </c>
      <c r="F1351" s="23">
        <f t="array" ref="F1351">IFERROR(
    INDEX('Hub Interns 226'!A:A, MATCH(C1351, 'Hub Interns 226'!B:B, 0)),"")</f>
        <v>575</v>
      </c>
      <c r="G1351" s="23">
        <f t="array" ref="G1351">IFERROR(
    INDEX('Hub Users 226'!A:A, MATCH(C1351, 'Hub Users 226'!B:B, 0)),"")</f>
        <v>1008</v>
      </c>
      <c r="H1351" s="28">
        <v>772.0</v>
      </c>
      <c r="I1351" s="28" t="s">
        <v>239</v>
      </c>
      <c r="J1351" s="28"/>
      <c r="K1351" s="28"/>
      <c r="L1351" s="28" t="s">
        <v>5196</v>
      </c>
      <c r="M1351" s="56" t="s">
        <v>11637</v>
      </c>
      <c r="N1351" s="59">
        <v>44552.96597222222</v>
      </c>
      <c r="O1351" s="58">
        <v>38671.0</v>
      </c>
      <c r="P1351" s="28">
        <f t="shared" si="40"/>
        <v>20</v>
      </c>
      <c r="Q1351" s="28" t="s">
        <v>13609</v>
      </c>
      <c r="R1351" s="28" t="s">
        <v>13610</v>
      </c>
      <c r="S1351" s="28">
        <v>5.0</v>
      </c>
      <c r="T1351" s="28">
        <v>10.0</v>
      </c>
      <c r="U1351" s="28">
        <v>31.0</v>
      </c>
      <c r="V1351" s="28">
        <v>31.0</v>
      </c>
      <c r="W1351" s="28" t="s">
        <v>1173</v>
      </c>
      <c r="X1351" s="28" t="s">
        <v>272</v>
      </c>
      <c r="Y1351" s="28">
        <v>6.469404395E9</v>
      </c>
      <c r="Z1351" s="28" t="s">
        <v>5332</v>
      </c>
      <c r="AA1351" s="28" t="s">
        <v>421</v>
      </c>
      <c r="AB1351" s="28">
        <v>31.0</v>
      </c>
      <c r="AC1351" s="28" t="s">
        <v>24</v>
      </c>
      <c r="AD1351" s="23"/>
      <c r="AE1351" s="28" t="s">
        <v>10</v>
      </c>
      <c r="AF1351" s="23"/>
      <c r="AG1351" s="23"/>
      <c r="AH1351" s="23" t="str">
        <f>IFERROR(__xludf.DUMMYFUNCTION("IF(
ISNUMBER(MATCH(
C1351,
IMPORTRANGE(""https://docs.google.com/spreadsheets/d/1yTh1ELC33JHYOeEdgIiEclxPRyh0zOKtlawDltfUay8"",""'Interns'!A:A""),
0
)),
""Outreach Conducted"",
"""")"),"")</f>
        <v/>
      </c>
      <c r="AI1351" s="23"/>
      <c r="AJ1351" s="23"/>
      <c r="AK1351" s="23" t="str">
        <f>IFERROR(__xludf.DUMMYFUNCTION("XLOOKUP(C1351, 
   IMPORTRANGE(""1RdEdgHYrZ33LJ7RUHj_h-qkAFL92bcVjtIdVa-UlsCw"", ""Interns!D:D""), 
   IMPORTRANGE(""1RdEdgHYrZ33LJ7RUHj_h-qkAFL92bcVjtIdVa-UlsCw"", ""Interns!M:M""), 
   ""Not Found"")"),"Contacted")</f>
        <v>Contacted</v>
      </c>
      <c r="AL1351" s="23" t="str">
        <f>IFERROR(__xludf.DUMMYFUNCTION("XLOOKUP(C1351, 
   IMPORTRANGE(""1RdEdgHYrZ33LJ7RUHj_h-qkAFL92bcVjtIdVa-UlsCw"", ""Interns!D:D""), 
   IMPORTRANGE(""1RdEdgHYrZ33LJ7RUHj_h-qkAFL92bcVjtIdVa-UlsCw"", ""Interns!N:N""), 
   ""Not Found"")"),"#Cheers4Careers")</f>
        <v>#Cheers4Careers</v>
      </c>
      <c r="AM1351" s="23" t="str">
        <f>IFERROR(__xludf.DUMMYFUNCTION("XLOOKUP(C1351, 
   IMPORTRANGE(""1RdEdgHYrZ33LJ7RUHj_h-qkAFL92bcVjtIdVa-UlsCw"", ""Interns!D:D""), 
   IMPORTRANGE(""1RdEdgHYrZ33LJ7RUHj_h-qkAFL92bcVjtIdVa-UlsCw"", ""Interns!O:O""), 
   ""Not Found"")"),"Hetal reached out March 27 for March #Cheers4 Careers and texted")</f>
        <v>Hetal reached out March 27 for March #Cheers4 Careers and texted</v>
      </c>
      <c r="AN1351" s="23"/>
      <c r="AO1351" s="23" t="s">
        <v>13611</v>
      </c>
      <c r="AP1351" s="28" t="s">
        <v>5240</v>
      </c>
      <c r="AQ1351" s="28"/>
      <c r="AR1351" s="23"/>
      <c r="AS1351" s="23"/>
      <c r="AT1351" s="23"/>
      <c r="AU1351" s="23"/>
      <c r="AV1351" s="23"/>
    </row>
    <row r="1352">
      <c r="A1352" s="28" t="s">
        <v>5202</v>
      </c>
      <c r="B1352" s="28" t="s">
        <v>5162</v>
      </c>
      <c r="C1352" s="23" t="str">
        <f t="shared" si="39"/>
        <v>Chih Jou (Jacklin) SU</v>
      </c>
      <c r="D1352" s="28" t="s">
        <v>13612</v>
      </c>
      <c r="E1352" s="28" t="s">
        <v>13613</v>
      </c>
      <c r="F1352" s="23">
        <f t="array" ref="F1352">IFERROR(
    INDEX('Hub Interns 226'!A:A, MATCH(C1352, 'Hub Interns 226'!B:B, 0)),"")</f>
        <v>328</v>
      </c>
      <c r="G1352" s="23">
        <f t="array" ref="G1352">IFERROR(
    INDEX('Hub Users 226'!A:A, MATCH(C1352, 'Hub Users 226'!B:B, 0)),"")</f>
        <v>761</v>
      </c>
      <c r="H1352" s="28">
        <v>899.0</v>
      </c>
      <c r="I1352" s="28" t="s">
        <v>407</v>
      </c>
      <c r="J1352" s="28" t="s">
        <v>13614</v>
      </c>
      <c r="K1352" s="28" t="s">
        <v>5186</v>
      </c>
      <c r="L1352" s="28" t="s">
        <v>5196</v>
      </c>
      <c r="M1352" s="56" t="s">
        <v>13615</v>
      </c>
      <c r="N1352" s="57">
        <v>44601.53402777778</v>
      </c>
      <c r="O1352" s="58">
        <v>37605.0</v>
      </c>
      <c r="P1352" s="28">
        <f t="shared" si="40"/>
        <v>23</v>
      </c>
      <c r="Q1352" s="28" t="s">
        <v>13616</v>
      </c>
      <c r="R1352" s="28" t="s">
        <v>13617</v>
      </c>
      <c r="S1352" s="28">
        <v>6.0</v>
      </c>
      <c r="T1352" s="28">
        <v>16.0</v>
      </c>
      <c r="U1352" s="28">
        <v>40.0</v>
      </c>
      <c r="V1352" s="28">
        <v>20.0</v>
      </c>
      <c r="W1352" s="28" t="s">
        <v>1173</v>
      </c>
      <c r="X1352" s="28" t="s">
        <v>272</v>
      </c>
      <c r="Y1352" s="28" t="s">
        <v>13618</v>
      </c>
      <c r="Z1352" s="28" t="s">
        <v>5189</v>
      </c>
      <c r="AA1352" s="28" t="s">
        <v>619</v>
      </c>
      <c r="AB1352" s="28">
        <v>20.0</v>
      </c>
      <c r="AC1352" s="28" t="s">
        <v>24</v>
      </c>
      <c r="AD1352" s="23"/>
      <c r="AE1352" s="28" t="s">
        <v>10</v>
      </c>
      <c r="AF1352" s="23"/>
      <c r="AG1352" s="23"/>
      <c r="AH1352" s="23" t="str">
        <f>IFERROR(__xludf.DUMMYFUNCTION("IF(
ISNUMBER(MATCH(
C1352,
IMPORTRANGE(""https://docs.google.com/spreadsheets/d/1yTh1ELC33JHYOeEdgIiEclxPRyh0zOKtlawDltfUay8"",""'Interns'!A:A""),
0
)),
""Outreach Conducted"",
"""")"),"")</f>
        <v/>
      </c>
      <c r="AI1352" s="23"/>
      <c r="AJ1352" s="23"/>
      <c r="AK1352" s="23" t="str">
        <f>IFERROR(__xludf.DUMMYFUNCTION("XLOOKUP(C1352, 
   IMPORTRANGE(""1RdEdgHYrZ33LJ7RUHj_h-qkAFL92bcVjtIdVa-UlsCw"", ""Interns!D:D""), 
   IMPORTRANGE(""1RdEdgHYrZ33LJ7RUHj_h-qkAFL92bcVjtIdVa-UlsCw"", ""Interns!M:M""), 
   ""Not Found"")"),"")</f>
        <v/>
      </c>
      <c r="AL1352" s="23" t="str">
        <f>IFERROR(__xludf.DUMMYFUNCTION("XLOOKUP(C1352, 
   IMPORTRANGE(""1RdEdgHYrZ33LJ7RUHj_h-qkAFL92bcVjtIdVa-UlsCw"", ""Interns!D:D""), 
   IMPORTRANGE(""1RdEdgHYrZ33LJ7RUHj_h-qkAFL92bcVjtIdVa-UlsCw"", ""Interns!N:N""), 
   ""Not Found"")"),"")</f>
        <v/>
      </c>
      <c r="AM1352" s="23" t="str">
        <f>IFERROR(__xludf.DUMMYFUNCTION("XLOOKUP(C1352, 
   IMPORTRANGE(""1RdEdgHYrZ33LJ7RUHj_h-qkAFL92bcVjtIdVa-UlsCw"", ""Interns!D:D""), 
   IMPORTRANGE(""1RdEdgHYrZ33LJ7RUHj_h-qkAFL92bcVjtIdVa-UlsCw"", ""Interns!O:O""), 
   ""Not Found"")"),"")</f>
        <v/>
      </c>
      <c r="AN1352" s="23"/>
      <c r="AO1352" s="23" t="s">
        <v>13619</v>
      </c>
      <c r="AP1352" s="28" t="s">
        <v>5182</v>
      </c>
      <c r="AQ1352" s="28"/>
      <c r="AR1352" s="23"/>
      <c r="AS1352" s="23"/>
      <c r="AT1352" s="23"/>
      <c r="AU1352" s="23"/>
      <c r="AV1352" s="23"/>
    </row>
    <row r="1353">
      <c r="A1353" s="28" t="s">
        <v>5161</v>
      </c>
      <c r="B1353" s="28" t="s">
        <v>31</v>
      </c>
      <c r="C1353" s="23" t="str">
        <f t="shared" si="39"/>
        <v>Germayoly German</v>
      </c>
      <c r="D1353" s="28" t="s">
        <v>13502</v>
      </c>
      <c r="E1353" s="28" t="s">
        <v>13503</v>
      </c>
      <c r="F1353" s="23">
        <f t="array" ref="F1353">IFERROR(
    INDEX('Hub Interns 226'!A:A, MATCH(C1353, 'Hub Interns 226'!B:B, 0)),"")</f>
        <v>545</v>
      </c>
      <c r="G1353" s="23">
        <f t="array" ref="G1353">IFERROR(
    INDEX('Hub Users 226'!A:A, MATCH(C1353, 'Hub Users 226'!B:B, 0)),"")</f>
        <v>978</v>
      </c>
      <c r="H1353" s="28">
        <v>1567.0</v>
      </c>
      <c r="I1353" s="28"/>
      <c r="J1353" s="28"/>
      <c r="K1353" s="28"/>
      <c r="L1353" s="28" t="s">
        <v>8087</v>
      </c>
      <c r="M1353" s="56" t="s">
        <v>13504</v>
      </c>
      <c r="N1353" s="57">
        <v>45015.45972222222</v>
      </c>
      <c r="O1353" s="58">
        <v>39060.0</v>
      </c>
      <c r="P1353" s="28">
        <f t="shared" si="40"/>
        <v>19</v>
      </c>
      <c r="Q1353" s="28" t="s">
        <v>13505</v>
      </c>
      <c r="R1353" s="28" t="s">
        <v>13506</v>
      </c>
      <c r="S1353" s="28"/>
      <c r="T1353" s="28"/>
      <c r="U1353" s="28"/>
      <c r="V1353" s="28"/>
      <c r="W1353" s="23"/>
      <c r="X1353" s="23"/>
      <c r="Y1353" s="28" t="s">
        <v>13507</v>
      </c>
      <c r="Z1353" s="28" t="s">
        <v>5341</v>
      </c>
      <c r="AA1353" s="28" t="s">
        <v>1085</v>
      </c>
      <c r="AB1353" s="28">
        <v>10.0</v>
      </c>
      <c r="AC1353" s="28" t="s">
        <v>28</v>
      </c>
      <c r="AD1353" s="23"/>
      <c r="AE1353" s="28" t="s">
        <v>15</v>
      </c>
      <c r="AF1353" s="23"/>
      <c r="AG1353" s="23"/>
      <c r="AH1353" s="23" t="str">
        <f>IFERROR(__xludf.DUMMYFUNCTION("IF(
ISNUMBER(MATCH(
C1353,
IMPORTRANGE(""https://docs.google.com/spreadsheets/d/1yTh1ELC33JHYOeEdgIiEclxPRyh0zOKtlawDltfUay8"",""'Interns'!A:A""),
0
)),
""Outreach Conducted"",
"""")"),"")</f>
        <v/>
      </c>
      <c r="AI1353" s="23"/>
      <c r="AJ1353" s="23"/>
      <c r="AK1353" s="23" t="str">
        <f>IFERROR(__xludf.DUMMYFUNCTION("XLOOKUP(C1353, 
   IMPORTRANGE(""1RdEdgHYrZ33LJ7RUHj_h-qkAFL92bcVjtIdVa-UlsCw"", ""Interns!D:D""), 
   IMPORTRANGE(""1RdEdgHYrZ33LJ7RUHj_h-qkAFL92bcVjtIdVa-UlsCw"", ""Interns!M:M""), 
   ""Not Found"")"),"")</f>
        <v/>
      </c>
      <c r="AL1353" s="23" t="str">
        <f>IFERROR(__xludf.DUMMYFUNCTION("XLOOKUP(C1353, 
   IMPORTRANGE(""1RdEdgHYrZ33LJ7RUHj_h-qkAFL92bcVjtIdVa-UlsCw"", ""Interns!D:D""), 
   IMPORTRANGE(""1RdEdgHYrZ33LJ7RUHj_h-qkAFL92bcVjtIdVa-UlsCw"", ""Interns!N:N""), 
   ""Not Found"")"),"")</f>
        <v/>
      </c>
      <c r="AM1353" s="23" t="str">
        <f>IFERROR(__xludf.DUMMYFUNCTION("XLOOKUP(C1353, 
   IMPORTRANGE(""1RdEdgHYrZ33LJ7RUHj_h-qkAFL92bcVjtIdVa-UlsCw"", ""Interns!D:D""), 
   IMPORTRANGE(""1RdEdgHYrZ33LJ7RUHj_h-qkAFL92bcVjtIdVa-UlsCw"", ""Interns!O:O""), 
   ""Not Found"")"),"")</f>
        <v/>
      </c>
      <c r="AN1353" s="23"/>
      <c r="AO1353" s="23" t="s">
        <v>13503</v>
      </c>
      <c r="AP1353" s="28" t="s">
        <v>5182</v>
      </c>
      <c r="AQ1353" s="28"/>
      <c r="AR1353" s="23"/>
      <c r="AS1353" s="23"/>
      <c r="AT1353" s="23"/>
      <c r="AU1353" s="23"/>
      <c r="AV1353" s="23"/>
    </row>
    <row r="1354">
      <c r="A1354" s="28" t="s">
        <v>5161</v>
      </c>
      <c r="B1354" s="28" t="s">
        <v>5162</v>
      </c>
      <c r="C1354" s="23" t="str">
        <f t="shared" si="39"/>
        <v>Terrence Smith</v>
      </c>
      <c r="D1354" s="22" t="s">
        <v>13620</v>
      </c>
      <c r="E1354" s="22" t="s">
        <v>495</v>
      </c>
      <c r="F1354" s="23"/>
      <c r="G1354" s="23"/>
      <c r="H1354" s="22">
        <v>1905.0</v>
      </c>
      <c r="I1354" s="28"/>
      <c r="J1354" s="28"/>
      <c r="K1354" s="28"/>
      <c r="L1354" s="28" t="s">
        <v>5165</v>
      </c>
      <c r="M1354" s="29" t="s">
        <v>13621</v>
      </c>
      <c r="N1354" s="61">
        <v>45845.59583333333</v>
      </c>
      <c r="O1354" s="25">
        <v>45845.0</v>
      </c>
      <c r="P1354" s="28">
        <f t="shared" si="40"/>
        <v>0</v>
      </c>
      <c r="Q1354" s="62" t="s">
        <v>13622</v>
      </c>
      <c r="R1354" s="22" t="s">
        <v>13623</v>
      </c>
      <c r="S1354" s="28">
        <v>11.0</v>
      </c>
      <c r="T1354" s="28">
        <v>23.0</v>
      </c>
      <c r="U1354" s="28">
        <v>61.0</v>
      </c>
      <c r="V1354" s="28">
        <v>49.0</v>
      </c>
      <c r="W1354" s="23"/>
      <c r="X1354" s="23"/>
      <c r="Y1354" s="22" t="s">
        <v>13624</v>
      </c>
      <c r="Z1354" s="22" t="s">
        <v>5822</v>
      </c>
      <c r="AA1354" s="28" t="s">
        <v>5822</v>
      </c>
      <c r="AB1354" s="28">
        <v>30.0</v>
      </c>
      <c r="AC1354" s="28" t="s">
        <v>27</v>
      </c>
      <c r="AD1354" s="23"/>
      <c r="AE1354" s="28" t="s">
        <v>20</v>
      </c>
      <c r="AF1354" s="23"/>
      <c r="AG1354" s="23"/>
      <c r="AH1354" s="23" t="str">
        <f>IFERROR(__xludf.DUMMYFUNCTION("IF(
ISNUMBER(MATCH(
C1354,
IMPORTRANGE(""https://docs.google.com/spreadsheets/d/1yTh1ELC33JHYOeEdgIiEclxPRyh0zOKtlawDltfUay8"",""'Interns'!A:A""),
0
)),
""Outreach Conducted"",
"""")"),"")</f>
        <v/>
      </c>
      <c r="AI1354" s="23"/>
      <c r="AJ1354" s="23"/>
      <c r="AK1354" s="23"/>
      <c r="AL1354" s="23" t="str">
        <f>IFERROR(__xludf.DUMMYFUNCTION("XLOOKUP(C1354, 
   IMPORTRANGE(""1RdEdgHYrZ33LJ7RUHj_h-qkAFL92bcVjtIdVa-UlsCw"", ""Interns!D:D""), 
   IMPORTRANGE(""1RdEdgHYrZ33LJ7RUHj_h-qkAFL92bcVjtIdVa-UlsCw"", ""Interns!N:N""), 
   ""Not Found"")"),"#Cheers4Careers")</f>
        <v>#Cheers4Careers</v>
      </c>
      <c r="AM1354" s="23" t="str">
        <f>IFERROR(__xludf.DUMMYFUNCTION("XLOOKUP(C1354, 
   IMPORTRANGE(""1RdEdgHYrZ33LJ7RUHj_h-qkAFL92bcVjtIdVa-UlsCw"", ""Interns!D:D""), 
   IMPORTRANGE(""1RdEdgHYrZ33LJ7RUHj_h-qkAFL92bcVjtIdVa-UlsCw"", ""Interns!O:O""), 
   ""Not Found"")"),"Hetal reached out March 27 for March #Cheers4 Careers ")</f>
        <v>Hetal reached out March 27 for March #Cheers4 Careers </v>
      </c>
      <c r="AN1354" s="23"/>
      <c r="AO1354" s="23" t="s">
        <v>13625</v>
      </c>
      <c r="AP1354" s="28" t="s">
        <v>5182</v>
      </c>
      <c r="AQ1354" s="28" t="s">
        <v>13626</v>
      </c>
      <c r="AR1354" s="23" t="s">
        <v>13627</v>
      </c>
      <c r="AS1354" s="23"/>
      <c r="AT1354" s="23"/>
      <c r="AU1354" s="23"/>
      <c r="AV1354" s="23"/>
    </row>
    <row r="1355">
      <c r="A1355" s="28" t="s">
        <v>5161</v>
      </c>
      <c r="B1355" s="28" t="s">
        <v>31</v>
      </c>
      <c r="C1355" s="23" t="str">
        <f t="shared" si="39"/>
        <v>Hanan Awad</v>
      </c>
      <c r="D1355" s="28" t="s">
        <v>12176</v>
      </c>
      <c r="E1355" s="28" t="s">
        <v>12177</v>
      </c>
      <c r="F1355" s="23">
        <f t="array" ref="F1355">IFERROR(
    INDEX('Hub Interns 226'!A:A, MATCH(C1355, 'Hub Interns 226'!B:B, 0)),"")</f>
        <v>564</v>
      </c>
      <c r="G1355" s="23">
        <f t="array" ref="G1355">IFERROR(
    INDEX('Hub Users 226'!A:A, MATCH(C1355, 'Hub Users 226'!B:B, 0)),"")</f>
        <v>997</v>
      </c>
      <c r="H1355" s="28">
        <v>1242.0</v>
      </c>
      <c r="I1355" s="28" t="s">
        <v>107</v>
      </c>
      <c r="J1355" s="28"/>
      <c r="K1355" s="28"/>
      <c r="L1355" s="28" t="s">
        <v>5196</v>
      </c>
      <c r="M1355" s="56" t="s">
        <v>12179</v>
      </c>
      <c r="N1355" s="57">
        <v>44838.665972222225</v>
      </c>
      <c r="O1355" s="58">
        <v>38837.0</v>
      </c>
      <c r="P1355" s="28">
        <f t="shared" si="40"/>
        <v>20</v>
      </c>
      <c r="Q1355" s="28" t="s">
        <v>240</v>
      </c>
      <c r="R1355" s="28" t="s">
        <v>12180</v>
      </c>
      <c r="S1355" s="28"/>
      <c r="T1355" s="28"/>
      <c r="U1355" s="28"/>
      <c r="V1355" s="28"/>
      <c r="W1355" s="28" t="s">
        <v>271</v>
      </c>
      <c r="X1355" s="28" t="s">
        <v>272</v>
      </c>
      <c r="Y1355" s="23"/>
      <c r="Z1355" s="28" t="s">
        <v>5341</v>
      </c>
      <c r="AA1355" s="28" t="s">
        <v>1085</v>
      </c>
      <c r="AB1355" s="28">
        <v>10.0</v>
      </c>
      <c r="AC1355" s="28" t="s">
        <v>28</v>
      </c>
      <c r="AD1355" s="23"/>
      <c r="AE1355" s="28" t="s">
        <v>15</v>
      </c>
      <c r="AF1355" s="23"/>
      <c r="AG1355" s="23"/>
      <c r="AH1355" s="23" t="str">
        <f>IFERROR(__xludf.DUMMYFUNCTION("IF(
ISNUMBER(MATCH(
C1355,
IMPORTRANGE(""https://docs.google.com/spreadsheets/d/1yTh1ELC33JHYOeEdgIiEclxPRyh0zOKtlawDltfUay8"",""'Interns'!A:A""),
0
)),
""Outreach Conducted"",
"""")"),"")</f>
        <v/>
      </c>
      <c r="AI1355" s="23"/>
      <c r="AJ1355" s="23"/>
      <c r="AK1355" s="23" t="str">
        <f>IFERROR(__xludf.DUMMYFUNCTION("XLOOKUP(C1355, 
   IMPORTRANGE(""1RdEdgHYrZ33LJ7RUHj_h-qkAFL92bcVjtIdVa-UlsCw"", ""Interns!D:D""), 
   IMPORTRANGE(""1RdEdgHYrZ33LJ7RUHj_h-qkAFL92bcVjtIdVa-UlsCw"", ""Interns!M:M""), 
   ""Not Found"")"),"")</f>
        <v/>
      </c>
      <c r="AL1355" s="23" t="str">
        <f>IFERROR(__xludf.DUMMYFUNCTION("XLOOKUP(C1355, 
   IMPORTRANGE(""1RdEdgHYrZ33LJ7RUHj_h-qkAFL92bcVjtIdVa-UlsCw"", ""Interns!D:D""), 
   IMPORTRANGE(""1RdEdgHYrZ33LJ7RUHj_h-qkAFL92bcVjtIdVa-UlsCw"", ""Interns!N:N""), 
   ""Not Found"")"),"")</f>
        <v/>
      </c>
      <c r="AM1355" s="23" t="str">
        <f>IFERROR(__xludf.DUMMYFUNCTION("XLOOKUP(C1355, 
   IMPORTRANGE(""1RdEdgHYrZ33LJ7RUHj_h-qkAFL92bcVjtIdVa-UlsCw"", ""Interns!D:D""), 
   IMPORTRANGE(""1RdEdgHYrZ33LJ7RUHj_h-qkAFL92bcVjtIdVa-UlsCw"", ""Interns!O:O""), 
   ""Not Found"")"),"")</f>
        <v/>
      </c>
      <c r="AN1355" s="23"/>
      <c r="AO1355" s="23" t="s">
        <v>12181</v>
      </c>
      <c r="AP1355" s="28" t="s">
        <v>5182</v>
      </c>
      <c r="AQ1355" s="28" t="s">
        <v>12182</v>
      </c>
      <c r="AR1355" s="23" t="s">
        <v>12183</v>
      </c>
      <c r="AS1355" s="23"/>
      <c r="AT1355" s="23"/>
      <c r="AU1355" s="23"/>
      <c r="AV1355" s="23"/>
    </row>
    <row r="1356">
      <c r="A1356" s="28" t="s">
        <v>5202</v>
      </c>
      <c r="B1356" s="28" t="s">
        <v>5162</v>
      </c>
      <c r="C1356" s="23" t="str">
        <f t="shared" si="39"/>
        <v>Mariama Sey</v>
      </c>
      <c r="D1356" s="28" t="s">
        <v>5305</v>
      </c>
      <c r="E1356" s="28" t="s">
        <v>12693</v>
      </c>
      <c r="F1356" s="23">
        <f t="array" ref="F1356">IFERROR(
    INDEX('Hub Interns 226'!A:A, MATCH(C1356, 'Hub Interns 226'!B:B, 0)),"")</f>
        <v>841</v>
      </c>
      <c r="G1356" s="23">
        <f t="array" ref="G1356">IFERROR(
    INDEX('Hub Users 226'!A:A, MATCH(C1356, 'Hub Users 226'!B:B, 0)),"")</f>
        <v>1274</v>
      </c>
      <c r="H1356" s="28">
        <v>1037.0</v>
      </c>
      <c r="I1356" s="28" t="s">
        <v>260</v>
      </c>
      <c r="J1356" s="28" t="s">
        <v>9516</v>
      </c>
      <c r="K1356" s="28" t="s">
        <v>5245</v>
      </c>
      <c r="L1356" s="28" t="s">
        <v>5196</v>
      </c>
      <c r="M1356" s="56" t="s">
        <v>13628</v>
      </c>
      <c r="N1356" s="57">
        <v>44676.532638888886</v>
      </c>
      <c r="O1356" s="58">
        <v>37302.0</v>
      </c>
      <c r="P1356" s="28">
        <f t="shared" si="40"/>
        <v>24</v>
      </c>
      <c r="Q1356" s="28" t="s">
        <v>240</v>
      </c>
      <c r="R1356" s="28" t="s">
        <v>13629</v>
      </c>
      <c r="S1356" s="28">
        <v>15.0</v>
      </c>
      <c r="T1356" s="28">
        <v>32.0</v>
      </c>
      <c r="U1356" s="28">
        <v>77.0</v>
      </c>
      <c r="V1356" s="28">
        <v>16.0</v>
      </c>
      <c r="W1356" s="28" t="s">
        <v>271</v>
      </c>
      <c r="X1356" s="28" t="s">
        <v>272</v>
      </c>
      <c r="Y1356" s="28" t="s">
        <v>13630</v>
      </c>
      <c r="Z1356" s="28" t="s">
        <v>5310</v>
      </c>
      <c r="AA1356" s="28" t="s">
        <v>362</v>
      </c>
      <c r="AB1356" s="28">
        <v>16.0</v>
      </c>
      <c r="AC1356" s="28" t="s">
        <v>24</v>
      </c>
      <c r="AD1356" s="23"/>
      <c r="AE1356" s="28" t="s">
        <v>10</v>
      </c>
      <c r="AF1356" s="23"/>
      <c r="AG1356" s="23"/>
      <c r="AH1356" s="23" t="str">
        <f>IFERROR(__xludf.DUMMYFUNCTION("IF(
ISNUMBER(MATCH(
C1356,
IMPORTRANGE(""https://docs.google.com/spreadsheets/d/1yTh1ELC33JHYOeEdgIiEclxPRyh0zOKtlawDltfUay8"",""'Interns'!A:A""),
0
)),
""Outreach Conducted"",
"""")"),"")</f>
        <v/>
      </c>
      <c r="AI1356" s="23"/>
      <c r="AJ1356" s="23"/>
      <c r="AK1356" s="23" t="str">
        <f>IFERROR(__xludf.DUMMYFUNCTION("XLOOKUP(C1356, 
   IMPORTRANGE(""1RdEdgHYrZ33LJ7RUHj_h-qkAFL92bcVjtIdVa-UlsCw"", ""Interns!D:D""), 
   IMPORTRANGE(""1RdEdgHYrZ33LJ7RUHj_h-qkAFL92bcVjtIdVa-UlsCw"", ""Interns!M:M""), 
   ""Not Found"")"),"")</f>
        <v/>
      </c>
      <c r="AL1356" s="23" t="str">
        <f>IFERROR(__xludf.DUMMYFUNCTION("XLOOKUP(C1356, 
   IMPORTRANGE(""1RdEdgHYrZ33LJ7RUHj_h-qkAFL92bcVjtIdVa-UlsCw"", ""Interns!D:D""), 
   IMPORTRANGE(""1RdEdgHYrZ33LJ7RUHj_h-qkAFL92bcVjtIdVa-UlsCw"", ""Interns!N:N""), 
   ""Not Found"")"),"")</f>
        <v/>
      </c>
      <c r="AM1356" s="23" t="str">
        <f>IFERROR(__xludf.DUMMYFUNCTION("XLOOKUP(C1356, 
   IMPORTRANGE(""1RdEdgHYrZ33LJ7RUHj_h-qkAFL92bcVjtIdVa-UlsCw"", ""Interns!D:D""), 
   IMPORTRANGE(""1RdEdgHYrZ33LJ7RUHj_h-qkAFL92bcVjtIdVa-UlsCw"", ""Interns!O:O""), 
   ""Not Found"")"),"")</f>
        <v/>
      </c>
      <c r="AN1356" s="23"/>
      <c r="AO1356" s="23" t="s">
        <v>13631</v>
      </c>
      <c r="AP1356" s="28" t="s">
        <v>5191</v>
      </c>
      <c r="AQ1356" s="28"/>
      <c r="AR1356" s="23"/>
      <c r="AS1356" s="23"/>
      <c r="AT1356" s="23"/>
      <c r="AU1356" s="23"/>
      <c r="AV1356" s="23"/>
    </row>
    <row r="1357">
      <c r="A1357" s="28" t="s">
        <v>5202</v>
      </c>
      <c r="B1357" s="28" t="s">
        <v>5162</v>
      </c>
      <c r="C1357" s="23" t="str">
        <f t="shared" si="39"/>
        <v>Toure Drame</v>
      </c>
      <c r="D1357" s="28" t="s">
        <v>12554</v>
      </c>
      <c r="E1357" s="28" t="s">
        <v>10501</v>
      </c>
      <c r="F1357" s="23">
        <f t="array" ref="F1357">IFERROR(
    INDEX('Hub Interns 226'!A:A, MATCH(C1357, 'Hub Interns 226'!B:B, 0)),"")</f>
        <v>1152</v>
      </c>
      <c r="G1357" s="23">
        <f t="array" ref="G1357">IFERROR(
    INDEX('Hub Users 226'!A:A, MATCH(C1357, 'Hub Users 226'!B:B, 0)),"")</f>
        <v>1585</v>
      </c>
      <c r="H1357" s="28">
        <v>1249.0</v>
      </c>
      <c r="I1357" s="28" t="s">
        <v>260</v>
      </c>
      <c r="J1357" s="28" t="s">
        <v>9516</v>
      </c>
      <c r="K1357" s="28" t="s">
        <v>5245</v>
      </c>
      <c r="L1357" s="28" t="s">
        <v>5196</v>
      </c>
      <c r="M1357" s="56" t="s">
        <v>13632</v>
      </c>
      <c r="N1357" s="57">
        <v>44840.51666666667</v>
      </c>
      <c r="O1357" s="58">
        <v>37600.0</v>
      </c>
      <c r="P1357" s="28">
        <f t="shared" si="40"/>
        <v>23</v>
      </c>
      <c r="Q1357" s="28" t="s">
        <v>13633</v>
      </c>
      <c r="R1357" s="28" t="s">
        <v>13634</v>
      </c>
      <c r="S1357" s="28">
        <v>15.0</v>
      </c>
      <c r="T1357" s="28">
        <v>29.0</v>
      </c>
      <c r="U1357" s="28">
        <v>79.0</v>
      </c>
      <c r="V1357" s="28">
        <v>16.0</v>
      </c>
      <c r="W1357" s="28" t="s">
        <v>859</v>
      </c>
      <c r="X1357" s="28" t="s">
        <v>272</v>
      </c>
      <c r="Y1357" s="28" t="s">
        <v>13635</v>
      </c>
      <c r="Z1357" s="28" t="s">
        <v>5435</v>
      </c>
      <c r="AA1357" s="28" t="s">
        <v>5436</v>
      </c>
      <c r="AB1357" s="28">
        <v>10.0</v>
      </c>
      <c r="AC1357" s="28" t="s">
        <v>25</v>
      </c>
      <c r="AD1357" s="23"/>
      <c r="AE1357" s="28" t="s">
        <v>15</v>
      </c>
      <c r="AF1357" s="23" t="str">
        <f>IFERROR(__xludf.DUMMYFUNCTION("TEXTJOIN("", "", TRUE,
  FILTER(Champions!C:C,
    ISNUMBER(SEARCH(C1357, Champions!W:W))
  )
)"),"#N/A")</f>
        <v>#N/A</v>
      </c>
      <c r="AG1357" s="23"/>
      <c r="AH1357" s="23" t="str">
        <f>IFERROR(__xludf.DUMMYFUNCTION("IF(
ISNUMBER(MATCH(
C1357,
IMPORTRANGE(""https://docs.google.com/spreadsheets/d/1yTh1ELC33JHYOeEdgIiEclxPRyh0zOKtlawDltfUay8"",""'Interns'!A:A""),
0
)),
""Outreach Conducted"",
"""")"),"")</f>
        <v/>
      </c>
      <c r="AI1357" s="23"/>
      <c r="AJ1357" s="23"/>
      <c r="AK1357" s="23" t="str">
        <f>IFERROR(__xludf.DUMMYFUNCTION("XLOOKUP(C1357, 
   IMPORTRANGE(""1RdEdgHYrZ33LJ7RUHj_h-qkAFL92bcVjtIdVa-UlsCw"", ""Interns!D:D""), 
   IMPORTRANGE(""1RdEdgHYrZ33LJ7RUHj_h-qkAFL92bcVjtIdVa-UlsCw"", ""Interns!M:M""), 
   ""Not Found"")"),"")</f>
        <v/>
      </c>
      <c r="AL1357" s="23" t="str">
        <f>IFERROR(__xludf.DUMMYFUNCTION("XLOOKUP(C1357, 
   IMPORTRANGE(""1RdEdgHYrZ33LJ7RUHj_h-qkAFL92bcVjtIdVa-UlsCw"", ""Interns!D:D""), 
   IMPORTRANGE(""1RdEdgHYrZ33LJ7RUHj_h-qkAFL92bcVjtIdVa-UlsCw"", ""Interns!N:N""), 
   ""Not Found"")"),"")</f>
        <v/>
      </c>
      <c r="AM1357" s="23" t="str">
        <f>IFERROR(__xludf.DUMMYFUNCTION("XLOOKUP(C1357, 
   IMPORTRANGE(""1RdEdgHYrZ33LJ7RUHj_h-qkAFL92bcVjtIdVa-UlsCw"", ""Interns!D:D""), 
   IMPORTRANGE(""1RdEdgHYrZ33LJ7RUHj_h-qkAFL92bcVjtIdVa-UlsCw"", ""Interns!O:O""), 
   ""Not Found"")"),"")</f>
        <v/>
      </c>
      <c r="AN1357" s="23"/>
      <c r="AO1357" s="23" t="s">
        <v>13636</v>
      </c>
      <c r="AP1357" s="28" t="s">
        <v>5182</v>
      </c>
      <c r="AQ1357" s="28" t="s">
        <v>13637</v>
      </c>
      <c r="AR1357" s="23" t="s">
        <v>13638</v>
      </c>
      <c r="AS1357" s="23"/>
      <c r="AT1357" s="23"/>
      <c r="AU1357" s="23"/>
      <c r="AV1357" s="23"/>
    </row>
    <row r="1358">
      <c r="A1358" s="28" t="s">
        <v>5161</v>
      </c>
      <c r="B1358" s="28" t="s">
        <v>5162</v>
      </c>
      <c r="C1358" s="23" t="str">
        <f t="shared" si="39"/>
        <v>Alanthoney Walters</v>
      </c>
      <c r="D1358" s="28" t="s">
        <v>13639</v>
      </c>
      <c r="E1358" s="28" t="s">
        <v>13640</v>
      </c>
      <c r="F1358" s="23">
        <f t="array" ref="F1358">IFERROR(
    INDEX('Hub Interns 226'!A:A, MATCH(C1358, 'Hub Interns 226'!B:B, 0)),"")</f>
        <v>172</v>
      </c>
      <c r="G1358" s="23">
        <f t="array" ref="G1358">IFERROR(
    INDEX('Hub Users 226'!A:A, MATCH(C1358, 'Hub Users 226'!B:B, 0)),"")</f>
        <v>605</v>
      </c>
      <c r="H1358" s="28">
        <v>1363.0</v>
      </c>
      <c r="I1358" s="28" t="s">
        <v>407</v>
      </c>
      <c r="J1358" s="28"/>
      <c r="K1358" s="28"/>
      <c r="L1358" s="28" t="s">
        <v>5165</v>
      </c>
      <c r="M1358" s="56" t="s">
        <v>13641</v>
      </c>
      <c r="N1358" s="59">
        <v>44859.62013888889</v>
      </c>
      <c r="O1358" s="58">
        <v>39698.0</v>
      </c>
      <c r="P1358" s="28">
        <f t="shared" si="40"/>
        <v>17</v>
      </c>
      <c r="Q1358" s="28" t="s">
        <v>240</v>
      </c>
      <c r="R1358" s="28" t="s">
        <v>13642</v>
      </c>
      <c r="S1358" s="28">
        <v>5.0</v>
      </c>
      <c r="T1358" s="28">
        <v>10.0</v>
      </c>
      <c r="U1358" s="28">
        <v>31.0</v>
      </c>
      <c r="V1358" s="28">
        <v>31.0</v>
      </c>
      <c r="W1358" s="28" t="s">
        <v>1173</v>
      </c>
      <c r="X1358" s="28" t="s">
        <v>272</v>
      </c>
      <c r="Y1358" s="28" t="s">
        <v>13643</v>
      </c>
      <c r="Z1358" s="28" t="s">
        <v>5332</v>
      </c>
      <c r="AA1358" s="28" t="s">
        <v>421</v>
      </c>
      <c r="AB1358" s="28">
        <v>31.0</v>
      </c>
      <c r="AC1358" s="28" t="s">
        <v>23</v>
      </c>
      <c r="AD1358" s="23"/>
      <c r="AE1358" s="28" t="s">
        <v>15</v>
      </c>
      <c r="AF1358" s="23"/>
      <c r="AG1358" s="23"/>
      <c r="AH1358" s="23" t="str">
        <f>IFERROR(__xludf.DUMMYFUNCTION("IF(
ISNUMBER(MATCH(
C1358,
IMPORTRANGE(""https://docs.google.com/spreadsheets/d/1yTh1ELC33JHYOeEdgIiEclxPRyh0zOKtlawDltfUay8"",""'Interns'!A:A""),
0
)),
""Outreach Conducted"",
"""")"),"")</f>
        <v/>
      </c>
      <c r="AI1358" s="23"/>
      <c r="AJ1358" s="23"/>
      <c r="AK1358" s="23" t="str">
        <f>IFERROR(__xludf.DUMMYFUNCTION("XLOOKUP(C1358, 
   IMPORTRANGE(""1RdEdgHYrZ33LJ7RUHj_h-qkAFL92bcVjtIdVa-UlsCw"", ""Interns!D:D""), 
   IMPORTRANGE(""1RdEdgHYrZ33LJ7RUHj_h-qkAFL92bcVjtIdVa-UlsCw"", ""Interns!M:M""), 
   ""Not Found"")"),"Contacted")</f>
        <v>Contacted</v>
      </c>
      <c r="AL1358" s="23" t="str">
        <f>IFERROR(__xludf.DUMMYFUNCTION("XLOOKUP(C1358, 
   IMPORTRANGE(""1RdEdgHYrZ33LJ7RUHj_h-qkAFL92bcVjtIdVa-UlsCw"", ""Interns!D:D""), 
   IMPORTRANGE(""1RdEdgHYrZ33LJ7RUHj_h-qkAFL92bcVjtIdVa-UlsCw"", ""Interns!N:N""), 
   ""Not Found"")"),"#Cheers4Careers")</f>
        <v>#Cheers4Careers</v>
      </c>
      <c r="AM1358" s="23" t="str">
        <f>IFERROR(__xludf.DUMMYFUNCTION("XLOOKUP(C1358, 
   IMPORTRANGE(""1RdEdgHYrZ33LJ7RUHj_h-qkAFL92bcVjtIdVa-UlsCw"", ""Interns!D:D""), 
   IMPORTRANGE(""1RdEdgHYrZ33LJ7RUHj_h-qkAFL92bcVjtIdVa-UlsCw"", ""Interns!O:O""), 
   ""Not Found"")"),"Hetal reached out March 27 for March #Cheers4 Careers and texted")</f>
        <v>Hetal reached out March 27 for March #Cheers4 Careers and texted</v>
      </c>
      <c r="AN1358" s="23"/>
      <c r="AO1358" s="23" t="s">
        <v>13644</v>
      </c>
      <c r="AP1358" s="28" t="s">
        <v>5182</v>
      </c>
      <c r="AQ1358" s="28"/>
      <c r="AR1358" s="23"/>
      <c r="AS1358" s="23"/>
      <c r="AT1358" s="23"/>
      <c r="AU1358" s="23"/>
      <c r="AV1358" s="23"/>
    </row>
    <row r="1359">
      <c r="A1359" s="28" t="s">
        <v>5161</v>
      </c>
      <c r="B1359" s="28" t="s">
        <v>5162</v>
      </c>
      <c r="C1359" s="23" t="str">
        <f t="shared" si="39"/>
        <v>Nahmya Bejot</v>
      </c>
      <c r="D1359" s="28" t="s">
        <v>13645</v>
      </c>
      <c r="E1359" s="28" t="s">
        <v>13646</v>
      </c>
      <c r="F1359" s="23" t="str">
        <f t="array" ref="F1359">IFERROR(
    INDEX('Hub Interns 226'!A:A, MATCH(C1359, 'Hub Interns 226'!B:B, 0)),"")</f>
        <v/>
      </c>
      <c r="G1359" s="23">
        <f t="array" ref="G1359">IFERROR(
    INDEX('Hub Users 226'!A:A, MATCH(C1359, 'Hub Users 226'!B:B, 0)),"")</f>
        <v>725</v>
      </c>
      <c r="H1359" s="28">
        <v>1347.0</v>
      </c>
      <c r="I1359" s="28" t="s">
        <v>260</v>
      </c>
      <c r="J1359" s="28"/>
      <c r="K1359" s="28"/>
      <c r="L1359" s="28" t="s">
        <v>5196</v>
      </c>
      <c r="M1359" s="56" t="s">
        <v>13647</v>
      </c>
      <c r="N1359" s="59">
        <v>44859.47152777778</v>
      </c>
      <c r="O1359" s="58">
        <v>39790.0</v>
      </c>
      <c r="P1359" s="28">
        <f t="shared" si="40"/>
        <v>17</v>
      </c>
      <c r="Q1359" s="28" t="s">
        <v>13648</v>
      </c>
      <c r="R1359" s="28" t="s">
        <v>13649</v>
      </c>
      <c r="S1359" s="28">
        <v>5.0</v>
      </c>
      <c r="T1359" s="28">
        <v>10.0</v>
      </c>
      <c r="U1359" s="28">
        <v>29.0</v>
      </c>
      <c r="V1359" s="28">
        <v>31.0</v>
      </c>
      <c r="W1359" s="28" t="s">
        <v>271</v>
      </c>
      <c r="X1359" s="28" t="s">
        <v>272</v>
      </c>
      <c r="Y1359" s="28" t="s">
        <v>13650</v>
      </c>
      <c r="Z1359" s="28" t="s">
        <v>5332</v>
      </c>
      <c r="AA1359" s="28" t="s">
        <v>421</v>
      </c>
      <c r="AB1359" s="28">
        <v>31.0</v>
      </c>
      <c r="AC1359" s="28" t="s">
        <v>23</v>
      </c>
      <c r="AD1359" s="28" t="s">
        <v>101</v>
      </c>
      <c r="AE1359" s="28" t="s">
        <v>15</v>
      </c>
      <c r="AF1359" s="23"/>
      <c r="AG1359" s="26" t="s">
        <v>7320</v>
      </c>
      <c r="AH1359" s="23" t="str">
        <f>IFERROR(__xludf.DUMMYFUNCTION("IF(
ISNUMBER(MATCH(
C1359,
IMPORTRANGE(""https://docs.google.com/spreadsheets/d/1yTh1ELC33JHYOeEdgIiEclxPRyh0zOKtlawDltfUay8"",""'Interns'!A:A""),
0
)),
""Outreach Conducted"",
"""")"),"")</f>
        <v/>
      </c>
      <c r="AI1359" s="23"/>
      <c r="AJ1359" s="23"/>
      <c r="AK1359" s="23" t="str">
        <f>IFERROR(__xludf.DUMMYFUNCTION("XLOOKUP(C1359, 
   IMPORTRANGE(""1RdEdgHYrZ33LJ7RUHj_h-qkAFL92bcVjtIdVa-UlsCw"", ""Interns!D:D""), 
   IMPORTRANGE(""1RdEdgHYrZ33LJ7RUHj_h-qkAFL92bcVjtIdVa-UlsCw"", ""Interns!M:M""), 
   ""Not Found"")"),"Contacted")</f>
        <v>Contacted</v>
      </c>
      <c r="AL1359" s="23" t="str">
        <f>IFERROR(__xludf.DUMMYFUNCTION("XLOOKUP(C1359, 
   IMPORTRANGE(""1RdEdgHYrZ33LJ7RUHj_h-qkAFL92bcVjtIdVa-UlsCw"", ""Interns!D:D""), 
   IMPORTRANGE(""1RdEdgHYrZ33LJ7RUHj_h-qkAFL92bcVjtIdVa-UlsCw"", ""Interns!N:N""), 
   ""Not Found"")"),"#Cheers4Careers")</f>
        <v>#Cheers4Careers</v>
      </c>
      <c r="AM1359" s="23" t="str">
        <f>IFERROR(__xludf.DUMMYFUNCTION("XLOOKUP(C1359, 
   IMPORTRANGE(""1RdEdgHYrZ33LJ7RUHj_h-qkAFL92bcVjtIdVa-UlsCw"", ""Interns!D:D""), 
   IMPORTRANGE(""1RdEdgHYrZ33LJ7RUHj_h-qkAFL92bcVjtIdVa-UlsCw"", ""Interns!O:O""), 
   ""Not Found"")"),"Hetal reached out March 27 for March #Cheers4 Careers and texted")</f>
        <v>Hetal reached out March 27 for March #Cheers4 Careers and texted</v>
      </c>
      <c r="AN1359" s="23"/>
      <c r="AO1359" s="23" t="s">
        <v>13651</v>
      </c>
      <c r="AP1359" s="28" t="s">
        <v>5182</v>
      </c>
      <c r="AQ1359" s="28"/>
      <c r="AR1359" s="23"/>
      <c r="AS1359" s="23"/>
      <c r="AT1359" s="23"/>
      <c r="AU1359" s="23"/>
      <c r="AV1359" s="23"/>
    </row>
    <row r="1360">
      <c r="A1360" s="28" t="s">
        <v>5161</v>
      </c>
      <c r="B1360" s="28" t="s">
        <v>5162</v>
      </c>
      <c r="C1360" s="23" t="str">
        <f t="shared" si="39"/>
        <v>Aminata Kebe</v>
      </c>
      <c r="D1360" s="28" t="s">
        <v>13652</v>
      </c>
      <c r="E1360" s="28" t="s">
        <v>7127</v>
      </c>
      <c r="F1360" s="23">
        <f t="array" ref="F1360">IFERROR(
    INDEX('Hub Interns 226'!A:A, MATCH(C1360, 'Hub Interns 226'!B:B, 0)),"")</f>
        <v>206</v>
      </c>
      <c r="G1360" s="23">
        <f t="array" ref="G1360">IFERROR(
    INDEX('Hub Users 226'!A:A, MATCH(C1360, 'Hub Users 226'!B:B, 0)),"")</f>
        <v>639</v>
      </c>
      <c r="H1360" s="28">
        <v>429.0</v>
      </c>
      <c r="I1360" s="28" t="s">
        <v>290</v>
      </c>
      <c r="J1360" s="28"/>
      <c r="K1360" s="28" t="s">
        <v>5245</v>
      </c>
      <c r="L1360" s="28" t="s">
        <v>5196</v>
      </c>
      <c r="M1360" s="56" t="s">
        <v>7128</v>
      </c>
      <c r="N1360" s="57">
        <v>44314.552083333336</v>
      </c>
      <c r="O1360" s="58">
        <v>37663.0</v>
      </c>
      <c r="P1360" s="28">
        <f t="shared" si="40"/>
        <v>23</v>
      </c>
      <c r="Q1360" s="28" t="s">
        <v>240</v>
      </c>
      <c r="R1360" s="28" t="s">
        <v>13653</v>
      </c>
      <c r="S1360" s="28">
        <v>15.0</v>
      </c>
      <c r="T1360" s="28">
        <v>29.0</v>
      </c>
      <c r="U1360" s="28">
        <v>77.0</v>
      </c>
      <c r="V1360" s="28">
        <v>16.0</v>
      </c>
      <c r="W1360" s="28" t="s">
        <v>859</v>
      </c>
      <c r="X1360" s="28" t="s">
        <v>272</v>
      </c>
      <c r="Y1360" s="28" t="s">
        <v>7131</v>
      </c>
      <c r="Z1360" s="28" t="s">
        <v>5310</v>
      </c>
      <c r="AA1360" s="28" t="s">
        <v>362</v>
      </c>
      <c r="AB1360" s="28">
        <v>16.0</v>
      </c>
      <c r="AC1360" s="28" t="s">
        <v>25</v>
      </c>
      <c r="AD1360" s="23"/>
      <c r="AE1360" s="28" t="s">
        <v>10</v>
      </c>
      <c r="AF1360" s="23" t="str">
        <f>IFERROR(__xludf.DUMMYFUNCTION("TEXTJOIN("", "", TRUE,
  FILTER(Champions!C:C,
    ISNUMBER(SEARCH(C1360, Champions!W:W))
  )
)"),"Lien Nguyen, Ritika Naik")</f>
        <v>Lien Nguyen, Ritika Naik</v>
      </c>
      <c r="AG1360" s="23"/>
      <c r="AH1360" s="23" t="str">
        <f>IFERROR(__xludf.DUMMYFUNCTION("IF(
ISNUMBER(MATCH(
C1360,
IMPORTRANGE(""https://docs.google.com/spreadsheets/d/1yTh1ELC33JHYOeEdgIiEclxPRyh0zOKtlawDltfUay8"",""'Interns'!A:A""),
0
)),
""Outreach Conducted"",
"""")"),"")</f>
        <v/>
      </c>
      <c r="AI1360" s="23"/>
      <c r="AJ1360" s="28" t="s">
        <v>13654</v>
      </c>
      <c r="AK1360" s="23" t="str">
        <f>IFERROR(__xludf.DUMMYFUNCTION("XLOOKUP(C1360, 
   IMPORTRANGE(""1RdEdgHYrZ33LJ7RUHj_h-qkAFL92bcVjtIdVa-UlsCw"", ""Interns!D:D""), 
   IMPORTRANGE(""1RdEdgHYrZ33LJ7RUHj_h-qkAFL92bcVjtIdVa-UlsCw"", ""Interns!M:M""), 
   ""Not Found"")"),"")</f>
        <v/>
      </c>
      <c r="AL1360" s="23" t="str">
        <f>IFERROR(__xludf.DUMMYFUNCTION("XLOOKUP(C1360, 
   IMPORTRANGE(""1RdEdgHYrZ33LJ7RUHj_h-qkAFL92bcVjtIdVa-UlsCw"", ""Interns!D:D""), 
   IMPORTRANGE(""1RdEdgHYrZ33LJ7RUHj_h-qkAFL92bcVjtIdVa-UlsCw"", ""Interns!N:N""), 
   ""Not Found"")"),"#Cheers4Careers, #SpeakingMyName")</f>
        <v>#Cheers4Careers, #SpeakingMyName</v>
      </c>
      <c r="AM1360" s="23" t="str">
        <f>IFERROR(__xludf.DUMMYFUNCTION("XLOOKUP(C1360, 
   IMPORTRANGE(""1RdEdgHYrZ33LJ7RUHj_h-qkAFL92bcVjtIdVa-UlsCw"", ""Interns!D:D""), 
   IMPORTRANGE(""1RdEdgHYrZ33LJ7RUHj_h-qkAFL92bcVjtIdVa-UlsCw"", ""Interns!O:O""), 
   ""Not Found"")"),"Ousmane reached out on 04/28 by text about the Cheers4careers May 24th.
Alicia reached out by email on 5/15 for #SpeakingMyName")</f>
        <v>Ousmane reached out on 04/28 by text about the Cheers4careers May 24th.
Alicia reached out by email on 5/15 for #SpeakingMyName</v>
      </c>
      <c r="AN1360" s="23"/>
      <c r="AO1360" s="23" t="s">
        <v>13655</v>
      </c>
      <c r="AP1360" s="28" t="s">
        <v>5182</v>
      </c>
      <c r="AQ1360" s="28"/>
      <c r="AR1360" s="23"/>
      <c r="AS1360" s="23"/>
      <c r="AT1360" s="23"/>
      <c r="AU1360" s="23"/>
      <c r="AV1360" s="23"/>
    </row>
    <row r="1361">
      <c r="A1361" s="28" t="s">
        <v>5161</v>
      </c>
      <c r="B1361" s="28" t="s">
        <v>31</v>
      </c>
      <c r="C1361" s="23" t="str">
        <f t="shared" si="39"/>
        <v>Jaymin Ortega</v>
      </c>
      <c r="D1361" s="28" t="s">
        <v>13656</v>
      </c>
      <c r="E1361" s="28" t="s">
        <v>8681</v>
      </c>
      <c r="F1361" s="23">
        <f t="array" ref="F1361">IFERROR(
    INDEX('Hub Interns 226'!A:A, MATCH(C1361, 'Hub Interns 226'!B:B, 0)),"")</f>
        <v>636</v>
      </c>
      <c r="G1361" s="23">
        <f t="array" ref="G1361">IFERROR(
    INDEX('Hub Users 226'!A:A, MATCH(C1361, 'Hub Users 226'!B:B, 0)),"")</f>
        <v>1069</v>
      </c>
      <c r="H1361" s="28">
        <v>1219.0</v>
      </c>
      <c r="I1361" s="28" t="s">
        <v>407</v>
      </c>
      <c r="J1361" s="28"/>
      <c r="K1361" s="28"/>
      <c r="L1361" s="28" t="s">
        <v>5165</v>
      </c>
      <c r="M1361" s="56" t="s">
        <v>13657</v>
      </c>
      <c r="N1361" s="57">
        <v>44837.455555555556</v>
      </c>
      <c r="O1361" s="58">
        <v>39000.0</v>
      </c>
      <c r="P1361" s="28">
        <f t="shared" si="40"/>
        <v>19</v>
      </c>
      <c r="Q1361" s="28" t="s">
        <v>240</v>
      </c>
      <c r="R1361" s="28" t="s">
        <v>13658</v>
      </c>
      <c r="S1361" s="28"/>
      <c r="T1361" s="28"/>
      <c r="U1361" s="28"/>
      <c r="V1361" s="28"/>
      <c r="W1361" s="28" t="s">
        <v>271</v>
      </c>
      <c r="X1361" s="28" t="s">
        <v>272</v>
      </c>
      <c r="Y1361" s="28" t="s">
        <v>13659</v>
      </c>
      <c r="Z1361" s="28" t="s">
        <v>5341</v>
      </c>
      <c r="AA1361" s="28" t="s">
        <v>1085</v>
      </c>
      <c r="AB1361" s="28">
        <v>10.0</v>
      </c>
      <c r="AC1361" s="28" t="s">
        <v>28</v>
      </c>
      <c r="AD1361" s="23"/>
      <c r="AE1361" s="28" t="s">
        <v>15</v>
      </c>
      <c r="AF1361" s="23"/>
      <c r="AG1361" s="23"/>
      <c r="AH1361" s="23" t="str">
        <f>IFERROR(__xludf.DUMMYFUNCTION("IF(
ISNUMBER(MATCH(
C1361,
IMPORTRANGE(""https://docs.google.com/spreadsheets/d/1yTh1ELC33JHYOeEdgIiEclxPRyh0zOKtlawDltfUay8"",""'Interns'!A:A""),
0
)),
""Outreach Conducted"",
"""")"),"")</f>
        <v/>
      </c>
      <c r="AI1361" s="23"/>
      <c r="AJ1361" s="23"/>
      <c r="AK1361" s="23" t="str">
        <f>IFERROR(__xludf.DUMMYFUNCTION("XLOOKUP(C1361, 
   IMPORTRANGE(""1RdEdgHYrZ33LJ7RUHj_h-qkAFL92bcVjtIdVa-UlsCw"", ""Interns!D:D""), 
   IMPORTRANGE(""1RdEdgHYrZ33LJ7RUHj_h-qkAFL92bcVjtIdVa-UlsCw"", ""Interns!M:M""), 
   ""Not Found"")"),"")</f>
        <v/>
      </c>
      <c r="AL1361" s="23" t="str">
        <f>IFERROR(__xludf.DUMMYFUNCTION("XLOOKUP(C1361, 
   IMPORTRANGE(""1RdEdgHYrZ33LJ7RUHj_h-qkAFL92bcVjtIdVa-UlsCw"", ""Interns!D:D""), 
   IMPORTRANGE(""1RdEdgHYrZ33LJ7RUHj_h-qkAFL92bcVjtIdVa-UlsCw"", ""Interns!N:N""), 
   ""Not Found"")"),"")</f>
        <v/>
      </c>
      <c r="AM1361" s="23" t="str">
        <f>IFERROR(__xludf.DUMMYFUNCTION("XLOOKUP(C1361, 
   IMPORTRANGE(""1RdEdgHYrZ33LJ7RUHj_h-qkAFL92bcVjtIdVa-UlsCw"", ""Interns!D:D""), 
   IMPORTRANGE(""1RdEdgHYrZ33LJ7RUHj_h-qkAFL92bcVjtIdVa-UlsCw"", ""Interns!O:O""), 
   ""Not Found"")"),"")</f>
        <v/>
      </c>
      <c r="AN1361" s="23"/>
      <c r="AO1361" s="23" t="s">
        <v>13660</v>
      </c>
      <c r="AP1361" s="28" t="s">
        <v>5182</v>
      </c>
      <c r="AQ1361" s="28"/>
      <c r="AR1361" s="23"/>
      <c r="AS1361" s="23"/>
      <c r="AT1361" s="23"/>
      <c r="AU1361" s="23"/>
      <c r="AV1361" s="23"/>
    </row>
    <row r="1362">
      <c r="A1362" s="28" t="s">
        <v>5161</v>
      </c>
      <c r="B1362" s="28" t="s">
        <v>5162</v>
      </c>
      <c r="C1362" s="23" t="str">
        <f t="shared" si="39"/>
        <v>Mouhamed Barry</v>
      </c>
      <c r="D1362" s="28" t="s">
        <v>5243</v>
      </c>
      <c r="E1362" s="28" t="s">
        <v>10518</v>
      </c>
      <c r="F1362" s="23">
        <f t="array" ref="F1362">IFERROR(
    INDEX('Hub Interns 226'!A:A, MATCH(C1362, 'Hub Interns 226'!B:B, 0)),"")</f>
        <v>900</v>
      </c>
      <c r="G1362" s="23">
        <f t="array" ref="G1362">IFERROR(
    INDEX('Hub Users 226'!A:A, MATCH(C1362, 'Hub Users 226'!B:B, 0)),"")</f>
        <v>1333</v>
      </c>
      <c r="H1362" s="28">
        <v>323.0</v>
      </c>
      <c r="I1362" s="28" t="s">
        <v>290</v>
      </c>
      <c r="J1362" s="28"/>
      <c r="K1362" s="28" t="s">
        <v>5245</v>
      </c>
      <c r="L1362" s="28" t="s">
        <v>5165</v>
      </c>
      <c r="M1362" s="56" t="s">
        <v>13661</v>
      </c>
      <c r="N1362" s="57">
        <v>44236.54236111111</v>
      </c>
      <c r="O1362" s="58">
        <v>37652.0</v>
      </c>
      <c r="P1362" s="28">
        <f t="shared" si="40"/>
        <v>23</v>
      </c>
      <c r="Q1362" s="28" t="s">
        <v>240</v>
      </c>
      <c r="R1362" s="28" t="s">
        <v>13662</v>
      </c>
      <c r="S1362" s="28">
        <v>15.0</v>
      </c>
      <c r="T1362" s="28">
        <v>32.0</v>
      </c>
      <c r="U1362" s="28">
        <v>77.0</v>
      </c>
      <c r="V1362" s="28">
        <v>16.0</v>
      </c>
      <c r="W1362" s="28" t="s">
        <v>859</v>
      </c>
      <c r="X1362" s="28" t="s">
        <v>272</v>
      </c>
      <c r="Y1362" s="28" t="s">
        <v>13663</v>
      </c>
      <c r="Z1362" s="28" t="s">
        <v>5310</v>
      </c>
      <c r="AA1362" s="28" t="s">
        <v>362</v>
      </c>
      <c r="AB1362" s="28">
        <v>16.0</v>
      </c>
      <c r="AC1362" s="28" t="s">
        <v>25</v>
      </c>
      <c r="AD1362" s="23"/>
      <c r="AE1362" s="28" t="s">
        <v>8</v>
      </c>
      <c r="AF1362" s="23" t="str">
        <f>IFERROR(__xludf.DUMMYFUNCTION("TEXTJOIN("", "", TRUE,
  FILTER(Champions!C:C,
    ISNUMBER(SEARCH(C1362, Champions!W:W))
  )
)"),"Kenna Elice Ranson, Ebunoluwa Sotubo")</f>
        <v>Kenna Elice Ranson, Ebunoluwa Sotubo</v>
      </c>
      <c r="AG1362" s="23"/>
      <c r="AH1362" s="23" t="str">
        <f>IFERROR(__xludf.DUMMYFUNCTION("IF(
ISNUMBER(MATCH(
C1362,
IMPORTRANGE(""https://docs.google.com/spreadsheets/d/1yTh1ELC33JHYOeEdgIiEclxPRyh0zOKtlawDltfUay8"",""'Interns'!A:A""),
0
)),
""Outreach Conducted"",
"""")"),"")</f>
        <v/>
      </c>
      <c r="AI1362" s="23"/>
      <c r="AJ1362" s="23"/>
      <c r="AK1362" s="23" t="str">
        <f>IFERROR(__xludf.DUMMYFUNCTION("XLOOKUP(C1362, 
   IMPORTRANGE(""1RdEdgHYrZ33LJ7RUHj_h-qkAFL92bcVjtIdVa-UlsCw"", ""Interns!D:D""), 
   IMPORTRANGE(""1RdEdgHYrZ33LJ7RUHj_h-qkAFL92bcVjtIdVa-UlsCw"", ""Interns!M:M""), 
   ""Not Found"")"),"")</f>
        <v/>
      </c>
      <c r="AL1362" s="23" t="str">
        <f>IFERROR(__xludf.DUMMYFUNCTION("XLOOKUP(C1362, 
   IMPORTRANGE(""1RdEdgHYrZ33LJ7RUHj_h-qkAFL92bcVjtIdVa-UlsCw"", ""Interns!D:D""), 
   IMPORTRANGE(""1RdEdgHYrZ33LJ7RUHj_h-qkAFL92bcVjtIdVa-UlsCw"", ""Interns!N:N""), 
   ""Not Found"")"),"#SpeakingMyName")</f>
        <v>#SpeakingMyName</v>
      </c>
      <c r="AM1362" s="23" t="str">
        <f>IFERROR(__xludf.DUMMYFUNCTION("XLOOKUP(C1362, 
   IMPORTRANGE(""1RdEdgHYrZ33LJ7RUHj_h-qkAFL92bcVjtIdVa-UlsCw"", ""Interns!D:D""), 
   IMPORTRANGE(""1RdEdgHYrZ33LJ7RUHj_h-qkAFL92bcVjtIdVa-UlsCw"", ""Interns!O:O""), 
   ""Not Found"")"),"Alicia reached out by email on 5/15 for #SpeakingMyName")</f>
        <v>Alicia reached out by email on 5/15 for #SpeakingMyName</v>
      </c>
      <c r="AN1362" s="23"/>
      <c r="AO1362" s="23" t="s">
        <v>10522</v>
      </c>
      <c r="AP1362" s="28" t="s">
        <v>5908</v>
      </c>
      <c r="AQ1362" s="28" t="s">
        <v>13664</v>
      </c>
      <c r="AR1362" s="23" t="s">
        <v>13665</v>
      </c>
      <c r="AS1362" s="23"/>
      <c r="AT1362" s="23"/>
      <c r="AU1362" s="23"/>
      <c r="AV1362" s="23"/>
    </row>
    <row r="1363">
      <c r="A1363" s="28" t="s">
        <v>5161</v>
      </c>
      <c r="B1363" s="28" t="s">
        <v>31</v>
      </c>
      <c r="C1363" s="23" t="str">
        <f t="shared" si="39"/>
        <v>Jayson Liz</v>
      </c>
      <c r="D1363" s="28" t="s">
        <v>8198</v>
      </c>
      <c r="E1363" s="28" t="s">
        <v>7159</v>
      </c>
      <c r="F1363" s="23">
        <f t="array" ref="F1363">IFERROR(
    INDEX('Hub Interns 226'!A:A, MATCH(C1363, 'Hub Interns 226'!B:B, 0)),"")</f>
        <v>638</v>
      </c>
      <c r="G1363" s="23">
        <f t="array" ref="G1363">IFERROR(
    INDEX('Hub Users 226'!A:A, MATCH(C1363, 'Hub Users 226'!B:B, 0)),"")</f>
        <v>1071</v>
      </c>
      <c r="H1363" s="28">
        <v>1308.0</v>
      </c>
      <c r="I1363" s="28"/>
      <c r="J1363" s="28"/>
      <c r="K1363" s="28"/>
      <c r="L1363" s="28" t="s">
        <v>5165</v>
      </c>
      <c r="M1363" s="56" t="s">
        <v>13666</v>
      </c>
      <c r="N1363" s="59">
        <v>44847.45347222222</v>
      </c>
      <c r="O1363" s="58">
        <v>38724.0</v>
      </c>
      <c r="P1363" s="28">
        <f t="shared" si="40"/>
        <v>20</v>
      </c>
      <c r="Q1363" s="28" t="s">
        <v>240</v>
      </c>
      <c r="R1363" s="28" t="s">
        <v>13667</v>
      </c>
      <c r="S1363" s="28"/>
      <c r="T1363" s="28"/>
      <c r="U1363" s="28"/>
      <c r="V1363" s="28"/>
      <c r="W1363" s="28" t="s">
        <v>271</v>
      </c>
      <c r="X1363" s="28" t="s">
        <v>272</v>
      </c>
      <c r="Y1363" s="28" t="s">
        <v>13668</v>
      </c>
      <c r="Z1363" s="28" t="s">
        <v>5341</v>
      </c>
      <c r="AA1363" s="28" t="s">
        <v>1085</v>
      </c>
      <c r="AB1363" s="28">
        <v>10.0</v>
      </c>
      <c r="AC1363" s="28" t="s">
        <v>28</v>
      </c>
      <c r="AD1363" s="23"/>
      <c r="AE1363" s="28" t="s">
        <v>15</v>
      </c>
      <c r="AF1363" s="23"/>
      <c r="AG1363" s="23"/>
      <c r="AH1363" s="23" t="str">
        <f>IFERROR(__xludf.DUMMYFUNCTION("IF(
ISNUMBER(MATCH(
C1363,
IMPORTRANGE(""https://docs.google.com/spreadsheets/d/1yTh1ELC33JHYOeEdgIiEclxPRyh0zOKtlawDltfUay8"",""'Interns'!A:A""),
0
)),
""Outreach Conducted"",
"""")"),"")</f>
        <v/>
      </c>
      <c r="AI1363" s="23"/>
      <c r="AJ1363" s="23"/>
      <c r="AK1363" s="23" t="str">
        <f>IFERROR(__xludf.DUMMYFUNCTION("XLOOKUP(C1363, 
   IMPORTRANGE(""1RdEdgHYrZ33LJ7RUHj_h-qkAFL92bcVjtIdVa-UlsCw"", ""Interns!D:D""), 
   IMPORTRANGE(""1RdEdgHYrZ33LJ7RUHj_h-qkAFL92bcVjtIdVa-UlsCw"", ""Interns!M:M""), 
   ""Not Found"")"),"")</f>
        <v/>
      </c>
      <c r="AL1363" s="23" t="str">
        <f>IFERROR(__xludf.DUMMYFUNCTION("XLOOKUP(C1363, 
   IMPORTRANGE(""1RdEdgHYrZ33LJ7RUHj_h-qkAFL92bcVjtIdVa-UlsCw"", ""Interns!D:D""), 
   IMPORTRANGE(""1RdEdgHYrZ33LJ7RUHj_h-qkAFL92bcVjtIdVa-UlsCw"", ""Interns!N:N""), 
   ""Not Found"")"),"")</f>
        <v/>
      </c>
      <c r="AM1363" s="23" t="str">
        <f>IFERROR(__xludf.DUMMYFUNCTION("XLOOKUP(C1363, 
   IMPORTRANGE(""1RdEdgHYrZ33LJ7RUHj_h-qkAFL92bcVjtIdVa-UlsCw"", ""Interns!D:D""), 
   IMPORTRANGE(""1RdEdgHYrZ33LJ7RUHj_h-qkAFL92bcVjtIdVa-UlsCw"", ""Interns!O:O""), 
   ""Not Found"")"),"")</f>
        <v/>
      </c>
      <c r="AN1363" s="23"/>
      <c r="AO1363" s="23" t="s">
        <v>13669</v>
      </c>
      <c r="AP1363" s="28" t="s">
        <v>5182</v>
      </c>
      <c r="AQ1363" s="28"/>
      <c r="AR1363" s="23"/>
      <c r="AS1363" s="23"/>
      <c r="AT1363" s="23"/>
      <c r="AU1363" s="23"/>
      <c r="AV1363" s="23"/>
    </row>
    <row r="1364">
      <c r="A1364" s="28" t="s">
        <v>5202</v>
      </c>
      <c r="B1364" s="28" t="s">
        <v>5162</v>
      </c>
      <c r="C1364" s="23" t="str">
        <f t="shared" si="39"/>
        <v>Mbarak Tchedre</v>
      </c>
      <c r="D1364" s="28" t="s">
        <v>13670</v>
      </c>
      <c r="E1364" s="28" t="s">
        <v>13671</v>
      </c>
      <c r="F1364" s="23">
        <f t="array" ref="F1364">IFERROR(
    INDEX('Hub Interns 226'!A:A, MATCH(C1364, 'Hub Interns 226'!B:B, 0)),"")</f>
        <v>867</v>
      </c>
      <c r="G1364" s="23">
        <f t="array" ref="G1364">IFERROR(
    INDEX('Hub Users 226'!A:A, MATCH(C1364, 'Hub Users 226'!B:B, 0)),"")</f>
        <v>1300</v>
      </c>
      <c r="H1364" s="28">
        <v>876.0</v>
      </c>
      <c r="I1364" s="28" t="s">
        <v>538</v>
      </c>
      <c r="J1364" s="28" t="s">
        <v>9570</v>
      </c>
      <c r="K1364" s="28" t="s">
        <v>5245</v>
      </c>
      <c r="L1364" s="28" t="s">
        <v>5165</v>
      </c>
      <c r="M1364" s="56" t="s">
        <v>13672</v>
      </c>
      <c r="N1364" s="57">
        <v>44596.72361111111</v>
      </c>
      <c r="O1364" s="58">
        <v>37617.0</v>
      </c>
      <c r="P1364" s="28">
        <f t="shared" si="40"/>
        <v>23</v>
      </c>
      <c r="Q1364" s="28" t="s">
        <v>240</v>
      </c>
      <c r="R1364" s="28" t="s">
        <v>13673</v>
      </c>
      <c r="S1364" s="28">
        <v>14.0</v>
      </c>
      <c r="T1364" s="28">
        <v>29.0</v>
      </c>
      <c r="U1364" s="28">
        <v>84.0</v>
      </c>
      <c r="V1364" s="28">
        <v>8.0</v>
      </c>
      <c r="W1364" s="28" t="s">
        <v>859</v>
      </c>
      <c r="X1364" s="28" t="s">
        <v>272</v>
      </c>
      <c r="Y1364" s="28" t="s">
        <v>13674</v>
      </c>
      <c r="Z1364" s="28" t="s">
        <v>5208</v>
      </c>
      <c r="AA1364" s="28" t="s">
        <v>2141</v>
      </c>
      <c r="AB1364" s="28">
        <v>8.0</v>
      </c>
      <c r="AC1364" s="28" t="s">
        <v>24</v>
      </c>
      <c r="AD1364" s="23"/>
      <c r="AE1364" s="28" t="s">
        <v>10</v>
      </c>
      <c r="AF1364" s="23"/>
      <c r="AG1364" s="23"/>
      <c r="AH1364" s="23" t="str">
        <f>IFERROR(__xludf.DUMMYFUNCTION("IF(
ISNUMBER(MATCH(
C1364,
IMPORTRANGE(""https://docs.google.com/spreadsheets/d/1yTh1ELC33JHYOeEdgIiEclxPRyh0zOKtlawDltfUay8"",""'Interns'!A:A""),
0
)),
""Outreach Conducted"",
"""")"),"")</f>
        <v/>
      </c>
      <c r="AI1364" s="23"/>
      <c r="AJ1364" s="23"/>
      <c r="AK1364" s="23" t="str">
        <f>IFERROR(__xludf.DUMMYFUNCTION("XLOOKUP(C1364, 
   IMPORTRANGE(""1RdEdgHYrZ33LJ7RUHj_h-qkAFL92bcVjtIdVa-UlsCw"", ""Interns!D:D""), 
   IMPORTRANGE(""1RdEdgHYrZ33LJ7RUHj_h-qkAFL92bcVjtIdVa-UlsCw"", ""Interns!M:M""), 
   ""Not Found"")"),"")</f>
        <v/>
      </c>
      <c r="AL1364" s="23" t="str">
        <f>IFERROR(__xludf.DUMMYFUNCTION("XLOOKUP(C1364, 
   IMPORTRANGE(""1RdEdgHYrZ33LJ7RUHj_h-qkAFL92bcVjtIdVa-UlsCw"", ""Interns!D:D""), 
   IMPORTRANGE(""1RdEdgHYrZ33LJ7RUHj_h-qkAFL92bcVjtIdVa-UlsCw"", ""Interns!N:N""), 
   ""Not Found"")"),"")</f>
        <v/>
      </c>
      <c r="AM1364" s="23" t="str">
        <f>IFERROR(__xludf.DUMMYFUNCTION("XLOOKUP(C1364, 
   IMPORTRANGE(""1RdEdgHYrZ33LJ7RUHj_h-qkAFL92bcVjtIdVa-UlsCw"", ""Interns!D:D""), 
   IMPORTRANGE(""1RdEdgHYrZ33LJ7RUHj_h-qkAFL92bcVjtIdVa-UlsCw"", ""Interns!O:O""), 
   ""Not Found"")"),"")</f>
        <v/>
      </c>
      <c r="AN1364" s="23"/>
      <c r="AO1364" s="23" t="s">
        <v>13675</v>
      </c>
      <c r="AP1364" s="28" t="s">
        <v>5191</v>
      </c>
      <c r="AQ1364" s="28"/>
      <c r="AR1364" s="23"/>
      <c r="AS1364" s="23"/>
      <c r="AT1364" s="23"/>
      <c r="AU1364" s="23"/>
      <c r="AV1364" s="23"/>
    </row>
    <row r="1365">
      <c r="A1365" s="28" t="s">
        <v>5161</v>
      </c>
      <c r="B1365" s="28" t="s">
        <v>5162</v>
      </c>
      <c r="C1365" s="23" t="str">
        <f t="shared" si="39"/>
        <v>Jhennel Bailey</v>
      </c>
      <c r="D1365" s="28" t="s">
        <v>13676</v>
      </c>
      <c r="E1365" s="28" t="s">
        <v>13677</v>
      </c>
      <c r="F1365" s="23">
        <f t="array" ref="F1365">IFERROR(
    INDEX('Hub Interns 226'!A:A, MATCH(C1365, 'Hub Interns 226'!B:B, 0)),"")</f>
        <v>660</v>
      </c>
      <c r="G1365" s="23">
        <f t="array" ref="G1365">IFERROR(
    INDEX('Hub Users 226'!A:A, MATCH(C1365, 'Hub Users 226'!B:B, 0)),"")</f>
        <v>1093</v>
      </c>
      <c r="H1365" s="28">
        <v>342.0</v>
      </c>
      <c r="I1365" s="28" t="s">
        <v>1153</v>
      </c>
      <c r="J1365" s="28"/>
      <c r="K1365" s="28"/>
      <c r="L1365" s="28" t="s">
        <v>5196</v>
      </c>
      <c r="M1365" s="56" t="s">
        <v>13678</v>
      </c>
      <c r="N1365" s="57">
        <v>44244.51388888889</v>
      </c>
      <c r="O1365" s="58">
        <v>38122.0</v>
      </c>
      <c r="P1365" s="28">
        <f t="shared" si="40"/>
        <v>22</v>
      </c>
      <c r="Q1365" s="28" t="s">
        <v>240</v>
      </c>
      <c r="R1365" s="28" t="s">
        <v>13679</v>
      </c>
      <c r="S1365" s="28">
        <v>5.0</v>
      </c>
      <c r="T1365" s="28">
        <v>10.0</v>
      </c>
      <c r="U1365" s="28">
        <v>32.0</v>
      </c>
      <c r="V1365" s="28">
        <v>28.0</v>
      </c>
      <c r="W1365" s="28" t="s">
        <v>1173</v>
      </c>
      <c r="X1365" s="28" t="s">
        <v>272</v>
      </c>
      <c r="Y1365" s="28" t="s">
        <v>13680</v>
      </c>
      <c r="Z1365" s="28" t="s">
        <v>5332</v>
      </c>
      <c r="AA1365" s="28" t="s">
        <v>421</v>
      </c>
      <c r="AB1365" s="28">
        <v>31.0</v>
      </c>
      <c r="AC1365" s="28" t="s">
        <v>25</v>
      </c>
      <c r="AD1365" s="23"/>
      <c r="AE1365" s="28" t="s">
        <v>8</v>
      </c>
      <c r="AF1365" s="23" t="str">
        <f>IFERROR(__xludf.DUMMYFUNCTION("TEXTJOIN("", "", TRUE,
  FILTER(Champions!C:C,
    ISNUMBER(SEARCH(C1365, Champions!W:W))
  )
)"),"Dominique Kagele, Keylin Rivera")</f>
        <v>Dominique Kagele, Keylin Rivera</v>
      </c>
      <c r="AG1365" s="23"/>
      <c r="AH1365" s="23" t="str">
        <f>IFERROR(__xludf.DUMMYFUNCTION("IF(
ISNUMBER(MATCH(
C1365,
IMPORTRANGE(""https://docs.google.com/spreadsheets/d/1yTh1ELC33JHYOeEdgIiEclxPRyh0zOKtlawDltfUay8"",""'Interns'!A:A""),
0
)),
""Outreach Conducted"",
"""")"),"")</f>
        <v/>
      </c>
      <c r="AI1365" s="23"/>
      <c r="AJ1365" s="23"/>
      <c r="AK1365" s="23" t="str">
        <f>IFERROR(__xludf.DUMMYFUNCTION("XLOOKUP(C1365, 
   IMPORTRANGE(""1RdEdgHYrZ33LJ7RUHj_h-qkAFL92bcVjtIdVa-UlsCw"", ""Interns!D:D""), 
   IMPORTRANGE(""1RdEdgHYrZ33LJ7RUHj_h-qkAFL92bcVjtIdVa-UlsCw"", ""Interns!M:M""), 
   ""Not Found"")"),"Contacted")</f>
        <v>Contacted</v>
      </c>
      <c r="AL1365" s="23" t="str">
        <f>IFERROR(__xludf.DUMMYFUNCTION("XLOOKUP(C1365, 
   IMPORTRANGE(""1RdEdgHYrZ33LJ7RUHj_h-qkAFL92bcVjtIdVa-UlsCw"", ""Interns!D:D""), 
   IMPORTRANGE(""1RdEdgHYrZ33LJ7RUHj_h-qkAFL92bcVjtIdVa-UlsCw"", ""Interns!N:N""), 
   ""Not Found"")"),"#Cheers4Careers")</f>
        <v>#Cheers4Careers</v>
      </c>
      <c r="AM1365" s="23" t="str">
        <f>IFERROR(__xludf.DUMMYFUNCTION("XLOOKUP(C1365, 
   IMPORTRANGE(""1RdEdgHYrZ33LJ7RUHj_h-qkAFL92bcVjtIdVa-UlsCw"", ""Interns!D:D""), 
   IMPORTRANGE(""1RdEdgHYrZ33LJ7RUHj_h-qkAFL92bcVjtIdVa-UlsCw"", ""Interns!O:O""), 
   ""Not Found"")"),"Hetal reached out March 27 for March #Cheers4 Careers and texted")</f>
        <v>Hetal reached out March 27 for March #Cheers4 Careers and texted</v>
      </c>
      <c r="AN1365" s="23"/>
      <c r="AO1365" s="23" t="s">
        <v>13681</v>
      </c>
      <c r="AP1365" s="28" t="s">
        <v>5182</v>
      </c>
      <c r="AQ1365" s="28" t="s">
        <v>13682</v>
      </c>
      <c r="AR1365" s="23" t="s">
        <v>13683</v>
      </c>
      <c r="AS1365" s="23"/>
      <c r="AT1365" s="23"/>
      <c r="AU1365" s="23"/>
      <c r="AV1365" s="23"/>
    </row>
    <row r="1366">
      <c r="A1366" s="28" t="s">
        <v>5161</v>
      </c>
      <c r="B1366" s="28" t="s">
        <v>5162</v>
      </c>
      <c r="C1366" s="23" t="str">
        <f t="shared" si="39"/>
        <v>Tyler Brown</v>
      </c>
      <c r="D1366" s="28" t="s">
        <v>13684</v>
      </c>
      <c r="E1366" s="28" t="s">
        <v>13685</v>
      </c>
      <c r="F1366" s="23">
        <f t="array" ref="F1366">IFERROR(
    INDEX('Hub Interns 226'!A:A, MATCH(C1366, 'Hub Interns 226'!B:B, 0)),"")</f>
        <v>1157</v>
      </c>
      <c r="G1366" s="23">
        <f t="array" ref="G1366">IFERROR(
    INDEX('Hub Users 226'!A:A, MATCH(C1366, 'Hub Users 226'!B:B, 0)),"")</f>
        <v>1590</v>
      </c>
      <c r="H1366" s="28">
        <v>1456.0</v>
      </c>
      <c r="I1366" s="28"/>
      <c r="J1366" s="28"/>
      <c r="K1366" s="28"/>
      <c r="L1366" s="28" t="s">
        <v>5165</v>
      </c>
      <c r="M1366" s="56" t="s">
        <v>13686</v>
      </c>
      <c r="N1366" s="57">
        <v>44934.82777777778</v>
      </c>
      <c r="O1366" s="58">
        <v>38981.0</v>
      </c>
      <c r="P1366" s="28">
        <f t="shared" si="40"/>
        <v>19</v>
      </c>
      <c r="Q1366" s="28" t="s">
        <v>240</v>
      </c>
      <c r="R1366" s="28" t="s">
        <v>13687</v>
      </c>
      <c r="S1366" s="28">
        <v>15.0</v>
      </c>
      <c r="T1366" s="28">
        <v>36.0</v>
      </c>
      <c r="U1366" s="28">
        <v>83.0</v>
      </c>
      <c r="V1366" s="28">
        <v>12.0</v>
      </c>
      <c r="W1366" s="28" t="s">
        <v>859</v>
      </c>
      <c r="X1366" s="28" t="s">
        <v>272</v>
      </c>
      <c r="Y1366" s="28" t="s">
        <v>13688</v>
      </c>
      <c r="Z1366" s="28" t="s">
        <v>10910</v>
      </c>
      <c r="AA1366" s="28" t="s">
        <v>5871</v>
      </c>
      <c r="AB1366" s="28">
        <v>31.0</v>
      </c>
      <c r="AC1366" s="28" t="s">
        <v>23</v>
      </c>
      <c r="AD1366" s="23"/>
      <c r="AE1366" s="28" t="s">
        <v>15</v>
      </c>
      <c r="AF1366" s="23"/>
      <c r="AG1366" s="23"/>
      <c r="AH1366" s="23" t="str">
        <f>IFERROR(__xludf.DUMMYFUNCTION("IF(
ISNUMBER(MATCH(
C1366,
IMPORTRANGE(""https://docs.google.com/spreadsheets/d/1yTh1ELC33JHYOeEdgIiEclxPRyh0zOKtlawDltfUay8"",""'Interns'!A:A""),
0
)),
""Outreach Conducted"",
"""")"),"")</f>
        <v/>
      </c>
      <c r="AI1366" s="23"/>
      <c r="AJ1366" s="23"/>
      <c r="AK1366" s="23" t="str">
        <f>IFERROR(__xludf.DUMMYFUNCTION("XLOOKUP(C1366, 
   IMPORTRANGE(""1RdEdgHYrZ33LJ7RUHj_h-qkAFL92bcVjtIdVa-UlsCw"", ""Interns!D:D""), 
   IMPORTRANGE(""1RdEdgHYrZ33LJ7RUHj_h-qkAFL92bcVjtIdVa-UlsCw"", ""Interns!M:M""), 
   ""Not Found"")"),"Contacted")</f>
        <v>Contacted</v>
      </c>
      <c r="AL1366" s="23" t="str">
        <f>IFERROR(__xludf.DUMMYFUNCTION("XLOOKUP(C1366, 
   IMPORTRANGE(""1RdEdgHYrZ33LJ7RUHj_h-qkAFL92bcVjtIdVa-UlsCw"", ""Interns!D:D""), 
   IMPORTRANGE(""1RdEdgHYrZ33LJ7RUHj_h-qkAFL92bcVjtIdVa-UlsCw"", ""Interns!N:N""), 
   ""Not Found"")"),"#Cheers4Careers")</f>
        <v>#Cheers4Careers</v>
      </c>
      <c r="AM1366" s="23" t="str">
        <f>IFERROR(__xludf.DUMMYFUNCTION("XLOOKUP(C1366, 
   IMPORTRANGE(""1RdEdgHYrZ33LJ7RUHj_h-qkAFL92bcVjtIdVa-UlsCw"", ""Interns!D:D""), 
   IMPORTRANGE(""1RdEdgHYrZ33LJ7RUHj_h-qkAFL92bcVjtIdVa-UlsCw"", ""Interns!O:O""), 
   ""Not Found"")"),"Hetal reached out March 27 for March #Cheers4 Careers ")</f>
        <v>Hetal reached out March 27 for March #Cheers4 Careers </v>
      </c>
      <c r="AN1366" s="23"/>
      <c r="AO1366" s="23" t="s">
        <v>13689</v>
      </c>
      <c r="AP1366" s="28" t="s">
        <v>5182</v>
      </c>
      <c r="AQ1366" s="28"/>
      <c r="AR1366" s="23"/>
      <c r="AS1366" s="23"/>
      <c r="AT1366" s="23"/>
      <c r="AU1366" s="23"/>
      <c r="AV1366" s="23"/>
    </row>
    <row r="1367">
      <c r="A1367" s="28" t="s">
        <v>5161</v>
      </c>
      <c r="B1367" s="28" t="s">
        <v>5162</v>
      </c>
      <c r="C1367" s="23" t="str">
        <f t="shared" si="39"/>
        <v>Anari Roberts</v>
      </c>
      <c r="D1367" s="28" t="s">
        <v>13690</v>
      </c>
      <c r="E1367" s="28" t="s">
        <v>743</v>
      </c>
      <c r="F1367" s="23">
        <f t="array" ref="F1367">IFERROR(
    INDEX('Hub Interns 226'!A:A, MATCH(C1367, 'Hub Interns 226'!B:B, 0)),"")</f>
        <v>224</v>
      </c>
      <c r="G1367" s="23">
        <f t="array" ref="G1367">IFERROR(
    INDEX('Hub Users 226'!A:A, MATCH(C1367, 'Hub Users 226'!B:B, 0)),"")</f>
        <v>657</v>
      </c>
      <c r="H1367" s="28">
        <v>1408.0</v>
      </c>
      <c r="I1367" s="28" t="s">
        <v>260</v>
      </c>
      <c r="J1367" s="28"/>
      <c r="K1367" s="28"/>
      <c r="L1367" s="28" t="s">
        <v>5196</v>
      </c>
      <c r="M1367" s="56" t="s">
        <v>13691</v>
      </c>
      <c r="N1367" s="59">
        <v>44865.47361111111</v>
      </c>
      <c r="O1367" s="58">
        <v>39633.0</v>
      </c>
      <c r="P1367" s="28">
        <f t="shared" si="40"/>
        <v>17</v>
      </c>
      <c r="Q1367" s="28" t="s">
        <v>240</v>
      </c>
      <c r="R1367" s="28" t="s">
        <v>13692</v>
      </c>
      <c r="S1367" s="28">
        <v>5.0</v>
      </c>
      <c r="T1367" s="28">
        <v>10.0</v>
      </c>
      <c r="U1367" s="28">
        <v>32.0</v>
      </c>
      <c r="V1367" s="28">
        <v>28.0</v>
      </c>
      <c r="W1367" s="28" t="s">
        <v>1173</v>
      </c>
      <c r="X1367" s="28" t="s">
        <v>272</v>
      </c>
      <c r="Y1367" s="28" t="s">
        <v>13693</v>
      </c>
      <c r="Z1367" s="28" t="s">
        <v>5332</v>
      </c>
      <c r="AA1367" s="28" t="s">
        <v>421</v>
      </c>
      <c r="AB1367" s="28">
        <v>31.0</v>
      </c>
      <c r="AC1367" s="28" t="s">
        <v>23</v>
      </c>
      <c r="AD1367" s="23"/>
      <c r="AE1367" s="28" t="s">
        <v>15</v>
      </c>
      <c r="AF1367" s="23"/>
      <c r="AG1367" s="23"/>
      <c r="AH1367" s="23" t="str">
        <f>IFERROR(__xludf.DUMMYFUNCTION("IF(
ISNUMBER(MATCH(
C1367,
IMPORTRANGE(""https://docs.google.com/spreadsheets/d/1yTh1ELC33JHYOeEdgIiEclxPRyh0zOKtlawDltfUay8"",""'Interns'!A:A""),
0
)),
""Outreach Conducted"",
"""")"),"")</f>
        <v/>
      </c>
      <c r="AI1367" s="23"/>
      <c r="AJ1367" s="23"/>
      <c r="AK1367" s="23" t="str">
        <f>IFERROR(__xludf.DUMMYFUNCTION("XLOOKUP(C1367, 
   IMPORTRANGE(""1RdEdgHYrZ33LJ7RUHj_h-qkAFL92bcVjtIdVa-UlsCw"", ""Interns!D:D""), 
   IMPORTRANGE(""1RdEdgHYrZ33LJ7RUHj_h-qkAFL92bcVjtIdVa-UlsCw"", ""Interns!M:M""), 
   ""Not Found"")"),"Contacted")</f>
        <v>Contacted</v>
      </c>
      <c r="AL1367" s="23" t="str">
        <f>IFERROR(__xludf.DUMMYFUNCTION("XLOOKUP(C1367, 
   IMPORTRANGE(""1RdEdgHYrZ33LJ7RUHj_h-qkAFL92bcVjtIdVa-UlsCw"", ""Interns!D:D""), 
   IMPORTRANGE(""1RdEdgHYrZ33LJ7RUHj_h-qkAFL92bcVjtIdVa-UlsCw"", ""Interns!N:N""), 
   ""Not Found"")"),"#Cheers4Careers")</f>
        <v>#Cheers4Careers</v>
      </c>
      <c r="AM1367" s="23" t="str">
        <f>IFERROR(__xludf.DUMMYFUNCTION("XLOOKUP(C1367, 
   IMPORTRANGE(""1RdEdgHYrZ33LJ7RUHj_h-qkAFL92bcVjtIdVa-UlsCw"", ""Interns!D:D""), 
   IMPORTRANGE(""1RdEdgHYrZ33LJ7RUHj_h-qkAFL92bcVjtIdVa-UlsCw"", ""Interns!O:O""), 
   ""Not Found"")"),"Hetal reached out March 27 for March #Cheers4 Careers and texted")</f>
        <v>Hetal reached out March 27 for March #Cheers4 Careers and texted</v>
      </c>
      <c r="AN1367" s="23"/>
      <c r="AO1367" s="23" t="s">
        <v>13694</v>
      </c>
      <c r="AP1367" s="28" t="s">
        <v>5173</v>
      </c>
      <c r="AQ1367" s="28"/>
      <c r="AR1367" s="23"/>
      <c r="AS1367" s="23"/>
      <c r="AT1367" s="23"/>
      <c r="AU1367" s="23"/>
      <c r="AV1367" s="23"/>
    </row>
    <row r="1368">
      <c r="A1368" s="28" t="s">
        <v>5161</v>
      </c>
      <c r="B1368" s="28" t="s">
        <v>31</v>
      </c>
      <c r="C1368" s="23" t="str">
        <f t="shared" si="39"/>
        <v>Jesline Placencia</v>
      </c>
      <c r="D1368" s="28" t="s">
        <v>13695</v>
      </c>
      <c r="E1368" s="28" t="s">
        <v>13696</v>
      </c>
      <c r="F1368" s="23">
        <f t="array" ref="F1368">IFERROR(
    INDEX('Hub Interns 226'!A:A, MATCH(C1368, 'Hub Interns 226'!B:B, 0)),"")</f>
        <v>652</v>
      </c>
      <c r="G1368" s="23">
        <f t="array" ref="G1368">IFERROR(
    INDEX('Hub Users 226'!A:A, MATCH(C1368, 'Hub Users 226'!B:B, 0)),"")</f>
        <v>1085</v>
      </c>
      <c r="H1368" s="28">
        <v>1220.0</v>
      </c>
      <c r="I1368" s="28"/>
      <c r="J1368" s="28"/>
      <c r="K1368" s="28"/>
      <c r="L1368" s="28" t="s">
        <v>5196</v>
      </c>
      <c r="M1368" s="56" t="s">
        <v>13697</v>
      </c>
      <c r="N1368" s="57">
        <v>44837.458333333336</v>
      </c>
      <c r="O1368" s="58">
        <v>39054.0</v>
      </c>
      <c r="P1368" s="28">
        <f t="shared" si="40"/>
        <v>19</v>
      </c>
      <c r="Q1368" s="28" t="s">
        <v>240</v>
      </c>
      <c r="R1368" s="28" t="s">
        <v>13698</v>
      </c>
      <c r="S1368" s="28"/>
      <c r="T1368" s="28"/>
      <c r="U1368" s="28"/>
      <c r="V1368" s="28"/>
      <c r="W1368" s="28" t="s">
        <v>271</v>
      </c>
      <c r="X1368" s="28" t="s">
        <v>272</v>
      </c>
      <c r="Y1368" s="28" t="s">
        <v>13699</v>
      </c>
      <c r="Z1368" s="28" t="s">
        <v>5341</v>
      </c>
      <c r="AA1368" s="28" t="s">
        <v>1085</v>
      </c>
      <c r="AB1368" s="28">
        <v>10.0</v>
      </c>
      <c r="AC1368" s="28" t="s">
        <v>28</v>
      </c>
      <c r="AD1368" s="23"/>
      <c r="AE1368" s="28" t="s">
        <v>15</v>
      </c>
      <c r="AF1368" s="23"/>
      <c r="AG1368" s="23"/>
      <c r="AH1368" s="23" t="str">
        <f>IFERROR(__xludf.DUMMYFUNCTION("IF(
ISNUMBER(MATCH(
C1368,
IMPORTRANGE(""https://docs.google.com/spreadsheets/d/1yTh1ELC33JHYOeEdgIiEclxPRyh0zOKtlawDltfUay8"",""'Interns'!A:A""),
0
)),
""Outreach Conducted"",
"""")"),"")</f>
        <v/>
      </c>
      <c r="AI1368" s="23"/>
      <c r="AJ1368" s="23"/>
      <c r="AK1368" s="23" t="str">
        <f>IFERROR(__xludf.DUMMYFUNCTION("XLOOKUP(C1368, 
   IMPORTRANGE(""1RdEdgHYrZ33LJ7RUHj_h-qkAFL92bcVjtIdVa-UlsCw"", ""Interns!D:D""), 
   IMPORTRANGE(""1RdEdgHYrZ33LJ7RUHj_h-qkAFL92bcVjtIdVa-UlsCw"", ""Interns!M:M""), 
   ""Not Found"")"),"")</f>
        <v/>
      </c>
      <c r="AL1368" s="23" t="str">
        <f>IFERROR(__xludf.DUMMYFUNCTION("XLOOKUP(C1368, 
   IMPORTRANGE(""1RdEdgHYrZ33LJ7RUHj_h-qkAFL92bcVjtIdVa-UlsCw"", ""Interns!D:D""), 
   IMPORTRANGE(""1RdEdgHYrZ33LJ7RUHj_h-qkAFL92bcVjtIdVa-UlsCw"", ""Interns!N:N""), 
   ""Not Found"")"),"")</f>
        <v/>
      </c>
      <c r="AM1368" s="23" t="str">
        <f>IFERROR(__xludf.DUMMYFUNCTION("XLOOKUP(C1368, 
   IMPORTRANGE(""1RdEdgHYrZ33LJ7RUHj_h-qkAFL92bcVjtIdVa-UlsCw"", ""Interns!D:D""), 
   IMPORTRANGE(""1RdEdgHYrZ33LJ7RUHj_h-qkAFL92bcVjtIdVa-UlsCw"", ""Interns!O:O""), 
   ""Not Found"")"),"")</f>
        <v/>
      </c>
      <c r="AN1368" s="23"/>
      <c r="AO1368" s="23" t="s">
        <v>13700</v>
      </c>
      <c r="AP1368" s="28" t="s">
        <v>5182</v>
      </c>
      <c r="AQ1368" s="28"/>
      <c r="AR1368" s="23"/>
      <c r="AS1368" s="23"/>
      <c r="AT1368" s="23"/>
      <c r="AU1368" s="23"/>
      <c r="AV1368" s="23"/>
    </row>
    <row r="1369">
      <c r="A1369" s="28" t="s">
        <v>5202</v>
      </c>
      <c r="B1369" s="28" t="s">
        <v>5162</v>
      </c>
      <c r="C1369" s="23" t="str">
        <f t="shared" si="39"/>
        <v>Maradiatou Kassim</v>
      </c>
      <c r="D1369" s="28" t="s">
        <v>13701</v>
      </c>
      <c r="E1369" s="28" t="s">
        <v>13702</v>
      </c>
      <c r="F1369" s="23">
        <f t="array" ref="F1369">IFERROR(
    INDEX('Hub Interns 226'!A:A, MATCH(C1369, 'Hub Interns 226'!B:B, 0)),"")</f>
        <v>834</v>
      </c>
      <c r="G1369" s="23">
        <f t="array" ref="G1369">IFERROR(
    INDEX('Hub Users 226'!A:A, MATCH(C1369, 'Hub Users 226'!B:B, 0)),"")</f>
        <v>1267</v>
      </c>
      <c r="H1369" s="28">
        <v>1208.0</v>
      </c>
      <c r="I1369" s="28" t="s">
        <v>260</v>
      </c>
      <c r="J1369" s="28" t="s">
        <v>9570</v>
      </c>
      <c r="K1369" s="28" t="s">
        <v>5245</v>
      </c>
      <c r="L1369" s="28" t="s">
        <v>5196</v>
      </c>
      <c r="M1369" s="56" t="s">
        <v>13703</v>
      </c>
      <c r="N1369" s="57">
        <v>44835.77777777778</v>
      </c>
      <c r="O1369" s="58">
        <v>38542.0</v>
      </c>
      <c r="P1369" s="28">
        <f t="shared" si="40"/>
        <v>20</v>
      </c>
      <c r="Q1369" s="28" t="s">
        <v>13704</v>
      </c>
      <c r="R1369" s="28" t="s">
        <v>13705</v>
      </c>
      <c r="S1369" s="28">
        <v>15.0</v>
      </c>
      <c r="T1369" s="28">
        <v>32.0</v>
      </c>
      <c r="U1369" s="28">
        <v>79.0</v>
      </c>
      <c r="V1369" s="28">
        <v>15.0</v>
      </c>
      <c r="W1369" s="28" t="s">
        <v>859</v>
      </c>
      <c r="X1369" s="28" t="s">
        <v>272</v>
      </c>
      <c r="Y1369" s="28" t="s">
        <v>13706</v>
      </c>
      <c r="Z1369" s="28" t="s">
        <v>5435</v>
      </c>
      <c r="AA1369" s="28" t="s">
        <v>5436</v>
      </c>
      <c r="AB1369" s="28">
        <v>10.0</v>
      </c>
      <c r="AC1369" s="28" t="s">
        <v>25</v>
      </c>
      <c r="AD1369" s="23"/>
      <c r="AE1369" s="28" t="s">
        <v>15</v>
      </c>
      <c r="AF1369" s="23" t="str">
        <f>IFERROR(__xludf.DUMMYFUNCTION("TEXTJOIN("", "", TRUE,
  FILTER(Champions!C:C,
    ISNUMBER(SEARCH(C1369, Champions!W:W))
  )
)"),"Carmen Maldonado-Bowling, Monique Rochell Anderson")</f>
        <v>Carmen Maldonado-Bowling, Monique Rochell Anderson</v>
      </c>
      <c r="AG1369" s="23"/>
      <c r="AH1369" s="23" t="str">
        <f>IFERROR(__xludf.DUMMYFUNCTION("IF(
ISNUMBER(MATCH(
C1369,
IMPORTRANGE(""https://docs.google.com/spreadsheets/d/1yTh1ELC33JHYOeEdgIiEclxPRyh0zOKtlawDltfUay8"",""'Interns'!A:A""),
0
)),
""Outreach Conducted"",
"""")"),"")</f>
        <v/>
      </c>
      <c r="AI1369" s="23"/>
      <c r="AJ1369" s="23"/>
      <c r="AK1369" s="23" t="str">
        <f>IFERROR(__xludf.DUMMYFUNCTION("XLOOKUP(C1369, 
   IMPORTRANGE(""1RdEdgHYrZ33LJ7RUHj_h-qkAFL92bcVjtIdVa-UlsCw"", ""Interns!D:D""), 
   IMPORTRANGE(""1RdEdgHYrZ33LJ7RUHj_h-qkAFL92bcVjtIdVa-UlsCw"", ""Interns!M:M""), 
   ""Not Found"")"),"")</f>
        <v/>
      </c>
      <c r="AL1369" s="23" t="str">
        <f>IFERROR(__xludf.DUMMYFUNCTION("XLOOKUP(C1369, 
   IMPORTRANGE(""1RdEdgHYrZ33LJ7RUHj_h-qkAFL92bcVjtIdVa-UlsCw"", ""Interns!D:D""), 
   IMPORTRANGE(""1RdEdgHYrZ33LJ7RUHj_h-qkAFL92bcVjtIdVa-UlsCw"", ""Interns!N:N""), 
   ""Not Found"")"),"")</f>
        <v/>
      </c>
      <c r="AM1369" s="23" t="str">
        <f>IFERROR(__xludf.DUMMYFUNCTION("XLOOKUP(C1369, 
   IMPORTRANGE(""1RdEdgHYrZ33LJ7RUHj_h-qkAFL92bcVjtIdVa-UlsCw"", ""Interns!D:D""), 
   IMPORTRANGE(""1RdEdgHYrZ33LJ7RUHj_h-qkAFL92bcVjtIdVa-UlsCw"", ""Interns!O:O""), 
   ""Not Found"")"),"")</f>
        <v/>
      </c>
      <c r="AN1369" s="23"/>
      <c r="AO1369" s="23" t="s">
        <v>13707</v>
      </c>
      <c r="AP1369" s="28" t="s">
        <v>5908</v>
      </c>
      <c r="AQ1369" s="28" t="s">
        <v>13708</v>
      </c>
      <c r="AR1369" s="23" t="s">
        <v>13709</v>
      </c>
      <c r="AS1369" s="23"/>
      <c r="AT1369" s="23"/>
      <c r="AU1369" s="23"/>
      <c r="AV1369" s="23"/>
    </row>
    <row r="1370">
      <c r="A1370" s="28" t="s">
        <v>5161</v>
      </c>
      <c r="B1370" s="28" t="s">
        <v>31</v>
      </c>
      <c r="C1370" s="23" t="str">
        <f t="shared" si="39"/>
        <v>Jessiel Jaquez</v>
      </c>
      <c r="D1370" s="28" t="s">
        <v>13710</v>
      </c>
      <c r="E1370" s="28" t="s">
        <v>13711</v>
      </c>
      <c r="F1370" s="23">
        <f t="array" ref="F1370">IFERROR(
    INDEX('Hub Interns 226'!A:A, MATCH(C1370, 'Hub Interns 226'!B:B, 0)),"")</f>
        <v>655</v>
      </c>
      <c r="G1370" s="23">
        <f t="array" ref="G1370">IFERROR(
    INDEX('Hub Users 226'!A:A, MATCH(C1370, 'Hub Users 226'!B:B, 0)),"")</f>
        <v>1088</v>
      </c>
      <c r="H1370" s="28">
        <v>1229.0</v>
      </c>
      <c r="I1370" s="28" t="s">
        <v>260</v>
      </c>
      <c r="J1370" s="28"/>
      <c r="K1370" s="28"/>
      <c r="L1370" s="28" t="s">
        <v>5196</v>
      </c>
      <c r="M1370" s="56" t="s">
        <v>13712</v>
      </c>
      <c r="N1370" s="57">
        <v>44838.44652777778</v>
      </c>
      <c r="O1370" s="58">
        <v>38645.0</v>
      </c>
      <c r="P1370" s="28">
        <f t="shared" si="40"/>
        <v>20</v>
      </c>
      <c r="Q1370" s="28" t="s">
        <v>240</v>
      </c>
      <c r="R1370" s="28" t="s">
        <v>13713</v>
      </c>
      <c r="S1370" s="28"/>
      <c r="T1370" s="28"/>
      <c r="U1370" s="28"/>
      <c r="V1370" s="28"/>
      <c r="W1370" s="28" t="s">
        <v>271</v>
      </c>
      <c r="X1370" s="28" t="s">
        <v>272</v>
      </c>
      <c r="Y1370" s="28" t="s">
        <v>13714</v>
      </c>
      <c r="Z1370" s="28" t="s">
        <v>5341</v>
      </c>
      <c r="AA1370" s="28" t="s">
        <v>1085</v>
      </c>
      <c r="AB1370" s="28">
        <v>10.0</v>
      </c>
      <c r="AC1370" s="28" t="s">
        <v>28</v>
      </c>
      <c r="AD1370" s="23"/>
      <c r="AE1370" s="28" t="s">
        <v>15</v>
      </c>
      <c r="AF1370" s="23"/>
      <c r="AG1370" s="23"/>
      <c r="AH1370" s="23" t="str">
        <f>IFERROR(__xludf.DUMMYFUNCTION("IF(
ISNUMBER(MATCH(
C1370,
IMPORTRANGE(""https://docs.google.com/spreadsheets/d/1yTh1ELC33JHYOeEdgIiEclxPRyh0zOKtlawDltfUay8"",""'Interns'!A:A""),
0
)),
""Outreach Conducted"",
"""")"),"")</f>
        <v/>
      </c>
      <c r="AI1370" s="23"/>
      <c r="AJ1370" s="23"/>
      <c r="AK1370" s="23" t="str">
        <f>IFERROR(__xludf.DUMMYFUNCTION("XLOOKUP(C1370, 
   IMPORTRANGE(""1RdEdgHYrZ33LJ7RUHj_h-qkAFL92bcVjtIdVa-UlsCw"", ""Interns!D:D""), 
   IMPORTRANGE(""1RdEdgHYrZ33LJ7RUHj_h-qkAFL92bcVjtIdVa-UlsCw"", ""Interns!M:M""), 
   ""Not Found"")"),"")</f>
        <v/>
      </c>
      <c r="AL1370" s="23" t="str">
        <f>IFERROR(__xludf.DUMMYFUNCTION("XLOOKUP(C1370, 
   IMPORTRANGE(""1RdEdgHYrZ33LJ7RUHj_h-qkAFL92bcVjtIdVa-UlsCw"", ""Interns!D:D""), 
   IMPORTRANGE(""1RdEdgHYrZ33LJ7RUHj_h-qkAFL92bcVjtIdVa-UlsCw"", ""Interns!N:N""), 
   ""Not Found"")"),"")</f>
        <v/>
      </c>
      <c r="AM1370" s="23" t="str">
        <f>IFERROR(__xludf.DUMMYFUNCTION("XLOOKUP(C1370, 
   IMPORTRANGE(""1RdEdgHYrZ33LJ7RUHj_h-qkAFL92bcVjtIdVa-UlsCw"", ""Interns!D:D""), 
   IMPORTRANGE(""1RdEdgHYrZ33LJ7RUHj_h-qkAFL92bcVjtIdVa-UlsCw"", ""Interns!O:O""), 
   ""Not Found"")"),"")</f>
        <v/>
      </c>
      <c r="AN1370" s="23"/>
      <c r="AO1370" s="23" t="s">
        <v>13715</v>
      </c>
      <c r="AP1370" s="28" t="s">
        <v>5182</v>
      </c>
      <c r="AQ1370" s="28"/>
      <c r="AR1370" s="23"/>
      <c r="AS1370" s="23"/>
      <c r="AT1370" s="23"/>
      <c r="AU1370" s="23"/>
      <c r="AV1370" s="23"/>
    </row>
    <row r="1371">
      <c r="A1371" s="28" t="s">
        <v>5161</v>
      </c>
      <c r="B1371" s="28" t="s">
        <v>5162</v>
      </c>
      <c r="C1371" s="23" t="str">
        <f t="shared" si="39"/>
        <v>trinity yined</v>
      </c>
      <c r="D1371" s="28" t="s">
        <v>13716</v>
      </c>
      <c r="E1371" s="28" t="s">
        <v>13717</v>
      </c>
      <c r="F1371" s="23" t="str">
        <f t="array" ref="F1371">IFERROR(
    INDEX('Hub Interns 226'!A:A, MATCH(C1371, 'Hub Interns 226'!B:B, 0)),"")</f>
        <v/>
      </c>
      <c r="G1371" s="23">
        <f t="array" ref="G1371">IFERROR(
    INDEX('Hub Users 226'!A:A, MATCH(C1371, 'Hub Users 226'!B:B, 0)),"")</f>
        <v>1587</v>
      </c>
      <c r="H1371" s="28">
        <v>1299.0</v>
      </c>
      <c r="I1371" s="28" t="s">
        <v>260</v>
      </c>
      <c r="J1371" s="28"/>
      <c r="K1371" s="28"/>
      <c r="L1371" s="28" t="s">
        <v>5196</v>
      </c>
      <c r="M1371" s="56" t="s">
        <v>13718</v>
      </c>
      <c r="N1371" s="59">
        <v>44846.55</v>
      </c>
      <c r="O1371" s="58">
        <v>38481.0</v>
      </c>
      <c r="P1371" s="28">
        <f t="shared" si="40"/>
        <v>21</v>
      </c>
      <c r="Q1371" s="28" t="s">
        <v>240</v>
      </c>
      <c r="R1371" s="28" t="s">
        <v>13719</v>
      </c>
      <c r="S1371" s="28">
        <v>15.0</v>
      </c>
      <c r="T1371" s="28">
        <v>32.0</v>
      </c>
      <c r="U1371" s="28">
        <v>79.0</v>
      </c>
      <c r="V1371" s="28">
        <v>15.0</v>
      </c>
      <c r="W1371" s="28" t="s">
        <v>294</v>
      </c>
      <c r="X1371" s="28" t="s">
        <v>272</v>
      </c>
      <c r="Y1371" s="28" t="s">
        <v>13720</v>
      </c>
      <c r="Z1371" s="28" t="s">
        <v>5918</v>
      </c>
      <c r="AA1371" s="28" t="s">
        <v>477</v>
      </c>
      <c r="AB1371" s="28">
        <v>15.0</v>
      </c>
      <c r="AC1371" s="28" t="s">
        <v>23</v>
      </c>
      <c r="AD1371" s="23"/>
      <c r="AE1371" s="28" t="s">
        <v>15</v>
      </c>
      <c r="AF1371" s="23"/>
      <c r="AG1371" s="23"/>
      <c r="AH1371" s="23" t="str">
        <f>IFERROR(__xludf.DUMMYFUNCTION("IF(
ISNUMBER(MATCH(
C1371,
IMPORTRANGE(""https://docs.google.com/spreadsheets/d/1yTh1ELC33JHYOeEdgIiEclxPRyh0zOKtlawDltfUay8"",""'Interns'!A:A""),
0
)),
""Outreach Conducted"",
"""")"),"")</f>
        <v/>
      </c>
      <c r="AI1371" s="23"/>
      <c r="AJ1371" s="23"/>
      <c r="AK1371" s="23" t="str">
        <f>IFERROR(__xludf.DUMMYFUNCTION("XLOOKUP(C1371, 
   IMPORTRANGE(""1RdEdgHYrZ33LJ7RUHj_h-qkAFL92bcVjtIdVa-UlsCw"", ""Interns!D:D""), 
   IMPORTRANGE(""1RdEdgHYrZ33LJ7RUHj_h-qkAFL92bcVjtIdVa-UlsCw"", ""Interns!M:M""), 
   ""Not Found"")"),"")</f>
        <v/>
      </c>
      <c r="AL1371" s="23" t="str">
        <f>IFERROR(__xludf.DUMMYFUNCTION("XLOOKUP(C1371, 
   IMPORTRANGE(""1RdEdgHYrZ33LJ7RUHj_h-qkAFL92bcVjtIdVa-UlsCw"", ""Interns!D:D""), 
   IMPORTRANGE(""1RdEdgHYrZ33LJ7RUHj_h-qkAFL92bcVjtIdVa-UlsCw"", ""Interns!N:N""), 
   ""Not Found"")"),"")</f>
        <v/>
      </c>
      <c r="AM1371" s="23" t="str">
        <f>IFERROR(__xludf.DUMMYFUNCTION("XLOOKUP(C1371, 
   IMPORTRANGE(""1RdEdgHYrZ33LJ7RUHj_h-qkAFL92bcVjtIdVa-UlsCw"", ""Interns!D:D""), 
   IMPORTRANGE(""1RdEdgHYrZ33LJ7RUHj_h-qkAFL92bcVjtIdVa-UlsCw"", ""Interns!O:O""), 
   ""Not Found"")"),"")</f>
        <v/>
      </c>
      <c r="AN1371" s="23"/>
      <c r="AO1371" s="23" t="s">
        <v>13721</v>
      </c>
      <c r="AP1371" s="28" t="s">
        <v>5182</v>
      </c>
      <c r="AQ1371" s="28"/>
      <c r="AR1371" s="23"/>
      <c r="AS1371" s="23"/>
      <c r="AT1371" s="23"/>
      <c r="AU1371" s="23"/>
      <c r="AV1371" s="23"/>
    </row>
    <row r="1372">
      <c r="A1372" s="28" t="s">
        <v>5161</v>
      </c>
      <c r="B1372" s="28" t="s">
        <v>5162</v>
      </c>
      <c r="C1372" s="23" t="str">
        <f t="shared" si="39"/>
        <v>Aide Estudillo</v>
      </c>
      <c r="D1372" s="28" t="s">
        <v>13722</v>
      </c>
      <c r="E1372" s="28" t="s">
        <v>13723</v>
      </c>
      <c r="F1372" s="23">
        <f t="array" ref="F1372">IFERROR(
    INDEX('Hub Interns 226'!A:A, MATCH(C1372, 'Hub Interns 226'!B:B, 0)),"")</f>
        <v>160</v>
      </c>
      <c r="G1372" s="23">
        <f t="array" ref="G1372">IFERROR(
    INDEX('Hub Users 226'!A:A, MATCH(C1372, 'Hub Users 226'!B:B, 0)),"")</f>
        <v>593</v>
      </c>
      <c r="H1372" s="28">
        <v>395.0</v>
      </c>
      <c r="I1372" s="28" t="s">
        <v>260</v>
      </c>
      <c r="J1372" s="28"/>
      <c r="K1372" s="28"/>
      <c r="L1372" s="28" t="s">
        <v>5196</v>
      </c>
      <c r="M1372" s="56" t="s">
        <v>13724</v>
      </c>
      <c r="N1372" s="57">
        <v>44274.82708333333</v>
      </c>
      <c r="O1372" s="58">
        <v>37702.0</v>
      </c>
      <c r="P1372" s="28">
        <f t="shared" si="40"/>
        <v>23</v>
      </c>
      <c r="Q1372" s="28" t="s">
        <v>240</v>
      </c>
      <c r="R1372" s="28" t="s">
        <v>13725</v>
      </c>
      <c r="S1372" s="28">
        <v>6.0</v>
      </c>
      <c r="T1372" s="28">
        <v>16.0</v>
      </c>
      <c r="U1372" s="28">
        <v>25.0</v>
      </c>
      <c r="V1372" s="28"/>
      <c r="W1372" s="28" t="s">
        <v>1173</v>
      </c>
      <c r="X1372" s="28" t="s">
        <v>272</v>
      </c>
      <c r="Y1372" s="28" t="s">
        <v>13726</v>
      </c>
      <c r="Z1372" s="28" t="s">
        <v>13727</v>
      </c>
      <c r="AA1372" s="28" t="s">
        <v>7761</v>
      </c>
      <c r="AB1372" s="28">
        <v>50.0</v>
      </c>
      <c r="AC1372" s="28" t="s">
        <v>24</v>
      </c>
      <c r="AD1372" s="23"/>
      <c r="AE1372" s="28" t="s">
        <v>8</v>
      </c>
      <c r="AF1372" s="23"/>
      <c r="AG1372" s="23"/>
      <c r="AH1372" s="23" t="str">
        <f>IFERROR(__xludf.DUMMYFUNCTION("IF(
ISNUMBER(MATCH(
C1372,
IMPORTRANGE(""https://docs.google.com/spreadsheets/d/1yTh1ELC33JHYOeEdgIiEclxPRyh0zOKtlawDltfUay8"",""'Interns'!A:A""),
0
)),
""Outreach Conducted"",
"""")"),"")</f>
        <v/>
      </c>
      <c r="AI1372" s="23"/>
      <c r="AJ1372" s="23"/>
      <c r="AK1372" s="23" t="str">
        <f>IFERROR(__xludf.DUMMYFUNCTION("XLOOKUP(C1372, 
   IMPORTRANGE(""1RdEdgHYrZ33LJ7RUHj_h-qkAFL92bcVjtIdVa-UlsCw"", ""Interns!D:D""), 
   IMPORTRANGE(""1RdEdgHYrZ33LJ7RUHj_h-qkAFL92bcVjtIdVa-UlsCw"", ""Interns!M:M""), 
   ""Not Found"")"),"Not Found")</f>
        <v>Not Found</v>
      </c>
      <c r="AL1372" s="23" t="str">
        <f>IFERROR(__xludf.DUMMYFUNCTION("XLOOKUP(C1372, 
   IMPORTRANGE(""1RdEdgHYrZ33LJ7RUHj_h-qkAFL92bcVjtIdVa-UlsCw"", ""Interns!D:D""), 
   IMPORTRANGE(""1RdEdgHYrZ33LJ7RUHj_h-qkAFL92bcVjtIdVa-UlsCw"", ""Interns!N:N""), 
   ""Not Found"")"),"Not Found")</f>
        <v>Not Found</v>
      </c>
      <c r="AM1372" s="23" t="str">
        <f>IFERROR(__xludf.DUMMYFUNCTION("XLOOKUP(C1372, 
   IMPORTRANGE(""1RdEdgHYrZ33LJ7RUHj_h-qkAFL92bcVjtIdVa-UlsCw"", ""Interns!D:D""), 
   IMPORTRANGE(""1RdEdgHYrZ33LJ7RUHj_h-qkAFL92bcVjtIdVa-UlsCw"", ""Interns!O:O""), 
   ""Not Found"")"),"Not Found")</f>
        <v>Not Found</v>
      </c>
      <c r="AN1372" s="23"/>
      <c r="AO1372" s="23" t="s">
        <v>13728</v>
      </c>
      <c r="AP1372" s="28" t="s">
        <v>5182</v>
      </c>
      <c r="AQ1372" s="28"/>
      <c r="AR1372" s="23"/>
      <c r="AS1372" s="23"/>
      <c r="AT1372" s="23"/>
      <c r="AU1372" s="23"/>
      <c r="AV1372" s="23"/>
    </row>
    <row r="1373">
      <c r="A1373" s="28" t="s">
        <v>5202</v>
      </c>
      <c r="B1373" s="28" t="s">
        <v>31</v>
      </c>
      <c r="C1373" s="23" t="str">
        <f t="shared" si="39"/>
        <v>Paula. Astudillo</v>
      </c>
      <c r="D1373" s="28" t="s">
        <v>13729</v>
      </c>
      <c r="E1373" s="28" t="s">
        <v>9056</v>
      </c>
      <c r="F1373" s="23">
        <f t="array" ref="F1373">IFERROR(
    INDEX('Hub Interns 226'!A:A, MATCH("Paula Astudillo", 'Hub Interns 226'!B:B, 0)),"")</f>
        <v>61</v>
      </c>
      <c r="G1373" s="23">
        <f t="array" ref="G1373">IFERROR(
    INDEX('Hub Users 226'!A:A, MATCH("Paula Astudillo", 'Hub Users 226'!B:B, 0)),"")</f>
        <v>494</v>
      </c>
      <c r="H1373" s="28">
        <v>1140.0</v>
      </c>
      <c r="I1373" s="28" t="s">
        <v>260</v>
      </c>
      <c r="J1373" s="28"/>
      <c r="K1373" s="28"/>
      <c r="L1373" s="28" t="s">
        <v>5196</v>
      </c>
      <c r="M1373" s="56" t="s">
        <v>9057</v>
      </c>
      <c r="N1373" s="57">
        <v>44749.513194444444</v>
      </c>
      <c r="O1373" s="58">
        <v>38581.0</v>
      </c>
      <c r="P1373" s="28">
        <f t="shared" si="40"/>
        <v>20</v>
      </c>
      <c r="Q1373" s="28" t="s">
        <v>240</v>
      </c>
      <c r="R1373" s="28" t="s">
        <v>13730</v>
      </c>
      <c r="S1373" s="28"/>
      <c r="T1373" s="28"/>
      <c r="U1373" s="28"/>
      <c r="V1373" s="28"/>
      <c r="W1373" s="28" t="s">
        <v>271</v>
      </c>
      <c r="X1373" s="28" t="s">
        <v>272</v>
      </c>
      <c r="Y1373" s="28" t="s">
        <v>9060</v>
      </c>
      <c r="Z1373" s="28" t="s">
        <v>5259</v>
      </c>
      <c r="AA1373" s="28" t="s">
        <v>704</v>
      </c>
      <c r="AB1373" s="28">
        <v>2.0</v>
      </c>
      <c r="AC1373" s="28" t="s">
        <v>23</v>
      </c>
      <c r="AD1373" s="23"/>
      <c r="AE1373" s="28" t="s">
        <v>15</v>
      </c>
      <c r="AF1373" s="23"/>
      <c r="AG1373" s="23"/>
      <c r="AH1373" s="23" t="str">
        <f>IFERROR(__xludf.DUMMYFUNCTION("IF(
ISNUMBER(MATCH(
C1373,
IMPORTRANGE(""https://docs.google.com/spreadsheets/d/1yTh1ELC33JHYOeEdgIiEclxPRyh0zOKtlawDltfUay8"",""'Interns'!A:A""),
0
)),
""Outreach Conducted"",
"""")"),"")</f>
        <v/>
      </c>
      <c r="AI1373" s="23"/>
      <c r="AJ1373" s="23"/>
      <c r="AK1373" s="23" t="str">
        <f>IFERROR(__xludf.DUMMYFUNCTION("XLOOKUP(C1373, 
   IMPORTRANGE(""1RdEdgHYrZ33LJ7RUHj_h-qkAFL92bcVjtIdVa-UlsCw"", ""Interns!D:D""), 
   IMPORTRANGE(""1RdEdgHYrZ33LJ7RUHj_h-qkAFL92bcVjtIdVa-UlsCw"", ""Interns!M:M""), 
   ""Not Found"")"),"")</f>
        <v/>
      </c>
      <c r="AL1373" s="23" t="str">
        <f>IFERROR(__xludf.DUMMYFUNCTION("XLOOKUP(C1373, 
   IMPORTRANGE(""1RdEdgHYrZ33LJ7RUHj_h-qkAFL92bcVjtIdVa-UlsCw"", ""Interns!D:D""), 
   IMPORTRANGE(""1RdEdgHYrZ33LJ7RUHj_h-qkAFL92bcVjtIdVa-UlsCw"", ""Interns!N:N""), 
   ""Not Found"")"),"")</f>
        <v/>
      </c>
      <c r="AM1373" s="23" t="str">
        <f>IFERROR(__xludf.DUMMYFUNCTION("XLOOKUP(C1373, 
   IMPORTRANGE(""1RdEdgHYrZ33LJ7RUHj_h-qkAFL92bcVjtIdVa-UlsCw"", ""Interns!D:D""), 
   IMPORTRANGE(""1RdEdgHYrZ33LJ7RUHj_h-qkAFL92bcVjtIdVa-UlsCw"", ""Interns!O:O""), 
   ""Not Found"")"),"")</f>
        <v/>
      </c>
      <c r="AN1373" s="23"/>
      <c r="AO1373" s="23" t="s">
        <v>13731</v>
      </c>
      <c r="AP1373" s="28" t="s">
        <v>5182</v>
      </c>
      <c r="AQ1373" s="28"/>
      <c r="AR1373" s="23"/>
      <c r="AS1373" s="23"/>
      <c r="AT1373" s="23"/>
      <c r="AU1373" s="23"/>
      <c r="AV1373" s="23"/>
    </row>
    <row r="1374">
      <c r="A1374" s="28" t="s">
        <v>5202</v>
      </c>
      <c r="B1374" s="28" t="s">
        <v>31</v>
      </c>
      <c r="C1374" s="23" t="str">
        <f t="shared" si="39"/>
        <v>Jlynn Ortiz</v>
      </c>
      <c r="D1374" s="28" t="s">
        <v>13732</v>
      </c>
      <c r="E1374" s="28" t="s">
        <v>8190</v>
      </c>
      <c r="F1374" s="23">
        <f t="array" ref="F1374">IFERROR(
    INDEX('Hub Interns 226'!A:A, MATCH(C1374, 'Hub Interns 226'!B:B, 0)),"")</f>
        <v>670</v>
      </c>
      <c r="G1374" s="23">
        <f t="array" ref="G1374">IFERROR(
    INDEX('Hub Users 226'!A:A, MATCH(C1374, 'Hub Users 226'!B:B, 0)),"")</f>
        <v>1103</v>
      </c>
      <c r="H1374" s="28">
        <v>1233.0</v>
      </c>
      <c r="I1374" s="28" t="s">
        <v>260</v>
      </c>
      <c r="J1374" s="28"/>
      <c r="K1374" s="28"/>
      <c r="L1374" s="28" t="s">
        <v>8087</v>
      </c>
      <c r="M1374" s="56" t="s">
        <v>13733</v>
      </c>
      <c r="N1374" s="57">
        <v>44838.45</v>
      </c>
      <c r="O1374" s="58">
        <v>38992.0</v>
      </c>
      <c r="P1374" s="28">
        <f t="shared" si="40"/>
        <v>19</v>
      </c>
      <c r="Q1374" s="28" t="s">
        <v>240</v>
      </c>
      <c r="R1374" s="28" t="s">
        <v>13734</v>
      </c>
      <c r="S1374" s="28"/>
      <c r="T1374" s="28"/>
      <c r="U1374" s="28"/>
      <c r="V1374" s="28"/>
      <c r="W1374" s="28" t="s">
        <v>271</v>
      </c>
      <c r="X1374" s="28" t="s">
        <v>272</v>
      </c>
      <c r="Y1374" s="28" t="s">
        <v>13735</v>
      </c>
      <c r="Z1374" s="28" t="s">
        <v>5341</v>
      </c>
      <c r="AA1374" s="28" t="s">
        <v>1085</v>
      </c>
      <c r="AB1374" s="28">
        <v>10.0</v>
      </c>
      <c r="AC1374" s="28" t="s">
        <v>28</v>
      </c>
      <c r="AD1374" s="23"/>
      <c r="AE1374" s="28" t="s">
        <v>15</v>
      </c>
      <c r="AF1374" s="23"/>
      <c r="AG1374" s="23"/>
      <c r="AH1374" s="23" t="str">
        <f>IFERROR(__xludf.DUMMYFUNCTION("IF(
ISNUMBER(MATCH(
C1374,
IMPORTRANGE(""https://docs.google.com/spreadsheets/d/1yTh1ELC33JHYOeEdgIiEclxPRyh0zOKtlawDltfUay8"",""'Interns'!A:A""),
0
)),
""Outreach Conducted"",
"""")"),"")</f>
        <v/>
      </c>
      <c r="AI1374" s="23"/>
      <c r="AJ1374" s="23"/>
      <c r="AK1374" s="23" t="str">
        <f>IFERROR(__xludf.DUMMYFUNCTION("XLOOKUP(C1374, 
   IMPORTRANGE(""1RdEdgHYrZ33LJ7RUHj_h-qkAFL92bcVjtIdVa-UlsCw"", ""Interns!D:D""), 
   IMPORTRANGE(""1RdEdgHYrZ33LJ7RUHj_h-qkAFL92bcVjtIdVa-UlsCw"", ""Interns!M:M""), 
   ""Not Found"")"),"")</f>
        <v/>
      </c>
      <c r="AL1374" s="23" t="str">
        <f>IFERROR(__xludf.DUMMYFUNCTION("XLOOKUP(C1374, 
   IMPORTRANGE(""1RdEdgHYrZ33LJ7RUHj_h-qkAFL92bcVjtIdVa-UlsCw"", ""Interns!D:D""), 
   IMPORTRANGE(""1RdEdgHYrZ33LJ7RUHj_h-qkAFL92bcVjtIdVa-UlsCw"", ""Interns!N:N""), 
   ""Not Found"")"),"")</f>
        <v/>
      </c>
      <c r="AM1374" s="23" t="str">
        <f>IFERROR(__xludf.DUMMYFUNCTION("XLOOKUP(C1374, 
   IMPORTRANGE(""1RdEdgHYrZ33LJ7RUHj_h-qkAFL92bcVjtIdVa-UlsCw"", ""Interns!D:D""), 
   IMPORTRANGE(""1RdEdgHYrZ33LJ7RUHj_h-qkAFL92bcVjtIdVa-UlsCw"", ""Interns!O:O""), 
   ""Not Found"")"),"")</f>
        <v/>
      </c>
      <c r="AN1374" s="23"/>
      <c r="AO1374" s="23" t="s">
        <v>536</v>
      </c>
      <c r="AP1374" s="28" t="s">
        <v>5182</v>
      </c>
      <c r="AQ1374" s="28"/>
      <c r="AR1374" s="23"/>
      <c r="AS1374" s="23"/>
      <c r="AT1374" s="23"/>
      <c r="AU1374" s="23"/>
      <c r="AV1374" s="23"/>
    </row>
    <row r="1375">
      <c r="A1375" s="28" t="s">
        <v>5202</v>
      </c>
      <c r="B1375" s="28" t="s">
        <v>5162</v>
      </c>
      <c r="C1375" s="23" t="str">
        <f t="shared" si="39"/>
        <v>helena bedward</v>
      </c>
      <c r="D1375" s="28" t="s">
        <v>13736</v>
      </c>
      <c r="E1375" s="28" t="s">
        <v>11636</v>
      </c>
      <c r="F1375" s="23">
        <f t="array" ref="F1375">IFERROR(
    INDEX('Hub Interns 226'!A:A, MATCH(C1375, 'Hub Interns 226'!B:B, 0)),"")</f>
        <v>575</v>
      </c>
      <c r="G1375" s="23">
        <f t="array" ref="G1375">IFERROR(
    INDEX('Hub Users 226'!A:A, MATCH(C1375, 'Hub Users 226'!B:B, 0)),"")</f>
        <v>1008</v>
      </c>
      <c r="H1375" s="28">
        <v>1178.0</v>
      </c>
      <c r="I1375" s="28" t="s">
        <v>239</v>
      </c>
      <c r="J1375" s="28" t="s">
        <v>11895</v>
      </c>
      <c r="K1375" s="28" t="s">
        <v>5177</v>
      </c>
      <c r="L1375" s="28" t="s">
        <v>5196</v>
      </c>
      <c r="M1375" s="56" t="s">
        <v>11637</v>
      </c>
      <c r="N1375" s="57">
        <v>44833.425</v>
      </c>
      <c r="O1375" s="58">
        <v>38671.0</v>
      </c>
      <c r="P1375" s="28">
        <f t="shared" si="40"/>
        <v>20</v>
      </c>
      <c r="Q1375" s="28" t="s">
        <v>13737</v>
      </c>
      <c r="R1375" s="28" t="s">
        <v>13738</v>
      </c>
      <c r="S1375" s="28">
        <v>5.0</v>
      </c>
      <c r="T1375" s="28">
        <v>10.0</v>
      </c>
      <c r="U1375" s="28">
        <v>31.0</v>
      </c>
      <c r="V1375" s="28">
        <v>24.0</v>
      </c>
      <c r="W1375" s="28" t="s">
        <v>1173</v>
      </c>
      <c r="X1375" s="28" t="s">
        <v>272</v>
      </c>
      <c r="Y1375" s="28" t="s">
        <v>11639</v>
      </c>
      <c r="Z1375" s="28" t="s">
        <v>5332</v>
      </c>
      <c r="AA1375" s="28" t="s">
        <v>421</v>
      </c>
      <c r="AB1375" s="28">
        <v>31.0</v>
      </c>
      <c r="AC1375" s="28" t="s">
        <v>25</v>
      </c>
      <c r="AD1375" s="23"/>
      <c r="AE1375" s="28" t="s">
        <v>15</v>
      </c>
      <c r="AF1375" s="23" t="str">
        <f>IFERROR(__xludf.DUMMYFUNCTION("TEXTJOIN("", "", TRUE,
  FILTER(Champions!C:C,
    ISNUMBER(SEARCH(C1375, Champions!W:W))
  )
)"),"Wendy Velasquez Ebanks")</f>
        <v>Wendy Velasquez Ebanks</v>
      </c>
      <c r="AG1375" s="23"/>
      <c r="AH1375" s="23" t="str">
        <f>IFERROR(__xludf.DUMMYFUNCTION("IF(
ISNUMBER(MATCH(
C1375,
IMPORTRANGE(""https://docs.google.com/spreadsheets/d/1yTh1ELC33JHYOeEdgIiEclxPRyh0zOKtlawDltfUay8"",""'Interns'!A:A""),
0
)),
""Outreach Conducted"",
"""")"),"")</f>
        <v/>
      </c>
      <c r="AI1375" s="23"/>
      <c r="AJ1375" s="23"/>
      <c r="AK1375" s="23" t="str">
        <f>IFERROR(__xludf.DUMMYFUNCTION("XLOOKUP(C1375, 
   IMPORTRANGE(""1RdEdgHYrZ33LJ7RUHj_h-qkAFL92bcVjtIdVa-UlsCw"", ""Interns!D:D""), 
   IMPORTRANGE(""1RdEdgHYrZ33LJ7RUHj_h-qkAFL92bcVjtIdVa-UlsCw"", ""Interns!M:M""), 
   ""Not Found"")"),"Contacted")</f>
        <v>Contacted</v>
      </c>
      <c r="AL1375" s="23" t="str">
        <f>IFERROR(__xludf.DUMMYFUNCTION("XLOOKUP(C1375, 
   IMPORTRANGE(""1RdEdgHYrZ33LJ7RUHj_h-qkAFL92bcVjtIdVa-UlsCw"", ""Interns!D:D""), 
   IMPORTRANGE(""1RdEdgHYrZ33LJ7RUHj_h-qkAFL92bcVjtIdVa-UlsCw"", ""Interns!N:N""), 
   ""Not Found"")"),"#Cheers4Careers")</f>
        <v>#Cheers4Careers</v>
      </c>
      <c r="AM1375" s="23" t="str">
        <f>IFERROR(__xludf.DUMMYFUNCTION("XLOOKUP(C1375, 
   IMPORTRANGE(""1RdEdgHYrZ33LJ7RUHj_h-qkAFL92bcVjtIdVa-UlsCw"", ""Interns!D:D""), 
   IMPORTRANGE(""1RdEdgHYrZ33LJ7RUHj_h-qkAFL92bcVjtIdVa-UlsCw"", ""Interns!O:O""), 
   ""Not Found"")"),"Hetal reached out March 27 for March #Cheers4 Careers and texted")</f>
        <v>Hetal reached out March 27 for March #Cheers4 Careers and texted</v>
      </c>
      <c r="AN1375" s="23"/>
      <c r="AO1375" s="23" t="s">
        <v>13739</v>
      </c>
      <c r="AP1375" s="28" t="s">
        <v>5182</v>
      </c>
      <c r="AQ1375" s="28" t="s">
        <v>13740</v>
      </c>
      <c r="AR1375" s="23" t="s">
        <v>13741</v>
      </c>
      <c r="AS1375" s="23"/>
      <c r="AT1375" s="23"/>
      <c r="AU1375" s="23"/>
      <c r="AV1375" s="23"/>
    </row>
    <row r="1376">
      <c r="A1376" s="28" t="s">
        <v>5161</v>
      </c>
      <c r="B1376" s="28" t="s">
        <v>5162</v>
      </c>
      <c r="C1376" s="23" t="str">
        <f t="shared" si="39"/>
        <v>Jocelyn Merino</v>
      </c>
      <c r="D1376" s="28" t="s">
        <v>13742</v>
      </c>
      <c r="E1376" s="28" t="s">
        <v>12540</v>
      </c>
      <c r="F1376" s="23">
        <f t="array" ref="F1376">IFERROR(
    INDEX('Hub Interns 226'!A:A, MATCH(C1376, 'Hub Interns 226'!B:B, 0)),"")</f>
        <v>673</v>
      </c>
      <c r="G1376" s="23">
        <f t="array" ref="G1376">IFERROR(
    INDEX('Hub Users 226'!A:A, MATCH(C1376, 'Hub Users 226'!B:B, 0)),"")</f>
        <v>1106</v>
      </c>
      <c r="H1376" s="28">
        <v>977.0</v>
      </c>
      <c r="I1376" s="28" t="s">
        <v>260</v>
      </c>
      <c r="J1376" s="28"/>
      <c r="K1376" s="28"/>
      <c r="L1376" s="28" t="s">
        <v>5196</v>
      </c>
      <c r="M1376" s="56" t="s">
        <v>13743</v>
      </c>
      <c r="N1376" s="57">
        <v>44643.54722222222</v>
      </c>
      <c r="O1376" s="58">
        <v>39957.0</v>
      </c>
      <c r="P1376" s="28">
        <f t="shared" si="40"/>
        <v>16</v>
      </c>
      <c r="Q1376" s="28" t="s">
        <v>240</v>
      </c>
      <c r="R1376" s="28" t="s">
        <v>13744</v>
      </c>
      <c r="S1376" s="28">
        <v>7.0</v>
      </c>
      <c r="T1376" s="28">
        <v>12.0</v>
      </c>
      <c r="U1376" s="28">
        <v>38.0</v>
      </c>
      <c r="V1376" s="28">
        <v>34.0</v>
      </c>
      <c r="W1376" s="28" t="s">
        <v>1173</v>
      </c>
      <c r="X1376" s="28" t="s">
        <v>272</v>
      </c>
      <c r="Y1376" s="28" t="s">
        <v>13745</v>
      </c>
      <c r="Z1376" s="28" t="s">
        <v>7427</v>
      </c>
      <c r="AA1376" s="28" t="s">
        <v>7428</v>
      </c>
      <c r="AB1376" s="28">
        <v>34.0</v>
      </c>
      <c r="AC1376" s="28" t="s">
        <v>24</v>
      </c>
      <c r="AD1376" s="23"/>
      <c r="AE1376" s="28" t="s">
        <v>10</v>
      </c>
      <c r="AF1376" s="23"/>
      <c r="AG1376" s="23"/>
      <c r="AH1376" s="23" t="str">
        <f>IFERROR(__xludf.DUMMYFUNCTION("IF(
ISNUMBER(MATCH(
C1376,
IMPORTRANGE(""https://docs.google.com/spreadsheets/d/1yTh1ELC33JHYOeEdgIiEclxPRyh0zOKtlawDltfUay8"",""'Interns'!A:A""),
0
)),
""Outreach Conducted"",
"""")"),"")</f>
        <v/>
      </c>
      <c r="AI1376" s="23"/>
      <c r="AJ1376" s="23"/>
      <c r="AK1376" s="23" t="str">
        <f>IFERROR(__xludf.DUMMYFUNCTION("XLOOKUP(C1376, 
   IMPORTRANGE(""1RdEdgHYrZ33LJ7RUHj_h-qkAFL92bcVjtIdVa-UlsCw"", ""Interns!D:D""), 
   IMPORTRANGE(""1RdEdgHYrZ33LJ7RUHj_h-qkAFL92bcVjtIdVa-UlsCw"", ""Interns!M:M""), 
   ""Not Found"")"),"Contacted")</f>
        <v>Contacted</v>
      </c>
      <c r="AL1376" s="23" t="str">
        <f>IFERROR(__xludf.DUMMYFUNCTION("XLOOKUP(C1376, 
   IMPORTRANGE(""1RdEdgHYrZ33LJ7RUHj_h-qkAFL92bcVjtIdVa-UlsCw"", ""Interns!D:D""), 
   IMPORTRANGE(""1RdEdgHYrZ33LJ7RUHj_h-qkAFL92bcVjtIdVa-UlsCw"", ""Interns!N:N""), 
   ""Not Found"")"),"#Cheers4Careers")</f>
        <v>#Cheers4Careers</v>
      </c>
      <c r="AM1376" s="23" t="str">
        <f>IFERROR(__xludf.DUMMYFUNCTION("XLOOKUP(C1376, 
   IMPORTRANGE(""1RdEdgHYrZ33LJ7RUHj_h-qkAFL92bcVjtIdVa-UlsCw"", ""Interns!D:D""), 
   IMPORTRANGE(""1RdEdgHYrZ33LJ7RUHj_h-qkAFL92bcVjtIdVa-UlsCw"", ""Interns!O:O""), 
   ""Not Found"")"),"Hetal reached out by email 3/27")</f>
        <v>Hetal reached out by email 3/27</v>
      </c>
      <c r="AN1376" s="23"/>
      <c r="AO1376" s="23" t="s">
        <v>13746</v>
      </c>
      <c r="AP1376" s="28" t="s">
        <v>5182</v>
      </c>
      <c r="AQ1376" s="28"/>
      <c r="AR1376" s="23"/>
      <c r="AS1376" s="23"/>
      <c r="AT1376" s="23"/>
      <c r="AU1376" s="23"/>
      <c r="AV1376" s="23"/>
    </row>
    <row r="1377">
      <c r="A1377" s="28" t="s">
        <v>5202</v>
      </c>
      <c r="B1377" s="28" t="s">
        <v>31</v>
      </c>
      <c r="C1377" s="23" t="str">
        <f t="shared" si="39"/>
        <v>Juana Verdecia</v>
      </c>
      <c r="D1377" s="28" t="s">
        <v>6422</v>
      </c>
      <c r="E1377" s="28" t="s">
        <v>6423</v>
      </c>
      <c r="F1377" s="23">
        <f t="array" ref="F1377">IFERROR(
    INDEX('Hub Interns 226'!A:A, MATCH(C1377, 'Hub Interns 226'!B:B, 0)),"")</f>
        <v>703</v>
      </c>
      <c r="G1377" s="23">
        <f t="array" ref="G1377">IFERROR(
    INDEX('Hub Users 226'!A:A, MATCH(C1377, 'Hub Users 226'!B:B, 0)),"")</f>
        <v>1136</v>
      </c>
      <c r="H1377" s="28">
        <v>814.0</v>
      </c>
      <c r="I1377" s="28" t="s">
        <v>107</v>
      </c>
      <c r="J1377" s="28"/>
      <c r="K1377" s="28"/>
      <c r="L1377" s="28" t="s">
        <v>5196</v>
      </c>
      <c r="M1377" s="56" t="s">
        <v>6426</v>
      </c>
      <c r="N1377" s="57">
        <v>44569.87986111111</v>
      </c>
      <c r="O1377" s="58">
        <v>38812.0</v>
      </c>
      <c r="P1377" s="28">
        <f t="shared" si="40"/>
        <v>20</v>
      </c>
      <c r="Q1377" s="28" t="s">
        <v>6427</v>
      </c>
      <c r="R1377" s="28" t="s">
        <v>6428</v>
      </c>
      <c r="S1377" s="28"/>
      <c r="T1377" s="28"/>
      <c r="U1377" s="28"/>
      <c r="V1377" s="28"/>
      <c r="W1377" s="28" t="s">
        <v>271</v>
      </c>
      <c r="X1377" s="28" t="s">
        <v>272</v>
      </c>
      <c r="Y1377" s="28" t="s">
        <v>6429</v>
      </c>
      <c r="Z1377" s="28" t="s">
        <v>5341</v>
      </c>
      <c r="AA1377" s="28" t="s">
        <v>1085</v>
      </c>
      <c r="AB1377" s="28">
        <v>10.0</v>
      </c>
      <c r="AC1377" s="28" t="s">
        <v>28</v>
      </c>
      <c r="AD1377" s="23"/>
      <c r="AE1377" s="28" t="s">
        <v>15</v>
      </c>
      <c r="AF1377" s="23"/>
      <c r="AG1377" s="23"/>
      <c r="AH1377" s="23" t="str">
        <f>IFERROR(__xludf.DUMMYFUNCTION("IF(
ISNUMBER(MATCH(
C1377,
IMPORTRANGE(""https://docs.google.com/spreadsheets/d/1yTh1ELC33JHYOeEdgIiEclxPRyh0zOKtlawDltfUay8"",""'Interns'!A:A""),
0
)),
""Outreach Conducted"",
"""")"),"")</f>
        <v/>
      </c>
      <c r="AI1377" s="23"/>
      <c r="AJ1377" s="23"/>
      <c r="AK1377" s="23" t="str">
        <f>IFERROR(__xludf.DUMMYFUNCTION("XLOOKUP(C1377, 
   IMPORTRANGE(""1RdEdgHYrZ33LJ7RUHj_h-qkAFL92bcVjtIdVa-UlsCw"", ""Interns!D:D""), 
   IMPORTRANGE(""1RdEdgHYrZ33LJ7RUHj_h-qkAFL92bcVjtIdVa-UlsCw"", ""Interns!M:M""), 
   ""Not Found"")"),"")</f>
        <v/>
      </c>
      <c r="AL1377" s="23" t="str">
        <f>IFERROR(__xludf.DUMMYFUNCTION("XLOOKUP(C1377, 
   IMPORTRANGE(""1RdEdgHYrZ33LJ7RUHj_h-qkAFL92bcVjtIdVa-UlsCw"", ""Interns!D:D""), 
   IMPORTRANGE(""1RdEdgHYrZ33LJ7RUHj_h-qkAFL92bcVjtIdVa-UlsCw"", ""Interns!N:N""), 
   ""Not Found"")"),"")</f>
        <v/>
      </c>
      <c r="AM1377" s="23" t="str">
        <f>IFERROR(__xludf.DUMMYFUNCTION("XLOOKUP(C1377, 
   IMPORTRANGE(""1RdEdgHYrZ33LJ7RUHj_h-qkAFL92bcVjtIdVa-UlsCw"", ""Interns!D:D""), 
   IMPORTRANGE(""1RdEdgHYrZ33LJ7RUHj_h-qkAFL92bcVjtIdVa-UlsCw"", ""Interns!O:O""), 
   ""Not Found"")"),"")</f>
        <v/>
      </c>
      <c r="AN1377" s="23"/>
      <c r="AO1377" s="23" t="s">
        <v>6430</v>
      </c>
      <c r="AP1377" s="28" t="s">
        <v>5191</v>
      </c>
      <c r="AQ1377" s="28" t="s">
        <v>6431</v>
      </c>
      <c r="AR1377" s="23" t="s">
        <v>6432</v>
      </c>
      <c r="AS1377" s="23"/>
      <c r="AT1377" s="23"/>
      <c r="AU1377" s="23"/>
      <c r="AV1377" s="23"/>
    </row>
    <row r="1378">
      <c r="A1378" s="28" t="s">
        <v>5161</v>
      </c>
      <c r="B1378" s="28" t="s">
        <v>5162</v>
      </c>
      <c r="C1378" s="23" t="str">
        <f t="shared" si="39"/>
        <v>Corey Lumpkin</v>
      </c>
      <c r="D1378" s="28" t="s">
        <v>13747</v>
      </c>
      <c r="E1378" s="28" t="s">
        <v>13748</v>
      </c>
      <c r="F1378" s="23">
        <f t="array" ref="F1378">IFERROR(
    INDEX('Hub Interns 226'!A:A, MATCH(C1378, 'Hub Interns 226'!B:B, 0)),"")</f>
        <v>378</v>
      </c>
      <c r="G1378" s="23">
        <f t="array" ref="G1378">IFERROR(
    INDEX('Hub Users 226'!A:A, MATCH(C1378, 'Hub Users 226'!B:B, 0)),"")</f>
        <v>811</v>
      </c>
      <c r="H1378" s="28">
        <v>1342.0</v>
      </c>
      <c r="I1378" s="28" t="s">
        <v>239</v>
      </c>
      <c r="J1378" s="28"/>
      <c r="K1378" s="28"/>
      <c r="L1378" s="28" t="s">
        <v>5165</v>
      </c>
      <c r="M1378" s="56" t="s">
        <v>13749</v>
      </c>
      <c r="N1378" s="59">
        <v>44858.589583333334</v>
      </c>
      <c r="O1378" s="58">
        <v>39252.0</v>
      </c>
      <c r="P1378" s="28">
        <f t="shared" si="40"/>
        <v>18</v>
      </c>
      <c r="Q1378" s="28" t="s">
        <v>240</v>
      </c>
      <c r="R1378" s="28" t="s">
        <v>13750</v>
      </c>
      <c r="S1378" s="28">
        <v>5.0</v>
      </c>
      <c r="T1378" s="28">
        <v>10.0</v>
      </c>
      <c r="U1378" s="28">
        <v>32.0</v>
      </c>
      <c r="V1378" s="28">
        <v>28.0</v>
      </c>
      <c r="W1378" s="28" t="s">
        <v>1173</v>
      </c>
      <c r="X1378" s="28" t="s">
        <v>272</v>
      </c>
      <c r="Y1378" s="28" t="s">
        <v>13751</v>
      </c>
      <c r="Z1378" s="28" t="s">
        <v>5332</v>
      </c>
      <c r="AA1378" s="28" t="s">
        <v>421</v>
      </c>
      <c r="AB1378" s="28">
        <v>31.0</v>
      </c>
      <c r="AC1378" s="28" t="s">
        <v>23</v>
      </c>
      <c r="AD1378" s="28" t="s">
        <v>101</v>
      </c>
      <c r="AE1378" s="28" t="s">
        <v>15</v>
      </c>
      <c r="AF1378" s="23"/>
      <c r="AG1378" s="23"/>
      <c r="AH1378" s="23" t="str">
        <f>IFERROR(__xludf.DUMMYFUNCTION("IF(
ISNUMBER(MATCH(
C1378,
IMPORTRANGE(""https://docs.google.com/spreadsheets/d/1yTh1ELC33JHYOeEdgIiEclxPRyh0zOKtlawDltfUay8"",""'Interns'!A:A""),
0
)),
""Outreach Conducted"",
"""")"),"")</f>
        <v/>
      </c>
      <c r="AI1378" s="23"/>
      <c r="AJ1378" s="23"/>
      <c r="AK1378" s="23" t="str">
        <f>IFERROR(__xludf.DUMMYFUNCTION("XLOOKUP(C1378, 
   IMPORTRANGE(""1RdEdgHYrZ33LJ7RUHj_h-qkAFL92bcVjtIdVa-UlsCw"", ""Interns!D:D""), 
   IMPORTRANGE(""1RdEdgHYrZ33LJ7RUHj_h-qkAFL92bcVjtIdVa-UlsCw"", ""Interns!M:M""), 
   ""Not Found"")"),"Contacted")</f>
        <v>Contacted</v>
      </c>
      <c r="AL1378" s="23" t="str">
        <f>IFERROR(__xludf.DUMMYFUNCTION("XLOOKUP(C1378, 
   IMPORTRANGE(""1RdEdgHYrZ33LJ7RUHj_h-qkAFL92bcVjtIdVa-UlsCw"", ""Interns!D:D""), 
   IMPORTRANGE(""1RdEdgHYrZ33LJ7RUHj_h-qkAFL92bcVjtIdVa-UlsCw"", ""Interns!N:N""), 
   ""Not Found"")"),"#Cheers4Careers")</f>
        <v>#Cheers4Careers</v>
      </c>
      <c r="AM1378" s="23" t="str">
        <f>IFERROR(__xludf.DUMMYFUNCTION("XLOOKUP(C1378, 
   IMPORTRANGE(""1RdEdgHYrZ33LJ7RUHj_h-qkAFL92bcVjtIdVa-UlsCw"", ""Interns!D:D""), 
   IMPORTRANGE(""1RdEdgHYrZ33LJ7RUHj_h-qkAFL92bcVjtIdVa-UlsCw"", ""Interns!O:O""), 
   ""Not Found"")"),"Hetal reached out March 27 for March #Cheers4 Careers and texted")</f>
        <v>Hetal reached out March 27 for March #Cheers4 Careers and texted</v>
      </c>
      <c r="AN1378" s="23"/>
      <c r="AO1378" s="23" t="s">
        <v>13752</v>
      </c>
      <c r="AP1378" s="28" t="s">
        <v>5182</v>
      </c>
      <c r="AQ1378" s="28"/>
      <c r="AR1378" s="23"/>
      <c r="AS1378" s="23"/>
      <c r="AT1378" s="23"/>
      <c r="AU1378" s="23"/>
      <c r="AV1378" s="23"/>
    </row>
    <row r="1379">
      <c r="A1379" s="28" t="s">
        <v>5161</v>
      </c>
      <c r="B1379" s="28" t="s">
        <v>5162</v>
      </c>
      <c r="C1379" s="23" t="str">
        <f t="shared" si="39"/>
        <v>Christian Barnaby</v>
      </c>
      <c r="D1379" s="28" t="s">
        <v>932</v>
      </c>
      <c r="E1379" s="28" t="s">
        <v>13753</v>
      </c>
      <c r="F1379" s="23">
        <f t="array" ref="F1379">IFERROR(
    INDEX('Hub Interns 226'!A:A, MATCH(C1379, 'Hub Interns 226'!B:B, 0)),"")</f>
        <v>363</v>
      </c>
      <c r="G1379" s="23">
        <f t="array" ref="G1379">IFERROR(
    INDEX('Hub Users 226'!A:A, MATCH(C1379, 'Hub Users 226'!B:B, 0)),"")</f>
        <v>796</v>
      </c>
      <c r="H1379" s="28">
        <v>1414.0</v>
      </c>
      <c r="I1379" s="28" t="s">
        <v>239</v>
      </c>
      <c r="J1379" s="28"/>
      <c r="K1379" s="28"/>
      <c r="L1379" s="28" t="s">
        <v>5165</v>
      </c>
      <c r="M1379" s="56" t="s">
        <v>13754</v>
      </c>
      <c r="N1379" s="59">
        <v>44865.604166666664</v>
      </c>
      <c r="O1379" s="58">
        <v>39097.0</v>
      </c>
      <c r="P1379" s="28">
        <f t="shared" si="40"/>
        <v>19</v>
      </c>
      <c r="Q1379" s="28" t="s">
        <v>240</v>
      </c>
      <c r="R1379" s="28" t="s">
        <v>13755</v>
      </c>
      <c r="S1379" s="28">
        <v>5.0</v>
      </c>
      <c r="T1379" s="28">
        <v>10.0</v>
      </c>
      <c r="U1379" s="28">
        <v>31.0</v>
      </c>
      <c r="V1379" s="28">
        <v>31.0</v>
      </c>
      <c r="W1379" s="28" t="s">
        <v>1173</v>
      </c>
      <c r="X1379" s="28" t="s">
        <v>272</v>
      </c>
      <c r="Y1379" s="28" t="s">
        <v>13756</v>
      </c>
      <c r="Z1379" s="28" t="s">
        <v>5332</v>
      </c>
      <c r="AA1379" s="28" t="s">
        <v>421</v>
      </c>
      <c r="AB1379" s="28">
        <v>31.0</v>
      </c>
      <c r="AC1379" s="28" t="s">
        <v>23</v>
      </c>
      <c r="AD1379" s="23"/>
      <c r="AE1379" s="28" t="s">
        <v>15</v>
      </c>
      <c r="AF1379" s="23"/>
      <c r="AG1379" s="23"/>
      <c r="AH1379" s="23" t="str">
        <f>IFERROR(__xludf.DUMMYFUNCTION("IF(
ISNUMBER(MATCH(
C1379,
IMPORTRANGE(""https://docs.google.com/spreadsheets/d/1yTh1ELC33JHYOeEdgIiEclxPRyh0zOKtlawDltfUay8"",""'Interns'!A:A""),
0
)),
""Outreach Conducted"",
"""")"),"")</f>
        <v/>
      </c>
      <c r="AI1379" s="23"/>
      <c r="AJ1379" s="23"/>
      <c r="AK1379" s="23" t="str">
        <f>IFERROR(__xludf.DUMMYFUNCTION("XLOOKUP(C1379, 
   IMPORTRANGE(""1RdEdgHYrZ33LJ7RUHj_h-qkAFL92bcVjtIdVa-UlsCw"", ""Interns!D:D""), 
   IMPORTRANGE(""1RdEdgHYrZ33LJ7RUHj_h-qkAFL92bcVjtIdVa-UlsCw"", ""Interns!M:M""), 
   ""Not Found"")"),"Contacted")</f>
        <v>Contacted</v>
      </c>
      <c r="AL1379" s="23" t="str">
        <f>IFERROR(__xludf.DUMMYFUNCTION("XLOOKUP(C1379, 
   IMPORTRANGE(""1RdEdgHYrZ33LJ7RUHj_h-qkAFL92bcVjtIdVa-UlsCw"", ""Interns!D:D""), 
   IMPORTRANGE(""1RdEdgHYrZ33LJ7RUHj_h-qkAFL92bcVjtIdVa-UlsCw"", ""Interns!N:N""), 
   ""Not Found"")"),"#Cheers4Careers")</f>
        <v>#Cheers4Careers</v>
      </c>
      <c r="AM1379" s="23" t="str">
        <f>IFERROR(__xludf.DUMMYFUNCTION("XLOOKUP(C1379, 
   IMPORTRANGE(""1RdEdgHYrZ33LJ7RUHj_h-qkAFL92bcVjtIdVa-UlsCw"", ""Interns!D:D""), 
   IMPORTRANGE(""1RdEdgHYrZ33LJ7RUHj_h-qkAFL92bcVjtIdVa-UlsCw"", ""Interns!O:O""), 
   ""Not Found"")"),"Hetal reached out March 27 for March #Cheers4 Careers and texted")</f>
        <v>Hetal reached out March 27 for March #Cheers4 Careers and texted</v>
      </c>
      <c r="AN1379" s="23"/>
      <c r="AO1379" s="23" t="s">
        <v>13757</v>
      </c>
      <c r="AP1379" s="28" t="s">
        <v>5182</v>
      </c>
      <c r="AQ1379" s="28"/>
      <c r="AR1379" s="23"/>
      <c r="AS1379" s="23"/>
      <c r="AT1379" s="23"/>
      <c r="AU1379" s="23"/>
      <c r="AV1379" s="23"/>
    </row>
    <row r="1380">
      <c r="A1380" s="28" t="s">
        <v>5161</v>
      </c>
      <c r="B1380" s="28" t="s">
        <v>31</v>
      </c>
      <c r="C1380" s="23" t="str">
        <f t="shared" si="39"/>
        <v>Kamyl Batista</v>
      </c>
      <c r="D1380" s="28" t="s">
        <v>13758</v>
      </c>
      <c r="E1380" s="28" t="s">
        <v>7204</v>
      </c>
      <c r="F1380" s="23">
        <f t="array" ref="F1380">IFERROR(
    INDEX('Hub Interns 226'!A:A, MATCH(C1380, 'Hub Interns 226'!B:B, 0)),"")</f>
        <v>719</v>
      </c>
      <c r="G1380" s="23">
        <f t="array" ref="G1380">IFERROR(
    INDEX('Hub Users 226'!A:A, MATCH(C1380, 'Hub Users 226'!B:B, 0)),"")</f>
        <v>1152</v>
      </c>
      <c r="H1380" s="28">
        <v>1227.0</v>
      </c>
      <c r="I1380" s="28" t="s">
        <v>407</v>
      </c>
      <c r="J1380" s="28"/>
      <c r="K1380" s="28"/>
      <c r="L1380" s="28" t="s">
        <v>5165</v>
      </c>
      <c r="M1380" s="56" t="s">
        <v>13759</v>
      </c>
      <c r="N1380" s="57">
        <v>44838.44027777778</v>
      </c>
      <c r="O1380" s="58">
        <v>39016.0</v>
      </c>
      <c r="P1380" s="28">
        <f t="shared" si="40"/>
        <v>19</v>
      </c>
      <c r="Q1380" s="28" t="s">
        <v>240</v>
      </c>
      <c r="R1380" s="28" t="s">
        <v>13760</v>
      </c>
      <c r="S1380" s="28"/>
      <c r="T1380" s="28"/>
      <c r="U1380" s="28"/>
      <c r="V1380" s="28"/>
      <c r="W1380" s="28" t="s">
        <v>271</v>
      </c>
      <c r="X1380" s="28" t="s">
        <v>272</v>
      </c>
      <c r="Y1380" s="28" t="s">
        <v>13761</v>
      </c>
      <c r="Z1380" s="28" t="s">
        <v>5341</v>
      </c>
      <c r="AA1380" s="28" t="s">
        <v>1085</v>
      </c>
      <c r="AB1380" s="28">
        <v>10.0</v>
      </c>
      <c r="AC1380" s="28" t="s">
        <v>28</v>
      </c>
      <c r="AD1380" s="23"/>
      <c r="AE1380" s="28" t="s">
        <v>15</v>
      </c>
      <c r="AF1380" s="23"/>
      <c r="AG1380" s="23"/>
      <c r="AH1380" s="23" t="str">
        <f>IFERROR(__xludf.DUMMYFUNCTION("IF(
ISNUMBER(MATCH(
C1380,
IMPORTRANGE(""https://docs.google.com/spreadsheets/d/1yTh1ELC33JHYOeEdgIiEclxPRyh0zOKtlawDltfUay8"",""'Interns'!A:A""),
0
)),
""Outreach Conducted"",
"""")"),"")</f>
        <v/>
      </c>
      <c r="AI1380" s="23"/>
      <c r="AJ1380" s="23"/>
      <c r="AK1380" s="23" t="str">
        <f>IFERROR(__xludf.DUMMYFUNCTION("XLOOKUP(C1380, 
   IMPORTRANGE(""1RdEdgHYrZ33LJ7RUHj_h-qkAFL92bcVjtIdVa-UlsCw"", ""Interns!D:D""), 
   IMPORTRANGE(""1RdEdgHYrZ33LJ7RUHj_h-qkAFL92bcVjtIdVa-UlsCw"", ""Interns!M:M""), 
   ""Not Found"")"),"")</f>
        <v/>
      </c>
      <c r="AL1380" s="23" t="str">
        <f>IFERROR(__xludf.DUMMYFUNCTION("XLOOKUP(C1380, 
   IMPORTRANGE(""1RdEdgHYrZ33LJ7RUHj_h-qkAFL92bcVjtIdVa-UlsCw"", ""Interns!D:D""), 
   IMPORTRANGE(""1RdEdgHYrZ33LJ7RUHj_h-qkAFL92bcVjtIdVa-UlsCw"", ""Interns!N:N""), 
   ""Not Found"")"),"")</f>
        <v/>
      </c>
      <c r="AM1380" s="23" t="str">
        <f>IFERROR(__xludf.DUMMYFUNCTION("XLOOKUP(C1380, 
   IMPORTRANGE(""1RdEdgHYrZ33LJ7RUHj_h-qkAFL92bcVjtIdVa-UlsCw"", ""Interns!D:D""), 
   IMPORTRANGE(""1RdEdgHYrZ33LJ7RUHj_h-qkAFL92bcVjtIdVa-UlsCw"", ""Interns!O:O""), 
   ""Not Found"")"),"")</f>
        <v/>
      </c>
      <c r="AN1380" s="23"/>
      <c r="AO1380" s="23" t="s">
        <v>13762</v>
      </c>
      <c r="AP1380" s="28" t="s">
        <v>5182</v>
      </c>
      <c r="AQ1380" s="28"/>
      <c r="AR1380" s="23"/>
      <c r="AS1380" s="23"/>
      <c r="AT1380" s="23"/>
      <c r="AU1380" s="23"/>
      <c r="AV1380" s="23"/>
    </row>
    <row r="1381">
      <c r="A1381" s="28" t="s">
        <v>5161</v>
      </c>
      <c r="B1381" s="28" t="s">
        <v>5162</v>
      </c>
      <c r="C1381" s="23" t="str">
        <f t="shared" si="39"/>
        <v>Jabari Peters-Hyman</v>
      </c>
      <c r="D1381" s="28" t="s">
        <v>13763</v>
      </c>
      <c r="E1381" s="28" t="s">
        <v>13764</v>
      </c>
      <c r="F1381" s="23">
        <f t="array" ref="F1381">IFERROR(
    INDEX('Hub Interns 226'!A:A, MATCH(C1381, 'Hub Interns 226'!B:B, 0)),"")</f>
        <v>613</v>
      </c>
      <c r="G1381" s="23">
        <f t="array" ref="G1381">IFERROR(
    INDEX('Hub Users 226'!A:A, MATCH(C1381, 'Hub Users 226'!B:B, 0)),"")</f>
        <v>1046</v>
      </c>
      <c r="H1381" s="28">
        <v>1412.0</v>
      </c>
      <c r="I1381" s="28" t="s">
        <v>107</v>
      </c>
      <c r="J1381" s="28"/>
      <c r="K1381" s="28"/>
      <c r="L1381" s="28" t="s">
        <v>5165</v>
      </c>
      <c r="M1381" s="56" t="s">
        <v>13765</v>
      </c>
      <c r="N1381" s="59">
        <v>44865.58611111111</v>
      </c>
      <c r="O1381" s="58">
        <v>39232.0</v>
      </c>
      <c r="P1381" s="28">
        <f t="shared" si="40"/>
        <v>18</v>
      </c>
      <c r="Q1381" s="28" t="s">
        <v>240</v>
      </c>
      <c r="R1381" s="28" t="s">
        <v>13766</v>
      </c>
      <c r="S1381" s="28"/>
      <c r="T1381" s="28"/>
      <c r="U1381" s="28"/>
      <c r="V1381" s="28"/>
      <c r="W1381" s="28" t="s">
        <v>1173</v>
      </c>
      <c r="X1381" s="28" t="s">
        <v>272</v>
      </c>
      <c r="Y1381" s="28" t="s">
        <v>13767</v>
      </c>
      <c r="Z1381" s="28" t="s">
        <v>5332</v>
      </c>
      <c r="AA1381" s="28" t="s">
        <v>421</v>
      </c>
      <c r="AB1381" s="28">
        <v>31.0</v>
      </c>
      <c r="AC1381" s="28" t="s">
        <v>23</v>
      </c>
      <c r="AD1381" s="28" t="s">
        <v>101</v>
      </c>
      <c r="AE1381" s="28" t="s">
        <v>15</v>
      </c>
      <c r="AF1381" s="23"/>
      <c r="AG1381" s="23"/>
      <c r="AH1381" s="23" t="str">
        <f>IFERROR(__xludf.DUMMYFUNCTION("IF(
ISNUMBER(MATCH(
C1381,
IMPORTRANGE(""https://docs.google.com/spreadsheets/d/1yTh1ELC33JHYOeEdgIiEclxPRyh0zOKtlawDltfUay8"",""'Interns'!A:A""),
0
)),
""Outreach Conducted"",
"""")"),"")</f>
        <v/>
      </c>
      <c r="AI1381" s="23"/>
      <c r="AJ1381" s="23"/>
      <c r="AK1381" s="23" t="str">
        <f>IFERROR(__xludf.DUMMYFUNCTION("XLOOKUP(C1381, 
   IMPORTRANGE(""1RdEdgHYrZ33LJ7RUHj_h-qkAFL92bcVjtIdVa-UlsCw"", ""Interns!D:D""), 
   IMPORTRANGE(""1RdEdgHYrZ33LJ7RUHj_h-qkAFL92bcVjtIdVa-UlsCw"", ""Interns!M:M""), 
   ""Not Found"")"),"Contacted")</f>
        <v>Contacted</v>
      </c>
      <c r="AL1381" s="23" t="str">
        <f>IFERROR(__xludf.DUMMYFUNCTION("XLOOKUP(C1381, 
   IMPORTRANGE(""1RdEdgHYrZ33LJ7RUHj_h-qkAFL92bcVjtIdVa-UlsCw"", ""Interns!D:D""), 
   IMPORTRANGE(""1RdEdgHYrZ33LJ7RUHj_h-qkAFL92bcVjtIdVa-UlsCw"", ""Interns!N:N""), 
   ""Not Found"")"),"#Cheers4Careers")</f>
        <v>#Cheers4Careers</v>
      </c>
      <c r="AM1381" s="23" t="str">
        <f>IFERROR(__xludf.DUMMYFUNCTION("XLOOKUP(C1381, 
   IMPORTRANGE(""1RdEdgHYrZ33LJ7RUHj_h-qkAFL92bcVjtIdVa-UlsCw"", ""Interns!D:D""), 
   IMPORTRANGE(""1RdEdgHYrZ33LJ7RUHj_h-qkAFL92bcVjtIdVa-UlsCw"", ""Interns!O:O""), 
   ""Not Found"")"),"Hetal reached out March 27 for March #Cheers4 Careers and texted")</f>
        <v>Hetal reached out March 27 for March #Cheers4 Careers and texted</v>
      </c>
      <c r="AN1381" s="23"/>
      <c r="AO1381" s="23" t="s">
        <v>13768</v>
      </c>
      <c r="AP1381" s="28" t="s">
        <v>5182</v>
      </c>
      <c r="AQ1381" s="28"/>
      <c r="AR1381" s="23"/>
      <c r="AS1381" s="23"/>
      <c r="AT1381" s="23"/>
      <c r="AU1381" s="23"/>
      <c r="AV1381" s="23"/>
    </row>
    <row r="1382">
      <c r="A1382" s="28" t="s">
        <v>5202</v>
      </c>
      <c r="B1382" s="28" t="s">
        <v>5162</v>
      </c>
      <c r="C1382" s="23" t="str">
        <f t="shared" si="39"/>
        <v>Aaliyah Dennis</v>
      </c>
      <c r="D1382" s="28" t="s">
        <v>7041</v>
      </c>
      <c r="E1382" s="28" t="s">
        <v>13769</v>
      </c>
      <c r="F1382" s="23">
        <f t="array" ref="F1382">IFERROR(
    INDEX('Hub Interns 226'!A:A, MATCH(C1382, 'Hub Interns 226'!B:B, 0)),"")</f>
        <v>464</v>
      </c>
      <c r="G1382" s="23">
        <f t="array" ref="G1382">IFERROR(
    INDEX('Hub Users 226'!A:A, MATCH(C1382, 'Hub Users 226'!B:B, 0)),"")</f>
        <v>897</v>
      </c>
      <c r="H1382" s="28">
        <v>580.0</v>
      </c>
      <c r="I1382" s="28" t="s">
        <v>260</v>
      </c>
      <c r="J1382" s="28" t="s">
        <v>11895</v>
      </c>
      <c r="K1382" s="28" t="s">
        <v>5177</v>
      </c>
      <c r="L1382" s="28" t="s">
        <v>6647</v>
      </c>
      <c r="M1382" s="56" t="s">
        <v>13770</v>
      </c>
      <c r="N1382" s="59">
        <v>44481.56319444445</v>
      </c>
      <c r="O1382" s="58">
        <v>38473.0</v>
      </c>
      <c r="P1382" s="28">
        <f t="shared" si="40"/>
        <v>21</v>
      </c>
      <c r="Q1382" s="28" t="s">
        <v>240</v>
      </c>
      <c r="R1382" s="28" t="s">
        <v>13771</v>
      </c>
      <c r="S1382" s="28">
        <v>5.0</v>
      </c>
      <c r="T1382" s="28">
        <v>14.0</v>
      </c>
      <c r="U1382" s="28">
        <v>33.0</v>
      </c>
      <c r="V1382" s="28">
        <v>27.0</v>
      </c>
      <c r="W1382" s="28" t="s">
        <v>1173</v>
      </c>
      <c r="X1382" s="28" t="s">
        <v>272</v>
      </c>
      <c r="Y1382" s="28" t="s">
        <v>13772</v>
      </c>
      <c r="Z1382" s="28" t="s">
        <v>5332</v>
      </c>
      <c r="AA1382" s="28" t="s">
        <v>421</v>
      </c>
      <c r="AB1382" s="28">
        <v>31.0</v>
      </c>
      <c r="AC1382" s="28" t="s">
        <v>25</v>
      </c>
      <c r="AD1382" s="23"/>
      <c r="AE1382" s="28" t="s">
        <v>10</v>
      </c>
      <c r="AF1382" s="23" t="str">
        <f>IFERROR(__xludf.DUMMYFUNCTION("TEXTJOIN("", "", TRUE,
  FILTER(Champions!C:C,
    ISNUMBER(SEARCH(C1382, Champions!W:W))
  )
)"),"CHRISTINA BROOMES")</f>
        <v>CHRISTINA BROOMES</v>
      </c>
      <c r="AG1382" s="23"/>
      <c r="AH1382" s="23" t="str">
        <f>IFERROR(__xludf.DUMMYFUNCTION("IF(
ISNUMBER(MATCH(
C1382,
IMPORTRANGE(""https://docs.google.com/spreadsheets/d/1yTh1ELC33JHYOeEdgIiEclxPRyh0zOKtlawDltfUay8"",""'Interns'!A:A""),
0
)),
""Outreach Conducted"",
"""")"),"")</f>
        <v/>
      </c>
      <c r="AI1382" s="23"/>
      <c r="AJ1382" s="23"/>
      <c r="AK1382" s="23" t="str">
        <f>IFERROR(__xludf.DUMMYFUNCTION("XLOOKUP(C1382, 
   IMPORTRANGE(""1RdEdgHYrZ33LJ7RUHj_h-qkAFL92bcVjtIdVa-UlsCw"", ""Interns!D:D""), 
   IMPORTRANGE(""1RdEdgHYrZ33LJ7RUHj_h-qkAFL92bcVjtIdVa-UlsCw"", ""Interns!M:M""), 
   ""Not Found"")"),"")</f>
        <v/>
      </c>
      <c r="AL1382" s="23" t="str">
        <f>IFERROR(__xludf.DUMMYFUNCTION("XLOOKUP(C1382, 
   IMPORTRANGE(""1RdEdgHYrZ33LJ7RUHj_h-qkAFL92bcVjtIdVa-UlsCw"", ""Interns!D:D""), 
   IMPORTRANGE(""1RdEdgHYrZ33LJ7RUHj_h-qkAFL92bcVjtIdVa-UlsCw"", ""Interns!N:N""), 
   ""Not Found"")"),"")</f>
        <v/>
      </c>
      <c r="AM1382" s="23" t="str">
        <f>IFERROR(__xludf.DUMMYFUNCTION("XLOOKUP(C1382, 
   IMPORTRANGE(""1RdEdgHYrZ33LJ7RUHj_h-qkAFL92bcVjtIdVa-UlsCw"", ""Interns!D:D""), 
   IMPORTRANGE(""1RdEdgHYrZ33LJ7RUHj_h-qkAFL92bcVjtIdVa-UlsCw"", ""Interns!O:O""), 
   ""Not Found"")"),"")</f>
        <v/>
      </c>
      <c r="AN1382" s="23"/>
      <c r="AO1382" s="23" t="s">
        <v>13773</v>
      </c>
      <c r="AP1382" s="28" t="s">
        <v>5182</v>
      </c>
      <c r="AQ1382" s="28" t="s">
        <v>13770</v>
      </c>
      <c r="AR1382" s="23" t="s">
        <v>13774</v>
      </c>
      <c r="AS1382" s="23"/>
      <c r="AT1382" s="23"/>
      <c r="AU1382" s="23"/>
      <c r="AV1382" s="23"/>
    </row>
    <row r="1383">
      <c r="A1383" s="28" t="s">
        <v>5161</v>
      </c>
      <c r="B1383" s="28" t="s">
        <v>5162</v>
      </c>
      <c r="C1383" s="23" t="str">
        <f t="shared" si="39"/>
        <v>Owen Supliguicha</v>
      </c>
      <c r="D1383" s="28" t="s">
        <v>13775</v>
      </c>
      <c r="E1383" s="28" t="s">
        <v>13776</v>
      </c>
      <c r="F1383" s="23">
        <f t="array" ref="F1383">IFERROR(
    INDEX('Hub Interns 226'!A:A, MATCH(C1383, 'Hub Interns 226'!B:B, 0)),"")</f>
        <v>973</v>
      </c>
      <c r="G1383" s="23">
        <f t="array" ref="G1383">IFERROR(
    INDEX('Hub Users 226'!A:A, MATCH(C1383, 'Hub Users 226'!B:B, 0)),"")</f>
        <v>1406</v>
      </c>
      <c r="H1383" s="28">
        <v>1011.0</v>
      </c>
      <c r="I1383" s="28" t="s">
        <v>239</v>
      </c>
      <c r="J1383" s="28"/>
      <c r="K1383" s="28"/>
      <c r="L1383" s="28" t="s">
        <v>5165</v>
      </c>
      <c r="M1383" s="56" t="s">
        <v>13777</v>
      </c>
      <c r="N1383" s="57">
        <v>44656.450694444444</v>
      </c>
      <c r="O1383" s="58">
        <v>39931.0</v>
      </c>
      <c r="P1383" s="28">
        <f t="shared" si="40"/>
        <v>17</v>
      </c>
      <c r="Q1383" s="28" t="s">
        <v>240</v>
      </c>
      <c r="R1383" s="28" t="s">
        <v>13778</v>
      </c>
      <c r="S1383" s="28">
        <v>7.0</v>
      </c>
      <c r="T1383" s="28">
        <v>18.0</v>
      </c>
      <c r="U1383" s="28">
        <v>38.0</v>
      </c>
      <c r="V1383" s="28">
        <v>34.0</v>
      </c>
      <c r="W1383" s="28" t="s">
        <v>1173</v>
      </c>
      <c r="X1383" s="28" t="s">
        <v>272</v>
      </c>
      <c r="Y1383" s="28" t="s">
        <v>13779</v>
      </c>
      <c r="Z1383" s="28" t="s">
        <v>7427</v>
      </c>
      <c r="AA1383" s="28" t="s">
        <v>7428</v>
      </c>
      <c r="AB1383" s="28">
        <v>34.0</v>
      </c>
      <c r="AC1383" s="28" t="s">
        <v>24</v>
      </c>
      <c r="AD1383" s="23"/>
      <c r="AE1383" s="28" t="s">
        <v>10</v>
      </c>
      <c r="AF1383" s="23"/>
      <c r="AG1383" s="23"/>
      <c r="AH1383" s="23" t="str">
        <f>IFERROR(__xludf.DUMMYFUNCTION("IF(
ISNUMBER(MATCH(
C1383,
IMPORTRANGE(""https://docs.google.com/spreadsheets/d/1yTh1ELC33JHYOeEdgIiEclxPRyh0zOKtlawDltfUay8"",""'Interns'!A:A""),
0
)),
""Outreach Conducted"",
"""")"),"")</f>
        <v/>
      </c>
      <c r="AI1383" s="23"/>
      <c r="AJ1383" s="23"/>
      <c r="AK1383" s="23" t="str">
        <f>IFERROR(__xludf.DUMMYFUNCTION("XLOOKUP(C1383, 
   IMPORTRANGE(""1RdEdgHYrZ33LJ7RUHj_h-qkAFL92bcVjtIdVa-UlsCw"", ""Interns!D:D""), 
   IMPORTRANGE(""1RdEdgHYrZ33LJ7RUHj_h-qkAFL92bcVjtIdVa-UlsCw"", ""Interns!M:M""), 
   ""Not Found"")"),"Contacted")</f>
        <v>Contacted</v>
      </c>
      <c r="AL1383" s="23" t="str">
        <f>IFERROR(__xludf.DUMMYFUNCTION("XLOOKUP(C1383, 
   IMPORTRANGE(""1RdEdgHYrZ33LJ7RUHj_h-qkAFL92bcVjtIdVa-UlsCw"", ""Interns!D:D""), 
   IMPORTRANGE(""1RdEdgHYrZ33LJ7RUHj_h-qkAFL92bcVjtIdVa-UlsCw"", ""Interns!N:N""), 
   ""Not Found"")"),"#Cheers4Careers")</f>
        <v>#Cheers4Careers</v>
      </c>
      <c r="AM1383" s="23" t="str">
        <f>IFERROR(__xludf.DUMMYFUNCTION("XLOOKUP(C1383, 
   IMPORTRANGE(""1RdEdgHYrZ33LJ7RUHj_h-qkAFL92bcVjtIdVa-UlsCw"", ""Interns!D:D""), 
   IMPORTRANGE(""1RdEdgHYrZ33LJ7RUHj_h-qkAFL92bcVjtIdVa-UlsCw"", ""Interns!O:O""), 
   ""Not Found"")"),"Hetal reached out by email 3/27")</f>
        <v>Hetal reached out by email 3/27</v>
      </c>
      <c r="AN1383" s="23"/>
      <c r="AO1383" s="23" t="s">
        <v>13780</v>
      </c>
      <c r="AP1383" s="28" t="s">
        <v>5182</v>
      </c>
      <c r="AQ1383" s="28"/>
      <c r="AR1383" s="23"/>
      <c r="AS1383" s="23"/>
      <c r="AT1383" s="23"/>
      <c r="AU1383" s="23"/>
      <c r="AV1383" s="23"/>
    </row>
    <row r="1384">
      <c r="A1384" s="28" t="s">
        <v>5202</v>
      </c>
      <c r="B1384" s="28" t="s">
        <v>31</v>
      </c>
      <c r="C1384" s="23" t="str">
        <f t="shared" si="39"/>
        <v>Leandro Chavez</v>
      </c>
      <c r="D1384" s="28" t="s">
        <v>11346</v>
      </c>
      <c r="E1384" s="28" t="s">
        <v>11347</v>
      </c>
      <c r="F1384" s="23">
        <f t="array" ref="F1384">IFERROR(
    INDEX('Hub Interns 226'!A:A, MATCH(C1384, 'Hub Interns 226'!B:B, 0)),"")</f>
        <v>763</v>
      </c>
      <c r="G1384" s="23">
        <f t="array" ref="G1384">IFERROR(
    INDEX('Hub Users 226'!A:A, MATCH(C1384, 'Hub Users 226'!B:B, 0)),"")</f>
        <v>1196</v>
      </c>
      <c r="H1384" s="28">
        <v>1226.0</v>
      </c>
      <c r="I1384" s="28" t="s">
        <v>538</v>
      </c>
      <c r="J1384" s="28"/>
      <c r="K1384" s="28"/>
      <c r="L1384" s="28" t="s">
        <v>5165</v>
      </c>
      <c r="M1384" s="56" t="s">
        <v>11348</v>
      </c>
      <c r="N1384" s="57">
        <v>44838.44027777778</v>
      </c>
      <c r="O1384" s="58">
        <v>38692.0</v>
      </c>
      <c r="P1384" s="28">
        <f t="shared" si="40"/>
        <v>20</v>
      </c>
      <c r="Q1384" s="28" t="s">
        <v>240</v>
      </c>
      <c r="R1384" s="28" t="s">
        <v>11349</v>
      </c>
      <c r="S1384" s="28"/>
      <c r="T1384" s="28"/>
      <c r="U1384" s="28"/>
      <c r="V1384" s="28"/>
      <c r="W1384" s="28" t="s">
        <v>271</v>
      </c>
      <c r="X1384" s="28" t="s">
        <v>272</v>
      </c>
      <c r="Y1384" s="28" t="s">
        <v>11350</v>
      </c>
      <c r="Z1384" s="28" t="s">
        <v>5341</v>
      </c>
      <c r="AA1384" s="28" t="s">
        <v>1085</v>
      </c>
      <c r="AB1384" s="28">
        <v>10.0</v>
      </c>
      <c r="AC1384" s="28" t="s">
        <v>28</v>
      </c>
      <c r="AD1384" s="23"/>
      <c r="AE1384" s="28" t="s">
        <v>15</v>
      </c>
      <c r="AF1384" s="23"/>
      <c r="AG1384" s="23"/>
      <c r="AH1384" s="23" t="str">
        <f>IFERROR(__xludf.DUMMYFUNCTION("IF(
ISNUMBER(MATCH(
C1384,
IMPORTRANGE(""https://docs.google.com/spreadsheets/d/1yTh1ELC33JHYOeEdgIiEclxPRyh0zOKtlawDltfUay8"",""'Interns'!A:A""),
0
)),
""Outreach Conducted"",
"""")"),"")</f>
        <v/>
      </c>
      <c r="AI1384" s="23"/>
      <c r="AJ1384" s="23"/>
      <c r="AK1384" s="23" t="str">
        <f>IFERROR(__xludf.DUMMYFUNCTION("XLOOKUP(C1384, 
   IMPORTRANGE(""1RdEdgHYrZ33LJ7RUHj_h-qkAFL92bcVjtIdVa-UlsCw"", ""Interns!D:D""), 
   IMPORTRANGE(""1RdEdgHYrZ33LJ7RUHj_h-qkAFL92bcVjtIdVa-UlsCw"", ""Interns!M:M""), 
   ""Not Found"")"),"")</f>
        <v/>
      </c>
      <c r="AL1384" s="23" t="str">
        <f>IFERROR(__xludf.DUMMYFUNCTION("XLOOKUP(C1384, 
   IMPORTRANGE(""1RdEdgHYrZ33LJ7RUHj_h-qkAFL92bcVjtIdVa-UlsCw"", ""Interns!D:D""), 
   IMPORTRANGE(""1RdEdgHYrZ33LJ7RUHj_h-qkAFL92bcVjtIdVa-UlsCw"", ""Interns!N:N""), 
   ""Not Found"")"),"")</f>
        <v/>
      </c>
      <c r="AM1384" s="23" t="str">
        <f>IFERROR(__xludf.DUMMYFUNCTION("XLOOKUP(C1384, 
   IMPORTRANGE(""1RdEdgHYrZ33LJ7RUHj_h-qkAFL92bcVjtIdVa-UlsCw"", ""Interns!D:D""), 
   IMPORTRANGE(""1RdEdgHYrZ33LJ7RUHj_h-qkAFL92bcVjtIdVa-UlsCw"", ""Interns!O:O""), 
   ""Not Found"")"),"")</f>
        <v/>
      </c>
      <c r="AN1384" s="23"/>
      <c r="AO1384" s="23" t="s">
        <v>11351</v>
      </c>
      <c r="AP1384" s="28" t="s">
        <v>5182</v>
      </c>
      <c r="AQ1384" s="28" t="s">
        <v>11348</v>
      </c>
      <c r="AR1384" s="23" t="s">
        <v>11352</v>
      </c>
      <c r="AS1384" s="23"/>
      <c r="AT1384" s="23"/>
      <c r="AU1384" s="23"/>
      <c r="AV1384" s="23"/>
    </row>
    <row r="1385">
      <c r="A1385" s="28" t="s">
        <v>5161</v>
      </c>
      <c r="B1385" s="28" t="s">
        <v>5162</v>
      </c>
      <c r="C1385" s="23" t="str">
        <f t="shared" si="39"/>
        <v>Elijah Maduro</v>
      </c>
      <c r="D1385" s="28" t="s">
        <v>13781</v>
      </c>
      <c r="E1385" s="28" t="s">
        <v>13782</v>
      </c>
      <c r="F1385" s="23">
        <f t="array" ref="F1385">IFERROR(
    INDEX('Hub Interns 226'!A:A, MATCH(C1385, 'Hub Interns 226'!B:B, 0)),"")</f>
        <v>1192</v>
      </c>
      <c r="G1385" s="23">
        <f t="array" ref="G1385">IFERROR(
    INDEX('Hub Users 226'!A:A, MATCH(C1385, 'Hub Users 226'!B:B, 0)),"")</f>
        <v>1625</v>
      </c>
      <c r="H1385" s="28">
        <v>1337.0</v>
      </c>
      <c r="I1385" s="28" t="s">
        <v>239</v>
      </c>
      <c r="J1385" s="28"/>
      <c r="K1385" s="28"/>
      <c r="L1385" s="28" t="s">
        <v>5165</v>
      </c>
      <c r="M1385" s="56" t="s">
        <v>13783</v>
      </c>
      <c r="N1385" s="59">
        <v>44858.46875</v>
      </c>
      <c r="O1385" s="58">
        <v>39437.0</v>
      </c>
      <c r="P1385" s="28">
        <f t="shared" si="40"/>
        <v>18</v>
      </c>
      <c r="Q1385" s="28" t="s">
        <v>240</v>
      </c>
      <c r="R1385" s="28" t="s">
        <v>13784</v>
      </c>
      <c r="S1385" s="28">
        <v>5.0</v>
      </c>
      <c r="T1385" s="28">
        <v>10.0</v>
      </c>
      <c r="U1385" s="28">
        <v>32.0</v>
      </c>
      <c r="V1385" s="28">
        <v>28.0</v>
      </c>
      <c r="W1385" s="28" t="s">
        <v>1173</v>
      </c>
      <c r="X1385" s="28" t="s">
        <v>272</v>
      </c>
      <c r="Y1385" s="28" t="s">
        <v>13785</v>
      </c>
      <c r="Z1385" s="28" t="s">
        <v>5332</v>
      </c>
      <c r="AA1385" s="28" t="s">
        <v>421</v>
      </c>
      <c r="AB1385" s="28">
        <v>31.0</v>
      </c>
      <c r="AC1385" s="28" t="s">
        <v>23</v>
      </c>
      <c r="AD1385" s="28" t="s">
        <v>101</v>
      </c>
      <c r="AE1385" s="28" t="s">
        <v>15</v>
      </c>
      <c r="AF1385" s="23"/>
      <c r="AG1385" s="23"/>
      <c r="AH1385" s="23" t="str">
        <f>IFERROR(__xludf.DUMMYFUNCTION("IF(
ISNUMBER(MATCH(
C1385,
IMPORTRANGE(""https://docs.google.com/spreadsheets/d/1yTh1ELC33JHYOeEdgIiEclxPRyh0zOKtlawDltfUay8"",""'Interns'!A:A""),
0
)),
""Outreach Conducted"",
"""")"),"")</f>
        <v/>
      </c>
      <c r="AI1385" s="23"/>
      <c r="AJ1385" s="23"/>
      <c r="AK1385" s="23" t="str">
        <f>IFERROR(__xludf.DUMMYFUNCTION("XLOOKUP(C1385, 
   IMPORTRANGE(""1RdEdgHYrZ33LJ7RUHj_h-qkAFL92bcVjtIdVa-UlsCw"", ""Interns!D:D""), 
   IMPORTRANGE(""1RdEdgHYrZ33LJ7RUHj_h-qkAFL92bcVjtIdVa-UlsCw"", ""Interns!M:M""), 
   ""Not Found"")"),"Contacted")</f>
        <v>Contacted</v>
      </c>
      <c r="AL1385" s="23" t="str">
        <f>IFERROR(__xludf.DUMMYFUNCTION("XLOOKUP(C1385, 
   IMPORTRANGE(""1RdEdgHYrZ33LJ7RUHj_h-qkAFL92bcVjtIdVa-UlsCw"", ""Interns!D:D""), 
   IMPORTRANGE(""1RdEdgHYrZ33LJ7RUHj_h-qkAFL92bcVjtIdVa-UlsCw"", ""Interns!N:N""), 
   ""Not Found"")"),"#Cheers4Careers")</f>
        <v>#Cheers4Careers</v>
      </c>
      <c r="AM1385" s="23" t="str">
        <f>IFERROR(__xludf.DUMMYFUNCTION("XLOOKUP(C1385, 
   IMPORTRANGE(""1RdEdgHYrZ33LJ7RUHj_h-qkAFL92bcVjtIdVa-UlsCw"", ""Interns!D:D""), 
   IMPORTRANGE(""1RdEdgHYrZ33LJ7RUHj_h-qkAFL92bcVjtIdVa-UlsCw"", ""Interns!O:O""), 
   ""Not Found"")"),"Hetal reached out March 27 for March #Cheers4 Careers  and texted")</f>
        <v>Hetal reached out March 27 for March #Cheers4 Careers  and texted</v>
      </c>
      <c r="AN1385" s="23"/>
      <c r="AO1385" s="23" t="s">
        <v>13786</v>
      </c>
      <c r="AP1385" s="28" t="s">
        <v>5182</v>
      </c>
      <c r="AQ1385" s="28"/>
      <c r="AR1385" s="23"/>
      <c r="AS1385" s="23"/>
      <c r="AT1385" s="23"/>
      <c r="AU1385" s="23"/>
      <c r="AV1385" s="23"/>
    </row>
    <row r="1386">
      <c r="A1386" s="28" t="s">
        <v>5161</v>
      </c>
      <c r="B1386" s="28" t="s">
        <v>5162</v>
      </c>
      <c r="C1386" s="23" t="str">
        <f t="shared" si="39"/>
        <v>Shyla Williams</v>
      </c>
      <c r="D1386" s="28" t="s">
        <v>13787</v>
      </c>
      <c r="E1386" s="28" t="s">
        <v>2059</v>
      </c>
      <c r="F1386" s="23">
        <f t="array" ref="F1386">IFERROR(
    INDEX('Hub Interns 226'!A:A, MATCH(C1386, 'Hub Interns 226'!B:B, 0)),"")</f>
        <v>1102</v>
      </c>
      <c r="G1386" s="23">
        <f t="array" ref="G1386">IFERROR(
    INDEX('Hub Users 226'!A:A, MATCH(C1386, 'Hub Users 226'!B:B, 0)),"")</f>
        <v>1535</v>
      </c>
      <c r="H1386" s="28">
        <v>1013.0</v>
      </c>
      <c r="I1386" s="28" t="s">
        <v>107</v>
      </c>
      <c r="J1386" s="28"/>
      <c r="K1386" s="28"/>
      <c r="L1386" s="28" t="s">
        <v>5196</v>
      </c>
      <c r="M1386" s="56" t="s">
        <v>13788</v>
      </c>
      <c r="N1386" s="57">
        <v>44656.45416666667</v>
      </c>
      <c r="O1386" s="58">
        <v>39876.0</v>
      </c>
      <c r="P1386" s="28">
        <f t="shared" si="40"/>
        <v>17</v>
      </c>
      <c r="Q1386" s="28" t="s">
        <v>240</v>
      </c>
      <c r="R1386" s="28" t="s">
        <v>13789</v>
      </c>
      <c r="S1386" s="28">
        <v>7.0</v>
      </c>
      <c r="T1386" s="28">
        <v>18.0</v>
      </c>
      <c r="U1386" s="28">
        <v>38.0</v>
      </c>
      <c r="V1386" s="28">
        <v>34.0</v>
      </c>
      <c r="W1386" s="28" t="s">
        <v>1173</v>
      </c>
      <c r="X1386" s="28" t="s">
        <v>272</v>
      </c>
      <c r="Y1386" s="28" t="s">
        <v>13790</v>
      </c>
      <c r="Z1386" s="28" t="s">
        <v>7427</v>
      </c>
      <c r="AA1386" s="28" t="s">
        <v>7428</v>
      </c>
      <c r="AB1386" s="28">
        <v>34.0</v>
      </c>
      <c r="AC1386" s="28" t="s">
        <v>24</v>
      </c>
      <c r="AD1386" s="23"/>
      <c r="AE1386" s="28" t="s">
        <v>10</v>
      </c>
      <c r="AF1386" s="23"/>
      <c r="AG1386" s="23"/>
      <c r="AH1386" s="23" t="str">
        <f>IFERROR(__xludf.DUMMYFUNCTION("IF(
ISNUMBER(MATCH(
C1386,
IMPORTRANGE(""https://docs.google.com/spreadsheets/d/1yTh1ELC33JHYOeEdgIiEclxPRyh0zOKtlawDltfUay8"",""'Interns'!A:A""),
0
)),
""Outreach Conducted"",
"""")"),"")</f>
        <v/>
      </c>
      <c r="AI1386" s="23"/>
      <c r="AJ1386" s="23"/>
      <c r="AK1386" s="23" t="str">
        <f>IFERROR(__xludf.DUMMYFUNCTION("XLOOKUP(C1386, 
   IMPORTRANGE(""1RdEdgHYrZ33LJ7RUHj_h-qkAFL92bcVjtIdVa-UlsCw"", ""Interns!D:D""), 
   IMPORTRANGE(""1RdEdgHYrZ33LJ7RUHj_h-qkAFL92bcVjtIdVa-UlsCw"", ""Interns!M:M""), 
   ""Not Found"")"),"Contacted")</f>
        <v>Contacted</v>
      </c>
      <c r="AL1386" s="23" t="str">
        <f>IFERROR(__xludf.DUMMYFUNCTION("XLOOKUP(C1386, 
   IMPORTRANGE(""1RdEdgHYrZ33LJ7RUHj_h-qkAFL92bcVjtIdVa-UlsCw"", ""Interns!D:D""), 
   IMPORTRANGE(""1RdEdgHYrZ33LJ7RUHj_h-qkAFL92bcVjtIdVa-UlsCw"", ""Interns!N:N""), 
   ""Not Found"")"),"#Cheers4Careers")</f>
        <v>#Cheers4Careers</v>
      </c>
      <c r="AM1386" s="23" t="str">
        <f>IFERROR(__xludf.DUMMYFUNCTION("XLOOKUP(C1386, 
   IMPORTRANGE(""1RdEdgHYrZ33LJ7RUHj_h-qkAFL92bcVjtIdVa-UlsCw"", ""Interns!D:D""), 
   IMPORTRANGE(""1RdEdgHYrZ33LJ7RUHj_h-qkAFL92bcVjtIdVa-UlsCw"", ""Interns!O:O""), 
   ""Not Found"")"),"Hetal reached out by email 3/27")</f>
        <v>Hetal reached out by email 3/27</v>
      </c>
      <c r="AN1386" s="23"/>
      <c r="AO1386" s="23" t="s">
        <v>13791</v>
      </c>
      <c r="AP1386" s="28" t="s">
        <v>5182</v>
      </c>
      <c r="AQ1386" s="28"/>
      <c r="AR1386" s="23"/>
      <c r="AS1386" s="23"/>
      <c r="AT1386" s="23"/>
      <c r="AU1386" s="23"/>
      <c r="AV1386" s="23"/>
    </row>
    <row r="1387">
      <c r="A1387" s="28" t="s">
        <v>5161</v>
      </c>
      <c r="B1387" s="28" t="s">
        <v>5162</v>
      </c>
      <c r="C1387" s="23" t="str">
        <f t="shared" si="39"/>
        <v>Sanjay Abraham</v>
      </c>
      <c r="D1387" s="28" t="s">
        <v>13792</v>
      </c>
      <c r="E1387" s="28" t="s">
        <v>13793</v>
      </c>
      <c r="F1387" s="23">
        <f t="array" ref="F1387">IFERROR(
    INDEX('Hub Interns 226'!A:A, MATCH(C1387, 'Hub Interns 226'!B:B, 0)),"")</f>
        <v>1072</v>
      </c>
      <c r="G1387" s="23">
        <f t="array" ref="G1387">IFERROR(
    INDEX('Hub Users 226'!A:A, MATCH(C1387, 'Hub Users 226'!B:B, 0)),"")</f>
        <v>1505</v>
      </c>
      <c r="H1387" s="28">
        <v>1004.0</v>
      </c>
      <c r="I1387" s="28" t="s">
        <v>239</v>
      </c>
      <c r="J1387" s="28"/>
      <c r="K1387" s="28"/>
      <c r="L1387" s="28" t="s">
        <v>5165</v>
      </c>
      <c r="M1387" s="56" t="s">
        <v>13794</v>
      </c>
      <c r="N1387" s="57">
        <v>44651.251388888886</v>
      </c>
      <c r="O1387" s="58">
        <v>39799.0</v>
      </c>
      <c r="P1387" s="28">
        <f t="shared" si="40"/>
        <v>17</v>
      </c>
      <c r="Q1387" s="28" t="s">
        <v>240</v>
      </c>
      <c r="R1387" s="28" t="s">
        <v>13795</v>
      </c>
      <c r="S1387" s="28">
        <v>7.0</v>
      </c>
      <c r="T1387" s="28">
        <v>18.0</v>
      </c>
      <c r="U1387" s="28">
        <v>37.0</v>
      </c>
      <c r="V1387" s="28">
        <v>34.0</v>
      </c>
      <c r="W1387" s="28" t="s">
        <v>1173</v>
      </c>
      <c r="X1387" s="28" t="s">
        <v>272</v>
      </c>
      <c r="Y1387" s="28" t="s">
        <v>13796</v>
      </c>
      <c r="Z1387" s="28" t="s">
        <v>9652</v>
      </c>
      <c r="AA1387" s="28" t="s">
        <v>9653</v>
      </c>
      <c r="AB1387" s="28">
        <v>30.0</v>
      </c>
      <c r="AC1387" s="28" t="s">
        <v>24</v>
      </c>
      <c r="AD1387" s="23"/>
      <c r="AE1387" s="28" t="s">
        <v>10</v>
      </c>
      <c r="AF1387" s="23"/>
      <c r="AG1387" s="23"/>
      <c r="AH1387" s="23" t="str">
        <f>IFERROR(__xludf.DUMMYFUNCTION("IF(
ISNUMBER(MATCH(
C1387,
IMPORTRANGE(""https://docs.google.com/spreadsheets/d/1yTh1ELC33JHYOeEdgIiEclxPRyh0zOKtlawDltfUay8"",""'Interns'!A:A""),
0
)),
""Outreach Conducted"",
"""")"),"")</f>
        <v/>
      </c>
      <c r="AI1387" s="23"/>
      <c r="AJ1387" s="23"/>
      <c r="AK1387" s="23" t="str">
        <f>IFERROR(__xludf.DUMMYFUNCTION("XLOOKUP(C1387, 
   IMPORTRANGE(""1RdEdgHYrZ33LJ7RUHj_h-qkAFL92bcVjtIdVa-UlsCw"", ""Interns!D:D""), 
   IMPORTRANGE(""1RdEdgHYrZ33LJ7RUHj_h-qkAFL92bcVjtIdVa-UlsCw"", ""Interns!M:M""), 
   ""Not Found"")"),"Contacted")</f>
        <v>Contacted</v>
      </c>
      <c r="AL1387" s="23" t="str">
        <f>IFERROR(__xludf.DUMMYFUNCTION("XLOOKUP(C1387, 
   IMPORTRANGE(""1RdEdgHYrZ33LJ7RUHj_h-qkAFL92bcVjtIdVa-UlsCw"", ""Interns!D:D""), 
   IMPORTRANGE(""1RdEdgHYrZ33LJ7RUHj_h-qkAFL92bcVjtIdVa-UlsCw"", ""Interns!N:N""), 
   ""Not Found"")"),"#Cheers4Careers")</f>
        <v>#Cheers4Careers</v>
      </c>
      <c r="AM1387" s="23" t="str">
        <f>IFERROR(__xludf.DUMMYFUNCTION("XLOOKUP(C1387, 
   IMPORTRANGE(""1RdEdgHYrZ33LJ7RUHj_h-qkAFL92bcVjtIdVa-UlsCw"", ""Interns!D:D""), 
   IMPORTRANGE(""1RdEdgHYrZ33LJ7RUHj_h-qkAFL92bcVjtIdVa-UlsCw"", ""Interns!O:O""), 
   ""Not Found"")"),"MENNA: Reached out by email 3/26 and by text 3/27 for Cheers 4 Careers Reached out again 3/28 but no response …. REACHED OUT BY TEST FOR APRIL 18")</f>
        <v>MENNA: Reached out by email 3/26 and by text 3/27 for Cheers 4 Careers Reached out again 3/28 but no response …. REACHED OUT BY TEST FOR APRIL 18</v>
      </c>
      <c r="AN1387" s="23"/>
      <c r="AO1387" s="23" t="s">
        <v>13797</v>
      </c>
      <c r="AP1387" s="28" t="s">
        <v>5182</v>
      </c>
      <c r="AQ1387" s="28"/>
      <c r="AR1387" s="23"/>
      <c r="AS1387" s="23"/>
      <c r="AT1387" s="23"/>
      <c r="AU1387" s="23"/>
      <c r="AV1387" s="23"/>
    </row>
    <row r="1388">
      <c r="A1388" s="28" t="s">
        <v>5161</v>
      </c>
      <c r="B1388" s="28" t="s">
        <v>5162</v>
      </c>
      <c r="C1388" s="23" t="str">
        <f t="shared" si="39"/>
        <v>Leah Bowers</v>
      </c>
      <c r="D1388" s="28" t="s">
        <v>13798</v>
      </c>
      <c r="E1388" s="28" t="s">
        <v>13799</v>
      </c>
      <c r="F1388" s="23">
        <f t="array" ref="F1388">IFERROR(
    INDEX('Hub Interns 226'!A:A, MATCH(C1388, 'Hub Interns 226'!B:B, 0)),"")</f>
        <v>768</v>
      </c>
      <c r="G1388" s="23">
        <f t="array" ref="G1388">IFERROR(
    INDEX('Hub Users 226'!A:A, MATCH(C1388, 'Hub Users 226'!B:B, 0)),"")</f>
        <v>1201</v>
      </c>
      <c r="H1388" s="28">
        <v>816.0</v>
      </c>
      <c r="I1388" s="28" t="s">
        <v>407</v>
      </c>
      <c r="J1388" s="28"/>
      <c r="K1388" s="28"/>
      <c r="L1388" s="28" t="s">
        <v>5196</v>
      </c>
      <c r="M1388" s="56" t="s">
        <v>13800</v>
      </c>
      <c r="N1388" s="57">
        <v>44572.39027777778</v>
      </c>
      <c r="O1388" s="58">
        <v>38578.0</v>
      </c>
      <c r="P1388" s="28">
        <f t="shared" si="40"/>
        <v>20</v>
      </c>
      <c r="Q1388" s="28" t="s">
        <v>240</v>
      </c>
      <c r="R1388" s="28" t="s">
        <v>13801</v>
      </c>
      <c r="S1388" s="28">
        <v>5.0</v>
      </c>
      <c r="T1388" s="28">
        <v>10.0</v>
      </c>
      <c r="U1388" s="28">
        <v>32.0</v>
      </c>
      <c r="V1388" s="28">
        <v>28.0</v>
      </c>
      <c r="W1388" s="28" t="s">
        <v>1173</v>
      </c>
      <c r="X1388" s="28" t="s">
        <v>272</v>
      </c>
      <c r="Y1388" s="28" t="s">
        <v>13802</v>
      </c>
      <c r="Z1388" s="28" t="s">
        <v>5332</v>
      </c>
      <c r="AA1388" s="28" t="s">
        <v>421</v>
      </c>
      <c r="AB1388" s="28">
        <v>31.0</v>
      </c>
      <c r="AC1388" s="28" t="s">
        <v>24</v>
      </c>
      <c r="AD1388" s="23"/>
      <c r="AE1388" s="28" t="s">
        <v>10</v>
      </c>
      <c r="AF1388" s="23"/>
      <c r="AG1388" s="23"/>
      <c r="AH1388" s="23" t="str">
        <f>IFERROR(__xludf.DUMMYFUNCTION("IF(
ISNUMBER(MATCH(
C1388,
IMPORTRANGE(""https://docs.google.com/spreadsheets/d/1yTh1ELC33JHYOeEdgIiEclxPRyh0zOKtlawDltfUay8"",""'Interns'!A:A""),
0
)),
""Outreach Conducted"",
"""")"),"")</f>
        <v/>
      </c>
      <c r="AI1388" s="23"/>
      <c r="AJ1388" s="23"/>
      <c r="AK1388" s="23" t="str">
        <f>IFERROR(__xludf.DUMMYFUNCTION("XLOOKUP(C1388, 
   IMPORTRANGE(""1RdEdgHYrZ33LJ7RUHj_h-qkAFL92bcVjtIdVa-UlsCw"", ""Interns!D:D""), 
   IMPORTRANGE(""1RdEdgHYrZ33LJ7RUHj_h-qkAFL92bcVjtIdVa-UlsCw"", ""Interns!M:M""), 
   ""Not Found"")"),"Contacted")</f>
        <v>Contacted</v>
      </c>
      <c r="AL1388" s="23" t="str">
        <f>IFERROR(__xludf.DUMMYFUNCTION("XLOOKUP(C1388, 
   IMPORTRANGE(""1RdEdgHYrZ33LJ7RUHj_h-qkAFL92bcVjtIdVa-UlsCw"", ""Interns!D:D""), 
   IMPORTRANGE(""1RdEdgHYrZ33LJ7RUHj_h-qkAFL92bcVjtIdVa-UlsCw"", ""Interns!N:N""), 
   ""Not Found"")"),"#Cheers4Careers")</f>
        <v>#Cheers4Careers</v>
      </c>
      <c r="AM1388" s="23" t="str">
        <f>IFERROR(__xludf.DUMMYFUNCTION("XLOOKUP(C1388, 
   IMPORTRANGE(""1RdEdgHYrZ33LJ7RUHj_h-qkAFL92bcVjtIdVa-UlsCw"", ""Interns!D:D""), 
   IMPORTRANGE(""1RdEdgHYrZ33LJ7RUHj_h-qkAFL92bcVjtIdVa-UlsCw"", ""Interns!O:O""), 
   ""Not Found"")"),"Hetal reached out March 27 for March #Cheers4 Careers and texted and whatsapp on 3/28")</f>
        <v>Hetal reached out March 27 for March #Cheers4 Careers and texted and whatsapp on 3/28</v>
      </c>
      <c r="AN1388" s="23"/>
      <c r="AO1388" s="23" t="s">
        <v>13803</v>
      </c>
      <c r="AP1388" s="28" t="s">
        <v>5182</v>
      </c>
      <c r="AQ1388" s="28"/>
      <c r="AR1388" s="23"/>
      <c r="AS1388" s="28" t="s">
        <v>10828</v>
      </c>
      <c r="AT1388" s="23"/>
      <c r="AU1388" s="23"/>
      <c r="AV1388" s="23"/>
    </row>
    <row r="1389">
      <c r="A1389" s="28" t="s">
        <v>5161</v>
      </c>
      <c r="B1389" s="28" t="s">
        <v>31</v>
      </c>
      <c r="C1389" s="23" t="str">
        <f t="shared" si="39"/>
        <v>Maycor Terrero</v>
      </c>
      <c r="D1389" s="28" t="s">
        <v>7826</v>
      </c>
      <c r="E1389" s="28" t="s">
        <v>7827</v>
      </c>
      <c r="F1389" s="23">
        <f t="array" ref="F1389">IFERROR(
    INDEX('Hub Interns 226'!A:A, MATCH(C1389, 'Hub Interns 226'!B:B, 0)),"")</f>
        <v>860</v>
      </c>
      <c r="G1389" s="23">
        <f t="array" ref="G1389">IFERROR(
    INDEX('Hub Users 226'!A:A, MATCH(C1389, 'Hub Users 226'!B:B, 0)),"")</f>
        <v>1293</v>
      </c>
      <c r="H1389" s="28">
        <v>1606.0</v>
      </c>
      <c r="I1389" s="28"/>
      <c r="J1389" s="28"/>
      <c r="K1389" s="28"/>
      <c r="L1389" s="28" t="s">
        <v>5165</v>
      </c>
      <c r="M1389" s="56" t="s">
        <v>7828</v>
      </c>
      <c r="N1389" s="57">
        <v>45043.44583333333</v>
      </c>
      <c r="O1389" s="58">
        <v>38962.0</v>
      </c>
      <c r="P1389" s="28">
        <f t="shared" si="40"/>
        <v>19</v>
      </c>
      <c r="Q1389" s="28" t="s">
        <v>240</v>
      </c>
      <c r="R1389" s="28" t="s">
        <v>7829</v>
      </c>
      <c r="S1389" s="28"/>
      <c r="T1389" s="28"/>
      <c r="U1389" s="28"/>
      <c r="V1389" s="28"/>
      <c r="W1389" s="23"/>
      <c r="X1389" s="23"/>
      <c r="Y1389" s="28" t="s">
        <v>7830</v>
      </c>
      <c r="Z1389" s="28" t="s">
        <v>5341</v>
      </c>
      <c r="AA1389" s="28" t="s">
        <v>1085</v>
      </c>
      <c r="AB1389" s="28">
        <v>10.0</v>
      </c>
      <c r="AC1389" s="28" t="s">
        <v>28</v>
      </c>
      <c r="AD1389" s="23"/>
      <c r="AE1389" s="28" t="s">
        <v>15</v>
      </c>
      <c r="AF1389" s="23"/>
      <c r="AG1389" s="23"/>
      <c r="AH1389" s="23" t="str">
        <f>IFERROR(__xludf.DUMMYFUNCTION("IF(
ISNUMBER(MATCH(
C1389,
IMPORTRANGE(""https://docs.google.com/spreadsheets/d/1yTh1ELC33JHYOeEdgIiEclxPRyh0zOKtlawDltfUay8"",""'Interns'!A:A""),
0
)),
""Outreach Conducted"",
"""")"),"")</f>
        <v/>
      </c>
      <c r="AI1389" s="23"/>
      <c r="AJ1389" s="23"/>
      <c r="AK1389" s="23" t="str">
        <f>IFERROR(__xludf.DUMMYFUNCTION("XLOOKUP(C1389, 
   IMPORTRANGE(""1RdEdgHYrZ33LJ7RUHj_h-qkAFL92bcVjtIdVa-UlsCw"", ""Interns!D:D""), 
   IMPORTRANGE(""1RdEdgHYrZ33LJ7RUHj_h-qkAFL92bcVjtIdVa-UlsCw"", ""Interns!M:M""), 
   ""Not Found"")"),"")</f>
        <v/>
      </c>
      <c r="AL1389" s="23" t="str">
        <f>IFERROR(__xludf.DUMMYFUNCTION("XLOOKUP(C1389, 
   IMPORTRANGE(""1RdEdgHYrZ33LJ7RUHj_h-qkAFL92bcVjtIdVa-UlsCw"", ""Interns!D:D""), 
   IMPORTRANGE(""1RdEdgHYrZ33LJ7RUHj_h-qkAFL92bcVjtIdVa-UlsCw"", ""Interns!N:N""), 
   ""Not Found"")"),"")</f>
        <v/>
      </c>
      <c r="AM1389" s="23" t="str">
        <f>IFERROR(__xludf.DUMMYFUNCTION("XLOOKUP(C1389, 
   IMPORTRANGE(""1RdEdgHYrZ33LJ7RUHj_h-qkAFL92bcVjtIdVa-UlsCw"", ""Interns!D:D""), 
   IMPORTRANGE(""1RdEdgHYrZ33LJ7RUHj_h-qkAFL92bcVjtIdVa-UlsCw"", ""Interns!O:O""), 
   ""Not Found"")"),"")</f>
        <v/>
      </c>
      <c r="AN1389" s="23"/>
      <c r="AO1389" s="23" t="s">
        <v>7831</v>
      </c>
      <c r="AP1389" s="28" t="s">
        <v>5191</v>
      </c>
      <c r="AQ1389" s="28"/>
      <c r="AR1389" s="23"/>
      <c r="AS1389" s="23"/>
      <c r="AT1389" s="23"/>
      <c r="AU1389" s="23"/>
      <c r="AV1389" s="23"/>
    </row>
    <row r="1390">
      <c r="A1390" s="28" t="s">
        <v>5202</v>
      </c>
      <c r="B1390" s="28" t="s">
        <v>5162</v>
      </c>
      <c r="C1390" s="23" t="str">
        <f t="shared" si="39"/>
        <v>Serma Basha</v>
      </c>
      <c r="D1390" s="28" t="s">
        <v>13804</v>
      </c>
      <c r="E1390" s="28" t="s">
        <v>13805</v>
      </c>
      <c r="F1390" s="23" t="str">
        <f t="array" ref="F1390">IFERROR(
    INDEX('Hub Interns 226'!A:A, MATCH(C1390, 'Hub Interns 226'!B:B, 0)),"")</f>
        <v/>
      </c>
      <c r="G1390" s="23" t="str">
        <f t="array" ref="G1390">IFERROR(
    INDEX('Hub Users 226'!A:A, MATCH(C1390, 'Hub Users 226'!B:B, 0)),"")</f>
        <v/>
      </c>
      <c r="H1390" s="28">
        <v>67.0</v>
      </c>
      <c r="I1390" s="28" t="s">
        <v>107</v>
      </c>
      <c r="J1390" s="28" t="s">
        <v>13806</v>
      </c>
      <c r="K1390" s="28" t="s">
        <v>5186</v>
      </c>
      <c r="L1390" s="28" t="s">
        <v>5196</v>
      </c>
      <c r="M1390" s="28"/>
      <c r="N1390" s="57">
        <v>43741.63125</v>
      </c>
      <c r="O1390" s="58"/>
      <c r="P1390" s="28"/>
      <c r="Q1390" s="28" t="s">
        <v>240</v>
      </c>
      <c r="R1390" s="23"/>
      <c r="S1390" s="28"/>
      <c r="T1390" s="28"/>
      <c r="U1390" s="28"/>
      <c r="V1390" s="28"/>
      <c r="W1390" s="28" t="s">
        <v>380</v>
      </c>
      <c r="X1390" s="28" t="s">
        <v>381</v>
      </c>
      <c r="Y1390" s="28" t="s">
        <v>13807</v>
      </c>
      <c r="Z1390" s="28" t="s">
        <v>5272</v>
      </c>
      <c r="AA1390" s="28" t="s">
        <v>629</v>
      </c>
      <c r="AB1390" s="28" t="s">
        <v>5221</v>
      </c>
      <c r="AC1390" s="28" t="s">
        <v>25</v>
      </c>
      <c r="AD1390" s="23"/>
      <c r="AE1390" s="28" t="s">
        <v>4</v>
      </c>
      <c r="AF1390" s="23" t="str">
        <f>IFERROR(__xludf.DUMMYFUNCTION("TEXTJOIN("", "", TRUE,
  FILTER(Champions!C:C,
    ISNUMBER(SEARCH(C1390, Champions!W:W))
  )
)"),"#N/A")</f>
        <v>#N/A</v>
      </c>
      <c r="AG1390" s="23"/>
      <c r="AH1390" s="23" t="str">
        <f>IFERROR(__xludf.DUMMYFUNCTION("IF(
ISNUMBER(MATCH(
C1390,
IMPORTRANGE(""https://docs.google.com/spreadsheets/d/1yTh1ELC33JHYOeEdgIiEclxPRyh0zOKtlawDltfUay8"",""'Interns'!A:A""),
0
)),
""Outreach Conducted"",
"""")"),"")</f>
        <v/>
      </c>
      <c r="AI1390" s="23"/>
      <c r="AJ1390" s="23"/>
      <c r="AK1390" s="23" t="str">
        <f>IFERROR(__xludf.DUMMYFUNCTION("XLOOKUP(C1390, 
   IMPORTRANGE(""1RdEdgHYrZ33LJ7RUHj_h-qkAFL92bcVjtIdVa-UlsCw"", ""Interns!D:D""), 
   IMPORTRANGE(""1RdEdgHYrZ33LJ7RUHj_h-qkAFL92bcVjtIdVa-UlsCw"", ""Interns!M:M""), 
   ""Not Found"")"),"")</f>
        <v/>
      </c>
      <c r="AL1390" s="23" t="str">
        <f>IFERROR(__xludf.DUMMYFUNCTION("XLOOKUP(C1390, 
   IMPORTRANGE(""1RdEdgHYrZ33LJ7RUHj_h-qkAFL92bcVjtIdVa-UlsCw"", ""Interns!D:D""), 
   IMPORTRANGE(""1RdEdgHYrZ33LJ7RUHj_h-qkAFL92bcVjtIdVa-UlsCw"", ""Interns!N:N""), 
   ""Not Found"")"),"")</f>
        <v/>
      </c>
      <c r="AM1390" s="23" t="str">
        <f>IFERROR(__xludf.DUMMYFUNCTION("XLOOKUP(C1390, 
   IMPORTRANGE(""1RdEdgHYrZ33LJ7RUHj_h-qkAFL92bcVjtIdVa-UlsCw"", ""Interns!D:D""), 
   IMPORTRANGE(""1RdEdgHYrZ33LJ7RUHj_h-qkAFL92bcVjtIdVa-UlsCw"", ""Interns!O:O""), 
   ""Not Found"")"),"")</f>
        <v/>
      </c>
      <c r="AN1390" s="23"/>
      <c r="AO1390" s="23" t="s">
        <v>13808</v>
      </c>
      <c r="AP1390" s="28" t="s">
        <v>5191</v>
      </c>
      <c r="AQ1390" s="28" t="s">
        <v>13808</v>
      </c>
      <c r="AR1390" s="23" t="s">
        <v>13809</v>
      </c>
      <c r="AS1390" s="23"/>
      <c r="AT1390" s="23"/>
      <c r="AU1390" s="23"/>
      <c r="AV1390" s="23"/>
    </row>
    <row r="1391">
      <c r="A1391" s="28" t="s">
        <v>5161</v>
      </c>
      <c r="B1391" s="28" t="s">
        <v>5162</v>
      </c>
      <c r="C1391" s="23" t="str">
        <f t="shared" si="39"/>
        <v>Fatima Luna</v>
      </c>
      <c r="D1391" s="28" t="s">
        <v>3045</v>
      </c>
      <c r="E1391" s="28" t="s">
        <v>3924</v>
      </c>
      <c r="F1391" s="23">
        <f t="array" ref="F1391">IFERROR(
    INDEX('Hub Interns 226'!A:A, MATCH(C1391, 'Hub Interns 226'!B:B, 0)),"")</f>
        <v>456</v>
      </c>
      <c r="G1391" s="23">
        <f t="array" ref="G1391">IFERROR(
    INDEX('Hub Users 226'!A:A, MATCH(C1391, 'Hub Users 226'!B:B, 0)),"")</f>
        <v>889</v>
      </c>
      <c r="H1391" s="28">
        <v>982.0</v>
      </c>
      <c r="I1391" s="28" t="s">
        <v>107</v>
      </c>
      <c r="J1391" s="28"/>
      <c r="K1391" s="28"/>
      <c r="L1391" s="28" t="s">
        <v>5196</v>
      </c>
      <c r="M1391" s="56" t="s">
        <v>13810</v>
      </c>
      <c r="N1391" s="57">
        <v>44643.55138888889</v>
      </c>
      <c r="O1391" s="58">
        <v>39914.0</v>
      </c>
      <c r="P1391" s="28">
        <f t="shared" ref="P1391:P1673" si="41">DATEDIF(O1391, TODAY(), "Y")</f>
        <v>17</v>
      </c>
      <c r="Q1391" s="28" t="s">
        <v>240</v>
      </c>
      <c r="R1391" s="28" t="s">
        <v>13811</v>
      </c>
      <c r="S1391" s="28">
        <v>7.0</v>
      </c>
      <c r="T1391" s="28">
        <v>18.0</v>
      </c>
      <c r="U1391" s="28">
        <v>38.0</v>
      </c>
      <c r="V1391" s="28">
        <v>34.0</v>
      </c>
      <c r="W1391" s="28" t="s">
        <v>1173</v>
      </c>
      <c r="X1391" s="28" t="s">
        <v>272</v>
      </c>
      <c r="Y1391" s="28" t="s">
        <v>13812</v>
      </c>
      <c r="Z1391" s="28" t="s">
        <v>7427</v>
      </c>
      <c r="AA1391" s="28" t="s">
        <v>7428</v>
      </c>
      <c r="AB1391" s="28">
        <v>34.0</v>
      </c>
      <c r="AC1391" s="28" t="s">
        <v>24</v>
      </c>
      <c r="AD1391" s="23"/>
      <c r="AE1391" s="28" t="s">
        <v>10</v>
      </c>
      <c r="AF1391" s="23"/>
      <c r="AG1391" s="23"/>
      <c r="AH1391" s="23" t="str">
        <f>IFERROR(__xludf.DUMMYFUNCTION("IF(
ISNUMBER(MATCH(
C1391,
IMPORTRANGE(""https://docs.google.com/spreadsheets/d/1yTh1ELC33JHYOeEdgIiEclxPRyh0zOKtlawDltfUay8"",""'Interns'!A:A""),
0
)),
""Outreach Conducted"",
"""")"),"")</f>
        <v/>
      </c>
      <c r="AI1391" s="23"/>
      <c r="AJ1391" s="23"/>
      <c r="AK1391" s="23" t="str">
        <f>IFERROR(__xludf.DUMMYFUNCTION("XLOOKUP(C1391, 
   IMPORTRANGE(""1RdEdgHYrZ33LJ7RUHj_h-qkAFL92bcVjtIdVa-UlsCw"", ""Interns!D:D""), 
   IMPORTRANGE(""1RdEdgHYrZ33LJ7RUHj_h-qkAFL92bcVjtIdVa-UlsCw"", ""Interns!M:M""), 
   ""Not Found"")"),"Contacted")</f>
        <v>Contacted</v>
      </c>
      <c r="AL1391" s="23" t="str">
        <f>IFERROR(__xludf.DUMMYFUNCTION("XLOOKUP(C1391, 
   IMPORTRANGE(""1RdEdgHYrZ33LJ7RUHj_h-qkAFL92bcVjtIdVa-UlsCw"", ""Interns!D:D""), 
   IMPORTRANGE(""1RdEdgHYrZ33LJ7RUHj_h-qkAFL92bcVjtIdVa-UlsCw"", ""Interns!N:N""), 
   ""Not Found"")"),"#Cheers4Careers")</f>
        <v>#Cheers4Careers</v>
      </c>
      <c r="AM1391" s="23" t="str">
        <f>IFERROR(__xludf.DUMMYFUNCTION("XLOOKUP(C1391, 
   IMPORTRANGE(""1RdEdgHYrZ33LJ7RUHj_h-qkAFL92bcVjtIdVa-UlsCw"", ""Interns!D:D""), 
   IMPORTRANGE(""1RdEdgHYrZ33LJ7RUHj_h-qkAFL92bcVjtIdVa-UlsCw"", ""Interns!O:O""), 
   ""Not Found"")"),"Hetal reached out by email 3/27")</f>
        <v>Hetal reached out by email 3/27</v>
      </c>
      <c r="AN1391" s="23"/>
      <c r="AO1391" s="23" t="s">
        <v>13813</v>
      </c>
      <c r="AP1391" s="28" t="s">
        <v>5182</v>
      </c>
      <c r="AQ1391" s="28"/>
      <c r="AR1391" s="23"/>
      <c r="AS1391" s="23"/>
      <c r="AT1391" s="23"/>
      <c r="AU1391" s="23"/>
      <c r="AV1391" s="23"/>
    </row>
    <row r="1392">
      <c r="A1392" s="28" t="s">
        <v>5161</v>
      </c>
      <c r="B1392" s="28" t="s">
        <v>5162</v>
      </c>
      <c r="C1392" s="23" t="str">
        <f t="shared" si="39"/>
        <v>Yeodan Fernandez</v>
      </c>
      <c r="D1392" s="28" t="s">
        <v>13814</v>
      </c>
      <c r="E1392" s="28" t="s">
        <v>2413</v>
      </c>
      <c r="F1392" s="23">
        <f t="array" ref="F1392">IFERROR(
    INDEX('Hub Interns 226'!A:A, MATCH(C1392, 'Hub Interns 226'!B:B, 0)),"")</f>
        <v>1228</v>
      </c>
      <c r="G1392" s="23">
        <f t="array" ref="G1392">IFERROR(
    INDEX('Hub Users 226'!A:A, MATCH(C1392, 'Hub Users 226'!B:B, 0)),"")</f>
        <v>1661</v>
      </c>
      <c r="H1392" s="28">
        <v>410.0</v>
      </c>
      <c r="I1392" s="28" t="s">
        <v>239</v>
      </c>
      <c r="J1392" s="28"/>
      <c r="K1392" s="28"/>
      <c r="L1392" s="28" t="s">
        <v>5165</v>
      </c>
      <c r="M1392" s="56" t="s">
        <v>13815</v>
      </c>
      <c r="N1392" s="57">
        <v>44302.433333333334</v>
      </c>
      <c r="O1392" s="58">
        <v>37761.0</v>
      </c>
      <c r="P1392" s="28">
        <f t="shared" si="41"/>
        <v>22</v>
      </c>
      <c r="Q1392" s="28" t="s">
        <v>240</v>
      </c>
      <c r="R1392" s="28" t="s">
        <v>13816</v>
      </c>
      <c r="S1392" s="28">
        <v>15.0</v>
      </c>
      <c r="T1392" s="28">
        <v>32.0</v>
      </c>
      <c r="U1392" s="28">
        <v>86.0</v>
      </c>
      <c r="V1392" s="28">
        <v>14.0</v>
      </c>
      <c r="W1392" s="28" t="s">
        <v>859</v>
      </c>
      <c r="X1392" s="28" t="s">
        <v>272</v>
      </c>
      <c r="Y1392" s="28" t="s">
        <v>13817</v>
      </c>
      <c r="Z1392" s="28" t="s">
        <v>5558</v>
      </c>
      <c r="AA1392" s="28" t="s">
        <v>5559</v>
      </c>
      <c r="AB1392" s="28">
        <v>10.0</v>
      </c>
      <c r="AC1392" s="28" t="s">
        <v>24</v>
      </c>
      <c r="AD1392" s="23"/>
      <c r="AE1392" s="28" t="s">
        <v>8</v>
      </c>
      <c r="AF1392" s="23"/>
      <c r="AG1392" s="23"/>
      <c r="AH1392" s="23" t="str">
        <f>IFERROR(__xludf.DUMMYFUNCTION("IF(
ISNUMBER(MATCH(
C1392,
IMPORTRANGE(""https://docs.google.com/spreadsheets/d/1yTh1ELC33JHYOeEdgIiEclxPRyh0zOKtlawDltfUay8"",""'Interns'!A:A""),
0
)),
""Outreach Conducted"",
"""")"),"")</f>
        <v/>
      </c>
      <c r="AI1392" s="23"/>
      <c r="AJ1392" s="23"/>
      <c r="AK1392" s="23" t="str">
        <f>IFERROR(__xludf.DUMMYFUNCTION("XLOOKUP(C1392, 
   IMPORTRANGE(""1RdEdgHYrZ33LJ7RUHj_h-qkAFL92bcVjtIdVa-UlsCw"", ""Interns!D:D""), 
   IMPORTRANGE(""1RdEdgHYrZ33LJ7RUHj_h-qkAFL92bcVjtIdVa-UlsCw"", ""Interns!M:M""), 
   ""Not Found"")"),"Contacted")</f>
        <v>Contacted</v>
      </c>
      <c r="AL1392" s="23" t="str">
        <f>IFERROR(__xludf.DUMMYFUNCTION("XLOOKUP(C1392, 
   IMPORTRANGE(""1RdEdgHYrZ33LJ7RUHj_h-qkAFL92bcVjtIdVa-UlsCw"", ""Interns!D:D""), 
   IMPORTRANGE(""1RdEdgHYrZ33LJ7RUHj_h-qkAFL92bcVjtIdVa-UlsCw"", ""Interns!N:N""), 
   ""Not Found"")"),"#Cheers4Careers")</f>
        <v>#Cheers4Careers</v>
      </c>
      <c r="AM1392" s="23" t="str">
        <f>IFERROR(__xludf.DUMMYFUNCTION("XLOOKUP(C1392, 
   IMPORTRANGE(""1RdEdgHYrZ33LJ7RUHj_h-qkAFL92bcVjtIdVa-UlsCw"", ""Interns!D:D""), 
   IMPORTRANGE(""1RdEdgHYrZ33LJ7RUHj_h-qkAFL92bcVjtIdVa-UlsCw"", ""Interns!O:O""), 
   ""Not Found"")"),"Hetal reached out by email 3/27")</f>
        <v>Hetal reached out by email 3/27</v>
      </c>
      <c r="AN1392" s="23"/>
      <c r="AO1392" s="23" t="s">
        <v>13818</v>
      </c>
      <c r="AP1392" s="28" t="s">
        <v>5182</v>
      </c>
      <c r="AQ1392" s="28"/>
      <c r="AR1392" s="23"/>
      <c r="AS1392" s="23"/>
      <c r="AT1392" s="23"/>
      <c r="AU1392" s="23"/>
      <c r="AV1392" s="23"/>
    </row>
    <row r="1393">
      <c r="A1393" s="28" t="s">
        <v>5161</v>
      </c>
      <c r="B1393" s="28" t="s">
        <v>31</v>
      </c>
      <c r="C1393" s="23" t="str">
        <f t="shared" si="39"/>
        <v>Paulina Jachero</v>
      </c>
      <c r="D1393" s="28" t="s">
        <v>9550</v>
      </c>
      <c r="E1393" s="28" t="s">
        <v>13819</v>
      </c>
      <c r="F1393" s="23">
        <f t="array" ref="F1393">IFERROR(
    INDEX('Hub Interns 226'!A:A, MATCH(C1393, 'Hub Interns 226'!B:B, 0)),"")</f>
        <v>990</v>
      </c>
      <c r="G1393" s="23">
        <f t="array" ref="G1393">IFERROR(
    INDEX('Hub Users 226'!A:A, MATCH(C1393, 'Hub Users 226'!B:B, 0)),"")</f>
        <v>1423</v>
      </c>
      <c r="H1393" s="28">
        <v>1230.0</v>
      </c>
      <c r="I1393" s="28" t="s">
        <v>260</v>
      </c>
      <c r="J1393" s="28"/>
      <c r="K1393" s="28"/>
      <c r="L1393" s="28" t="s">
        <v>5196</v>
      </c>
      <c r="M1393" s="56" t="s">
        <v>13820</v>
      </c>
      <c r="N1393" s="57">
        <v>44838.44652777778</v>
      </c>
      <c r="O1393" s="58">
        <v>39055.0</v>
      </c>
      <c r="P1393" s="28">
        <f t="shared" si="41"/>
        <v>19</v>
      </c>
      <c r="Q1393" s="28" t="s">
        <v>240</v>
      </c>
      <c r="R1393" s="28" t="s">
        <v>13821</v>
      </c>
      <c r="S1393" s="28"/>
      <c r="T1393" s="28"/>
      <c r="U1393" s="28"/>
      <c r="V1393" s="28"/>
      <c r="W1393" s="28" t="s">
        <v>271</v>
      </c>
      <c r="X1393" s="28" t="s">
        <v>272</v>
      </c>
      <c r="Y1393" s="28" t="s">
        <v>13822</v>
      </c>
      <c r="Z1393" s="28" t="s">
        <v>5341</v>
      </c>
      <c r="AA1393" s="28" t="s">
        <v>1085</v>
      </c>
      <c r="AB1393" s="28">
        <v>10.0</v>
      </c>
      <c r="AC1393" s="28" t="s">
        <v>28</v>
      </c>
      <c r="AD1393" s="23"/>
      <c r="AE1393" s="28" t="s">
        <v>15</v>
      </c>
      <c r="AF1393" s="23"/>
      <c r="AG1393" s="23"/>
      <c r="AH1393" s="23" t="str">
        <f>IFERROR(__xludf.DUMMYFUNCTION("IF(
ISNUMBER(MATCH(
C1393,
IMPORTRANGE(""https://docs.google.com/spreadsheets/d/1yTh1ELC33JHYOeEdgIiEclxPRyh0zOKtlawDltfUay8"",""'Interns'!A:A""),
0
)),
""Outreach Conducted"",
"""")"),"")</f>
        <v/>
      </c>
      <c r="AI1393" s="23"/>
      <c r="AJ1393" s="23"/>
      <c r="AK1393" s="23" t="str">
        <f>IFERROR(__xludf.DUMMYFUNCTION("XLOOKUP(C1393, 
   IMPORTRANGE(""1RdEdgHYrZ33LJ7RUHj_h-qkAFL92bcVjtIdVa-UlsCw"", ""Interns!D:D""), 
   IMPORTRANGE(""1RdEdgHYrZ33LJ7RUHj_h-qkAFL92bcVjtIdVa-UlsCw"", ""Interns!M:M""), 
   ""Not Found"")"),"")</f>
        <v/>
      </c>
      <c r="AL1393" s="23" t="str">
        <f>IFERROR(__xludf.DUMMYFUNCTION("XLOOKUP(C1393, 
   IMPORTRANGE(""1RdEdgHYrZ33LJ7RUHj_h-qkAFL92bcVjtIdVa-UlsCw"", ""Interns!D:D""), 
   IMPORTRANGE(""1RdEdgHYrZ33LJ7RUHj_h-qkAFL92bcVjtIdVa-UlsCw"", ""Interns!N:N""), 
   ""Not Found"")"),"")</f>
        <v/>
      </c>
      <c r="AM1393" s="23" t="str">
        <f>IFERROR(__xludf.DUMMYFUNCTION("XLOOKUP(C1393, 
   IMPORTRANGE(""1RdEdgHYrZ33LJ7RUHj_h-qkAFL92bcVjtIdVa-UlsCw"", ""Interns!D:D""), 
   IMPORTRANGE(""1RdEdgHYrZ33LJ7RUHj_h-qkAFL92bcVjtIdVa-UlsCw"", ""Interns!O:O""), 
   ""Not Found"")"),"")</f>
        <v/>
      </c>
      <c r="AN1393" s="23"/>
      <c r="AO1393" s="23" t="s">
        <v>13823</v>
      </c>
      <c r="AP1393" s="28" t="s">
        <v>5182</v>
      </c>
      <c r="AQ1393" s="28"/>
      <c r="AR1393" s="23"/>
      <c r="AS1393" s="23"/>
      <c r="AT1393" s="23"/>
      <c r="AU1393" s="23"/>
      <c r="AV1393" s="23"/>
    </row>
    <row r="1394">
      <c r="A1394" s="28" t="s">
        <v>5161</v>
      </c>
      <c r="B1394" s="28" t="s">
        <v>5162</v>
      </c>
      <c r="C1394" s="23" t="str">
        <f t="shared" si="39"/>
        <v>Zaniyah Danzine</v>
      </c>
      <c r="D1394" s="28" t="s">
        <v>13824</v>
      </c>
      <c r="E1394" s="28" t="s">
        <v>13825</v>
      </c>
      <c r="F1394" s="23">
        <f t="array" ref="F1394">IFERROR(
    INDEX('Hub Interns 226'!A:A, MATCH(C1394, 'Hub Interns 226'!B:B, 0)),"")</f>
        <v>412</v>
      </c>
      <c r="G1394" s="23">
        <f t="array" ref="G1394">IFERROR(
    INDEX('Hub Users 226'!A:A, MATCH(C1394, 'Hub Users 226'!B:B, 0)),"")</f>
        <v>845</v>
      </c>
      <c r="H1394" s="28">
        <v>1358.0</v>
      </c>
      <c r="I1394" s="28" t="s">
        <v>260</v>
      </c>
      <c r="J1394" s="28"/>
      <c r="K1394" s="28"/>
      <c r="L1394" s="28" t="s">
        <v>5196</v>
      </c>
      <c r="M1394" s="56" t="s">
        <v>13826</v>
      </c>
      <c r="N1394" s="59">
        <v>44859.604166666664</v>
      </c>
      <c r="O1394" s="58">
        <v>39748.0</v>
      </c>
      <c r="P1394" s="28">
        <f t="shared" si="41"/>
        <v>17</v>
      </c>
      <c r="Q1394" s="28" t="s">
        <v>240</v>
      </c>
      <c r="R1394" s="28" t="s">
        <v>13827</v>
      </c>
      <c r="S1394" s="28">
        <v>5.0</v>
      </c>
      <c r="T1394" s="28">
        <v>14.0</v>
      </c>
      <c r="U1394" s="28">
        <v>32.0</v>
      </c>
      <c r="V1394" s="28">
        <v>27.0</v>
      </c>
      <c r="W1394" s="28" t="s">
        <v>1173</v>
      </c>
      <c r="X1394" s="28" t="s">
        <v>272</v>
      </c>
      <c r="Y1394" s="28" t="s">
        <v>13828</v>
      </c>
      <c r="Z1394" s="28" t="s">
        <v>5332</v>
      </c>
      <c r="AA1394" s="28" t="s">
        <v>421</v>
      </c>
      <c r="AB1394" s="28">
        <v>31.0</v>
      </c>
      <c r="AC1394" s="28" t="s">
        <v>23</v>
      </c>
      <c r="AD1394" s="28" t="s">
        <v>101</v>
      </c>
      <c r="AE1394" s="28" t="s">
        <v>15</v>
      </c>
      <c r="AF1394" s="23"/>
      <c r="AG1394" s="23"/>
      <c r="AH1394" s="23" t="str">
        <f>IFERROR(__xludf.DUMMYFUNCTION("IF(
ISNUMBER(MATCH(
C1394,
IMPORTRANGE(""https://docs.google.com/spreadsheets/d/1yTh1ELC33JHYOeEdgIiEclxPRyh0zOKtlawDltfUay8"",""'Interns'!A:A""),
0
)),
""Outreach Conducted"",
"""")"),"")</f>
        <v/>
      </c>
      <c r="AI1394" s="23"/>
      <c r="AJ1394" s="23"/>
      <c r="AK1394" s="23" t="str">
        <f>IFERROR(__xludf.DUMMYFUNCTION("XLOOKUP(C1394, 
   IMPORTRANGE(""1RdEdgHYrZ33LJ7RUHj_h-qkAFL92bcVjtIdVa-UlsCw"", ""Interns!D:D""), 
   IMPORTRANGE(""1RdEdgHYrZ33LJ7RUHj_h-qkAFL92bcVjtIdVa-UlsCw"", ""Interns!M:M""), 
   ""Not Found"")"),"Contacted")</f>
        <v>Contacted</v>
      </c>
      <c r="AL1394" s="23" t="str">
        <f>IFERROR(__xludf.DUMMYFUNCTION("XLOOKUP(C1394, 
   IMPORTRANGE(""1RdEdgHYrZ33LJ7RUHj_h-qkAFL92bcVjtIdVa-UlsCw"", ""Interns!D:D""), 
   IMPORTRANGE(""1RdEdgHYrZ33LJ7RUHj_h-qkAFL92bcVjtIdVa-UlsCw"", ""Interns!N:N""), 
   ""Not Found"")"),"#Cheers4Careers")</f>
        <v>#Cheers4Careers</v>
      </c>
      <c r="AM1394" s="23" t="str">
        <f>IFERROR(__xludf.DUMMYFUNCTION("XLOOKUP(C1394, 
   IMPORTRANGE(""1RdEdgHYrZ33LJ7RUHj_h-qkAFL92bcVjtIdVa-UlsCw"", ""Interns!D:D""), 
   IMPORTRANGE(""1RdEdgHYrZ33LJ7RUHj_h-qkAFL92bcVjtIdVa-UlsCw"", ""Interns!O:O""), 
   ""Not Found"")"),"Hetal reached out March 27 for March #Cheers4 Careers ")</f>
        <v>Hetal reached out March 27 for March #Cheers4 Careers </v>
      </c>
      <c r="AN1394" s="23"/>
      <c r="AO1394" s="23" t="s">
        <v>13829</v>
      </c>
      <c r="AP1394" s="28" t="s">
        <v>5182</v>
      </c>
      <c r="AQ1394" s="28"/>
      <c r="AR1394" s="23"/>
      <c r="AS1394" s="23"/>
      <c r="AT1394" s="23"/>
      <c r="AU1394" s="23"/>
      <c r="AV1394" s="23"/>
    </row>
    <row r="1395">
      <c r="A1395" s="28" t="s">
        <v>5161</v>
      </c>
      <c r="B1395" s="28" t="s">
        <v>5162</v>
      </c>
      <c r="C1395" s="23" t="str">
        <f t="shared" si="39"/>
        <v>Ingrid Medina Jackson</v>
      </c>
      <c r="D1395" s="28" t="s">
        <v>13830</v>
      </c>
      <c r="E1395" s="28" t="s">
        <v>13831</v>
      </c>
      <c r="F1395" s="23">
        <f t="array" ref="F1395">IFERROR(
    INDEX('Hub Interns 226'!A:A, MATCH(C1395, 'Hub Interns 226'!B:B, 0)),"")</f>
        <v>591</v>
      </c>
      <c r="G1395" s="23">
        <f t="array" ref="G1395">IFERROR(
    INDEX('Hub Users 226'!A:A, MATCH(C1395, 'Hub Users 226'!B:B, 0)),"")</f>
        <v>1024</v>
      </c>
      <c r="H1395" s="28">
        <v>1455.0</v>
      </c>
      <c r="I1395" s="28"/>
      <c r="J1395" s="28"/>
      <c r="K1395" s="28"/>
      <c r="L1395" s="28" t="s">
        <v>5196</v>
      </c>
      <c r="M1395" s="56" t="s">
        <v>13832</v>
      </c>
      <c r="N1395" s="57">
        <v>44932.77916666667</v>
      </c>
      <c r="O1395" s="58">
        <v>38862.0</v>
      </c>
      <c r="P1395" s="28">
        <f t="shared" si="41"/>
        <v>19</v>
      </c>
      <c r="Q1395" s="28" t="s">
        <v>13833</v>
      </c>
      <c r="R1395" s="28" t="s">
        <v>13834</v>
      </c>
      <c r="S1395" s="28">
        <v>15.0</v>
      </c>
      <c r="T1395" s="28">
        <v>33.0</v>
      </c>
      <c r="U1395" s="28">
        <v>77.0</v>
      </c>
      <c r="V1395" s="28">
        <v>14.0</v>
      </c>
      <c r="W1395" s="28" t="s">
        <v>859</v>
      </c>
      <c r="X1395" s="28" t="s">
        <v>272</v>
      </c>
      <c r="Y1395" s="28" t="s">
        <v>13835</v>
      </c>
      <c r="Z1395" s="28" t="s">
        <v>13836</v>
      </c>
      <c r="AA1395" s="28" t="s">
        <v>5871</v>
      </c>
      <c r="AB1395" s="28">
        <v>31.0</v>
      </c>
      <c r="AC1395" s="28" t="s">
        <v>23</v>
      </c>
      <c r="AD1395" s="23"/>
      <c r="AE1395" s="28" t="s">
        <v>15</v>
      </c>
      <c r="AF1395" s="23"/>
      <c r="AG1395" s="23"/>
      <c r="AH1395" s="23" t="str">
        <f>IFERROR(__xludf.DUMMYFUNCTION("IF(
ISNUMBER(MATCH(
C1395,
IMPORTRANGE(""https://docs.google.com/spreadsheets/d/1yTh1ELC33JHYOeEdgIiEclxPRyh0zOKtlawDltfUay8"",""'Interns'!A:A""),
0
)),
""Outreach Conducted"",
"""")"),"")</f>
        <v/>
      </c>
      <c r="AI1395" s="23"/>
      <c r="AJ1395" s="23"/>
      <c r="AK1395" s="23" t="str">
        <f>IFERROR(__xludf.DUMMYFUNCTION("XLOOKUP(C1395, 
   IMPORTRANGE(""1RdEdgHYrZ33LJ7RUHj_h-qkAFL92bcVjtIdVa-UlsCw"", ""Interns!D:D""), 
   IMPORTRANGE(""1RdEdgHYrZ33LJ7RUHj_h-qkAFL92bcVjtIdVa-UlsCw"", ""Interns!M:M""), 
   ""Not Found"")"),"Contacted")</f>
        <v>Contacted</v>
      </c>
      <c r="AL1395" s="23" t="str">
        <f>IFERROR(__xludf.DUMMYFUNCTION("XLOOKUP(C1395, 
   IMPORTRANGE(""1RdEdgHYrZ33LJ7RUHj_h-qkAFL92bcVjtIdVa-UlsCw"", ""Interns!D:D""), 
   IMPORTRANGE(""1RdEdgHYrZ33LJ7RUHj_h-qkAFL92bcVjtIdVa-UlsCw"", ""Interns!N:N""), 
   ""Not Found"")"),"#Cheers4Careers")</f>
        <v>#Cheers4Careers</v>
      </c>
      <c r="AM1395" s="23" t="str">
        <f>IFERROR(__xludf.DUMMYFUNCTION("XLOOKUP(C1395, 
   IMPORTRANGE(""1RdEdgHYrZ33LJ7RUHj_h-qkAFL92bcVjtIdVa-UlsCw"", ""Interns!D:D""), 
   IMPORTRANGE(""1RdEdgHYrZ33LJ7RUHj_h-qkAFL92bcVjtIdVa-UlsCw"", ""Interns!O:O""), 
   ""Not Found"")"),"Hetal reached out March 27 for March #Cheers4 Careers ")</f>
        <v>Hetal reached out March 27 for March #Cheers4 Careers </v>
      </c>
      <c r="AN1395" s="23"/>
      <c r="AO1395" s="23" t="s">
        <v>13837</v>
      </c>
      <c r="AP1395" s="28" t="s">
        <v>5182</v>
      </c>
      <c r="AQ1395" s="28"/>
      <c r="AR1395" s="23"/>
      <c r="AS1395" s="23"/>
      <c r="AT1395" s="23"/>
      <c r="AU1395" s="23"/>
      <c r="AV1395" s="23"/>
    </row>
    <row r="1396">
      <c r="A1396" s="28" t="s">
        <v>5161</v>
      </c>
      <c r="B1396" s="28" t="s">
        <v>5162</v>
      </c>
      <c r="C1396" s="23" t="str">
        <f t="shared" si="39"/>
        <v>Giancarlos Castillo-Bujosa</v>
      </c>
      <c r="D1396" s="28" t="s">
        <v>13838</v>
      </c>
      <c r="E1396" s="28" t="s">
        <v>13839</v>
      </c>
      <c r="F1396" s="23">
        <f t="array" ref="F1396">IFERROR(
    INDEX('Hub Interns 226'!A:A, MATCH(C1396, 'Hub Interns 226'!B:B, 0)),"")</f>
        <v>548</v>
      </c>
      <c r="G1396" s="23">
        <f t="array" ref="G1396">IFERROR(
    INDEX('Hub Users 226'!A:A, MATCH(C1396, 'Hub Users 226'!B:B, 0)),"")</f>
        <v>981</v>
      </c>
      <c r="H1396" s="28">
        <v>1451.0</v>
      </c>
      <c r="I1396" s="28" t="s">
        <v>239</v>
      </c>
      <c r="J1396" s="28"/>
      <c r="K1396" s="28"/>
      <c r="L1396" s="28" t="s">
        <v>5165</v>
      </c>
      <c r="M1396" s="56" t="s">
        <v>13840</v>
      </c>
      <c r="N1396" s="57">
        <v>44931.63680555556</v>
      </c>
      <c r="O1396" s="58">
        <v>39046.0</v>
      </c>
      <c r="P1396" s="28">
        <f t="shared" si="41"/>
        <v>19</v>
      </c>
      <c r="Q1396" s="28" t="s">
        <v>240</v>
      </c>
      <c r="R1396" s="28" t="s">
        <v>13841</v>
      </c>
      <c r="S1396" s="28">
        <v>13.0</v>
      </c>
      <c r="T1396" s="28">
        <v>31.0</v>
      </c>
      <c r="U1396" s="28">
        <v>86.0</v>
      </c>
      <c r="V1396" s="28">
        <v>14.0</v>
      </c>
      <c r="W1396" s="28" t="s">
        <v>859</v>
      </c>
      <c r="X1396" s="28" t="s">
        <v>272</v>
      </c>
      <c r="Y1396" s="28" t="s">
        <v>13842</v>
      </c>
      <c r="Z1396" s="28" t="s">
        <v>13843</v>
      </c>
      <c r="AA1396" s="28" t="s">
        <v>5871</v>
      </c>
      <c r="AB1396" s="28">
        <v>31.0</v>
      </c>
      <c r="AC1396" s="28" t="s">
        <v>23</v>
      </c>
      <c r="AD1396" s="23"/>
      <c r="AE1396" s="28" t="s">
        <v>15</v>
      </c>
      <c r="AF1396" s="23"/>
      <c r="AG1396" s="23"/>
      <c r="AH1396" s="23" t="str">
        <f>IFERROR(__xludf.DUMMYFUNCTION("IF(
ISNUMBER(MATCH(
C1396,
IMPORTRANGE(""https://docs.google.com/spreadsheets/d/1yTh1ELC33JHYOeEdgIiEclxPRyh0zOKtlawDltfUay8"",""'Interns'!A:A""),
0
)),
""Outreach Conducted"",
"""")"),"")</f>
        <v/>
      </c>
      <c r="AI1396" s="23"/>
      <c r="AJ1396" s="23"/>
      <c r="AK1396" s="23" t="str">
        <f>IFERROR(__xludf.DUMMYFUNCTION("XLOOKUP(C1396, 
   IMPORTRANGE(""1RdEdgHYrZ33LJ7RUHj_h-qkAFL92bcVjtIdVa-UlsCw"", ""Interns!D:D""), 
   IMPORTRANGE(""1RdEdgHYrZ33LJ7RUHj_h-qkAFL92bcVjtIdVa-UlsCw"", ""Interns!M:M""), 
   ""Not Found"")"),"Contacted")</f>
        <v>Contacted</v>
      </c>
      <c r="AL1396" s="23" t="str">
        <f>IFERROR(__xludf.DUMMYFUNCTION("XLOOKUP(C1396, 
   IMPORTRANGE(""1RdEdgHYrZ33LJ7RUHj_h-qkAFL92bcVjtIdVa-UlsCw"", ""Interns!D:D""), 
   IMPORTRANGE(""1RdEdgHYrZ33LJ7RUHj_h-qkAFL92bcVjtIdVa-UlsCw"", ""Interns!N:N""), 
   ""Not Found"")"),"#Cheers4Careers")</f>
        <v>#Cheers4Careers</v>
      </c>
      <c r="AM1396" s="23" t="str">
        <f>IFERROR(__xludf.DUMMYFUNCTION("XLOOKUP(C1396, 
   IMPORTRANGE(""1RdEdgHYrZ33LJ7RUHj_h-qkAFL92bcVjtIdVa-UlsCw"", ""Interns!D:D""), 
   IMPORTRANGE(""1RdEdgHYrZ33LJ7RUHj_h-qkAFL92bcVjtIdVa-UlsCw"", ""Interns!O:O""), 
   ""Not Found"")"),"Hetal reached out March 27 for March #Cheers4 Careers ")</f>
        <v>Hetal reached out March 27 for March #Cheers4 Careers </v>
      </c>
      <c r="AN1396" s="23"/>
      <c r="AO1396" s="23" t="s">
        <v>13844</v>
      </c>
      <c r="AP1396" s="28" t="s">
        <v>5182</v>
      </c>
      <c r="AQ1396" s="28"/>
      <c r="AR1396" s="23"/>
      <c r="AS1396" s="23"/>
      <c r="AT1396" s="23"/>
      <c r="AU1396" s="23"/>
      <c r="AV1396" s="23"/>
    </row>
    <row r="1397">
      <c r="A1397" s="28" t="s">
        <v>5161</v>
      </c>
      <c r="B1397" s="28" t="s">
        <v>5162</v>
      </c>
      <c r="C1397" s="23" t="str">
        <f t="shared" si="39"/>
        <v>Katie Caba</v>
      </c>
      <c r="D1397" s="28" t="s">
        <v>13845</v>
      </c>
      <c r="E1397" s="28" t="s">
        <v>7952</v>
      </c>
      <c r="F1397" s="23">
        <f t="array" ref="F1397">IFERROR(
    INDEX('Hub Interns 226'!A:A, MATCH(C1397, 'Hub Interns 226'!B:B, 0)),"")</f>
        <v>732</v>
      </c>
      <c r="G1397" s="23">
        <f t="array" ref="G1397">IFERROR(
    INDEX('Hub Users 226'!A:A, MATCH(C1397, 'Hub Users 226'!B:B, 0)),"")</f>
        <v>1165</v>
      </c>
      <c r="H1397" s="28">
        <v>1007.0</v>
      </c>
      <c r="I1397" s="28" t="s">
        <v>407</v>
      </c>
      <c r="J1397" s="28"/>
      <c r="K1397" s="28"/>
      <c r="L1397" s="28" t="s">
        <v>5196</v>
      </c>
      <c r="M1397" s="56" t="s">
        <v>13846</v>
      </c>
      <c r="N1397" s="57">
        <v>44655.85208333333</v>
      </c>
      <c r="O1397" s="58">
        <v>40011.0</v>
      </c>
      <c r="P1397" s="28">
        <f t="shared" si="41"/>
        <v>16</v>
      </c>
      <c r="Q1397" s="28" t="s">
        <v>240</v>
      </c>
      <c r="R1397" s="28" t="s">
        <v>13847</v>
      </c>
      <c r="S1397" s="28">
        <v>7.0</v>
      </c>
      <c r="T1397" s="28">
        <v>18.0</v>
      </c>
      <c r="U1397" s="28">
        <v>38.0</v>
      </c>
      <c r="V1397" s="28">
        <v>34.0</v>
      </c>
      <c r="W1397" s="28" t="s">
        <v>1173</v>
      </c>
      <c r="X1397" s="28" t="s">
        <v>272</v>
      </c>
      <c r="Y1397" s="28" t="s">
        <v>13848</v>
      </c>
      <c r="Z1397" s="28" t="s">
        <v>9652</v>
      </c>
      <c r="AA1397" s="28" t="s">
        <v>9653</v>
      </c>
      <c r="AB1397" s="28">
        <v>30.0</v>
      </c>
      <c r="AC1397" s="28" t="s">
        <v>24</v>
      </c>
      <c r="AD1397" s="23"/>
      <c r="AE1397" s="28" t="s">
        <v>10</v>
      </c>
      <c r="AF1397" s="23"/>
      <c r="AG1397" s="23"/>
      <c r="AH1397" s="23" t="str">
        <f>IFERROR(__xludf.DUMMYFUNCTION("IF(
ISNUMBER(MATCH(
C1397,
IMPORTRANGE(""https://docs.google.com/spreadsheets/d/1yTh1ELC33JHYOeEdgIiEclxPRyh0zOKtlawDltfUay8"",""'Interns'!A:A""),
0
)),
""Outreach Conducted"",
"""")"),"")</f>
        <v/>
      </c>
      <c r="AI1397" s="23"/>
      <c r="AJ1397" s="23"/>
      <c r="AK1397" s="23" t="str">
        <f>IFERROR(__xludf.DUMMYFUNCTION("XLOOKUP(C1397, 
   IMPORTRANGE(""1RdEdgHYrZ33LJ7RUHj_h-qkAFL92bcVjtIdVa-UlsCw"", ""Interns!D:D""), 
   IMPORTRANGE(""1RdEdgHYrZ33LJ7RUHj_h-qkAFL92bcVjtIdVa-UlsCw"", ""Interns!M:M""), 
   ""Not Found"")"),"Contacted")</f>
        <v>Contacted</v>
      </c>
      <c r="AL1397" s="23" t="str">
        <f>IFERROR(__xludf.DUMMYFUNCTION("XLOOKUP(C1397, 
   IMPORTRANGE(""1RdEdgHYrZ33LJ7RUHj_h-qkAFL92bcVjtIdVa-UlsCw"", ""Interns!D:D""), 
   IMPORTRANGE(""1RdEdgHYrZ33LJ7RUHj_h-qkAFL92bcVjtIdVa-UlsCw"", ""Interns!N:N""), 
   ""Not Found"")"),"#Cheers4Careers")</f>
        <v>#Cheers4Careers</v>
      </c>
      <c r="AM1397" s="23" t="str">
        <f>IFERROR(__xludf.DUMMYFUNCTION("XLOOKUP(C1397, 
   IMPORTRANGE(""1RdEdgHYrZ33LJ7RUHj_h-qkAFL92bcVjtIdVa-UlsCw"", ""Interns!D:D""), 
   IMPORTRANGE(""1RdEdgHYrZ33LJ7RUHj_h-qkAFL92bcVjtIdVa-UlsCw"", ""Interns!O:O""), 
   ""Not Found"")"),"Reached out by email 3/26 and by text 3/27  for Cheers 4 Careers Reached out again 3/28 but no response ")</f>
        <v>Reached out by email 3/26 and by text 3/27  for Cheers 4 Careers Reached out again 3/28 but no response </v>
      </c>
      <c r="AN1397" s="23"/>
      <c r="AO1397" s="23" t="s">
        <v>13849</v>
      </c>
      <c r="AP1397" s="28" t="s">
        <v>5191</v>
      </c>
      <c r="AQ1397" s="28"/>
      <c r="AR1397" s="23"/>
      <c r="AS1397" s="23"/>
      <c r="AT1397" s="23"/>
      <c r="AU1397" s="23"/>
      <c r="AV1397" s="23"/>
    </row>
    <row r="1398">
      <c r="A1398" s="28" t="s">
        <v>5161</v>
      </c>
      <c r="B1398" s="28" t="s">
        <v>5162</v>
      </c>
      <c r="C1398" s="23" t="str">
        <f t="shared" si="39"/>
        <v>Matthew Maldonado</v>
      </c>
      <c r="D1398" s="28" t="s">
        <v>2368</v>
      </c>
      <c r="E1398" s="28" t="s">
        <v>13850</v>
      </c>
      <c r="F1398" s="23">
        <f t="array" ref="F1398">IFERROR(
    INDEX('Hub Interns 226'!A:A, MATCH(C1398, 'Hub Interns 226'!B:B, 0)),"")</f>
        <v>890</v>
      </c>
      <c r="G1398" s="23">
        <f t="array" ref="G1398">IFERROR(
    INDEX('Hub Users 226'!A:A, MATCH(C1398, 'Hub Users 226'!B:B, 0)),"")</f>
        <v>1323</v>
      </c>
      <c r="H1398" s="28">
        <v>979.0</v>
      </c>
      <c r="I1398" s="28" t="s">
        <v>239</v>
      </c>
      <c r="J1398" s="28"/>
      <c r="K1398" s="28"/>
      <c r="L1398" s="28" t="s">
        <v>6647</v>
      </c>
      <c r="M1398" s="56" t="s">
        <v>13851</v>
      </c>
      <c r="N1398" s="57">
        <v>44643.54861111111</v>
      </c>
      <c r="O1398" s="58">
        <v>40018.0</v>
      </c>
      <c r="P1398" s="28">
        <f t="shared" si="41"/>
        <v>16</v>
      </c>
      <c r="Q1398" s="28" t="s">
        <v>240</v>
      </c>
      <c r="R1398" s="28" t="s">
        <v>13852</v>
      </c>
      <c r="S1398" s="28">
        <v>7.0</v>
      </c>
      <c r="T1398" s="28">
        <v>12.0</v>
      </c>
      <c r="U1398" s="28">
        <v>38.0</v>
      </c>
      <c r="V1398" s="28">
        <v>30.0</v>
      </c>
      <c r="W1398" s="28" t="s">
        <v>1173</v>
      </c>
      <c r="X1398" s="28" t="s">
        <v>272</v>
      </c>
      <c r="Y1398" s="28" t="s">
        <v>13853</v>
      </c>
      <c r="Z1398" s="28" t="s">
        <v>7427</v>
      </c>
      <c r="AA1398" s="28" t="s">
        <v>7428</v>
      </c>
      <c r="AB1398" s="28">
        <v>34.0</v>
      </c>
      <c r="AC1398" s="28" t="s">
        <v>24</v>
      </c>
      <c r="AD1398" s="23"/>
      <c r="AE1398" s="28" t="s">
        <v>10</v>
      </c>
      <c r="AF1398" s="23"/>
      <c r="AG1398" s="23"/>
      <c r="AH1398" s="23" t="str">
        <f>IFERROR(__xludf.DUMMYFUNCTION("IF(
ISNUMBER(MATCH(
C1398,
IMPORTRANGE(""https://docs.google.com/spreadsheets/d/1yTh1ELC33JHYOeEdgIiEclxPRyh0zOKtlawDltfUay8"",""'Interns'!A:A""),
0
)),
""Outreach Conducted"",
"""")"),"")</f>
        <v/>
      </c>
      <c r="AI1398" s="23"/>
      <c r="AJ1398" s="23"/>
      <c r="AK1398" s="23" t="str">
        <f>IFERROR(__xludf.DUMMYFUNCTION("XLOOKUP(C1398, 
   IMPORTRANGE(""1RdEdgHYrZ33LJ7RUHj_h-qkAFL92bcVjtIdVa-UlsCw"", ""Interns!D:D""), 
   IMPORTRANGE(""1RdEdgHYrZ33LJ7RUHj_h-qkAFL92bcVjtIdVa-UlsCw"", ""Interns!M:M""), 
   ""Not Found"")"),"Contacted")</f>
        <v>Contacted</v>
      </c>
      <c r="AL1398" s="23" t="str">
        <f>IFERROR(__xludf.DUMMYFUNCTION("XLOOKUP(C1398, 
   IMPORTRANGE(""1RdEdgHYrZ33LJ7RUHj_h-qkAFL92bcVjtIdVa-UlsCw"", ""Interns!D:D""), 
   IMPORTRANGE(""1RdEdgHYrZ33LJ7RUHj_h-qkAFL92bcVjtIdVa-UlsCw"", ""Interns!N:N""), 
   ""Not Found"")"),"#Cheers4Careers")</f>
        <v>#Cheers4Careers</v>
      </c>
      <c r="AM1398" s="23" t="str">
        <f>IFERROR(__xludf.DUMMYFUNCTION("XLOOKUP(C1398, 
   IMPORTRANGE(""1RdEdgHYrZ33LJ7RUHj_h-qkAFL92bcVjtIdVa-UlsCw"", ""Interns!D:D""), 
   IMPORTRANGE(""1RdEdgHYrZ33LJ7RUHj_h-qkAFL92bcVjtIdVa-UlsCw"", ""Interns!O:O""), 
   ""Not Found"")"),"Hetal reached out by email 3/27")</f>
        <v>Hetal reached out by email 3/27</v>
      </c>
      <c r="AN1398" s="23"/>
      <c r="AO1398" s="23" t="s">
        <v>13854</v>
      </c>
      <c r="AP1398" s="28" t="s">
        <v>5182</v>
      </c>
      <c r="AQ1398" s="28"/>
      <c r="AR1398" s="23"/>
      <c r="AS1398" s="23"/>
      <c r="AT1398" s="23"/>
      <c r="AU1398" s="23"/>
      <c r="AV1398" s="23"/>
    </row>
    <row r="1399">
      <c r="A1399" s="28" t="s">
        <v>5161</v>
      </c>
      <c r="B1399" s="28" t="s">
        <v>5162</v>
      </c>
      <c r="C1399" s="23" t="str">
        <f t="shared" si="39"/>
        <v>Jahiem McNeil</v>
      </c>
      <c r="D1399" s="22" t="s">
        <v>13855</v>
      </c>
      <c r="E1399" s="22" t="s">
        <v>13856</v>
      </c>
      <c r="F1399" s="23"/>
      <c r="G1399" s="23"/>
      <c r="H1399" s="22">
        <v>1900.0</v>
      </c>
      <c r="I1399" s="28"/>
      <c r="J1399" s="28"/>
      <c r="K1399" s="28"/>
      <c r="L1399" s="28" t="s">
        <v>5165</v>
      </c>
      <c r="M1399" s="29" t="s">
        <v>13857</v>
      </c>
      <c r="N1399" s="61">
        <v>45845.59652777778</v>
      </c>
      <c r="O1399" s="25">
        <v>37860.0</v>
      </c>
      <c r="P1399" s="28">
        <f t="shared" si="41"/>
        <v>22</v>
      </c>
      <c r="Q1399" s="62" t="s">
        <v>240</v>
      </c>
      <c r="R1399" s="22" t="s">
        <v>13858</v>
      </c>
      <c r="S1399" s="28">
        <v>11.0</v>
      </c>
      <c r="T1399" s="28">
        <v>23.0</v>
      </c>
      <c r="U1399" s="28">
        <v>61.0</v>
      </c>
      <c r="V1399" s="28">
        <v>49.0</v>
      </c>
      <c r="W1399" s="23"/>
      <c r="X1399" s="23"/>
      <c r="Y1399" s="22" t="s">
        <v>13859</v>
      </c>
      <c r="Z1399" s="22" t="s">
        <v>5822</v>
      </c>
      <c r="AA1399" s="28" t="s">
        <v>5822</v>
      </c>
      <c r="AB1399" s="28">
        <v>30.0</v>
      </c>
      <c r="AC1399" s="28" t="s">
        <v>27</v>
      </c>
      <c r="AD1399" s="23"/>
      <c r="AE1399" s="28" t="s">
        <v>20</v>
      </c>
      <c r="AF1399" s="23"/>
      <c r="AG1399" s="23"/>
      <c r="AH1399" s="23" t="str">
        <f>IFERROR(__xludf.DUMMYFUNCTION("IF(
ISNUMBER(MATCH(
C1399,
IMPORTRANGE(""https://docs.google.com/spreadsheets/d/1yTh1ELC33JHYOeEdgIiEclxPRyh0zOKtlawDltfUay8"",""'Interns'!A:A""),
0
)),
""Outreach Conducted"",
"""")"),"")</f>
        <v/>
      </c>
      <c r="AI1399" s="23"/>
      <c r="AJ1399" s="23"/>
      <c r="AK1399" s="23"/>
      <c r="AL1399" s="23" t="str">
        <f>IFERROR(__xludf.DUMMYFUNCTION("XLOOKUP(C1399, 
   IMPORTRANGE(""1RdEdgHYrZ33LJ7RUHj_h-qkAFL92bcVjtIdVa-UlsCw"", ""Interns!D:D""), 
   IMPORTRANGE(""1RdEdgHYrZ33LJ7RUHj_h-qkAFL92bcVjtIdVa-UlsCw"", ""Interns!N:N""), 
   ""Not Found"")"),"#Cheers4Careers")</f>
        <v>#Cheers4Careers</v>
      </c>
      <c r="AM1399" s="23" t="str">
        <f>IFERROR(__xludf.DUMMYFUNCTION("XLOOKUP(C1399, 
   IMPORTRANGE(""1RdEdgHYrZ33LJ7RUHj_h-qkAFL92bcVjtIdVa-UlsCw"", ""Interns!D:D""), 
   IMPORTRANGE(""1RdEdgHYrZ33LJ7RUHj_h-qkAFL92bcVjtIdVa-UlsCw"", ""Interns!O:O""), 
   ""Not Found"")"),"Hetal reached out March 27 for March #Cheers4 Careers ")</f>
        <v>Hetal reached out March 27 for March #Cheers4 Careers </v>
      </c>
      <c r="AN1399" s="23"/>
      <c r="AO1399" s="23" t="s">
        <v>13860</v>
      </c>
      <c r="AP1399" s="28" t="s">
        <v>5182</v>
      </c>
      <c r="AQ1399" s="28" t="s">
        <v>13857</v>
      </c>
      <c r="AR1399" s="23" t="s">
        <v>13861</v>
      </c>
      <c r="AS1399" s="23"/>
      <c r="AT1399" s="23"/>
      <c r="AU1399" s="23"/>
      <c r="AV1399" s="23"/>
    </row>
    <row r="1400">
      <c r="A1400" s="28" t="s">
        <v>5202</v>
      </c>
      <c r="B1400" s="28" t="s">
        <v>31</v>
      </c>
      <c r="C1400" s="23" t="str">
        <f t="shared" si="39"/>
        <v>Rowena Otero</v>
      </c>
      <c r="D1400" s="28" t="s">
        <v>12831</v>
      </c>
      <c r="E1400" s="28" t="s">
        <v>12832</v>
      </c>
      <c r="F1400" s="23">
        <f t="array" ref="F1400">IFERROR(
    INDEX('Hub Interns 226'!A:A, MATCH(C1400, 'Hub Interns 226'!B:B, 0)),"")</f>
        <v>1041</v>
      </c>
      <c r="G1400" s="23">
        <f t="array" ref="G1400">IFERROR(
    INDEX('Hub Users 226'!A:A, MATCH(C1400, 'Hub Users 226'!B:B, 0)),"")</f>
        <v>1474</v>
      </c>
      <c r="H1400" s="28">
        <v>706.0</v>
      </c>
      <c r="I1400" s="28" t="s">
        <v>260</v>
      </c>
      <c r="J1400" s="28"/>
      <c r="K1400" s="28"/>
      <c r="L1400" s="28" t="s">
        <v>5196</v>
      </c>
      <c r="M1400" s="56" t="s">
        <v>12833</v>
      </c>
      <c r="N1400" s="59">
        <v>44546.96319444444</v>
      </c>
      <c r="O1400" s="58">
        <v>38710.0</v>
      </c>
      <c r="P1400" s="28">
        <f t="shared" si="41"/>
        <v>20</v>
      </c>
      <c r="Q1400" s="28" t="s">
        <v>12834</v>
      </c>
      <c r="R1400" s="28" t="s">
        <v>12835</v>
      </c>
      <c r="S1400" s="28"/>
      <c r="T1400" s="28"/>
      <c r="U1400" s="28"/>
      <c r="V1400" s="28"/>
      <c r="W1400" s="28" t="s">
        <v>271</v>
      </c>
      <c r="X1400" s="28" t="s">
        <v>272</v>
      </c>
      <c r="Y1400" s="28" t="s">
        <v>12836</v>
      </c>
      <c r="Z1400" s="28" t="s">
        <v>5341</v>
      </c>
      <c r="AA1400" s="28" t="s">
        <v>1085</v>
      </c>
      <c r="AB1400" s="28">
        <v>10.0</v>
      </c>
      <c r="AC1400" s="28" t="s">
        <v>28</v>
      </c>
      <c r="AD1400" s="23"/>
      <c r="AE1400" s="28" t="s">
        <v>15</v>
      </c>
      <c r="AF1400" s="23"/>
      <c r="AG1400" s="23"/>
      <c r="AH1400" s="23" t="str">
        <f>IFERROR(__xludf.DUMMYFUNCTION("IF(
ISNUMBER(MATCH(
C1400,
IMPORTRANGE(""https://docs.google.com/spreadsheets/d/1yTh1ELC33JHYOeEdgIiEclxPRyh0zOKtlawDltfUay8"",""'Interns'!A:A""),
0
)),
""Outreach Conducted"",
"""")"),"")</f>
        <v/>
      </c>
      <c r="AI1400" s="23"/>
      <c r="AJ1400" s="23"/>
      <c r="AK1400" s="23" t="str">
        <f>IFERROR(__xludf.DUMMYFUNCTION("XLOOKUP(C1400, 
   IMPORTRANGE(""1RdEdgHYrZ33LJ7RUHj_h-qkAFL92bcVjtIdVa-UlsCw"", ""Interns!D:D""), 
   IMPORTRANGE(""1RdEdgHYrZ33LJ7RUHj_h-qkAFL92bcVjtIdVa-UlsCw"", ""Interns!M:M""), 
   ""Not Found"")"),"")</f>
        <v/>
      </c>
      <c r="AL1400" s="23" t="str">
        <f>IFERROR(__xludf.DUMMYFUNCTION("XLOOKUP(C1400, 
   IMPORTRANGE(""1RdEdgHYrZ33LJ7RUHj_h-qkAFL92bcVjtIdVa-UlsCw"", ""Interns!D:D""), 
   IMPORTRANGE(""1RdEdgHYrZ33LJ7RUHj_h-qkAFL92bcVjtIdVa-UlsCw"", ""Interns!N:N""), 
   ""Not Found"")"),"")</f>
        <v/>
      </c>
      <c r="AM1400" s="23" t="str">
        <f>IFERROR(__xludf.DUMMYFUNCTION("XLOOKUP(C1400, 
   IMPORTRANGE(""1RdEdgHYrZ33LJ7RUHj_h-qkAFL92bcVjtIdVa-UlsCw"", ""Interns!D:D""), 
   IMPORTRANGE(""1RdEdgHYrZ33LJ7RUHj_h-qkAFL92bcVjtIdVa-UlsCw"", ""Interns!O:O""), 
   ""Not Found"")"),"")</f>
        <v/>
      </c>
      <c r="AN1400" s="23"/>
      <c r="AO1400" s="23" t="s">
        <v>12837</v>
      </c>
      <c r="AP1400" s="28" t="s">
        <v>5182</v>
      </c>
      <c r="AQ1400" s="28" t="s">
        <v>12838</v>
      </c>
      <c r="AR1400" s="23" t="s">
        <v>12836</v>
      </c>
      <c r="AS1400" s="23"/>
      <c r="AT1400" s="23"/>
      <c r="AU1400" s="23"/>
      <c r="AV1400" s="23"/>
    </row>
    <row r="1401">
      <c r="A1401" s="28" t="s">
        <v>5161</v>
      </c>
      <c r="B1401" s="28" t="s">
        <v>5162</v>
      </c>
      <c r="C1401" s="23" t="str">
        <f t="shared" si="39"/>
        <v>Jaiden Dash</v>
      </c>
      <c r="D1401" s="22" t="s">
        <v>13862</v>
      </c>
      <c r="E1401" s="22" t="s">
        <v>13863</v>
      </c>
      <c r="F1401" s="23"/>
      <c r="G1401" s="23"/>
      <c r="H1401" s="22">
        <v>1916.0</v>
      </c>
      <c r="I1401" s="28"/>
      <c r="J1401" s="28"/>
      <c r="K1401" s="28"/>
      <c r="L1401" s="28" t="s">
        <v>5165</v>
      </c>
      <c r="M1401" s="29" t="s">
        <v>13864</v>
      </c>
      <c r="N1401" s="61">
        <v>45779.44652777778</v>
      </c>
      <c r="O1401" s="25">
        <v>40108.0</v>
      </c>
      <c r="P1401" s="28">
        <f t="shared" si="41"/>
        <v>16</v>
      </c>
      <c r="Q1401" s="62" t="s">
        <v>240</v>
      </c>
      <c r="R1401" s="22" t="s">
        <v>13865</v>
      </c>
      <c r="S1401" s="28">
        <v>5.0</v>
      </c>
      <c r="T1401" s="28">
        <v>14.0</v>
      </c>
      <c r="U1401" s="28">
        <v>29.0</v>
      </c>
      <c r="V1401" s="28">
        <v>27.0</v>
      </c>
      <c r="W1401" s="23"/>
      <c r="X1401" s="23"/>
      <c r="Y1401" s="24"/>
      <c r="Z1401" s="22" t="s">
        <v>7490</v>
      </c>
      <c r="AA1401" s="28" t="s">
        <v>5659</v>
      </c>
      <c r="AB1401" s="28">
        <v>23.0</v>
      </c>
      <c r="AC1401" s="28" t="s">
        <v>23</v>
      </c>
      <c r="AD1401" s="23"/>
      <c r="AE1401" s="28" t="s">
        <v>19</v>
      </c>
      <c r="AF1401" s="23"/>
      <c r="AG1401" s="23"/>
      <c r="AH1401" s="23" t="str">
        <f>IFERROR(__xludf.DUMMYFUNCTION("IF(
ISNUMBER(MATCH(
C1401,
IMPORTRANGE(""https://docs.google.com/spreadsheets/d/1yTh1ELC33JHYOeEdgIiEclxPRyh0zOKtlawDltfUay8"",""'Interns'!A:A""),
0
)),
""Outreach Conducted"",
"""")"),"")</f>
        <v/>
      </c>
      <c r="AI1401" s="23"/>
      <c r="AJ1401" s="23"/>
      <c r="AK1401" s="23"/>
      <c r="AL1401" s="23" t="str">
        <f>IFERROR(__xludf.DUMMYFUNCTION("XLOOKUP(C1401, 
   IMPORTRANGE(""1RdEdgHYrZ33LJ7RUHj_h-qkAFL92bcVjtIdVa-UlsCw"", ""Interns!D:D""), 
   IMPORTRANGE(""1RdEdgHYrZ33LJ7RUHj_h-qkAFL92bcVjtIdVa-UlsCw"", ""Interns!N:N""), 
   ""Not Found"")"),"#Cheers4Careers")</f>
        <v>#Cheers4Careers</v>
      </c>
      <c r="AM1401" s="23" t="str">
        <f>IFERROR(__xludf.DUMMYFUNCTION("XLOOKUP(C1401, 
   IMPORTRANGE(""1RdEdgHYrZ33LJ7RUHj_h-qkAFL92bcVjtIdVa-UlsCw"", ""Interns!D:D""), 
   IMPORTRANGE(""1RdEdgHYrZ33LJ7RUHj_h-qkAFL92bcVjtIdVa-UlsCw"", ""Interns!O:O""), 
   ""Not Found"")"),"Hetal reached out March 27 for March #Cheers4 Careers ")</f>
        <v>Hetal reached out March 27 for March #Cheers4 Careers </v>
      </c>
      <c r="AN1401" s="23"/>
      <c r="AO1401" s="23" t="s">
        <v>13866</v>
      </c>
      <c r="AP1401" s="28" t="s">
        <v>5182</v>
      </c>
      <c r="AQ1401" s="28" t="s">
        <v>13867</v>
      </c>
      <c r="AR1401" s="23" t="s">
        <v>13868</v>
      </c>
      <c r="AS1401" s="23"/>
      <c r="AT1401" s="23"/>
      <c r="AU1401" s="23"/>
      <c r="AV1401" s="23"/>
    </row>
    <row r="1402">
      <c r="A1402" s="28" t="s">
        <v>5161</v>
      </c>
      <c r="B1402" s="28" t="s">
        <v>31</v>
      </c>
      <c r="C1402" s="23" t="str">
        <f t="shared" si="39"/>
        <v>Runelvis Espejo</v>
      </c>
      <c r="D1402" s="28" t="s">
        <v>8695</v>
      </c>
      <c r="E1402" s="28" t="s">
        <v>8696</v>
      </c>
      <c r="F1402" s="23">
        <f t="array" ref="F1402">IFERROR(
    INDEX('Hub Interns 226'!A:A, MATCH(C1402, 'Hub Interns 226'!B:B, 0)),"")</f>
        <v>1045</v>
      </c>
      <c r="G1402" s="23">
        <f t="array" ref="G1402">IFERROR(
    INDEX('Hub Users 226'!A:A, MATCH(C1402, 'Hub Users 226'!B:B, 0)),"")</f>
        <v>1478</v>
      </c>
      <c r="H1402" s="28">
        <v>1310.0</v>
      </c>
      <c r="I1402" s="28" t="s">
        <v>269</v>
      </c>
      <c r="J1402" s="28"/>
      <c r="K1402" s="28"/>
      <c r="L1402" s="28" t="s">
        <v>5165</v>
      </c>
      <c r="M1402" s="56" t="s">
        <v>8697</v>
      </c>
      <c r="N1402" s="59">
        <v>44847.459027777775</v>
      </c>
      <c r="O1402" s="58">
        <v>38579.0</v>
      </c>
      <c r="P1402" s="28">
        <f t="shared" si="41"/>
        <v>20</v>
      </c>
      <c r="Q1402" s="28" t="s">
        <v>240</v>
      </c>
      <c r="R1402" s="28" t="s">
        <v>8698</v>
      </c>
      <c r="S1402" s="28"/>
      <c r="T1402" s="28"/>
      <c r="U1402" s="28"/>
      <c r="V1402" s="28"/>
      <c r="W1402" s="28" t="s">
        <v>859</v>
      </c>
      <c r="X1402" s="28" t="s">
        <v>272</v>
      </c>
      <c r="Y1402" s="28" t="s">
        <v>8699</v>
      </c>
      <c r="Z1402" s="28" t="s">
        <v>5341</v>
      </c>
      <c r="AA1402" s="28" t="s">
        <v>1085</v>
      </c>
      <c r="AB1402" s="28">
        <v>10.0</v>
      </c>
      <c r="AC1402" s="28" t="s">
        <v>28</v>
      </c>
      <c r="AD1402" s="23"/>
      <c r="AE1402" s="28" t="s">
        <v>15</v>
      </c>
      <c r="AF1402" s="23"/>
      <c r="AG1402" s="23"/>
      <c r="AH1402" s="23" t="str">
        <f>IFERROR(__xludf.DUMMYFUNCTION("IF(
ISNUMBER(MATCH(
C1402,
IMPORTRANGE(""https://docs.google.com/spreadsheets/d/1yTh1ELC33JHYOeEdgIiEclxPRyh0zOKtlawDltfUay8"",""'Interns'!A:A""),
0
)),
""Outreach Conducted"",
"""")"),"")</f>
        <v/>
      </c>
      <c r="AI1402" s="23"/>
      <c r="AJ1402" s="23"/>
      <c r="AK1402" s="23" t="str">
        <f>IFERROR(__xludf.DUMMYFUNCTION("XLOOKUP(C1402, 
   IMPORTRANGE(""1RdEdgHYrZ33LJ7RUHj_h-qkAFL92bcVjtIdVa-UlsCw"", ""Interns!D:D""), 
   IMPORTRANGE(""1RdEdgHYrZ33LJ7RUHj_h-qkAFL92bcVjtIdVa-UlsCw"", ""Interns!M:M""), 
   ""Not Found"")"),"")</f>
        <v/>
      </c>
      <c r="AL1402" s="23" t="str">
        <f>IFERROR(__xludf.DUMMYFUNCTION("XLOOKUP(C1402, 
   IMPORTRANGE(""1RdEdgHYrZ33LJ7RUHj_h-qkAFL92bcVjtIdVa-UlsCw"", ""Interns!D:D""), 
   IMPORTRANGE(""1RdEdgHYrZ33LJ7RUHj_h-qkAFL92bcVjtIdVa-UlsCw"", ""Interns!N:N""), 
   ""Not Found"")"),"")</f>
        <v/>
      </c>
      <c r="AM1402" s="23" t="str">
        <f>IFERROR(__xludf.DUMMYFUNCTION("XLOOKUP(C1402, 
   IMPORTRANGE(""1RdEdgHYrZ33LJ7RUHj_h-qkAFL92bcVjtIdVa-UlsCw"", ""Interns!D:D""), 
   IMPORTRANGE(""1RdEdgHYrZ33LJ7RUHj_h-qkAFL92bcVjtIdVa-UlsCw"", ""Interns!O:O""), 
   ""Not Found"")"),"")</f>
        <v/>
      </c>
      <c r="AN1402" s="23"/>
      <c r="AO1402" s="23" t="s">
        <v>4816</v>
      </c>
      <c r="AP1402" s="28" t="s">
        <v>5182</v>
      </c>
      <c r="AQ1402" s="28"/>
      <c r="AR1402" s="23"/>
      <c r="AS1402" s="23"/>
      <c r="AT1402" s="23"/>
      <c r="AU1402" s="23"/>
      <c r="AV1402" s="23"/>
    </row>
    <row r="1403">
      <c r="A1403" s="28" t="s">
        <v>5161</v>
      </c>
      <c r="B1403" s="28" t="s">
        <v>5162</v>
      </c>
      <c r="C1403" s="23" t="str">
        <f t="shared" si="39"/>
        <v>Ameer Shahid</v>
      </c>
      <c r="D1403" s="28" t="s">
        <v>13869</v>
      </c>
      <c r="E1403" s="28" t="s">
        <v>13870</v>
      </c>
      <c r="F1403" s="23">
        <f t="array" ref="F1403">IFERROR(
    INDEX('Hub Interns 226'!A:A, MATCH(C1403, 'Hub Interns 226'!B:B, 0)),"")</f>
        <v>202</v>
      </c>
      <c r="G1403" s="23">
        <f t="array" ref="G1403">IFERROR(
    INDEX('Hub Users 226'!A:A, MATCH(C1403, 'Hub Users 226'!B:B, 0)),"")</f>
        <v>635</v>
      </c>
      <c r="H1403" s="28">
        <v>1339.0</v>
      </c>
      <c r="I1403" s="28" t="s">
        <v>290</v>
      </c>
      <c r="J1403" s="28"/>
      <c r="K1403" s="28"/>
      <c r="L1403" s="28" t="s">
        <v>5165</v>
      </c>
      <c r="M1403" s="56" t="s">
        <v>13871</v>
      </c>
      <c r="N1403" s="59">
        <v>44858.47430555556</v>
      </c>
      <c r="O1403" s="58">
        <v>39553.0</v>
      </c>
      <c r="P1403" s="28">
        <f t="shared" si="41"/>
        <v>18</v>
      </c>
      <c r="Q1403" s="28" t="s">
        <v>240</v>
      </c>
      <c r="R1403" s="28" t="s">
        <v>13872</v>
      </c>
      <c r="S1403" s="28">
        <v>5.0</v>
      </c>
      <c r="T1403" s="28">
        <v>10.0</v>
      </c>
      <c r="U1403" s="28">
        <v>31.0</v>
      </c>
      <c r="V1403" s="28">
        <v>31.0</v>
      </c>
      <c r="W1403" s="28" t="s">
        <v>271</v>
      </c>
      <c r="X1403" s="28" t="s">
        <v>272</v>
      </c>
      <c r="Y1403" s="28" t="s">
        <v>13873</v>
      </c>
      <c r="Z1403" s="28" t="s">
        <v>5332</v>
      </c>
      <c r="AA1403" s="28" t="s">
        <v>421</v>
      </c>
      <c r="AB1403" s="28">
        <v>31.0</v>
      </c>
      <c r="AC1403" s="28" t="s">
        <v>23</v>
      </c>
      <c r="AD1403" s="23"/>
      <c r="AE1403" s="28" t="s">
        <v>15</v>
      </c>
      <c r="AF1403" s="23"/>
      <c r="AG1403" s="23"/>
      <c r="AH1403" s="23" t="str">
        <f>IFERROR(__xludf.DUMMYFUNCTION("IF(
ISNUMBER(MATCH(
C1403,
IMPORTRANGE(""https://docs.google.com/spreadsheets/d/1yTh1ELC33JHYOeEdgIiEclxPRyh0zOKtlawDltfUay8"",""'Interns'!A:A""),
0
)),
""Outreach Conducted"",
"""")"),"")</f>
        <v/>
      </c>
      <c r="AI1403" s="23"/>
      <c r="AJ1403" s="23"/>
      <c r="AK1403" s="23" t="str">
        <f>IFERROR(__xludf.DUMMYFUNCTION("XLOOKUP(C1403, 
   IMPORTRANGE(""1RdEdgHYrZ33LJ7RUHj_h-qkAFL92bcVjtIdVa-UlsCw"", ""Interns!D:D""), 
   IMPORTRANGE(""1RdEdgHYrZ33LJ7RUHj_h-qkAFL92bcVjtIdVa-UlsCw"", ""Interns!M:M""), 
   ""Not Found"")"),"Contacted")</f>
        <v>Contacted</v>
      </c>
      <c r="AL1403" s="23" t="str">
        <f>IFERROR(__xludf.DUMMYFUNCTION("XLOOKUP(C1403, 
   IMPORTRANGE(""1RdEdgHYrZ33LJ7RUHj_h-qkAFL92bcVjtIdVa-UlsCw"", ""Interns!D:D""), 
   IMPORTRANGE(""1RdEdgHYrZ33LJ7RUHj_h-qkAFL92bcVjtIdVa-UlsCw"", ""Interns!N:N""), 
   ""Not Found"")"),"#Cheers4Careers")</f>
        <v>#Cheers4Careers</v>
      </c>
      <c r="AM1403" s="23" t="str">
        <f>IFERROR(__xludf.DUMMYFUNCTION("XLOOKUP(C1403, 
   IMPORTRANGE(""1RdEdgHYrZ33LJ7RUHj_h-qkAFL92bcVjtIdVa-UlsCw"", ""Interns!D:D""), 
   IMPORTRANGE(""1RdEdgHYrZ33LJ7RUHj_h-qkAFL92bcVjtIdVa-UlsCw"", ""Interns!O:O""), 
   ""Not Found"")"),"Hetal reached out March 27 for March #Cheers4 Careers and texted")</f>
        <v>Hetal reached out March 27 for March #Cheers4 Careers and texted</v>
      </c>
      <c r="AN1403" s="23"/>
      <c r="AO1403" s="23" t="s">
        <v>13874</v>
      </c>
      <c r="AP1403" s="28" t="s">
        <v>5182</v>
      </c>
      <c r="AQ1403" s="28"/>
      <c r="AR1403" s="23"/>
      <c r="AS1403" s="23"/>
      <c r="AT1403" s="23"/>
      <c r="AU1403" s="23"/>
      <c r="AV1403" s="23"/>
    </row>
    <row r="1404">
      <c r="A1404" s="28" t="s">
        <v>5161</v>
      </c>
      <c r="B1404" s="28" t="s">
        <v>5162</v>
      </c>
      <c r="C1404" s="23" t="str">
        <f t="shared" si="39"/>
        <v>Brianna Ramos</v>
      </c>
      <c r="D1404" s="22" t="s">
        <v>5354</v>
      </c>
      <c r="E1404" s="22" t="s">
        <v>7937</v>
      </c>
      <c r="F1404" s="23"/>
      <c r="G1404" s="23"/>
      <c r="H1404" s="22">
        <v>1907.0</v>
      </c>
      <c r="I1404" s="28"/>
      <c r="J1404" s="28"/>
      <c r="K1404" s="28"/>
      <c r="L1404" s="28" t="s">
        <v>5196</v>
      </c>
      <c r="M1404" s="29" t="s">
        <v>13875</v>
      </c>
      <c r="N1404" s="61">
        <v>45845.59583333333</v>
      </c>
      <c r="O1404" s="25">
        <v>39300.0</v>
      </c>
      <c r="P1404" s="28">
        <f t="shared" si="41"/>
        <v>18</v>
      </c>
      <c r="Q1404" s="62" t="s">
        <v>240</v>
      </c>
      <c r="R1404" s="22" t="s">
        <v>13876</v>
      </c>
      <c r="S1404" s="28">
        <v>15.0</v>
      </c>
      <c r="T1404" s="28">
        <v>34.0</v>
      </c>
      <c r="U1404" s="28">
        <v>80.0</v>
      </c>
      <c r="V1404" s="28">
        <v>13.0</v>
      </c>
      <c r="W1404" s="23"/>
      <c r="X1404" s="23"/>
      <c r="Y1404" s="22" t="s">
        <v>13877</v>
      </c>
      <c r="Z1404" s="22" t="s">
        <v>5822</v>
      </c>
      <c r="AA1404" s="28" t="s">
        <v>5822</v>
      </c>
      <c r="AB1404" s="28">
        <v>30.0</v>
      </c>
      <c r="AC1404" s="28" t="s">
        <v>27</v>
      </c>
      <c r="AD1404" s="23"/>
      <c r="AE1404" s="28" t="s">
        <v>20</v>
      </c>
      <c r="AF1404" s="23"/>
      <c r="AG1404" s="23"/>
      <c r="AH1404" s="23" t="str">
        <f>IFERROR(__xludf.DUMMYFUNCTION("IF(
ISNUMBER(MATCH(
C1404,
IMPORTRANGE(""https://docs.google.com/spreadsheets/d/1yTh1ELC33JHYOeEdgIiEclxPRyh0zOKtlawDltfUay8"",""'Interns'!A:A""),
0
)),
""Outreach Conducted"",
"""")"),"")</f>
        <v/>
      </c>
      <c r="AI1404" s="23"/>
      <c r="AJ1404" s="23"/>
      <c r="AK1404" s="23"/>
      <c r="AL1404" s="23" t="str">
        <f>IFERROR(__xludf.DUMMYFUNCTION("XLOOKUP(C1404, 
   IMPORTRANGE(""1RdEdgHYrZ33LJ7RUHj_h-qkAFL92bcVjtIdVa-UlsCw"", ""Interns!D:D""), 
   IMPORTRANGE(""1RdEdgHYrZ33LJ7RUHj_h-qkAFL92bcVjtIdVa-UlsCw"", ""Interns!N:N""), 
   ""Not Found"")"),"#Cheers4Careers")</f>
        <v>#Cheers4Careers</v>
      </c>
      <c r="AM1404" s="23" t="str">
        <f>IFERROR(__xludf.DUMMYFUNCTION("XLOOKUP(C1404, 
   IMPORTRANGE(""1RdEdgHYrZ33LJ7RUHj_h-qkAFL92bcVjtIdVa-UlsCw"", ""Interns!D:D""), 
   IMPORTRANGE(""1RdEdgHYrZ33LJ7RUHj_h-qkAFL92bcVjtIdVa-UlsCw"", ""Interns!O:O""), 
   ""Not Found"")"),"Hetal reached out March 27 for March #Cheers4 Careers ")</f>
        <v>Hetal reached out March 27 for March #Cheers4 Careers </v>
      </c>
      <c r="AN1404" s="23"/>
      <c r="AO1404" s="23" t="s">
        <v>13878</v>
      </c>
      <c r="AP1404" s="28" t="s">
        <v>5182</v>
      </c>
      <c r="AQ1404" s="28" t="s">
        <v>13879</v>
      </c>
      <c r="AR1404" s="23" t="s">
        <v>13880</v>
      </c>
      <c r="AS1404" s="23"/>
      <c r="AT1404" s="23"/>
      <c r="AU1404" s="23"/>
      <c r="AV1404" s="23"/>
    </row>
    <row r="1405">
      <c r="A1405" s="28" t="s">
        <v>5161</v>
      </c>
      <c r="B1405" s="28" t="s">
        <v>5162</v>
      </c>
      <c r="C1405" s="23" t="str">
        <f t="shared" si="39"/>
        <v>Jaxson Maisonave-herrera</v>
      </c>
      <c r="D1405" s="28" t="s">
        <v>13881</v>
      </c>
      <c r="E1405" s="28" t="s">
        <v>13882</v>
      </c>
      <c r="F1405" s="23">
        <f t="array" ref="F1405">IFERROR(
    INDEX('Hub Interns 226'!A:A, MATCH(C1405, 'Hub Interns 226'!B:B, 0)),"")</f>
        <v>1477</v>
      </c>
      <c r="G1405" s="23">
        <f t="array" ref="G1405">IFERROR(
    INDEX('Hub Users 226'!A:A, MATCH(C1405, 'Hub Users 226'!B:B, 0)),"")</f>
        <v>2053</v>
      </c>
      <c r="H1405" s="28">
        <v>1844.0</v>
      </c>
      <c r="I1405" s="28" t="s">
        <v>239</v>
      </c>
      <c r="J1405" s="28"/>
      <c r="K1405" s="28"/>
      <c r="L1405" s="28" t="s">
        <v>5165</v>
      </c>
      <c r="M1405" s="56" t="s">
        <v>13883</v>
      </c>
      <c r="N1405" s="57">
        <v>45503.98333333333</v>
      </c>
      <c r="O1405" s="58">
        <v>41165.0</v>
      </c>
      <c r="P1405" s="28">
        <f t="shared" si="41"/>
        <v>13</v>
      </c>
      <c r="Q1405" s="28" t="s">
        <v>240</v>
      </c>
      <c r="R1405" s="28" t="s">
        <v>13884</v>
      </c>
      <c r="S1405" s="28">
        <v>7.0</v>
      </c>
      <c r="T1405" s="28">
        <v>12.0</v>
      </c>
      <c r="U1405" s="28">
        <v>37.0</v>
      </c>
      <c r="V1405" s="28">
        <v>34.0</v>
      </c>
      <c r="W1405" s="28" t="s">
        <v>1173</v>
      </c>
      <c r="X1405" s="28" t="s">
        <v>272</v>
      </c>
      <c r="Y1405" s="28" t="s">
        <v>13885</v>
      </c>
      <c r="Z1405" s="23"/>
      <c r="AA1405" s="28" t="s">
        <v>5512</v>
      </c>
      <c r="AB1405" s="28">
        <v>30.0</v>
      </c>
      <c r="AC1405" s="28" t="s">
        <v>23</v>
      </c>
      <c r="AD1405" s="23"/>
      <c r="AE1405" s="28" t="s">
        <v>19</v>
      </c>
      <c r="AF1405" s="23"/>
      <c r="AG1405" s="23"/>
      <c r="AH1405" s="23" t="str">
        <f>IFERROR(__xludf.DUMMYFUNCTION("IF(
ISNUMBER(MATCH(
C1405,
IMPORTRANGE(""https://docs.google.com/spreadsheets/d/1yTh1ELC33JHYOeEdgIiEclxPRyh0zOKtlawDltfUay8"",""'Interns'!A:A""),
0
)),
""Outreach Conducted"",
"""")"),"")</f>
        <v/>
      </c>
      <c r="AI1405" s="23"/>
      <c r="AJ1405" s="23"/>
      <c r="AK1405" s="23" t="str">
        <f>IFERROR(__xludf.DUMMYFUNCTION("XLOOKUP(C1405, 
   IMPORTRANGE(""1RdEdgHYrZ33LJ7RUHj_h-qkAFL92bcVjtIdVa-UlsCw"", ""Interns!D:D""), 
   IMPORTRANGE(""1RdEdgHYrZ33LJ7RUHj_h-qkAFL92bcVjtIdVa-UlsCw"", ""Interns!M:M""), 
   ""Not Found"")"),"Contacted")</f>
        <v>Contacted</v>
      </c>
      <c r="AL1405" s="23" t="str">
        <f>IFERROR(__xludf.DUMMYFUNCTION("XLOOKUP(C1405, 
   IMPORTRANGE(""1RdEdgHYrZ33LJ7RUHj_h-qkAFL92bcVjtIdVa-UlsCw"", ""Interns!D:D""), 
   IMPORTRANGE(""1RdEdgHYrZ33LJ7RUHj_h-qkAFL92bcVjtIdVa-UlsCw"", ""Interns!N:N""), 
   ""Not Found"")"),"#Cheers4Careers")</f>
        <v>#Cheers4Careers</v>
      </c>
      <c r="AM1405" s="23" t="str">
        <f>IFERROR(__xludf.DUMMYFUNCTION("XLOOKUP(C1405,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405" s="23"/>
      <c r="AO1405" s="23" t="s">
        <v>13886</v>
      </c>
      <c r="AP1405" s="28" t="s">
        <v>5191</v>
      </c>
      <c r="AQ1405" s="28" t="s">
        <v>13883</v>
      </c>
      <c r="AR1405" s="23" t="s">
        <v>13887</v>
      </c>
      <c r="AS1405" s="23"/>
      <c r="AT1405" s="23"/>
      <c r="AU1405" s="23"/>
      <c r="AV1405" s="23"/>
    </row>
    <row r="1406">
      <c r="A1406" s="28" t="s">
        <v>5161</v>
      </c>
      <c r="B1406" s="28" t="s">
        <v>31</v>
      </c>
      <c r="C1406" s="23" t="str">
        <f t="shared" si="39"/>
        <v>siolimar-shadow alba alba</v>
      </c>
      <c r="D1406" s="28" t="s">
        <v>13888</v>
      </c>
      <c r="E1406" s="28" t="s">
        <v>13889</v>
      </c>
      <c r="F1406" s="23">
        <f t="array" ref="F1406">IFERROR(
    INDEX('Hub Interns 226'!A:A, MATCH(C1406, 'Hub Interns 226'!B:B, 0)),"")</f>
        <v>1093</v>
      </c>
      <c r="G1406" s="23">
        <f t="array" ref="G1406">IFERROR(
    INDEX('Hub Users 226'!A:A, MATCH(C1406, 'Hub Users 226'!B:B, 0)),"")</f>
        <v>1526</v>
      </c>
      <c r="H1406" s="28">
        <v>1231.0</v>
      </c>
      <c r="I1406" s="28" t="s">
        <v>407</v>
      </c>
      <c r="J1406" s="28"/>
      <c r="K1406" s="28"/>
      <c r="L1406" s="28" t="s">
        <v>5196</v>
      </c>
      <c r="M1406" s="56" t="s">
        <v>13890</v>
      </c>
      <c r="N1406" s="57">
        <v>44838.44861111111</v>
      </c>
      <c r="O1406" s="58">
        <v>39035.0</v>
      </c>
      <c r="P1406" s="28">
        <f t="shared" si="41"/>
        <v>19</v>
      </c>
      <c r="Q1406" s="28" t="s">
        <v>240</v>
      </c>
      <c r="R1406" s="28" t="s">
        <v>13891</v>
      </c>
      <c r="S1406" s="28"/>
      <c r="T1406" s="28"/>
      <c r="U1406" s="28"/>
      <c r="V1406" s="28"/>
      <c r="W1406" s="28" t="s">
        <v>271</v>
      </c>
      <c r="X1406" s="28" t="s">
        <v>272</v>
      </c>
      <c r="Y1406" s="28" t="s">
        <v>13892</v>
      </c>
      <c r="Z1406" s="28" t="s">
        <v>5341</v>
      </c>
      <c r="AA1406" s="28" t="s">
        <v>1085</v>
      </c>
      <c r="AB1406" s="28">
        <v>10.0</v>
      </c>
      <c r="AC1406" s="28" t="s">
        <v>28</v>
      </c>
      <c r="AD1406" s="23"/>
      <c r="AE1406" s="28" t="s">
        <v>15</v>
      </c>
      <c r="AF1406" s="23"/>
      <c r="AG1406" s="23"/>
      <c r="AH1406" s="23" t="str">
        <f>IFERROR(__xludf.DUMMYFUNCTION("IF(
ISNUMBER(MATCH(
C1406,
IMPORTRANGE(""https://docs.google.com/spreadsheets/d/1yTh1ELC33JHYOeEdgIiEclxPRyh0zOKtlawDltfUay8"",""'Interns'!A:A""),
0
)),
""Outreach Conducted"",
"""")"),"")</f>
        <v/>
      </c>
      <c r="AI1406" s="23"/>
      <c r="AJ1406" s="23"/>
      <c r="AK1406" s="23" t="str">
        <f>IFERROR(__xludf.DUMMYFUNCTION("XLOOKUP(C1406, 
   IMPORTRANGE(""1RdEdgHYrZ33LJ7RUHj_h-qkAFL92bcVjtIdVa-UlsCw"", ""Interns!D:D""), 
   IMPORTRANGE(""1RdEdgHYrZ33LJ7RUHj_h-qkAFL92bcVjtIdVa-UlsCw"", ""Interns!M:M""), 
   ""Not Found"")"),"")</f>
        <v/>
      </c>
      <c r="AL1406" s="23" t="str">
        <f>IFERROR(__xludf.DUMMYFUNCTION("XLOOKUP(C1406, 
   IMPORTRANGE(""1RdEdgHYrZ33LJ7RUHj_h-qkAFL92bcVjtIdVa-UlsCw"", ""Interns!D:D""), 
   IMPORTRANGE(""1RdEdgHYrZ33LJ7RUHj_h-qkAFL92bcVjtIdVa-UlsCw"", ""Interns!N:N""), 
   ""Not Found"")"),"")</f>
        <v/>
      </c>
      <c r="AM1406" s="23" t="str">
        <f>IFERROR(__xludf.DUMMYFUNCTION("XLOOKUP(C1406, 
   IMPORTRANGE(""1RdEdgHYrZ33LJ7RUHj_h-qkAFL92bcVjtIdVa-UlsCw"", ""Interns!D:D""), 
   IMPORTRANGE(""1RdEdgHYrZ33LJ7RUHj_h-qkAFL92bcVjtIdVa-UlsCw"", ""Interns!O:O""), 
   ""Not Found"")"),"")</f>
        <v/>
      </c>
      <c r="AN1406" s="23"/>
      <c r="AO1406" s="23" t="s">
        <v>13893</v>
      </c>
      <c r="AP1406" s="28" t="s">
        <v>5182</v>
      </c>
      <c r="AQ1406" s="28"/>
      <c r="AR1406" s="23"/>
      <c r="AS1406" s="23"/>
      <c r="AT1406" s="23"/>
      <c r="AU1406" s="23"/>
      <c r="AV1406" s="23"/>
    </row>
    <row r="1407">
      <c r="A1407" s="28" t="s">
        <v>5161</v>
      </c>
      <c r="B1407" s="28" t="s">
        <v>5162</v>
      </c>
      <c r="C1407" s="23" t="str">
        <f t="shared" si="39"/>
        <v>Nyla Matthews</v>
      </c>
      <c r="D1407" s="22" t="s">
        <v>4783</v>
      </c>
      <c r="E1407" s="22" t="s">
        <v>10393</v>
      </c>
      <c r="F1407" s="23"/>
      <c r="G1407" s="23"/>
      <c r="H1407" s="22">
        <v>1934.0</v>
      </c>
      <c r="I1407" s="28"/>
      <c r="J1407" s="28"/>
      <c r="K1407" s="28"/>
      <c r="L1407" s="28" t="s">
        <v>5196</v>
      </c>
      <c r="M1407" s="29" t="s">
        <v>13894</v>
      </c>
      <c r="N1407" s="61">
        <v>45771.43819444445</v>
      </c>
      <c r="O1407" s="25">
        <v>40301.0</v>
      </c>
      <c r="P1407" s="28">
        <f t="shared" si="41"/>
        <v>16</v>
      </c>
      <c r="Q1407" s="62" t="s">
        <v>240</v>
      </c>
      <c r="R1407" s="22" t="s">
        <v>13895</v>
      </c>
      <c r="S1407" s="28">
        <v>5.0</v>
      </c>
      <c r="T1407" s="28">
        <v>14.0</v>
      </c>
      <c r="U1407" s="28">
        <v>33.0</v>
      </c>
      <c r="V1407" s="28">
        <v>27.0</v>
      </c>
      <c r="W1407" s="23"/>
      <c r="X1407" s="23"/>
      <c r="Y1407" s="22" t="s">
        <v>13896</v>
      </c>
      <c r="Z1407" s="22" t="s">
        <v>7490</v>
      </c>
      <c r="AA1407" s="28" t="s">
        <v>5659</v>
      </c>
      <c r="AB1407" s="28">
        <v>23.0</v>
      </c>
      <c r="AC1407" s="28" t="s">
        <v>23</v>
      </c>
      <c r="AD1407" s="23"/>
      <c r="AE1407" s="28" t="s">
        <v>19</v>
      </c>
      <c r="AF1407" s="23"/>
      <c r="AG1407" s="23"/>
      <c r="AH1407" s="23" t="str">
        <f>IFERROR(__xludf.DUMMYFUNCTION("IF(
ISNUMBER(MATCH(
C1407,
IMPORTRANGE(""https://docs.google.com/spreadsheets/d/1yTh1ELC33JHYOeEdgIiEclxPRyh0zOKtlawDltfUay8"",""'Interns'!A:A""),
0
)),
""Outreach Conducted"",
"""")"),"")</f>
        <v/>
      </c>
      <c r="AI1407" s="23"/>
      <c r="AJ1407" s="23"/>
      <c r="AK1407" s="23"/>
      <c r="AL1407" s="23" t="str">
        <f>IFERROR(__xludf.DUMMYFUNCTION("XLOOKUP(C1407, 
   IMPORTRANGE(""1RdEdgHYrZ33LJ7RUHj_h-qkAFL92bcVjtIdVa-UlsCw"", ""Interns!D:D""), 
   IMPORTRANGE(""1RdEdgHYrZ33LJ7RUHj_h-qkAFL92bcVjtIdVa-UlsCw"", ""Interns!N:N""), 
   ""Not Found"")"),"#Cheers4Careers")</f>
        <v>#Cheers4Careers</v>
      </c>
      <c r="AM1407" s="23" t="str">
        <f>IFERROR(__xludf.DUMMYFUNCTION("XLOOKUP(C1407, 
   IMPORTRANGE(""1RdEdgHYrZ33LJ7RUHj_h-qkAFL92bcVjtIdVa-UlsCw"", ""Interns!D:D""), 
   IMPORTRANGE(""1RdEdgHYrZ33LJ7RUHj_h-qkAFL92bcVjtIdVa-UlsCw"", ""Interns!O:O""), 
   ""Not Found"")"),"Hetal reached out March 27 for March #Cheers4 Careers ")</f>
        <v>Hetal reached out March 27 for March #Cheers4 Careers </v>
      </c>
      <c r="AN1407" s="23"/>
      <c r="AO1407" s="23" t="s">
        <v>13897</v>
      </c>
      <c r="AP1407" s="28" t="s">
        <v>5182</v>
      </c>
      <c r="AQ1407" s="28" t="s">
        <v>13898</v>
      </c>
      <c r="AR1407" s="23" t="s">
        <v>13899</v>
      </c>
      <c r="AS1407" s="23"/>
      <c r="AT1407" s="23"/>
      <c r="AU1407" s="23"/>
      <c r="AV1407" s="23"/>
    </row>
    <row r="1408">
      <c r="A1408" s="28" t="s">
        <v>5161</v>
      </c>
      <c r="B1408" s="28" t="s">
        <v>5162</v>
      </c>
      <c r="C1408" s="23" t="str">
        <f t="shared" si="39"/>
        <v>Daniel Merceron</v>
      </c>
      <c r="D1408" s="28" t="s">
        <v>4968</v>
      </c>
      <c r="E1408" s="28" t="s">
        <v>13900</v>
      </c>
      <c r="F1408" s="23">
        <f t="array" ref="F1408">IFERROR(
    INDEX('Hub Interns 226'!A:A, MATCH(C1408, 'Hub Interns 226'!B:B, 0)),"")</f>
        <v>410</v>
      </c>
      <c r="G1408" s="23">
        <f t="array" ref="G1408">IFERROR(
    INDEX('Hub Users 226'!A:A, MATCH(C1408, 'Hub Users 226'!B:B, 0)),"")</f>
        <v>843</v>
      </c>
      <c r="H1408" s="28">
        <v>1375.0</v>
      </c>
      <c r="I1408" s="28" t="s">
        <v>239</v>
      </c>
      <c r="J1408" s="28"/>
      <c r="K1408" s="28"/>
      <c r="L1408" s="28" t="s">
        <v>5165</v>
      </c>
      <c r="M1408" s="56" t="s">
        <v>13901</v>
      </c>
      <c r="N1408" s="59">
        <v>44860.47083333333</v>
      </c>
      <c r="O1408" s="58">
        <v>39491.0</v>
      </c>
      <c r="P1408" s="28">
        <f t="shared" si="41"/>
        <v>18</v>
      </c>
      <c r="Q1408" s="28" t="s">
        <v>240</v>
      </c>
      <c r="R1408" s="28" t="s">
        <v>13902</v>
      </c>
      <c r="S1408" s="28">
        <v>5.0</v>
      </c>
      <c r="T1408" s="28">
        <v>14.0</v>
      </c>
      <c r="U1408" s="28">
        <v>33.0</v>
      </c>
      <c r="V1408" s="28">
        <v>27.0</v>
      </c>
      <c r="W1408" s="28" t="s">
        <v>1173</v>
      </c>
      <c r="X1408" s="28" t="s">
        <v>272</v>
      </c>
      <c r="Y1408" s="28" t="s">
        <v>13903</v>
      </c>
      <c r="Z1408" s="28" t="s">
        <v>5332</v>
      </c>
      <c r="AA1408" s="28" t="s">
        <v>421</v>
      </c>
      <c r="AB1408" s="28">
        <v>31.0</v>
      </c>
      <c r="AC1408" s="28" t="s">
        <v>23</v>
      </c>
      <c r="AD1408" s="28" t="s">
        <v>101</v>
      </c>
      <c r="AE1408" s="28" t="s">
        <v>15</v>
      </c>
      <c r="AF1408" s="23"/>
      <c r="AG1408" s="23"/>
      <c r="AH1408" s="23" t="str">
        <f>IFERROR(__xludf.DUMMYFUNCTION("IF(
ISNUMBER(MATCH(
C1408,
IMPORTRANGE(""https://docs.google.com/spreadsheets/d/1yTh1ELC33JHYOeEdgIiEclxPRyh0zOKtlawDltfUay8"",""'Interns'!A:A""),
0
)),
""Outreach Conducted"",
"""")"),"")</f>
        <v/>
      </c>
      <c r="AI1408" s="23"/>
      <c r="AJ1408" s="23"/>
      <c r="AK1408" s="23" t="str">
        <f>IFERROR(__xludf.DUMMYFUNCTION("XLOOKUP(C1408, 
   IMPORTRANGE(""1RdEdgHYrZ33LJ7RUHj_h-qkAFL92bcVjtIdVa-UlsCw"", ""Interns!D:D""), 
   IMPORTRANGE(""1RdEdgHYrZ33LJ7RUHj_h-qkAFL92bcVjtIdVa-UlsCw"", ""Interns!M:M""), 
   ""Not Found"")"),"Contacted")</f>
        <v>Contacted</v>
      </c>
      <c r="AL1408" s="23" t="str">
        <f>IFERROR(__xludf.DUMMYFUNCTION("XLOOKUP(C1408, 
   IMPORTRANGE(""1RdEdgHYrZ33LJ7RUHj_h-qkAFL92bcVjtIdVa-UlsCw"", ""Interns!D:D""), 
   IMPORTRANGE(""1RdEdgHYrZ33LJ7RUHj_h-qkAFL92bcVjtIdVa-UlsCw"", ""Interns!N:N""), 
   ""Not Found"")"),"#Cheers4Careers")</f>
        <v>#Cheers4Careers</v>
      </c>
      <c r="AM1408" s="23" t="str">
        <f>IFERROR(__xludf.DUMMYFUNCTION("XLOOKUP(C1408, 
   IMPORTRANGE(""1RdEdgHYrZ33LJ7RUHj_h-qkAFL92bcVjtIdVa-UlsCw"", ""Interns!D:D""), 
   IMPORTRANGE(""1RdEdgHYrZ33LJ7RUHj_h-qkAFL92bcVjtIdVa-UlsCw"", ""Interns!O:O""), 
   ""Not Found"")"),"Hetal reached out March 27 for March #Cheers4 Careers ")</f>
        <v>Hetal reached out March 27 for March #Cheers4 Careers </v>
      </c>
      <c r="AN1408" s="23"/>
      <c r="AO1408" s="23" t="s">
        <v>13904</v>
      </c>
      <c r="AP1408" s="28" t="s">
        <v>5182</v>
      </c>
      <c r="AQ1408" s="28"/>
      <c r="AR1408" s="23"/>
      <c r="AS1408" s="23"/>
      <c r="AT1408" s="23"/>
      <c r="AU1408" s="23"/>
      <c r="AV1408" s="23"/>
    </row>
    <row r="1409">
      <c r="A1409" s="28" t="s">
        <v>5161</v>
      </c>
      <c r="B1409" s="28" t="s">
        <v>5162</v>
      </c>
      <c r="C1409" s="23" t="str">
        <f t="shared" si="39"/>
        <v>Angela (Angie) Baylan</v>
      </c>
      <c r="D1409" s="22" t="s">
        <v>13905</v>
      </c>
      <c r="E1409" s="22" t="s">
        <v>13906</v>
      </c>
      <c r="F1409" s="23"/>
      <c r="G1409" s="23"/>
      <c r="H1409" s="22">
        <v>1919.0</v>
      </c>
      <c r="I1409" s="28"/>
      <c r="J1409" s="28"/>
      <c r="K1409" s="28"/>
      <c r="L1409" s="28" t="s">
        <v>5196</v>
      </c>
      <c r="M1409" s="29" t="s">
        <v>13907</v>
      </c>
      <c r="N1409" s="61">
        <v>45771.71111111111</v>
      </c>
      <c r="O1409" s="25">
        <v>40173.0</v>
      </c>
      <c r="P1409" s="28">
        <f t="shared" si="41"/>
        <v>16</v>
      </c>
      <c r="Q1409" s="62" t="s">
        <v>13908</v>
      </c>
      <c r="R1409" s="22" t="s">
        <v>13909</v>
      </c>
      <c r="S1409" s="28">
        <v>5.0</v>
      </c>
      <c r="T1409" s="28">
        <v>14.0</v>
      </c>
      <c r="U1409" s="28">
        <v>29.0</v>
      </c>
      <c r="V1409" s="28">
        <v>27.0</v>
      </c>
      <c r="W1409" s="23"/>
      <c r="X1409" s="23"/>
      <c r="Y1409" s="22" t="s">
        <v>13910</v>
      </c>
      <c r="Z1409" s="22" t="s">
        <v>7490</v>
      </c>
      <c r="AA1409" s="28" t="s">
        <v>5659</v>
      </c>
      <c r="AB1409" s="28">
        <v>23.0</v>
      </c>
      <c r="AC1409" s="28" t="s">
        <v>23</v>
      </c>
      <c r="AD1409" s="23"/>
      <c r="AE1409" s="28" t="s">
        <v>19</v>
      </c>
      <c r="AF1409" s="23"/>
      <c r="AG1409" s="23"/>
      <c r="AH1409" s="23" t="str">
        <f>IFERROR(__xludf.DUMMYFUNCTION("IF(
ISNUMBER(MATCH(
C1409,
IMPORTRANGE(""https://docs.google.com/spreadsheets/d/1yTh1ELC33JHYOeEdgIiEclxPRyh0zOKtlawDltfUay8"",""'Interns'!A:A""),
0
)),
""Outreach Conducted"",
"""")"),"")</f>
        <v/>
      </c>
      <c r="AI1409" s="23"/>
      <c r="AJ1409" s="23"/>
      <c r="AK1409" s="23"/>
      <c r="AL1409" s="23" t="str">
        <f>IFERROR(__xludf.DUMMYFUNCTION("XLOOKUP(C1409, 
   IMPORTRANGE(""1RdEdgHYrZ33LJ7RUHj_h-qkAFL92bcVjtIdVa-UlsCw"", ""Interns!D:D""), 
   IMPORTRANGE(""1RdEdgHYrZ33LJ7RUHj_h-qkAFL92bcVjtIdVa-UlsCw"", ""Interns!N:N""), 
   ""Not Found"")"),"#Cheers4Careers")</f>
        <v>#Cheers4Careers</v>
      </c>
      <c r="AM1409" s="23" t="str">
        <f>IFERROR(__xludf.DUMMYFUNCTION("XLOOKUP(C1409, 
   IMPORTRANGE(""1RdEdgHYrZ33LJ7RUHj_h-qkAFL92bcVjtIdVa-UlsCw"", ""Interns!D:D""), 
   IMPORTRANGE(""1RdEdgHYrZ33LJ7RUHj_h-qkAFL92bcVjtIdVa-UlsCw"", ""Interns!O:O""), 
   ""Not Found"")"),"Hetal reached out March 27 for March #Cheers4 Careers ")</f>
        <v>Hetal reached out March 27 for March #Cheers4 Careers </v>
      </c>
      <c r="AN1409" s="23"/>
      <c r="AO1409" s="23" t="s">
        <v>13911</v>
      </c>
      <c r="AP1409" s="28" t="s">
        <v>5182</v>
      </c>
      <c r="AQ1409" s="28" t="s">
        <v>13912</v>
      </c>
      <c r="AR1409" s="23" t="s">
        <v>13913</v>
      </c>
      <c r="AS1409" s="23"/>
      <c r="AT1409" s="23"/>
      <c r="AU1409" s="23"/>
      <c r="AV1409" s="23"/>
    </row>
    <row r="1410">
      <c r="A1410" s="28" t="s">
        <v>5161</v>
      </c>
      <c r="B1410" s="28" t="s">
        <v>31</v>
      </c>
      <c r="C1410" s="23" t="str">
        <f t="shared" si="39"/>
        <v>Steven Liriano</v>
      </c>
      <c r="D1410" s="28" t="s">
        <v>3100</v>
      </c>
      <c r="E1410" s="28" t="s">
        <v>7335</v>
      </c>
      <c r="F1410" s="23">
        <f t="array" ref="F1410">IFERROR(
    INDEX('Hub Interns 226'!A:A, MATCH(C1410, 'Hub Interns 226'!B:B, 0)),"")</f>
        <v>1122</v>
      </c>
      <c r="G1410" s="23">
        <f t="array" ref="G1410">IFERROR(
    INDEX('Hub Users 226'!A:A, MATCH(C1410, 'Hub Users 226'!B:B, 0)),"")</f>
        <v>1555</v>
      </c>
      <c r="H1410" s="28">
        <v>1224.0</v>
      </c>
      <c r="I1410" s="28"/>
      <c r="J1410" s="28"/>
      <c r="K1410" s="28"/>
      <c r="L1410" s="28" t="s">
        <v>5165</v>
      </c>
      <c r="M1410" s="56" t="s">
        <v>7336</v>
      </c>
      <c r="N1410" s="57">
        <v>44838.436111111114</v>
      </c>
      <c r="O1410" s="58">
        <v>38513.0</v>
      </c>
      <c r="P1410" s="28">
        <f t="shared" si="41"/>
        <v>20</v>
      </c>
      <c r="Q1410" s="28" t="s">
        <v>7337</v>
      </c>
      <c r="R1410" s="28" t="s">
        <v>7338</v>
      </c>
      <c r="S1410" s="28"/>
      <c r="T1410" s="28"/>
      <c r="U1410" s="28"/>
      <c r="V1410" s="28"/>
      <c r="W1410" s="28" t="s">
        <v>859</v>
      </c>
      <c r="X1410" s="28" t="s">
        <v>272</v>
      </c>
      <c r="Y1410" s="28" t="s">
        <v>7339</v>
      </c>
      <c r="Z1410" s="28" t="s">
        <v>5341</v>
      </c>
      <c r="AA1410" s="28" t="s">
        <v>1085</v>
      </c>
      <c r="AB1410" s="28">
        <v>10.0</v>
      </c>
      <c r="AC1410" s="28" t="s">
        <v>28</v>
      </c>
      <c r="AD1410" s="23"/>
      <c r="AE1410" s="28" t="s">
        <v>15</v>
      </c>
      <c r="AF1410" s="23"/>
      <c r="AG1410" s="23"/>
      <c r="AH1410" s="23" t="str">
        <f>IFERROR(__xludf.DUMMYFUNCTION("IF(
ISNUMBER(MATCH(
C1410,
IMPORTRANGE(""https://docs.google.com/spreadsheets/d/1yTh1ELC33JHYOeEdgIiEclxPRyh0zOKtlawDltfUay8"",""'Interns'!A:A""),
0
)),
""Outreach Conducted"",
"""")"),"")</f>
        <v/>
      </c>
      <c r="AI1410" s="23"/>
      <c r="AJ1410" s="23"/>
      <c r="AK1410" s="23" t="str">
        <f>IFERROR(__xludf.DUMMYFUNCTION("XLOOKUP(C1410, 
   IMPORTRANGE(""1RdEdgHYrZ33LJ7RUHj_h-qkAFL92bcVjtIdVa-UlsCw"", ""Interns!D:D""), 
   IMPORTRANGE(""1RdEdgHYrZ33LJ7RUHj_h-qkAFL92bcVjtIdVa-UlsCw"", ""Interns!M:M""), 
   ""Not Found"")"),"")</f>
        <v/>
      </c>
      <c r="AL1410" s="23" t="str">
        <f>IFERROR(__xludf.DUMMYFUNCTION("XLOOKUP(C1410, 
   IMPORTRANGE(""1RdEdgHYrZ33LJ7RUHj_h-qkAFL92bcVjtIdVa-UlsCw"", ""Interns!D:D""), 
   IMPORTRANGE(""1RdEdgHYrZ33LJ7RUHj_h-qkAFL92bcVjtIdVa-UlsCw"", ""Interns!N:N""), 
   ""Not Found"")"),"")</f>
        <v/>
      </c>
      <c r="AM1410" s="23" t="str">
        <f>IFERROR(__xludf.DUMMYFUNCTION("XLOOKUP(C1410, 
   IMPORTRANGE(""1RdEdgHYrZ33LJ7RUHj_h-qkAFL92bcVjtIdVa-UlsCw"", ""Interns!D:D""), 
   IMPORTRANGE(""1RdEdgHYrZ33LJ7RUHj_h-qkAFL92bcVjtIdVa-UlsCw"", ""Interns!O:O""), 
   ""Not Found"")"),"")</f>
        <v/>
      </c>
      <c r="AN1410" s="23"/>
      <c r="AO1410" s="23" t="s">
        <v>7340</v>
      </c>
      <c r="AP1410" s="28" t="s">
        <v>5182</v>
      </c>
      <c r="AQ1410" s="28"/>
      <c r="AR1410" s="23"/>
      <c r="AS1410" s="23"/>
      <c r="AT1410" s="23"/>
      <c r="AU1410" s="23"/>
      <c r="AV1410" s="23"/>
    </row>
    <row r="1411">
      <c r="A1411" s="28" t="s">
        <v>5161</v>
      </c>
      <c r="B1411" s="28" t="s">
        <v>5162</v>
      </c>
      <c r="C1411" s="23" t="str">
        <f t="shared" si="39"/>
        <v>Yamilette Rodriguez Franjul</v>
      </c>
      <c r="D1411" s="28" t="s">
        <v>13914</v>
      </c>
      <c r="E1411" s="28" t="s">
        <v>13915</v>
      </c>
      <c r="F1411" s="23">
        <f t="array" ref="F1411">IFERROR(
    INDEX('Hub Interns 226'!A:A, MATCH(C1411, 'Hub Interns 226'!B:B, 0)),"")</f>
        <v>1245</v>
      </c>
      <c r="G1411" s="23">
        <f t="array" ref="G1411">IFERROR(
    INDEX('Hub Users 226'!A:A, MATCH(C1411, 'Hub Users 226'!B:B, 0)),"")</f>
        <v>1678</v>
      </c>
      <c r="H1411" s="28">
        <v>1500.0</v>
      </c>
      <c r="I1411" s="28" t="s">
        <v>260</v>
      </c>
      <c r="J1411" s="28"/>
      <c r="K1411" s="28"/>
      <c r="L1411" s="28" t="s">
        <v>5196</v>
      </c>
      <c r="M1411" s="56" t="s">
        <v>13916</v>
      </c>
      <c r="N1411" s="57">
        <v>44949.67847222222</v>
      </c>
      <c r="O1411" s="58">
        <v>38959.0</v>
      </c>
      <c r="P1411" s="28">
        <f t="shared" si="41"/>
        <v>19</v>
      </c>
      <c r="Q1411" s="28" t="s">
        <v>13917</v>
      </c>
      <c r="R1411" s="28" t="s">
        <v>13918</v>
      </c>
      <c r="S1411" s="28">
        <v>15.0</v>
      </c>
      <c r="T1411" s="28">
        <v>32.0</v>
      </c>
      <c r="U1411" s="28">
        <v>86.0</v>
      </c>
      <c r="V1411" s="28">
        <v>15.0</v>
      </c>
      <c r="W1411" s="28" t="s">
        <v>859</v>
      </c>
      <c r="X1411" s="28" t="s">
        <v>272</v>
      </c>
      <c r="Y1411" s="28">
        <v>1.3477769451E10</v>
      </c>
      <c r="Z1411" s="28" t="s">
        <v>5918</v>
      </c>
      <c r="AA1411" s="28" t="s">
        <v>477</v>
      </c>
      <c r="AB1411" s="28">
        <v>15.0</v>
      </c>
      <c r="AC1411" s="28" t="s">
        <v>25</v>
      </c>
      <c r="AD1411" s="23"/>
      <c r="AE1411" s="28" t="s">
        <v>15</v>
      </c>
      <c r="AF1411" s="23" t="str">
        <f>IFERROR(__xludf.DUMMYFUNCTION("TEXTJOIN("", "", TRUE,
  FILTER(Champions!C:C,
    ISNUMBER(SEARCH(C1411, Champions!W:W))
  )
)"),"Lamon Chapman, Luz Santana")</f>
        <v>Lamon Chapman, Luz Santana</v>
      </c>
      <c r="AG1411" s="23"/>
      <c r="AH1411" s="23" t="str">
        <f>IFERROR(__xludf.DUMMYFUNCTION("IF(
ISNUMBER(MATCH(
C1411,
IMPORTRANGE(""https://docs.google.com/spreadsheets/d/1yTh1ELC33JHYOeEdgIiEclxPRyh0zOKtlawDltfUay8"",""'Interns'!A:A""),
0
)),
""Outreach Conducted"",
"""")"),"")</f>
        <v/>
      </c>
      <c r="AI1411" s="23"/>
      <c r="AJ1411" s="23"/>
      <c r="AK1411" s="23" t="str">
        <f>IFERROR(__xludf.DUMMYFUNCTION("XLOOKUP(C1411, 
   IMPORTRANGE(""1RdEdgHYrZ33LJ7RUHj_h-qkAFL92bcVjtIdVa-UlsCw"", ""Interns!D:D""), 
   IMPORTRANGE(""1RdEdgHYrZ33LJ7RUHj_h-qkAFL92bcVjtIdVa-UlsCw"", ""Interns!M:M""), 
   ""Not Found"")"),"")</f>
        <v/>
      </c>
      <c r="AL1411" s="23" t="str">
        <f>IFERROR(__xludf.DUMMYFUNCTION("XLOOKUP(C1411, 
   IMPORTRANGE(""1RdEdgHYrZ33LJ7RUHj_h-qkAFL92bcVjtIdVa-UlsCw"", ""Interns!D:D""), 
   IMPORTRANGE(""1RdEdgHYrZ33LJ7RUHj_h-qkAFL92bcVjtIdVa-UlsCw"", ""Interns!N:N""), 
   ""Not Found"")"),"")</f>
        <v/>
      </c>
      <c r="AM1411" s="23" t="str">
        <f>IFERROR(__xludf.DUMMYFUNCTION("XLOOKUP(C1411, 
   IMPORTRANGE(""1RdEdgHYrZ33LJ7RUHj_h-qkAFL92bcVjtIdVa-UlsCw"", ""Interns!D:D""), 
   IMPORTRANGE(""1RdEdgHYrZ33LJ7RUHj_h-qkAFL92bcVjtIdVa-UlsCw"", ""Interns!O:O""), 
   ""Not Found"")"),"")</f>
        <v/>
      </c>
      <c r="AN1411" s="23"/>
      <c r="AO1411" s="23" t="s">
        <v>13919</v>
      </c>
      <c r="AP1411" s="28" t="s">
        <v>5240</v>
      </c>
      <c r="AQ1411" s="28" t="s">
        <v>13920</v>
      </c>
      <c r="AR1411" s="23" t="s">
        <v>13921</v>
      </c>
      <c r="AS1411" s="23"/>
      <c r="AT1411" s="23"/>
      <c r="AU1411" s="23"/>
      <c r="AV1411" s="23"/>
    </row>
    <row r="1412">
      <c r="A1412" s="28" t="s">
        <v>5202</v>
      </c>
      <c r="B1412" s="28" t="s">
        <v>5162</v>
      </c>
      <c r="C1412" s="23" t="str">
        <f t="shared" si="39"/>
        <v>Vitaliy Kuz</v>
      </c>
      <c r="D1412" s="28" t="s">
        <v>13922</v>
      </c>
      <c r="E1412" s="28" t="s">
        <v>13923</v>
      </c>
      <c r="F1412" s="23">
        <f t="array" ref="F1412">IFERROR(
    INDEX('Hub Interns 226'!A:A, MATCH(C1412, 'Hub Interns 226'!B:B, 0)),"")</f>
        <v>940</v>
      </c>
      <c r="G1412" s="23">
        <f t="array" ref="G1412">IFERROR(
    INDEX('Hub Users 226'!A:A, MATCH(C1412, 'Hub Users 226'!B:B, 0)),"")</f>
        <v>1373</v>
      </c>
      <c r="H1412" s="28">
        <v>670.0</v>
      </c>
      <c r="I1412" s="28" t="s">
        <v>290</v>
      </c>
      <c r="J1412" s="28" t="s">
        <v>12807</v>
      </c>
      <c r="K1412" s="28" t="s">
        <v>5255</v>
      </c>
      <c r="L1412" s="28" t="s">
        <v>5165</v>
      </c>
      <c r="M1412" s="56" t="s">
        <v>13924</v>
      </c>
      <c r="N1412" s="59">
        <v>44546.395833333336</v>
      </c>
      <c r="O1412" s="58">
        <v>38259.0</v>
      </c>
      <c r="P1412" s="28">
        <f t="shared" si="41"/>
        <v>21</v>
      </c>
      <c r="Q1412" s="28" t="s">
        <v>13925</v>
      </c>
      <c r="R1412" s="28" t="s">
        <v>13926</v>
      </c>
      <c r="S1412" s="28"/>
      <c r="T1412" s="28"/>
      <c r="U1412" s="28"/>
      <c r="V1412" s="28"/>
      <c r="W1412" s="28" t="s">
        <v>380</v>
      </c>
      <c r="X1412" s="28" t="s">
        <v>381</v>
      </c>
      <c r="Y1412" s="28" t="s">
        <v>13927</v>
      </c>
      <c r="Z1412" s="28" t="s">
        <v>5272</v>
      </c>
      <c r="AA1412" s="28" t="s">
        <v>629</v>
      </c>
      <c r="AB1412" s="28" t="s">
        <v>5221</v>
      </c>
      <c r="AC1412" s="28" t="s">
        <v>25</v>
      </c>
      <c r="AD1412" s="23"/>
      <c r="AE1412" s="28" t="s">
        <v>10</v>
      </c>
      <c r="AF1412" s="23" t="str">
        <f>IFERROR(__xludf.DUMMYFUNCTION("TEXTJOIN("", "", TRUE,
  FILTER(Champions!C:C,
    ISNUMBER(SEARCH(C1412, Champions!W:W))
  )
)"),"Joshua Foster")</f>
        <v>Joshua Foster</v>
      </c>
      <c r="AG1412" s="23"/>
      <c r="AH1412" s="23" t="str">
        <f>IFERROR(__xludf.DUMMYFUNCTION("IF(
ISNUMBER(MATCH(
C1412,
IMPORTRANGE(""https://docs.google.com/spreadsheets/d/1yTh1ELC33JHYOeEdgIiEclxPRyh0zOKtlawDltfUay8"",""'Interns'!A:A""),
0
)),
""Outreach Conducted"",
"""")"),"")</f>
        <v/>
      </c>
      <c r="AI1412" s="23"/>
      <c r="AJ1412" s="23"/>
      <c r="AK1412" s="23" t="str">
        <f>IFERROR(__xludf.DUMMYFUNCTION("XLOOKUP(C1412, 
   IMPORTRANGE(""1RdEdgHYrZ33LJ7RUHj_h-qkAFL92bcVjtIdVa-UlsCw"", ""Interns!D:D""), 
   IMPORTRANGE(""1RdEdgHYrZ33LJ7RUHj_h-qkAFL92bcVjtIdVa-UlsCw"", ""Interns!M:M""), 
   ""Not Found"")"),"")</f>
        <v/>
      </c>
      <c r="AL1412" s="23" t="str">
        <f>IFERROR(__xludf.DUMMYFUNCTION("XLOOKUP(C1412, 
   IMPORTRANGE(""1RdEdgHYrZ33LJ7RUHj_h-qkAFL92bcVjtIdVa-UlsCw"", ""Interns!D:D""), 
   IMPORTRANGE(""1RdEdgHYrZ33LJ7RUHj_h-qkAFL92bcVjtIdVa-UlsCw"", ""Interns!N:N""), 
   ""Not Found"")"),"")</f>
        <v/>
      </c>
      <c r="AM1412" s="23" t="str">
        <f>IFERROR(__xludf.DUMMYFUNCTION("XLOOKUP(C1412, 
   IMPORTRANGE(""1RdEdgHYrZ33LJ7RUHj_h-qkAFL92bcVjtIdVa-UlsCw"", ""Interns!D:D""), 
   IMPORTRANGE(""1RdEdgHYrZ33LJ7RUHj_h-qkAFL92bcVjtIdVa-UlsCw"", ""Interns!O:O""), 
   ""Not Found"")"),"")</f>
        <v/>
      </c>
      <c r="AN1412" s="23"/>
      <c r="AO1412" s="23" t="s">
        <v>13928</v>
      </c>
      <c r="AP1412" s="28" t="s">
        <v>5182</v>
      </c>
      <c r="AQ1412" s="28" t="s">
        <v>13929</v>
      </c>
      <c r="AR1412" s="23" t="s">
        <v>13930</v>
      </c>
      <c r="AS1412" s="23"/>
      <c r="AT1412" s="23"/>
      <c r="AU1412" s="23"/>
      <c r="AV1412" s="23"/>
    </row>
    <row r="1413">
      <c r="A1413" s="28" t="s">
        <v>5161</v>
      </c>
      <c r="B1413" s="28" t="s">
        <v>5162</v>
      </c>
      <c r="C1413" s="23" t="str">
        <f t="shared" si="39"/>
        <v>Camiah Small</v>
      </c>
      <c r="D1413" s="22" t="s">
        <v>13931</v>
      </c>
      <c r="E1413" s="22" t="s">
        <v>13932</v>
      </c>
      <c r="F1413" s="23"/>
      <c r="G1413" s="23"/>
      <c r="H1413" s="22">
        <v>1898.0</v>
      </c>
      <c r="I1413" s="28"/>
      <c r="J1413" s="28"/>
      <c r="K1413" s="28"/>
      <c r="L1413" s="28" t="s">
        <v>5196</v>
      </c>
      <c r="M1413" s="29" t="s">
        <v>13933</v>
      </c>
      <c r="N1413" s="61">
        <v>45845.59722222222</v>
      </c>
      <c r="O1413" s="25">
        <v>38239.0</v>
      </c>
      <c r="P1413" s="28">
        <f t="shared" si="41"/>
        <v>21</v>
      </c>
      <c r="Q1413" s="62" t="s">
        <v>13934</v>
      </c>
      <c r="R1413" s="22" t="s">
        <v>13935</v>
      </c>
      <c r="S1413" s="28">
        <v>8.0</v>
      </c>
      <c r="T1413" s="28">
        <v>19.0</v>
      </c>
      <c r="U1413" s="28">
        <v>59.0</v>
      </c>
      <c r="V1413" s="28">
        <v>46.0</v>
      </c>
      <c r="W1413" s="28" t="s">
        <v>294</v>
      </c>
      <c r="X1413" s="28" t="s">
        <v>272</v>
      </c>
      <c r="Y1413" s="22" t="s">
        <v>13936</v>
      </c>
      <c r="Z1413" s="22" t="s">
        <v>5822</v>
      </c>
      <c r="AA1413" s="28" t="s">
        <v>5822</v>
      </c>
      <c r="AB1413" s="28">
        <v>30.0</v>
      </c>
      <c r="AC1413" s="28" t="s">
        <v>27</v>
      </c>
      <c r="AD1413" s="23"/>
      <c r="AE1413" s="28" t="s">
        <v>20</v>
      </c>
      <c r="AF1413" s="23"/>
      <c r="AG1413" s="23"/>
      <c r="AH1413" s="23" t="str">
        <f>IFERROR(__xludf.DUMMYFUNCTION("IF(
ISNUMBER(MATCH(
C1413,
IMPORTRANGE(""https://docs.google.com/spreadsheets/d/1yTh1ELC33JHYOeEdgIiEclxPRyh0zOKtlawDltfUay8"",""'Interns'!A:A""),
0
)),
""Outreach Conducted"",
"""")"),"")</f>
        <v/>
      </c>
      <c r="AI1413" s="23"/>
      <c r="AJ1413" s="23"/>
      <c r="AK1413" s="23"/>
      <c r="AL1413" s="23" t="str">
        <f>IFERROR(__xludf.DUMMYFUNCTION("XLOOKUP(C1413, 
   IMPORTRANGE(""1RdEdgHYrZ33LJ7RUHj_h-qkAFL92bcVjtIdVa-UlsCw"", ""Interns!D:D""), 
   IMPORTRANGE(""1RdEdgHYrZ33LJ7RUHj_h-qkAFL92bcVjtIdVa-UlsCw"", ""Interns!N:N""), 
   ""Not Found"")"),"#Cheers4Careers")</f>
        <v>#Cheers4Careers</v>
      </c>
      <c r="AM1413" s="23" t="str">
        <f>IFERROR(__xludf.DUMMYFUNCTION("XLOOKUP(C1413, 
   IMPORTRANGE(""1RdEdgHYrZ33LJ7RUHj_h-qkAFL92bcVjtIdVa-UlsCw"", ""Interns!D:D""), 
   IMPORTRANGE(""1RdEdgHYrZ33LJ7RUHj_h-qkAFL92bcVjtIdVa-UlsCw"", ""Interns!O:O""), 
   ""Not Found"")"),"Hetal reached out March 27 for March #Cheers4 Careers ")</f>
        <v>Hetal reached out March 27 for March #Cheers4 Careers </v>
      </c>
      <c r="AN1413" s="23"/>
      <c r="AO1413" s="23" t="s">
        <v>13937</v>
      </c>
      <c r="AP1413" s="28" t="s">
        <v>5182</v>
      </c>
      <c r="AQ1413" s="28" t="s">
        <v>13938</v>
      </c>
      <c r="AR1413" s="23" t="s">
        <v>13939</v>
      </c>
      <c r="AS1413" s="23"/>
      <c r="AT1413" s="23"/>
      <c r="AU1413" s="23"/>
      <c r="AV1413" s="23"/>
    </row>
    <row r="1414">
      <c r="A1414" s="28" t="s">
        <v>5161</v>
      </c>
      <c r="B1414" s="28" t="s">
        <v>5162</v>
      </c>
      <c r="C1414" s="23" t="str">
        <f t="shared" si="39"/>
        <v>Samara (Mooka) Smalls</v>
      </c>
      <c r="D1414" s="22" t="s">
        <v>13940</v>
      </c>
      <c r="E1414" s="22" t="s">
        <v>13941</v>
      </c>
      <c r="F1414" s="23"/>
      <c r="G1414" s="23"/>
      <c r="H1414" s="22">
        <v>1890.0</v>
      </c>
      <c r="I1414" s="28"/>
      <c r="J1414" s="28"/>
      <c r="K1414" s="28"/>
      <c r="L1414" s="28" t="s">
        <v>5196</v>
      </c>
      <c r="M1414" s="29" t="s">
        <v>13942</v>
      </c>
      <c r="N1414" s="22"/>
      <c r="O1414" s="25">
        <v>38477.0</v>
      </c>
      <c r="P1414" s="28">
        <f t="shared" si="41"/>
        <v>21</v>
      </c>
      <c r="Q1414" s="62" t="s">
        <v>13943</v>
      </c>
      <c r="R1414" s="22" t="s">
        <v>13944</v>
      </c>
      <c r="S1414" s="28">
        <v>8.0</v>
      </c>
      <c r="T1414" s="28">
        <v>19.0</v>
      </c>
      <c r="U1414" s="28">
        <v>59.0</v>
      </c>
      <c r="V1414" s="28">
        <v>46.0</v>
      </c>
      <c r="W1414" s="28" t="s">
        <v>294</v>
      </c>
      <c r="X1414" s="28" t="s">
        <v>272</v>
      </c>
      <c r="Y1414" s="22" t="s">
        <v>13945</v>
      </c>
      <c r="Z1414" s="22" t="s">
        <v>5822</v>
      </c>
      <c r="AA1414" s="28" t="s">
        <v>5822</v>
      </c>
      <c r="AB1414" s="28">
        <v>30.0</v>
      </c>
      <c r="AC1414" s="28" t="s">
        <v>27</v>
      </c>
      <c r="AD1414" s="23"/>
      <c r="AE1414" s="28" t="s">
        <v>20</v>
      </c>
      <c r="AF1414" s="23"/>
      <c r="AG1414" s="23"/>
      <c r="AH1414" s="23" t="str">
        <f>IFERROR(__xludf.DUMMYFUNCTION("IF(
ISNUMBER(MATCH(
C1414,
IMPORTRANGE(""https://docs.google.com/spreadsheets/d/1yTh1ELC33JHYOeEdgIiEclxPRyh0zOKtlawDltfUay8"",""'Interns'!A:A""),
0
)),
""Outreach Conducted"",
"""")"),"")</f>
        <v/>
      </c>
      <c r="AI1414" s="23"/>
      <c r="AJ1414" s="23"/>
      <c r="AK1414" s="23"/>
      <c r="AL1414" s="23" t="str">
        <f>IFERROR(__xludf.DUMMYFUNCTION("XLOOKUP(C1414, 
   IMPORTRANGE(""1RdEdgHYrZ33LJ7RUHj_h-qkAFL92bcVjtIdVa-UlsCw"", ""Interns!D:D""), 
   IMPORTRANGE(""1RdEdgHYrZ33LJ7RUHj_h-qkAFL92bcVjtIdVa-UlsCw"", ""Interns!N:N""), 
   ""Not Found"")"),"Not Found")</f>
        <v>Not Found</v>
      </c>
      <c r="AM1414" s="23" t="str">
        <f>IFERROR(__xludf.DUMMYFUNCTION("XLOOKUP(C1414, 
   IMPORTRANGE(""1RdEdgHYrZ33LJ7RUHj_h-qkAFL92bcVjtIdVa-UlsCw"", ""Interns!D:D""), 
   IMPORTRANGE(""1RdEdgHYrZ33LJ7RUHj_h-qkAFL92bcVjtIdVa-UlsCw"", ""Interns!O:O""), 
   ""Not Found"")"),"Not Found")</f>
        <v>Not Found</v>
      </c>
      <c r="AN1414" s="23"/>
      <c r="AO1414" s="23" t="s">
        <v>13946</v>
      </c>
      <c r="AP1414" s="28" t="s">
        <v>5182</v>
      </c>
      <c r="AQ1414" s="28" t="s">
        <v>13947</v>
      </c>
      <c r="AR1414" s="23" t="s">
        <v>13945</v>
      </c>
      <c r="AS1414" s="23"/>
      <c r="AT1414" s="23"/>
      <c r="AU1414" s="23"/>
      <c r="AV1414" s="23"/>
    </row>
    <row r="1415">
      <c r="A1415" s="28" t="s">
        <v>5161</v>
      </c>
      <c r="B1415" s="28" t="s">
        <v>5162</v>
      </c>
      <c r="C1415" s="23" t="str">
        <f t="shared" si="39"/>
        <v>Jaymin Ortega</v>
      </c>
      <c r="D1415" s="28" t="s">
        <v>13656</v>
      </c>
      <c r="E1415" s="28" t="s">
        <v>8681</v>
      </c>
      <c r="F1415" s="23">
        <f t="array" ref="F1415">IFERROR(
    INDEX('Hub Interns 226'!A:A, MATCH(C1415, 'Hub Interns 226'!B:B, 0)),"")</f>
        <v>636</v>
      </c>
      <c r="G1415" s="23">
        <f t="array" ref="G1415">IFERROR(
    INDEX('Hub Users 226'!A:A, MATCH(C1415, 'Hub Users 226'!B:B, 0)),"")</f>
        <v>1069</v>
      </c>
      <c r="H1415" s="28">
        <v>1219.0</v>
      </c>
      <c r="I1415" s="28" t="s">
        <v>407</v>
      </c>
      <c r="J1415" s="28"/>
      <c r="K1415" s="28"/>
      <c r="L1415" s="28" t="s">
        <v>5165</v>
      </c>
      <c r="M1415" s="56" t="s">
        <v>13657</v>
      </c>
      <c r="N1415" s="57">
        <v>44837.455555555556</v>
      </c>
      <c r="O1415" s="58">
        <v>39000.0</v>
      </c>
      <c r="P1415" s="28">
        <f t="shared" si="41"/>
        <v>19</v>
      </c>
      <c r="Q1415" s="28" t="s">
        <v>240</v>
      </c>
      <c r="R1415" s="28" t="s">
        <v>13658</v>
      </c>
      <c r="S1415" s="28">
        <v>13.0</v>
      </c>
      <c r="T1415" s="28">
        <v>31.0</v>
      </c>
      <c r="U1415" s="28">
        <v>72.0</v>
      </c>
      <c r="V1415" s="28">
        <v>10.0</v>
      </c>
      <c r="W1415" s="28" t="s">
        <v>271</v>
      </c>
      <c r="X1415" s="28" t="s">
        <v>272</v>
      </c>
      <c r="Y1415" s="28" t="s">
        <v>13659</v>
      </c>
      <c r="Z1415" s="28" t="s">
        <v>5341</v>
      </c>
      <c r="AA1415" s="28" t="s">
        <v>1085</v>
      </c>
      <c r="AB1415" s="28">
        <v>10.0</v>
      </c>
      <c r="AC1415" s="28" t="s">
        <v>23</v>
      </c>
      <c r="AD1415" s="23"/>
      <c r="AE1415" s="28" t="s">
        <v>15</v>
      </c>
      <c r="AF1415" s="23"/>
      <c r="AG1415" s="23"/>
      <c r="AH1415" s="23" t="str">
        <f>IFERROR(__xludf.DUMMYFUNCTION("IF(
ISNUMBER(MATCH(
C1415,
IMPORTRANGE(""https://docs.google.com/spreadsheets/d/1yTh1ELC33JHYOeEdgIiEclxPRyh0zOKtlawDltfUay8"",""'Interns'!A:A""),
0
)),
""Outreach Conducted"",
"""")"),"")</f>
        <v/>
      </c>
      <c r="AI1415" s="23"/>
      <c r="AJ1415" s="23"/>
      <c r="AK1415" s="23" t="str">
        <f>IFERROR(__xludf.DUMMYFUNCTION("XLOOKUP(C1415, 
   IMPORTRANGE(""1RdEdgHYrZ33LJ7RUHj_h-qkAFL92bcVjtIdVa-UlsCw"", ""Interns!D:D""), 
   IMPORTRANGE(""1RdEdgHYrZ33LJ7RUHj_h-qkAFL92bcVjtIdVa-UlsCw"", ""Interns!M:M""), 
   ""Not Found"")"),"")</f>
        <v/>
      </c>
      <c r="AL1415" s="23" t="str">
        <f>IFERROR(__xludf.DUMMYFUNCTION("XLOOKUP(C1415, 
   IMPORTRANGE(""1RdEdgHYrZ33LJ7RUHj_h-qkAFL92bcVjtIdVa-UlsCw"", ""Interns!D:D""), 
   IMPORTRANGE(""1RdEdgHYrZ33LJ7RUHj_h-qkAFL92bcVjtIdVa-UlsCw"", ""Interns!N:N""), 
   ""Not Found"")"),"")</f>
        <v/>
      </c>
      <c r="AM1415" s="23" t="str">
        <f>IFERROR(__xludf.DUMMYFUNCTION("XLOOKUP(C1415, 
   IMPORTRANGE(""1RdEdgHYrZ33LJ7RUHj_h-qkAFL92bcVjtIdVa-UlsCw"", ""Interns!D:D""), 
   IMPORTRANGE(""1RdEdgHYrZ33LJ7RUHj_h-qkAFL92bcVjtIdVa-UlsCw"", ""Interns!O:O""), 
   ""Not Found"")"),"")</f>
        <v/>
      </c>
      <c r="AN1415" s="23"/>
      <c r="AO1415" s="23" t="s">
        <v>13660</v>
      </c>
      <c r="AP1415" s="28" t="s">
        <v>5182</v>
      </c>
      <c r="AQ1415" s="28"/>
      <c r="AR1415" s="23"/>
      <c r="AS1415" s="23"/>
      <c r="AT1415" s="23"/>
      <c r="AU1415" s="23"/>
      <c r="AV1415" s="23"/>
    </row>
    <row r="1416">
      <c r="A1416" s="28" t="s">
        <v>5202</v>
      </c>
      <c r="B1416" s="28" t="s">
        <v>5162</v>
      </c>
      <c r="C1416" s="23" t="str">
        <f t="shared" si="39"/>
        <v>Marziyaoy Norkulova</v>
      </c>
      <c r="D1416" s="28" t="s">
        <v>13948</v>
      </c>
      <c r="E1416" s="28" t="s">
        <v>13949</v>
      </c>
      <c r="F1416" s="23">
        <f t="array" ref="F1416">IFERROR(
    INDEX('Hub Interns 226'!A:A, MATCH(C1416, 'Hub Interns 226'!B:B, 0)),"")</f>
        <v>112</v>
      </c>
      <c r="G1416" s="23">
        <f t="array" ref="G1416">IFERROR(
    INDEX('Hub Users 226'!A:A, MATCH(C1416, 'Hub Users 226'!B:B, 0)),"")</f>
        <v>545</v>
      </c>
      <c r="H1416" s="28">
        <v>659.0</v>
      </c>
      <c r="I1416" s="28" t="s">
        <v>290</v>
      </c>
      <c r="J1416" s="28" t="s">
        <v>8549</v>
      </c>
      <c r="K1416" s="28" t="s">
        <v>5186</v>
      </c>
      <c r="L1416" s="28" t="s">
        <v>5196</v>
      </c>
      <c r="M1416" s="56" t="s">
        <v>13950</v>
      </c>
      <c r="N1416" s="59">
        <v>44540.48402777778</v>
      </c>
      <c r="O1416" s="58">
        <v>38243.0</v>
      </c>
      <c r="P1416" s="28">
        <f t="shared" si="41"/>
        <v>21</v>
      </c>
      <c r="Q1416" s="28" t="s">
        <v>240</v>
      </c>
      <c r="R1416" s="28" t="s">
        <v>13951</v>
      </c>
      <c r="S1416" s="28"/>
      <c r="T1416" s="28"/>
      <c r="U1416" s="28"/>
      <c r="V1416" s="28"/>
      <c r="W1416" s="28" t="s">
        <v>380</v>
      </c>
      <c r="X1416" s="28" t="s">
        <v>381</v>
      </c>
      <c r="Y1416" s="23"/>
      <c r="Z1416" s="28" t="s">
        <v>5272</v>
      </c>
      <c r="AA1416" s="28" t="s">
        <v>629</v>
      </c>
      <c r="AB1416" s="28" t="s">
        <v>5221</v>
      </c>
      <c r="AC1416" s="28" t="s">
        <v>25</v>
      </c>
      <c r="AD1416" s="23"/>
      <c r="AE1416" s="28" t="s">
        <v>10</v>
      </c>
      <c r="AF1416" s="23" t="str">
        <f>IFERROR(__xludf.DUMMYFUNCTION("TEXTJOIN("", "", TRUE,
  FILTER(Champions!C:C,
    ISNUMBER(SEARCH(C1416, Champions!W:W))
  )
)"),"Jason Alafgani, Joshua Foster")</f>
        <v>Jason Alafgani, Joshua Foster</v>
      </c>
      <c r="AG1416" s="23"/>
      <c r="AH1416" s="23" t="str">
        <f>IFERROR(__xludf.DUMMYFUNCTION("IF(
ISNUMBER(MATCH(
C1416,
IMPORTRANGE(""https://docs.google.com/spreadsheets/d/1yTh1ELC33JHYOeEdgIiEclxPRyh0zOKtlawDltfUay8"",""'Interns'!A:A""),
0
)),
""Outreach Conducted"",
"""")"),"")</f>
        <v/>
      </c>
      <c r="AI1416" s="23"/>
      <c r="AJ1416" s="23"/>
      <c r="AK1416" s="23" t="str">
        <f>IFERROR(__xludf.DUMMYFUNCTION("XLOOKUP(C1416, 
   IMPORTRANGE(""1RdEdgHYrZ33LJ7RUHj_h-qkAFL92bcVjtIdVa-UlsCw"", ""Interns!D:D""), 
   IMPORTRANGE(""1RdEdgHYrZ33LJ7RUHj_h-qkAFL92bcVjtIdVa-UlsCw"", ""Interns!M:M""), 
   ""Not Found"")"),"")</f>
        <v/>
      </c>
      <c r="AL1416" s="23" t="str">
        <f>IFERROR(__xludf.DUMMYFUNCTION("XLOOKUP(C1416, 
   IMPORTRANGE(""1RdEdgHYrZ33LJ7RUHj_h-qkAFL92bcVjtIdVa-UlsCw"", ""Interns!D:D""), 
   IMPORTRANGE(""1RdEdgHYrZ33LJ7RUHj_h-qkAFL92bcVjtIdVa-UlsCw"", ""Interns!N:N""), 
   ""Not Found"")"),"")</f>
        <v/>
      </c>
      <c r="AM1416" s="23" t="str">
        <f>IFERROR(__xludf.DUMMYFUNCTION("XLOOKUP(C1416, 
   IMPORTRANGE(""1RdEdgHYrZ33LJ7RUHj_h-qkAFL92bcVjtIdVa-UlsCw"", ""Interns!D:D""), 
   IMPORTRANGE(""1RdEdgHYrZ33LJ7RUHj_h-qkAFL92bcVjtIdVa-UlsCw"", ""Interns!O:O""), 
   ""Not Found"")"),"")</f>
        <v/>
      </c>
      <c r="AN1416" s="23"/>
      <c r="AO1416" s="23" t="s">
        <v>13952</v>
      </c>
      <c r="AP1416" s="28" t="s">
        <v>5182</v>
      </c>
      <c r="AQ1416" s="28" t="s">
        <v>13953</v>
      </c>
      <c r="AR1416" s="23" t="s">
        <v>13954</v>
      </c>
      <c r="AS1416" s="23"/>
      <c r="AT1416" s="23"/>
      <c r="AU1416" s="23"/>
      <c r="AV1416" s="23"/>
    </row>
    <row r="1417">
      <c r="A1417" s="28" t="s">
        <v>5161</v>
      </c>
      <c r="B1417" s="28" t="s">
        <v>5162</v>
      </c>
      <c r="C1417" s="23" t="str">
        <f t="shared" si="39"/>
        <v>Jayde Smoak</v>
      </c>
      <c r="D1417" s="28" t="s">
        <v>13955</v>
      </c>
      <c r="E1417" s="28" t="s">
        <v>13956</v>
      </c>
      <c r="F1417" s="23">
        <f t="array" ref="F1417">IFERROR(
    INDEX('Hub Interns 226'!A:A, MATCH(C1417, 'Hub Interns 226'!B:B, 0)),"")</f>
        <v>627</v>
      </c>
      <c r="G1417" s="23">
        <f t="array" ref="G1417">IFERROR(
    INDEX('Hub Users 226'!A:A, MATCH(C1417, 'Hub Users 226'!B:B, 0)),"")</f>
        <v>1060</v>
      </c>
      <c r="H1417" s="28">
        <v>1361.0</v>
      </c>
      <c r="I1417" s="28" t="s">
        <v>407</v>
      </c>
      <c r="J1417" s="28"/>
      <c r="K1417" s="28"/>
      <c r="L1417" s="28" t="s">
        <v>5196</v>
      </c>
      <c r="M1417" s="56" t="s">
        <v>13957</v>
      </c>
      <c r="N1417" s="59">
        <v>44859.61388888889</v>
      </c>
      <c r="O1417" s="58">
        <v>39270.0</v>
      </c>
      <c r="P1417" s="28">
        <f t="shared" si="41"/>
        <v>18</v>
      </c>
      <c r="Q1417" s="28" t="s">
        <v>13958</v>
      </c>
      <c r="R1417" s="28" t="s">
        <v>13959</v>
      </c>
      <c r="S1417" s="28">
        <v>5.0</v>
      </c>
      <c r="T1417" s="28">
        <v>14.0</v>
      </c>
      <c r="U1417" s="28">
        <v>29.0</v>
      </c>
      <c r="V1417" s="28">
        <v>31.0</v>
      </c>
      <c r="W1417" s="28" t="s">
        <v>1173</v>
      </c>
      <c r="X1417" s="28" t="s">
        <v>272</v>
      </c>
      <c r="Y1417" s="28" t="s">
        <v>13960</v>
      </c>
      <c r="Z1417" s="28" t="s">
        <v>5332</v>
      </c>
      <c r="AA1417" s="28" t="s">
        <v>421</v>
      </c>
      <c r="AB1417" s="28">
        <v>31.0</v>
      </c>
      <c r="AC1417" s="28" t="s">
        <v>25</v>
      </c>
      <c r="AD1417" s="23"/>
      <c r="AE1417" s="28" t="s">
        <v>15</v>
      </c>
      <c r="AF1417" s="23" t="str">
        <f>IFERROR(__xludf.DUMMYFUNCTION("TEXTJOIN("", "", TRUE,
  FILTER(Champions!C:C,
    ISNUMBER(SEARCH(C1417, Champions!W:W))
  )
)"),"Anna Butuzova, Mark Swift, Weina Chen")</f>
        <v>Anna Butuzova, Mark Swift, Weina Chen</v>
      </c>
      <c r="AG1417" s="23"/>
      <c r="AH1417" s="23" t="str">
        <f>IFERROR(__xludf.DUMMYFUNCTION("IF(
ISNUMBER(MATCH(
C1417,
IMPORTRANGE(""https://docs.google.com/spreadsheets/d/1yTh1ELC33JHYOeEdgIiEclxPRyh0zOKtlawDltfUay8"",""'Interns'!A:A""),
0
)),
""Outreach Conducted"",
"""")"),"")</f>
        <v/>
      </c>
      <c r="AI1417" s="23"/>
      <c r="AJ1417" s="23"/>
      <c r="AK1417" s="23" t="str">
        <f>IFERROR(__xludf.DUMMYFUNCTION("XLOOKUP(C1417, 
   IMPORTRANGE(""1RdEdgHYrZ33LJ7RUHj_h-qkAFL92bcVjtIdVa-UlsCw"", ""Interns!D:D""), 
   IMPORTRANGE(""1RdEdgHYrZ33LJ7RUHj_h-qkAFL92bcVjtIdVa-UlsCw"", ""Interns!M:M""), 
   ""Not Found"")"),"Contacted")</f>
        <v>Contacted</v>
      </c>
      <c r="AL1417" s="23" t="str">
        <f>IFERROR(__xludf.DUMMYFUNCTION("XLOOKUP(C1417, 
   IMPORTRANGE(""1RdEdgHYrZ33LJ7RUHj_h-qkAFL92bcVjtIdVa-UlsCw"", ""Interns!D:D""), 
   IMPORTRANGE(""1RdEdgHYrZ33LJ7RUHj_h-qkAFL92bcVjtIdVa-UlsCw"", ""Interns!N:N""), 
   ""Not Found"")"),"#Cheers4Careers")</f>
        <v>#Cheers4Careers</v>
      </c>
      <c r="AM1417" s="23" t="str">
        <f>IFERROR(__xludf.DUMMYFUNCTION("XLOOKUP(C1417, 
   IMPORTRANGE(""1RdEdgHYrZ33LJ7RUHj_h-qkAFL92bcVjtIdVa-UlsCw"", ""Interns!D:D""), 
   IMPORTRANGE(""1RdEdgHYrZ33LJ7RUHj_h-qkAFL92bcVjtIdVa-UlsCw"", ""Interns!O:O""), 
   ""Not Found"")"),"Hetal reached out March 27 for March #Cheers4 Careers and texted")</f>
        <v>Hetal reached out March 27 for March #Cheers4 Careers and texted</v>
      </c>
      <c r="AN1417" s="23"/>
      <c r="AO1417" s="23" t="s">
        <v>13961</v>
      </c>
      <c r="AP1417" s="28" t="s">
        <v>5182</v>
      </c>
      <c r="AQ1417" s="28" t="s">
        <v>13962</v>
      </c>
      <c r="AR1417" s="23" t="s">
        <v>13960</v>
      </c>
      <c r="AS1417" s="23"/>
      <c r="AT1417" s="23"/>
      <c r="AU1417" s="23"/>
      <c r="AV1417" s="23"/>
    </row>
    <row r="1418">
      <c r="A1418" s="28" t="s">
        <v>5161</v>
      </c>
      <c r="B1418" s="28" t="s">
        <v>31</v>
      </c>
      <c r="C1418" s="23" t="str">
        <f t="shared" si="39"/>
        <v>Yoanni Baez</v>
      </c>
      <c r="D1418" s="28" t="s">
        <v>13963</v>
      </c>
      <c r="E1418" s="28" t="s">
        <v>13964</v>
      </c>
      <c r="F1418" s="23">
        <f t="array" ref="F1418">IFERROR(
    INDEX('Hub Interns 226'!A:A, MATCH(C1418, 'Hub Interns 226'!B:B, 0)),"")</f>
        <v>1234</v>
      </c>
      <c r="G1418" s="23">
        <f t="array" ref="G1418">IFERROR(
    INDEX('Hub Users 226'!A:A, MATCH(C1418, 'Hub Users 226'!B:B, 0)),"")</f>
        <v>1667</v>
      </c>
      <c r="H1418" s="28">
        <v>1569.0</v>
      </c>
      <c r="I1418" s="28"/>
      <c r="J1418" s="28"/>
      <c r="K1418" s="28"/>
      <c r="L1418" s="28" t="s">
        <v>5196</v>
      </c>
      <c r="M1418" s="56" t="s">
        <v>13965</v>
      </c>
      <c r="N1418" s="57">
        <v>45015.461805555555</v>
      </c>
      <c r="O1418" s="58">
        <v>38934.0</v>
      </c>
      <c r="P1418" s="28">
        <f t="shared" si="41"/>
        <v>19</v>
      </c>
      <c r="Q1418" s="28" t="s">
        <v>240</v>
      </c>
      <c r="R1418" s="28" t="s">
        <v>13966</v>
      </c>
      <c r="S1418" s="28"/>
      <c r="T1418" s="28"/>
      <c r="U1418" s="28"/>
      <c r="V1418" s="28"/>
      <c r="W1418" s="28" t="s">
        <v>271</v>
      </c>
      <c r="X1418" s="28" t="s">
        <v>272</v>
      </c>
      <c r="Y1418" s="28" t="s">
        <v>13967</v>
      </c>
      <c r="Z1418" s="28" t="s">
        <v>5341</v>
      </c>
      <c r="AA1418" s="28" t="s">
        <v>1085</v>
      </c>
      <c r="AB1418" s="28">
        <v>10.0</v>
      </c>
      <c r="AC1418" s="28" t="s">
        <v>28</v>
      </c>
      <c r="AD1418" s="23"/>
      <c r="AE1418" s="28" t="s">
        <v>15</v>
      </c>
      <c r="AF1418" s="23"/>
      <c r="AG1418" s="23"/>
      <c r="AH1418" s="23" t="str">
        <f>IFERROR(__xludf.DUMMYFUNCTION("IF(
ISNUMBER(MATCH(
C1418,
IMPORTRANGE(""https://docs.google.com/spreadsheets/d/1yTh1ELC33JHYOeEdgIiEclxPRyh0zOKtlawDltfUay8"",""'Interns'!A:A""),
0
)),
""Outreach Conducted"",
"""")"),"")</f>
        <v/>
      </c>
      <c r="AI1418" s="23"/>
      <c r="AJ1418" s="23"/>
      <c r="AK1418" s="23" t="str">
        <f>IFERROR(__xludf.DUMMYFUNCTION("XLOOKUP(C1418, 
   IMPORTRANGE(""1RdEdgHYrZ33LJ7RUHj_h-qkAFL92bcVjtIdVa-UlsCw"", ""Interns!D:D""), 
   IMPORTRANGE(""1RdEdgHYrZ33LJ7RUHj_h-qkAFL92bcVjtIdVa-UlsCw"", ""Interns!M:M""), 
   ""Not Found"")"),"")</f>
        <v/>
      </c>
      <c r="AL1418" s="23" t="str">
        <f>IFERROR(__xludf.DUMMYFUNCTION("XLOOKUP(C1418, 
   IMPORTRANGE(""1RdEdgHYrZ33LJ7RUHj_h-qkAFL92bcVjtIdVa-UlsCw"", ""Interns!D:D""), 
   IMPORTRANGE(""1RdEdgHYrZ33LJ7RUHj_h-qkAFL92bcVjtIdVa-UlsCw"", ""Interns!N:N""), 
   ""Not Found"")"),"")</f>
        <v/>
      </c>
      <c r="AM1418" s="23" t="str">
        <f>IFERROR(__xludf.DUMMYFUNCTION("XLOOKUP(C1418, 
   IMPORTRANGE(""1RdEdgHYrZ33LJ7RUHj_h-qkAFL92bcVjtIdVa-UlsCw"", ""Interns!D:D""), 
   IMPORTRANGE(""1RdEdgHYrZ33LJ7RUHj_h-qkAFL92bcVjtIdVa-UlsCw"", ""Interns!O:O""), 
   ""Not Found"")"),"")</f>
        <v/>
      </c>
      <c r="AN1418" s="23"/>
      <c r="AO1418" s="23" t="s">
        <v>13968</v>
      </c>
      <c r="AP1418" s="28" t="s">
        <v>5641</v>
      </c>
      <c r="AQ1418" s="28"/>
      <c r="AR1418" s="23"/>
      <c r="AS1418" s="23"/>
      <c r="AT1418" s="23"/>
      <c r="AU1418" s="23"/>
      <c r="AV1418" s="23"/>
    </row>
    <row r="1419">
      <c r="A1419" s="28" t="s">
        <v>5161</v>
      </c>
      <c r="B1419" s="28" t="s">
        <v>5162</v>
      </c>
      <c r="C1419" s="23" t="str">
        <f t="shared" si="39"/>
        <v>Jody-Ann Dillon</v>
      </c>
      <c r="D1419" s="22" t="s">
        <v>13969</v>
      </c>
      <c r="E1419" s="22" t="s">
        <v>13970</v>
      </c>
      <c r="F1419" s="23"/>
      <c r="G1419" s="23"/>
      <c r="H1419" s="22">
        <v>1921.0</v>
      </c>
      <c r="I1419" s="28"/>
      <c r="J1419" s="28"/>
      <c r="K1419" s="28"/>
      <c r="L1419" s="28" t="s">
        <v>5196</v>
      </c>
      <c r="M1419" s="29" t="s">
        <v>13971</v>
      </c>
      <c r="N1419" s="61">
        <v>45771.450694444444</v>
      </c>
      <c r="O1419" s="25">
        <v>40249.0</v>
      </c>
      <c r="P1419" s="28">
        <f t="shared" si="41"/>
        <v>16</v>
      </c>
      <c r="Q1419" s="62" t="s">
        <v>240</v>
      </c>
      <c r="R1419" s="22" t="s">
        <v>13972</v>
      </c>
      <c r="S1419" s="28">
        <v>5.0</v>
      </c>
      <c r="T1419" s="28">
        <v>14.0</v>
      </c>
      <c r="U1419" s="28">
        <v>33.0</v>
      </c>
      <c r="V1419" s="28">
        <v>27.0</v>
      </c>
      <c r="W1419" s="28" t="s">
        <v>1173</v>
      </c>
      <c r="X1419" s="28" t="s">
        <v>272</v>
      </c>
      <c r="Y1419" s="22" t="s">
        <v>13973</v>
      </c>
      <c r="Z1419" s="22" t="s">
        <v>5658</v>
      </c>
      <c r="AA1419" s="28" t="s">
        <v>5659</v>
      </c>
      <c r="AB1419" s="28">
        <v>23.0</v>
      </c>
      <c r="AC1419" s="28" t="s">
        <v>23</v>
      </c>
      <c r="AD1419" s="23"/>
      <c r="AE1419" s="28" t="s">
        <v>19</v>
      </c>
      <c r="AF1419" s="23"/>
      <c r="AG1419" s="23"/>
      <c r="AH1419" s="23" t="str">
        <f>IFERROR(__xludf.DUMMYFUNCTION("IF(
ISNUMBER(MATCH(
C1419,
IMPORTRANGE(""https://docs.google.com/spreadsheets/d/1yTh1ELC33JHYOeEdgIiEclxPRyh0zOKtlawDltfUay8"",""'Interns'!A:A""),
0
)),
""Outreach Conducted"",
"""")"),"")</f>
        <v/>
      </c>
      <c r="AI1419" s="23"/>
      <c r="AJ1419" s="23"/>
      <c r="AK1419" s="23"/>
      <c r="AL1419" s="23" t="str">
        <f>IFERROR(__xludf.DUMMYFUNCTION("XLOOKUP(C1419, 
   IMPORTRANGE(""1RdEdgHYrZ33LJ7RUHj_h-qkAFL92bcVjtIdVa-UlsCw"", ""Interns!D:D""), 
   IMPORTRANGE(""1RdEdgHYrZ33LJ7RUHj_h-qkAFL92bcVjtIdVa-UlsCw"", ""Interns!N:N""), 
   ""Not Found"")"),"#Cheers4Careers")</f>
        <v>#Cheers4Careers</v>
      </c>
      <c r="AM1419" s="23" t="str">
        <f>IFERROR(__xludf.DUMMYFUNCTION("XLOOKUP(C1419, 
   IMPORTRANGE(""1RdEdgHYrZ33LJ7RUHj_h-qkAFL92bcVjtIdVa-UlsCw"", ""Interns!D:D""), 
   IMPORTRANGE(""1RdEdgHYrZ33LJ7RUHj_h-qkAFL92bcVjtIdVa-UlsCw"", ""Interns!O:O""), 
   ""Not Found"")"),"Hetal reached out March 27 for March #Cheers4 Careers ")</f>
        <v>Hetal reached out March 27 for March #Cheers4 Careers </v>
      </c>
      <c r="AN1419" s="23"/>
      <c r="AO1419" s="23" t="s">
        <v>13974</v>
      </c>
      <c r="AP1419" s="28" t="s">
        <v>5191</v>
      </c>
      <c r="AQ1419" s="28" t="s">
        <v>13975</v>
      </c>
      <c r="AR1419" s="23" t="s">
        <v>13976</v>
      </c>
      <c r="AS1419" s="23"/>
      <c r="AT1419" s="23"/>
      <c r="AU1419" s="23"/>
      <c r="AV1419" s="23"/>
    </row>
    <row r="1420">
      <c r="A1420" s="28" t="s">
        <v>5161</v>
      </c>
      <c r="B1420" s="28" t="s">
        <v>5162</v>
      </c>
      <c r="C1420" s="23" t="str">
        <f t="shared" si="39"/>
        <v>Salma Ramirez Tlapa</v>
      </c>
      <c r="D1420" s="28" t="s">
        <v>13977</v>
      </c>
      <c r="E1420" s="28" t="s">
        <v>13978</v>
      </c>
      <c r="F1420" s="23">
        <f t="array" ref="F1420">IFERROR(
    INDEX('Hub Interns 226'!A:A, MATCH(C1420, 'Hub Interns 226'!B:B, 0)),"")</f>
        <v>1061</v>
      </c>
      <c r="G1420" s="23">
        <f t="array" ref="G1420">IFERROR(
    INDEX('Hub Users 226'!A:A, MATCH(C1420, 'Hub Users 226'!B:B, 0)),"")</f>
        <v>1494</v>
      </c>
      <c r="H1420" s="28">
        <v>1153.0</v>
      </c>
      <c r="I1420" s="28" t="s">
        <v>239</v>
      </c>
      <c r="J1420" s="28" t="s">
        <v>11105</v>
      </c>
      <c r="K1420" s="28" t="s">
        <v>5177</v>
      </c>
      <c r="L1420" s="28" t="s">
        <v>5196</v>
      </c>
      <c r="M1420" s="56" t="s">
        <v>13979</v>
      </c>
      <c r="N1420" s="57">
        <v>44749.83888888889</v>
      </c>
      <c r="O1420" s="58">
        <v>38093.0</v>
      </c>
      <c r="P1420" s="28">
        <f t="shared" si="41"/>
        <v>22</v>
      </c>
      <c r="Q1420" s="28" t="s">
        <v>240</v>
      </c>
      <c r="R1420" s="28" t="s">
        <v>13980</v>
      </c>
      <c r="S1420" s="28">
        <v>14.0</v>
      </c>
      <c r="T1420" s="28">
        <v>59.0</v>
      </c>
      <c r="U1420" s="28">
        <v>36.0</v>
      </c>
      <c r="V1420" s="28">
        <v>22.0</v>
      </c>
      <c r="W1420" s="28" t="s">
        <v>1173</v>
      </c>
      <c r="X1420" s="28" t="s">
        <v>272</v>
      </c>
      <c r="Y1420" s="28" t="s">
        <v>13981</v>
      </c>
      <c r="Z1420" s="28" t="s">
        <v>5259</v>
      </c>
      <c r="AA1420" s="28" t="s">
        <v>704</v>
      </c>
      <c r="AB1420" s="28">
        <v>2.0</v>
      </c>
      <c r="AC1420" s="28" t="s">
        <v>23</v>
      </c>
      <c r="AD1420" s="23"/>
      <c r="AE1420" s="28" t="s">
        <v>15</v>
      </c>
      <c r="AF1420" s="23"/>
      <c r="AG1420" s="23"/>
      <c r="AH1420" s="23" t="str">
        <f>IFERROR(__xludf.DUMMYFUNCTION("IF(
ISNUMBER(MATCH(
C1420,
IMPORTRANGE(""https://docs.google.com/spreadsheets/d/1yTh1ELC33JHYOeEdgIiEclxPRyh0zOKtlawDltfUay8"",""'Interns'!A:A""),
0
)),
""Outreach Conducted"",
"""")"),"")</f>
        <v/>
      </c>
      <c r="AI1420" s="23"/>
      <c r="AJ1420" s="23"/>
      <c r="AK1420" s="23" t="str">
        <f>IFERROR(__xludf.DUMMYFUNCTION("XLOOKUP(C1420, 
   IMPORTRANGE(""1RdEdgHYrZ33LJ7RUHj_h-qkAFL92bcVjtIdVa-UlsCw"", ""Interns!D:D""), 
   IMPORTRANGE(""1RdEdgHYrZ33LJ7RUHj_h-qkAFL92bcVjtIdVa-UlsCw"", ""Interns!M:M""), 
   ""Not Found"")"),"Contacted")</f>
        <v>Contacted</v>
      </c>
      <c r="AL1420" s="23" t="str">
        <f>IFERROR(__xludf.DUMMYFUNCTION("XLOOKUP(C1420, 
   IMPORTRANGE(""1RdEdgHYrZ33LJ7RUHj_h-qkAFL92bcVjtIdVa-UlsCw"", ""Interns!D:D""), 
   IMPORTRANGE(""1RdEdgHYrZ33LJ7RUHj_h-qkAFL92bcVjtIdVa-UlsCw"", ""Interns!N:N""), 
   ""Not Found"")"),"#Cheers4Careers")</f>
        <v>#Cheers4Careers</v>
      </c>
      <c r="AM1420" s="23" t="str">
        <f>IFERROR(__xludf.DUMMYFUNCTION("XLOOKUP(C1420, 
   IMPORTRANGE(""1RdEdgHYrZ33LJ7RUHj_h-qkAFL92bcVjtIdVa-UlsCw"", ""Interns!D:D""), 
   IMPORTRANGE(""1RdEdgHYrZ33LJ7RUHj_h-qkAFL92bcVjtIdVa-UlsCw"", ""Interns!O:O""), 
   ""Not Found"")"),"Ousmane reached out by email 3/26 ")</f>
        <v>Ousmane reached out by email 3/26 </v>
      </c>
      <c r="AN1420" s="23"/>
      <c r="AO1420" s="23" t="s">
        <v>13982</v>
      </c>
      <c r="AP1420" s="28" t="s">
        <v>5182</v>
      </c>
      <c r="AQ1420" s="28"/>
      <c r="AR1420" s="23"/>
      <c r="AS1420" s="23"/>
      <c r="AT1420" s="23"/>
      <c r="AU1420" s="23"/>
      <c r="AV1420" s="23"/>
    </row>
    <row r="1421">
      <c r="A1421" s="28" t="s">
        <v>5161</v>
      </c>
      <c r="B1421" s="28" t="s">
        <v>5162</v>
      </c>
      <c r="C1421" s="23" t="str">
        <f t="shared" si="39"/>
        <v>Danialdo Luna</v>
      </c>
      <c r="D1421" s="28" t="s">
        <v>13983</v>
      </c>
      <c r="E1421" s="28" t="s">
        <v>3924</v>
      </c>
      <c r="F1421" s="23">
        <f t="array" ref="F1421">IFERROR(
    INDEX('Hub Interns 226'!A:A, MATCH(C1421, 'Hub Interns 226'!B:B, 0)),"")</f>
        <v>407</v>
      </c>
      <c r="G1421" s="23">
        <f t="array" ref="G1421">IFERROR(
    INDEX('Hub Users 226'!A:A, MATCH(C1421, 'Hub Users 226'!B:B, 0)),"")</f>
        <v>840</v>
      </c>
      <c r="H1421" s="28">
        <v>999.0</v>
      </c>
      <c r="I1421" s="28" t="s">
        <v>239</v>
      </c>
      <c r="J1421" s="28"/>
      <c r="K1421" s="28"/>
      <c r="L1421" s="28" t="s">
        <v>5165</v>
      </c>
      <c r="M1421" s="56" t="s">
        <v>13984</v>
      </c>
      <c r="N1421" s="57">
        <v>44648.90972222222</v>
      </c>
      <c r="O1421" s="58">
        <v>40010.0</v>
      </c>
      <c r="P1421" s="28">
        <f t="shared" si="41"/>
        <v>16</v>
      </c>
      <c r="Q1421" s="28" t="s">
        <v>240</v>
      </c>
      <c r="R1421" s="28" t="s">
        <v>13985</v>
      </c>
      <c r="S1421" s="28">
        <v>7.0</v>
      </c>
      <c r="T1421" s="28">
        <v>12.0</v>
      </c>
      <c r="U1421" s="28">
        <v>37.0</v>
      </c>
      <c r="V1421" s="28">
        <v>30.0</v>
      </c>
      <c r="W1421" s="28" t="s">
        <v>1173</v>
      </c>
      <c r="X1421" s="28" t="s">
        <v>272</v>
      </c>
      <c r="Y1421" s="28" t="s">
        <v>13986</v>
      </c>
      <c r="Z1421" s="28" t="s">
        <v>9652</v>
      </c>
      <c r="AA1421" s="28" t="s">
        <v>9653</v>
      </c>
      <c r="AB1421" s="28">
        <v>30.0</v>
      </c>
      <c r="AC1421" s="28" t="s">
        <v>24</v>
      </c>
      <c r="AD1421" s="23"/>
      <c r="AE1421" s="28" t="s">
        <v>10</v>
      </c>
      <c r="AF1421" s="23"/>
      <c r="AG1421" s="23"/>
      <c r="AH1421" s="23" t="str">
        <f>IFERROR(__xludf.DUMMYFUNCTION("IF(
ISNUMBER(MATCH(
C1421,
IMPORTRANGE(""https://docs.google.com/spreadsheets/d/1yTh1ELC33JHYOeEdgIiEclxPRyh0zOKtlawDltfUay8"",""'Interns'!A:A""),
0
)),
""Outreach Conducted"",
"""")"),"")</f>
        <v/>
      </c>
      <c r="AI1421" s="23"/>
      <c r="AJ1421" s="23"/>
      <c r="AK1421" s="23" t="str">
        <f>IFERROR(__xludf.DUMMYFUNCTION("XLOOKUP(C1421, 
   IMPORTRANGE(""1RdEdgHYrZ33LJ7RUHj_h-qkAFL92bcVjtIdVa-UlsCw"", ""Interns!D:D""), 
   IMPORTRANGE(""1RdEdgHYrZ33LJ7RUHj_h-qkAFL92bcVjtIdVa-UlsCw"", ""Interns!M:M""), 
   ""Not Found"")"),"Not Found")</f>
        <v>Not Found</v>
      </c>
      <c r="AL1421" s="23" t="str">
        <f>IFERROR(__xludf.DUMMYFUNCTION("XLOOKUP(C1421, 
   IMPORTRANGE(""1RdEdgHYrZ33LJ7RUHj_h-qkAFL92bcVjtIdVa-UlsCw"", ""Interns!D:D""), 
   IMPORTRANGE(""1RdEdgHYrZ33LJ7RUHj_h-qkAFL92bcVjtIdVa-UlsCw"", ""Interns!N:N""), 
   ""Not Found"")"),"Not Found")</f>
        <v>Not Found</v>
      </c>
      <c r="AM1421" s="23" t="str">
        <f>IFERROR(__xludf.DUMMYFUNCTION("XLOOKUP(C1421, 
   IMPORTRANGE(""1RdEdgHYrZ33LJ7RUHj_h-qkAFL92bcVjtIdVa-UlsCw"", ""Interns!D:D""), 
   IMPORTRANGE(""1RdEdgHYrZ33LJ7RUHj_h-qkAFL92bcVjtIdVa-UlsCw"", ""Interns!O:O""), 
   ""Not Found"")"),"Not Found")</f>
        <v>Not Found</v>
      </c>
      <c r="AN1421" s="23"/>
      <c r="AO1421" s="23" t="s">
        <v>13987</v>
      </c>
      <c r="AP1421" s="28" t="s">
        <v>5240</v>
      </c>
      <c r="AQ1421" s="28"/>
      <c r="AR1421" s="23"/>
      <c r="AS1421" s="23"/>
      <c r="AT1421" s="23"/>
      <c r="AU1421" s="23"/>
      <c r="AV1421" s="23"/>
    </row>
    <row r="1422">
      <c r="A1422" s="28" t="s">
        <v>5161</v>
      </c>
      <c r="B1422" s="28" t="s">
        <v>5162</v>
      </c>
      <c r="C1422" s="23" t="str">
        <f t="shared" si="39"/>
        <v>Edwin Rodriguez</v>
      </c>
      <c r="D1422" s="28" t="s">
        <v>9094</v>
      </c>
      <c r="E1422" s="28" t="s">
        <v>536</v>
      </c>
      <c r="F1422" s="23">
        <f t="array" ref="F1422">IFERROR(
    INDEX('Hub Interns 226'!A:A, MATCH(C1422, 'Hub Interns 226'!B:B, 0)),"")</f>
        <v>496</v>
      </c>
      <c r="G1422" s="23">
        <f t="array" ref="G1422">IFERROR(
    INDEX('Hub Users 226'!A:A, MATCH(C1422, 'Hub Users 226'!B:B, 0)),"")</f>
        <v>929</v>
      </c>
      <c r="H1422" s="28">
        <v>1354.0</v>
      </c>
      <c r="I1422" s="28" t="s">
        <v>785</v>
      </c>
      <c r="J1422" s="28"/>
      <c r="K1422" s="28"/>
      <c r="L1422" s="28" t="s">
        <v>5165</v>
      </c>
      <c r="M1422" s="56" t="s">
        <v>13988</v>
      </c>
      <c r="N1422" s="59">
        <v>44859.49166666667</v>
      </c>
      <c r="O1422" s="58">
        <v>39138.0</v>
      </c>
      <c r="P1422" s="28">
        <f t="shared" si="41"/>
        <v>19</v>
      </c>
      <c r="Q1422" s="28" t="s">
        <v>240</v>
      </c>
      <c r="R1422" s="28" t="s">
        <v>13989</v>
      </c>
      <c r="S1422" s="28">
        <v>5.0</v>
      </c>
      <c r="T1422" s="28">
        <v>14.0</v>
      </c>
      <c r="U1422" s="28">
        <v>29.0</v>
      </c>
      <c r="V1422" s="28">
        <v>31.0</v>
      </c>
      <c r="W1422" s="28" t="s">
        <v>1173</v>
      </c>
      <c r="X1422" s="28" t="s">
        <v>272</v>
      </c>
      <c r="Y1422" s="28" t="s">
        <v>13990</v>
      </c>
      <c r="Z1422" s="28" t="s">
        <v>5332</v>
      </c>
      <c r="AA1422" s="28" t="s">
        <v>421</v>
      </c>
      <c r="AB1422" s="28">
        <v>31.0</v>
      </c>
      <c r="AC1422" s="28" t="s">
        <v>23</v>
      </c>
      <c r="AD1422" s="23"/>
      <c r="AE1422" s="28" t="s">
        <v>15</v>
      </c>
      <c r="AF1422" s="23"/>
      <c r="AG1422" s="23"/>
      <c r="AH1422" s="23" t="str">
        <f>IFERROR(__xludf.DUMMYFUNCTION("IF(
ISNUMBER(MATCH(
C1422,
IMPORTRANGE(""https://docs.google.com/spreadsheets/d/1yTh1ELC33JHYOeEdgIiEclxPRyh0zOKtlawDltfUay8"",""'Interns'!A:A""),
0
)),
""Outreach Conducted"",
"""")"),"")</f>
        <v/>
      </c>
      <c r="AI1422" s="23"/>
      <c r="AJ1422" s="23"/>
      <c r="AK1422" s="23" t="str">
        <f>IFERROR(__xludf.DUMMYFUNCTION("XLOOKUP(C1422, 
   IMPORTRANGE(""1RdEdgHYrZ33LJ7RUHj_h-qkAFL92bcVjtIdVa-UlsCw"", ""Interns!D:D""), 
   IMPORTRANGE(""1RdEdgHYrZ33LJ7RUHj_h-qkAFL92bcVjtIdVa-UlsCw"", ""Interns!M:M""), 
   ""Not Found"")"),"Contacted")</f>
        <v>Contacted</v>
      </c>
      <c r="AL1422" s="23" t="str">
        <f>IFERROR(__xludf.DUMMYFUNCTION("XLOOKUP(C1422, 
   IMPORTRANGE(""1RdEdgHYrZ33LJ7RUHj_h-qkAFL92bcVjtIdVa-UlsCw"", ""Interns!D:D""), 
   IMPORTRANGE(""1RdEdgHYrZ33LJ7RUHj_h-qkAFL92bcVjtIdVa-UlsCw"", ""Interns!N:N""), 
   ""Not Found"")"),"#Cheers4Careers")</f>
        <v>#Cheers4Careers</v>
      </c>
      <c r="AM1422" s="23" t="str">
        <f>IFERROR(__xludf.DUMMYFUNCTION("XLOOKUP(C1422, 
   IMPORTRANGE(""1RdEdgHYrZ33LJ7RUHj_h-qkAFL92bcVjtIdVa-UlsCw"", ""Interns!D:D""), 
   IMPORTRANGE(""1RdEdgHYrZ33LJ7RUHj_h-qkAFL92bcVjtIdVa-UlsCw"", ""Interns!O:O""), 
   ""Not Found"")"),"Hetal reached out March 27 for March #Cheers4 Careers ")</f>
        <v>Hetal reached out March 27 for March #Cheers4 Careers </v>
      </c>
      <c r="AN1422" s="23"/>
      <c r="AO1422" s="23" t="s">
        <v>13991</v>
      </c>
      <c r="AP1422" s="28" t="s">
        <v>5182</v>
      </c>
      <c r="AQ1422" s="28"/>
      <c r="AR1422" s="23"/>
      <c r="AS1422" s="23"/>
      <c r="AT1422" s="23"/>
      <c r="AU1422" s="23"/>
      <c r="AV1422" s="23"/>
    </row>
    <row r="1423">
      <c r="A1423" s="28" t="s">
        <v>5161</v>
      </c>
      <c r="B1423" s="28" t="s">
        <v>5162</v>
      </c>
      <c r="C1423" s="23" t="str">
        <f t="shared" si="39"/>
        <v>Nalah Vera</v>
      </c>
      <c r="D1423" s="22" t="s">
        <v>13992</v>
      </c>
      <c r="E1423" s="22" t="s">
        <v>13993</v>
      </c>
      <c r="F1423" s="23"/>
      <c r="G1423" s="23"/>
      <c r="H1423" s="22">
        <v>1927.0</v>
      </c>
      <c r="I1423" s="28"/>
      <c r="J1423" s="28"/>
      <c r="K1423" s="28"/>
      <c r="L1423" s="28" t="s">
        <v>5196</v>
      </c>
      <c r="M1423" s="29" t="s">
        <v>13994</v>
      </c>
      <c r="N1423" s="61">
        <v>45771.44513888889</v>
      </c>
      <c r="O1423" s="25">
        <v>40258.0</v>
      </c>
      <c r="P1423" s="28">
        <f t="shared" si="41"/>
        <v>16</v>
      </c>
      <c r="Q1423" s="62" t="s">
        <v>13995</v>
      </c>
      <c r="R1423" s="22" t="s">
        <v>13996</v>
      </c>
      <c r="S1423" s="28">
        <v>3.0</v>
      </c>
      <c r="T1423" s="28">
        <v>11.0</v>
      </c>
      <c r="U1423" s="28">
        <v>33.0</v>
      </c>
      <c r="V1423" s="28">
        <v>23.0</v>
      </c>
      <c r="W1423" s="28" t="s">
        <v>1173</v>
      </c>
      <c r="X1423" s="28" t="s">
        <v>272</v>
      </c>
      <c r="Y1423" s="22" t="s">
        <v>13997</v>
      </c>
      <c r="Z1423" s="22" t="s">
        <v>5658</v>
      </c>
      <c r="AA1423" s="28" t="s">
        <v>5659</v>
      </c>
      <c r="AB1423" s="28">
        <v>23.0</v>
      </c>
      <c r="AC1423" s="28" t="s">
        <v>23</v>
      </c>
      <c r="AD1423" s="23"/>
      <c r="AE1423" s="28" t="s">
        <v>19</v>
      </c>
      <c r="AF1423" s="23"/>
      <c r="AG1423" s="23"/>
      <c r="AH1423" s="23" t="str">
        <f>IFERROR(__xludf.DUMMYFUNCTION("IF(
ISNUMBER(MATCH(
C1423,
IMPORTRANGE(""https://docs.google.com/spreadsheets/d/1yTh1ELC33JHYOeEdgIiEclxPRyh0zOKtlawDltfUay8"",""'Interns'!A:A""),
0
)),
""Outreach Conducted"",
"""")"),"")</f>
        <v/>
      </c>
      <c r="AI1423" s="23"/>
      <c r="AJ1423" s="23"/>
      <c r="AK1423" s="23"/>
      <c r="AL1423" s="23" t="str">
        <f>IFERROR(__xludf.DUMMYFUNCTION("XLOOKUP(C1423, 
   IMPORTRANGE(""1RdEdgHYrZ33LJ7RUHj_h-qkAFL92bcVjtIdVa-UlsCw"", ""Interns!D:D""), 
   IMPORTRANGE(""1RdEdgHYrZ33LJ7RUHj_h-qkAFL92bcVjtIdVa-UlsCw"", ""Interns!N:N""), 
   ""Not Found"")"),"#Cheers4Careers")</f>
        <v>#Cheers4Careers</v>
      </c>
      <c r="AM1423" s="23" t="str">
        <f>IFERROR(__xludf.DUMMYFUNCTION("XLOOKUP(C1423, 
   IMPORTRANGE(""1RdEdgHYrZ33LJ7RUHj_h-qkAFL92bcVjtIdVa-UlsCw"", ""Interns!D:D""), 
   IMPORTRANGE(""1RdEdgHYrZ33LJ7RUHj_h-qkAFL92bcVjtIdVa-UlsCw"", ""Interns!O:O""), 
   ""Not Found"")"),"Hetal reached out March 27 for March #Cheers4 Careers ")</f>
        <v>Hetal reached out March 27 for March #Cheers4 Careers </v>
      </c>
      <c r="AN1423" s="23"/>
      <c r="AO1423" s="23" t="s">
        <v>13998</v>
      </c>
      <c r="AP1423" s="28" t="s">
        <v>5182</v>
      </c>
      <c r="AQ1423" s="28" t="s">
        <v>13999</v>
      </c>
      <c r="AR1423" s="23" t="s">
        <v>14000</v>
      </c>
      <c r="AS1423" s="23"/>
      <c r="AT1423" s="23"/>
      <c r="AU1423" s="23"/>
      <c r="AV1423" s="23"/>
    </row>
    <row r="1424">
      <c r="A1424" s="28" t="s">
        <v>5161</v>
      </c>
      <c r="B1424" s="28" t="s">
        <v>5162</v>
      </c>
      <c r="C1424" s="23" t="str">
        <f t="shared" si="39"/>
        <v>Zayden Parker</v>
      </c>
      <c r="D1424" s="28" t="s">
        <v>14001</v>
      </c>
      <c r="E1424" s="28" t="s">
        <v>14002</v>
      </c>
      <c r="F1424" s="23">
        <f t="array" ref="F1424">IFERROR(
    INDEX('Hub Interns 226'!A:A, MATCH(C1424, 'Hub Interns 226'!B:B, 0)),"")</f>
        <v>1254</v>
      </c>
      <c r="G1424" s="23">
        <f t="array" ref="G1424">IFERROR(
    INDEX('Hub Users 226'!A:A, MATCH(C1424, 'Hub Users 226'!B:B, 0)),"")</f>
        <v>1687</v>
      </c>
      <c r="H1424" s="28">
        <v>1376.0</v>
      </c>
      <c r="I1424" s="28"/>
      <c r="J1424" s="28"/>
      <c r="K1424" s="28"/>
      <c r="L1424" s="28" t="s">
        <v>5165</v>
      </c>
      <c r="M1424" s="56" t="s">
        <v>14003</v>
      </c>
      <c r="N1424" s="59">
        <v>44860.48263888889</v>
      </c>
      <c r="O1424" s="58">
        <v>39776.0</v>
      </c>
      <c r="P1424" s="28">
        <f t="shared" si="41"/>
        <v>17</v>
      </c>
      <c r="Q1424" s="28" t="s">
        <v>240</v>
      </c>
      <c r="R1424" s="28" t="s">
        <v>14004</v>
      </c>
      <c r="S1424" s="28">
        <v>5.0</v>
      </c>
      <c r="T1424" s="28">
        <v>10.0</v>
      </c>
      <c r="U1424" s="28">
        <v>31.0</v>
      </c>
      <c r="V1424" s="28">
        <v>31.0</v>
      </c>
      <c r="W1424" s="28" t="s">
        <v>1173</v>
      </c>
      <c r="X1424" s="28" t="s">
        <v>272</v>
      </c>
      <c r="Y1424" s="28" t="s">
        <v>14005</v>
      </c>
      <c r="Z1424" s="28" t="s">
        <v>5332</v>
      </c>
      <c r="AA1424" s="28" t="s">
        <v>421</v>
      </c>
      <c r="AB1424" s="28">
        <v>31.0</v>
      </c>
      <c r="AC1424" s="28" t="s">
        <v>23</v>
      </c>
      <c r="AD1424" s="23"/>
      <c r="AE1424" s="28" t="s">
        <v>15</v>
      </c>
      <c r="AF1424" s="23"/>
      <c r="AG1424" s="23"/>
      <c r="AH1424" s="23" t="str">
        <f>IFERROR(__xludf.DUMMYFUNCTION("IF(
ISNUMBER(MATCH(
C1424,
IMPORTRANGE(""https://docs.google.com/spreadsheets/d/1yTh1ELC33JHYOeEdgIiEclxPRyh0zOKtlawDltfUay8"",""'Interns'!A:A""),
0
)),
""Outreach Conducted"",
"""")"),"")</f>
        <v/>
      </c>
      <c r="AI1424" s="23"/>
      <c r="AJ1424" s="23"/>
      <c r="AK1424" s="23" t="str">
        <f>IFERROR(__xludf.DUMMYFUNCTION("XLOOKUP(C1424, 
   IMPORTRANGE(""1RdEdgHYrZ33LJ7RUHj_h-qkAFL92bcVjtIdVa-UlsCw"", ""Interns!D:D""), 
   IMPORTRANGE(""1RdEdgHYrZ33LJ7RUHj_h-qkAFL92bcVjtIdVa-UlsCw"", ""Interns!M:M""), 
   ""Not Found"")"),"Contacted")</f>
        <v>Contacted</v>
      </c>
      <c r="AL1424" s="23" t="str">
        <f>IFERROR(__xludf.DUMMYFUNCTION("XLOOKUP(C1424, 
   IMPORTRANGE(""1RdEdgHYrZ33LJ7RUHj_h-qkAFL92bcVjtIdVa-UlsCw"", ""Interns!D:D""), 
   IMPORTRANGE(""1RdEdgHYrZ33LJ7RUHj_h-qkAFL92bcVjtIdVa-UlsCw"", ""Interns!N:N""), 
   ""Not Found"")"),"#Cheers4Careers")</f>
        <v>#Cheers4Careers</v>
      </c>
      <c r="AM1424" s="23" t="str">
        <f>IFERROR(__xludf.DUMMYFUNCTION("XLOOKUP(C1424, 
   IMPORTRANGE(""1RdEdgHYrZ33LJ7RUHj_h-qkAFL92bcVjtIdVa-UlsCw"", ""Interns!D:D""), 
   IMPORTRANGE(""1RdEdgHYrZ33LJ7RUHj_h-qkAFL92bcVjtIdVa-UlsCw"", ""Interns!O:O""), 
   ""Not Found"")"),"Hetal reached out March 27 for March #Cheers4 Careers  and texted")</f>
        <v>Hetal reached out March 27 for March #Cheers4 Careers  and texted</v>
      </c>
      <c r="AN1424" s="23"/>
      <c r="AO1424" s="23" t="s">
        <v>14006</v>
      </c>
      <c r="AP1424" s="28" t="s">
        <v>5182</v>
      </c>
      <c r="AQ1424" s="28"/>
      <c r="AR1424" s="23"/>
      <c r="AS1424" s="23"/>
      <c r="AT1424" s="23"/>
      <c r="AU1424" s="23"/>
      <c r="AV1424" s="23"/>
    </row>
    <row r="1425">
      <c r="A1425" s="28" t="s">
        <v>5161</v>
      </c>
      <c r="B1425" s="28" t="s">
        <v>5162</v>
      </c>
      <c r="C1425" s="23" t="str">
        <f t="shared" si="39"/>
        <v>Nathaniel Seatts</v>
      </c>
      <c r="D1425" s="28" t="s">
        <v>14007</v>
      </c>
      <c r="E1425" s="28" t="s">
        <v>14008</v>
      </c>
      <c r="F1425" s="23">
        <f t="array" ref="F1425">IFERROR(
    INDEX('Hub Interns 226'!A:A, MATCH(C1425, 'Hub Interns 226'!B:B, 0)),"")</f>
        <v>928</v>
      </c>
      <c r="G1425" s="23">
        <f t="array" ref="G1425">IFERROR(
    INDEX('Hub Users 226'!A:A, MATCH(C1425, 'Hub Users 226'!B:B, 0)),"")</f>
        <v>1361</v>
      </c>
      <c r="H1425" s="28">
        <v>1349.0</v>
      </c>
      <c r="I1425" s="28" t="s">
        <v>239</v>
      </c>
      <c r="J1425" s="28"/>
      <c r="K1425" s="28"/>
      <c r="L1425" s="28" t="s">
        <v>5165</v>
      </c>
      <c r="M1425" s="56" t="s">
        <v>14009</v>
      </c>
      <c r="N1425" s="59">
        <v>44859.475694444445</v>
      </c>
      <c r="O1425" s="58">
        <v>39601.0</v>
      </c>
      <c r="P1425" s="28">
        <f t="shared" si="41"/>
        <v>17</v>
      </c>
      <c r="Q1425" s="28" t="s">
        <v>240</v>
      </c>
      <c r="R1425" s="28" t="s">
        <v>14010</v>
      </c>
      <c r="S1425" s="28">
        <v>5.0</v>
      </c>
      <c r="T1425" s="28">
        <v>10.0</v>
      </c>
      <c r="U1425" s="28">
        <v>31.0</v>
      </c>
      <c r="V1425" s="28">
        <v>31.0</v>
      </c>
      <c r="W1425" s="28" t="s">
        <v>271</v>
      </c>
      <c r="X1425" s="28" t="s">
        <v>272</v>
      </c>
      <c r="Y1425" s="28" t="s">
        <v>14011</v>
      </c>
      <c r="Z1425" s="28" t="s">
        <v>5332</v>
      </c>
      <c r="AA1425" s="28" t="s">
        <v>421</v>
      </c>
      <c r="AB1425" s="28">
        <v>31.0</v>
      </c>
      <c r="AC1425" s="28" t="s">
        <v>23</v>
      </c>
      <c r="AD1425" s="28" t="s">
        <v>101</v>
      </c>
      <c r="AE1425" s="28" t="s">
        <v>15</v>
      </c>
      <c r="AF1425" s="23"/>
      <c r="AG1425" s="23"/>
      <c r="AH1425" s="23" t="str">
        <f>IFERROR(__xludf.DUMMYFUNCTION("IF(
ISNUMBER(MATCH(
C1425,
IMPORTRANGE(""https://docs.google.com/spreadsheets/d/1yTh1ELC33JHYOeEdgIiEclxPRyh0zOKtlawDltfUay8"",""'Interns'!A:A""),
0
)),
""Outreach Conducted"",
"""")"),"")</f>
        <v/>
      </c>
      <c r="AI1425" s="23"/>
      <c r="AJ1425" s="23"/>
      <c r="AK1425" s="23" t="str">
        <f>IFERROR(__xludf.DUMMYFUNCTION("XLOOKUP(C1425, 
   IMPORTRANGE(""1RdEdgHYrZ33LJ7RUHj_h-qkAFL92bcVjtIdVa-UlsCw"", ""Interns!D:D""), 
   IMPORTRANGE(""1RdEdgHYrZ33LJ7RUHj_h-qkAFL92bcVjtIdVa-UlsCw"", ""Interns!M:M""), 
   ""Not Found"")"),"Contacted")</f>
        <v>Contacted</v>
      </c>
      <c r="AL1425" s="23" t="str">
        <f>IFERROR(__xludf.DUMMYFUNCTION("XLOOKUP(C1425, 
   IMPORTRANGE(""1RdEdgHYrZ33LJ7RUHj_h-qkAFL92bcVjtIdVa-UlsCw"", ""Interns!D:D""), 
   IMPORTRANGE(""1RdEdgHYrZ33LJ7RUHj_h-qkAFL92bcVjtIdVa-UlsCw"", ""Interns!N:N""), 
   ""Not Found"")"),"#Cheers4Careers")</f>
        <v>#Cheers4Careers</v>
      </c>
      <c r="AM1425" s="23" t="str">
        <f>IFERROR(__xludf.DUMMYFUNCTION("XLOOKUP(C1425,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425" s="23"/>
      <c r="AO1425" s="23" t="s">
        <v>14012</v>
      </c>
      <c r="AP1425" s="28" t="s">
        <v>5182</v>
      </c>
      <c r="AQ1425" s="28"/>
      <c r="AR1425" s="23"/>
      <c r="AS1425" s="23"/>
      <c r="AT1425" s="23"/>
      <c r="AU1425" s="23"/>
      <c r="AV1425" s="23"/>
    </row>
    <row r="1426">
      <c r="A1426" s="28" t="s">
        <v>5161</v>
      </c>
      <c r="B1426" s="28" t="s">
        <v>5162</v>
      </c>
      <c r="C1426" s="23" t="str">
        <f t="shared" si="39"/>
        <v>Demelee Mercedes</v>
      </c>
      <c r="D1426" s="22" t="s">
        <v>14013</v>
      </c>
      <c r="E1426" s="22" t="s">
        <v>12426</v>
      </c>
      <c r="F1426" s="23"/>
      <c r="G1426" s="23"/>
      <c r="H1426" s="22">
        <v>1883.0</v>
      </c>
      <c r="I1426" s="28"/>
      <c r="J1426" s="28"/>
      <c r="K1426" s="28"/>
      <c r="L1426" s="28" t="s">
        <v>5196</v>
      </c>
      <c r="M1426" s="29" t="s">
        <v>14014</v>
      </c>
      <c r="N1426" s="22"/>
      <c r="O1426" s="25">
        <v>39197.0</v>
      </c>
      <c r="P1426" s="28">
        <f t="shared" si="41"/>
        <v>19</v>
      </c>
      <c r="Q1426" s="62" t="s">
        <v>14015</v>
      </c>
      <c r="R1426" s="22" t="s">
        <v>14016</v>
      </c>
      <c r="S1426" s="28">
        <v>11.0</v>
      </c>
      <c r="T1426" s="28">
        <v>23.0</v>
      </c>
      <c r="U1426" s="28">
        <v>61.0</v>
      </c>
      <c r="V1426" s="28">
        <v>49.0</v>
      </c>
      <c r="W1426" s="23"/>
      <c r="X1426" s="23"/>
      <c r="Y1426" s="22" t="s">
        <v>14017</v>
      </c>
      <c r="Z1426" s="22" t="s">
        <v>5822</v>
      </c>
      <c r="AA1426" s="28" t="s">
        <v>5822</v>
      </c>
      <c r="AB1426" s="28">
        <v>30.0</v>
      </c>
      <c r="AC1426" s="28" t="s">
        <v>27</v>
      </c>
      <c r="AD1426" s="23"/>
      <c r="AE1426" s="28" t="s">
        <v>20</v>
      </c>
      <c r="AF1426" s="23"/>
      <c r="AG1426" s="23"/>
      <c r="AH1426" s="23" t="str">
        <f>IFERROR(__xludf.DUMMYFUNCTION("IF(
ISNUMBER(MATCH(
C1426,
IMPORTRANGE(""https://docs.google.com/spreadsheets/d/1yTh1ELC33JHYOeEdgIiEclxPRyh0zOKtlawDltfUay8"",""'Interns'!A:A""),
0
)),
""Outreach Conducted"",
"""")"),"")</f>
        <v/>
      </c>
      <c r="AI1426" s="23"/>
      <c r="AJ1426" s="23"/>
      <c r="AK1426" s="23"/>
      <c r="AL1426" s="23" t="str">
        <f>IFERROR(__xludf.DUMMYFUNCTION("XLOOKUP(C1426, 
   IMPORTRANGE(""1RdEdgHYrZ33LJ7RUHj_h-qkAFL92bcVjtIdVa-UlsCw"", ""Interns!D:D""), 
   IMPORTRANGE(""1RdEdgHYrZ33LJ7RUHj_h-qkAFL92bcVjtIdVa-UlsCw"", ""Interns!N:N""), 
   ""Not Found"")"),"#Cheers4Careers")</f>
        <v>#Cheers4Careers</v>
      </c>
      <c r="AM1426" s="23" t="str">
        <f>IFERROR(__xludf.DUMMYFUNCTION("XLOOKUP(C1426, 
   IMPORTRANGE(""1RdEdgHYrZ33LJ7RUHj_h-qkAFL92bcVjtIdVa-UlsCw"", ""Interns!D:D""), 
   IMPORTRANGE(""1RdEdgHYrZ33LJ7RUHj_h-qkAFL92bcVjtIdVa-UlsCw"", ""Interns!O:O""), 
   ""Not Found"")"),"Hetal reached out March 27 for March #Cheers4 Careers ")</f>
        <v>Hetal reached out March 27 for March #Cheers4 Careers </v>
      </c>
      <c r="AN1426" s="23"/>
      <c r="AO1426" s="23" t="s">
        <v>14018</v>
      </c>
      <c r="AP1426" s="28" t="s">
        <v>5182</v>
      </c>
      <c r="AQ1426" s="28" t="s">
        <v>14019</v>
      </c>
      <c r="AR1426" s="23" t="s">
        <v>14020</v>
      </c>
      <c r="AS1426" s="23"/>
      <c r="AT1426" s="23"/>
      <c r="AU1426" s="23"/>
      <c r="AV1426" s="23"/>
    </row>
    <row r="1427">
      <c r="A1427" s="28" t="s">
        <v>5161</v>
      </c>
      <c r="B1427" s="28" t="s">
        <v>5162</v>
      </c>
      <c r="C1427" s="23" t="str">
        <f t="shared" si="39"/>
        <v>Aiden Louisy</v>
      </c>
      <c r="D1427" s="28" t="s">
        <v>14021</v>
      </c>
      <c r="E1427" s="28" t="s">
        <v>14022</v>
      </c>
      <c r="F1427" s="23">
        <f t="array" ref="F1427">IFERROR(
    INDEX('Hub Interns 226'!A:A, MATCH(C1427, 'Hub Interns 226'!B:B, 0)),"")</f>
        <v>161</v>
      </c>
      <c r="G1427" s="23">
        <f t="array" ref="G1427">IFERROR(
    INDEX('Hub Users 226'!A:A, MATCH(C1427, 'Hub Users 226'!B:B, 0)),"")</f>
        <v>594</v>
      </c>
      <c r="H1427" s="28">
        <v>1404.0</v>
      </c>
      <c r="I1427" s="28" t="s">
        <v>538</v>
      </c>
      <c r="J1427" s="28"/>
      <c r="K1427" s="28"/>
      <c r="L1427" s="28" t="s">
        <v>5165</v>
      </c>
      <c r="M1427" s="56" t="s">
        <v>14023</v>
      </c>
      <c r="N1427" s="59">
        <v>44865.464583333334</v>
      </c>
      <c r="O1427" s="58">
        <v>39836.0</v>
      </c>
      <c r="P1427" s="28">
        <f t="shared" si="41"/>
        <v>17</v>
      </c>
      <c r="Q1427" s="28" t="s">
        <v>240</v>
      </c>
      <c r="R1427" s="28" t="s">
        <v>14024</v>
      </c>
      <c r="S1427" s="28">
        <v>5.0</v>
      </c>
      <c r="T1427" s="28">
        <v>14.0</v>
      </c>
      <c r="U1427" s="28">
        <v>29.0</v>
      </c>
      <c r="V1427" s="28">
        <v>31.0</v>
      </c>
      <c r="W1427" s="28" t="s">
        <v>1173</v>
      </c>
      <c r="X1427" s="28" t="s">
        <v>272</v>
      </c>
      <c r="Y1427" s="28" t="s">
        <v>14025</v>
      </c>
      <c r="Z1427" s="28" t="s">
        <v>5332</v>
      </c>
      <c r="AA1427" s="28" t="s">
        <v>421</v>
      </c>
      <c r="AB1427" s="28">
        <v>31.0</v>
      </c>
      <c r="AC1427" s="28" t="s">
        <v>23</v>
      </c>
      <c r="AD1427" s="23"/>
      <c r="AE1427" s="28" t="s">
        <v>15</v>
      </c>
      <c r="AF1427" s="23"/>
      <c r="AG1427" s="23"/>
      <c r="AH1427" s="23" t="str">
        <f>IFERROR(__xludf.DUMMYFUNCTION("IF(
ISNUMBER(MATCH(
C1427,
IMPORTRANGE(""https://docs.google.com/spreadsheets/d/1yTh1ELC33JHYOeEdgIiEclxPRyh0zOKtlawDltfUay8"",""'Interns'!A:A""),
0
)),
""Outreach Conducted"",
"""")"),"")</f>
        <v/>
      </c>
      <c r="AI1427" s="23"/>
      <c r="AJ1427" s="23"/>
      <c r="AK1427" s="23" t="str">
        <f>IFERROR(__xludf.DUMMYFUNCTION("XLOOKUP(C1427, 
   IMPORTRANGE(""1RdEdgHYrZ33LJ7RUHj_h-qkAFL92bcVjtIdVa-UlsCw"", ""Interns!D:D""), 
   IMPORTRANGE(""1RdEdgHYrZ33LJ7RUHj_h-qkAFL92bcVjtIdVa-UlsCw"", ""Interns!M:M""), 
   ""Not Found"")"),"Contacted")</f>
        <v>Contacted</v>
      </c>
      <c r="AL1427" s="23" t="str">
        <f>IFERROR(__xludf.DUMMYFUNCTION("XLOOKUP(C1427, 
   IMPORTRANGE(""1RdEdgHYrZ33LJ7RUHj_h-qkAFL92bcVjtIdVa-UlsCw"", ""Interns!D:D""), 
   IMPORTRANGE(""1RdEdgHYrZ33LJ7RUHj_h-qkAFL92bcVjtIdVa-UlsCw"", ""Interns!N:N""), 
   ""Not Found"")"),"#Cheers4Careers")</f>
        <v>#Cheers4Careers</v>
      </c>
      <c r="AM1427" s="23" t="str">
        <f>IFERROR(__xludf.DUMMYFUNCTION("XLOOKUP(C1427, 
   IMPORTRANGE(""1RdEdgHYrZ33LJ7RUHj_h-qkAFL92bcVjtIdVa-UlsCw"", ""Interns!D:D""), 
   IMPORTRANGE(""1RdEdgHYrZ33LJ7RUHj_h-qkAFL92bcVjtIdVa-UlsCw"", ""Interns!O:O""), 
   ""Not Found"")"),"Hetal reached out March 27 for March #Cheers4 Careers and texted")</f>
        <v>Hetal reached out March 27 for March #Cheers4 Careers and texted</v>
      </c>
      <c r="AN1427" s="23"/>
      <c r="AO1427" s="23" t="s">
        <v>14026</v>
      </c>
      <c r="AP1427" s="28" t="s">
        <v>5182</v>
      </c>
      <c r="AQ1427" s="28"/>
      <c r="AR1427" s="23"/>
      <c r="AS1427" s="23"/>
      <c r="AT1427" s="23"/>
      <c r="AU1427" s="23"/>
      <c r="AV1427" s="23"/>
    </row>
    <row r="1428">
      <c r="A1428" s="28" t="s">
        <v>5161</v>
      </c>
      <c r="B1428" s="28" t="s">
        <v>5162</v>
      </c>
      <c r="C1428" s="23" t="str">
        <f t="shared" si="39"/>
        <v>Lauren Saunders</v>
      </c>
      <c r="D1428" s="22" t="s">
        <v>2074</v>
      </c>
      <c r="E1428" s="22" t="s">
        <v>14027</v>
      </c>
      <c r="F1428" s="23"/>
      <c r="G1428" s="23"/>
      <c r="H1428" s="22">
        <v>1926.0</v>
      </c>
      <c r="I1428" s="28"/>
      <c r="J1428" s="28"/>
      <c r="K1428" s="28"/>
      <c r="L1428" s="28" t="s">
        <v>5196</v>
      </c>
      <c r="M1428" s="29" t="s">
        <v>14028</v>
      </c>
      <c r="N1428" s="61">
        <v>45771.44513888889</v>
      </c>
      <c r="O1428" s="25">
        <v>39927.0</v>
      </c>
      <c r="P1428" s="28">
        <f t="shared" si="41"/>
        <v>17</v>
      </c>
      <c r="Q1428" s="62" t="s">
        <v>14029</v>
      </c>
      <c r="R1428" s="22" t="s">
        <v>14030</v>
      </c>
      <c r="S1428" s="28">
        <v>5.0</v>
      </c>
      <c r="T1428" s="28">
        <v>14.0</v>
      </c>
      <c r="U1428" s="28">
        <v>29.0</v>
      </c>
      <c r="V1428" s="28">
        <v>31.0</v>
      </c>
      <c r="W1428" s="23"/>
      <c r="X1428" s="23"/>
      <c r="Y1428" s="22" t="s">
        <v>14031</v>
      </c>
      <c r="Z1428" s="22" t="s">
        <v>7490</v>
      </c>
      <c r="AA1428" s="28" t="s">
        <v>5659</v>
      </c>
      <c r="AB1428" s="28">
        <v>23.0</v>
      </c>
      <c r="AC1428" s="28" t="s">
        <v>23</v>
      </c>
      <c r="AD1428" s="23"/>
      <c r="AE1428" s="28" t="s">
        <v>19</v>
      </c>
      <c r="AF1428" s="23"/>
      <c r="AG1428" s="23"/>
      <c r="AH1428" s="23" t="str">
        <f>IFERROR(__xludf.DUMMYFUNCTION("IF(
ISNUMBER(MATCH(
C1428,
IMPORTRANGE(""https://docs.google.com/spreadsheets/d/1yTh1ELC33JHYOeEdgIiEclxPRyh0zOKtlawDltfUay8"",""'Interns'!A:A""),
0
)),
""Outreach Conducted"",
"""")"),"")</f>
        <v/>
      </c>
      <c r="AI1428" s="23"/>
      <c r="AJ1428" s="23"/>
      <c r="AK1428" s="23"/>
      <c r="AL1428" s="23" t="str">
        <f>IFERROR(__xludf.DUMMYFUNCTION("XLOOKUP(C1428, 
   IMPORTRANGE(""1RdEdgHYrZ33LJ7RUHj_h-qkAFL92bcVjtIdVa-UlsCw"", ""Interns!D:D""), 
   IMPORTRANGE(""1RdEdgHYrZ33LJ7RUHj_h-qkAFL92bcVjtIdVa-UlsCw"", ""Interns!N:N""), 
   ""Not Found"")"),"#Cheers4Careers")</f>
        <v>#Cheers4Careers</v>
      </c>
      <c r="AM1428" s="23" t="str">
        <f>IFERROR(__xludf.DUMMYFUNCTION("XLOOKUP(C1428, 
   IMPORTRANGE(""1RdEdgHYrZ33LJ7RUHj_h-qkAFL92bcVjtIdVa-UlsCw"", ""Interns!D:D""), 
   IMPORTRANGE(""1RdEdgHYrZ33LJ7RUHj_h-qkAFL92bcVjtIdVa-UlsCw"", ""Interns!O:O""), 
   ""Not Found"")"),"Hetal reached out March 27 for March #Cheers4 Careers ")</f>
        <v>Hetal reached out March 27 for March #Cheers4 Careers </v>
      </c>
      <c r="AN1428" s="23"/>
      <c r="AO1428" s="23"/>
      <c r="AP1428" s="28"/>
      <c r="AQ1428" s="28"/>
      <c r="AR1428" s="23"/>
      <c r="AS1428" s="23"/>
      <c r="AT1428" s="23"/>
      <c r="AU1428" s="23"/>
      <c r="AV1428" s="23"/>
    </row>
    <row r="1429">
      <c r="A1429" s="28" t="s">
        <v>5161</v>
      </c>
      <c r="B1429" s="28" t="s">
        <v>5162</v>
      </c>
      <c r="C1429" s="23" t="str">
        <f t="shared" si="39"/>
        <v>Boubacar Diallo</v>
      </c>
      <c r="D1429" s="28" t="s">
        <v>14032</v>
      </c>
      <c r="E1429" s="28" t="s">
        <v>7818</v>
      </c>
      <c r="F1429" s="23">
        <f t="array" ref="F1429">IFERROR(
    INDEX('Hub Interns 226'!A:A, MATCH(C1429, 'Hub Interns 226'!B:B, 0)),"")</f>
        <v>77</v>
      </c>
      <c r="G1429" s="23">
        <f t="array" ref="G1429">IFERROR(
    INDEX('Hub Users 226'!A:A, MATCH(C1429, 'Hub Users 226'!B:B, 0)),"")</f>
        <v>510</v>
      </c>
      <c r="H1429" s="28">
        <v>864.0</v>
      </c>
      <c r="I1429" s="28" t="s">
        <v>290</v>
      </c>
      <c r="J1429" s="28"/>
      <c r="K1429" s="28"/>
      <c r="L1429" s="28" t="s">
        <v>5165</v>
      </c>
      <c r="M1429" s="56" t="s">
        <v>14033</v>
      </c>
      <c r="N1429" s="57">
        <v>44595.708333333336</v>
      </c>
      <c r="O1429" s="58">
        <v>38139.0</v>
      </c>
      <c r="P1429" s="28">
        <f t="shared" si="41"/>
        <v>21</v>
      </c>
      <c r="Q1429" s="28" t="s">
        <v>240</v>
      </c>
      <c r="R1429" s="28" t="s">
        <v>14034</v>
      </c>
      <c r="S1429" s="28">
        <v>13.0</v>
      </c>
      <c r="T1429" s="28">
        <v>30.0</v>
      </c>
      <c r="U1429" s="28">
        <v>70.0</v>
      </c>
      <c r="V1429" s="28">
        <v>9.0</v>
      </c>
      <c r="W1429" s="28" t="s">
        <v>271</v>
      </c>
      <c r="X1429" s="28" t="s">
        <v>272</v>
      </c>
      <c r="Y1429" s="28" t="s">
        <v>14035</v>
      </c>
      <c r="Z1429" s="28" t="s">
        <v>5259</v>
      </c>
      <c r="AA1429" s="28" t="s">
        <v>704</v>
      </c>
      <c r="AB1429" s="28">
        <v>2.0</v>
      </c>
      <c r="AC1429" s="28" t="s">
        <v>24</v>
      </c>
      <c r="AD1429" s="23"/>
      <c r="AE1429" s="28" t="s">
        <v>10</v>
      </c>
      <c r="AF1429" s="23"/>
      <c r="AG1429" s="23"/>
      <c r="AH1429" s="23" t="str">
        <f>IFERROR(__xludf.DUMMYFUNCTION("IF(
ISNUMBER(MATCH(
C1429,
IMPORTRANGE(""https://docs.google.com/spreadsheets/d/1yTh1ELC33JHYOeEdgIiEclxPRyh0zOKtlawDltfUay8"",""'Interns'!A:A""),
0
)),
""Outreach Conducted"",
"""")"),"")</f>
        <v/>
      </c>
      <c r="AI1429" s="23"/>
      <c r="AJ1429" s="23"/>
      <c r="AK1429" s="23" t="str">
        <f>IFERROR(__xludf.DUMMYFUNCTION("XLOOKUP(C1429, 
   IMPORTRANGE(""1RdEdgHYrZ33LJ7RUHj_h-qkAFL92bcVjtIdVa-UlsCw"", ""Interns!D:D""), 
   IMPORTRANGE(""1RdEdgHYrZ33LJ7RUHj_h-qkAFL92bcVjtIdVa-UlsCw"", ""Interns!M:M""), 
   ""Not Found"")"),"Contacted")</f>
        <v>Contacted</v>
      </c>
      <c r="AL1429" s="23" t="str">
        <f>IFERROR(__xludf.DUMMYFUNCTION("XLOOKUP(C1429, 
   IMPORTRANGE(""1RdEdgHYrZ33LJ7RUHj_h-qkAFL92bcVjtIdVa-UlsCw"", ""Interns!D:D""), 
   IMPORTRANGE(""1RdEdgHYrZ33LJ7RUHj_h-qkAFL92bcVjtIdVa-UlsCw"", ""Interns!N:N""), 
   ""Not Found"")"),"#Cheers4Careers")</f>
        <v>#Cheers4Careers</v>
      </c>
      <c r="AM1429" s="23" t="str">
        <f>IFERROR(__xludf.DUMMYFUNCTION("XLOOKUP(C1429, 
   IMPORTRANGE(""1RdEdgHYrZ33LJ7RUHj_h-qkAFL92bcVjtIdVa-UlsCw"", ""Interns!D:D""), 
   IMPORTRANGE(""1RdEdgHYrZ33LJ7RUHj_h-qkAFL92bcVjtIdVa-UlsCw"", ""Interns!O:O""), 
   ""Not Found"")"),"Hetal reached out by whatsapp on 3/28
Hetal reached out on 4/10 by whatsapp for April 18th #Cheers4Careers")</f>
        <v>Hetal reached out by whatsapp on 3/28
Hetal reached out on 4/10 by whatsapp for April 18th #Cheers4Careers</v>
      </c>
      <c r="AN1429" s="23"/>
      <c r="AO1429" s="23" t="s">
        <v>14036</v>
      </c>
      <c r="AP1429" s="28" t="s">
        <v>5173</v>
      </c>
      <c r="AQ1429" s="28"/>
      <c r="AR1429" s="23"/>
      <c r="AS1429" s="23"/>
      <c r="AT1429" s="23"/>
      <c r="AU1429" s="23"/>
      <c r="AV1429" s="23"/>
    </row>
    <row r="1430">
      <c r="A1430" s="28" t="s">
        <v>5161</v>
      </c>
      <c r="B1430" s="28" t="s">
        <v>5162</v>
      </c>
      <c r="C1430" s="23" t="str">
        <f t="shared" si="39"/>
        <v>Hasly Cortes</v>
      </c>
      <c r="D1430" s="28" t="s">
        <v>14037</v>
      </c>
      <c r="E1430" s="28" t="s">
        <v>14038</v>
      </c>
      <c r="F1430" s="23">
        <f t="array" ref="F1430">IFERROR(
    INDEX('Hub Interns 226'!A:A, MATCH(C1430, 'Hub Interns 226'!B:B, 0)),"")</f>
        <v>567</v>
      </c>
      <c r="G1430" s="23">
        <f t="array" ref="G1430">IFERROR(
    INDEX('Hub Users 226'!A:A, MATCH(C1430, 'Hub Users 226'!B:B, 0)),"")</f>
        <v>1000</v>
      </c>
      <c r="H1430" s="28">
        <v>307.0</v>
      </c>
      <c r="I1430" s="28" t="s">
        <v>608</v>
      </c>
      <c r="J1430" s="28"/>
      <c r="K1430" s="28"/>
      <c r="L1430" s="28" t="s">
        <v>5196</v>
      </c>
      <c r="M1430" s="56" t="s">
        <v>14039</v>
      </c>
      <c r="N1430" s="57">
        <v>44233.63055555556</v>
      </c>
      <c r="O1430" s="58">
        <v>37752.0</v>
      </c>
      <c r="P1430" s="28">
        <f t="shared" si="41"/>
        <v>23</v>
      </c>
      <c r="Q1430" s="28" t="s">
        <v>240</v>
      </c>
      <c r="R1430" s="28" t="s">
        <v>14040</v>
      </c>
      <c r="S1430" s="28">
        <v>15.0</v>
      </c>
      <c r="T1430" s="28">
        <v>33.0</v>
      </c>
      <c r="U1430" s="28">
        <v>78.0</v>
      </c>
      <c r="V1430" s="28">
        <v>15.0</v>
      </c>
      <c r="W1430" s="28" t="s">
        <v>859</v>
      </c>
      <c r="X1430" s="28" t="s">
        <v>272</v>
      </c>
      <c r="Y1430" s="28" t="s">
        <v>14041</v>
      </c>
      <c r="Z1430" s="28" t="s">
        <v>5208</v>
      </c>
      <c r="AA1430" s="28" t="s">
        <v>2141</v>
      </c>
      <c r="AB1430" s="28">
        <v>8.0</v>
      </c>
      <c r="AC1430" s="28" t="s">
        <v>25</v>
      </c>
      <c r="AD1430" s="23"/>
      <c r="AE1430" s="28" t="s">
        <v>8</v>
      </c>
      <c r="AF1430" s="23" t="str">
        <f>IFERROR(__xludf.DUMMYFUNCTION("TEXTJOIN("", "", TRUE,
  FILTER(Champions!C:C,
    ISNUMBER(SEARCH(C1430, Champions!W:W))
  )
)"),"Anna Carina Radulovich (D), Maria José Montero Romero")</f>
        <v>Anna Carina Radulovich (D), Maria José Montero Romero</v>
      </c>
      <c r="AG1430" s="23"/>
      <c r="AH1430" s="23" t="str">
        <f>IFERROR(__xludf.DUMMYFUNCTION("IF(
ISNUMBER(MATCH(
C1430,
IMPORTRANGE(""https://docs.google.com/spreadsheets/d/1yTh1ELC33JHYOeEdgIiEclxPRyh0zOKtlawDltfUay8"",""'Interns'!A:A""),
0
)),
""Outreach Conducted"",
"""")"),"")</f>
        <v/>
      </c>
      <c r="AI1430" s="23"/>
      <c r="AJ1430" s="23"/>
      <c r="AK1430" s="23" t="str">
        <f>IFERROR(__xludf.DUMMYFUNCTION("XLOOKUP(C1430, 
   IMPORTRANGE(""1RdEdgHYrZ33LJ7RUHj_h-qkAFL92bcVjtIdVa-UlsCw"", ""Interns!D:D""), 
   IMPORTRANGE(""1RdEdgHYrZ33LJ7RUHj_h-qkAFL92bcVjtIdVa-UlsCw"", ""Interns!M:M""), 
   ""Not Found"")"),"Contacted")</f>
        <v>Contacted</v>
      </c>
      <c r="AL1430" s="23" t="str">
        <f>IFERROR(__xludf.DUMMYFUNCTION("XLOOKUP(C1430, 
   IMPORTRANGE(""1RdEdgHYrZ33LJ7RUHj_h-qkAFL92bcVjtIdVa-UlsCw"", ""Interns!D:D""), 
   IMPORTRANGE(""1RdEdgHYrZ33LJ7RUHj_h-qkAFL92bcVjtIdVa-UlsCw"", ""Interns!N:N""), 
   ""Not Found"")"),"#Cheers4Careers")</f>
        <v>#Cheers4Careers</v>
      </c>
      <c r="AM1430" s="23" t="str">
        <f>IFERROR(__xludf.DUMMYFUNCTION("XLOOKUP(C1430, 
   IMPORTRANGE(""1RdEdgHYrZ33LJ7RUHj_h-qkAFL92bcVjtIdVa-UlsCw"", ""Interns!D:D""), 
   IMPORTRANGE(""1RdEdgHYrZ33LJ7RUHj_h-qkAFL92bcVjtIdVa-UlsCw"", ""Interns!O:O""), 
   ""Not Found"")"),"Hetal reached out by email 3/27 and text")</f>
        <v>Hetal reached out by email 3/27 and text</v>
      </c>
      <c r="AN1430" s="23"/>
      <c r="AO1430" s="23" t="s">
        <v>14042</v>
      </c>
      <c r="AP1430" s="28" t="s">
        <v>5182</v>
      </c>
      <c r="AQ1430" s="28" t="s">
        <v>14043</v>
      </c>
      <c r="AR1430" s="23" t="s">
        <v>14044</v>
      </c>
      <c r="AS1430" s="28" t="s">
        <v>7807</v>
      </c>
      <c r="AT1430" s="23"/>
      <c r="AU1430" s="23"/>
      <c r="AV1430" s="23"/>
    </row>
    <row r="1431">
      <c r="A1431" s="28" t="s">
        <v>5161</v>
      </c>
      <c r="B1431" s="28" t="s">
        <v>5162</v>
      </c>
      <c r="C1431" s="23" t="str">
        <f t="shared" si="39"/>
        <v>Carla Solis</v>
      </c>
      <c r="D1431" s="28" t="s">
        <v>765</v>
      </c>
      <c r="E1431" s="28" t="s">
        <v>14045</v>
      </c>
      <c r="F1431" s="23">
        <f t="array" ref="F1431">IFERROR(
    INDEX('Hub Interns 226'!A:A, MATCH(C1431, 'Hub Interns 226'!B:B, 0)),"")</f>
        <v>1779</v>
      </c>
      <c r="G1431" s="23">
        <f t="array" ref="G1431">IFERROR(
    INDEX('Hub Users 226'!A:A, MATCH(C1431, 'Hub Users 226'!B:B, 0)),"")</f>
        <v>2609</v>
      </c>
      <c r="H1431" s="28">
        <v>1643.0</v>
      </c>
      <c r="I1431" s="28"/>
      <c r="J1431" s="28"/>
      <c r="K1431" s="28"/>
      <c r="L1431" s="28" t="s">
        <v>5196</v>
      </c>
      <c r="M1431" s="56" t="s">
        <v>14046</v>
      </c>
      <c r="N1431" s="57">
        <v>45116.95763888889</v>
      </c>
      <c r="O1431" s="58">
        <v>39092.0</v>
      </c>
      <c r="P1431" s="28">
        <f t="shared" si="41"/>
        <v>19</v>
      </c>
      <c r="Q1431" s="28" t="s">
        <v>14047</v>
      </c>
      <c r="R1431" s="28" t="s">
        <v>14048</v>
      </c>
      <c r="S1431" s="28">
        <v>7.0</v>
      </c>
      <c r="T1431" s="28">
        <v>18.0</v>
      </c>
      <c r="U1431" s="28">
        <v>53.0</v>
      </c>
      <c r="V1431" s="28">
        <v>37.0</v>
      </c>
      <c r="W1431" s="28" t="s">
        <v>294</v>
      </c>
      <c r="X1431" s="28" t="s">
        <v>272</v>
      </c>
      <c r="Y1431" s="28" t="s">
        <v>14049</v>
      </c>
      <c r="Z1431" s="28" t="s">
        <v>14050</v>
      </c>
      <c r="AA1431" s="28" t="s">
        <v>5639</v>
      </c>
      <c r="AB1431" s="23"/>
      <c r="AC1431" s="28" t="s">
        <v>27</v>
      </c>
      <c r="AD1431" s="23"/>
      <c r="AE1431" s="28" t="s">
        <v>18</v>
      </c>
      <c r="AF1431" s="23"/>
      <c r="AG1431" s="23"/>
      <c r="AH1431" s="23" t="str">
        <f>IFERROR(__xludf.DUMMYFUNCTION("IF(
ISNUMBER(MATCH(
C1431,
IMPORTRANGE(""https://docs.google.com/spreadsheets/d/1yTh1ELC33JHYOeEdgIiEclxPRyh0zOKtlawDltfUay8"",""'Interns'!A:A""),
0
)),
""Outreach Conducted"",
"""")"),"")</f>
        <v/>
      </c>
      <c r="AI1431" s="23"/>
      <c r="AJ1431" s="23"/>
      <c r="AK1431" s="23" t="str">
        <f>IFERROR(__xludf.DUMMYFUNCTION("XLOOKUP(C1431, 
   IMPORTRANGE(""1RdEdgHYrZ33LJ7RUHj_h-qkAFL92bcVjtIdVa-UlsCw"", ""Interns!D:D""), 
   IMPORTRANGE(""1RdEdgHYrZ33LJ7RUHj_h-qkAFL92bcVjtIdVa-UlsCw"", ""Interns!M:M""), 
   ""Not Found"")"),"Contacted")</f>
        <v>Contacted</v>
      </c>
      <c r="AL1431" s="23" t="str">
        <f>IFERROR(__xludf.DUMMYFUNCTION("XLOOKUP(C1431, 
   IMPORTRANGE(""1RdEdgHYrZ33LJ7RUHj_h-qkAFL92bcVjtIdVa-UlsCw"", ""Interns!D:D""), 
   IMPORTRANGE(""1RdEdgHYrZ33LJ7RUHj_h-qkAFL92bcVjtIdVa-UlsCw"", ""Interns!N:N""), 
   ""Not Found"")"),"#Cheers4Careers")</f>
        <v>#Cheers4Careers</v>
      </c>
      <c r="AM1431" s="23" t="str">
        <f>IFERROR(__xludf.DUMMYFUNCTION("XLOOKUP(C1431, 
   IMPORTRANGE(""1RdEdgHYrZ33LJ7RUHj_h-qkAFL92bcVjtIdVa-UlsCw"", ""Interns!D:D""), 
   IMPORTRANGE(""1RdEdgHYrZ33LJ7RUHj_h-qkAFL92bcVjtIdVa-UlsCw"", ""Interns!O:O""), 
   ""Not Found"")"),"Hetal reached out by text 3/27 for #Cheers4Careers")</f>
        <v>Hetal reached out by text 3/27 for #Cheers4Careers</v>
      </c>
      <c r="AN1431" s="23"/>
      <c r="AO1431" s="23" t="s">
        <v>14051</v>
      </c>
      <c r="AP1431" s="28" t="s">
        <v>5182</v>
      </c>
      <c r="AQ1431" s="28" t="s">
        <v>14052</v>
      </c>
      <c r="AR1431" s="23" t="s">
        <v>14053</v>
      </c>
      <c r="AS1431" s="23"/>
      <c r="AT1431" s="23"/>
      <c r="AU1431" s="23"/>
      <c r="AV1431" s="23"/>
    </row>
    <row r="1432">
      <c r="A1432" s="28" t="s">
        <v>5202</v>
      </c>
      <c r="B1432" s="28" t="s">
        <v>5162</v>
      </c>
      <c r="C1432" s="23" t="str">
        <f t="shared" si="39"/>
        <v>Dilnoza Hakberdieva</v>
      </c>
      <c r="D1432" s="28" t="s">
        <v>14054</v>
      </c>
      <c r="E1432" s="28" t="s">
        <v>14055</v>
      </c>
      <c r="F1432" s="23">
        <f t="array" ref="F1432">IFERROR(
    INDEX('Hub Interns 226'!A:A, MATCH(C1432, 'Hub Interns 226'!B:B, 0)),"")</f>
        <v>114</v>
      </c>
      <c r="G1432" s="23">
        <f t="array" ref="G1432">IFERROR(
    INDEX('Hub Users 226'!A:A, MATCH(C1432, 'Hub Users 226'!B:B, 0)),"")</f>
        <v>547</v>
      </c>
      <c r="H1432" s="28">
        <v>663.0</v>
      </c>
      <c r="I1432" s="28" t="s">
        <v>260</v>
      </c>
      <c r="J1432" s="28" t="s">
        <v>8549</v>
      </c>
      <c r="K1432" s="28" t="s">
        <v>5186</v>
      </c>
      <c r="L1432" s="28" t="s">
        <v>5196</v>
      </c>
      <c r="M1432" s="56" t="s">
        <v>14056</v>
      </c>
      <c r="N1432" s="59">
        <v>44540.48819444444</v>
      </c>
      <c r="O1432" s="58">
        <v>38455.0</v>
      </c>
      <c r="P1432" s="28">
        <f t="shared" si="41"/>
        <v>21</v>
      </c>
      <c r="Q1432" s="28" t="s">
        <v>14057</v>
      </c>
      <c r="R1432" s="28" t="s">
        <v>14058</v>
      </c>
      <c r="S1432" s="28"/>
      <c r="T1432" s="28"/>
      <c r="U1432" s="28"/>
      <c r="V1432" s="28"/>
      <c r="W1432" s="28" t="s">
        <v>380</v>
      </c>
      <c r="X1432" s="28" t="s">
        <v>381</v>
      </c>
      <c r="Y1432" s="28" t="s">
        <v>14059</v>
      </c>
      <c r="Z1432" s="28" t="s">
        <v>5272</v>
      </c>
      <c r="AA1432" s="28" t="s">
        <v>629</v>
      </c>
      <c r="AB1432" s="28" t="s">
        <v>5221</v>
      </c>
      <c r="AC1432" s="28" t="s">
        <v>25</v>
      </c>
      <c r="AD1432" s="23"/>
      <c r="AE1432" s="28" t="s">
        <v>10</v>
      </c>
      <c r="AF1432" s="23" t="str">
        <f>IFERROR(__xludf.DUMMYFUNCTION("TEXTJOIN("", "", TRUE,
  FILTER(Champions!C:C,
    ISNUMBER(SEARCH(C1432, Champions!W:W))
  )
)"),"Tatiana Nechaeva")</f>
        <v>Tatiana Nechaeva</v>
      </c>
      <c r="AG1432" s="23"/>
      <c r="AH1432" s="23" t="str">
        <f>IFERROR(__xludf.DUMMYFUNCTION("IF(
ISNUMBER(MATCH(
C1432,
IMPORTRANGE(""https://docs.google.com/spreadsheets/d/1yTh1ELC33JHYOeEdgIiEclxPRyh0zOKtlawDltfUay8"",""'Interns'!A:A""),
0
)),
""Outreach Conducted"",
"""")"),"")</f>
        <v/>
      </c>
      <c r="AI1432" s="23"/>
      <c r="AJ1432" s="23"/>
      <c r="AK1432" s="23" t="str">
        <f>IFERROR(__xludf.DUMMYFUNCTION("XLOOKUP(C1432, 
   IMPORTRANGE(""1RdEdgHYrZ33LJ7RUHj_h-qkAFL92bcVjtIdVa-UlsCw"", ""Interns!D:D""), 
   IMPORTRANGE(""1RdEdgHYrZ33LJ7RUHj_h-qkAFL92bcVjtIdVa-UlsCw"", ""Interns!M:M""), 
   ""Not Found"")"),"")</f>
        <v/>
      </c>
      <c r="AL1432" s="23" t="str">
        <f>IFERROR(__xludf.DUMMYFUNCTION("XLOOKUP(C1432, 
   IMPORTRANGE(""1RdEdgHYrZ33LJ7RUHj_h-qkAFL92bcVjtIdVa-UlsCw"", ""Interns!D:D""), 
   IMPORTRANGE(""1RdEdgHYrZ33LJ7RUHj_h-qkAFL92bcVjtIdVa-UlsCw"", ""Interns!N:N""), 
   ""Not Found"")"),"")</f>
        <v/>
      </c>
      <c r="AM1432" s="23" t="str">
        <f>IFERROR(__xludf.DUMMYFUNCTION("XLOOKUP(C1432, 
   IMPORTRANGE(""1RdEdgHYrZ33LJ7RUHj_h-qkAFL92bcVjtIdVa-UlsCw"", ""Interns!D:D""), 
   IMPORTRANGE(""1RdEdgHYrZ33LJ7RUHj_h-qkAFL92bcVjtIdVa-UlsCw"", ""Interns!O:O""), 
   ""Not Found"")"),"")</f>
        <v/>
      </c>
      <c r="AN1432" s="23"/>
      <c r="AO1432" s="23" t="s">
        <v>14060</v>
      </c>
      <c r="AP1432" s="28" t="s">
        <v>5182</v>
      </c>
      <c r="AQ1432" s="28" t="s">
        <v>14056</v>
      </c>
      <c r="AR1432" s="23" t="s">
        <v>14061</v>
      </c>
      <c r="AS1432" s="23"/>
      <c r="AT1432" s="23"/>
      <c r="AU1432" s="23"/>
      <c r="AV1432" s="23"/>
    </row>
    <row r="1433">
      <c r="A1433" s="28" t="s">
        <v>5161</v>
      </c>
      <c r="B1433" s="28" t="s">
        <v>5162</v>
      </c>
      <c r="C1433" s="23" t="str">
        <f t="shared" si="39"/>
        <v>Zahira Wardlaw</v>
      </c>
      <c r="D1433" s="22" t="s">
        <v>14062</v>
      </c>
      <c r="E1433" s="22" t="s">
        <v>14063</v>
      </c>
      <c r="F1433" s="23"/>
      <c r="G1433" s="23"/>
      <c r="H1433" s="22">
        <v>1889.0</v>
      </c>
      <c r="I1433" s="28"/>
      <c r="J1433" s="28"/>
      <c r="K1433" s="28"/>
      <c r="L1433" s="28" t="s">
        <v>5196</v>
      </c>
      <c r="M1433" s="29" t="s">
        <v>14064</v>
      </c>
      <c r="N1433" s="22"/>
      <c r="O1433" s="25">
        <v>39420.0</v>
      </c>
      <c r="P1433" s="28">
        <f t="shared" si="41"/>
        <v>18</v>
      </c>
      <c r="Q1433" s="62" t="s">
        <v>14065</v>
      </c>
      <c r="R1433" s="22" t="s">
        <v>14066</v>
      </c>
      <c r="S1433" s="28">
        <v>8.0</v>
      </c>
      <c r="T1433" s="28">
        <v>19.0</v>
      </c>
      <c r="U1433" s="28">
        <v>55.0</v>
      </c>
      <c r="V1433" s="28">
        <v>42.0</v>
      </c>
      <c r="W1433" s="23"/>
      <c r="X1433" s="23"/>
      <c r="Y1433" s="22" t="s">
        <v>14067</v>
      </c>
      <c r="Z1433" s="22" t="s">
        <v>5822</v>
      </c>
      <c r="AA1433" s="28" t="s">
        <v>5822</v>
      </c>
      <c r="AB1433" s="28">
        <v>30.0</v>
      </c>
      <c r="AC1433" s="28" t="s">
        <v>27</v>
      </c>
      <c r="AD1433" s="23"/>
      <c r="AE1433" s="28" t="s">
        <v>20</v>
      </c>
      <c r="AF1433" s="23"/>
      <c r="AG1433" s="23"/>
      <c r="AH1433" s="23" t="str">
        <f>IFERROR(__xludf.DUMMYFUNCTION("IF(
ISNUMBER(MATCH(
C1433,
IMPORTRANGE(""https://docs.google.com/spreadsheets/d/1yTh1ELC33JHYOeEdgIiEclxPRyh0zOKtlawDltfUay8"",""'Interns'!A:A""),
0
)),
""Outreach Conducted"",
"""")"),"")</f>
        <v/>
      </c>
      <c r="AI1433" s="23"/>
      <c r="AJ1433" s="23"/>
      <c r="AK1433" s="23"/>
      <c r="AL1433" s="23" t="str">
        <f>IFERROR(__xludf.DUMMYFUNCTION("XLOOKUP(C1433, 
   IMPORTRANGE(""1RdEdgHYrZ33LJ7RUHj_h-qkAFL92bcVjtIdVa-UlsCw"", ""Interns!D:D""), 
   IMPORTRANGE(""1RdEdgHYrZ33LJ7RUHj_h-qkAFL92bcVjtIdVa-UlsCw"", ""Interns!N:N""), 
   ""Not Found"")"),"#Cheers4Careers")</f>
        <v>#Cheers4Careers</v>
      </c>
      <c r="AM1433" s="23" t="str">
        <f>IFERROR(__xludf.DUMMYFUNCTION("XLOOKUP(C1433, 
   IMPORTRANGE(""1RdEdgHYrZ33LJ7RUHj_h-qkAFL92bcVjtIdVa-UlsCw"", ""Interns!D:D""), 
   IMPORTRANGE(""1RdEdgHYrZ33LJ7RUHj_h-qkAFL92bcVjtIdVa-UlsCw"", ""Interns!O:O""), 
   ""Not Found"")"),"Hetal reached out March 27 for March #Cheers4 Careers ")</f>
        <v>Hetal reached out March 27 for March #Cheers4 Careers </v>
      </c>
      <c r="AN1433" s="23"/>
      <c r="AO1433" s="23" t="s">
        <v>14068</v>
      </c>
      <c r="AP1433" s="28" t="s">
        <v>5182</v>
      </c>
      <c r="AQ1433" s="28" t="s">
        <v>14069</v>
      </c>
      <c r="AR1433" s="23" t="s">
        <v>14070</v>
      </c>
      <c r="AS1433" s="23"/>
      <c r="AT1433" s="23"/>
      <c r="AU1433" s="23"/>
      <c r="AV1433" s="23"/>
    </row>
    <row r="1434">
      <c r="A1434" s="28" t="s">
        <v>5161</v>
      </c>
      <c r="B1434" s="28" t="s">
        <v>5162</v>
      </c>
      <c r="C1434" s="23" t="str">
        <f t="shared" si="39"/>
        <v>Devin Rhodie</v>
      </c>
      <c r="D1434" s="28" t="s">
        <v>14071</v>
      </c>
      <c r="E1434" s="28" t="s">
        <v>14072</v>
      </c>
      <c r="F1434" s="23">
        <f t="array" ref="F1434">IFERROR(
    INDEX('Hub Interns 226'!A:A, MATCH(C1434, 'Hub Interns 226'!B:B, 0)),"")</f>
        <v>439</v>
      </c>
      <c r="G1434" s="23">
        <f t="array" ref="G1434">IFERROR(
    INDEX('Hub Users 226'!A:A, MATCH(C1434, 'Hub Users 226'!B:B, 0)),"")</f>
        <v>872</v>
      </c>
      <c r="H1434" s="28">
        <v>339.0</v>
      </c>
      <c r="I1434" s="28" t="s">
        <v>239</v>
      </c>
      <c r="J1434" s="28"/>
      <c r="K1434" s="28" t="s">
        <v>5245</v>
      </c>
      <c r="L1434" s="28" t="s">
        <v>5165</v>
      </c>
      <c r="M1434" s="56" t="s">
        <v>14073</v>
      </c>
      <c r="N1434" s="57">
        <v>44243.549305555556</v>
      </c>
      <c r="O1434" s="58">
        <v>38241.0</v>
      </c>
      <c r="P1434" s="28">
        <f t="shared" si="41"/>
        <v>21</v>
      </c>
      <c r="Q1434" s="28" t="s">
        <v>240</v>
      </c>
      <c r="R1434" s="28" t="s">
        <v>14074</v>
      </c>
      <c r="S1434" s="28">
        <v>5.0</v>
      </c>
      <c r="T1434" s="28">
        <v>10.0</v>
      </c>
      <c r="U1434" s="28">
        <v>29.0</v>
      </c>
      <c r="V1434" s="28">
        <v>31.0</v>
      </c>
      <c r="W1434" s="28" t="s">
        <v>1173</v>
      </c>
      <c r="X1434" s="28" t="s">
        <v>272</v>
      </c>
      <c r="Y1434" s="28" t="s">
        <v>14075</v>
      </c>
      <c r="Z1434" s="28" t="s">
        <v>5332</v>
      </c>
      <c r="AA1434" s="28" t="s">
        <v>421</v>
      </c>
      <c r="AB1434" s="28">
        <v>31.0</v>
      </c>
      <c r="AC1434" s="28" t="s">
        <v>25</v>
      </c>
      <c r="AD1434" s="23"/>
      <c r="AE1434" s="28" t="s">
        <v>11</v>
      </c>
      <c r="AF1434" s="23" t="str">
        <f>IFERROR(__xludf.DUMMYFUNCTION("TEXTJOIN("", "", TRUE,
  FILTER(Champions!C:C,
    ISNUMBER(SEARCH(C1434, Champions!W:W))
  )
)"),"CHRISTINA BROOMES, Benazir Fateh, Geoffrey Irwin, Loren Hernandez, Brian Blackwell")</f>
        <v>CHRISTINA BROOMES, Benazir Fateh, Geoffrey Irwin, Loren Hernandez, Brian Blackwell</v>
      </c>
      <c r="AG1434" s="23"/>
      <c r="AH1434" s="23" t="str">
        <f>IFERROR(__xludf.DUMMYFUNCTION("IF(
ISNUMBER(MATCH(
C1434,
IMPORTRANGE(""https://docs.google.com/spreadsheets/d/1yTh1ELC33JHYOeEdgIiEclxPRyh0zOKtlawDltfUay8"",""'Interns'!A:A""),
0
)),
""Outreach Conducted"",
"""")"),"Outreach Conducted")</f>
        <v>Outreach Conducted</v>
      </c>
      <c r="AI1434" s="23"/>
      <c r="AJ1434" s="23"/>
      <c r="AK1434" s="23" t="str">
        <f>IFERROR(__xludf.DUMMYFUNCTION("XLOOKUP(C1434, 
   IMPORTRANGE(""1RdEdgHYrZ33LJ7RUHj_h-qkAFL92bcVjtIdVa-UlsCw"", ""Interns!D:D""), 
   IMPORTRANGE(""1RdEdgHYrZ33LJ7RUHj_h-qkAFL92bcVjtIdVa-UlsCw"", ""Interns!M:M""), 
   ""Not Found"")"),"Contacted")</f>
        <v>Contacted</v>
      </c>
      <c r="AL1434" s="23" t="str">
        <f>IFERROR(__xludf.DUMMYFUNCTION("XLOOKUP(C1434, 
   IMPORTRANGE(""1RdEdgHYrZ33LJ7RUHj_h-qkAFL92bcVjtIdVa-UlsCw"", ""Interns!D:D""), 
   IMPORTRANGE(""1RdEdgHYrZ33LJ7RUHj_h-qkAFL92bcVjtIdVa-UlsCw"", ""Interns!N:N""), 
   ""Not Found"")"),"#Cheers4Careers")</f>
        <v>#Cheers4Careers</v>
      </c>
      <c r="AM1434" s="23" t="str">
        <f>IFERROR(__xludf.DUMMYFUNCTION("XLOOKUP(C1434, 
   IMPORTRANGE(""1RdEdgHYrZ33LJ7RUHj_h-qkAFL92bcVjtIdVa-UlsCw"", ""Interns!D:D""), 
   IMPORTRANGE(""1RdEdgHYrZ33LJ7RUHj_h-qkAFL92bcVjtIdVa-UlsCw"", ""Interns!O:O""), 
   ""Not Found"")"),"Hetal reached out March 27 for March #Cheers4 Careers ")</f>
        <v>Hetal reached out March 27 for March #Cheers4 Careers </v>
      </c>
      <c r="AN1434" s="23"/>
      <c r="AO1434" s="23" t="s">
        <v>14076</v>
      </c>
      <c r="AP1434" s="28" t="s">
        <v>5182</v>
      </c>
      <c r="AQ1434" s="28" t="s">
        <v>14077</v>
      </c>
      <c r="AR1434" s="23" t="s">
        <v>14078</v>
      </c>
      <c r="AS1434" s="28" t="s">
        <v>14079</v>
      </c>
      <c r="AT1434" s="23"/>
      <c r="AU1434" s="23"/>
      <c r="AV1434" s="23"/>
    </row>
    <row r="1435">
      <c r="A1435" s="28" t="s">
        <v>5161</v>
      </c>
      <c r="B1435" s="28" t="s">
        <v>5162</v>
      </c>
      <c r="C1435" s="23" t="str">
        <f t="shared" si="39"/>
        <v>Erik Esparza</v>
      </c>
      <c r="D1435" s="28" t="s">
        <v>14080</v>
      </c>
      <c r="E1435" s="28" t="s">
        <v>14081</v>
      </c>
      <c r="F1435" s="23" t="str">
        <f t="array" ref="F1435">IFERROR(
    INDEX('Hub Interns 226'!A:A, MATCH(C1435, 'Hub Interns 226'!B:B, 0)),"")</f>
        <v/>
      </c>
      <c r="G1435" s="23" t="str">
        <f t="array" ref="G1435">IFERROR(
    INDEX('Hub Users 226'!A:A, MATCH(C1435, 'Hub Users 226'!B:B, 0)),"")</f>
        <v/>
      </c>
      <c r="H1435" s="28">
        <v>467.0</v>
      </c>
      <c r="I1435" s="28"/>
      <c r="J1435" s="28"/>
      <c r="K1435" s="28"/>
      <c r="L1435" s="28" t="s">
        <v>5165</v>
      </c>
      <c r="M1435" s="28"/>
      <c r="N1435" s="57">
        <v>44361.66875</v>
      </c>
      <c r="O1435" s="58">
        <v>39037.0</v>
      </c>
      <c r="P1435" s="28">
        <f t="shared" si="41"/>
        <v>19</v>
      </c>
      <c r="Q1435" s="28" t="s">
        <v>14082</v>
      </c>
      <c r="R1435" s="28" t="s">
        <v>14083</v>
      </c>
      <c r="S1435" s="28"/>
      <c r="T1435" s="28"/>
      <c r="U1435" s="28"/>
      <c r="V1435" s="28"/>
      <c r="W1435" s="28" t="s">
        <v>12324</v>
      </c>
      <c r="X1435" s="28" t="s">
        <v>465</v>
      </c>
      <c r="Y1435" s="23"/>
      <c r="Z1435" s="28" t="s">
        <v>12326</v>
      </c>
      <c r="AA1435" s="28" t="s">
        <v>12327</v>
      </c>
      <c r="AB1435" s="28" t="s">
        <v>12328</v>
      </c>
      <c r="AC1435" s="28" t="s">
        <v>24</v>
      </c>
      <c r="AD1435" s="23"/>
      <c r="AE1435" s="28" t="s">
        <v>10</v>
      </c>
      <c r="AF1435" s="23"/>
      <c r="AG1435" s="23"/>
      <c r="AH1435" s="23" t="str">
        <f>IFERROR(__xludf.DUMMYFUNCTION("IF(
ISNUMBER(MATCH(
C1435,
IMPORTRANGE(""https://docs.google.com/spreadsheets/d/1yTh1ELC33JHYOeEdgIiEclxPRyh0zOKtlawDltfUay8"",""'Interns'!A:A""),
0
)),
""Outreach Conducted"",
"""")"),"")</f>
        <v/>
      </c>
      <c r="AI1435" s="23"/>
      <c r="AJ1435" s="23"/>
      <c r="AK1435" s="23" t="str">
        <f>IFERROR(__xludf.DUMMYFUNCTION("XLOOKUP(C1435, 
   IMPORTRANGE(""1RdEdgHYrZ33LJ7RUHj_h-qkAFL92bcVjtIdVa-UlsCw"", ""Interns!D:D""), 
   IMPORTRANGE(""1RdEdgHYrZ33LJ7RUHj_h-qkAFL92bcVjtIdVa-UlsCw"", ""Interns!M:M""), 
   ""Not Found"")"),"")</f>
        <v/>
      </c>
      <c r="AL1435" s="23" t="str">
        <f>IFERROR(__xludf.DUMMYFUNCTION("XLOOKUP(C1435, 
   IMPORTRANGE(""1RdEdgHYrZ33LJ7RUHj_h-qkAFL92bcVjtIdVa-UlsCw"", ""Interns!D:D""), 
   IMPORTRANGE(""1RdEdgHYrZ33LJ7RUHj_h-qkAFL92bcVjtIdVa-UlsCw"", ""Interns!N:N""), 
   ""Not Found"")"),"")</f>
        <v/>
      </c>
      <c r="AM1435" s="23" t="str">
        <f>IFERROR(__xludf.DUMMYFUNCTION("XLOOKUP(C1435, 
   IMPORTRANGE(""1RdEdgHYrZ33LJ7RUHj_h-qkAFL92bcVjtIdVa-UlsCw"", ""Interns!D:D""), 
   IMPORTRANGE(""1RdEdgHYrZ33LJ7RUHj_h-qkAFL92bcVjtIdVa-UlsCw"", ""Interns!O:O""), 
   ""Not Found"")"),"")</f>
        <v/>
      </c>
      <c r="AN1435" s="23"/>
      <c r="AO1435" s="23" t="s">
        <v>14084</v>
      </c>
      <c r="AP1435" s="28" t="s">
        <v>5182</v>
      </c>
      <c r="AQ1435" s="28"/>
      <c r="AR1435" s="23"/>
      <c r="AS1435" s="23"/>
      <c r="AT1435" s="23"/>
      <c r="AU1435" s="23"/>
      <c r="AV1435" s="23"/>
    </row>
    <row r="1436">
      <c r="A1436" s="28" t="s">
        <v>5202</v>
      </c>
      <c r="B1436" s="28" t="s">
        <v>5162</v>
      </c>
      <c r="C1436" s="23" t="str">
        <f t="shared" si="39"/>
        <v>Mahliyo Kilichkulova</v>
      </c>
      <c r="D1436" s="28" t="s">
        <v>14085</v>
      </c>
      <c r="E1436" s="28" t="s">
        <v>14086</v>
      </c>
      <c r="F1436" s="23">
        <f t="array" ref="F1436">IFERROR(
    INDEX('Hub Interns 226'!A:A, MATCH(C1436, 'Hub Interns 226'!B:B, 0)),"")</f>
        <v>116</v>
      </c>
      <c r="G1436" s="23">
        <f t="array" ref="G1436">IFERROR(
    INDEX('Hub Users 226'!A:A, MATCH(C1436, 'Hub Users 226'!B:B, 0)),"")</f>
        <v>549</v>
      </c>
      <c r="H1436" s="28">
        <v>662.0</v>
      </c>
      <c r="I1436" s="28" t="s">
        <v>260</v>
      </c>
      <c r="J1436" s="28" t="s">
        <v>8549</v>
      </c>
      <c r="K1436" s="28" t="s">
        <v>5186</v>
      </c>
      <c r="L1436" s="28" t="s">
        <v>5196</v>
      </c>
      <c r="M1436" s="56" t="s">
        <v>14087</v>
      </c>
      <c r="N1436" s="59">
        <v>44540.48819444444</v>
      </c>
      <c r="O1436" s="58">
        <v>38236.0</v>
      </c>
      <c r="P1436" s="28">
        <f t="shared" si="41"/>
        <v>21</v>
      </c>
      <c r="Q1436" s="28" t="s">
        <v>14088</v>
      </c>
      <c r="R1436" s="28" t="s">
        <v>14089</v>
      </c>
      <c r="S1436" s="28"/>
      <c r="T1436" s="28"/>
      <c r="U1436" s="28"/>
      <c r="V1436" s="28"/>
      <c r="W1436" s="28" t="s">
        <v>380</v>
      </c>
      <c r="X1436" s="28" t="s">
        <v>381</v>
      </c>
      <c r="Y1436" s="28" t="s">
        <v>14090</v>
      </c>
      <c r="Z1436" s="28" t="s">
        <v>5272</v>
      </c>
      <c r="AA1436" s="28" t="s">
        <v>629</v>
      </c>
      <c r="AB1436" s="28" t="s">
        <v>5221</v>
      </c>
      <c r="AC1436" s="28" t="s">
        <v>25</v>
      </c>
      <c r="AD1436" s="23"/>
      <c r="AE1436" s="28" t="s">
        <v>10</v>
      </c>
      <c r="AF1436" s="23" t="str">
        <f>IFERROR(__xludf.DUMMYFUNCTION("TEXTJOIN("", "", TRUE,
  FILTER(Champions!C:C,
    ISNUMBER(SEARCH(C1436, Champions!W:W))
  )
)"),"Tatiana Nechaeva")</f>
        <v>Tatiana Nechaeva</v>
      </c>
      <c r="AG1436" s="23"/>
      <c r="AH1436" s="23" t="str">
        <f>IFERROR(__xludf.DUMMYFUNCTION("IF(
ISNUMBER(MATCH(
C1436,
IMPORTRANGE(""https://docs.google.com/spreadsheets/d/1yTh1ELC33JHYOeEdgIiEclxPRyh0zOKtlawDltfUay8"",""'Interns'!A:A""),
0
)),
""Outreach Conducted"",
"""")"),"")</f>
        <v/>
      </c>
      <c r="AI1436" s="23"/>
      <c r="AJ1436" s="23"/>
      <c r="AK1436" s="23" t="str">
        <f>IFERROR(__xludf.DUMMYFUNCTION("XLOOKUP(C1436, 
   IMPORTRANGE(""1RdEdgHYrZ33LJ7RUHj_h-qkAFL92bcVjtIdVa-UlsCw"", ""Interns!D:D""), 
   IMPORTRANGE(""1RdEdgHYrZ33LJ7RUHj_h-qkAFL92bcVjtIdVa-UlsCw"", ""Interns!M:M""), 
   ""Not Found"")"),"")</f>
        <v/>
      </c>
      <c r="AL1436" s="23" t="str">
        <f>IFERROR(__xludf.DUMMYFUNCTION("XLOOKUP(C1436, 
   IMPORTRANGE(""1RdEdgHYrZ33LJ7RUHj_h-qkAFL92bcVjtIdVa-UlsCw"", ""Interns!D:D""), 
   IMPORTRANGE(""1RdEdgHYrZ33LJ7RUHj_h-qkAFL92bcVjtIdVa-UlsCw"", ""Interns!N:N""), 
   ""Not Found"")"),"")</f>
        <v/>
      </c>
      <c r="AM1436" s="23" t="str">
        <f>IFERROR(__xludf.DUMMYFUNCTION("XLOOKUP(C1436, 
   IMPORTRANGE(""1RdEdgHYrZ33LJ7RUHj_h-qkAFL92bcVjtIdVa-UlsCw"", ""Interns!D:D""), 
   IMPORTRANGE(""1RdEdgHYrZ33LJ7RUHj_h-qkAFL92bcVjtIdVa-UlsCw"", ""Interns!O:O""), 
   ""Not Found"")"),"")</f>
        <v/>
      </c>
      <c r="AN1436" s="23"/>
      <c r="AO1436" s="23" t="s">
        <v>14091</v>
      </c>
      <c r="AP1436" s="28" t="s">
        <v>5182</v>
      </c>
      <c r="AQ1436" s="28" t="s">
        <v>14092</v>
      </c>
      <c r="AR1436" s="23" t="s">
        <v>14093</v>
      </c>
      <c r="AS1436" s="23"/>
      <c r="AT1436" s="23"/>
      <c r="AU1436" s="23"/>
      <c r="AV1436" s="23"/>
    </row>
    <row r="1437">
      <c r="A1437" s="28" t="s">
        <v>5202</v>
      </c>
      <c r="B1437" s="28" t="s">
        <v>5162</v>
      </c>
      <c r="C1437" s="23" t="str">
        <f t="shared" si="39"/>
        <v>Abdurakhim Yunusov</v>
      </c>
      <c r="D1437" s="28" t="s">
        <v>14094</v>
      </c>
      <c r="E1437" s="28" t="s">
        <v>14095</v>
      </c>
      <c r="F1437" s="23">
        <f t="array" ref="F1437">IFERROR(
    INDEX('Hub Interns 226'!A:A, MATCH(C1437, 'Hub Interns 226'!B:B, 0)),"")</f>
        <v>1249</v>
      </c>
      <c r="G1437" s="23">
        <f t="array" ref="G1437">IFERROR(
    INDEX('Hub Users 226'!A:A, MATCH(C1437, 'Hub Users 226'!B:B, 0)),"")</f>
        <v>1682</v>
      </c>
      <c r="H1437" s="28">
        <v>243.0</v>
      </c>
      <c r="I1437" s="28" t="s">
        <v>290</v>
      </c>
      <c r="J1437" s="28" t="s">
        <v>8549</v>
      </c>
      <c r="K1437" s="28" t="s">
        <v>5186</v>
      </c>
      <c r="L1437" s="28" t="s">
        <v>5165</v>
      </c>
      <c r="M1437" s="56" t="s">
        <v>14096</v>
      </c>
      <c r="N1437" s="59">
        <v>44133.604166666664</v>
      </c>
      <c r="O1437" s="58">
        <v>37815.0</v>
      </c>
      <c r="P1437" s="28">
        <f t="shared" si="41"/>
        <v>22</v>
      </c>
      <c r="Q1437" s="28" t="s">
        <v>240</v>
      </c>
      <c r="R1437" s="28" t="s">
        <v>14097</v>
      </c>
      <c r="S1437" s="28">
        <v>8.0</v>
      </c>
      <c r="T1437" s="28">
        <v>22.0</v>
      </c>
      <c r="U1437" s="28">
        <v>45.0</v>
      </c>
      <c r="V1437" s="28">
        <v>48.0</v>
      </c>
      <c r="W1437" s="28" t="s">
        <v>294</v>
      </c>
      <c r="X1437" s="28" t="s">
        <v>272</v>
      </c>
      <c r="Y1437" s="28">
        <v>9.293543869E9</v>
      </c>
      <c r="Z1437" s="28" t="s">
        <v>5963</v>
      </c>
      <c r="AA1437" s="28" t="s">
        <v>1923</v>
      </c>
      <c r="AB1437" s="28">
        <v>1.0</v>
      </c>
      <c r="AC1437" s="28" t="s">
        <v>25</v>
      </c>
      <c r="AD1437" s="23"/>
      <c r="AE1437" s="28" t="s">
        <v>8</v>
      </c>
      <c r="AF1437" s="23" t="str">
        <f>IFERROR(__xludf.DUMMYFUNCTION("TEXTJOIN("", "", TRUE,
  FILTER(Champions!C:C,
    ISNUMBER(SEARCH(C1437, Champions!W:W))
  )
)"),"Lena K Dandy, Jasmine Zheng, Lena K Dandy (D)")</f>
        <v>Lena K Dandy, Jasmine Zheng, Lena K Dandy (D)</v>
      </c>
      <c r="AG1437" s="23"/>
      <c r="AH1437" s="23" t="str">
        <f>IFERROR(__xludf.DUMMYFUNCTION("IF(
ISNUMBER(MATCH(
C1437,
IMPORTRANGE(""https://docs.google.com/spreadsheets/d/1yTh1ELC33JHYOeEdgIiEclxPRyh0zOKtlawDltfUay8"",""'Interns'!A:A""),
0
)),
""Outreach Conducted"",
"""")"),"")</f>
        <v/>
      </c>
      <c r="AI1437" s="23"/>
      <c r="AJ1437" s="23"/>
      <c r="AK1437" s="23" t="str">
        <f>IFERROR(__xludf.DUMMYFUNCTION("XLOOKUP(C1437, 
   IMPORTRANGE(""1RdEdgHYrZ33LJ7RUHj_h-qkAFL92bcVjtIdVa-UlsCw"", ""Interns!D:D""), 
   IMPORTRANGE(""1RdEdgHYrZ33LJ7RUHj_h-qkAFL92bcVjtIdVa-UlsCw"", ""Interns!M:M""), 
   ""Not Found"")"),"")</f>
        <v/>
      </c>
      <c r="AL1437" s="23" t="str">
        <f>IFERROR(__xludf.DUMMYFUNCTION("XLOOKUP(C1437, 
   IMPORTRANGE(""1RdEdgHYrZ33LJ7RUHj_h-qkAFL92bcVjtIdVa-UlsCw"", ""Interns!D:D""), 
   IMPORTRANGE(""1RdEdgHYrZ33LJ7RUHj_h-qkAFL92bcVjtIdVa-UlsCw"", ""Interns!N:N""), 
   ""Not Found"")"),"")</f>
        <v/>
      </c>
      <c r="AM1437" s="23" t="str">
        <f>IFERROR(__xludf.DUMMYFUNCTION("XLOOKUP(C1437, 
   IMPORTRANGE(""1RdEdgHYrZ33LJ7RUHj_h-qkAFL92bcVjtIdVa-UlsCw"", ""Interns!D:D""), 
   IMPORTRANGE(""1RdEdgHYrZ33LJ7RUHj_h-qkAFL92bcVjtIdVa-UlsCw"", ""Interns!O:O""), 
   ""Not Found"")"),"")</f>
        <v/>
      </c>
      <c r="AN1437" s="23"/>
      <c r="AO1437" s="23" t="s">
        <v>14098</v>
      </c>
      <c r="AP1437" s="28" t="s">
        <v>5182</v>
      </c>
      <c r="AQ1437" s="28" t="s">
        <v>14099</v>
      </c>
      <c r="AR1437" s="23">
        <v>3.476123509E9</v>
      </c>
      <c r="AS1437" s="23"/>
      <c r="AT1437" s="23"/>
      <c r="AU1437" s="23"/>
      <c r="AV1437" s="23"/>
    </row>
    <row r="1438">
      <c r="A1438" s="28" t="s">
        <v>5202</v>
      </c>
      <c r="B1438" s="28" t="s">
        <v>5162</v>
      </c>
      <c r="C1438" s="23" t="str">
        <f t="shared" si="39"/>
        <v>Zarshed Narziloev</v>
      </c>
      <c r="D1438" s="28" t="s">
        <v>14100</v>
      </c>
      <c r="E1438" s="28" t="s">
        <v>14101</v>
      </c>
      <c r="F1438" s="23">
        <f t="array" ref="F1438">IFERROR(
    INDEX('Hub Interns 226'!A:A, MATCH(C1438, 'Hub Interns 226'!B:B, 0)),"")</f>
        <v>113</v>
      </c>
      <c r="G1438" s="23">
        <f t="array" ref="G1438">IFERROR(
    INDEX('Hub Users 226'!A:A, MATCH(C1438, 'Hub Users 226'!B:B, 0)),"")</f>
        <v>546</v>
      </c>
      <c r="H1438" s="28">
        <v>665.0</v>
      </c>
      <c r="I1438" s="28" t="s">
        <v>290</v>
      </c>
      <c r="J1438" s="28" t="s">
        <v>8549</v>
      </c>
      <c r="K1438" s="28" t="s">
        <v>5186</v>
      </c>
      <c r="L1438" s="28" t="s">
        <v>5165</v>
      </c>
      <c r="M1438" s="56" t="s">
        <v>14102</v>
      </c>
      <c r="N1438" s="59">
        <v>44540.49444444444</v>
      </c>
      <c r="O1438" s="58">
        <v>37575.0</v>
      </c>
      <c r="P1438" s="28">
        <f t="shared" si="41"/>
        <v>23</v>
      </c>
      <c r="Q1438" s="28" t="s">
        <v>240</v>
      </c>
      <c r="R1438" s="28" t="s">
        <v>14103</v>
      </c>
      <c r="S1438" s="28"/>
      <c r="T1438" s="28"/>
      <c r="U1438" s="28"/>
      <c r="V1438" s="28"/>
      <c r="W1438" s="28" t="s">
        <v>380</v>
      </c>
      <c r="X1438" s="28" t="s">
        <v>381</v>
      </c>
      <c r="Y1438" s="28" t="s">
        <v>14104</v>
      </c>
      <c r="Z1438" s="28" t="s">
        <v>5272</v>
      </c>
      <c r="AA1438" s="28" t="s">
        <v>629</v>
      </c>
      <c r="AB1438" s="28" t="s">
        <v>5221</v>
      </c>
      <c r="AC1438" s="28" t="s">
        <v>25</v>
      </c>
      <c r="AD1438" s="23"/>
      <c r="AE1438" s="28" t="s">
        <v>10</v>
      </c>
      <c r="AF1438" s="23" t="str">
        <f>IFERROR(__xludf.DUMMYFUNCTION("TEXTJOIN("", "", TRUE,
  FILTER(Champions!C:C,
    ISNUMBER(SEARCH(C1438, Champions!W:W))
  )
)"),"Joan Marie Cadenhead, Jason Alafgani")</f>
        <v>Joan Marie Cadenhead, Jason Alafgani</v>
      </c>
      <c r="AG1438" s="23"/>
      <c r="AH1438" s="23" t="str">
        <f>IFERROR(__xludf.DUMMYFUNCTION("IF(
ISNUMBER(MATCH(
C1438,
IMPORTRANGE(""https://docs.google.com/spreadsheets/d/1yTh1ELC33JHYOeEdgIiEclxPRyh0zOKtlawDltfUay8"",""'Interns'!A:A""),
0
)),
""Outreach Conducted"",
"""")"),"")</f>
        <v/>
      </c>
      <c r="AI1438" s="23"/>
      <c r="AJ1438" s="23"/>
      <c r="AK1438" s="23" t="str">
        <f>IFERROR(__xludf.DUMMYFUNCTION("XLOOKUP(C1438, 
   IMPORTRANGE(""1RdEdgHYrZ33LJ7RUHj_h-qkAFL92bcVjtIdVa-UlsCw"", ""Interns!D:D""), 
   IMPORTRANGE(""1RdEdgHYrZ33LJ7RUHj_h-qkAFL92bcVjtIdVa-UlsCw"", ""Interns!M:M""), 
   ""Not Found"")"),"")</f>
        <v/>
      </c>
      <c r="AL1438" s="23" t="str">
        <f>IFERROR(__xludf.DUMMYFUNCTION("XLOOKUP(C1438, 
   IMPORTRANGE(""1RdEdgHYrZ33LJ7RUHj_h-qkAFL92bcVjtIdVa-UlsCw"", ""Interns!D:D""), 
   IMPORTRANGE(""1RdEdgHYrZ33LJ7RUHj_h-qkAFL92bcVjtIdVa-UlsCw"", ""Interns!N:N""), 
   ""Not Found"")"),"")</f>
        <v/>
      </c>
      <c r="AM1438" s="23" t="str">
        <f>IFERROR(__xludf.DUMMYFUNCTION("XLOOKUP(C1438, 
   IMPORTRANGE(""1RdEdgHYrZ33LJ7RUHj_h-qkAFL92bcVjtIdVa-UlsCw"", ""Interns!D:D""), 
   IMPORTRANGE(""1RdEdgHYrZ33LJ7RUHj_h-qkAFL92bcVjtIdVa-UlsCw"", ""Interns!O:O""), 
   ""Not Found"")"),"")</f>
        <v/>
      </c>
      <c r="AN1438" s="23"/>
      <c r="AO1438" s="23" t="s">
        <v>14105</v>
      </c>
      <c r="AP1438" s="28" t="s">
        <v>5191</v>
      </c>
      <c r="AQ1438" s="28" t="s">
        <v>14106</v>
      </c>
      <c r="AR1438" s="23" t="s">
        <v>14104</v>
      </c>
      <c r="AS1438" s="23"/>
      <c r="AT1438" s="23"/>
      <c r="AU1438" s="23"/>
      <c r="AV1438" s="23"/>
    </row>
    <row r="1439">
      <c r="A1439" s="28" t="s">
        <v>5161</v>
      </c>
      <c r="B1439" s="28" t="s">
        <v>5162</v>
      </c>
      <c r="C1439" s="23" t="str">
        <f t="shared" si="39"/>
        <v>Hailey Lopez</v>
      </c>
      <c r="D1439" s="22" t="s">
        <v>14107</v>
      </c>
      <c r="E1439" s="22" t="s">
        <v>2778</v>
      </c>
      <c r="F1439" s="23"/>
      <c r="G1439" s="23"/>
      <c r="H1439" s="22">
        <v>1904.0</v>
      </c>
      <c r="I1439" s="28"/>
      <c r="J1439" s="28"/>
      <c r="K1439" s="28"/>
      <c r="L1439" s="28" t="s">
        <v>5196</v>
      </c>
      <c r="M1439" s="29" t="s">
        <v>14108</v>
      </c>
      <c r="N1439" s="61">
        <v>45845.59583333333</v>
      </c>
      <c r="O1439" s="25">
        <v>39180.0</v>
      </c>
      <c r="P1439" s="28">
        <f t="shared" si="41"/>
        <v>19</v>
      </c>
      <c r="Q1439" s="62" t="s">
        <v>14109</v>
      </c>
      <c r="R1439" s="22" t="s">
        <v>14110</v>
      </c>
      <c r="S1439" s="28">
        <v>8.0</v>
      </c>
      <c r="T1439" s="28">
        <v>23.0</v>
      </c>
      <c r="U1439" s="28">
        <v>46.0</v>
      </c>
      <c r="V1439" s="28">
        <v>13.0</v>
      </c>
      <c r="W1439" s="28" t="s">
        <v>859</v>
      </c>
      <c r="X1439" s="28" t="s">
        <v>272</v>
      </c>
      <c r="Y1439" s="22" t="s">
        <v>14111</v>
      </c>
      <c r="Z1439" s="22" t="s">
        <v>5822</v>
      </c>
      <c r="AA1439" s="28" t="s">
        <v>5822</v>
      </c>
      <c r="AB1439" s="28">
        <v>30.0</v>
      </c>
      <c r="AC1439" s="28" t="s">
        <v>27</v>
      </c>
      <c r="AD1439" s="23"/>
      <c r="AE1439" s="28" t="s">
        <v>20</v>
      </c>
      <c r="AF1439" s="23"/>
      <c r="AG1439" s="23"/>
      <c r="AH1439" s="23" t="str">
        <f>IFERROR(__xludf.DUMMYFUNCTION("IF(
ISNUMBER(MATCH(
C1439,
IMPORTRANGE(""https://docs.google.com/spreadsheets/d/1yTh1ELC33JHYOeEdgIiEclxPRyh0zOKtlawDltfUay8"",""'Interns'!A:A""),
0
)),
""Outreach Conducted"",
"""")"),"")</f>
        <v/>
      </c>
      <c r="AI1439" s="23"/>
      <c r="AJ1439" s="23"/>
      <c r="AK1439" s="23"/>
      <c r="AL1439" s="23" t="str">
        <f>IFERROR(__xludf.DUMMYFUNCTION("XLOOKUP(C1439, 
   IMPORTRANGE(""1RdEdgHYrZ33LJ7RUHj_h-qkAFL92bcVjtIdVa-UlsCw"", ""Interns!D:D""), 
   IMPORTRANGE(""1RdEdgHYrZ33LJ7RUHj_h-qkAFL92bcVjtIdVa-UlsCw"", ""Interns!N:N""), 
   ""Not Found"")"),"#Cheers4Careers")</f>
        <v>#Cheers4Careers</v>
      </c>
      <c r="AM1439" s="23" t="str">
        <f>IFERROR(__xludf.DUMMYFUNCTION("XLOOKUP(C1439, 
   IMPORTRANGE(""1RdEdgHYrZ33LJ7RUHj_h-qkAFL92bcVjtIdVa-UlsCw"", ""Interns!D:D""), 
   IMPORTRANGE(""1RdEdgHYrZ33LJ7RUHj_h-qkAFL92bcVjtIdVa-UlsCw"", ""Interns!O:O""), 
   ""Not Found"")"),"Hetal reached out March 27 for March #Cheers4 Careers ")</f>
        <v>Hetal reached out March 27 for March #Cheers4 Careers </v>
      </c>
      <c r="AN1439" s="23"/>
      <c r="AO1439" s="23" t="s">
        <v>14112</v>
      </c>
      <c r="AP1439" s="28" t="s">
        <v>5182</v>
      </c>
      <c r="AQ1439" s="28" t="s">
        <v>14113</v>
      </c>
      <c r="AR1439" s="23" t="s">
        <v>14111</v>
      </c>
      <c r="AS1439" s="23"/>
      <c r="AT1439" s="23"/>
      <c r="AU1439" s="23"/>
      <c r="AV1439" s="23"/>
    </row>
    <row r="1440">
      <c r="A1440" s="28" t="s">
        <v>5161</v>
      </c>
      <c r="B1440" s="28" t="s">
        <v>5162</v>
      </c>
      <c r="C1440" s="23" t="str">
        <f t="shared" si="39"/>
        <v>Vanessa Gonzalez</v>
      </c>
      <c r="D1440" s="28" t="s">
        <v>2909</v>
      </c>
      <c r="E1440" s="28" t="s">
        <v>1377</v>
      </c>
      <c r="F1440" s="23">
        <f t="array" ref="F1440">IFERROR(
    INDEX('Hub Interns 226'!A:A, MATCH(C1440, 'Hub Interns 226'!B:B, 0)),"")</f>
        <v>1174</v>
      </c>
      <c r="G1440" s="23">
        <f t="array" ref="G1440">IFERROR(
    INDEX('Hub Users 226'!A:A, MATCH(C1440, 'Hub Users 226'!B:B, 0)),"")</f>
        <v>1607</v>
      </c>
      <c r="H1440" s="28">
        <v>1537.0</v>
      </c>
      <c r="I1440" s="28"/>
      <c r="J1440" s="28"/>
      <c r="K1440" s="28"/>
      <c r="L1440" s="28" t="s">
        <v>5196</v>
      </c>
      <c r="M1440" s="56" t="s">
        <v>14114</v>
      </c>
      <c r="N1440" s="57">
        <v>44956.8875</v>
      </c>
      <c r="O1440" s="58">
        <v>39448.0</v>
      </c>
      <c r="P1440" s="28">
        <f t="shared" si="41"/>
        <v>18</v>
      </c>
      <c r="Q1440" s="28" t="s">
        <v>240</v>
      </c>
      <c r="R1440" s="28" t="s">
        <v>14115</v>
      </c>
      <c r="S1440" s="28">
        <v>15.0</v>
      </c>
      <c r="T1440" s="28">
        <v>33.0</v>
      </c>
      <c r="U1440" s="28">
        <v>81.0</v>
      </c>
      <c r="V1440" s="28">
        <v>11.0</v>
      </c>
      <c r="W1440" s="28" t="s">
        <v>859</v>
      </c>
      <c r="X1440" s="28" t="s">
        <v>272</v>
      </c>
      <c r="Y1440" s="28" t="s">
        <v>14116</v>
      </c>
      <c r="Z1440" s="28" t="s">
        <v>13843</v>
      </c>
      <c r="AA1440" s="28" t="s">
        <v>5871</v>
      </c>
      <c r="AB1440" s="28">
        <v>31.0</v>
      </c>
      <c r="AC1440" s="28" t="s">
        <v>23</v>
      </c>
      <c r="AD1440" s="23"/>
      <c r="AE1440" s="28" t="s">
        <v>15</v>
      </c>
      <c r="AF1440" s="23"/>
      <c r="AG1440" s="23"/>
      <c r="AH1440" s="23" t="str">
        <f>IFERROR(__xludf.DUMMYFUNCTION("IF(
ISNUMBER(MATCH(
C1440,
IMPORTRANGE(""https://docs.google.com/spreadsheets/d/1yTh1ELC33JHYOeEdgIiEclxPRyh0zOKtlawDltfUay8"",""'Interns'!A:A""),
0
)),
""Outreach Conducted"",
"""")"),"")</f>
        <v/>
      </c>
      <c r="AI1440" s="23"/>
      <c r="AJ1440" s="23"/>
      <c r="AK1440" s="23" t="str">
        <f>IFERROR(__xludf.DUMMYFUNCTION("XLOOKUP(C1440, 
   IMPORTRANGE(""1RdEdgHYrZ33LJ7RUHj_h-qkAFL92bcVjtIdVa-UlsCw"", ""Interns!D:D""), 
   IMPORTRANGE(""1RdEdgHYrZ33LJ7RUHj_h-qkAFL92bcVjtIdVa-UlsCw"", ""Interns!M:M""), 
   ""Not Found"")"),"Contacted")</f>
        <v>Contacted</v>
      </c>
      <c r="AL1440" s="23" t="str">
        <f>IFERROR(__xludf.DUMMYFUNCTION("XLOOKUP(C1440, 
   IMPORTRANGE(""1RdEdgHYrZ33LJ7RUHj_h-qkAFL92bcVjtIdVa-UlsCw"", ""Interns!D:D""), 
   IMPORTRANGE(""1RdEdgHYrZ33LJ7RUHj_h-qkAFL92bcVjtIdVa-UlsCw"", ""Interns!N:N""), 
   ""Not Found"")"),"#Cheers4Careers")</f>
        <v>#Cheers4Careers</v>
      </c>
      <c r="AM1440" s="23" t="str">
        <f>IFERROR(__xludf.DUMMYFUNCTION("XLOOKUP(C1440, 
   IMPORTRANGE(""1RdEdgHYrZ33LJ7RUHj_h-qkAFL92bcVjtIdVa-UlsCw"", ""Interns!D:D""), 
   IMPORTRANGE(""1RdEdgHYrZ33LJ7RUHj_h-qkAFL92bcVjtIdVa-UlsCw"", ""Interns!O:O""), 
   ""Not Found"")"),"Hetal reached out March 27 for March #Cheers4 Careers ")</f>
        <v>Hetal reached out March 27 for March #Cheers4 Careers </v>
      </c>
      <c r="AN1440" s="23"/>
      <c r="AO1440" s="23" t="s">
        <v>14117</v>
      </c>
      <c r="AP1440" s="28" t="s">
        <v>5182</v>
      </c>
      <c r="AQ1440" s="28"/>
      <c r="AR1440" s="23"/>
      <c r="AS1440" s="23"/>
      <c r="AT1440" s="23"/>
      <c r="AU1440" s="23"/>
      <c r="AV1440" s="23"/>
    </row>
    <row r="1441">
      <c r="A1441" s="28" t="s">
        <v>5161</v>
      </c>
      <c r="B1441" s="28" t="s">
        <v>5162</v>
      </c>
      <c r="C1441" s="23" t="str">
        <f t="shared" si="39"/>
        <v>Aniya Maldonado</v>
      </c>
      <c r="D1441" s="22" t="s">
        <v>14118</v>
      </c>
      <c r="E1441" s="22" t="s">
        <v>13850</v>
      </c>
      <c r="F1441" s="23"/>
      <c r="G1441" s="23"/>
      <c r="H1441" s="22">
        <v>1906.0</v>
      </c>
      <c r="I1441" s="28"/>
      <c r="J1441" s="28"/>
      <c r="K1441" s="28"/>
      <c r="L1441" s="28" t="s">
        <v>5196</v>
      </c>
      <c r="M1441" s="29" t="s">
        <v>14119</v>
      </c>
      <c r="N1441" s="61">
        <v>45845.59583333333</v>
      </c>
      <c r="O1441" s="25">
        <v>45845.0</v>
      </c>
      <c r="P1441" s="28">
        <f t="shared" si="41"/>
        <v>0</v>
      </c>
      <c r="Q1441" s="62" t="s">
        <v>240</v>
      </c>
      <c r="R1441" s="22" t="s">
        <v>14120</v>
      </c>
      <c r="S1441" s="28">
        <v>14.0</v>
      </c>
      <c r="T1441" s="28">
        <v>34.0</v>
      </c>
      <c r="U1441" s="28">
        <v>82.0</v>
      </c>
      <c r="V1441" s="28">
        <v>13.0</v>
      </c>
      <c r="W1441" s="28" t="s">
        <v>859</v>
      </c>
      <c r="X1441" s="28" t="s">
        <v>272</v>
      </c>
      <c r="Y1441" s="22" t="s">
        <v>14121</v>
      </c>
      <c r="Z1441" s="22" t="s">
        <v>5822</v>
      </c>
      <c r="AA1441" s="28" t="s">
        <v>5822</v>
      </c>
      <c r="AB1441" s="28">
        <v>30.0</v>
      </c>
      <c r="AC1441" s="28" t="s">
        <v>27</v>
      </c>
      <c r="AD1441" s="23"/>
      <c r="AE1441" s="28" t="s">
        <v>20</v>
      </c>
      <c r="AF1441" s="23"/>
      <c r="AG1441" s="23"/>
      <c r="AH1441" s="23" t="str">
        <f>IFERROR(__xludf.DUMMYFUNCTION("IF(
ISNUMBER(MATCH(
C1441,
IMPORTRANGE(""https://docs.google.com/spreadsheets/d/1yTh1ELC33JHYOeEdgIiEclxPRyh0zOKtlawDltfUay8"",""'Interns'!A:A""),
0
)),
""Outreach Conducted"",
"""")"),"")</f>
        <v/>
      </c>
      <c r="AI1441" s="23"/>
      <c r="AJ1441" s="23"/>
      <c r="AK1441" s="23"/>
      <c r="AL1441" s="23" t="str">
        <f>IFERROR(__xludf.DUMMYFUNCTION("XLOOKUP(C1441, 
   IMPORTRANGE(""1RdEdgHYrZ33LJ7RUHj_h-qkAFL92bcVjtIdVa-UlsCw"", ""Interns!D:D""), 
   IMPORTRANGE(""1RdEdgHYrZ33LJ7RUHj_h-qkAFL92bcVjtIdVa-UlsCw"", ""Interns!N:N""), 
   ""Not Found"")"),"#Cheers4Careers")</f>
        <v>#Cheers4Careers</v>
      </c>
      <c r="AM1441" s="23" t="str">
        <f>IFERROR(__xludf.DUMMYFUNCTION("XLOOKUP(C1441, 
   IMPORTRANGE(""1RdEdgHYrZ33LJ7RUHj_h-qkAFL92bcVjtIdVa-UlsCw"", ""Interns!D:D""), 
   IMPORTRANGE(""1RdEdgHYrZ33LJ7RUHj_h-qkAFL92bcVjtIdVa-UlsCw"", ""Interns!O:O""), 
   ""Not Found"")"),"Hetal reached out March 27 for March #Cheers4 Careers ")</f>
        <v>Hetal reached out March 27 for March #Cheers4 Careers </v>
      </c>
      <c r="AN1441" s="23"/>
      <c r="AO1441" s="23" t="s">
        <v>14122</v>
      </c>
      <c r="AP1441" s="28" t="s">
        <v>5182</v>
      </c>
      <c r="AQ1441" s="28" t="s">
        <v>14123</v>
      </c>
      <c r="AR1441" s="23" t="s">
        <v>14124</v>
      </c>
      <c r="AS1441" s="23"/>
      <c r="AT1441" s="23"/>
      <c r="AU1441" s="23"/>
      <c r="AV1441" s="23"/>
    </row>
    <row r="1442">
      <c r="A1442" s="28" t="s">
        <v>5161</v>
      </c>
      <c r="B1442" s="28" t="s">
        <v>5162</v>
      </c>
      <c r="C1442" s="23" t="str">
        <f t="shared" si="39"/>
        <v>Elliott Robles</v>
      </c>
      <c r="D1442" s="28" t="s">
        <v>10904</v>
      </c>
      <c r="E1442" s="28" t="s">
        <v>10905</v>
      </c>
      <c r="F1442" s="23">
        <f t="array" ref="F1442">IFERROR(
    INDEX('Hub Interns 226'!A:A, MATCH(C1442, 'Hub Interns 226'!B:B, 0)),"")</f>
        <v>497</v>
      </c>
      <c r="G1442" s="23">
        <f t="array" ref="G1442">IFERROR(
    INDEX('Hub Users 226'!A:A, MATCH(C1442, 'Hub Users 226'!B:B, 0)),"")</f>
        <v>930</v>
      </c>
      <c r="H1442" s="28">
        <v>1454.0</v>
      </c>
      <c r="I1442" s="28" t="s">
        <v>407</v>
      </c>
      <c r="J1442" s="28"/>
      <c r="K1442" s="28"/>
      <c r="L1442" s="28" t="s">
        <v>5165</v>
      </c>
      <c r="M1442" s="56" t="s">
        <v>10906</v>
      </c>
      <c r="N1442" s="57">
        <v>44932.66458333333</v>
      </c>
      <c r="O1442" s="58">
        <v>39696.0</v>
      </c>
      <c r="P1442" s="28">
        <f t="shared" si="41"/>
        <v>17</v>
      </c>
      <c r="Q1442" s="28" t="s">
        <v>10907</v>
      </c>
      <c r="R1442" s="28" t="s">
        <v>10908</v>
      </c>
      <c r="S1442" s="28">
        <v>13.0</v>
      </c>
      <c r="T1442" s="28">
        <v>33.0</v>
      </c>
      <c r="U1442" s="28">
        <v>78.0</v>
      </c>
      <c r="V1442" s="28">
        <v>11.0</v>
      </c>
      <c r="W1442" s="28" t="s">
        <v>859</v>
      </c>
      <c r="X1442" s="28" t="s">
        <v>272</v>
      </c>
      <c r="Y1442" s="28" t="s">
        <v>10909</v>
      </c>
      <c r="Z1442" s="28" t="s">
        <v>10910</v>
      </c>
      <c r="AA1442" s="28" t="s">
        <v>5639</v>
      </c>
      <c r="AB1442" s="28">
        <v>11.0</v>
      </c>
      <c r="AC1442" s="28" t="s">
        <v>27</v>
      </c>
      <c r="AD1442" s="23"/>
      <c r="AE1442" s="28" t="s">
        <v>18</v>
      </c>
      <c r="AF1442" s="23"/>
      <c r="AG1442" s="23"/>
      <c r="AH1442" s="23" t="str">
        <f>IFERROR(__xludf.DUMMYFUNCTION("IF(
ISNUMBER(MATCH(
C1442,
IMPORTRANGE(""https://docs.google.com/spreadsheets/d/1yTh1ELC33JHYOeEdgIiEclxPRyh0zOKtlawDltfUay8"",""'Interns'!A:A""),
0
)),
""Outreach Conducted"",
"""")"),"")</f>
        <v/>
      </c>
      <c r="AI1442" s="23"/>
      <c r="AJ1442" s="23"/>
      <c r="AK1442" s="23" t="str">
        <f>IFERROR(__xludf.DUMMYFUNCTION("XLOOKUP(C1442, 
   IMPORTRANGE(""1RdEdgHYrZ33LJ7RUHj_h-qkAFL92bcVjtIdVa-UlsCw"", ""Interns!D:D""), 
   IMPORTRANGE(""1RdEdgHYrZ33LJ7RUHj_h-qkAFL92bcVjtIdVa-UlsCw"", ""Interns!M:M""), 
   ""Not Found"")"),"In Communication")</f>
        <v>In Communication</v>
      </c>
      <c r="AL1442" s="23" t="str">
        <f>IFERROR(__xludf.DUMMYFUNCTION("XLOOKUP(C1442, 
   IMPORTRANGE(""1RdEdgHYrZ33LJ7RUHj_h-qkAFL92bcVjtIdVa-UlsCw"", ""Interns!D:D""), 
   IMPORTRANGE(""1RdEdgHYrZ33LJ7RUHj_h-qkAFL92bcVjtIdVa-UlsCw"", ""Interns!N:N""), 
   ""Not Found"")"),"#Cheers4Careers, Soiree")</f>
        <v>#Cheers4Careers, Soiree</v>
      </c>
      <c r="AM1442" s="23" t="str">
        <f>IFERROR(__xludf.DUMMYFUNCTION("XLOOKUP(C1442, 
   IMPORTRANGE(""1RdEdgHYrZ33LJ7RUHj_h-qkAFL92bcVjtIdVa-UlsCw"", ""Interns!D:D""), 
   IMPORTRANGE(""1RdEdgHYrZ33LJ7RUHj_h-qkAFL92bcVjtIdVa-UlsCw"", ""Interns!O:O""), 
   ""Not Found"")"),"Hetal reached out by text 3/27 for #Cheers4Careers, he said he isn't free for this one but is considering Soiree")</f>
        <v>Hetal reached out by text 3/27 for #Cheers4Careers, he said he isn't free for this one but is considering Soiree</v>
      </c>
      <c r="AN1442" s="23"/>
      <c r="AO1442" s="23" t="s">
        <v>10911</v>
      </c>
      <c r="AP1442" s="28" t="s">
        <v>5191</v>
      </c>
      <c r="AQ1442" s="28"/>
      <c r="AR1442" s="23"/>
      <c r="AS1442" s="23"/>
      <c r="AT1442" s="23"/>
      <c r="AU1442" s="23"/>
      <c r="AV1442" s="23"/>
    </row>
    <row r="1443">
      <c r="A1443" s="28" t="s">
        <v>5161</v>
      </c>
      <c r="B1443" s="28" t="s">
        <v>5162</v>
      </c>
      <c r="C1443" s="23" t="str">
        <f t="shared" si="39"/>
        <v>Darlene Degante</v>
      </c>
      <c r="D1443" s="28" t="s">
        <v>14125</v>
      </c>
      <c r="E1443" s="28" t="s">
        <v>14126</v>
      </c>
      <c r="F1443" s="23">
        <f t="array" ref="F1443">IFERROR(
    INDEX('Hub Interns 226'!A:A, MATCH(C1443, 'Hub Interns 226'!B:B, 0)),"")</f>
        <v>1738</v>
      </c>
      <c r="G1443" s="23">
        <f t="array" ref="G1443">IFERROR(
    INDEX('Hub Users 226'!A:A, MATCH(C1443, 'Hub Users 226'!B:B, 0)),"")</f>
        <v>1864</v>
      </c>
      <c r="H1443" s="28">
        <v>1763.0</v>
      </c>
      <c r="I1443" s="28" t="s">
        <v>290</v>
      </c>
      <c r="J1443" s="28"/>
      <c r="K1443" s="28"/>
      <c r="L1443" s="28" t="s">
        <v>5196</v>
      </c>
      <c r="M1443" s="56" t="s">
        <v>14127</v>
      </c>
      <c r="N1443" s="57">
        <v>45294.40625</v>
      </c>
      <c r="O1443" s="58">
        <v>41196.0</v>
      </c>
      <c r="P1443" s="28">
        <f t="shared" si="41"/>
        <v>13</v>
      </c>
      <c r="Q1443" s="28" t="s">
        <v>240</v>
      </c>
      <c r="R1443" s="28" t="s">
        <v>10400</v>
      </c>
      <c r="S1443" s="28">
        <v>6.0</v>
      </c>
      <c r="T1443" s="28">
        <v>12.0</v>
      </c>
      <c r="U1443" s="28">
        <v>30.0</v>
      </c>
      <c r="V1443" s="28">
        <v>30.0</v>
      </c>
      <c r="W1443" s="28" t="s">
        <v>1173</v>
      </c>
      <c r="X1443" s="28" t="s">
        <v>272</v>
      </c>
      <c r="Y1443" s="28" t="s">
        <v>5169</v>
      </c>
      <c r="Z1443" s="28" t="s">
        <v>5170</v>
      </c>
      <c r="AA1443" s="28" t="s">
        <v>5171</v>
      </c>
      <c r="AB1443" s="28">
        <v>30.0</v>
      </c>
      <c r="AC1443" s="28" t="s">
        <v>23</v>
      </c>
      <c r="AD1443" s="23"/>
      <c r="AE1443" s="28" t="s">
        <v>18</v>
      </c>
      <c r="AF1443" s="23"/>
      <c r="AG1443" s="23"/>
      <c r="AH1443" s="23" t="str">
        <f>IFERROR(__xludf.DUMMYFUNCTION("IF(
ISNUMBER(MATCH(
C1443,
IMPORTRANGE(""https://docs.google.com/spreadsheets/d/1yTh1ELC33JHYOeEdgIiEclxPRyh0zOKtlawDltfUay8"",""'Interns'!A:A""),
0
)),
""Outreach Conducted"",
"""")"),"")</f>
        <v/>
      </c>
      <c r="AI1443" s="23"/>
      <c r="AJ1443" s="23"/>
      <c r="AK1443" s="23" t="str">
        <f>IFERROR(__xludf.DUMMYFUNCTION("XLOOKUP(C1443, 
   IMPORTRANGE(""1RdEdgHYrZ33LJ7RUHj_h-qkAFL92bcVjtIdVa-UlsCw"", ""Interns!D:D""), 
   IMPORTRANGE(""1RdEdgHYrZ33LJ7RUHj_h-qkAFL92bcVjtIdVa-UlsCw"", ""Interns!M:M""), 
   ""Not Found"")"),"Contacted")</f>
        <v>Contacted</v>
      </c>
      <c r="AL1443" s="23" t="str">
        <f>IFERROR(__xludf.DUMMYFUNCTION("XLOOKUP(C1443, 
   IMPORTRANGE(""1RdEdgHYrZ33LJ7RUHj_h-qkAFL92bcVjtIdVa-UlsCw"", ""Interns!D:D""), 
   IMPORTRANGE(""1RdEdgHYrZ33LJ7RUHj_h-qkAFL92bcVjtIdVa-UlsCw"", ""Interns!N:N""), 
   ""Not Found"")"),"#Cheers4Careers")</f>
        <v>#Cheers4Careers</v>
      </c>
      <c r="AM1443" s="23" t="str">
        <f>IFERROR(__xludf.DUMMYFUNCTION("XLOOKUP(C1443,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443" s="23"/>
      <c r="AO1443" s="23" t="s">
        <v>14128</v>
      </c>
      <c r="AP1443" s="28" t="s">
        <v>5182</v>
      </c>
      <c r="AQ1443" s="28"/>
      <c r="AR1443" s="23"/>
      <c r="AS1443" s="23"/>
      <c r="AT1443" s="23"/>
      <c r="AU1443" s="23"/>
      <c r="AV1443" s="23"/>
    </row>
    <row r="1444">
      <c r="A1444" s="28" t="s">
        <v>5161</v>
      </c>
      <c r="B1444" s="28" t="s">
        <v>5162</v>
      </c>
      <c r="C1444" s="23" t="str">
        <f t="shared" si="39"/>
        <v>Jacob Layedra</v>
      </c>
      <c r="D1444" s="28" t="s">
        <v>1593</v>
      </c>
      <c r="E1444" s="28" t="s">
        <v>14129</v>
      </c>
      <c r="F1444" s="23">
        <f t="array" ref="F1444">IFERROR(
    INDEX('Hub Interns 226'!A:A, MATCH(C1444, 'Hub Interns 226'!B:B, 0)),"")</f>
        <v>1339</v>
      </c>
      <c r="G1444" s="23">
        <f t="array" ref="G1444">IFERROR(
    INDEX('Hub Users 226'!A:A, MATCH(C1444, 'Hub Users 226'!B:B, 0)),"")</f>
        <v>1854</v>
      </c>
      <c r="H1444" s="28">
        <v>1759.0</v>
      </c>
      <c r="I1444" s="28" t="s">
        <v>260</v>
      </c>
      <c r="J1444" s="28"/>
      <c r="K1444" s="28"/>
      <c r="L1444" s="28" t="s">
        <v>5165</v>
      </c>
      <c r="M1444" s="56" t="s">
        <v>14130</v>
      </c>
      <c r="N1444" s="59">
        <v>45280.395833333336</v>
      </c>
      <c r="O1444" s="58">
        <v>40986.0</v>
      </c>
      <c r="P1444" s="28">
        <f t="shared" si="41"/>
        <v>14</v>
      </c>
      <c r="Q1444" s="28" t="s">
        <v>240</v>
      </c>
      <c r="R1444" s="28" t="s">
        <v>10400</v>
      </c>
      <c r="S1444" s="28">
        <v>6.0</v>
      </c>
      <c r="T1444" s="28">
        <v>12.0</v>
      </c>
      <c r="U1444" s="28">
        <v>30.0</v>
      </c>
      <c r="V1444" s="28">
        <v>30.0</v>
      </c>
      <c r="W1444" s="28" t="s">
        <v>1173</v>
      </c>
      <c r="X1444" s="28" t="s">
        <v>272</v>
      </c>
      <c r="Y1444" s="28" t="s">
        <v>14131</v>
      </c>
      <c r="Z1444" s="28" t="s">
        <v>5170</v>
      </c>
      <c r="AA1444" s="28" t="s">
        <v>5171</v>
      </c>
      <c r="AB1444" s="28">
        <v>30.0</v>
      </c>
      <c r="AC1444" s="28" t="s">
        <v>23</v>
      </c>
      <c r="AD1444" s="23"/>
      <c r="AE1444" s="28" t="s">
        <v>18</v>
      </c>
      <c r="AF1444" s="23"/>
      <c r="AG1444" s="23"/>
      <c r="AH1444" s="23" t="str">
        <f>IFERROR(__xludf.DUMMYFUNCTION("IF(
ISNUMBER(MATCH(
C1444,
IMPORTRANGE(""https://docs.google.com/spreadsheets/d/1yTh1ELC33JHYOeEdgIiEclxPRyh0zOKtlawDltfUay8"",""'Interns'!A:A""),
0
)),
""Outreach Conducted"",
"""")"),"")</f>
        <v/>
      </c>
      <c r="AI1444" s="23"/>
      <c r="AJ1444" s="23"/>
      <c r="AK1444" s="23" t="str">
        <f>IFERROR(__xludf.DUMMYFUNCTION("XLOOKUP(C1444, 
   IMPORTRANGE(""1RdEdgHYrZ33LJ7RUHj_h-qkAFL92bcVjtIdVa-UlsCw"", ""Interns!D:D""), 
   IMPORTRANGE(""1RdEdgHYrZ33LJ7RUHj_h-qkAFL92bcVjtIdVa-UlsCw"", ""Interns!M:M""), 
   ""Not Found"")"),"Contacted")</f>
        <v>Contacted</v>
      </c>
      <c r="AL1444" s="23" t="str">
        <f>IFERROR(__xludf.DUMMYFUNCTION("XLOOKUP(C1444, 
   IMPORTRANGE(""1RdEdgHYrZ33LJ7RUHj_h-qkAFL92bcVjtIdVa-UlsCw"", ""Interns!D:D""), 
   IMPORTRANGE(""1RdEdgHYrZ33LJ7RUHj_h-qkAFL92bcVjtIdVa-UlsCw"", ""Interns!N:N""), 
   ""Not Found"")"),"#Cheers4Careers")</f>
        <v>#Cheers4Careers</v>
      </c>
      <c r="AM1444" s="23" t="str">
        <f>IFERROR(__xludf.DUMMYFUNCTION("XLOOKUP(C1444, 
   IMPORTRANGE(""1RdEdgHYrZ33LJ7RUHj_h-qkAFL92bcVjtIdVa-UlsCw"", ""Interns!D:D""), 
   IMPORTRANGE(""1RdEdgHYrZ33LJ7RUHj_h-qkAFL92bcVjtIdVa-UlsCw"", ""Interns!O:O""), 
   ""Not Found"")"),"Hetal reached out March 27 for March #Cheers4 Careers ")</f>
        <v>Hetal reached out March 27 for March #Cheers4 Careers </v>
      </c>
      <c r="AN1444" s="23"/>
      <c r="AO1444" s="23" t="s">
        <v>14132</v>
      </c>
      <c r="AP1444" s="28" t="s">
        <v>5191</v>
      </c>
      <c r="AQ1444" s="28"/>
      <c r="AR1444" s="23"/>
      <c r="AS1444" s="23"/>
      <c r="AT1444" s="23"/>
      <c r="AU1444" s="23"/>
      <c r="AV1444" s="23"/>
    </row>
    <row r="1445">
      <c r="A1445" s="28" t="s">
        <v>5161</v>
      </c>
      <c r="B1445" s="28" t="s">
        <v>5162</v>
      </c>
      <c r="C1445" s="23" t="str">
        <f t="shared" si="39"/>
        <v>Jayden Giri</v>
      </c>
      <c r="D1445" s="28" t="s">
        <v>13237</v>
      </c>
      <c r="E1445" s="28" t="s">
        <v>14133</v>
      </c>
      <c r="F1445" s="23">
        <f t="array" ref="F1445">IFERROR(
    INDEX('Hub Interns 226'!A:A, MATCH(C1445, 'Hub Interns 226'!B:B, 0)),"")</f>
        <v>1752</v>
      </c>
      <c r="G1445" s="23">
        <f t="array" ref="G1445">IFERROR(
    INDEX('Hub Users 226'!A:A, MATCH(C1445, 'Hub Users 226'!B:B, 0)),"")</f>
        <v>2582</v>
      </c>
      <c r="H1445" s="28">
        <v>1751.0</v>
      </c>
      <c r="I1445" s="28" t="s">
        <v>269</v>
      </c>
      <c r="J1445" s="28"/>
      <c r="K1445" s="28"/>
      <c r="L1445" s="28" t="s">
        <v>5165</v>
      </c>
      <c r="M1445" s="56" t="s">
        <v>14134</v>
      </c>
      <c r="N1445" s="59">
        <v>45273.399305555555</v>
      </c>
      <c r="O1445" s="58">
        <v>41099.0</v>
      </c>
      <c r="P1445" s="28">
        <f t="shared" si="41"/>
        <v>13</v>
      </c>
      <c r="Q1445" s="28" t="s">
        <v>240</v>
      </c>
      <c r="R1445" s="28" t="s">
        <v>10400</v>
      </c>
      <c r="S1445" s="28">
        <v>6.0</v>
      </c>
      <c r="T1445" s="28">
        <v>12.0</v>
      </c>
      <c r="U1445" s="28">
        <v>30.0</v>
      </c>
      <c r="V1445" s="28">
        <v>30.0</v>
      </c>
      <c r="W1445" s="28" t="s">
        <v>1173</v>
      </c>
      <c r="X1445" s="28" t="s">
        <v>272</v>
      </c>
      <c r="Y1445" s="28" t="s">
        <v>5169</v>
      </c>
      <c r="Z1445" s="28" t="s">
        <v>5170</v>
      </c>
      <c r="AA1445" s="28" t="s">
        <v>5171</v>
      </c>
      <c r="AB1445" s="28">
        <v>30.0</v>
      </c>
      <c r="AC1445" s="28" t="s">
        <v>23</v>
      </c>
      <c r="AD1445" s="23"/>
      <c r="AE1445" s="28" t="s">
        <v>18</v>
      </c>
      <c r="AF1445" s="23"/>
      <c r="AG1445" s="23"/>
      <c r="AH1445" s="23" t="str">
        <f>IFERROR(__xludf.DUMMYFUNCTION("IF(
ISNUMBER(MATCH(
C1445,
IMPORTRANGE(""https://docs.google.com/spreadsheets/d/1yTh1ELC33JHYOeEdgIiEclxPRyh0zOKtlawDltfUay8"",""'Interns'!A:A""),
0
)),
""Outreach Conducted"",
"""")"),"")</f>
        <v/>
      </c>
      <c r="AI1445" s="23"/>
      <c r="AJ1445" s="23"/>
      <c r="AK1445" s="23" t="str">
        <f>IFERROR(__xludf.DUMMYFUNCTION("XLOOKUP(C1445, 
   IMPORTRANGE(""1RdEdgHYrZ33LJ7RUHj_h-qkAFL92bcVjtIdVa-UlsCw"", ""Interns!D:D""), 
   IMPORTRANGE(""1RdEdgHYrZ33LJ7RUHj_h-qkAFL92bcVjtIdVa-UlsCw"", ""Interns!M:M""), 
   ""Not Found"")"),"Contacted")</f>
        <v>Contacted</v>
      </c>
      <c r="AL1445" s="23" t="str">
        <f>IFERROR(__xludf.DUMMYFUNCTION("XLOOKUP(C1445, 
   IMPORTRANGE(""1RdEdgHYrZ33LJ7RUHj_h-qkAFL92bcVjtIdVa-UlsCw"", ""Interns!D:D""), 
   IMPORTRANGE(""1RdEdgHYrZ33LJ7RUHj_h-qkAFL92bcVjtIdVa-UlsCw"", ""Interns!N:N""), 
   ""Not Found"")"),"#Cheers4Careers")</f>
        <v>#Cheers4Careers</v>
      </c>
      <c r="AM1445" s="23" t="str">
        <f>IFERROR(__xludf.DUMMYFUNCTION("XLOOKUP(C1445, 
   IMPORTRANGE(""1RdEdgHYrZ33LJ7RUHj_h-qkAFL92bcVjtIdVa-UlsCw"", ""Interns!D:D""), 
   IMPORTRANGE(""1RdEdgHYrZ33LJ7RUHj_h-qkAFL92bcVjtIdVa-UlsCw"", ""Interns!O:O""), 
   ""Not Found"")"),"Hetal reached out March 27 for March #Cheers4 Careers ")</f>
        <v>Hetal reached out March 27 for March #Cheers4 Careers </v>
      </c>
      <c r="AN1445" s="23"/>
      <c r="AO1445" s="23" t="s">
        <v>14135</v>
      </c>
      <c r="AP1445" s="28" t="s">
        <v>5191</v>
      </c>
      <c r="AQ1445" s="28"/>
      <c r="AR1445" s="23"/>
      <c r="AS1445" s="23"/>
      <c r="AT1445" s="23"/>
      <c r="AU1445" s="23"/>
      <c r="AV1445" s="23"/>
    </row>
    <row r="1446">
      <c r="A1446" s="28" t="s">
        <v>5161</v>
      </c>
      <c r="B1446" s="28" t="s">
        <v>5162</v>
      </c>
      <c r="C1446" s="23" t="str">
        <f t="shared" si="39"/>
        <v>Maryam Khan</v>
      </c>
      <c r="D1446" s="28" t="s">
        <v>4401</v>
      </c>
      <c r="E1446" s="28" t="s">
        <v>1555</v>
      </c>
      <c r="F1446" s="23" t="str">
        <f t="array" ref="F1446">IFERROR(
    INDEX('Hub Interns 226'!A:A, MATCH(C1446, 'Hub Interns 226'!B:B, 0)),"")</f>
        <v/>
      </c>
      <c r="G1446" s="28">
        <v>1865.0</v>
      </c>
      <c r="H1446" s="28">
        <v>1762.0</v>
      </c>
      <c r="I1446" s="28" t="s">
        <v>407</v>
      </c>
      <c r="J1446" s="28"/>
      <c r="K1446" s="28"/>
      <c r="L1446" s="28" t="s">
        <v>5196</v>
      </c>
      <c r="M1446" s="56" t="s">
        <v>14136</v>
      </c>
      <c r="N1446" s="57">
        <v>45294.395833333336</v>
      </c>
      <c r="O1446" s="58">
        <v>40921.0</v>
      </c>
      <c r="P1446" s="28">
        <f t="shared" si="41"/>
        <v>14</v>
      </c>
      <c r="Q1446" s="28" t="s">
        <v>240</v>
      </c>
      <c r="R1446" s="28" t="s">
        <v>10400</v>
      </c>
      <c r="S1446" s="28">
        <v>6.0</v>
      </c>
      <c r="T1446" s="28">
        <v>12.0</v>
      </c>
      <c r="U1446" s="28">
        <v>30.0</v>
      </c>
      <c r="V1446" s="28">
        <v>30.0</v>
      </c>
      <c r="W1446" s="28" t="s">
        <v>1173</v>
      </c>
      <c r="X1446" s="28" t="s">
        <v>272</v>
      </c>
      <c r="Y1446" s="28" t="s">
        <v>14137</v>
      </c>
      <c r="Z1446" s="28" t="s">
        <v>5170</v>
      </c>
      <c r="AA1446" s="28" t="s">
        <v>5171</v>
      </c>
      <c r="AB1446" s="28">
        <v>30.0</v>
      </c>
      <c r="AC1446" s="28" t="s">
        <v>23</v>
      </c>
      <c r="AD1446" s="23"/>
      <c r="AE1446" s="28" t="s">
        <v>18</v>
      </c>
      <c r="AF1446" s="23"/>
      <c r="AG1446" s="23"/>
      <c r="AH1446" s="23" t="str">
        <f>IFERROR(__xludf.DUMMYFUNCTION("IF(
ISNUMBER(MATCH(
C1446,
IMPORTRANGE(""https://docs.google.com/spreadsheets/d/1yTh1ELC33JHYOeEdgIiEclxPRyh0zOKtlawDltfUay8"",""'Interns'!A:A""),
0
)),
""Outreach Conducted"",
"""")"),"")</f>
        <v/>
      </c>
      <c r="AI1446" s="23"/>
      <c r="AJ1446" s="23"/>
      <c r="AK1446" s="23" t="str">
        <f>IFERROR(__xludf.DUMMYFUNCTION("XLOOKUP(C1446, 
   IMPORTRANGE(""1RdEdgHYrZ33LJ7RUHj_h-qkAFL92bcVjtIdVa-UlsCw"", ""Interns!D:D""), 
   IMPORTRANGE(""1RdEdgHYrZ33LJ7RUHj_h-qkAFL92bcVjtIdVa-UlsCw"", ""Interns!M:M""), 
   ""Not Found"")"),"Contacted")</f>
        <v>Contacted</v>
      </c>
      <c r="AL1446" s="23" t="str">
        <f>IFERROR(__xludf.DUMMYFUNCTION("XLOOKUP(C1446, 
   IMPORTRANGE(""1RdEdgHYrZ33LJ7RUHj_h-qkAFL92bcVjtIdVa-UlsCw"", ""Interns!D:D""), 
   IMPORTRANGE(""1RdEdgHYrZ33LJ7RUHj_h-qkAFL92bcVjtIdVa-UlsCw"", ""Interns!N:N""), 
   ""Not Found"")"),"#Cheers4Careers")</f>
        <v>#Cheers4Careers</v>
      </c>
      <c r="AM1446" s="23" t="str">
        <f>IFERROR(__xludf.DUMMYFUNCTION("XLOOKUP(C1446, 
   IMPORTRANGE(""1RdEdgHYrZ33LJ7RUHj_h-qkAFL92bcVjtIdVa-UlsCw"", ""Interns!D:D""), 
   IMPORTRANGE(""1RdEdgHYrZ33LJ7RUHj_h-qkAFL92bcVjtIdVa-UlsCw"", ""Interns!O:O""), 
   ""Not Found"")"),"Hetal reached out March 27 for March #Cheers4 Careers ")</f>
        <v>Hetal reached out March 27 for March #Cheers4 Careers </v>
      </c>
      <c r="AN1446" s="23"/>
      <c r="AO1446" s="23" t="s">
        <v>14138</v>
      </c>
      <c r="AP1446" s="28" t="s">
        <v>5173</v>
      </c>
      <c r="AQ1446" s="28"/>
      <c r="AR1446" s="23"/>
      <c r="AS1446" s="23"/>
      <c r="AT1446" s="23"/>
      <c r="AU1446" s="23"/>
      <c r="AV1446" s="23"/>
    </row>
    <row r="1447">
      <c r="A1447" s="28" t="s">
        <v>5161</v>
      </c>
      <c r="B1447" s="28" t="s">
        <v>5162</v>
      </c>
      <c r="C1447" s="23" t="str">
        <f t="shared" si="39"/>
        <v>Natanael gomez</v>
      </c>
      <c r="D1447" s="28" t="s">
        <v>14139</v>
      </c>
      <c r="E1447" s="28" t="s">
        <v>14140</v>
      </c>
      <c r="F1447" s="23" t="str">
        <f t="array" ref="F1447">IFERROR(
    INDEX('Hub Interns 226'!A:A, MATCH(C1447, 'Hub Interns 226'!B:B, 0)),"")</f>
        <v/>
      </c>
      <c r="G1447" s="28">
        <v>1861.0</v>
      </c>
      <c r="H1447" s="28">
        <v>1752.0</v>
      </c>
      <c r="I1447" s="28" t="s">
        <v>107</v>
      </c>
      <c r="J1447" s="28"/>
      <c r="K1447" s="28"/>
      <c r="L1447" s="28" t="s">
        <v>5165</v>
      </c>
      <c r="M1447" s="56" t="s">
        <v>14141</v>
      </c>
      <c r="N1447" s="59">
        <v>45273.407638888886</v>
      </c>
      <c r="O1447" s="58">
        <v>40967.0</v>
      </c>
      <c r="P1447" s="28">
        <f t="shared" si="41"/>
        <v>14</v>
      </c>
      <c r="Q1447" s="28" t="s">
        <v>240</v>
      </c>
      <c r="R1447" s="28" t="s">
        <v>10400</v>
      </c>
      <c r="S1447" s="28">
        <v>6.0</v>
      </c>
      <c r="T1447" s="28">
        <v>12.0</v>
      </c>
      <c r="U1447" s="28">
        <v>30.0</v>
      </c>
      <c r="V1447" s="28">
        <v>30.0</v>
      </c>
      <c r="W1447" s="28" t="s">
        <v>1173</v>
      </c>
      <c r="X1447" s="28" t="s">
        <v>272</v>
      </c>
      <c r="Y1447" s="28" t="s">
        <v>5169</v>
      </c>
      <c r="Z1447" s="28" t="s">
        <v>5170</v>
      </c>
      <c r="AA1447" s="28" t="s">
        <v>5171</v>
      </c>
      <c r="AB1447" s="28">
        <v>30.0</v>
      </c>
      <c r="AC1447" s="28" t="s">
        <v>23</v>
      </c>
      <c r="AD1447" s="23"/>
      <c r="AE1447" s="28" t="s">
        <v>18</v>
      </c>
      <c r="AF1447" s="23"/>
      <c r="AG1447" s="23"/>
      <c r="AH1447" s="23" t="str">
        <f>IFERROR(__xludf.DUMMYFUNCTION("IF(
ISNUMBER(MATCH(
C1447,
IMPORTRANGE(""https://docs.google.com/spreadsheets/d/1yTh1ELC33JHYOeEdgIiEclxPRyh0zOKtlawDltfUay8"",""'Interns'!A:A""),
0
)),
""Outreach Conducted"",
"""")"),"")</f>
        <v/>
      </c>
      <c r="AI1447" s="23"/>
      <c r="AJ1447" s="23"/>
      <c r="AK1447" s="23" t="str">
        <f>IFERROR(__xludf.DUMMYFUNCTION("XLOOKUP(C1447, 
   IMPORTRANGE(""1RdEdgHYrZ33LJ7RUHj_h-qkAFL92bcVjtIdVa-UlsCw"", ""Interns!D:D""), 
   IMPORTRANGE(""1RdEdgHYrZ33LJ7RUHj_h-qkAFL92bcVjtIdVa-UlsCw"", ""Interns!M:M""), 
   ""Not Found"")"),"Contacted")</f>
        <v>Contacted</v>
      </c>
      <c r="AL1447" s="23" t="str">
        <f>IFERROR(__xludf.DUMMYFUNCTION("XLOOKUP(C1447, 
   IMPORTRANGE(""1RdEdgHYrZ33LJ7RUHj_h-qkAFL92bcVjtIdVa-UlsCw"", ""Interns!D:D""), 
   IMPORTRANGE(""1RdEdgHYrZ33LJ7RUHj_h-qkAFL92bcVjtIdVa-UlsCw"", ""Interns!N:N""), 
   ""Not Found"")"),"#Cheers4Careers")</f>
        <v>#Cheers4Careers</v>
      </c>
      <c r="AM1447" s="23" t="str">
        <f>IFERROR(__xludf.DUMMYFUNCTION("XLOOKUP(C1447, 
   IMPORTRANGE(""1RdEdgHYrZ33LJ7RUHj_h-qkAFL92bcVjtIdVa-UlsCw"", ""Interns!D:D""), 
   IMPORTRANGE(""1RdEdgHYrZ33LJ7RUHj_h-qkAFL92bcVjtIdVa-UlsCw"", ""Interns!O:O""), 
   ""Not Found"")"),"Hetal reached out March 27 for March #Cheers4 Careers ")</f>
        <v>Hetal reached out March 27 for March #Cheers4 Careers </v>
      </c>
      <c r="AN1447" s="23"/>
      <c r="AO1447" s="23" t="s">
        <v>14142</v>
      </c>
      <c r="AP1447" s="28" t="s">
        <v>5182</v>
      </c>
      <c r="AQ1447" s="28"/>
      <c r="AR1447" s="23"/>
      <c r="AS1447" s="23"/>
      <c r="AT1447" s="23"/>
      <c r="AU1447" s="23"/>
      <c r="AV1447" s="23"/>
    </row>
    <row r="1448">
      <c r="A1448" s="28" t="s">
        <v>5161</v>
      </c>
      <c r="B1448" s="28" t="s">
        <v>5162</v>
      </c>
      <c r="C1448" s="23" t="str">
        <f t="shared" si="39"/>
        <v>Valerie Juca</v>
      </c>
      <c r="D1448" s="28" t="s">
        <v>14143</v>
      </c>
      <c r="E1448" s="28" t="s">
        <v>14144</v>
      </c>
      <c r="F1448" s="23" t="str">
        <f t="array" ref="F1448">IFERROR(
    INDEX('Hub Interns 226'!A:A, MATCH(C1448, 'Hub Interns 226'!B:B, 0)),"")</f>
        <v/>
      </c>
      <c r="G1448" s="23">
        <f t="array" ref="G1448">IFERROR(
    INDEX('Hub Users 226'!A:A, MATCH(C1448, 'Hub Users 226'!B:B, 0)),"")</f>
        <v>1851</v>
      </c>
      <c r="H1448" s="28">
        <v>1753.0</v>
      </c>
      <c r="I1448" s="28" t="s">
        <v>290</v>
      </c>
      <c r="J1448" s="28"/>
      <c r="K1448" s="28"/>
      <c r="L1448" s="28" t="s">
        <v>5196</v>
      </c>
      <c r="M1448" s="56" t="s">
        <v>14145</v>
      </c>
      <c r="N1448" s="59">
        <v>45273.41180555556</v>
      </c>
      <c r="O1448" s="58">
        <v>41110.0</v>
      </c>
      <c r="P1448" s="28">
        <f t="shared" si="41"/>
        <v>13</v>
      </c>
      <c r="Q1448" s="28" t="s">
        <v>240</v>
      </c>
      <c r="R1448" s="28" t="s">
        <v>10400</v>
      </c>
      <c r="S1448" s="28">
        <v>6.0</v>
      </c>
      <c r="T1448" s="28">
        <v>12.0</v>
      </c>
      <c r="U1448" s="28">
        <v>30.0</v>
      </c>
      <c r="V1448" s="28">
        <v>30.0</v>
      </c>
      <c r="W1448" s="28" t="s">
        <v>1173</v>
      </c>
      <c r="X1448" s="28" t="s">
        <v>272</v>
      </c>
      <c r="Y1448" s="28" t="s">
        <v>5169</v>
      </c>
      <c r="Z1448" s="28" t="s">
        <v>5170</v>
      </c>
      <c r="AA1448" s="28" t="s">
        <v>5171</v>
      </c>
      <c r="AB1448" s="28">
        <v>30.0</v>
      </c>
      <c r="AC1448" s="28" t="s">
        <v>23</v>
      </c>
      <c r="AD1448" s="23"/>
      <c r="AE1448" s="28" t="s">
        <v>18</v>
      </c>
      <c r="AF1448" s="23"/>
      <c r="AG1448" s="23"/>
      <c r="AH1448" s="23" t="str">
        <f>IFERROR(__xludf.DUMMYFUNCTION("IF(
ISNUMBER(MATCH(
C1448,
IMPORTRANGE(""https://docs.google.com/spreadsheets/d/1yTh1ELC33JHYOeEdgIiEclxPRyh0zOKtlawDltfUay8"",""'Interns'!A:A""),
0
)),
""Outreach Conducted"",
"""")"),"")</f>
        <v/>
      </c>
      <c r="AI1448" s="23"/>
      <c r="AJ1448" s="23"/>
      <c r="AK1448" s="23" t="str">
        <f>IFERROR(__xludf.DUMMYFUNCTION("XLOOKUP(C1448, 
   IMPORTRANGE(""1RdEdgHYrZ33LJ7RUHj_h-qkAFL92bcVjtIdVa-UlsCw"", ""Interns!D:D""), 
   IMPORTRANGE(""1RdEdgHYrZ33LJ7RUHj_h-qkAFL92bcVjtIdVa-UlsCw"", ""Interns!M:M""), 
   ""Not Found"")"),"Contacted")</f>
        <v>Contacted</v>
      </c>
      <c r="AL1448" s="23" t="str">
        <f>IFERROR(__xludf.DUMMYFUNCTION("XLOOKUP(C1448, 
   IMPORTRANGE(""1RdEdgHYrZ33LJ7RUHj_h-qkAFL92bcVjtIdVa-UlsCw"", ""Interns!D:D""), 
   IMPORTRANGE(""1RdEdgHYrZ33LJ7RUHj_h-qkAFL92bcVjtIdVa-UlsCw"", ""Interns!N:N""), 
   ""Not Found"")"),"#Cheers4Careers")</f>
        <v>#Cheers4Careers</v>
      </c>
      <c r="AM1448" s="23" t="str">
        <f>IFERROR(__xludf.DUMMYFUNCTION("XLOOKUP(C1448, 
   IMPORTRANGE(""1RdEdgHYrZ33LJ7RUHj_h-qkAFL92bcVjtIdVa-UlsCw"", ""Interns!D:D""), 
   IMPORTRANGE(""1RdEdgHYrZ33LJ7RUHj_h-qkAFL92bcVjtIdVa-UlsCw"", ""Interns!O:O""), 
   ""Not Found"")"),"Hetal reached out March 27 for March #Cheers4 Careers ")</f>
        <v>Hetal reached out March 27 for March #Cheers4 Careers </v>
      </c>
      <c r="AN1448" s="23"/>
      <c r="AO1448" s="23" t="s">
        <v>14146</v>
      </c>
      <c r="AP1448" s="28" t="s">
        <v>5182</v>
      </c>
      <c r="AQ1448" s="28"/>
      <c r="AR1448" s="23"/>
      <c r="AS1448" s="23"/>
      <c r="AT1448" s="23"/>
      <c r="AU1448" s="23"/>
      <c r="AV1448" s="23"/>
    </row>
    <row r="1449">
      <c r="A1449" s="28" t="s">
        <v>5202</v>
      </c>
      <c r="B1449" s="28" t="s">
        <v>5162</v>
      </c>
      <c r="C1449" s="23" t="str">
        <f t="shared" si="39"/>
        <v>Shahzodabonu Davronova</v>
      </c>
      <c r="D1449" s="28" t="s">
        <v>14147</v>
      </c>
      <c r="E1449" s="28" t="s">
        <v>14148</v>
      </c>
      <c r="F1449" s="23">
        <f t="array" ref="F1449">IFERROR(
    INDEX('Hub Interns 226'!A:A, MATCH(C1449, 'Hub Interns 226'!B:B, 0)),"")</f>
        <v>422</v>
      </c>
      <c r="G1449" s="23">
        <f t="array" ref="G1449">IFERROR(
    INDEX('Hub Users 226'!A:A, MATCH(C1449, 'Hub Users 226'!B:B, 0)),"")</f>
        <v>855</v>
      </c>
      <c r="H1449" s="28">
        <v>655.0</v>
      </c>
      <c r="I1449" s="28" t="s">
        <v>260</v>
      </c>
      <c r="J1449" s="28" t="s">
        <v>8549</v>
      </c>
      <c r="K1449" s="28" t="s">
        <v>5186</v>
      </c>
      <c r="L1449" s="28" t="s">
        <v>5196</v>
      </c>
      <c r="M1449" s="56" t="s">
        <v>14149</v>
      </c>
      <c r="N1449" s="57">
        <v>44531.03611111111</v>
      </c>
      <c r="O1449" s="58">
        <v>37753.0</v>
      </c>
      <c r="P1449" s="28">
        <f t="shared" si="41"/>
        <v>23</v>
      </c>
      <c r="Q1449" s="28" t="s">
        <v>14150</v>
      </c>
      <c r="R1449" s="28" t="s">
        <v>14151</v>
      </c>
      <c r="S1449" s="28">
        <v>8.0</v>
      </c>
      <c r="T1449" s="28">
        <v>23.0</v>
      </c>
      <c r="U1449" s="28">
        <v>45.0</v>
      </c>
      <c r="V1449" s="28">
        <v>48.0</v>
      </c>
      <c r="W1449" s="28" t="s">
        <v>294</v>
      </c>
      <c r="X1449" s="28" t="s">
        <v>272</v>
      </c>
      <c r="Y1449" s="28" t="s">
        <v>14152</v>
      </c>
      <c r="Z1449" s="28" t="s">
        <v>5963</v>
      </c>
      <c r="AA1449" s="28" t="s">
        <v>1923</v>
      </c>
      <c r="AB1449" s="28">
        <v>1.0</v>
      </c>
      <c r="AC1449" s="28" t="s">
        <v>25</v>
      </c>
      <c r="AD1449" s="23"/>
      <c r="AE1449" s="28" t="s">
        <v>10</v>
      </c>
      <c r="AF1449" s="23"/>
      <c r="AG1449" s="23"/>
      <c r="AH1449" s="23" t="str">
        <f>IFERROR(__xludf.DUMMYFUNCTION("IF(
ISNUMBER(MATCH(
C1449,
IMPORTRANGE(""https://docs.google.com/spreadsheets/d/1yTh1ELC33JHYOeEdgIiEclxPRyh0zOKtlawDltfUay8"",""'Interns'!A:A""),
0
)),
""Outreach Conducted"",
"""")"),"")</f>
        <v/>
      </c>
      <c r="AI1449" s="23"/>
      <c r="AJ1449" s="23"/>
      <c r="AK1449" s="23" t="str">
        <f>IFERROR(__xludf.DUMMYFUNCTION("XLOOKUP(C1449, 
   IMPORTRANGE(""1RdEdgHYrZ33LJ7RUHj_h-qkAFL92bcVjtIdVa-UlsCw"", ""Interns!D:D""), 
   IMPORTRANGE(""1RdEdgHYrZ33LJ7RUHj_h-qkAFL92bcVjtIdVa-UlsCw"", ""Interns!M:M""), 
   ""Not Found"")"),"")</f>
        <v/>
      </c>
      <c r="AL1449" s="23" t="str">
        <f>IFERROR(__xludf.DUMMYFUNCTION("XLOOKUP(C1449, 
   IMPORTRANGE(""1RdEdgHYrZ33LJ7RUHj_h-qkAFL92bcVjtIdVa-UlsCw"", ""Interns!D:D""), 
   IMPORTRANGE(""1RdEdgHYrZ33LJ7RUHj_h-qkAFL92bcVjtIdVa-UlsCw"", ""Interns!N:N""), 
   ""Not Found"")"),"")</f>
        <v/>
      </c>
      <c r="AM1449" s="23" t="str">
        <f>IFERROR(__xludf.DUMMYFUNCTION("XLOOKUP(C1449, 
   IMPORTRANGE(""1RdEdgHYrZ33LJ7RUHj_h-qkAFL92bcVjtIdVa-UlsCw"", ""Interns!D:D""), 
   IMPORTRANGE(""1RdEdgHYrZ33LJ7RUHj_h-qkAFL92bcVjtIdVa-UlsCw"", ""Interns!O:O""), 
   ""Not Found"")"),"")</f>
        <v/>
      </c>
      <c r="AN1449" s="23"/>
      <c r="AO1449" s="23" t="s">
        <v>14153</v>
      </c>
      <c r="AP1449" s="28" t="s">
        <v>5182</v>
      </c>
      <c r="AQ1449" s="28" t="s">
        <v>14154</v>
      </c>
      <c r="AR1449" s="23" t="s">
        <v>14155</v>
      </c>
      <c r="AS1449" s="23"/>
      <c r="AT1449" s="23"/>
      <c r="AU1449" s="23"/>
      <c r="AV1449" s="23"/>
    </row>
    <row r="1450">
      <c r="A1450" s="28" t="s">
        <v>5161</v>
      </c>
      <c r="B1450" s="28" t="s">
        <v>5162</v>
      </c>
      <c r="C1450" s="23" t="str">
        <f t="shared" si="39"/>
        <v>Xavier Tyler</v>
      </c>
      <c r="D1450" s="22" t="s">
        <v>14156</v>
      </c>
      <c r="E1450" s="22" t="s">
        <v>13684</v>
      </c>
      <c r="F1450" s="23"/>
      <c r="G1450" s="23"/>
      <c r="H1450" s="22">
        <v>1882.0</v>
      </c>
      <c r="I1450" s="28" t="s">
        <v>290</v>
      </c>
      <c r="J1450" s="28"/>
      <c r="K1450" s="28"/>
      <c r="L1450" s="28" t="s">
        <v>5165</v>
      </c>
      <c r="M1450" s="29" t="s">
        <v>14157</v>
      </c>
      <c r="N1450" s="22"/>
      <c r="O1450" s="25">
        <v>39414.0</v>
      </c>
      <c r="P1450" s="28">
        <f t="shared" si="41"/>
        <v>18</v>
      </c>
      <c r="Q1450" s="62" t="s">
        <v>14158</v>
      </c>
      <c r="R1450" s="22" t="s">
        <v>14159</v>
      </c>
      <c r="S1450" s="28">
        <v>8.0</v>
      </c>
      <c r="T1450" s="28">
        <v>25.0</v>
      </c>
      <c r="U1450" s="28">
        <v>55.0</v>
      </c>
      <c r="V1450" s="28">
        <v>41.0</v>
      </c>
      <c r="W1450" s="28" t="s">
        <v>294</v>
      </c>
      <c r="X1450" s="28" t="s">
        <v>272</v>
      </c>
      <c r="Y1450" s="22" t="s">
        <v>14160</v>
      </c>
      <c r="Z1450" s="22" t="s">
        <v>5822</v>
      </c>
      <c r="AA1450" s="28" t="s">
        <v>5822</v>
      </c>
      <c r="AB1450" s="28">
        <v>30.0</v>
      </c>
      <c r="AC1450" s="28" t="s">
        <v>27</v>
      </c>
      <c r="AD1450" s="23"/>
      <c r="AE1450" s="28" t="s">
        <v>20</v>
      </c>
      <c r="AF1450" s="23"/>
      <c r="AG1450" s="23"/>
      <c r="AH1450" s="23" t="str">
        <f>IFERROR(__xludf.DUMMYFUNCTION("IF(
ISNUMBER(MATCH(
C1450,
IMPORTRANGE(""https://docs.google.com/spreadsheets/d/1yTh1ELC33JHYOeEdgIiEclxPRyh0zOKtlawDltfUay8"",""'Interns'!A:A""),
0
)),
""Outreach Conducted"",
"""")"),"")</f>
        <v/>
      </c>
      <c r="AI1450" s="23"/>
      <c r="AJ1450" s="23"/>
      <c r="AK1450" s="23"/>
      <c r="AL1450" s="23" t="str">
        <f>IFERROR(__xludf.DUMMYFUNCTION("XLOOKUP(C1450, 
   IMPORTRANGE(""1RdEdgHYrZ33LJ7RUHj_h-qkAFL92bcVjtIdVa-UlsCw"", ""Interns!D:D""), 
   IMPORTRANGE(""1RdEdgHYrZ33LJ7RUHj_h-qkAFL92bcVjtIdVa-UlsCw"", ""Interns!N:N""), 
   ""Not Found"")"),"#Cheers4Careers")</f>
        <v>#Cheers4Careers</v>
      </c>
      <c r="AM1450" s="23" t="str">
        <f>IFERROR(__xludf.DUMMYFUNCTION("XLOOKUP(C1450, 
   IMPORTRANGE(""1RdEdgHYrZ33LJ7RUHj_h-qkAFL92bcVjtIdVa-UlsCw"", ""Interns!D:D""), 
   IMPORTRANGE(""1RdEdgHYrZ33LJ7RUHj_h-qkAFL92bcVjtIdVa-UlsCw"", ""Interns!O:O""), 
   ""Not Found"")"),"Hetal reached out March 27 for March #Cheers4 Careers ")</f>
        <v>Hetal reached out March 27 for March #Cheers4 Careers </v>
      </c>
      <c r="AN1450" s="23"/>
      <c r="AO1450" s="23" t="s">
        <v>14161</v>
      </c>
      <c r="AP1450" s="28" t="s">
        <v>5182</v>
      </c>
      <c r="AQ1450" s="28" t="s">
        <v>14162</v>
      </c>
      <c r="AR1450" s="23" t="s">
        <v>14163</v>
      </c>
      <c r="AS1450" s="23"/>
      <c r="AT1450" s="23"/>
      <c r="AU1450" s="23"/>
      <c r="AV1450" s="23"/>
    </row>
    <row r="1451">
      <c r="A1451" s="28" t="s">
        <v>5202</v>
      </c>
      <c r="B1451" s="28" t="s">
        <v>5162</v>
      </c>
      <c r="C1451" s="23" t="str">
        <f t="shared" si="39"/>
        <v>Rukhshona Sharofova</v>
      </c>
      <c r="D1451" s="28" t="s">
        <v>14164</v>
      </c>
      <c r="E1451" s="28" t="s">
        <v>14165</v>
      </c>
      <c r="F1451" s="23">
        <f t="array" ref="F1451">IFERROR(
    INDEX('Hub Interns 226'!A:A, MATCH(C1451, 'Hub Interns 226'!B:B, 0)),"")</f>
        <v>1044</v>
      </c>
      <c r="G1451" s="23">
        <f t="array" ref="G1451">IFERROR(
    INDEX('Hub Users 226'!A:A, MATCH(C1451, 'Hub Users 226'!B:B, 0)),"")</f>
        <v>1477</v>
      </c>
      <c r="H1451" s="28">
        <v>660.0</v>
      </c>
      <c r="I1451" s="28" t="s">
        <v>1235</v>
      </c>
      <c r="J1451" s="28" t="s">
        <v>8549</v>
      </c>
      <c r="K1451" s="28" t="s">
        <v>5186</v>
      </c>
      <c r="L1451" s="28" t="s">
        <v>5196</v>
      </c>
      <c r="M1451" s="56" t="s">
        <v>14166</v>
      </c>
      <c r="N1451" s="59">
        <v>44540.48472222222</v>
      </c>
      <c r="O1451" s="58">
        <v>38379.0</v>
      </c>
      <c r="P1451" s="28">
        <f t="shared" si="41"/>
        <v>21</v>
      </c>
      <c r="Q1451" s="28" t="s">
        <v>14167</v>
      </c>
      <c r="R1451" s="28" t="s">
        <v>14168</v>
      </c>
      <c r="S1451" s="28"/>
      <c r="T1451" s="28"/>
      <c r="U1451" s="28"/>
      <c r="V1451" s="28"/>
      <c r="W1451" s="28" t="s">
        <v>380</v>
      </c>
      <c r="X1451" s="28" t="s">
        <v>381</v>
      </c>
      <c r="Y1451" s="28" t="s">
        <v>14169</v>
      </c>
      <c r="Z1451" s="28" t="s">
        <v>5272</v>
      </c>
      <c r="AA1451" s="28" t="s">
        <v>629</v>
      </c>
      <c r="AB1451" s="28" t="s">
        <v>5221</v>
      </c>
      <c r="AC1451" s="28" t="s">
        <v>25</v>
      </c>
      <c r="AD1451" s="23"/>
      <c r="AE1451" s="28" t="s">
        <v>10</v>
      </c>
      <c r="AF1451" s="23" t="str">
        <f>IFERROR(__xludf.DUMMYFUNCTION("TEXTJOIN("", "", TRUE,
  FILTER(Champions!C:C,
    ISNUMBER(SEARCH(C1451, Champions!W:W))
  )
)"),"Jason Alafgani, Shoshana Leon")</f>
        <v>Jason Alafgani, Shoshana Leon</v>
      </c>
      <c r="AG1451" s="23"/>
      <c r="AH1451" s="23" t="str">
        <f>IFERROR(__xludf.DUMMYFUNCTION("IF(
ISNUMBER(MATCH(
C1451,
IMPORTRANGE(""https://docs.google.com/spreadsheets/d/1yTh1ELC33JHYOeEdgIiEclxPRyh0zOKtlawDltfUay8"",""'Interns'!A:A""),
0
)),
""Outreach Conducted"",
"""")"),"")</f>
        <v/>
      </c>
      <c r="AI1451" s="23"/>
      <c r="AJ1451" s="23"/>
      <c r="AK1451" s="23" t="str">
        <f>IFERROR(__xludf.DUMMYFUNCTION("XLOOKUP(C1451, 
   IMPORTRANGE(""1RdEdgHYrZ33LJ7RUHj_h-qkAFL92bcVjtIdVa-UlsCw"", ""Interns!D:D""), 
   IMPORTRANGE(""1RdEdgHYrZ33LJ7RUHj_h-qkAFL92bcVjtIdVa-UlsCw"", ""Interns!M:M""), 
   ""Not Found"")"),"")</f>
        <v/>
      </c>
      <c r="AL1451" s="23" t="str">
        <f>IFERROR(__xludf.DUMMYFUNCTION("XLOOKUP(C1451, 
   IMPORTRANGE(""1RdEdgHYrZ33LJ7RUHj_h-qkAFL92bcVjtIdVa-UlsCw"", ""Interns!D:D""), 
   IMPORTRANGE(""1RdEdgHYrZ33LJ7RUHj_h-qkAFL92bcVjtIdVa-UlsCw"", ""Interns!N:N""), 
   ""Not Found"")"),"")</f>
        <v/>
      </c>
      <c r="AM1451" s="23" t="str">
        <f>IFERROR(__xludf.DUMMYFUNCTION("XLOOKUP(C1451, 
   IMPORTRANGE(""1RdEdgHYrZ33LJ7RUHj_h-qkAFL92bcVjtIdVa-UlsCw"", ""Interns!D:D""), 
   IMPORTRANGE(""1RdEdgHYrZ33LJ7RUHj_h-qkAFL92bcVjtIdVa-UlsCw"", ""Interns!O:O""), 
   ""Not Found"")"),"")</f>
        <v/>
      </c>
      <c r="AN1451" s="23"/>
      <c r="AO1451" s="23" t="s">
        <v>14170</v>
      </c>
      <c r="AP1451" s="28" t="s">
        <v>5182</v>
      </c>
      <c r="AQ1451" s="28" t="s">
        <v>14171</v>
      </c>
      <c r="AR1451" s="23" t="s">
        <v>14172</v>
      </c>
      <c r="AS1451" s="23"/>
      <c r="AT1451" s="23"/>
      <c r="AU1451" s="23"/>
      <c r="AV1451" s="23"/>
    </row>
    <row r="1452">
      <c r="A1452" s="28" t="s">
        <v>5202</v>
      </c>
      <c r="B1452" s="28" t="s">
        <v>5162</v>
      </c>
      <c r="C1452" s="23" t="str">
        <f t="shared" si="39"/>
        <v>Karolay Esis Finel</v>
      </c>
      <c r="D1452" s="28" t="s">
        <v>14173</v>
      </c>
      <c r="E1452" s="28" t="s">
        <v>14174</v>
      </c>
      <c r="F1452" s="23">
        <f t="array" ref="F1452">IFERROR(
    INDEX('Hub Interns 226'!A:A, MATCH(C1452, 'Hub Interns 226'!B:B, 0)),"")</f>
        <v>729</v>
      </c>
      <c r="G1452" s="23">
        <f t="array" ref="G1452">IFERROR(
    INDEX('Hub Users 226'!A:A, MATCH(C1452, 'Hub Users 226'!B:B, 0)),"")</f>
        <v>1162</v>
      </c>
      <c r="H1452" s="28">
        <v>1344.0</v>
      </c>
      <c r="I1452" s="28" t="s">
        <v>107</v>
      </c>
      <c r="J1452" s="28" t="s">
        <v>6002</v>
      </c>
      <c r="K1452" s="28" t="s">
        <v>5463</v>
      </c>
      <c r="L1452" s="28" t="s">
        <v>5196</v>
      </c>
      <c r="M1452" s="56" t="s">
        <v>14175</v>
      </c>
      <c r="N1452" s="59">
        <v>44858.62013888889</v>
      </c>
      <c r="O1452" s="58">
        <v>39039.0</v>
      </c>
      <c r="P1452" s="28">
        <f t="shared" si="41"/>
        <v>19</v>
      </c>
      <c r="Q1452" s="28" t="s">
        <v>240</v>
      </c>
      <c r="R1452" s="28" t="s">
        <v>14176</v>
      </c>
      <c r="S1452" s="28"/>
      <c r="T1452" s="28"/>
      <c r="U1452" s="28"/>
      <c r="V1452" s="28"/>
      <c r="W1452" s="28" t="s">
        <v>1173</v>
      </c>
      <c r="X1452" s="28" t="s">
        <v>272</v>
      </c>
      <c r="Y1452" s="28" t="s">
        <v>14177</v>
      </c>
      <c r="Z1452" s="28" t="s">
        <v>5332</v>
      </c>
      <c r="AA1452" s="28" t="s">
        <v>421</v>
      </c>
      <c r="AB1452" s="28">
        <v>31.0</v>
      </c>
      <c r="AC1452" s="28" t="s">
        <v>23</v>
      </c>
      <c r="AD1452" s="23"/>
      <c r="AE1452" s="28" t="s">
        <v>15</v>
      </c>
      <c r="AF1452" s="23"/>
      <c r="AG1452" s="23"/>
      <c r="AH1452" s="23" t="str">
        <f>IFERROR(__xludf.DUMMYFUNCTION("IF(
ISNUMBER(MATCH(
C1452,
IMPORTRANGE(""https://docs.google.com/spreadsheets/d/1yTh1ELC33JHYOeEdgIiEclxPRyh0zOKtlawDltfUay8"",""'Interns'!A:A""),
0
)),
""Outreach Conducted"",
"""")"),"")</f>
        <v/>
      </c>
      <c r="AI1452" s="23"/>
      <c r="AJ1452" s="23"/>
      <c r="AK1452" s="23" t="str">
        <f>IFERROR(__xludf.DUMMYFUNCTION("XLOOKUP(C1452, 
   IMPORTRANGE(""1RdEdgHYrZ33LJ7RUHj_h-qkAFL92bcVjtIdVa-UlsCw"", ""Interns!D:D""), 
   IMPORTRANGE(""1RdEdgHYrZ33LJ7RUHj_h-qkAFL92bcVjtIdVa-UlsCw"", ""Interns!M:M""), 
   ""Not Found"")"),"")</f>
        <v/>
      </c>
      <c r="AL1452" s="23" t="str">
        <f>IFERROR(__xludf.DUMMYFUNCTION("XLOOKUP(C1452, 
   IMPORTRANGE(""1RdEdgHYrZ33LJ7RUHj_h-qkAFL92bcVjtIdVa-UlsCw"", ""Interns!D:D""), 
   IMPORTRANGE(""1RdEdgHYrZ33LJ7RUHj_h-qkAFL92bcVjtIdVa-UlsCw"", ""Interns!N:N""), 
   ""Not Found"")"),"")</f>
        <v/>
      </c>
      <c r="AM1452" s="23" t="str">
        <f>IFERROR(__xludf.DUMMYFUNCTION("XLOOKUP(C1452, 
   IMPORTRANGE(""1RdEdgHYrZ33LJ7RUHj_h-qkAFL92bcVjtIdVa-UlsCw"", ""Interns!D:D""), 
   IMPORTRANGE(""1RdEdgHYrZ33LJ7RUHj_h-qkAFL92bcVjtIdVa-UlsCw"", ""Interns!O:O""), 
   ""Not Found"")"),"")</f>
        <v/>
      </c>
      <c r="AN1452" s="23"/>
      <c r="AO1452" s="23" t="s">
        <v>14178</v>
      </c>
      <c r="AP1452" s="28" t="s">
        <v>5182</v>
      </c>
      <c r="AQ1452" s="28"/>
      <c r="AR1452" s="23"/>
      <c r="AS1452" s="23"/>
      <c r="AT1452" s="23"/>
      <c r="AU1452" s="23"/>
      <c r="AV1452" s="23"/>
    </row>
    <row r="1453">
      <c r="A1453" s="28" t="s">
        <v>5202</v>
      </c>
      <c r="B1453" s="28" t="s">
        <v>5162</v>
      </c>
      <c r="C1453" s="23" t="str">
        <f t="shared" si="39"/>
        <v>Franklin Bello</v>
      </c>
      <c r="D1453" s="28" t="s">
        <v>8924</v>
      </c>
      <c r="E1453" s="28" t="s">
        <v>7261</v>
      </c>
      <c r="F1453" s="23">
        <f t="array" ref="F1453">IFERROR(
    INDEX('Hub Interns 226'!A:A, MATCH(C1453, 'Hub Interns 226'!B:B, 0)),"")</f>
        <v>504</v>
      </c>
      <c r="G1453" s="23">
        <f t="array" ref="G1453">IFERROR(
    INDEX('Hub Users 226'!A:A, MATCH(C1453, 'Hub Users 226'!B:B, 0)),"")</f>
        <v>937</v>
      </c>
      <c r="H1453" s="28">
        <v>971.0</v>
      </c>
      <c r="I1453" s="28" t="s">
        <v>290</v>
      </c>
      <c r="J1453" s="28" t="s">
        <v>6002</v>
      </c>
      <c r="K1453" s="28" t="s">
        <v>5463</v>
      </c>
      <c r="L1453" s="28" t="s">
        <v>5165</v>
      </c>
      <c r="M1453" s="56" t="s">
        <v>14179</v>
      </c>
      <c r="N1453" s="57">
        <v>44642.55138888889</v>
      </c>
      <c r="O1453" s="58">
        <v>37564.0</v>
      </c>
      <c r="P1453" s="28">
        <f t="shared" si="41"/>
        <v>23</v>
      </c>
      <c r="Q1453" s="28" t="s">
        <v>240</v>
      </c>
      <c r="R1453" s="28" t="s">
        <v>14180</v>
      </c>
      <c r="S1453" s="28">
        <v>14.0</v>
      </c>
      <c r="T1453" s="28">
        <v>34.0</v>
      </c>
      <c r="U1453" s="28">
        <v>87.0</v>
      </c>
      <c r="V1453" s="28">
        <v>17.0</v>
      </c>
      <c r="W1453" s="28" t="s">
        <v>294</v>
      </c>
      <c r="X1453" s="28" t="s">
        <v>272</v>
      </c>
      <c r="Y1453" s="28" t="s">
        <v>14181</v>
      </c>
      <c r="Z1453" s="28" t="s">
        <v>5589</v>
      </c>
      <c r="AA1453" s="28" t="s">
        <v>5590</v>
      </c>
      <c r="AB1453" s="28">
        <v>35.0</v>
      </c>
      <c r="AC1453" s="28" t="s">
        <v>24</v>
      </c>
      <c r="AD1453" s="23"/>
      <c r="AE1453" s="28" t="s">
        <v>10</v>
      </c>
      <c r="AF1453" s="23"/>
      <c r="AG1453" s="23"/>
      <c r="AH1453" s="23" t="str">
        <f>IFERROR(__xludf.DUMMYFUNCTION("IF(
ISNUMBER(MATCH(
C1453,
IMPORTRANGE(""https://docs.google.com/spreadsheets/d/1yTh1ELC33JHYOeEdgIiEclxPRyh0zOKtlawDltfUay8"",""'Interns'!A:A""),
0
)),
""Outreach Conducted"",
"""")"),"")</f>
        <v/>
      </c>
      <c r="AI1453" s="23"/>
      <c r="AJ1453" s="23"/>
      <c r="AK1453" s="23" t="str">
        <f>IFERROR(__xludf.DUMMYFUNCTION("XLOOKUP(C1453, 
   IMPORTRANGE(""1RdEdgHYrZ33LJ7RUHj_h-qkAFL92bcVjtIdVa-UlsCw"", ""Interns!D:D""), 
   IMPORTRANGE(""1RdEdgHYrZ33LJ7RUHj_h-qkAFL92bcVjtIdVa-UlsCw"", ""Interns!M:M""), 
   ""Not Found"")"),"")</f>
        <v/>
      </c>
      <c r="AL1453" s="23" t="str">
        <f>IFERROR(__xludf.DUMMYFUNCTION("XLOOKUP(C1453, 
   IMPORTRANGE(""1RdEdgHYrZ33LJ7RUHj_h-qkAFL92bcVjtIdVa-UlsCw"", ""Interns!D:D""), 
   IMPORTRANGE(""1RdEdgHYrZ33LJ7RUHj_h-qkAFL92bcVjtIdVa-UlsCw"", ""Interns!N:N""), 
   ""Not Found"")"),"")</f>
        <v/>
      </c>
      <c r="AM1453" s="23" t="str">
        <f>IFERROR(__xludf.DUMMYFUNCTION("XLOOKUP(C1453, 
   IMPORTRANGE(""1RdEdgHYrZ33LJ7RUHj_h-qkAFL92bcVjtIdVa-UlsCw"", ""Interns!D:D""), 
   IMPORTRANGE(""1RdEdgHYrZ33LJ7RUHj_h-qkAFL92bcVjtIdVa-UlsCw"", ""Interns!O:O""), 
   ""Not Found"")"),"")</f>
        <v/>
      </c>
      <c r="AN1453" s="23"/>
      <c r="AO1453" s="23" t="s">
        <v>14182</v>
      </c>
      <c r="AP1453" s="28" t="s">
        <v>5191</v>
      </c>
      <c r="AQ1453" s="28"/>
      <c r="AR1453" s="23"/>
      <c r="AS1453" s="23"/>
      <c r="AT1453" s="23"/>
      <c r="AU1453" s="23"/>
      <c r="AV1453" s="23"/>
    </row>
    <row r="1454">
      <c r="A1454" s="28" t="s">
        <v>5202</v>
      </c>
      <c r="B1454" s="28" t="s">
        <v>5162</v>
      </c>
      <c r="C1454" s="23" t="str">
        <f t="shared" si="39"/>
        <v>Deisymar Martinez</v>
      </c>
      <c r="D1454" s="28" t="s">
        <v>14183</v>
      </c>
      <c r="E1454" s="28" t="s">
        <v>2010</v>
      </c>
      <c r="F1454" s="23" t="str">
        <f t="array" ref="F1454">IFERROR(
    INDEX('Hub Interns 226'!A:A, MATCH(C1454, 'Hub Interns 226'!B:B, 0)),"")</f>
        <v/>
      </c>
      <c r="G1454" s="23">
        <f t="array" ref="G1454">IFERROR(
    INDEX('Hub Users 226'!A:A, MATCH(C1454, 'Hub Users 226'!B:B, 0)),"")</f>
        <v>1763</v>
      </c>
      <c r="H1454" s="28">
        <v>1666.0</v>
      </c>
      <c r="I1454" s="28" t="s">
        <v>260</v>
      </c>
      <c r="J1454" s="28" t="s">
        <v>6002</v>
      </c>
      <c r="K1454" s="28" t="s">
        <v>5463</v>
      </c>
      <c r="L1454" s="28" t="s">
        <v>5196</v>
      </c>
      <c r="M1454" s="56" t="s">
        <v>14184</v>
      </c>
      <c r="N1454" s="59">
        <v>45213.044444444444</v>
      </c>
      <c r="O1454" s="58">
        <v>39828.0</v>
      </c>
      <c r="P1454" s="28">
        <f t="shared" si="41"/>
        <v>17</v>
      </c>
      <c r="Q1454" s="28" t="s">
        <v>14185</v>
      </c>
      <c r="R1454" s="28" t="s">
        <v>14186</v>
      </c>
      <c r="S1454" s="28">
        <v>15.0</v>
      </c>
      <c r="T1454" s="28">
        <v>33.0</v>
      </c>
      <c r="U1454" s="28">
        <v>78.0</v>
      </c>
      <c r="V1454" s="28">
        <v>15.0</v>
      </c>
      <c r="W1454" s="28" t="s">
        <v>859</v>
      </c>
      <c r="X1454" s="28" t="s">
        <v>272</v>
      </c>
      <c r="Y1454" s="28">
        <v>9.296710712E9</v>
      </c>
      <c r="Z1454" s="28" t="s">
        <v>5918</v>
      </c>
      <c r="AA1454" s="28" t="s">
        <v>477</v>
      </c>
      <c r="AB1454" s="28">
        <v>15.0</v>
      </c>
      <c r="AC1454" s="28" t="s">
        <v>25</v>
      </c>
      <c r="AD1454" s="23"/>
      <c r="AE1454" s="28" t="s">
        <v>18</v>
      </c>
      <c r="AF1454" s="23" t="str">
        <f>IFERROR(__xludf.DUMMYFUNCTION("TEXTJOIN("", "", TRUE,
  FILTER(Champions!C:C,
    ISNUMBER(SEARCH(C1454, Champions!W:W))
  )
)"),"Luz Santana")</f>
        <v>Luz Santana</v>
      </c>
      <c r="AG1454" s="23"/>
      <c r="AH1454" s="23" t="str">
        <f>IFERROR(__xludf.DUMMYFUNCTION("IF(
ISNUMBER(MATCH(
C1454,
IMPORTRANGE(""https://docs.google.com/spreadsheets/d/1yTh1ELC33JHYOeEdgIiEclxPRyh0zOKtlawDltfUay8"",""'Interns'!A:A""),
0
)),
""Outreach Conducted"",
"""")"),"")</f>
        <v/>
      </c>
      <c r="AI1454" s="23"/>
      <c r="AJ1454" s="23"/>
      <c r="AK1454" s="23" t="str">
        <f>IFERROR(__xludf.DUMMYFUNCTION("XLOOKUP(C1454, 
   IMPORTRANGE(""1RdEdgHYrZ33LJ7RUHj_h-qkAFL92bcVjtIdVa-UlsCw"", ""Interns!D:D""), 
   IMPORTRANGE(""1RdEdgHYrZ33LJ7RUHj_h-qkAFL92bcVjtIdVa-UlsCw"", ""Interns!M:M""), 
   ""Not Found"")"),"")</f>
        <v/>
      </c>
      <c r="AL1454" s="23" t="str">
        <f>IFERROR(__xludf.DUMMYFUNCTION("XLOOKUP(C1454, 
   IMPORTRANGE(""1RdEdgHYrZ33LJ7RUHj_h-qkAFL92bcVjtIdVa-UlsCw"", ""Interns!D:D""), 
   IMPORTRANGE(""1RdEdgHYrZ33LJ7RUHj_h-qkAFL92bcVjtIdVa-UlsCw"", ""Interns!N:N""), 
   ""Not Found"")"),"")</f>
        <v/>
      </c>
      <c r="AM1454" s="23" t="str">
        <f>IFERROR(__xludf.DUMMYFUNCTION("XLOOKUP(C1454, 
   IMPORTRANGE(""1RdEdgHYrZ33LJ7RUHj_h-qkAFL92bcVjtIdVa-UlsCw"", ""Interns!D:D""), 
   IMPORTRANGE(""1RdEdgHYrZ33LJ7RUHj_h-qkAFL92bcVjtIdVa-UlsCw"", ""Interns!O:O""), 
   ""Not Found"")"),"")</f>
        <v/>
      </c>
      <c r="AN1454" s="23"/>
      <c r="AO1454" s="23" t="s">
        <v>14187</v>
      </c>
      <c r="AP1454" s="28" t="s">
        <v>5182</v>
      </c>
      <c r="AQ1454" s="28" t="s">
        <v>14188</v>
      </c>
      <c r="AR1454" s="23">
        <v>9.296710712E9</v>
      </c>
      <c r="AS1454" s="23"/>
      <c r="AT1454" s="23"/>
      <c r="AU1454" s="23"/>
      <c r="AV1454" s="23"/>
    </row>
    <row r="1455">
      <c r="A1455" s="28" t="s">
        <v>5161</v>
      </c>
      <c r="B1455" s="28" t="s">
        <v>5162</v>
      </c>
      <c r="C1455" s="23" t="str">
        <f t="shared" si="39"/>
        <v>Adriel Tavarez Tavarez</v>
      </c>
      <c r="D1455" s="28" t="s">
        <v>14189</v>
      </c>
      <c r="E1455" s="28" t="s">
        <v>7048</v>
      </c>
      <c r="F1455" s="23">
        <f t="array" ref="F1455">IFERROR(
    INDEX('Hub Interns 226'!A:A, MATCH(C1455, 'Hub Interns 226'!B:B, 0)),"")</f>
        <v>152</v>
      </c>
      <c r="G1455" s="23">
        <f t="array" ref="G1455">IFERROR(
    INDEX('Hub Users 226'!A:A, MATCH(C1455, 'Hub Users 226'!B:B, 0)),"")</f>
        <v>585</v>
      </c>
      <c r="H1455" s="28">
        <v>499.0</v>
      </c>
      <c r="I1455" s="28" t="s">
        <v>239</v>
      </c>
      <c r="J1455" s="28"/>
      <c r="K1455" s="28"/>
      <c r="L1455" s="28" t="s">
        <v>5165</v>
      </c>
      <c r="M1455" s="56" t="s">
        <v>14190</v>
      </c>
      <c r="N1455" s="57">
        <v>44475.65902777778</v>
      </c>
      <c r="O1455" s="58">
        <v>38959.0</v>
      </c>
      <c r="P1455" s="28">
        <f t="shared" si="41"/>
        <v>19</v>
      </c>
      <c r="Q1455" s="28" t="s">
        <v>240</v>
      </c>
      <c r="R1455" s="28" t="s">
        <v>14191</v>
      </c>
      <c r="S1455" s="28">
        <v>15.0</v>
      </c>
      <c r="T1455" s="28">
        <v>33.0</v>
      </c>
      <c r="U1455" s="28">
        <v>80.0</v>
      </c>
      <c r="V1455" s="28">
        <v>11.0</v>
      </c>
      <c r="W1455" s="28" t="s">
        <v>859</v>
      </c>
      <c r="X1455" s="28" t="s">
        <v>272</v>
      </c>
      <c r="Y1455" s="28" t="s">
        <v>7053</v>
      </c>
      <c r="Z1455" s="28" t="s">
        <v>5918</v>
      </c>
      <c r="AA1455" s="28" t="s">
        <v>477</v>
      </c>
      <c r="AB1455" s="28">
        <v>15.0</v>
      </c>
      <c r="AC1455" s="28" t="s">
        <v>25</v>
      </c>
      <c r="AD1455" s="23"/>
      <c r="AE1455" s="28" t="s">
        <v>10</v>
      </c>
      <c r="AF1455" s="23" t="str">
        <f>IFERROR(__xludf.DUMMYFUNCTION("TEXTJOIN("", "", TRUE,
  FILTER(Champions!C:C,
    ISNUMBER(SEARCH(C1455, Champions!W:W))
  )
)"),"Leif Castren, Loren Hernandez, Renata Lozano Giral")</f>
        <v>Leif Castren, Loren Hernandez, Renata Lozano Giral</v>
      </c>
      <c r="AG1455" s="23"/>
      <c r="AH1455" s="23" t="str">
        <f>IFERROR(__xludf.DUMMYFUNCTION("IF(
ISNUMBER(MATCH(
C1455,
IMPORTRANGE(""https://docs.google.com/spreadsheets/d/1yTh1ELC33JHYOeEdgIiEclxPRyh0zOKtlawDltfUay8"",""'Interns'!A:A""),
0
)),
""Outreach Conducted"",
"""")"),"")</f>
        <v/>
      </c>
      <c r="AI1455" s="23"/>
      <c r="AJ1455" s="23"/>
      <c r="AK1455" s="23" t="str">
        <f>IFERROR(__xludf.DUMMYFUNCTION("XLOOKUP(C1455, 
   IMPORTRANGE(""1RdEdgHYrZ33LJ7RUHj_h-qkAFL92bcVjtIdVa-UlsCw"", ""Interns!D:D""), 
   IMPORTRANGE(""1RdEdgHYrZ33LJ7RUHj_h-qkAFL92bcVjtIdVa-UlsCw"", ""Interns!M:M""), 
   ""Not Found"")"),"")</f>
        <v/>
      </c>
      <c r="AL1455" s="23" t="str">
        <f>IFERROR(__xludf.DUMMYFUNCTION("XLOOKUP(C1455, 
   IMPORTRANGE(""1RdEdgHYrZ33LJ7RUHj_h-qkAFL92bcVjtIdVa-UlsCw"", ""Interns!D:D""), 
   IMPORTRANGE(""1RdEdgHYrZ33LJ7RUHj_h-qkAFL92bcVjtIdVa-UlsCw"", ""Interns!N:N""), 
   ""Not Found"")"),"#SpeakingMyName")</f>
        <v>#SpeakingMyName</v>
      </c>
      <c r="AM1455" s="23" t="str">
        <f>IFERROR(__xludf.DUMMYFUNCTION("XLOOKUP(C1455, 
   IMPORTRANGE(""1RdEdgHYrZ33LJ7RUHj_h-qkAFL92bcVjtIdVa-UlsCw"", ""Interns!D:D""), 
   IMPORTRANGE(""1RdEdgHYrZ33LJ7RUHj_h-qkAFL92bcVjtIdVa-UlsCw"", ""Interns!O:O""), 
   ""Not Found"")"),"Alicia reached out by email on 5/15 for #SpeakingMyName")</f>
        <v>Alicia reached out by email on 5/15 for #SpeakingMyName</v>
      </c>
      <c r="AN1455" s="23"/>
      <c r="AO1455" s="23" t="s">
        <v>14192</v>
      </c>
      <c r="AP1455" s="28" t="s">
        <v>5182</v>
      </c>
      <c r="AQ1455" s="28" t="s">
        <v>14190</v>
      </c>
      <c r="AR1455" s="23" t="s">
        <v>7053</v>
      </c>
      <c r="AS1455" s="23"/>
      <c r="AT1455" s="23"/>
      <c r="AU1455" s="23"/>
      <c r="AV1455" s="23"/>
    </row>
    <row r="1456">
      <c r="A1456" s="28" t="s">
        <v>5202</v>
      </c>
      <c r="B1456" s="28" t="s">
        <v>5162</v>
      </c>
      <c r="C1456" s="23" t="str">
        <f t="shared" si="39"/>
        <v>Claudia Herazo</v>
      </c>
      <c r="D1456" s="28" t="s">
        <v>968</v>
      </c>
      <c r="E1456" s="28" t="s">
        <v>14193</v>
      </c>
      <c r="F1456" s="23">
        <f t="array" ref="F1456">IFERROR(
    INDEX('Hub Interns 226'!A:A, MATCH(C1456, 'Hub Interns 226'!B:B, 0)),"")</f>
        <v>351</v>
      </c>
      <c r="G1456" s="23">
        <f t="array" ref="G1456">IFERROR(
    INDEX('Hub Users 226'!A:A, MATCH(C1456, 'Hub Users 226'!B:B, 0)),"")</f>
        <v>784</v>
      </c>
      <c r="H1456" s="28">
        <v>1472.0</v>
      </c>
      <c r="I1456" s="28" t="s">
        <v>107</v>
      </c>
      <c r="J1456" s="28" t="s">
        <v>6002</v>
      </c>
      <c r="K1456" s="28" t="s">
        <v>5463</v>
      </c>
      <c r="L1456" s="28" t="s">
        <v>5196</v>
      </c>
      <c r="M1456" s="56" t="s">
        <v>14194</v>
      </c>
      <c r="N1456" s="57">
        <v>44939.49930555555</v>
      </c>
      <c r="O1456" s="58">
        <v>39377.0</v>
      </c>
      <c r="P1456" s="28">
        <f t="shared" si="41"/>
        <v>18</v>
      </c>
      <c r="Q1456" s="28" t="s">
        <v>14195</v>
      </c>
      <c r="R1456" s="28" t="s">
        <v>14196</v>
      </c>
      <c r="S1456" s="28">
        <v>16.0</v>
      </c>
      <c r="T1456" s="28">
        <v>36.0</v>
      </c>
      <c r="U1456" s="28">
        <v>83.0</v>
      </c>
      <c r="V1456" s="28">
        <v>11.0</v>
      </c>
      <c r="W1456" s="28" t="s">
        <v>859</v>
      </c>
      <c r="X1456" s="28" t="s">
        <v>272</v>
      </c>
      <c r="Y1456" s="23"/>
      <c r="Z1456" s="28" t="s">
        <v>5918</v>
      </c>
      <c r="AA1456" s="28" t="s">
        <v>477</v>
      </c>
      <c r="AB1456" s="28">
        <v>15.0</v>
      </c>
      <c r="AC1456" s="28" t="s">
        <v>25</v>
      </c>
      <c r="AD1456" s="23"/>
      <c r="AE1456" s="28" t="s">
        <v>15</v>
      </c>
      <c r="AF1456" s="23" t="str">
        <f>IFERROR(__xludf.DUMMYFUNCTION("TEXTJOIN("", "", TRUE,
  FILTER(Champions!C:C,
    ISNUMBER(SEARCH(C1456, Champions!W:W))
  )
)"),"Addy Michelle Jimenez Haga, Bhavna Mohan Agnihotri")</f>
        <v>Addy Michelle Jimenez Haga, Bhavna Mohan Agnihotri</v>
      </c>
      <c r="AG1456" s="23"/>
      <c r="AH1456" s="23" t="str">
        <f>IFERROR(__xludf.DUMMYFUNCTION("IF(
ISNUMBER(MATCH(
C1456,
IMPORTRANGE(""https://docs.google.com/spreadsheets/d/1yTh1ELC33JHYOeEdgIiEclxPRyh0zOKtlawDltfUay8"",""'Interns'!A:A""),
0
)),
""Outreach Conducted"",
"""")"),"")</f>
        <v/>
      </c>
      <c r="AI1456" s="23"/>
      <c r="AJ1456" s="23"/>
      <c r="AK1456" s="23" t="str">
        <f>IFERROR(__xludf.DUMMYFUNCTION("XLOOKUP(C1456, 
   IMPORTRANGE(""1RdEdgHYrZ33LJ7RUHj_h-qkAFL92bcVjtIdVa-UlsCw"", ""Interns!D:D""), 
   IMPORTRANGE(""1RdEdgHYrZ33LJ7RUHj_h-qkAFL92bcVjtIdVa-UlsCw"", ""Interns!M:M""), 
   ""Not Found"")"),"")</f>
        <v/>
      </c>
      <c r="AL1456" s="23" t="str">
        <f>IFERROR(__xludf.DUMMYFUNCTION("XLOOKUP(C1456, 
   IMPORTRANGE(""1RdEdgHYrZ33LJ7RUHj_h-qkAFL92bcVjtIdVa-UlsCw"", ""Interns!D:D""), 
   IMPORTRANGE(""1RdEdgHYrZ33LJ7RUHj_h-qkAFL92bcVjtIdVa-UlsCw"", ""Interns!N:N""), 
   ""Not Found"")"),"")</f>
        <v/>
      </c>
      <c r="AM1456" s="23" t="str">
        <f>IFERROR(__xludf.DUMMYFUNCTION("XLOOKUP(C1456, 
   IMPORTRANGE(""1RdEdgHYrZ33LJ7RUHj_h-qkAFL92bcVjtIdVa-UlsCw"", ""Interns!D:D""), 
   IMPORTRANGE(""1RdEdgHYrZ33LJ7RUHj_h-qkAFL92bcVjtIdVa-UlsCw"", ""Interns!O:O""), 
   ""Not Found"")"),"")</f>
        <v/>
      </c>
      <c r="AN1456" s="23"/>
      <c r="AO1456" s="23" t="s">
        <v>14197</v>
      </c>
      <c r="AP1456" s="28" t="s">
        <v>5182</v>
      </c>
      <c r="AQ1456" s="28" t="s">
        <v>14198</v>
      </c>
      <c r="AR1456" s="23" t="s">
        <v>14199</v>
      </c>
      <c r="AS1456" s="23"/>
      <c r="AT1456" s="23"/>
      <c r="AU1456" s="23"/>
      <c r="AV1456" s="23"/>
    </row>
    <row r="1457">
      <c r="A1457" s="28" t="s">
        <v>5161</v>
      </c>
      <c r="B1457" s="28" t="s">
        <v>5162</v>
      </c>
      <c r="C1457" s="23" t="str">
        <f t="shared" si="39"/>
        <v>Shabiha Rahman</v>
      </c>
      <c r="D1457" s="28" t="s">
        <v>14200</v>
      </c>
      <c r="E1457" s="28" t="s">
        <v>5653</v>
      </c>
      <c r="F1457" s="23">
        <f t="array" ref="F1457">IFERROR(
    INDEX('Hub Interns 226'!A:A, MATCH(C1457, 'Hub Interns 226'!B:B, 0)),"")</f>
        <v>1092</v>
      </c>
      <c r="G1457" s="23">
        <f t="array" ref="G1457">IFERROR(
    INDEX('Hub Users 226'!A:A, MATCH(C1457, 'Hub Users 226'!B:B, 0)),"")</f>
        <v>1525</v>
      </c>
      <c r="H1457" s="28">
        <v>226.0</v>
      </c>
      <c r="I1457" s="28" t="s">
        <v>260</v>
      </c>
      <c r="J1457" s="28"/>
      <c r="K1457" s="28" t="s">
        <v>5245</v>
      </c>
      <c r="L1457" s="28" t="s">
        <v>5196</v>
      </c>
      <c r="M1457" s="56" t="s">
        <v>14201</v>
      </c>
      <c r="N1457" s="59">
        <v>44117.54236111111</v>
      </c>
      <c r="O1457" s="58">
        <v>38456.0</v>
      </c>
      <c r="P1457" s="28">
        <f t="shared" si="41"/>
        <v>21</v>
      </c>
      <c r="Q1457" s="28" t="s">
        <v>14202</v>
      </c>
      <c r="R1457" s="28" t="s">
        <v>14203</v>
      </c>
      <c r="S1457" s="28">
        <v>15.0</v>
      </c>
      <c r="T1457" s="28">
        <v>33.0</v>
      </c>
      <c r="U1457" s="28">
        <v>80.0</v>
      </c>
      <c r="V1457" s="28">
        <v>11.0</v>
      </c>
      <c r="W1457" s="28" t="s">
        <v>859</v>
      </c>
      <c r="X1457" s="28" t="s">
        <v>272</v>
      </c>
      <c r="Y1457" s="28" t="s">
        <v>14204</v>
      </c>
      <c r="Z1457" s="28" t="s">
        <v>5435</v>
      </c>
      <c r="AA1457" s="28" t="s">
        <v>5436</v>
      </c>
      <c r="AB1457" s="28">
        <v>10.0</v>
      </c>
      <c r="AC1457" s="28" t="s">
        <v>25</v>
      </c>
      <c r="AD1457" s="23"/>
      <c r="AE1457" s="28" t="s">
        <v>8</v>
      </c>
      <c r="AF1457" s="23" t="str">
        <f>IFERROR(__xludf.DUMMYFUNCTION("TEXTJOIN("", "", TRUE,
  FILTER(Champions!C:C,
    ISNUMBER(SEARCH(C1457, Champions!W:W))
  )
)"),"Amelia Geary, Divya Padgaonkar, Susan Philipose")</f>
        <v>Amelia Geary, Divya Padgaonkar, Susan Philipose</v>
      </c>
      <c r="AG1457" s="23"/>
      <c r="AH1457" s="23" t="str">
        <f>IFERROR(__xludf.DUMMYFUNCTION("IF(
ISNUMBER(MATCH(
C1457,
IMPORTRANGE(""https://docs.google.com/spreadsheets/d/1yTh1ELC33JHYOeEdgIiEclxPRyh0zOKtlawDltfUay8"",""'Interns'!A:A""),
0
)),
""Outreach Conducted"",
"""")"),"")</f>
        <v/>
      </c>
      <c r="AI1457" s="23"/>
      <c r="AJ1457" s="23"/>
      <c r="AK1457" s="23" t="str">
        <f>IFERROR(__xludf.DUMMYFUNCTION("XLOOKUP(C1457, 
   IMPORTRANGE(""1RdEdgHYrZ33LJ7RUHj_h-qkAFL92bcVjtIdVa-UlsCw"", ""Interns!D:D""), 
   IMPORTRANGE(""1RdEdgHYrZ33LJ7RUHj_h-qkAFL92bcVjtIdVa-UlsCw"", ""Interns!M:M""), 
   ""Not Found"")"),"Contacted")</f>
        <v>Contacted</v>
      </c>
      <c r="AL1457" s="23" t="str">
        <f>IFERROR(__xludf.DUMMYFUNCTION("XLOOKUP(C1457, 
   IMPORTRANGE(""1RdEdgHYrZ33LJ7RUHj_h-qkAFL92bcVjtIdVa-UlsCw"", ""Interns!D:D""), 
   IMPORTRANGE(""1RdEdgHYrZ33LJ7RUHj_h-qkAFL92bcVjtIdVa-UlsCw"", ""Interns!N:N""), 
   ""Not Found"")"),"#Cheers4Careers")</f>
        <v>#Cheers4Careers</v>
      </c>
      <c r="AM1457" s="23" t="str">
        <f>IFERROR(__xludf.DUMMYFUNCTION("XLOOKUP(C1457, 
   IMPORTRANGE(""1RdEdgHYrZ33LJ7RUHj_h-qkAFL92bcVjtIdVa-UlsCw"", ""Interns!D:D""), 
   IMPORTRANGE(""1RdEdgHYrZ33LJ7RUHj_h-qkAFL92bcVjtIdVa-UlsCw"", ""Interns!O:O""), 
   ""Not Found"")"),"Hetal reached out by email 3/27")</f>
        <v>Hetal reached out by email 3/27</v>
      </c>
      <c r="AN1457" s="23"/>
      <c r="AO1457" s="23" t="s">
        <v>14205</v>
      </c>
      <c r="AP1457" s="28" t="s">
        <v>5240</v>
      </c>
      <c r="AQ1457" s="28" t="s">
        <v>5685</v>
      </c>
      <c r="AR1457" s="23">
        <v>3.473237059E9</v>
      </c>
      <c r="AS1457" s="23"/>
      <c r="AT1457" s="23"/>
      <c r="AU1457" s="23"/>
      <c r="AV1457" s="23"/>
    </row>
    <row r="1458">
      <c r="A1458" s="28" t="s">
        <v>5161</v>
      </c>
      <c r="B1458" s="28" t="s">
        <v>5162</v>
      </c>
      <c r="C1458" s="23" t="str">
        <f t="shared" si="39"/>
        <v>Adriana Flores</v>
      </c>
      <c r="D1458" s="28" t="s">
        <v>14206</v>
      </c>
      <c r="E1458" s="28" t="s">
        <v>3101</v>
      </c>
      <c r="F1458" s="23">
        <f t="array" ref="F1458">IFERROR(
    INDEX('Hub Interns 226'!A:A, MATCH(C1458, 'Hub Interns 226'!B:B, 0)),"")</f>
        <v>151</v>
      </c>
      <c r="G1458" s="23">
        <f t="array" ref="G1458">IFERROR(
    INDEX('Hub Users 226'!A:A, MATCH(C1458, 'Hub Users 226'!B:B, 0)),"")</f>
        <v>584</v>
      </c>
      <c r="H1458" s="28">
        <v>1513.0</v>
      </c>
      <c r="I1458" s="28"/>
      <c r="J1458" s="28"/>
      <c r="K1458" s="28"/>
      <c r="L1458" s="28" t="s">
        <v>5196</v>
      </c>
      <c r="M1458" s="56" t="s">
        <v>14207</v>
      </c>
      <c r="N1458" s="57">
        <v>44953.36736111111</v>
      </c>
      <c r="O1458" s="58">
        <v>39878.0</v>
      </c>
      <c r="P1458" s="28">
        <f t="shared" si="41"/>
        <v>17</v>
      </c>
      <c r="Q1458" s="28" t="s">
        <v>240</v>
      </c>
      <c r="R1458" s="28" t="s">
        <v>14208</v>
      </c>
      <c r="S1458" s="28">
        <v>14.0</v>
      </c>
      <c r="T1458" s="28">
        <v>13.0</v>
      </c>
      <c r="U1458" s="28">
        <v>35.0</v>
      </c>
      <c r="V1458" s="28">
        <v>21.0</v>
      </c>
      <c r="W1458" s="28" t="s">
        <v>1173</v>
      </c>
      <c r="X1458" s="28" t="s">
        <v>272</v>
      </c>
      <c r="Y1458" s="28" t="s">
        <v>14209</v>
      </c>
      <c r="Z1458" s="28" t="s">
        <v>5403</v>
      </c>
      <c r="AA1458" s="28" t="s">
        <v>5404</v>
      </c>
      <c r="AB1458" s="28">
        <v>21.0</v>
      </c>
      <c r="AC1458" s="28" t="s">
        <v>23</v>
      </c>
      <c r="AD1458" s="23"/>
      <c r="AE1458" s="28" t="s">
        <v>15</v>
      </c>
      <c r="AF1458" s="23"/>
      <c r="AG1458" s="23"/>
      <c r="AH1458" s="23" t="str">
        <f>IFERROR(__xludf.DUMMYFUNCTION("IF(
ISNUMBER(MATCH(
C1458,
IMPORTRANGE(""https://docs.google.com/spreadsheets/d/1yTh1ELC33JHYOeEdgIiEclxPRyh0zOKtlawDltfUay8"",""'Interns'!A:A""),
0
)),
""Outreach Conducted"",
"""")"),"")</f>
        <v/>
      </c>
      <c r="AI1458" s="23"/>
      <c r="AJ1458" s="23"/>
      <c r="AK1458" s="23" t="str">
        <f>IFERROR(__xludf.DUMMYFUNCTION("XLOOKUP(C1458, 
   IMPORTRANGE(""1RdEdgHYrZ33LJ7RUHj_h-qkAFL92bcVjtIdVa-UlsCw"", ""Interns!D:D""), 
   IMPORTRANGE(""1RdEdgHYrZ33LJ7RUHj_h-qkAFL92bcVjtIdVa-UlsCw"", ""Interns!M:M""), 
   ""Not Found"")"),"Contacted")</f>
        <v>Contacted</v>
      </c>
      <c r="AL1458" s="23" t="str">
        <f>IFERROR(__xludf.DUMMYFUNCTION("XLOOKUP(C1458, 
   IMPORTRANGE(""1RdEdgHYrZ33LJ7RUHj_h-qkAFL92bcVjtIdVa-UlsCw"", ""Interns!D:D""), 
   IMPORTRANGE(""1RdEdgHYrZ33LJ7RUHj_h-qkAFL92bcVjtIdVa-UlsCw"", ""Interns!N:N""), 
   ""Not Found"")"),"#Cheers4Careers")</f>
        <v>#Cheers4Careers</v>
      </c>
      <c r="AM1458" s="23" t="str">
        <f>IFERROR(__xludf.DUMMYFUNCTION("XLOOKUP(C1458, 
   IMPORTRANGE(""1RdEdgHYrZ33LJ7RUHj_h-qkAFL92bcVjtIdVa-UlsCw"", ""Interns!D:D""), 
   IMPORTRANGE(""1RdEdgHYrZ33LJ7RUHj_h-qkAFL92bcVjtIdVa-UlsCw"", ""Interns!O:O""), 
   ""Not Found"")"),"Reached out by text 3/26-3/28 followed up by email 3/27 by Jackie")</f>
        <v>Reached out by text 3/26-3/28 followed up by email 3/27 by Jackie</v>
      </c>
      <c r="AN1458" s="23"/>
      <c r="AO1458" s="23" t="s">
        <v>14210</v>
      </c>
      <c r="AP1458" s="28" t="s">
        <v>5191</v>
      </c>
      <c r="AQ1458" s="28"/>
      <c r="AR1458" s="23"/>
      <c r="AS1458" s="23"/>
      <c r="AT1458" s="23"/>
      <c r="AU1458" s="23"/>
      <c r="AV1458" s="23"/>
    </row>
    <row r="1459">
      <c r="A1459" s="28" t="s">
        <v>5161</v>
      </c>
      <c r="B1459" s="28" t="s">
        <v>5162</v>
      </c>
      <c r="C1459" s="23" t="str">
        <f t="shared" si="39"/>
        <v>Elisa Och</v>
      </c>
      <c r="D1459" s="28" t="s">
        <v>10885</v>
      </c>
      <c r="E1459" s="28" t="s">
        <v>10886</v>
      </c>
      <c r="F1459" s="23">
        <f t="array" ref="F1459">IFERROR(
    INDEX('Hub Interns 226'!A:A, MATCH(C1459, 'Hub Interns 226'!B:B, 0)),"")</f>
        <v>481</v>
      </c>
      <c r="G1459" s="23">
        <f t="array" ref="G1459">IFERROR(
    INDEX('Hub Users 226'!A:A, MATCH(C1459, 'Hub Users 226'!B:B, 0)),"")</f>
        <v>914</v>
      </c>
      <c r="H1459" s="28">
        <v>1038.0</v>
      </c>
      <c r="I1459" s="28"/>
      <c r="J1459" s="28"/>
      <c r="K1459" s="28"/>
      <c r="L1459" s="28" t="s">
        <v>5196</v>
      </c>
      <c r="M1459" s="56" t="s">
        <v>10887</v>
      </c>
      <c r="N1459" s="57">
        <v>44683.70763888889</v>
      </c>
      <c r="O1459" s="58">
        <v>44577.0</v>
      </c>
      <c r="P1459" s="28">
        <f t="shared" si="41"/>
        <v>4</v>
      </c>
      <c r="Q1459" s="28" t="s">
        <v>10888</v>
      </c>
      <c r="R1459" s="28" t="s">
        <v>10889</v>
      </c>
      <c r="S1459" s="28">
        <v>14.0</v>
      </c>
      <c r="T1459" s="28">
        <v>13.0</v>
      </c>
      <c r="U1459" s="28">
        <v>35.0</v>
      </c>
      <c r="V1459" s="28">
        <v>21.0</v>
      </c>
      <c r="W1459" s="28" t="s">
        <v>1173</v>
      </c>
      <c r="X1459" s="28" t="s">
        <v>272</v>
      </c>
      <c r="Y1459" s="28" t="s">
        <v>10890</v>
      </c>
      <c r="Z1459" s="28" t="s">
        <v>5403</v>
      </c>
      <c r="AA1459" s="28" t="s">
        <v>5404</v>
      </c>
      <c r="AB1459" s="28">
        <v>21.0</v>
      </c>
      <c r="AC1459" s="28" t="s">
        <v>23</v>
      </c>
      <c r="AD1459" s="23"/>
      <c r="AE1459" s="28" t="s">
        <v>15</v>
      </c>
      <c r="AF1459" s="23"/>
      <c r="AG1459" s="23"/>
      <c r="AH1459" s="23" t="str">
        <f>IFERROR(__xludf.DUMMYFUNCTION("IF(
ISNUMBER(MATCH(
C1459,
IMPORTRANGE(""https://docs.google.com/spreadsheets/d/1yTh1ELC33JHYOeEdgIiEclxPRyh0zOKtlawDltfUay8"",""'Interns'!A:A""),
0
)),
""Outreach Conducted"",
"""")"),"")</f>
        <v/>
      </c>
      <c r="AI1459" s="23"/>
      <c r="AJ1459" s="23"/>
      <c r="AK1459" s="23" t="str">
        <f>IFERROR(__xludf.DUMMYFUNCTION("XLOOKUP(C1459, 
   IMPORTRANGE(""1RdEdgHYrZ33LJ7RUHj_h-qkAFL92bcVjtIdVa-UlsCw"", ""Interns!D:D""), 
   IMPORTRANGE(""1RdEdgHYrZ33LJ7RUHj_h-qkAFL92bcVjtIdVa-UlsCw"", ""Interns!M:M""), 
   ""Not Found"")"),"RSVP'd")</f>
        <v>RSVP'd</v>
      </c>
      <c r="AL1459" s="23" t="str">
        <f>IFERROR(__xludf.DUMMYFUNCTION("XLOOKUP(C1459, 
   IMPORTRANGE(""1RdEdgHYrZ33LJ7RUHj_h-qkAFL92bcVjtIdVa-UlsCw"", ""Interns!D:D""), 
   IMPORTRANGE(""1RdEdgHYrZ33LJ7RUHj_h-qkAFL92bcVjtIdVa-UlsCw"", ""Interns!N:N""), 
   ""Not Found"")"),"#Cheers4Careers")</f>
        <v>#Cheers4Careers</v>
      </c>
      <c r="AM1459" s="23" t="str">
        <f>IFERROR(__xludf.DUMMYFUNCTION("XLOOKUP(C1459, 
   IMPORTRANGE(""1RdEdgHYrZ33LJ7RUHj_h-qkAFL92bcVjtIdVa-UlsCw"", ""Interns!D:D""), 
   IMPORTRANGE(""1RdEdgHYrZ33LJ7RUHj_h-qkAFL92bcVjtIdVa-UlsCw"", ""Interns!O:O""), 
   ""Not Found"")"),"Reached out by text 3/27-3/28, 3/28: filled out the form 
Reached out via text 04/10 by Jackie: Registered")</f>
        <v>Reached out by text 3/27-3/28, 3/28: filled out the form 
Reached out via text 04/10 by Jackie: Registered</v>
      </c>
      <c r="AN1459" s="23"/>
      <c r="AO1459" s="23" t="s">
        <v>10891</v>
      </c>
      <c r="AP1459" s="28" t="s">
        <v>5173</v>
      </c>
      <c r="AQ1459" s="28"/>
      <c r="AR1459" s="23"/>
      <c r="AS1459" s="23"/>
      <c r="AT1459" s="23"/>
      <c r="AU1459" s="23"/>
      <c r="AV1459" s="23"/>
    </row>
    <row r="1460">
      <c r="A1460" s="28" t="s">
        <v>5161</v>
      </c>
      <c r="B1460" s="28" t="s">
        <v>5162</v>
      </c>
      <c r="C1460" s="23" t="str">
        <f t="shared" si="39"/>
        <v>Gaetty Martinez</v>
      </c>
      <c r="D1460" s="28" t="s">
        <v>14211</v>
      </c>
      <c r="E1460" s="28" t="s">
        <v>2010</v>
      </c>
      <c r="F1460" s="23">
        <f t="array" ref="F1460">IFERROR(
    INDEX('Hub Interns 226'!A:A, MATCH(C1460, 'Hub Interns 226'!B:B, 0)),"")</f>
        <v>536</v>
      </c>
      <c r="G1460" s="23">
        <f t="array" ref="G1460">IFERROR(
    INDEX('Hub Users 226'!A:A, MATCH(C1460, 'Hub Users 226'!B:B, 0)),"")</f>
        <v>969</v>
      </c>
      <c r="H1460" s="28">
        <v>408.0</v>
      </c>
      <c r="I1460" s="28" t="s">
        <v>302</v>
      </c>
      <c r="J1460" s="28"/>
      <c r="K1460" s="28"/>
      <c r="L1460" s="28" t="s">
        <v>5165</v>
      </c>
      <c r="M1460" s="56" t="s">
        <v>14212</v>
      </c>
      <c r="N1460" s="57">
        <v>44301.475694444445</v>
      </c>
      <c r="O1460" s="58">
        <v>37945.0</v>
      </c>
      <c r="P1460" s="28">
        <f t="shared" si="41"/>
        <v>22</v>
      </c>
      <c r="Q1460" s="28" t="s">
        <v>240</v>
      </c>
      <c r="R1460" s="28" t="s">
        <v>14213</v>
      </c>
      <c r="S1460" s="28">
        <v>15.0</v>
      </c>
      <c r="T1460" s="28">
        <v>32.0</v>
      </c>
      <c r="U1460" s="28">
        <v>86.0</v>
      </c>
      <c r="V1460" s="28">
        <v>15.0</v>
      </c>
      <c r="W1460" s="28" t="s">
        <v>859</v>
      </c>
      <c r="X1460" s="28" t="s">
        <v>272</v>
      </c>
      <c r="Y1460" s="28" t="s">
        <v>14214</v>
      </c>
      <c r="Z1460" s="28" t="s">
        <v>5558</v>
      </c>
      <c r="AA1460" s="28" t="s">
        <v>5559</v>
      </c>
      <c r="AB1460" s="28">
        <v>10.0</v>
      </c>
      <c r="AC1460" s="28" t="s">
        <v>24</v>
      </c>
      <c r="AD1460" s="23"/>
      <c r="AE1460" s="28" t="s">
        <v>8</v>
      </c>
      <c r="AF1460" s="23"/>
      <c r="AG1460" s="23"/>
      <c r="AH1460" s="23" t="str">
        <f>IFERROR(__xludf.DUMMYFUNCTION("IF(
ISNUMBER(MATCH(
C1460,
IMPORTRANGE(""https://docs.google.com/spreadsheets/d/1yTh1ELC33JHYOeEdgIiEclxPRyh0zOKtlawDltfUay8"",""'Interns'!A:A""),
0
)),
""Outreach Conducted"",
"""")"),"")</f>
        <v/>
      </c>
      <c r="AI1460" s="23"/>
      <c r="AJ1460" s="23"/>
      <c r="AK1460" s="23" t="str">
        <f>IFERROR(__xludf.DUMMYFUNCTION("XLOOKUP(C1460, 
   IMPORTRANGE(""1RdEdgHYrZ33LJ7RUHj_h-qkAFL92bcVjtIdVa-UlsCw"", ""Interns!D:D""), 
   IMPORTRANGE(""1RdEdgHYrZ33LJ7RUHj_h-qkAFL92bcVjtIdVa-UlsCw"", ""Interns!M:M""), 
   ""Not Found"")"),"Contacted")</f>
        <v>Contacted</v>
      </c>
      <c r="AL1460" s="23" t="str">
        <f>IFERROR(__xludf.DUMMYFUNCTION("XLOOKUP(C1460, 
   IMPORTRANGE(""1RdEdgHYrZ33LJ7RUHj_h-qkAFL92bcVjtIdVa-UlsCw"", ""Interns!D:D""), 
   IMPORTRANGE(""1RdEdgHYrZ33LJ7RUHj_h-qkAFL92bcVjtIdVa-UlsCw"", ""Interns!N:N""), 
   ""Not Found"")"),"#Cheers4Careers")</f>
        <v>#Cheers4Careers</v>
      </c>
      <c r="AM1460" s="23" t="str">
        <f>IFERROR(__xludf.DUMMYFUNCTION("XLOOKUP(C1460, 
   IMPORTRANGE(""1RdEdgHYrZ33LJ7RUHj_h-qkAFL92bcVjtIdVa-UlsCw"", ""Interns!D:D""), 
   IMPORTRANGE(""1RdEdgHYrZ33LJ7RUHj_h-qkAFL92bcVjtIdVa-UlsCw"", ""Interns!O:O""), 
   ""Not Found"")"),"Hetal reached out by email 3/27")</f>
        <v>Hetal reached out by email 3/27</v>
      </c>
      <c r="AN1460" s="23"/>
      <c r="AO1460" s="23" t="s">
        <v>14215</v>
      </c>
      <c r="AP1460" s="28" t="s">
        <v>5191</v>
      </c>
      <c r="AQ1460" s="28"/>
      <c r="AR1460" s="23"/>
      <c r="AS1460" s="23"/>
      <c r="AT1460" s="23"/>
      <c r="AU1460" s="23"/>
      <c r="AV1460" s="23"/>
    </row>
    <row r="1461">
      <c r="A1461" s="28" t="s">
        <v>5161</v>
      </c>
      <c r="B1461" s="28" t="s">
        <v>5162</v>
      </c>
      <c r="C1461" s="23" t="str">
        <f t="shared" si="39"/>
        <v>David Mendez</v>
      </c>
      <c r="D1461" s="28" t="s">
        <v>1068</v>
      </c>
      <c r="E1461" s="28" t="s">
        <v>969</v>
      </c>
      <c r="F1461" s="23">
        <f t="array" ref="F1461">IFERROR(
    INDEX('Hub Interns 226'!A:A, MATCH(C1461, 'Hub Interns 226'!B:B, 0)),"")</f>
        <v>420</v>
      </c>
      <c r="G1461" s="23">
        <f t="array" ref="G1461">IFERROR(
    INDEX('Hub Users 226'!A:A, MATCH(C1461, 'Hub Users 226'!B:B, 0)),"")</f>
        <v>853</v>
      </c>
      <c r="H1461" s="28">
        <v>1323.0</v>
      </c>
      <c r="I1461" s="28" t="s">
        <v>407</v>
      </c>
      <c r="J1461" s="28"/>
      <c r="K1461" s="28"/>
      <c r="L1461" s="28" t="s">
        <v>5165</v>
      </c>
      <c r="M1461" s="56" t="s">
        <v>14216</v>
      </c>
      <c r="N1461" s="59">
        <v>44851.70138888889</v>
      </c>
      <c r="O1461" s="58">
        <v>40385.0</v>
      </c>
      <c r="P1461" s="28">
        <f t="shared" si="41"/>
        <v>15</v>
      </c>
      <c r="Q1461" s="28" t="s">
        <v>14217</v>
      </c>
      <c r="R1461" s="28" t="s">
        <v>14218</v>
      </c>
      <c r="S1461" s="28">
        <v>14.0</v>
      </c>
      <c r="T1461" s="28">
        <v>13.0</v>
      </c>
      <c r="U1461" s="28">
        <v>35.0</v>
      </c>
      <c r="V1461" s="28">
        <v>21.0</v>
      </c>
      <c r="W1461" s="28" t="s">
        <v>1173</v>
      </c>
      <c r="X1461" s="28" t="s">
        <v>272</v>
      </c>
      <c r="Y1461" s="28" t="s">
        <v>14219</v>
      </c>
      <c r="Z1461" s="28" t="s">
        <v>5403</v>
      </c>
      <c r="AA1461" s="28" t="s">
        <v>5404</v>
      </c>
      <c r="AB1461" s="28">
        <v>21.0</v>
      </c>
      <c r="AC1461" s="28" t="s">
        <v>23</v>
      </c>
      <c r="AD1461" s="28" t="s">
        <v>101</v>
      </c>
      <c r="AE1461" s="28" t="s">
        <v>15</v>
      </c>
      <c r="AF1461" s="23"/>
      <c r="AG1461" s="23"/>
      <c r="AH1461" s="23" t="str">
        <f>IFERROR(__xludf.DUMMYFUNCTION("IF(
ISNUMBER(MATCH(
C1461,
IMPORTRANGE(""https://docs.google.com/spreadsheets/d/1yTh1ELC33JHYOeEdgIiEclxPRyh0zOKtlawDltfUay8"",""'Interns'!A:A""),
0
)),
""Outreach Conducted"",
"""")"),"")</f>
        <v/>
      </c>
      <c r="AI1461" s="23"/>
      <c r="AJ1461" s="23"/>
      <c r="AK1461" s="23" t="str">
        <f>IFERROR(__xludf.DUMMYFUNCTION("XLOOKUP(C1461, 
   IMPORTRANGE(""1RdEdgHYrZ33LJ7RUHj_h-qkAFL92bcVjtIdVa-UlsCw"", ""Interns!D:D""), 
   IMPORTRANGE(""1RdEdgHYrZ33LJ7RUHj_h-qkAFL92bcVjtIdVa-UlsCw"", ""Interns!M:M""), 
   ""Not Found"")"),"Contacted")</f>
        <v>Contacted</v>
      </c>
      <c r="AL1461" s="23" t="str">
        <f>IFERROR(__xludf.DUMMYFUNCTION("XLOOKUP(C1461, 
   IMPORTRANGE(""1RdEdgHYrZ33LJ7RUHj_h-qkAFL92bcVjtIdVa-UlsCw"", ""Interns!D:D""), 
   IMPORTRANGE(""1RdEdgHYrZ33LJ7RUHj_h-qkAFL92bcVjtIdVa-UlsCw"", ""Interns!N:N""), 
   ""Not Found"")"),"#Cheers4Careers")</f>
        <v>#Cheers4Careers</v>
      </c>
      <c r="AM1461" s="23" t="str">
        <f>IFERROR(__xludf.DUMMYFUNCTION("XLOOKUP(C1461, 
   IMPORTRANGE(""1RdEdgHYrZ33LJ7RUHj_h-qkAFL92bcVjtIdVa-UlsCw"", ""Interns!D:D""), 
   IMPORTRANGE(""1RdEdgHYrZ33LJ7RUHj_h-qkAFL92bcVjtIdVa-UlsCw"", ""Interns!O:O""), 
   ""Not Found"")"),"Reached out by text followed up by email and Hetal reached out by whatsapp on 3/28
Hetal reached out on 4/10 by whatsapp for April 18th #Cheers4Careers")</f>
        <v>Reached out by text followed up by email and Hetal reached out by whatsapp on 3/28
Hetal reached out on 4/10 by whatsapp for April 18th #Cheers4Careers</v>
      </c>
      <c r="AN1461" s="23"/>
      <c r="AO1461" s="23" t="s">
        <v>14220</v>
      </c>
      <c r="AP1461" s="28" t="s">
        <v>5191</v>
      </c>
      <c r="AQ1461" s="28"/>
      <c r="AR1461" s="23"/>
      <c r="AS1461" s="23"/>
      <c r="AT1461" s="23"/>
      <c r="AU1461" s="23"/>
      <c r="AV1461" s="23"/>
    </row>
    <row r="1462">
      <c r="A1462" s="28" t="s">
        <v>5161</v>
      </c>
      <c r="B1462" s="28" t="s">
        <v>5162</v>
      </c>
      <c r="C1462" s="23" t="str">
        <f t="shared" si="39"/>
        <v>Uvegeni Flores</v>
      </c>
      <c r="D1462" s="28" t="s">
        <v>14221</v>
      </c>
      <c r="E1462" s="28" t="s">
        <v>3101</v>
      </c>
      <c r="F1462" s="23">
        <f t="array" ref="F1462">IFERROR(
    INDEX('Hub Interns 226'!A:A, MATCH(C1462, 'Hub Interns 226'!B:B, 0)),"")</f>
        <v>616</v>
      </c>
      <c r="G1462" s="23">
        <f t="array" ref="G1462">IFERROR(
    INDEX('Hub Users 226'!A:A, MATCH(C1462, 'Hub Users 226'!B:B, 0)),"")</f>
        <v>1049</v>
      </c>
      <c r="H1462" s="28">
        <v>1057.0</v>
      </c>
      <c r="I1462" s="28" t="s">
        <v>407</v>
      </c>
      <c r="J1462" s="28"/>
      <c r="K1462" s="28"/>
      <c r="L1462" s="28" t="s">
        <v>5165</v>
      </c>
      <c r="M1462" s="56" t="s">
        <v>14222</v>
      </c>
      <c r="N1462" s="57">
        <v>44690.50486111111</v>
      </c>
      <c r="O1462" s="58">
        <v>39554.0</v>
      </c>
      <c r="P1462" s="28">
        <f t="shared" si="41"/>
        <v>18</v>
      </c>
      <c r="Q1462" s="28" t="s">
        <v>240</v>
      </c>
      <c r="R1462" s="28" t="s">
        <v>14223</v>
      </c>
      <c r="S1462" s="28">
        <v>14.0</v>
      </c>
      <c r="T1462" s="28">
        <v>13.0</v>
      </c>
      <c r="U1462" s="28">
        <v>35.0</v>
      </c>
      <c r="V1462" s="28">
        <v>21.0</v>
      </c>
      <c r="W1462" s="28" t="s">
        <v>1173</v>
      </c>
      <c r="X1462" s="28" t="s">
        <v>272</v>
      </c>
      <c r="Y1462" s="28" t="s">
        <v>14224</v>
      </c>
      <c r="Z1462" s="28" t="s">
        <v>5170</v>
      </c>
      <c r="AA1462" s="28" t="s">
        <v>5171</v>
      </c>
      <c r="AB1462" s="28">
        <v>30.0</v>
      </c>
      <c r="AC1462" s="28" t="s">
        <v>24</v>
      </c>
      <c r="AD1462" s="23"/>
      <c r="AE1462" s="28" t="s">
        <v>10</v>
      </c>
      <c r="AF1462" s="23"/>
      <c r="AG1462" s="23"/>
      <c r="AH1462" s="23" t="str">
        <f>IFERROR(__xludf.DUMMYFUNCTION("IF(
ISNUMBER(MATCH(
C1462,
IMPORTRANGE(""https://docs.google.com/spreadsheets/d/1yTh1ELC33JHYOeEdgIiEclxPRyh0zOKtlawDltfUay8"",""'Interns'!A:A""),
0
)),
""Outreach Conducted"",
"""")"),"")</f>
        <v/>
      </c>
      <c r="AI1462" s="23"/>
      <c r="AJ1462" s="23"/>
      <c r="AK1462" s="23" t="str">
        <f>IFERROR(__xludf.DUMMYFUNCTION("XLOOKUP(C1462, 
   IMPORTRANGE(""1RdEdgHYrZ33LJ7RUHj_h-qkAFL92bcVjtIdVa-UlsCw"", ""Interns!D:D""), 
   IMPORTRANGE(""1RdEdgHYrZ33LJ7RUHj_h-qkAFL92bcVjtIdVa-UlsCw"", ""Interns!M:M""), 
   ""Not Found"")"),"Contacted")</f>
        <v>Contacted</v>
      </c>
      <c r="AL1462" s="23" t="str">
        <f>IFERROR(__xludf.DUMMYFUNCTION("XLOOKUP(C1462, 
   IMPORTRANGE(""1RdEdgHYrZ33LJ7RUHj_h-qkAFL92bcVjtIdVa-UlsCw"", ""Interns!D:D""), 
   IMPORTRANGE(""1RdEdgHYrZ33LJ7RUHj_h-qkAFL92bcVjtIdVa-UlsCw"", ""Interns!N:N""), 
   ""Not Found"")"),"#Cheers4Careers")</f>
        <v>#Cheers4Careers</v>
      </c>
      <c r="AM1462" s="23" t="str">
        <f>IFERROR(__xludf.DUMMYFUNCTION("XLOOKUP(C1462, 
   IMPORTRANGE(""1RdEdgHYrZ33LJ7RUHj_h-qkAFL92bcVjtIdVa-UlsCw"", ""Interns!D:D""), 
   IMPORTRANGE(""1RdEdgHYrZ33LJ7RUHj_h-qkAFL92bcVjtIdVa-UlsCw"", ""Interns!O:O""), 
   ""Not Found"")"),"Hetal reached out March 27 for March #Cheers4 Careers ")</f>
        <v>Hetal reached out March 27 for March #Cheers4 Careers </v>
      </c>
      <c r="AN1462" s="23"/>
      <c r="AO1462" s="23" t="s">
        <v>14225</v>
      </c>
      <c r="AP1462" s="28" t="s">
        <v>5240</v>
      </c>
      <c r="AQ1462" s="28"/>
      <c r="AR1462" s="23"/>
      <c r="AS1462" s="23"/>
      <c r="AT1462" s="23"/>
      <c r="AU1462" s="23"/>
      <c r="AV1462" s="23"/>
    </row>
    <row r="1463">
      <c r="A1463" s="28" t="s">
        <v>5161</v>
      </c>
      <c r="B1463" s="28" t="s">
        <v>5162</v>
      </c>
      <c r="C1463" s="23" t="str">
        <f t="shared" si="39"/>
        <v>Vanessa Martinez</v>
      </c>
      <c r="D1463" s="28" t="s">
        <v>2909</v>
      </c>
      <c r="E1463" s="28" t="s">
        <v>2010</v>
      </c>
      <c r="F1463" s="23">
        <f t="array" ref="F1463">IFERROR(
    INDEX('Hub Interns 226'!A:A, MATCH(C1463, 'Hub Interns 226'!B:B, 0)),"")</f>
        <v>1171</v>
      </c>
      <c r="G1463" s="23">
        <f t="array" ref="G1463">IFERROR(
    INDEX('Hub Users 226'!A:A, MATCH(C1463, 'Hub Users 226'!B:B, 0)),"")</f>
        <v>1604</v>
      </c>
      <c r="H1463" s="28">
        <v>1509.0</v>
      </c>
      <c r="I1463" s="28" t="s">
        <v>407</v>
      </c>
      <c r="J1463" s="28"/>
      <c r="K1463" s="28"/>
      <c r="L1463" s="28" t="s">
        <v>7001</v>
      </c>
      <c r="M1463" s="56" t="s">
        <v>14226</v>
      </c>
      <c r="N1463" s="57">
        <v>44953.364583333336</v>
      </c>
      <c r="O1463" s="58">
        <v>40364.0</v>
      </c>
      <c r="P1463" s="28">
        <f t="shared" si="41"/>
        <v>15</v>
      </c>
      <c r="Q1463" s="28" t="s">
        <v>240</v>
      </c>
      <c r="R1463" s="28" t="s">
        <v>14227</v>
      </c>
      <c r="S1463" s="28">
        <v>14.0</v>
      </c>
      <c r="T1463" s="28">
        <v>13.0</v>
      </c>
      <c r="U1463" s="28">
        <v>35.0</v>
      </c>
      <c r="V1463" s="28">
        <v>21.0</v>
      </c>
      <c r="W1463" s="28" t="s">
        <v>1173</v>
      </c>
      <c r="X1463" s="28" t="s">
        <v>272</v>
      </c>
      <c r="Y1463" s="28" t="s">
        <v>14228</v>
      </c>
      <c r="Z1463" s="28" t="s">
        <v>5403</v>
      </c>
      <c r="AA1463" s="28" t="s">
        <v>5404</v>
      </c>
      <c r="AB1463" s="28">
        <v>21.0</v>
      </c>
      <c r="AC1463" s="28" t="s">
        <v>23</v>
      </c>
      <c r="AD1463" s="28" t="s">
        <v>101</v>
      </c>
      <c r="AE1463" s="28" t="s">
        <v>15</v>
      </c>
      <c r="AF1463" s="23"/>
      <c r="AG1463" s="23"/>
      <c r="AH1463" s="23" t="str">
        <f>IFERROR(__xludf.DUMMYFUNCTION("IF(
ISNUMBER(MATCH(
C1463,
IMPORTRANGE(""https://docs.google.com/spreadsheets/d/1yTh1ELC33JHYOeEdgIiEclxPRyh0zOKtlawDltfUay8"",""'Interns'!A:A""),
0
)),
""Outreach Conducted"",
"""")"),"")</f>
        <v/>
      </c>
      <c r="AI1463" s="23"/>
      <c r="AJ1463" s="23"/>
      <c r="AK1463" s="23" t="str">
        <f>IFERROR(__xludf.DUMMYFUNCTION("XLOOKUP(C1463, 
   IMPORTRANGE(""1RdEdgHYrZ33LJ7RUHj_h-qkAFL92bcVjtIdVa-UlsCw"", ""Interns!D:D""), 
   IMPORTRANGE(""1RdEdgHYrZ33LJ7RUHj_h-qkAFL92bcVjtIdVa-UlsCw"", ""Interns!M:M""), 
   ""Not Found"")"),"Contacted")</f>
        <v>Contacted</v>
      </c>
      <c r="AL1463" s="23" t="str">
        <f>IFERROR(__xludf.DUMMYFUNCTION("XLOOKUP(C1463, 
   IMPORTRANGE(""1RdEdgHYrZ33LJ7RUHj_h-qkAFL92bcVjtIdVa-UlsCw"", ""Interns!D:D""), 
   IMPORTRANGE(""1RdEdgHYrZ33LJ7RUHj_h-qkAFL92bcVjtIdVa-UlsCw"", ""Interns!N:N""), 
   ""Not Found"")"),"#Cheers4Careers")</f>
        <v>#Cheers4Careers</v>
      </c>
      <c r="AM1463" s="23" t="str">
        <f>IFERROR(__xludf.DUMMYFUNCTION("XLOOKUP(C1463,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463" s="23"/>
      <c r="AO1463" s="23" t="s">
        <v>14229</v>
      </c>
      <c r="AP1463" s="28" t="s">
        <v>5191</v>
      </c>
      <c r="AQ1463" s="28"/>
      <c r="AR1463" s="23"/>
      <c r="AS1463" s="23"/>
      <c r="AT1463" s="23"/>
      <c r="AU1463" s="23"/>
      <c r="AV1463" s="23"/>
    </row>
    <row r="1464">
      <c r="A1464" s="28" t="s">
        <v>5161</v>
      </c>
      <c r="B1464" s="28" t="s">
        <v>5162</v>
      </c>
      <c r="C1464" s="23" t="str">
        <f t="shared" si="39"/>
        <v>siolimar-shadow alba alba</v>
      </c>
      <c r="D1464" s="28" t="s">
        <v>13888</v>
      </c>
      <c r="E1464" s="28" t="s">
        <v>13889</v>
      </c>
      <c r="F1464" s="23">
        <f t="array" ref="F1464">IFERROR(
    INDEX('Hub Interns 226'!A:A, MATCH(C1464, 'Hub Interns 226'!B:B, 0)),"")</f>
        <v>1093</v>
      </c>
      <c r="G1464" s="23">
        <f t="array" ref="G1464">IFERROR(
    INDEX('Hub Users 226'!A:A, MATCH(C1464, 'Hub Users 226'!B:B, 0)),"")</f>
        <v>1526</v>
      </c>
      <c r="H1464" s="28">
        <v>1231.0</v>
      </c>
      <c r="I1464" s="28" t="s">
        <v>407</v>
      </c>
      <c r="J1464" s="28"/>
      <c r="K1464" s="28"/>
      <c r="L1464" s="28" t="s">
        <v>5196</v>
      </c>
      <c r="M1464" s="56" t="s">
        <v>13890</v>
      </c>
      <c r="N1464" s="57">
        <v>44838.44861111111</v>
      </c>
      <c r="O1464" s="58">
        <v>39035.0</v>
      </c>
      <c r="P1464" s="28">
        <f t="shared" si="41"/>
        <v>19</v>
      </c>
      <c r="Q1464" s="28" t="s">
        <v>240</v>
      </c>
      <c r="R1464" s="28" t="s">
        <v>13891</v>
      </c>
      <c r="S1464" s="28">
        <v>13.0</v>
      </c>
      <c r="T1464" s="28">
        <v>31.0</v>
      </c>
      <c r="U1464" s="28">
        <v>72.0</v>
      </c>
      <c r="V1464" s="28">
        <v>10.0</v>
      </c>
      <c r="W1464" s="28" t="s">
        <v>271</v>
      </c>
      <c r="X1464" s="28" t="s">
        <v>272</v>
      </c>
      <c r="Y1464" s="28" t="s">
        <v>13892</v>
      </c>
      <c r="Z1464" s="28" t="s">
        <v>5341</v>
      </c>
      <c r="AA1464" s="28" t="s">
        <v>1085</v>
      </c>
      <c r="AB1464" s="28">
        <v>10.0</v>
      </c>
      <c r="AC1464" s="28" t="s">
        <v>23</v>
      </c>
      <c r="AD1464" s="28" t="s">
        <v>101</v>
      </c>
      <c r="AE1464" s="28" t="s">
        <v>15</v>
      </c>
      <c r="AF1464" s="23"/>
      <c r="AG1464" s="23"/>
      <c r="AH1464" s="23" t="str">
        <f>IFERROR(__xludf.DUMMYFUNCTION("IF(
ISNUMBER(MATCH(
C1464,
IMPORTRANGE(""https://docs.google.com/spreadsheets/d/1yTh1ELC33JHYOeEdgIiEclxPRyh0zOKtlawDltfUay8"",""'Interns'!A:A""),
0
)),
""Outreach Conducted"",
"""")"),"")</f>
        <v/>
      </c>
      <c r="AI1464" s="23"/>
      <c r="AJ1464" s="23"/>
      <c r="AK1464" s="23" t="str">
        <f>IFERROR(__xludf.DUMMYFUNCTION("XLOOKUP(C1464, 
   IMPORTRANGE(""1RdEdgHYrZ33LJ7RUHj_h-qkAFL92bcVjtIdVa-UlsCw"", ""Interns!D:D""), 
   IMPORTRANGE(""1RdEdgHYrZ33LJ7RUHj_h-qkAFL92bcVjtIdVa-UlsCw"", ""Interns!M:M""), 
   ""Not Found"")"),"")</f>
        <v/>
      </c>
      <c r="AL1464" s="23" t="str">
        <f>IFERROR(__xludf.DUMMYFUNCTION("XLOOKUP(C1464, 
   IMPORTRANGE(""1RdEdgHYrZ33LJ7RUHj_h-qkAFL92bcVjtIdVa-UlsCw"", ""Interns!D:D""), 
   IMPORTRANGE(""1RdEdgHYrZ33LJ7RUHj_h-qkAFL92bcVjtIdVa-UlsCw"", ""Interns!N:N""), 
   ""Not Found"")"),"")</f>
        <v/>
      </c>
      <c r="AM1464" s="23" t="str">
        <f>IFERROR(__xludf.DUMMYFUNCTION("XLOOKUP(C1464, 
   IMPORTRANGE(""1RdEdgHYrZ33LJ7RUHj_h-qkAFL92bcVjtIdVa-UlsCw"", ""Interns!D:D""), 
   IMPORTRANGE(""1RdEdgHYrZ33LJ7RUHj_h-qkAFL92bcVjtIdVa-UlsCw"", ""Interns!O:O""), 
   ""Not Found"")"),"")</f>
        <v/>
      </c>
      <c r="AN1464" s="23"/>
      <c r="AO1464" s="23" t="s">
        <v>13893</v>
      </c>
      <c r="AP1464" s="28" t="s">
        <v>5182</v>
      </c>
      <c r="AQ1464" s="28"/>
      <c r="AR1464" s="23"/>
      <c r="AS1464" s="23"/>
      <c r="AT1464" s="23"/>
      <c r="AU1464" s="23"/>
      <c r="AV1464" s="23"/>
    </row>
    <row r="1465">
      <c r="A1465" s="28" t="s">
        <v>5161</v>
      </c>
      <c r="B1465" s="28" t="s">
        <v>5162</v>
      </c>
      <c r="C1465" s="23" t="str">
        <f t="shared" si="39"/>
        <v>Luis Rivera</v>
      </c>
      <c r="D1465" s="28" t="s">
        <v>6689</v>
      </c>
      <c r="E1465" s="28" t="s">
        <v>1976</v>
      </c>
      <c r="F1465" s="23">
        <f t="array" ref="F1465">IFERROR(
    INDEX('Hub Interns 226'!A:A, MATCH(C1465, 'Hub Interns 226'!B:B, 0)),"")</f>
        <v>803</v>
      </c>
      <c r="G1465" s="23">
        <f t="array" ref="G1465">IFERROR(
    INDEX('Hub Users 226'!A:A, MATCH(C1465, 'Hub Users 226'!B:B, 0)),"")</f>
        <v>1236</v>
      </c>
      <c r="H1465" s="28">
        <v>1519.0</v>
      </c>
      <c r="I1465" s="28" t="s">
        <v>269</v>
      </c>
      <c r="J1465" s="28"/>
      <c r="K1465" s="28"/>
      <c r="L1465" s="28" t="s">
        <v>5165</v>
      </c>
      <c r="M1465" s="56" t="s">
        <v>14230</v>
      </c>
      <c r="N1465" s="57">
        <v>44953.370833333334</v>
      </c>
      <c r="O1465" s="58">
        <v>40904.0</v>
      </c>
      <c r="P1465" s="28">
        <f t="shared" si="41"/>
        <v>14</v>
      </c>
      <c r="Q1465" s="28" t="s">
        <v>240</v>
      </c>
      <c r="R1465" s="28" t="s">
        <v>14231</v>
      </c>
      <c r="S1465" s="28">
        <v>14.0</v>
      </c>
      <c r="T1465" s="28">
        <v>13.0</v>
      </c>
      <c r="U1465" s="28">
        <v>35.0</v>
      </c>
      <c r="V1465" s="28">
        <v>21.0</v>
      </c>
      <c r="W1465" s="28" t="s">
        <v>1173</v>
      </c>
      <c r="X1465" s="28" t="s">
        <v>272</v>
      </c>
      <c r="Y1465" s="28" t="s">
        <v>14232</v>
      </c>
      <c r="Z1465" s="28" t="s">
        <v>5403</v>
      </c>
      <c r="AA1465" s="28" t="s">
        <v>5404</v>
      </c>
      <c r="AB1465" s="28">
        <v>21.0</v>
      </c>
      <c r="AC1465" s="28" t="s">
        <v>23</v>
      </c>
      <c r="AD1465" s="23"/>
      <c r="AE1465" s="28" t="s">
        <v>15</v>
      </c>
      <c r="AF1465" s="23"/>
      <c r="AG1465" s="23"/>
      <c r="AH1465" s="23" t="str">
        <f>IFERROR(__xludf.DUMMYFUNCTION("IF(
ISNUMBER(MATCH(
C1465,
IMPORTRANGE(""https://docs.google.com/spreadsheets/d/1yTh1ELC33JHYOeEdgIiEclxPRyh0zOKtlawDltfUay8"",""'Interns'!A:A""),
0
)),
""Outreach Conducted"",
"""")"),"")</f>
        <v/>
      </c>
      <c r="AI1465" s="23"/>
      <c r="AJ1465" s="23"/>
      <c r="AK1465" s="23" t="str">
        <f>IFERROR(__xludf.DUMMYFUNCTION("XLOOKUP(C1465, 
   IMPORTRANGE(""1RdEdgHYrZ33LJ7RUHj_h-qkAFL92bcVjtIdVa-UlsCw"", ""Interns!D:D""), 
   IMPORTRANGE(""1RdEdgHYrZ33LJ7RUHj_h-qkAFL92bcVjtIdVa-UlsCw"", ""Interns!M:M""), 
   ""Not Found"")"),"Contacted")</f>
        <v>Contacted</v>
      </c>
      <c r="AL1465" s="23" t="str">
        <f>IFERROR(__xludf.DUMMYFUNCTION("XLOOKUP(C1465, 
   IMPORTRANGE(""1RdEdgHYrZ33LJ7RUHj_h-qkAFL92bcVjtIdVa-UlsCw"", ""Interns!D:D""), 
   IMPORTRANGE(""1RdEdgHYrZ33LJ7RUHj_h-qkAFL92bcVjtIdVa-UlsCw"", ""Interns!N:N""), 
   ""Not Found"")"),"#Cheers4Careers")</f>
        <v>#Cheers4Careers</v>
      </c>
      <c r="AM1465" s="23" t="str">
        <f>IFERROR(__xludf.DUMMYFUNCTION("XLOOKUP(C1465,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465" s="23"/>
      <c r="AO1465" s="23" t="s">
        <v>14233</v>
      </c>
      <c r="AP1465" s="28" t="s">
        <v>5182</v>
      </c>
      <c r="AQ1465" s="28"/>
      <c r="AR1465" s="23"/>
      <c r="AS1465" s="23"/>
      <c r="AT1465" s="23"/>
      <c r="AU1465" s="23"/>
      <c r="AV1465" s="23"/>
    </row>
    <row r="1466">
      <c r="A1466" s="28" t="s">
        <v>5161</v>
      </c>
      <c r="B1466" s="28" t="s">
        <v>5162</v>
      </c>
      <c r="C1466" s="23" t="str">
        <f t="shared" si="39"/>
        <v>Christopher Beltran</v>
      </c>
      <c r="D1466" s="28" t="s">
        <v>976</v>
      </c>
      <c r="E1466" s="28" t="s">
        <v>14234</v>
      </c>
      <c r="F1466" s="23">
        <f t="array" ref="F1466">IFERROR(
    INDEX('Hub Interns 226'!A:A, MATCH(C1466, 'Hub Interns 226'!B:B, 0)),"")</f>
        <v>366</v>
      </c>
      <c r="G1466" s="23">
        <f t="array" ref="G1466">IFERROR(
    INDEX('Hub Users 226'!A:A, MATCH(C1466, 'Hub Users 226'!B:B, 0)),"")</f>
        <v>799</v>
      </c>
      <c r="H1466" s="28">
        <v>1529.0</v>
      </c>
      <c r="I1466" s="28" t="s">
        <v>107</v>
      </c>
      <c r="J1466" s="28"/>
      <c r="K1466" s="28"/>
      <c r="L1466" s="28" t="s">
        <v>8087</v>
      </c>
      <c r="M1466" s="56" t="s">
        <v>14235</v>
      </c>
      <c r="N1466" s="57">
        <v>44953.385416666664</v>
      </c>
      <c r="O1466" s="58">
        <v>40698.0</v>
      </c>
      <c r="P1466" s="28">
        <f t="shared" si="41"/>
        <v>14</v>
      </c>
      <c r="Q1466" s="28" t="s">
        <v>240</v>
      </c>
      <c r="R1466" s="28" t="s">
        <v>14236</v>
      </c>
      <c r="S1466" s="28">
        <v>14.0</v>
      </c>
      <c r="T1466" s="28">
        <v>13.0</v>
      </c>
      <c r="U1466" s="28">
        <v>35.0</v>
      </c>
      <c r="V1466" s="28">
        <v>21.0</v>
      </c>
      <c r="W1466" s="28" t="s">
        <v>1173</v>
      </c>
      <c r="X1466" s="28" t="s">
        <v>272</v>
      </c>
      <c r="Y1466" s="28" t="s">
        <v>14237</v>
      </c>
      <c r="Z1466" s="28" t="s">
        <v>5403</v>
      </c>
      <c r="AA1466" s="28" t="s">
        <v>5404</v>
      </c>
      <c r="AB1466" s="28">
        <v>21.0</v>
      </c>
      <c r="AC1466" s="28" t="s">
        <v>23</v>
      </c>
      <c r="AD1466" s="23"/>
      <c r="AE1466" s="28" t="s">
        <v>15</v>
      </c>
      <c r="AF1466" s="23"/>
      <c r="AG1466" s="23"/>
      <c r="AH1466" s="23" t="str">
        <f>IFERROR(__xludf.DUMMYFUNCTION("IF(
ISNUMBER(MATCH(
C1466,
IMPORTRANGE(""https://docs.google.com/spreadsheets/d/1yTh1ELC33JHYOeEdgIiEclxPRyh0zOKtlawDltfUay8"",""'Interns'!A:A""),
0
)),
""Outreach Conducted"",
"""")"),"")</f>
        <v/>
      </c>
      <c r="AI1466" s="23"/>
      <c r="AJ1466" s="23"/>
      <c r="AK1466" s="23" t="str">
        <f>IFERROR(__xludf.DUMMYFUNCTION("XLOOKUP(C1466, 
   IMPORTRANGE(""1RdEdgHYrZ33LJ7RUHj_h-qkAFL92bcVjtIdVa-UlsCw"", ""Interns!D:D""), 
   IMPORTRANGE(""1RdEdgHYrZ33LJ7RUHj_h-qkAFL92bcVjtIdVa-UlsCw"", ""Interns!M:M""), 
   ""Not Found"")"),"In Communication")</f>
        <v>In Communication</v>
      </c>
      <c r="AL1466" s="23" t="str">
        <f>IFERROR(__xludf.DUMMYFUNCTION("XLOOKUP(C1466, 
   IMPORTRANGE(""1RdEdgHYrZ33LJ7RUHj_h-qkAFL92bcVjtIdVa-UlsCw"", ""Interns!D:D""), 
   IMPORTRANGE(""1RdEdgHYrZ33LJ7RUHj_h-qkAFL92bcVjtIdVa-UlsCw"", ""Interns!N:N""), 
   ""Not Found"")"),"#Cheers4Careers, #SpeakingMyName")</f>
        <v>#Cheers4Careers, #SpeakingMyName</v>
      </c>
      <c r="AM1466" s="23" t="str">
        <f>IFERROR(__xludf.DUMMYFUNCTION("XLOOKUP(C1466, 
   IMPORTRANGE(""1RdEdgHYrZ33LJ7RUHj_h-qkAFL92bcVjtIdVa-UlsCw"", ""Interns!D:D""), 
   IMPORTRANGE(""1RdEdgHYrZ33LJ7RUHj_h-qkAFL92bcVjtIdVa-UlsCw"", ""Interns!O:O""), 
   ""Not Found"")"),"Reached out by text 3/26-3/28 followed up by email 3/27 by Jackie - 3/28: His mom texted he has a class during that time, wont be able to attend
Alicia reached out by email on 5/15 for #SpeakingMyName")</f>
        <v>Reached out by text 3/26-3/28 followed up by email 3/27 by Jackie - 3/28: His mom texted he has a class during that time, wont be able to attend
Alicia reached out by email on 5/15 for #SpeakingMyName</v>
      </c>
      <c r="AN1466" s="23"/>
      <c r="AO1466" s="23" t="s">
        <v>14238</v>
      </c>
      <c r="AP1466" s="28" t="s">
        <v>5191</v>
      </c>
      <c r="AQ1466" s="28"/>
      <c r="AR1466" s="23"/>
      <c r="AS1466" s="23"/>
      <c r="AT1466" s="23"/>
      <c r="AU1466" s="23"/>
      <c r="AV1466" s="23"/>
    </row>
    <row r="1467">
      <c r="A1467" s="28" t="s">
        <v>5161</v>
      </c>
      <c r="B1467" s="28" t="s">
        <v>5162</v>
      </c>
      <c r="C1467" s="23" t="str">
        <f t="shared" si="39"/>
        <v>Brandon Alvarez</v>
      </c>
      <c r="D1467" s="28" t="s">
        <v>12684</v>
      </c>
      <c r="E1467" s="28" t="s">
        <v>9224</v>
      </c>
      <c r="F1467" s="23">
        <f t="array" ref="F1467">IFERROR(
    INDEX('Hub Interns 226'!A:A, MATCH(C1467, 'Hub Interns 226'!B:B, 0)),"")</f>
        <v>312</v>
      </c>
      <c r="G1467" s="23">
        <f t="array" ref="G1467">IFERROR(
    INDEX('Hub Users 226'!A:A, MATCH(C1467, 'Hub Users 226'!B:B, 0)),"")</f>
        <v>745</v>
      </c>
      <c r="H1467" s="28">
        <v>1506.0</v>
      </c>
      <c r="I1467" s="28" t="s">
        <v>107</v>
      </c>
      <c r="J1467" s="28"/>
      <c r="K1467" s="28"/>
      <c r="L1467" s="28" t="s">
        <v>5165</v>
      </c>
      <c r="M1467" s="56" t="s">
        <v>14239</v>
      </c>
      <c r="N1467" s="57">
        <v>44953.35972222222</v>
      </c>
      <c r="O1467" s="58">
        <v>40634.0</v>
      </c>
      <c r="P1467" s="28">
        <f t="shared" si="41"/>
        <v>15</v>
      </c>
      <c r="Q1467" s="28" t="s">
        <v>240</v>
      </c>
      <c r="R1467" s="28" t="s">
        <v>14240</v>
      </c>
      <c r="S1467" s="28">
        <v>14.0</v>
      </c>
      <c r="T1467" s="28">
        <v>13.0</v>
      </c>
      <c r="U1467" s="28">
        <v>35.0</v>
      </c>
      <c r="V1467" s="28">
        <v>21.0</v>
      </c>
      <c r="W1467" s="28" t="s">
        <v>1173</v>
      </c>
      <c r="X1467" s="28" t="s">
        <v>272</v>
      </c>
      <c r="Y1467" s="28" t="s">
        <v>14241</v>
      </c>
      <c r="Z1467" s="28" t="s">
        <v>5403</v>
      </c>
      <c r="AA1467" s="28" t="s">
        <v>5404</v>
      </c>
      <c r="AB1467" s="28">
        <v>21.0</v>
      </c>
      <c r="AC1467" s="28" t="s">
        <v>23</v>
      </c>
      <c r="AD1467" s="23"/>
      <c r="AE1467" s="28" t="s">
        <v>15</v>
      </c>
      <c r="AF1467" s="23"/>
      <c r="AG1467" s="23"/>
      <c r="AH1467" s="23" t="str">
        <f>IFERROR(__xludf.DUMMYFUNCTION("IF(
ISNUMBER(MATCH(
C1467,
IMPORTRANGE(""https://docs.google.com/spreadsheets/d/1yTh1ELC33JHYOeEdgIiEclxPRyh0zOKtlawDltfUay8"",""'Interns'!A:A""),
0
)),
""Outreach Conducted"",
"""")"),"")</f>
        <v/>
      </c>
      <c r="AI1467" s="23"/>
      <c r="AJ1467" s="23"/>
      <c r="AK1467" s="23" t="str">
        <f>IFERROR(__xludf.DUMMYFUNCTION("XLOOKUP(C1467, 
   IMPORTRANGE(""1RdEdgHYrZ33LJ7RUHj_h-qkAFL92bcVjtIdVa-UlsCw"", ""Interns!D:D""), 
   IMPORTRANGE(""1RdEdgHYrZ33LJ7RUHj_h-qkAFL92bcVjtIdVa-UlsCw"", ""Interns!M:M""), 
   ""Not Found"")"),"Contacted")</f>
        <v>Contacted</v>
      </c>
      <c r="AL1467" s="23" t="str">
        <f>IFERROR(__xludf.DUMMYFUNCTION("XLOOKUP(C1467, 
   IMPORTRANGE(""1RdEdgHYrZ33LJ7RUHj_h-qkAFL92bcVjtIdVa-UlsCw"", ""Interns!D:D""), 
   IMPORTRANGE(""1RdEdgHYrZ33LJ7RUHj_h-qkAFL92bcVjtIdVa-UlsCw"", ""Interns!N:N""), 
   ""Not Found"")"),"#Cheers4Careers")</f>
        <v>#Cheers4Careers</v>
      </c>
      <c r="AM1467" s="23" t="str">
        <f>IFERROR(__xludf.DUMMYFUNCTION("XLOOKUP(C1467, 
   IMPORTRANGE(""1RdEdgHYrZ33LJ7RUHj_h-qkAFL92bcVjtIdVa-UlsCw"", ""Interns!D:D""), 
   IMPORTRANGE(""1RdEdgHYrZ33LJ7RUHj_h-qkAFL92bcVjtIdVa-UlsCw"", ""Interns!O:O""), 
   ""Not Found"")"),"Reached out by text 3/26-3/28 followed up by email 3/27 by Jackie")</f>
        <v>Reached out by text 3/26-3/28 followed up by email 3/27 by Jackie</v>
      </c>
      <c r="AN1467" s="23"/>
      <c r="AO1467" s="23" t="s">
        <v>14242</v>
      </c>
      <c r="AP1467" s="28" t="s">
        <v>5182</v>
      </c>
      <c r="AQ1467" s="28"/>
      <c r="AR1467" s="23"/>
      <c r="AS1467" s="23"/>
      <c r="AT1467" s="23"/>
      <c r="AU1467" s="23"/>
      <c r="AV1467" s="23"/>
    </row>
    <row r="1468">
      <c r="A1468" s="28" t="s">
        <v>5161</v>
      </c>
      <c r="B1468" s="28" t="s">
        <v>5162</v>
      </c>
      <c r="C1468" s="23" t="str">
        <f t="shared" si="39"/>
        <v>Isabella Rodriguez</v>
      </c>
      <c r="D1468" s="22" t="s">
        <v>14243</v>
      </c>
      <c r="E1468" s="22" t="s">
        <v>536</v>
      </c>
      <c r="F1468" s="23"/>
      <c r="G1468" s="23"/>
      <c r="H1468" s="22">
        <v>1892.0</v>
      </c>
      <c r="I1468" s="28"/>
      <c r="J1468" s="28"/>
      <c r="K1468" s="28"/>
      <c r="L1468" s="28" t="s">
        <v>5196</v>
      </c>
      <c r="M1468" s="29" t="s">
        <v>14244</v>
      </c>
      <c r="N1468" s="22"/>
      <c r="O1468" s="25">
        <v>39646.0</v>
      </c>
      <c r="P1468" s="28">
        <f t="shared" si="41"/>
        <v>17</v>
      </c>
      <c r="Q1468" s="62" t="s">
        <v>14245</v>
      </c>
      <c r="R1468" s="22" t="s">
        <v>14246</v>
      </c>
      <c r="S1468" s="28"/>
      <c r="T1468" s="28"/>
      <c r="U1468" s="28"/>
      <c r="V1468" s="28">
        <v>30.0</v>
      </c>
      <c r="W1468" s="28" t="s">
        <v>1173</v>
      </c>
      <c r="X1468" s="28" t="s">
        <v>272</v>
      </c>
      <c r="Y1468" s="22" t="s">
        <v>14247</v>
      </c>
      <c r="Z1468" s="22" t="s">
        <v>5822</v>
      </c>
      <c r="AA1468" s="28" t="s">
        <v>5822</v>
      </c>
      <c r="AB1468" s="28">
        <v>30.0</v>
      </c>
      <c r="AC1468" s="28" t="s">
        <v>27</v>
      </c>
      <c r="AD1468" s="23"/>
      <c r="AE1468" s="28" t="s">
        <v>20</v>
      </c>
      <c r="AF1468" s="23"/>
      <c r="AG1468" s="23"/>
      <c r="AH1468" s="23" t="str">
        <f>IFERROR(__xludf.DUMMYFUNCTION("IF(
ISNUMBER(MATCH(
C1468,
IMPORTRANGE(""https://docs.google.com/spreadsheets/d/1yTh1ELC33JHYOeEdgIiEclxPRyh0zOKtlawDltfUay8"",""'Interns'!A:A""),
0
)),
""Outreach Conducted"",
"""")"),"")</f>
        <v/>
      </c>
      <c r="AI1468" s="23"/>
      <c r="AJ1468" s="23"/>
      <c r="AK1468" s="23"/>
      <c r="AL1468" s="23" t="str">
        <f>IFERROR(__xludf.DUMMYFUNCTION("XLOOKUP(C1468, 
   IMPORTRANGE(""1RdEdgHYrZ33LJ7RUHj_h-qkAFL92bcVjtIdVa-UlsCw"", ""Interns!D:D""), 
   IMPORTRANGE(""1RdEdgHYrZ33LJ7RUHj_h-qkAFL92bcVjtIdVa-UlsCw"", ""Interns!N:N""), 
   ""Not Found"")"),"#Cheers4Careers")</f>
        <v>#Cheers4Careers</v>
      </c>
      <c r="AM1468" s="23" t="str">
        <f>IFERROR(__xludf.DUMMYFUNCTION("XLOOKUP(C1468, 
   IMPORTRANGE(""1RdEdgHYrZ33LJ7RUHj_h-qkAFL92bcVjtIdVa-UlsCw"", ""Interns!D:D""), 
   IMPORTRANGE(""1RdEdgHYrZ33LJ7RUHj_h-qkAFL92bcVjtIdVa-UlsCw"", ""Interns!O:O""), 
   ""Not Found"")"),"Hetal reached out March 27 for March #Cheers4 Careers ")</f>
        <v>Hetal reached out March 27 for March #Cheers4 Careers </v>
      </c>
      <c r="AN1468" s="23"/>
      <c r="AO1468" s="23" t="s">
        <v>14248</v>
      </c>
      <c r="AP1468" s="28" t="s">
        <v>5182</v>
      </c>
      <c r="AQ1468" s="28" t="s">
        <v>14249</v>
      </c>
      <c r="AR1468" s="23" t="s">
        <v>14250</v>
      </c>
      <c r="AS1468" s="23"/>
      <c r="AT1468" s="23"/>
      <c r="AU1468" s="23"/>
      <c r="AV1468" s="23"/>
    </row>
    <row r="1469">
      <c r="A1469" s="28" t="s">
        <v>5161</v>
      </c>
      <c r="B1469" s="28" t="s">
        <v>5162</v>
      </c>
      <c r="C1469" s="23" t="str">
        <f t="shared" si="39"/>
        <v>Mayra Damian</v>
      </c>
      <c r="D1469" s="28" t="s">
        <v>5399</v>
      </c>
      <c r="E1469" s="28" t="s">
        <v>5943</v>
      </c>
      <c r="F1469" s="23">
        <f t="array" ref="F1469">IFERROR(
    INDEX('Hub Interns 226'!A:A, MATCH(C1469, 'Hub Interns 226'!B:B, 0)),"")</f>
        <v>863</v>
      </c>
      <c r="G1469" s="23">
        <f t="array" ref="G1469">IFERROR(
    INDEX('Hub Users 226'!A:A, MATCH(C1469, 'Hub Users 226'!B:B, 0)),"")</f>
        <v>1296</v>
      </c>
      <c r="H1469" s="28">
        <v>1316.0</v>
      </c>
      <c r="I1469" s="28"/>
      <c r="J1469" s="28"/>
      <c r="K1469" s="28"/>
      <c r="L1469" s="28" t="s">
        <v>8087</v>
      </c>
      <c r="M1469" s="56" t="s">
        <v>14251</v>
      </c>
      <c r="N1469" s="59">
        <v>44848.67361111111</v>
      </c>
      <c r="O1469" s="58">
        <v>40478.0</v>
      </c>
      <c r="P1469" s="28">
        <f t="shared" si="41"/>
        <v>15</v>
      </c>
      <c r="Q1469" s="28" t="s">
        <v>14252</v>
      </c>
      <c r="R1469" s="28" t="s">
        <v>14253</v>
      </c>
      <c r="S1469" s="28">
        <v>14.0</v>
      </c>
      <c r="T1469" s="28">
        <v>13.0</v>
      </c>
      <c r="U1469" s="28">
        <v>35.0</v>
      </c>
      <c r="V1469" s="28">
        <v>21.0</v>
      </c>
      <c r="W1469" s="28" t="s">
        <v>1173</v>
      </c>
      <c r="X1469" s="28" t="s">
        <v>272</v>
      </c>
      <c r="Y1469" s="28" t="s">
        <v>14254</v>
      </c>
      <c r="Z1469" s="28" t="s">
        <v>5403</v>
      </c>
      <c r="AA1469" s="28" t="s">
        <v>5404</v>
      </c>
      <c r="AB1469" s="28">
        <v>21.0</v>
      </c>
      <c r="AC1469" s="28" t="s">
        <v>23</v>
      </c>
      <c r="AD1469" s="28" t="s">
        <v>101</v>
      </c>
      <c r="AE1469" s="28" t="s">
        <v>15</v>
      </c>
      <c r="AF1469" s="23"/>
      <c r="AG1469" s="23"/>
      <c r="AH1469" s="23" t="str">
        <f>IFERROR(__xludf.DUMMYFUNCTION("IF(
ISNUMBER(MATCH(
C1469,
IMPORTRANGE(""https://docs.google.com/spreadsheets/d/1yTh1ELC33JHYOeEdgIiEclxPRyh0zOKtlawDltfUay8"",""'Interns'!A:A""),
0
)),
""Outreach Conducted"",
"""")"),"")</f>
        <v/>
      </c>
      <c r="AI1469" s="23"/>
      <c r="AJ1469" s="23"/>
      <c r="AK1469" s="23" t="str">
        <f>IFERROR(__xludf.DUMMYFUNCTION("XLOOKUP(C1469, 
   IMPORTRANGE(""1RdEdgHYrZ33LJ7RUHj_h-qkAFL92bcVjtIdVa-UlsCw"", ""Interns!D:D""), 
   IMPORTRANGE(""1RdEdgHYrZ33LJ7RUHj_h-qkAFL92bcVjtIdVa-UlsCw"", ""Interns!M:M""), 
   ""Not Found"")"),"Contacted")</f>
        <v>Contacted</v>
      </c>
      <c r="AL1469" s="23" t="str">
        <f>IFERROR(__xludf.DUMMYFUNCTION("XLOOKUP(C1469, 
   IMPORTRANGE(""1RdEdgHYrZ33LJ7RUHj_h-qkAFL92bcVjtIdVa-UlsCw"", ""Interns!D:D""), 
   IMPORTRANGE(""1RdEdgHYrZ33LJ7RUHj_h-qkAFL92bcVjtIdVa-UlsCw"", ""Interns!N:N""), 
   ""Not Found"")"),"#Cheers4Careers")</f>
        <v>#Cheers4Careers</v>
      </c>
      <c r="AM1469" s="23" t="str">
        <f>IFERROR(__xludf.DUMMYFUNCTION("XLOOKUP(C1469,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469" s="23"/>
      <c r="AO1469" s="23" t="s">
        <v>14255</v>
      </c>
      <c r="AP1469" s="28" t="s">
        <v>5182</v>
      </c>
      <c r="AQ1469" s="28"/>
      <c r="AR1469" s="23"/>
      <c r="AS1469" s="23"/>
      <c r="AT1469" s="23"/>
      <c r="AU1469" s="23"/>
      <c r="AV1469" s="23"/>
    </row>
    <row r="1470">
      <c r="A1470" s="28" t="s">
        <v>5161</v>
      </c>
      <c r="B1470" s="28" t="s">
        <v>5162</v>
      </c>
      <c r="C1470" s="23" t="str">
        <f t="shared" si="39"/>
        <v>Christopher Huerta</v>
      </c>
      <c r="D1470" s="28" t="s">
        <v>976</v>
      </c>
      <c r="E1470" s="28" t="s">
        <v>14256</v>
      </c>
      <c r="F1470" s="23">
        <f t="array" ref="F1470">IFERROR(
    INDEX('Hub Interns 226'!A:A, MATCH(C1470, 'Hub Interns 226'!B:B, 0)),"")</f>
        <v>368</v>
      </c>
      <c r="G1470" s="23">
        <f t="array" ref="G1470">IFERROR(
    INDEX('Hub Users 226'!A:A, MATCH(C1470, 'Hub Users 226'!B:B, 0)),"")</f>
        <v>801</v>
      </c>
      <c r="H1470" s="28">
        <v>1554.0</v>
      </c>
      <c r="I1470" s="28" t="s">
        <v>269</v>
      </c>
      <c r="J1470" s="28"/>
      <c r="K1470" s="28"/>
      <c r="L1470" s="28" t="s">
        <v>5165</v>
      </c>
      <c r="M1470" s="56" t="s">
        <v>14257</v>
      </c>
      <c r="N1470" s="57">
        <v>44959.36666666667</v>
      </c>
      <c r="O1470" s="58">
        <v>40540.0</v>
      </c>
      <c r="P1470" s="28">
        <f t="shared" si="41"/>
        <v>15</v>
      </c>
      <c r="Q1470" s="28" t="s">
        <v>240</v>
      </c>
      <c r="R1470" s="28" t="s">
        <v>14258</v>
      </c>
      <c r="S1470" s="28">
        <v>14.0</v>
      </c>
      <c r="T1470" s="28">
        <v>13.0</v>
      </c>
      <c r="U1470" s="28">
        <v>35.0</v>
      </c>
      <c r="V1470" s="28">
        <v>21.0</v>
      </c>
      <c r="W1470" s="28" t="s">
        <v>1173</v>
      </c>
      <c r="X1470" s="28" t="s">
        <v>272</v>
      </c>
      <c r="Y1470" s="28" t="s">
        <v>14259</v>
      </c>
      <c r="Z1470" s="28" t="s">
        <v>5403</v>
      </c>
      <c r="AA1470" s="28" t="s">
        <v>5404</v>
      </c>
      <c r="AB1470" s="28">
        <v>21.0</v>
      </c>
      <c r="AC1470" s="28" t="s">
        <v>23</v>
      </c>
      <c r="AD1470" s="23"/>
      <c r="AE1470" s="28" t="s">
        <v>15</v>
      </c>
      <c r="AF1470" s="23"/>
      <c r="AG1470" s="23"/>
      <c r="AH1470" s="23" t="str">
        <f>IFERROR(__xludf.DUMMYFUNCTION("IF(
ISNUMBER(MATCH(
C1470,
IMPORTRANGE(""https://docs.google.com/spreadsheets/d/1yTh1ELC33JHYOeEdgIiEclxPRyh0zOKtlawDltfUay8"",""'Interns'!A:A""),
0
)),
""Outreach Conducted"",
"""")"),"")</f>
        <v/>
      </c>
      <c r="AI1470" s="23"/>
      <c r="AJ1470" s="23"/>
      <c r="AK1470" s="23" t="str">
        <f>IFERROR(__xludf.DUMMYFUNCTION("XLOOKUP(C1470, 
   IMPORTRANGE(""1RdEdgHYrZ33LJ7RUHj_h-qkAFL92bcVjtIdVa-UlsCw"", ""Interns!D:D""), 
   IMPORTRANGE(""1RdEdgHYrZ33LJ7RUHj_h-qkAFL92bcVjtIdVa-UlsCw"", ""Interns!M:M""), 
   ""Not Found"")"),"Contacted")</f>
        <v>Contacted</v>
      </c>
      <c r="AL1470" s="23" t="str">
        <f>IFERROR(__xludf.DUMMYFUNCTION("XLOOKUP(C1470, 
   IMPORTRANGE(""1RdEdgHYrZ33LJ7RUHj_h-qkAFL92bcVjtIdVa-UlsCw"", ""Interns!D:D""), 
   IMPORTRANGE(""1RdEdgHYrZ33LJ7RUHj_h-qkAFL92bcVjtIdVa-UlsCw"", ""Interns!N:N""), 
   ""Not Found"")"),"#Cheers4Careers")</f>
        <v>#Cheers4Careers</v>
      </c>
      <c r="AM1470" s="23" t="str">
        <f>IFERROR(__xludf.DUMMYFUNCTION("XLOOKUP(C1470, 
   IMPORTRANGE(""1RdEdgHYrZ33LJ7RUHj_h-qkAFL92bcVjtIdVa-UlsCw"", ""Interns!D:D""), 
   IMPORTRANGE(""1RdEdgHYrZ33LJ7RUHj_h-qkAFL92bcVjtIdVa-UlsCw"", ""Interns!O:O""), 
   ""Not Found"")"),"Reached out by text 3/26-3/28 followed up by email 3/27 by Jackie")</f>
        <v>Reached out by text 3/26-3/28 followed up by email 3/27 by Jackie</v>
      </c>
      <c r="AN1470" s="23"/>
      <c r="AO1470" s="23" t="s">
        <v>14260</v>
      </c>
      <c r="AP1470" s="28" t="s">
        <v>5182</v>
      </c>
      <c r="AQ1470" s="28"/>
      <c r="AR1470" s="23"/>
      <c r="AS1470" s="23"/>
      <c r="AT1470" s="23"/>
      <c r="AU1470" s="23"/>
      <c r="AV1470" s="23"/>
    </row>
    <row r="1471">
      <c r="A1471" s="28" t="s">
        <v>5161</v>
      </c>
      <c r="B1471" s="28" t="s">
        <v>5162</v>
      </c>
      <c r="C1471" s="23" t="str">
        <f t="shared" si="39"/>
        <v>Angie Cartagena</v>
      </c>
      <c r="D1471" s="28" t="s">
        <v>4429</v>
      </c>
      <c r="E1471" s="28" t="s">
        <v>14261</v>
      </c>
      <c r="F1471" s="23">
        <f t="array" ref="F1471">IFERROR(
    INDEX('Hub Interns 226'!A:A, MATCH(C1471, 'Hub Interns 226'!B:B, 0)),"")</f>
        <v>139</v>
      </c>
      <c r="G1471" s="23">
        <f t="array" ref="G1471">IFERROR(
    INDEX('Hub Users 226'!A:A, MATCH(C1471, 'Hub Users 226'!B:B, 0)),"")</f>
        <v>572</v>
      </c>
      <c r="H1471" s="28">
        <v>1079.0</v>
      </c>
      <c r="I1471" s="28"/>
      <c r="J1471" s="28"/>
      <c r="K1471" s="28"/>
      <c r="L1471" s="28" t="s">
        <v>5196</v>
      </c>
      <c r="M1471" s="56" t="s">
        <v>14262</v>
      </c>
      <c r="N1471" s="57">
        <v>44704.510416666664</v>
      </c>
      <c r="O1471" s="58">
        <v>39241.0</v>
      </c>
      <c r="P1471" s="28">
        <f t="shared" si="41"/>
        <v>18</v>
      </c>
      <c r="Q1471" s="28" t="s">
        <v>240</v>
      </c>
      <c r="R1471" s="28" t="s">
        <v>14263</v>
      </c>
      <c r="S1471" s="28">
        <v>6.0</v>
      </c>
      <c r="T1471" s="28">
        <v>12.0</v>
      </c>
      <c r="U1471" s="28">
        <v>30.0</v>
      </c>
      <c r="V1471" s="28">
        <v>26.0</v>
      </c>
      <c r="W1471" s="28" t="s">
        <v>1173</v>
      </c>
      <c r="X1471" s="28" t="s">
        <v>272</v>
      </c>
      <c r="Y1471" s="28" t="s">
        <v>14264</v>
      </c>
      <c r="Z1471" s="28" t="s">
        <v>5352</v>
      </c>
      <c r="AA1471" s="28" t="s">
        <v>5287</v>
      </c>
      <c r="AB1471" s="28">
        <v>26.0</v>
      </c>
      <c r="AC1471" s="28" t="s">
        <v>24</v>
      </c>
      <c r="AD1471" s="23"/>
      <c r="AE1471" s="28" t="s">
        <v>10</v>
      </c>
      <c r="AF1471" s="23"/>
      <c r="AG1471" s="23"/>
      <c r="AH1471" s="23" t="str">
        <f>IFERROR(__xludf.DUMMYFUNCTION("IF(
ISNUMBER(MATCH(
C1471,
IMPORTRANGE(""https://docs.google.com/spreadsheets/d/1yTh1ELC33JHYOeEdgIiEclxPRyh0zOKtlawDltfUay8"",""'Interns'!A:A""),
0
)),
""Outreach Conducted"",
"""")"),"")</f>
        <v/>
      </c>
      <c r="AI1471" s="23"/>
      <c r="AJ1471" s="23"/>
      <c r="AK1471" s="23" t="str">
        <f>IFERROR(__xludf.DUMMYFUNCTION("XLOOKUP(C1471, 
   IMPORTRANGE(""1RdEdgHYrZ33LJ7RUHj_h-qkAFL92bcVjtIdVa-UlsCw"", ""Interns!D:D""), 
   IMPORTRANGE(""1RdEdgHYrZ33LJ7RUHj_h-qkAFL92bcVjtIdVa-UlsCw"", ""Interns!M:M""), 
   ""Not Found"")"),"Contacted")</f>
        <v>Contacted</v>
      </c>
      <c r="AL1471" s="23" t="str">
        <f>IFERROR(__xludf.DUMMYFUNCTION("XLOOKUP(C1471, 
   IMPORTRANGE(""1RdEdgHYrZ33LJ7RUHj_h-qkAFL92bcVjtIdVa-UlsCw"", ""Interns!D:D""), 
   IMPORTRANGE(""1RdEdgHYrZ33LJ7RUHj_h-qkAFL92bcVjtIdVa-UlsCw"", ""Interns!N:N""), 
   ""Not Found"")"),"#Cheers4Careers")</f>
        <v>#Cheers4Careers</v>
      </c>
      <c r="AM1471" s="23" t="str">
        <f>IFERROR(__xludf.DUMMYFUNCTION("XLOOKUP(C1471, 
   IMPORTRANGE(""1RdEdgHYrZ33LJ7RUHj_h-qkAFL92bcVjtIdVa-UlsCw"", ""Interns!D:D""), 
   IMPORTRANGE(""1RdEdgHYrZ33LJ7RUHj_h-qkAFL92bcVjtIdVa-UlsCw"", ""Interns!O:O""), 
   ""Not Found"")"),"Hetal reached out by email 3/27")</f>
        <v>Hetal reached out by email 3/27</v>
      </c>
      <c r="AN1471" s="23"/>
      <c r="AO1471" s="23" t="s">
        <v>14265</v>
      </c>
      <c r="AP1471" s="28" t="s">
        <v>5182</v>
      </c>
      <c r="AQ1471" s="28"/>
      <c r="AR1471" s="23"/>
      <c r="AS1471" s="23"/>
      <c r="AT1471" s="23"/>
      <c r="AU1471" s="23"/>
      <c r="AV1471" s="23"/>
    </row>
    <row r="1472">
      <c r="A1472" s="28" t="s">
        <v>5161</v>
      </c>
      <c r="B1472" s="28" t="s">
        <v>5162</v>
      </c>
      <c r="C1472" s="23" t="str">
        <f t="shared" si="39"/>
        <v>Oliullah Shahin</v>
      </c>
      <c r="D1472" s="28" t="s">
        <v>14266</v>
      </c>
      <c r="E1472" s="28" t="s">
        <v>14267</v>
      </c>
      <c r="F1472" s="23">
        <f t="array" ref="F1472">IFERROR(
    INDEX('Hub Interns 226'!A:A, MATCH(C1472, 'Hub Interns 226'!B:B, 0)),"")</f>
        <v>898</v>
      </c>
      <c r="G1472" s="23">
        <f t="array" ref="G1472">IFERROR(
    INDEX('Hub Users 226'!A:A, MATCH(C1472, 'Hub Users 226'!B:B, 0)),"")</f>
        <v>1331</v>
      </c>
      <c r="H1472" s="28">
        <v>1421.0</v>
      </c>
      <c r="I1472" s="28" t="s">
        <v>260</v>
      </c>
      <c r="J1472" s="28"/>
      <c r="K1472" s="28"/>
      <c r="L1472" s="28" t="s">
        <v>7001</v>
      </c>
      <c r="M1472" s="56" t="s">
        <v>14268</v>
      </c>
      <c r="N1472" s="57">
        <v>44866.39166666667</v>
      </c>
      <c r="O1472" s="58">
        <v>40494.0</v>
      </c>
      <c r="P1472" s="28">
        <f t="shared" si="41"/>
        <v>15</v>
      </c>
      <c r="Q1472" s="28" t="s">
        <v>240</v>
      </c>
      <c r="R1472" s="28" t="s">
        <v>14269</v>
      </c>
      <c r="S1472" s="28"/>
      <c r="T1472" s="28"/>
      <c r="U1472" s="28"/>
      <c r="V1472" s="28"/>
      <c r="W1472" s="23"/>
      <c r="X1472" s="23"/>
      <c r="Y1472" s="28" t="s">
        <v>14270</v>
      </c>
      <c r="Z1472" s="28" t="s">
        <v>5352</v>
      </c>
      <c r="AA1472" s="28" t="s">
        <v>5287</v>
      </c>
      <c r="AB1472" s="28">
        <v>26.0</v>
      </c>
      <c r="AC1472" s="28" t="s">
        <v>23</v>
      </c>
      <c r="AD1472" s="23"/>
      <c r="AE1472" s="28" t="s">
        <v>15</v>
      </c>
      <c r="AF1472" s="23"/>
      <c r="AG1472" s="23"/>
      <c r="AH1472" s="23" t="str">
        <f>IFERROR(__xludf.DUMMYFUNCTION("IF(
ISNUMBER(MATCH(
C1472,
IMPORTRANGE(""https://docs.google.com/spreadsheets/d/1yTh1ELC33JHYOeEdgIiEclxPRyh0zOKtlawDltfUay8"",""'Interns'!A:A""),
0
)),
""Outreach Conducted"",
"""")"),"")</f>
        <v/>
      </c>
      <c r="AI1472" s="23"/>
      <c r="AJ1472" s="23"/>
      <c r="AK1472" s="23" t="str">
        <f>IFERROR(__xludf.DUMMYFUNCTION("XLOOKUP(C1472, 
   IMPORTRANGE(""1RdEdgHYrZ33LJ7RUHj_h-qkAFL92bcVjtIdVa-UlsCw"", ""Interns!D:D""), 
   IMPORTRANGE(""1RdEdgHYrZ33LJ7RUHj_h-qkAFL92bcVjtIdVa-UlsCw"", ""Interns!M:M""), 
   ""Not Found"")"),"Contacted")</f>
        <v>Contacted</v>
      </c>
      <c r="AL1472" s="23" t="str">
        <f>IFERROR(__xludf.DUMMYFUNCTION("XLOOKUP(C1472, 
   IMPORTRANGE(""1RdEdgHYrZ33LJ7RUHj_h-qkAFL92bcVjtIdVa-UlsCw"", ""Interns!D:D""), 
   IMPORTRANGE(""1RdEdgHYrZ33LJ7RUHj_h-qkAFL92bcVjtIdVa-UlsCw"", ""Interns!N:N""), 
   ""Not Found"")"),"#Cheers4Careers")</f>
        <v>#Cheers4Careers</v>
      </c>
      <c r="AM1472" s="23" t="str">
        <f>IFERROR(__xludf.DUMMYFUNCTION("XLOOKUP(C1472, 
   IMPORTRANGE(""1RdEdgHYrZ33LJ7RUHj_h-qkAFL92bcVjtIdVa-UlsCw"", ""Interns!D:D""), 
   IMPORTRANGE(""1RdEdgHYrZ33LJ7RUHj_h-qkAFL92bcVjtIdVa-UlsCw"", ""Interns!O:O""), 
   ""Not Found"")"),"Hetal reached out by email 3/27")</f>
        <v>Hetal reached out by email 3/27</v>
      </c>
      <c r="AN1472" s="23"/>
      <c r="AO1472" s="23" t="s">
        <v>14271</v>
      </c>
      <c r="AP1472" s="28" t="s">
        <v>5173</v>
      </c>
      <c r="AQ1472" s="28"/>
      <c r="AR1472" s="23"/>
      <c r="AS1472" s="23"/>
      <c r="AT1472" s="23"/>
      <c r="AU1472" s="23"/>
      <c r="AV1472" s="23"/>
    </row>
    <row r="1473">
      <c r="A1473" s="28" t="s">
        <v>5202</v>
      </c>
      <c r="B1473" s="28" t="s">
        <v>5162</v>
      </c>
      <c r="C1473" s="23" t="str">
        <f t="shared" si="39"/>
        <v>Santiago Julio</v>
      </c>
      <c r="D1473" s="28" t="s">
        <v>6377</v>
      </c>
      <c r="E1473" s="28" t="s">
        <v>8509</v>
      </c>
      <c r="F1473" s="28">
        <v>1069.0</v>
      </c>
      <c r="G1473" s="28">
        <v>1441.0</v>
      </c>
      <c r="H1473" s="28">
        <v>1420.0</v>
      </c>
      <c r="I1473" s="28" t="s">
        <v>785</v>
      </c>
      <c r="J1473" s="28" t="s">
        <v>6002</v>
      </c>
      <c r="K1473" s="28" t="s">
        <v>5463</v>
      </c>
      <c r="L1473" s="28" t="s">
        <v>5165</v>
      </c>
      <c r="M1473" s="56" t="s">
        <v>12956</v>
      </c>
      <c r="N1473" s="57">
        <v>44866.3875</v>
      </c>
      <c r="O1473" s="58">
        <v>40280.0</v>
      </c>
      <c r="P1473" s="28">
        <f t="shared" si="41"/>
        <v>16</v>
      </c>
      <c r="Q1473" s="28" t="s">
        <v>240</v>
      </c>
      <c r="R1473" s="28" t="s">
        <v>14272</v>
      </c>
      <c r="S1473" s="28">
        <v>7.0</v>
      </c>
      <c r="T1473" s="28">
        <v>12.0</v>
      </c>
      <c r="U1473" s="28">
        <v>37.0</v>
      </c>
      <c r="V1473" s="28">
        <v>26.0</v>
      </c>
      <c r="W1473" s="28" t="s">
        <v>1173</v>
      </c>
      <c r="X1473" s="28" t="s">
        <v>272</v>
      </c>
      <c r="Y1473" s="28" t="s">
        <v>5351</v>
      </c>
      <c r="Z1473" s="28" t="s">
        <v>5352</v>
      </c>
      <c r="AA1473" s="28" t="s">
        <v>5287</v>
      </c>
      <c r="AB1473" s="28">
        <v>26.0</v>
      </c>
      <c r="AC1473" s="28" t="s">
        <v>23</v>
      </c>
      <c r="AD1473" s="23"/>
      <c r="AE1473" s="28" t="s">
        <v>15</v>
      </c>
      <c r="AF1473" s="23"/>
      <c r="AG1473" s="23"/>
      <c r="AH1473" s="23" t="str">
        <f>IFERROR(__xludf.DUMMYFUNCTION("IF(
ISNUMBER(MATCH(
C1473,
IMPORTRANGE(""https://docs.google.com/spreadsheets/d/1yTh1ELC33JHYOeEdgIiEclxPRyh0zOKtlawDltfUay8"",""'Interns'!A:A""),
0
)),
""Outreach Conducted"",
"""")"),"")</f>
        <v/>
      </c>
      <c r="AI1473" s="23"/>
      <c r="AJ1473" s="23"/>
      <c r="AK1473" s="23" t="str">
        <f>IFERROR(__xludf.DUMMYFUNCTION("XLOOKUP(C1473, 
   IMPORTRANGE(""1RdEdgHYrZ33LJ7RUHj_h-qkAFL92bcVjtIdVa-UlsCw"", ""Interns!D:D""), 
   IMPORTRANGE(""1RdEdgHYrZ33LJ7RUHj_h-qkAFL92bcVjtIdVa-UlsCw"", ""Interns!M:M""), 
   ""Not Found"")"),"")</f>
        <v/>
      </c>
      <c r="AL1473" s="23" t="str">
        <f>IFERROR(__xludf.DUMMYFUNCTION("XLOOKUP(C1473, 
   IMPORTRANGE(""1RdEdgHYrZ33LJ7RUHj_h-qkAFL92bcVjtIdVa-UlsCw"", ""Interns!D:D""), 
   IMPORTRANGE(""1RdEdgHYrZ33LJ7RUHj_h-qkAFL92bcVjtIdVa-UlsCw"", ""Interns!N:N""), 
   ""Not Found"")"),"")</f>
        <v/>
      </c>
      <c r="AM1473" s="23" t="str">
        <f>IFERROR(__xludf.DUMMYFUNCTION("XLOOKUP(C1473, 
   IMPORTRANGE(""1RdEdgHYrZ33LJ7RUHj_h-qkAFL92bcVjtIdVa-UlsCw"", ""Interns!D:D""), 
   IMPORTRANGE(""1RdEdgHYrZ33LJ7RUHj_h-qkAFL92bcVjtIdVa-UlsCw"", ""Interns!O:O""), 
   ""Not Found"")"),"")</f>
        <v/>
      </c>
      <c r="AN1473" s="23"/>
      <c r="AO1473" s="23" t="s">
        <v>14273</v>
      </c>
      <c r="AP1473" s="28" t="s">
        <v>5182</v>
      </c>
      <c r="AQ1473" s="28"/>
      <c r="AR1473" s="23"/>
      <c r="AS1473" s="23"/>
      <c r="AT1473" s="23"/>
      <c r="AU1473" s="23"/>
      <c r="AV1473" s="23"/>
    </row>
    <row r="1474">
      <c r="A1474" s="28" t="s">
        <v>5161</v>
      </c>
      <c r="B1474" s="28" t="s">
        <v>5162</v>
      </c>
      <c r="C1474" s="23" t="str">
        <f t="shared" si="39"/>
        <v>Moussa Doukoure</v>
      </c>
      <c r="D1474" s="28" t="s">
        <v>8995</v>
      </c>
      <c r="E1474" s="28" t="s">
        <v>8996</v>
      </c>
      <c r="F1474" s="23">
        <f t="array" ref="F1474">IFERROR(
    INDEX('Hub Interns 226'!A:A, MATCH(C1474, 'Hub Interns 226'!B:B, 0)),"")</f>
        <v>902</v>
      </c>
      <c r="G1474" s="23">
        <f t="array" ref="G1474">IFERROR(
    INDEX('Hub Users 226'!A:A, MATCH(C1474, 'Hub Users 226'!B:B, 0)),"")</f>
        <v>1335</v>
      </c>
      <c r="H1474" s="28">
        <v>863.0</v>
      </c>
      <c r="I1474" s="28" t="s">
        <v>260</v>
      </c>
      <c r="J1474" s="28"/>
      <c r="K1474" s="28" t="s">
        <v>5245</v>
      </c>
      <c r="L1474" s="28" t="s">
        <v>5165</v>
      </c>
      <c r="M1474" s="56" t="s">
        <v>8997</v>
      </c>
      <c r="N1474" s="57">
        <v>44595.563888888886</v>
      </c>
      <c r="O1474" s="58">
        <v>37694.0</v>
      </c>
      <c r="P1474" s="28">
        <f t="shared" si="41"/>
        <v>23</v>
      </c>
      <c r="Q1474" s="28" t="s">
        <v>240</v>
      </c>
      <c r="R1474" s="28" t="s">
        <v>8998</v>
      </c>
      <c r="S1474" s="28"/>
      <c r="T1474" s="28"/>
      <c r="U1474" s="28"/>
      <c r="V1474" s="28"/>
      <c r="W1474" s="28"/>
      <c r="X1474" s="28" t="s">
        <v>272</v>
      </c>
      <c r="Y1474" s="28" t="s">
        <v>8999</v>
      </c>
      <c r="Z1474" s="28" t="s">
        <v>5208</v>
      </c>
      <c r="AA1474" s="28" t="s">
        <v>2141</v>
      </c>
      <c r="AB1474" s="28">
        <v>8.0</v>
      </c>
      <c r="AC1474" s="28" t="s">
        <v>24</v>
      </c>
      <c r="AD1474" s="23"/>
      <c r="AE1474" s="28" t="s">
        <v>10</v>
      </c>
      <c r="AF1474" s="23"/>
      <c r="AG1474" s="23"/>
      <c r="AH1474" s="23" t="str">
        <f>IFERROR(__xludf.DUMMYFUNCTION("IF(
ISNUMBER(MATCH(
C1474,
IMPORTRANGE(""https://docs.google.com/spreadsheets/d/1yTh1ELC33JHYOeEdgIiEclxPRyh0zOKtlawDltfUay8"",""'Interns'!A:A""),
0
)),
""Outreach Conducted"",
"""")"),"")</f>
        <v/>
      </c>
      <c r="AI1474" s="23"/>
      <c r="AJ1474" s="23"/>
      <c r="AK1474" s="23" t="str">
        <f>IFERROR(__xludf.DUMMYFUNCTION("XLOOKUP(C1474, 
   IMPORTRANGE(""1RdEdgHYrZ33LJ7RUHj_h-qkAFL92bcVjtIdVa-UlsCw"", ""Interns!D:D""), 
   IMPORTRANGE(""1RdEdgHYrZ33LJ7RUHj_h-qkAFL92bcVjtIdVa-UlsCw"", ""Interns!M:M""), 
   ""Not Found"")"),"Contacted")</f>
        <v>Contacted</v>
      </c>
      <c r="AL1474" s="23" t="str">
        <f>IFERROR(__xludf.DUMMYFUNCTION("XLOOKUP(C1474, 
   IMPORTRANGE(""1RdEdgHYrZ33LJ7RUHj_h-qkAFL92bcVjtIdVa-UlsCw"", ""Interns!D:D""), 
   IMPORTRANGE(""1RdEdgHYrZ33LJ7RUHj_h-qkAFL92bcVjtIdVa-UlsCw"", ""Interns!N:N""), 
   ""Not Found"")"),"#Cheers4Careers")</f>
        <v>#Cheers4Careers</v>
      </c>
      <c r="AM1474" s="23" t="str">
        <f>IFERROR(__xludf.DUMMYFUNCTION("XLOOKUP(C1474, 
   IMPORTRANGE(""1RdEdgHYrZ33LJ7RUHj_h-qkAFL92bcVjtIdVa-UlsCw"", ""Interns!D:D""), 
   IMPORTRANGE(""1RdEdgHYrZ33LJ7RUHj_h-qkAFL92bcVjtIdVa-UlsCw"", ""Interns!O:O""), 
   ""Not Found"")"),"Hetal reached out by email 3/27")</f>
        <v>Hetal reached out by email 3/27</v>
      </c>
      <c r="AN1474" s="23"/>
      <c r="AO1474" s="23" t="s">
        <v>9000</v>
      </c>
      <c r="AP1474" s="28" t="s">
        <v>5908</v>
      </c>
      <c r="AQ1474" s="28"/>
      <c r="AR1474" s="23"/>
      <c r="AS1474" s="23"/>
      <c r="AT1474" s="23"/>
      <c r="AU1474" s="23"/>
      <c r="AV1474" s="23"/>
    </row>
    <row r="1475">
      <c r="A1475" s="28" t="s">
        <v>5161</v>
      </c>
      <c r="B1475" s="28" t="s">
        <v>5162</v>
      </c>
      <c r="C1475" s="23" t="str">
        <f t="shared" si="39"/>
        <v>Ximena Ordonez</v>
      </c>
      <c r="D1475" s="28" t="s">
        <v>14274</v>
      </c>
      <c r="E1475" s="28" t="s">
        <v>10931</v>
      </c>
      <c r="F1475" s="23">
        <f t="array" ref="F1475">IFERROR(
    INDEX('Hub Interns 226'!A:A, MATCH(C1475, 'Hub Interns 226'!B:B, 0)),"")</f>
        <v>1204</v>
      </c>
      <c r="G1475" s="23">
        <f t="array" ref="G1475">IFERROR(
    INDEX('Hub Users 226'!A:A, MATCH(C1475, 'Hub Users 226'!B:B, 0)),"")</f>
        <v>1637</v>
      </c>
      <c r="H1475" s="28">
        <v>1189.0</v>
      </c>
      <c r="I1475" s="28" t="s">
        <v>260</v>
      </c>
      <c r="J1475" s="28"/>
      <c r="K1475" s="28"/>
      <c r="L1475" s="28" t="s">
        <v>5196</v>
      </c>
      <c r="M1475" s="56" t="s">
        <v>14275</v>
      </c>
      <c r="N1475" s="57">
        <v>44833.58611111111</v>
      </c>
      <c r="O1475" s="58">
        <v>40045.0</v>
      </c>
      <c r="P1475" s="28">
        <f t="shared" si="41"/>
        <v>16</v>
      </c>
      <c r="Q1475" s="28" t="s">
        <v>240</v>
      </c>
      <c r="R1475" s="28" t="s">
        <v>14276</v>
      </c>
      <c r="S1475" s="28">
        <v>14.0</v>
      </c>
      <c r="T1475" s="28">
        <v>13.0</v>
      </c>
      <c r="U1475" s="28">
        <v>34.0</v>
      </c>
      <c r="V1475" s="28">
        <v>21.0</v>
      </c>
      <c r="W1475" s="28" t="s">
        <v>1173</v>
      </c>
      <c r="X1475" s="28" t="s">
        <v>272</v>
      </c>
      <c r="Y1475" s="28" t="s">
        <v>14277</v>
      </c>
      <c r="Z1475" s="28" t="s">
        <v>5170</v>
      </c>
      <c r="AA1475" s="28" t="s">
        <v>5171</v>
      </c>
      <c r="AB1475" s="28">
        <v>30.0</v>
      </c>
      <c r="AC1475" s="28" t="s">
        <v>23</v>
      </c>
      <c r="AD1475" s="28" t="s">
        <v>101</v>
      </c>
      <c r="AE1475" s="28" t="s">
        <v>15</v>
      </c>
      <c r="AF1475" s="23"/>
      <c r="AG1475" s="23"/>
      <c r="AH1475" s="23" t="str">
        <f>IFERROR(__xludf.DUMMYFUNCTION("IF(
ISNUMBER(MATCH(
C1475,
IMPORTRANGE(""https://docs.google.com/spreadsheets/d/1yTh1ELC33JHYOeEdgIiEclxPRyh0zOKtlawDltfUay8"",""'Interns'!A:A""),
0
)),
""Outreach Conducted"",
"""")"),"")</f>
        <v/>
      </c>
      <c r="AI1475" s="23"/>
      <c r="AJ1475" s="23"/>
      <c r="AK1475" s="23" t="str">
        <f>IFERROR(__xludf.DUMMYFUNCTION("XLOOKUP(C1475, 
   IMPORTRANGE(""1RdEdgHYrZ33LJ7RUHj_h-qkAFL92bcVjtIdVa-UlsCw"", ""Interns!D:D""), 
   IMPORTRANGE(""1RdEdgHYrZ33LJ7RUHj_h-qkAFL92bcVjtIdVa-UlsCw"", ""Interns!M:M""), 
   ""Not Found"")"),"Contacted")</f>
        <v>Contacted</v>
      </c>
      <c r="AL1475" s="23" t="str">
        <f>IFERROR(__xludf.DUMMYFUNCTION("XLOOKUP(C1475, 
   IMPORTRANGE(""1RdEdgHYrZ33LJ7RUHj_h-qkAFL92bcVjtIdVa-UlsCw"", ""Interns!D:D""), 
   IMPORTRANGE(""1RdEdgHYrZ33LJ7RUHj_h-qkAFL92bcVjtIdVa-UlsCw"", ""Interns!N:N""), 
   ""Not Found"")"),"#Cheers4Careers")</f>
        <v>#Cheers4Careers</v>
      </c>
      <c r="AM1475" s="23" t="str">
        <f>IFERROR(__xludf.DUMMYFUNCTION("XLOOKUP(C1475, 
   IMPORTRANGE(""1RdEdgHYrZ33LJ7RUHj_h-qkAFL92bcVjtIdVa-UlsCw"", ""Interns!D:D""), 
   IMPORTRANGE(""1RdEdgHYrZ33LJ7RUHj_h-qkAFL92bcVjtIdVa-UlsCw"", ""Interns!O:O""), 
   ""Not Found"")"),"Hetal reached out March 27 for March #Cheers4 Careers ")</f>
        <v>Hetal reached out March 27 for March #Cheers4 Careers </v>
      </c>
      <c r="AN1475" s="23"/>
      <c r="AO1475" s="23" t="s">
        <v>14278</v>
      </c>
      <c r="AP1475" s="28" t="s">
        <v>5182</v>
      </c>
      <c r="AQ1475" s="28"/>
      <c r="AR1475" s="23"/>
      <c r="AS1475" s="23"/>
      <c r="AT1475" s="23"/>
      <c r="AU1475" s="23"/>
      <c r="AV1475" s="23"/>
    </row>
    <row r="1476">
      <c r="A1476" s="28" t="s">
        <v>5161</v>
      </c>
      <c r="B1476" s="28" t="s">
        <v>5162</v>
      </c>
      <c r="C1476" s="23" t="str">
        <f t="shared" si="39"/>
        <v>Elbin Ortiz</v>
      </c>
      <c r="D1476" s="28" t="s">
        <v>14279</v>
      </c>
      <c r="E1476" s="28" t="s">
        <v>8190</v>
      </c>
      <c r="F1476" s="23">
        <f t="array" ref="F1476">IFERROR(
    INDEX('Hub Interns 226'!A:A, MATCH(C1476, 'Hub Interns 226'!B:B, 0)),"")</f>
        <v>476</v>
      </c>
      <c r="G1476" s="23">
        <f t="array" ref="G1476">IFERROR(
    INDEX('Hub Users 226'!A:A, MATCH(C1476, 'Hub Users 226'!B:B, 0)),"")</f>
        <v>909</v>
      </c>
      <c r="H1476" s="28">
        <v>1324.0</v>
      </c>
      <c r="I1476" s="28" t="s">
        <v>425</v>
      </c>
      <c r="J1476" s="28"/>
      <c r="K1476" s="28"/>
      <c r="L1476" s="28" t="s">
        <v>8087</v>
      </c>
      <c r="M1476" s="56" t="s">
        <v>14280</v>
      </c>
      <c r="N1476" s="59">
        <v>44851.70208333333</v>
      </c>
      <c r="O1476" s="58">
        <v>40410.0</v>
      </c>
      <c r="P1476" s="28">
        <f t="shared" si="41"/>
        <v>15</v>
      </c>
      <c r="Q1476" s="28" t="s">
        <v>240</v>
      </c>
      <c r="R1476" s="28" t="s">
        <v>14281</v>
      </c>
      <c r="S1476" s="28">
        <v>14.0</v>
      </c>
      <c r="T1476" s="28">
        <v>13.0</v>
      </c>
      <c r="U1476" s="28">
        <v>34.0</v>
      </c>
      <c r="V1476" s="28">
        <v>21.0</v>
      </c>
      <c r="W1476" s="28" t="s">
        <v>1173</v>
      </c>
      <c r="X1476" s="28" t="s">
        <v>272</v>
      </c>
      <c r="Y1476" s="28" t="s">
        <v>14282</v>
      </c>
      <c r="Z1476" s="28" t="s">
        <v>5403</v>
      </c>
      <c r="AA1476" s="28" t="s">
        <v>5404</v>
      </c>
      <c r="AB1476" s="28">
        <v>21.0</v>
      </c>
      <c r="AC1476" s="28" t="s">
        <v>23</v>
      </c>
      <c r="AD1476" s="28" t="s">
        <v>101</v>
      </c>
      <c r="AE1476" s="28" t="s">
        <v>15</v>
      </c>
      <c r="AF1476" s="23"/>
      <c r="AG1476" s="23"/>
      <c r="AH1476" s="23" t="str">
        <f>IFERROR(__xludf.DUMMYFUNCTION("IF(
ISNUMBER(MATCH(
C1476,
IMPORTRANGE(""https://docs.google.com/spreadsheets/d/1yTh1ELC33JHYOeEdgIiEclxPRyh0zOKtlawDltfUay8"",""'Interns'!A:A""),
0
)),
""Outreach Conducted"",
"""")"),"")</f>
        <v/>
      </c>
      <c r="AI1476" s="23"/>
      <c r="AJ1476" s="23"/>
      <c r="AK1476" s="23" t="str">
        <f>IFERROR(__xludf.DUMMYFUNCTION("XLOOKUP(C1476, 
   IMPORTRANGE(""1RdEdgHYrZ33LJ7RUHj_h-qkAFL92bcVjtIdVa-UlsCw"", ""Interns!D:D""), 
   IMPORTRANGE(""1RdEdgHYrZ33LJ7RUHj_h-qkAFL92bcVjtIdVa-UlsCw"", ""Interns!M:M""), 
   ""Not Found"")"),"Contacted")</f>
        <v>Contacted</v>
      </c>
      <c r="AL1476" s="23" t="str">
        <f>IFERROR(__xludf.DUMMYFUNCTION("XLOOKUP(C1476, 
   IMPORTRANGE(""1RdEdgHYrZ33LJ7RUHj_h-qkAFL92bcVjtIdVa-UlsCw"", ""Interns!D:D""), 
   IMPORTRANGE(""1RdEdgHYrZ33LJ7RUHj_h-qkAFL92bcVjtIdVa-UlsCw"", ""Interns!N:N""), 
   ""Not Found"")"),"#Cheers4Careers")</f>
        <v>#Cheers4Careers</v>
      </c>
      <c r="AM1476" s="23" t="str">
        <f>IFERROR(__xludf.DUMMYFUNCTION("XLOOKUP(C1476, 
   IMPORTRANGE(""1RdEdgHYrZ33LJ7RUHj_h-qkAFL92bcVjtIdVa-UlsCw"", ""Interns!D:D""), 
   IMPORTRANGE(""1RdEdgHYrZ33LJ7RUHj_h-qkAFL92bcVjtIdVa-UlsCw"", ""Interns!O:O""), 
   ""Not Found"")"),"Reached out by text 3/26-3/28 followed up by email 3/27 by Jackie")</f>
        <v>Reached out by text 3/26-3/28 followed up by email 3/27 by Jackie</v>
      </c>
      <c r="AN1476" s="23"/>
      <c r="AO1476" s="23" t="s">
        <v>14283</v>
      </c>
      <c r="AP1476" s="28" t="s">
        <v>5173</v>
      </c>
      <c r="AQ1476" s="28"/>
      <c r="AR1476" s="23"/>
      <c r="AS1476" s="23"/>
      <c r="AT1476" s="23"/>
      <c r="AU1476" s="23"/>
      <c r="AV1476" s="23"/>
    </row>
    <row r="1477">
      <c r="A1477" s="28" t="s">
        <v>5161</v>
      </c>
      <c r="B1477" s="28" t="s">
        <v>5162</v>
      </c>
      <c r="C1477" s="23" t="str">
        <f t="shared" si="39"/>
        <v>hailie sucuzhanay</v>
      </c>
      <c r="D1477" s="28" t="s">
        <v>14284</v>
      </c>
      <c r="E1477" s="28" t="s">
        <v>14285</v>
      </c>
      <c r="F1477" s="23">
        <f t="array" ref="F1477">IFERROR(
    INDEX('Hub Interns 226'!A:A, MATCH(C1477, 'Hub Interns 226'!B:B, 0)),"")</f>
        <v>584</v>
      </c>
      <c r="G1477" s="23">
        <f t="array" ref="G1477">IFERROR(
    INDEX('Hub Users 226'!A:A, MATCH(C1477, 'Hub Users 226'!B:B, 0)),"")</f>
        <v>1017</v>
      </c>
      <c r="H1477" s="28">
        <v>1088.0</v>
      </c>
      <c r="I1477" s="28" t="s">
        <v>269</v>
      </c>
      <c r="J1477" s="28"/>
      <c r="K1477" s="28"/>
      <c r="L1477" s="28" t="s">
        <v>5196</v>
      </c>
      <c r="M1477" s="56" t="s">
        <v>14286</v>
      </c>
      <c r="N1477" s="57">
        <v>44704.520833333336</v>
      </c>
      <c r="O1477" s="58">
        <v>39483.0</v>
      </c>
      <c r="P1477" s="28">
        <f t="shared" si="41"/>
        <v>18</v>
      </c>
      <c r="Q1477" s="28" t="s">
        <v>240</v>
      </c>
      <c r="R1477" s="28" t="s">
        <v>14287</v>
      </c>
      <c r="S1477" s="28">
        <v>6.0</v>
      </c>
      <c r="T1477" s="28">
        <v>12.0</v>
      </c>
      <c r="U1477" s="28">
        <v>30.0</v>
      </c>
      <c r="V1477" s="28">
        <v>26.0</v>
      </c>
      <c r="W1477" s="28" t="s">
        <v>1173</v>
      </c>
      <c r="X1477" s="28" t="s">
        <v>272</v>
      </c>
      <c r="Y1477" s="28" t="s">
        <v>14288</v>
      </c>
      <c r="Z1477" s="28" t="s">
        <v>5352</v>
      </c>
      <c r="AA1477" s="28" t="s">
        <v>5287</v>
      </c>
      <c r="AB1477" s="28">
        <v>26.0</v>
      </c>
      <c r="AC1477" s="28" t="s">
        <v>24</v>
      </c>
      <c r="AD1477" s="23"/>
      <c r="AE1477" s="28" t="s">
        <v>10</v>
      </c>
      <c r="AF1477" s="23"/>
      <c r="AG1477" s="23"/>
      <c r="AH1477" s="23" t="str">
        <f>IFERROR(__xludf.DUMMYFUNCTION("IF(
ISNUMBER(MATCH(
C1477,
IMPORTRANGE(""https://docs.google.com/spreadsheets/d/1yTh1ELC33JHYOeEdgIiEclxPRyh0zOKtlawDltfUay8"",""'Interns'!A:A""),
0
)),
""Outreach Conducted"",
"""")"),"")</f>
        <v/>
      </c>
      <c r="AI1477" s="23"/>
      <c r="AJ1477" s="23"/>
      <c r="AK1477" s="23" t="str">
        <f>IFERROR(__xludf.DUMMYFUNCTION("XLOOKUP(C1477, 
   IMPORTRANGE(""1RdEdgHYrZ33LJ7RUHj_h-qkAFL92bcVjtIdVa-UlsCw"", ""Interns!D:D""), 
   IMPORTRANGE(""1RdEdgHYrZ33LJ7RUHj_h-qkAFL92bcVjtIdVa-UlsCw"", ""Interns!M:M""), 
   ""Not Found"")"),"Contacted")</f>
        <v>Contacted</v>
      </c>
      <c r="AL1477" s="23" t="str">
        <f>IFERROR(__xludf.DUMMYFUNCTION("XLOOKUP(C1477, 
   IMPORTRANGE(""1RdEdgHYrZ33LJ7RUHj_h-qkAFL92bcVjtIdVa-UlsCw"", ""Interns!D:D""), 
   IMPORTRANGE(""1RdEdgHYrZ33LJ7RUHj_h-qkAFL92bcVjtIdVa-UlsCw"", ""Interns!N:N""), 
   ""Not Found"")"),"#Cheers4Careers")</f>
        <v>#Cheers4Careers</v>
      </c>
      <c r="AM1477" s="23" t="str">
        <f>IFERROR(__xludf.DUMMYFUNCTION("XLOOKUP(C1477, 
   IMPORTRANGE(""1RdEdgHYrZ33LJ7RUHj_h-qkAFL92bcVjtIdVa-UlsCw"", ""Interns!D:D""), 
   IMPORTRANGE(""1RdEdgHYrZ33LJ7RUHj_h-qkAFL92bcVjtIdVa-UlsCw"", ""Interns!O:O""), 
   ""Not Found"")"),"Hetal reached out by email 3/27")</f>
        <v>Hetal reached out by email 3/27</v>
      </c>
      <c r="AN1477" s="23"/>
      <c r="AO1477" s="23" t="s">
        <v>14289</v>
      </c>
      <c r="AP1477" s="28" t="s">
        <v>5191</v>
      </c>
      <c r="AQ1477" s="28"/>
      <c r="AR1477" s="23"/>
      <c r="AS1477" s="23"/>
      <c r="AT1477" s="23"/>
      <c r="AU1477" s="23"/>
      <c r="AV1477" s="23"/>
    </row>
    <row r="1478">
      <c r="A1478" s="28" t="s">
        <v>5161</v>
      </c>
      <c r="B1478" s="28" t="s">
        <v>5162</v>
      </c>
      <c r="C1478" s="23" t="str">
        <f t="shared" si="39"/>
        <v>Andrew Lazo</v>
      </c>
      <c r="D1478" s="28" t="s">
        <v>520</v>
      </c>
      <c r="E1478" s="28" t="s">
        <v>14290</v>
      </c>
      <c r="F1478" s="23">
        <f t="array" ref="F1478">IFERROR(
    INDEX('Hub Interns 226'!A:A, MATCH(C1478, 'Hub Interns 226'!B:B, 0)),"")</f>
        <v>230</v>
      </c>
      <c r="G1478" s="23">
        <f t="array" ref="G1478">IFERROR(
    INDEX('Hub Users 226'!A:A, MATCH(C1478, 'Hub Users 226'!B:B, 0)),"")</f>
        <v>663</v>
      </c>
      <c r="H1478" s="28">
        <v>1510.0</v>
      </c>
      <c r="I1478" s="28" t="s">
        <v>239</v>
      </c>
      <c r="J1478" s="28"/>
      <c r="K1478" s="28"/>
      <c r="L1478" s="28" t="s">
        <v>5165</v>
      </c>
      <c r="M1478" s="56" t="s">
        <v>14291</v>
      </c>
      <c r="N1478" s="57">
        <v>44953.36736111111</v>
      </c>
      <c r="O1478" s="58">
        <v>40203.0</v>
      </c>
      <c r="P1478" s="28">
        <f t="shared" si="41"/>
        <v>16</v>
      </c>
      <c r="Q1478" s="28" t="s">
        <v>240</v>
      </c>
      <c r="R1478" s="28" t="s">
        <v>14292</v>
      </c>
      <c r="S1478" s="28">
        <v>14.0</v>
      </c>
      <c r="T1478" s="28">
        <v>13.0</v>
      </c>
      <c r="U1478" s="28">
        <v>34.0</v>
      </c>
      <c r="V1478" s="28">
        <v>21.0</v>
      </c>
      <c r="W1478" s="28" t="s">
        <v>1173</v>
      </c>
      <c r="X1478" s="28" t="s">
        <v>272</v>
      </c>
      <c r="Y1478" s="28" t="s">
        <v>14293</v>
      </c>
      <c r="Z1478" s="28" t="s">
        <v>5403</v>
      </c>
      <c r="AA1478" s="28" t="s">
        <v>5404</v>
      </c>
      <c r="AB1478" s="28">
        <v>21.0</v>
      </c>
      <c r="AC1478" s="28" t="s">
        <v>23</v>
      </c>
      <c r="AD1478" s="23"/>
      <c r="AE1478" s="28" t="s">
        <v>15</v>
      </c>
      <c r="AF1478" s="23"/>
      <c r="AG1478" s="23"/>
      <c r="AH1478" s="23" t="str">
        <f>IFERROR(__xludf.DUMMYFUNCTION("IF(
ISNUMBER(MATCH(
C1478,
IMPORTRANGE(""https://docs.google.com/spreadsheets/d/1yTh1ELC33JHYOeEdgIiEclxPRyh0zOKtlawDltfUay8"",""'Interns'!A:A""),
0
)),
""Outreach Conducted"",
"""")"),"")</f>
        <v/>
      </c>
      <c r="AI1478" s="23"/>
      <c r="AJ1478" s="23"/>
      <c r="AK1478" s="23" t="str">
        <f>IFERROR(__xludf.DUMMYFUNCTION("XLOOKUP(C1478, 
   IMPORTRANGE(""1RdEdgHYrZ33LJ7RUHj_h-qkAFL92bcVjtIdVa-UlsCw"", ""Interns!D:D""), 
   IMPORTRANGE(""1RdEdgHYrZ33LJ7RUHj_h-qkAFL92bcVjtIdVa-UlsCw"", ""Interns!M:M""), 
   ""Not Found"")"),"Contacted")</f>
        <v>Contacted</v>
      </c>
      <c r="AL1478" s="23" t="str">
        <f>IFERROR(__xludf.DUMMYFUNCTION("XLOOKUP(C1478, 
   IMPORTRANGE(""1RdEdgHYrZ33LJ7RUHj_h-qkAFL92bcVjtIdVa-UlsCw"", ""Interns!D:D""), 
   IMPORTRANGE(""1RdEdgHYrZ33LJ7RUHj_h-qkAFL92bcVjtIdVa-UlsCw"", ""Interns!N:N""), 
   ""Not Found"")"),"#Cheers4Careers")</f>
        <v>#Cheers4Careers</v>
      </c>
      <c r="AM1478" s="23" t="str">
        <f>IFERROR(__xludf.DUMMYFUNCTION("XLOOKUP(C1478, 
   IMPORTRANGE(""1RdEdgHYrZ33LJ7RUHj_h-qkAFL92bcVjtIdVa-UlsCw"", ""Interns!D:D""), 
   IMPORTRANGE(""1RdEdgHYrZ33LJ7RUHj_h-qkAFL92bcVjtIdVa-UlsCw"", ""Interns!O:O""), 
   ""Not Found"")"),"Reached out by text 3/26-3/28 followed up by email 3/27 by Jackie")</f>
        <v>Reached out by text 3/26-3/28 followed up by email 3/27 by Jackie</v>
      </c>
      <c r="AN1478" s="23"/>
      <c r="AO1478" s="23" t="s">
        <v>14294</v>
      </c>
      <c r="AP1478" s="28" t="s">
        <v>5182</v>
      </c>
      <c r="AQ1478" s="28"/>
      <c r="AR1478" s="23"/>
      <c r="AS1478" s="23"/>
      <c r="AT1478" s="23"/>
      <c r="AU1478" s="23"/>
      <c r="AV1478" s="23"/>
    </row>
    <row r="1479">
      <c r="A1479" s="28" t="s">
        <v>5161</v>
      </c>
      <c r="B1479" s="28" t="s">
        <v>5162</v>
      </c>
      <c r="C1479" s="23" t="str">
        <f t="shared" si="39"/>
        <v>Marisela Calle Sarmiento</v>
      </c>
      <c r="D1479" s="28" t="s">
        <v>14295</v>
      </c>
      <c r="E1479" s="28" t="s">
        <v>14296</v>
      </c>
      <c r="F1479" s="23">
        <f t="array" ref="F1479">IFERROR(
    INDEX('Hub Interns 226'!A:A, MATCH(C1479, 'Hub Interns 226'!B:B, 0)),"")</f>
        <v>847</v>
      </c>
      <c r="G1479" s="23">
        <f t="array" ref="G1479">IFERROR(
    INDEX('Hub Users 226'!A:A, MATCH(C1479, 'Hub Users 226'!B:B, 0)),"")</f>
        <v>1280</v>
      </c>
      <c r="H1479" s="28">
        <v>998.0</v>
      </c>
      <c r="I1479" s="28" t="s">
        <v>407</v>
      </c>
      <c r="J1479" s="28"/>
      <c r="K1479" s="28"/>
      <c r="L1479" s="28" t="s">
        <v>5196</v>
      </c>
      <c r="M1479" s="56" t="s">
        <v>14297</v>
      </c>
      <c r="N1479" s="57">
        <v>44648.69513888889</v>
      </c>
      <c r="O1479" s="58">
        <v>39862.0</v>
      </c>
      <c r="P1479" s="28">
        <f t="shared" si="41"/>
        <v>17</v>
      </c>
      <c r="Q1479" s="28" t="s">
        <v>14298</v>
      </c>
      <c r="R1479" s="28" t="s">
        <v>14299</v>
      </c>
      <c r="S1479" s="28">
        <v>14.0</v>
      </c>
      <c r="T1479" s="28">
        <v>13.0</v>
      </c>
      <c r="U1479" s="28">
        <v>35.0</v>
      </c>
      <c r="V1479" s="28">
        <v>21.0</v>
      </c>
      <c r="W1479" s="28" t="s">
        <v>1173</v>
      </c>
      <c r="X1479" s="28" t="s">
        <v>272</v>
      </c>
      <c r="Y1479" s="28" t="s">
        <v>14300</v>
      </c>
      <c r="Z1479" s="28" t="s">
        <v>5403</v>
      </c>
      <c r="AA1479" s="28" t="s">
        <v>5404</v>
      </c>
      <c r="AB1479" s="28">
        <v>21.0</v>
      </c>
      <c r="AC1479" s="28" t="s">
        <v>24</v>
      </c>
      <c r="AD1479" s="23"/>
      <c r="AE1479" s="28" t="s">
        <v>10</v>
      </c>
      <c r="AF1479" s="23"/>
      <c r="AG1479" s="23"/>
      <c r="AH1479" s="23" t="str">
        <f>IFERROR(__xludf.DUMMYFUNCTION("IF(
ISNUMBER(MATCH(
C1479,
IMPORTRANGE(""https://docs.google.com/spreadsheets/d/1yTh1ELC33JHYOeEdgIiEclxPRyh0zOKtlawDltfUay8"",""'Interns'!A:A""),
0
)),
""Outreach Conducted"",
"""")"),"")</f>
        <v/>
      </c>
      <c r="AI1479" s="23"/>
      <c r="AJ1479" s="23"/>
      <c r="AK1479" s="23" t="str">
        <f>IFERROR(__xludf.DUMMYFUNCTION("XLOOKUP(C1479, 
   IMPORTRANGE(""1RdEdgHYrZ33LJ7RUHj_h-qkAFL92bcVjtIdVa-UlsCw"", ""Interns!D:D""), 
   IMPORTRANGE(""1RdEdgHYrZ33LJ7RUHj_h-qkAFL92bcVjtIdVa-UlsCw"", ""Interns!M:M""), 
   ""Not Found"")"),"Contacted")</f>
        <v>Contacted</v>
      </c>
      <c r="AL1479" s="23" t="str">
        <f>IFERROR(__xludf.DUMMYFUNCTION("XLOOKUP(C1479, 
   IMPORTRANGE(""1RdEdgHYrZ33LJ7RUHj_h-qkAFL92bcVjtIdVa-UlsCw"", ""Interns!D:D""), 
   IMPORTRANGE(""1RdEdgHYrZ33LJ7RUHj_h-qkAFL92bcVjtIdVa-UlsCw"", ""Interns!N:N""), 
   ""Not Found"")"),"#Cheers4Careers")</f>
        <v>#Cheers4Careers</v>
      </c>
      <c r="AM1479" s="23" t="str">
        <f>IFERROR(__xludf.DUMMYFUNCTION("XLOOKUP(C1479,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479" s="23"/>
      <c r="AO1479" s="23" t="s">
        <v>14301</v>
      </c>
      <c r="AP1479" s="28" t="s">
        <v>5182</v>
      </c>
      <c r="AQ1479" s="28"/>
      <c r="AR1479" s="23"/>
      <c r="AS1479" s="23"/>
      <c r="AT1479" s="23"/>
      <c r="AU1479" s="23"/>
      <c r="AV1479" s="23"/>
    </row>
    <row r="1480">
      <c r="A1480" s="28" t="s">
        <v>5202</v>
      </c>
      <c r="B1480" s="28" t="s">
        <v>5162</v>
      </c>
      <c r="C1480" s="23" t="str">
        <f t="shared" si="39"/>
        <v>Juan Martinez</v>
      </c>
      <c r="D1480" s="28" t="s">
        <v>5764</v>
      </c>
      <c r="E1480" s="28" t="s">
        <v>2010</v>
      </c>
      <c r="F1480" s="23">
        <f t="array" ref="F1480">IFERROR(
    INDEX('Hub Interns 226'!A:A, MATCH(C1480, 'Hub Interns 226'!B:B, 0)),"")</f>
        <v>892</v>
      </c>
      <c r="G1480" s="23">
        <f t="array" ref="G1480">IFERROR(
    INDEX('Hub Users 226'!A:A, MATCH(C1480, 'Hub Users 226'!B:B, 0)),"")</f>
        <v>1325</v>
      </c>
      <c r="H1480" s="28">
        <v>1318.0</v>
      </c>
      <c r="I1480" s="28" t="s">
        <v>269</v>
      </c>
      <c r="J1480" s="28" t="s">
        <v>6002</v>
      </c>
      <c r="K1480" s="28" t="s">
        <v>5463</v>
      </c>
      <c r="L1480" s="28" t="s">
        <v>5165</v>
      </c>
      <c r="M1480" s="56" t="s">
        <v>14302</v>
      </c>
      <c r="N1480" s="59">
        <v>44851.57083333333</v>
      </c>
      <c r="O1480" s="58">
        <v>39572.0</v>
      </c>
      <c r="P1480" s="28">
        <f t="shared" si="41"/>
        <v>18</v>
      </c>
      <c r="Q1480" s="28" t="s">
        <v>240</v>
      </c>
      <c r="R1480" s="28" t="s">
        <v>14303</v>
      </c>
      <c r="S1480" s="28">
        <v>15.0</v>
      </c>
      <c r="T1480" s="28">
        <v>33.0</v>
      </c>
      <c r="U1480" s="28">
        <v>78.0</v>
      </c>
      <c r="V1480" s="28">
        <v>15.0</v>
      </c>
      <c r="W1480" s="28" t="s">
        <v>859</v>
      </c>
      <c r="X1480" s="28" t="s">
        <v>272</v>
      </c>
      <c r="Y1480" s="28" t="s">
        <v>14304</v>
      </c>
      <c r="Z1480" s="28" t="s">
        <v>5918</v>
      </c>
      <c r="AA1480" s="28" t="s">
        <v>477</v>
      </c>
      <c r="AB1480" s="28">
        <v>15.0</v>
      </c>
      <c r="AC1480" s="28" t="s">
        <v>23</v>
      </c>
      <c r="AD1480" s="23"/>
      <c r="AE1480" s="28" t="s">
        <v>15</v>
      </c>
      <c r="AF1480" s="23"/>
      <c r="AG1480" s="23"/>
      <c r="AH1480" s="23" t="str">
        <f>IFERROR(__xludf.DUMMYFUNCTION("IF(
ISNUMBER(MATCH(
C1480,
IMPORTRANGE(""https://docs.google.com/spreadsheets/d/1yTh1ELC33JHYOeEdgIiEclxPRyh0zOKtlawDltfUay8"",""'Interns'!A:A""),
0
)),
""Outreach Conducted"",
"""")"),"")</f>
        <v/>
      </c>
      <c r="AI1480" s="23"/>
      <c r="AJ1480" s="23"/>
      <c r="AK1480" s="23" t="str">
        <f>IFERROR(__xludf.DUMMYFUNCTION("XLOOKUP(C1480, 
   IMPORTRANGE(""1RdEdgHYrZ33LJ7RUHj_h-qkAFL92bcVjtIdVa-UlsCw"", ""Interns!D:D""), 
   IMPORTRANGE(""1RdEdgHYrZ33LJ7RUHj_h-qkAFL92bcVjtIdVa-UlsCw"", ""Interns!M:M""), 
   ""Not Found"")"),"")</f>
        <v/>
      </c>
      <c r="AL1480" s="23" t="str">
        <f>IFERROR(__xludf.DUMMYFUNCTION("XLOOKUP(C1480, 
   IMPORTRANGE(""1RdEdgHYrZ33LJ7RUHj_h-qkAFL92bcVjtIdVa-UlsCw"", ""Interns!D:D""), 
   IMPORTRANGE(""1RdEdgHYrZ33LJ7RUHj_h-qkAFL92bcVjtIdVa-UlsCw"", ""Interns!N:N""), 
   ""Not Found"")"),"")</f>
        <v/>
      </c>
      <c r="AM1480" s="23" t="str">
        <f>IFERROR(__xludf.DUMMYFUNCTION("XLOOKUP(C1480, 
   IMPORTRANGE(""1RdEdgHYrZ33LJ7RUHj_h-qkAFL92bcVjtIdVa-UlsCw"", ""Interns!D:D""), 
   IMPORTRANGE(""1RdEdgHYrZ33LJ7RUHj_h-qkAFL92bcVjtIdVa-UlsCw"", ""Interns!O:O""), 
   ""Not Found"")"),"")</f>
        <v/>
      </c>
      <c r="AN1480" s="23"/>
      <c r="AO1480" s="23" t="s">
        <v>14305</v>
      </c>
      <c r="AP1480" s="28" t="s">
        <v>5182</v>
      </c>
      <c r="AQ1480" s="28"/>
      <c r="AR1480" s="23"/>
      <c r="AS1480" s="23"/>
      <c r="AT1480" s="23"/>
      <c r="AU1480" s="23"/>
      <c r="AV1480" s="23"/>
    </row>
    <row r="1481">
      <c r="A1481" s="28" t="s">
        <v>5161</v>
      </c>
      <c r="B1481" s="28" t="s">
        <v>5162</v>
      </c>
      <c r="C1481" s="23" t="str">
        <f t="shared" si="39"/>
        <v>Pamela Aguirre</v>
      </c>
      <c r="D1481" s="28" t="s">
        <v>2771</v>
      </c>
      <c r="E1481" s="28" t="s">
        <v>12057</v>
      </c>
      <c r="F1481" s="23">
        <f t="array" ref="F1481">IFERROR(
    INDEX('Hub Interns 226'!A:A, MATCH(C1481, 'Hub Interns 226'!B:B, 0)),"")</f>
        <v>985</v>
      </c>
      <c r="G1481" s="23">
        <f t="array" ref="G1481">IFERROR(
    INDEX('Hub Users 226'!A:A, MATCH(C1481, 'Hub Users 226'!B:B, 0)),"")</f>
        <v>1418</v>
      </c>
      <c r="H1481" s="28">
        <v>1530.0</v>
      </c>
      <c r="I1481" s="28" t="s">
        <v>407</v>
      </c>
      <c r="J1481" s="28"/>
      <c r="K1481" s="28"/>
      <c r="L1481" s="28" t="s">
        <v>5196</v>
      </c>
      <c r="M1481" s="56" t="s">
        <v>14306</v>
      </c>
      <c r="N1481" s="57">
        <v>44953.388194444444</v>
      </c>
      <c r="O1481" s="58">
        <v>40618.0</v>
      </c>
      <c r="P1481" s="28">
        <f t="shared" si="41"/>
        <v>15</v>
      </c>
      <c r="Q1481" s="28" t="s">
        <v>240</v>
      </c>
      <c r="R1481" s="28" t="s">
        <v>14307</v>
      </c>
      <c r="S1481" s="28">
        <v>14.0</v>
      </c>
      <c r="T1481" s="28">
        <v>13.0</v>
      </c>
      <c r="U1481" s="28">
        <v>35.0</v>
      </c>
      <c r="V1481" s="28">
        <v>21.0</v>
      </c>
      <c r="W1481" s="28" t="s">
        <v>1173</v>
      </c>
      <c r="X1481" s="28" t="s">
        <v>272</v>
      </c>
      <c r="Y1481" s="28" t="s">
        <v>14308</v>
      </c>
      <c r="Z1481" s="28" t="s">
        <v>5403</v>
      </c>
      <c r="AA1481" s="28" t="s">
        <v>5404</v>
      </c>
      <c r="AB1481" s="28">
        <v>21.0</v>
      </c>
      <c r="AC1481" s="28" t="s">
        <v>23</v>
      </c>
      <c r="AD1481" s="23"/>
      <c r="AE1481" s="28" t="s">
        <v>15</v>
      </c>
      <c r="AF1481" s="23"/>
      <c r="AG1481" s="23"/>
      <c r="AH1481" s="23" t="str">
        <f>IFERROR(__xludf.DUMMYFUNCTION("IF(
ISNUMBER(MATCH(
C1481,
IMPORTRANGE(""https://docs.google.com/spreadsheets/d/1yTh1ELC33JHYOeEdgIiEclxPRyh0zOKtlawDltfUay8"",""'Interns'!A:A""),
0
)),
""Outreach Conducted"",
"""")"),"")</f>
        <v/>
      </c>
      <c r="AI1481" s="23"/>
      <c r="AJ1481" s="23"/>
      <c r="AK1481" s="23" t="str">
        <f>IFERROR(__xludf.DUMMYFUNCTION("XLOOKUP(C1481, 
   IMPORTRANGE(""1RdEdgHYrZ33LJ7RUHj_h-qkAFL92bcVjtIdVa-UlsCw"", ""Interns!D:D""), 
   IMPORTRANGE(""1RdEdgHYrZ33LJ7RUHj_h-qkAFL92bcVjtIdVa-UlsCw"", ""Interns!M:M""), 
   ""Not Found"")"),"Contacted")</f>
        <v>Contacted</v>
      </c>
      <c r="AL1481" s="23" t="str">
        <f>IFERROR(__xludf.DUMMYFUNCTION("XLOOKUP(C1481, 
   IMPORTRANGE(""1RdEdgHYrZ33LJ7RUHj_h-qkAFL92bcVjtIdVa-UlsCw"", ""Interns!D:D""), 
   IMPORTRANGE(""1RdEdgHYrZ33LJ7RUHj_h-qkAFL92bcVjtIdVa-UlsCw"", ""Interns!N:N""), 
   ""Not Found"")"),"#Cheers4Careers")</f>
        <v>#Cheers4Careers</v>
      </c>
      <c r="AM1481" s="23" t="str">
        <f>IFERROR(__xludf.DUMMYFUNCTION("XLOOKUP(C1481,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481" s="23"/>
      <c r="AO1481" s="23" t="s">
        <v>14309</v>
      </c>
      <c r="AP1481" s="28" t="s">
        <v>5182</v>
      </c>
      <c r="AQ1481" s="28"/>
      <c r="AR1481" s="23"/>
      <c r="AS1481" s="23"/>
      <c r="AT1481" s="23"/>
      <c r="AU1481" s="23"/>
      <c r="AV1481" s="23"/>
    </row>
    <row r="1482">
      <c r="A1482" s="28" t="s">
        <v>5161</v>
      </c>
      <c r="B1482" s="28" t="s">
        <v>31</v>
      </c>
      <c r="C1482" s="23" t="str">
        <f t="shared" si="39"/>
        <v>Marvin Merino.</v>
      </c>
      <c r="D1482" s="28" t="s">
        <v>12539</v>
      </c>
      <c r="E1482" s="28" t="s">
        <v>14310</v>
      </c>
      <c r="F1482" s="23">
        <f t="array" ref="F1482">IFERROR(
    INDEX('Hub Interns 226'!A:A, MATCH("Marvin. Merino", 'Hub Interns 226'!B:B, 0)),"")</f>
        <v>850</v>
      </c>
      <c r="G1482" s="23">
        <f t="array" ref="G1482">IFERROR(
    INDEX('Hub Users 226'!A:A, MATCH("Marvin. Merino", 'Hub Users 226'!B:B, 0)),"")</f>
        <v>1283</v>
      </c>
      <c r="H1482" s="28">
        <v>1646.0</v>
      </c>
      <c r="I1482" s="28" t="s">
        <v>290</v>
      </c>
      <c r="J1482" s="28"/>
      <c r="K1482" s="28"/>
      <c r="L1482" s="28" t="s">
        <v>5165</v>
      </c>
      <c r="M1482" s="56" t="s">
        <v>12541</v>
      </c>
      <c r="N1482" s="57">
        <v>45117.4</v>
      </c>
      <c r="O1482" s="58">
        <v>38665.0</v>
      </c>
      <c r="P1482" s="28">
        <f t="shared" si="41"/>
        <v>20</v>
      </c>
      <c r="Q1482" s="28" t="s">
        <v>240</v>
      </c>
      <c r="R1482" s="28" t="s">
        <v>14311</v>
      </c>
      <c r="S1482" s="28"/>
      <c r="T1482" s="28"/>
      <c r="U1482" s="28"/>
      <c r="V1482" s="28"/>
      <c r="W1482" s="28" t="s">
        <v>271</v>
      </c>
      <c r="X1482" s="28" t="s">
        <v>272</v>
      </c>
      <c r="Y1482" s="28" t="s">
        <v>12543</v>
      </c>
      <c r="Z1482" s="28" t="s">
        <v>5259</v>
      </c>
      <c r="AA1482" s="28" t="s">
        <v>5639</v>
      </c>
      <c r="AB1482" s="23"/>
      <c r="AC1482" s="28" t="s">
        <v>27</v>
      </c>
      <c r="AD1482" s="23"/>
      <c r="AE1482" s="28" t="s">
        <v>18</v>
      </c>
      <c r="AF1482" s="23"/>
      <c r="AG1482" s="23"/>
      <c r="AH1482" s="23" t="str">
        <f>IFERROR(__xludf.DUMMYFUNCTION("IF(
ISNUMBER(MATCH(
C1482,
IMPORTRANGE(""https://docs.google.com/spreadsheets/d/1yTh1ELC33JHYOeEdgIiEclxPRyh0zOKtlawDltfUay8"",""'Interns'!A:A""),
0
)),
""Outreach Conducted"",
"""")"),"")</f>
        <v/>
      </c>
      <c r="AI1482" s="23"/>
      <c r="AJ1482" s="23"/>
      <c r="AK1482" s="23" t="str">
        <f>IFERROR(__xludf.DUMMYFUNCTION("XLOOKUP(C1482, 
   IMPORTRANGE(""1RdEdgHYrZ33LJ7RUHj_h-qkAFL92bcVjtIdVa-UlsCw"", ""Interns!D:D""), 
   IMPORTRANGE(""1RdEdgHYrZ33LJ7RUHj_h-qkAFL92bcVjtIdVa-UlsCw"", ""Interns!M:M""), 
   ""Not Found"")"),"")</f>
        <v/>
      </c>
      <c r="AL1482" s="23" t="str">
        <f>IFERROR(__xludf.DUMMYFUNCTION("XLOOKUP(C1482, 
   IMPORTRANGE(""1RdEdgHYrZ33LJ7RUHj_h-qkAFL92bcVjtIdVa-UlsCw"", ""Interns!D:D""), 
   IMPORTRANGE(""1RdEdgHYrZ33LJ7RUHj_h-qkAFL92bcVjtIdVa-UlsCw"", ""Interns!N:N""), 
   ""Not Found"")"),"")</f>
        <v/>
      </c>
      <c r="AM1482" s="23" t="str">
        <f>IFERROR(__xludf.DUMMYFUNCTION("XLOOKUP(C1482, 
   IMPORTRANGE(""1RdEdgHYrZ33LJ7RUHj_h-qkAFL92bcVjtIdVa-UlsCw"", ""Interns!D:D""), 
   IMPORTRANGE(""1RdEdgHYrZ33LJ7RUHj_h-qkAFL92bcVjtIdVa-UlsCw"", ""Interns!O:O""), 
   ""Not Found"")"),"")</f>
        <v/>
      </c>
      <c r="AN1482" s="23"/>
      <c r="AO1482" s="23" t="s">
        <v>14312</v>
      </c>
      <c r="AP1482" s="28" t="s">
        <v>5182</v>
      </c>
      <c r="AQ1482" s="28"/>
      <c r="AR1482" s="23"/>
      <c r="AS1482" s="23"/>
      <c r="AT1482" s="23"/>
      <c r="AU1482" s="23"/>
      <c r="AV1482" s="23"/>
    </row>
    <row r="1483">
      <c r="A1483" s="28" t="s">
        <v>5161</v>
      </c>
      <c r="B1483" s="28" t="s">
        <v>5162</v>
      </c>
      <c r="C1483" s="23" t="str">
        <f t="shared" si="39"/>
        <v>Vanessa Nieves</v>
      </c>
      <c r="D1483" s="22" t="s">
        <v>2909</v>
      </c>
      <c r="E1483" s="22" t="s">
        <v>13321</v>
      </c>
      <c r="F1483" s="23"/>
      <c r="G1483" s="23"/>
      <c r="H1483" s="22">
        <v>1891.0</v>
      </c>
      <c r="I1483" s="28"/>
      <c r="J1483" s="28"/>
      <c r="K1483" s="28"/>
      <c r="L1483" s="28" t="s">
        <v>5196</v>
      </c>
      <c r="M1483" s="29" t="s">
        <v>14313</v>
      </c>
      <c r="N1483" s="22"/>
      <c r="O1483" s="25">
        <v>45846.0</v>
      </c>
      <c r="P1483" s="28">
        <f t="shared" si="41"/>
        <v>0</v>
      </c>
      <c r="Q1483" s="62" t="s">
        <v>14314</v>
      </c>
      <c r="R1483" s="22" t="s">
        <v>14315</v>
      </c>
      <c r="S1483" s="28">
        <v>11.0</v>
      </c>
      <c r="T1483" s="28">
        <v>23.0</v>
      </c>
      <c r="U1483" s="28">
        <v>63.0</v>
      </c>
      <c r="V1483" s="28">
        <v>49.0</v>
      </c>
      <c r="W1483" s="28" t="s">
        <v>9112</v>
      </c>
      <c r="X1483" s="28" t="s">
        <v>272</v>
      </c>
      <c r="Y1483" s="22" t="s">
        <v>14316</v>
      </c>
      <c r="Z1483" s="22" t="s">
        <v>5822</v>
      </c>
      <c r="AA1483" s="28" t="s">
        <v>5822</v>
      </c>
      <c r="AB1483" s="28">
        <v>30.0</v>
      </c>
      <c r="AC1483" s="28" t="s">
        <v>27</v>
      </c>
      <c r="AD1483" s="23"/>
      <c r="AE1483" s="28" t="s">
        <v>20</v>
      </c>
      <c r="AF1483" s="23"/>
      <c r="AG1483" s="23"/>
      <c r="AH1483" s="23" t="str">
        <f>IFERROR(__xludf.DUMMYFUNCTION("IF(
ISNUMBER(MATCH(
C1483,
IMPORTRANGE(""https://docs.google.com/spreadsheets/d/1yTh1ELC33JHYOeEdgIiEclxPRyh0zOKtlawDltfUay8"",""'Interns'!A:A""),
0
)),
""Outreach Conducted"",
"""")"),"")</f>
        <v/>
      </c>
      <c r="AI1483" s="23"/>
      <c r="AJ1483" s="23"/>
      <c r="AK1483" s="23"/>
      <c r="AL1483" s="23" t="str">
        <f>IFERROR(__xludf.DUMMYFUNCTION("XLOOKUP(C1483, 
   IMPORTRANGE(""1RdEdgHYrZ33LJ7RUHj_h-qkAFL92bcVjtIdVa-UlsCw"", ""Interns!D:D""), 
   IMPORTRANGE(""1RdEdgHYrZ33LJ7RUHj_h-qkAFL92bcVjtIdVa-UlsCw"", ""Interns!N:N""), 
   ""Not Found"")"),"#Cheers4Careers")</f>
        <v>#Cheers4Careers</v>
      </c>
      <c r="AM1483" s="23" t="str">
        <f>IFERROR(__xludf.DUMMYFUNCTION("XLOOKUP(C1483, 
   IMPORTRANGE(""1RdEdgHYrZ33LJ7RUHj_h-qkAFL92bcVjtIdVa-UlsCw"", ""Interns!D:D""), 
   IMPORTRANGE(""1RdEdgHYrZ33LJ7RUHj_h-qkAFL92bcVjtIdVa-UlsCw"", ""Interns!O:O""), 
   ""Not Found"")"),"Hetal reached out March 27 for March #Cheers4 Careers ")</f>
        <v>Hetal reached out March 27 for March #Cheers4 Careers </v>
      </c>
      <c r="AN1483" s="23"/>
      <c r="AO1483" s="23" t="s">
        <v>14317</v>
      </c>
      <c r="AP1483" s="28" t="s">
        <v>5182</v>
      </c>
      <c r="AQ1483" s="28" t="s">
        <v>14318</v>
      </c>
      <c r="AR1483" s="23" t="s">
        <v>14319</v>
      </c>
      <c r="AS1483" s="23"/>
      <c r="AT1483" s="23"/>
      <c r="AU1483" s="23"/>
      <c r="AV1483" s="23"/>
    </row>
    <row r="1484">
      <c r="A1484" s="28" t="s">
        <v>5161</v>
      </c>
      <c r="B1484" s="28" t="s">
        <v>5162</v>
      </c>
      <c r="C1484" s="23" t="str">
        <f t="shared" si="39"/>
        <v>Samira Cuero Vivas</v>
      </c>
      <c r="D1484" s="28" t="s">
        <v>6601</v>
      </c>
      <c r="E1484" s="28" t="s">
        <v>10139</v>
      </c>
      <c r="F1484" s="23">
        <f t="array" ref="F1484">IFERROR(
    INDEX('Hub Interns 226'!A:A, MATCH(C1484, 'Hub Interns 226'!B:B, 0)),"")</f>
        <v>1062</v>
      </c>
      <c r="G1484" s="23">
        <f t="array" ref="G1484">IFERROR(
    INDEX('Hub Users 226'!A:A, MATCH(C1484, 'Hub Users 226'!B:B, 0)),"")</f>
        <v>1495</v>
      </c>
      <c r="H1484" s="28">
        <v>1173.0</v>
      </c>
      <c r="I1484" s="28" t="s">
        <v>608</v>
      </c>
      <c r="J1484" s="28"/>
      <c r="K1484" s="28"/>
      <c r="L1484" s="28" t="s">
        <v>5165</v>
      </c>
      <c r="M1484" s="56" t="s">
        <v>10140</v>
      </c>
      <c r="N1484" s="57">
        <v>44760.42083333333</v>
      </c>
      <c r="O1484" s="58">
        <v>38156.0</v>
      </c>
      <c r="P1484" s="28">
        <f t="shared" si="41"/>
        <v>21</v>
      </c>
      <c r="Q1484" s="28" t="s">
        <v>240</v>
      </c>
      <c r="R1484" s="28" t="s">
        <v>10141</v>
      </c>
      <c r="S1484" s="28">
        <v>13.0</v>
      </c>
      <c r="T1484" s="28">
        <v>29.0</v>
      </c>
      <c r="U1484" s="28">
        <v>68.0</v>
      </c>
      <c r="V1484" s="28">
        <v>9.0</v>
      </c>
      <c r="W1484" s="28" t="s">
        <v>271</v>
      </c>
      <c r="X1484" s="28" t="s">
        <v>272</v>
      </c>
      <c r="Y1484" s="28" t="s">
        <v>10142</v>
      </c>
      <c r="Z1484" s="28" t="s">
        <v>5259</v>
      </c>
      <c r="AA1484" s="28" t="s">
        <v>704</v>
      </c>
      <c r="AB1484" s="28">
        <v>2.0</v>
      </c>
      <c r="AC1484" s="28" t="s">
        <v>23</v>
      </c>
      <c r="AD1484" s="23"/>
      <c r="AE1484" s="28" t="s">
        <v>15</v>
      </c>
      <c r="AF1484" s="23"/>
      <c r="AG1484" s="23"/>
      <c r="AH1484" s="23" t="str">
        <f>IFERROR(__xludf.DUMMYFUNCTION("IF(
ISNUMBER(MATCH(
C1484,
IMPORTRANGE(""https://docs.google.com/spreadsheets/d/1yTh1ELC33JHYOeEdgIiEclxPRyh0zOKtlawDltfUay8"",""'Interns'!A:A""),
0
)),
""Outreach Conducted"",
"""")"),"")</f>
        <v/>
      </c>
      <c r="AI1484" s="23"/>
      <c r="AJ1484" s="23"/>
      <c r="AK1484" s="23" t="str">
        <f>IFERROR(__xludf.DUMMYFUNCTION("XLOOKUP(C1484, 
   IMPORTRANGE(""1RdEdgHYrZ33LJ7RUHj_h-qkAFL92bcVjtIdVa-UlsCw"", ""Interns!D:D""), 
   IMPORTRANGE(""1RdEdgHYrZ33LJ7RUHj_h-qkAFL92bcVjtIdVa-UlsCw"", ""Interns!M:M""), 
   ""Not Found"")"),"Contacted")</f>
        <v>Contacted</v>
      </c>
      <c r="AL1484" s="23" t="str">
        <f>IFERROR(__xludf.DUMMYFUNCTION("XLOOKUP(C1484, 
   IMPORTRANGE(""1RdEdgHYrZ33LJ7RUHj_h-qkAFL92bcVjtIdVa-UlsCw"", ""Interns!D:D""), 
   IMPORTRANGE(""1RdEdgHYrZ33LJ7RUHj_h-qkAFL92bcVjtIdVa-UlsCw"", ""Interns!N:N""), 
   ""Not Found"")"),"#Cheers4Careers")</f>
        <v>#Cheers4Careers</v>
      </c>
      <c r="AM1484" s="23" t="str">
        <f>IFERROR(__xludf.DUMMYFUNCTION("XLOOKUP(C1484, 
   IMPORTRANGE(""1RdEdgHYrZ33LJ7RUHj_h-qkAFL92bcVjtIdVa-UlsCw"", ""Interns!D:D""), 
   IMPORTRANGE(""1RdEdgHYrZ33LJ7RUHj_h-qkAFL92bcVjtIdVa-UlsCw"", ""Interns!O:O""), 
   ""Not Found"")"),"Ousmane reached out by email 3/26 ")</f>
        <v>Ousmane reached out by email 3/26 </v>
      </c>
      <c r="AN1484" s="23"/>
      <c r="AO1484" s="23" t="s">
        <v>10143</v>
      </c>
      <c r="AP1484" s="28" t="s">
        <v>5191</v>
      </c>
      <c r="AQ1484" s="28"/>
      <c r="AR1484" s="23"/>
      <c r="AS1484" s="23"/>
      <c r="AT1484" s="23"/>
      <c r="AU1484" s="23"/>
      <c r="AV1484" s="23"/>
    </row>
    <row r="1485">
      <c r="A1485" s="28" t="s">
        <v>5202</v>
      </c>
      <c r="B1485" s="28" t="s">
        <v>5162</v>
      </c>
      <c r="C1485" s="23" t="str">
        <f t="shared" si="39"/>
        <v>Maria Gomez</v>
      </c>
      <c r="D1485" s="28" t="s">
        <v>2308</v>
      </c>
      <c r="E1485" s="28" t="s">
        <v>6277</v>
      </c>
      <c r="F1485" s="23">
        <f t="array" ref="F1485">IFERROR(
    INDEX('Hub Interns 226'!A:A, MATCH(C1485, 'Hub Interns 226'!B:B, 0)),"")</f>
        <v>505</v>
      </c>
      <c r="G1485" s="23">
        <f t="array" ref="G1485">IFERROR(
    INDEX('Hub Users 226'!A:A, MATCH(C1485, 'Hub Users 226'!B:B, 0)),"")</f>
        <v>938</v>
      </c>
      <c r="H1485" s="28">
        <v>907.0</v>
      </c>
      <c r="I1485" s="28" t="s">
        <v>260</v>
      </c>
      <c r="J1485" s="28" t="s">
        <v>5766</v>
      </c>
      <c r="K1485" s="28" t="s">
        <v>5463</v>
      </c>
      <c r="L1485" s="28" t="s">
        <v>5196</v>
      </c>
      <c r="M1485" s="56" t="s">
        <v>14320</v>
      </c>
      <c r="N1485" s="57">
        <v>44601.5375</v>
      </c>
      <c r="O1485" s="58">
        <v>39029.0</v>
      </c>
      <c r="P1485" s="28">
        <f t="shared" si="41"/>
        <v>19</v>
      </c>
      <c r="Q1485" s="28" t="s">
        <v>14321</v>
      </c>
      <c r="R1485" s="28" t="s">
        <v>14322</v>
      </c>
      <c r="S1485" s="28">
        <v>14.0</v>
      </c>
      <c r="T1485" s="28">
        <v>11.0</v>
      </c>
      <c r="U1485" s="28">
        <v>27.0</v>
      </c>
      <c r="V1485" s="28">
        <v>19.0</v>
      </c>
      <c r="W1485" s="28" t="s">
        <v>1173</v>
      </c>
      <c r="X1485" s="28" t="s">
        <v>272</v>
      </c>
      <c r="Y1485" s="28" t="s">
        <v>14323</v>
      </c>
      <c r="Z1485" s="28" t="s">
        <v>5189</v>
      </c>
      <c r="AA1485" s="28" t="s">
        <v>619</v>
      </c>
      <c r="AB1485" s="28">
        <v>20.0</v>
      </c>
      <c r="AC1485" s="28" t="s">
        <v>24</v>
      </c>
      <c r="AD1485" s="23"/>
      <c r="AE1485" s="28" t="s">
        <v>10</v>
      </c>
      <c r="AF1485" s="23"/>
      <c r="AG1485" s="23"/>
      <c r="AH1485" s="23" t="str">
        <f>IFERROR(__xludf.DUMMYFUNCTION("IF(
ISNUMBER(MATCH(
C1485,
IMPORTRANGE(""https://docs.google.com/spreadsheets/d/1yTh1ELC33JHYOeEdgIiEclxPRyh0zOKtlawDltfUay8"",""'Interns'!A:A""),
0
)),
""Outreach Conducted"",
"""")"),"")</f>
        <v/>
      </c>
      <c r="AI1485" s="23"/>
      <c r="AJ1485" s="23"/>
      <c r="AK1485" s="23" t="str">
        <f>IFERROR(__xludf.DUMMYFUNCTION("XLOOKUP(C1485, 
   IMPORTRANGE(""1RdEdgHYrZ33LJ7RUHj_h-qkAFL92bcVjtIdVa-UlsCw"", ""Interns!D:D""), 
   IMPORTRANGE(""1RdEdgHYrZ33LJ7RUHj_h-qkAFL92bcVjtIdVa-UlsCw"", ""Interns!M:M""), 
   ""Not Found"")"),"")</f>
        <v/>
      </c>
      <c r="AL1485" s="23" t="str">
        <f>IFERROR(__xludf.DUMMYFUNCTION("XLOOKUP(C1485, 
   IMPORTRANGE(""1RdEdgHYrZ33LJ7RUHj_h-qkAFL92bcVjtIdVa-UlsCw"", ""Interns!D:D""), 
   IMPORTRANGE(""1RdEdgHYrZ33LJ7RUHj_h-qkAFL92bcVjtIdVa-UlsCw"", ""Interns!N:N""), 
   ""Not Found"")"),"")</f>
        <v/>
      </c>
      <c r="AM1485" s="23" t="str">
        <f>IFERROR(__xludf.DUMMYFUNCTION("XLOOKUP(C1485, 
   IMPORTRANGE(""1RdEdgHYrZ33LJ7RUHj_h-qkAFL92bcVjtIdVa-UlsCw"", ""Interns!D:D""), 
   IMPORTRANGE(""1RdEdgHYrZ33LJ7RUHj_h-qkAFL92bcVjtIdVa-UlsCw"", ""Interns!O:O""), 
   ""Not Found"")"),"")</f>
        <v/>
      </c>
      <c r="AN1485" s="23"/>
      <c r="AO1485" s="23" t="s">
        <v>14324</v>
      </c>
      <c r="AP1485" s="28" t="s">
        <v>5182</v>
      </c>
      <c r="AQ1485" s="28"/>
      <c r="AR1485" s="23"/>
      <c r="AS1485" s="23"/>
      <c r="AT1485" s="23"/>
      <c r="AU1485" s="23"/>
      <c r="AV1485" s="23"/>
    </row>
    <row r="1486">
      <c r="A1486" s="28" t="s">
        <v>5161</v>
      </c>
      <c r="B1486" s="28" t="s">
        <v>5162</v>
      </c>
      <c r="C1486" s="23" t="str">
        <f t="shared" si="39"/>
        <v>Marvin Tuaza</v>
      </c>
      <c r="D1486" s="28" t="s">
        <v>12539</v>
      </c>
      <c r="E1486" s="28" t="s">
        <v>14325</v>
      </c>
      <c r="F1486" s="23">
        <f t="array" ref="F1486">IFERROR(
    INDEX('Hub Interns 226'!A:A, MATCH(C1486, 'Hub Interns 226'!B:B, 0)),"")</f>
        <v>851</v>
      </c>
      <c r="G1486" s="23">
        <f t="array" ref="G1486">IFERROR(
    INDEX('Hub Users 226'!A:A, MATCH(C1486, 'Hub Users 226'!B:B, 0)),"")</f>
        <v>1284</v>
      </c>
      <c r="H1486" s="28">
        <v>1523.0</v>
      </c>
      <c r="I1486" s="28" t="s">
        <v>260</v>
      </c>
      <c r="J1486" s="28"/>
      <c r="K1486" s="28"/>
      <c r="L1486" s="28" t="s">
        <v>5165</v>
      </c>
      <c r="M1486" s="56" t="s">
        <v>14326</v>
      </c>
      <c r="N1486" s="57">
        <v>44953.37222222222</v>
      </c>
      <c r="O1486" s="58">
        <v>40353.0</v>
      </c>
      <c r="P1486" s="28">
        <f t="shared" si="41"/>
        <v>15</v>
      </c>
      <c r="Q1486" s="28" t="s">
        <v>240</v>
      </c>
      <c r="R1486" s="28" t="s">
        <v>14327</v>
      </c>
      <c r="S1486" s="28">
        <v>14.0</v>
      </c>
      <c r="T1486" s="28">
        <v>13.0</v>
      </c>
      <c r="U1486" s="28">
        <v>34.0</v>
      </c>
      <c r="V1486" s="28">
        <v>21.0</v>
      </c>
      <c r="W1486" s="28" t="s">
        <v>1173</v>
      </c>
      <c r="X1486" s="28" t="s">
        <v>272</v>
      </c>
      <c r="Y1486" s="28" t="s">
        <v>14328</v>
      </c>
      <c r="Z1486" s="28" t="s">
        <v>5403</v>
      </c>
      <c r="AA1486" s="28" t="s">
        <v>5404</v>
      </c>
      <c r="AB1486" s="28">
        <v>21.0</v>
      </c>
      <c r="AC1486" s="28" t="s">
        <v>23</v>
      </c>
      <c r="AD1486" s="23"/>
      <c r="AE1486" s="28" t="s">
        <v>15</v>
      </c>
      <c r="AF1486" s="23"/>
      <c r="AG1486" s="23"/>
      <c r="AH1486" s="23" t="str">
        <f>IFERROR(__xludf.DUMMYFUNCTION("IF(
ISNUMBER(MATCH(
C1486,
IMPORTRANGE(""https://docs.google.com/spreadsheets/d/1yTh1ELC33JHYOeEdgIiEclxPRyh0zOKtlawDltfUay8"",""'Interns'!A:A""),
0
)),
""Outreach Conducted"",
"""")"),"")</f>
        <v/>
      </c>
      <c r="AI1486" s="23"/>
      <c r="AJ1486" s="23"/>
      <c r="AK1486" s="23" t="str">
        <f>IFERROR(__xludf.DUMMYFUNCTION("XLOOKUP(C1486, 
   IMPORTRANGE(""1RdEdgHYrZ33LJ7RUHj_h-qkAFL92bcVjtIdVa-UlsCw"", ""Interns!D:D""), 
   IMPORTRANGE(""1RdEdgHYrZ33LJ7RUHj_h-qkAFL92bcVjtIdVa-UlsCw"", ""Interns!M:M""), 
   ""Not Found"")"),"Contacted")</f>
        <v>Contacted</v>
      </c>
      <c r="AL1486" s="23" t="str">
        <f>IFERROR(__xludf.DUMMYFUNCTION("XLOOKUP(C1486, 
   IMPORTRANGE(""1RdEdgHYrZ33LJ7RUHj_h-qkAFL92bcVjtIdVa-UlsCw"", ""Interns!D:D""), 
   IMPORTRANGE(""1RdEdgHYrZ33LJ7RUHj_h-qkAFL92bcVjtIdVa-UlsCw"", ""Interns!N:N""), 
   ""Not Found"")"),"#Cheers4Careers")</f>
        <v>#Cheers4Careers</v>
      </c>
      <c r="AM1486" s="23" t="str">
        <f>IFERROR(__xludf.DUMMYFUNCTION("XLOOKUP(C1486, 
   IMPORTRANGE(""1RdEdgHYrZ33LJ7RUHj_h-qkAFL92bcVjtIdVa-UlsCw"", ""Interns!D:D""), 
   IMPORTRANGE(""1RdEdgHYrZ33LJ7RUHj_h-qkAFL92bcVjtIdVa-UlsCw"", ""Interns!O:O""), 
   ""Not Found"")"),"reached out by email 3/27 by Menna --&gt; email blocked")</f>
        <v>reached out by email 3/27 by Menna --&gt; email blocked</v>
      </c>
      <c r="AN1486" s="23"/>
      <c r="AO1486" s="23" t="s">
        <v>14329</v>
      </c>
      <c r="AP1486" s="28" t="s">
        <v>5182</v>
      </c>
      <c r="AQ1486" s="28"/>
      <c r="AR1486" s="23"/>
      <c r="AS1486" s="23"/>
      <c r="AT1486" s="23"/>
      <c r="AU1486" s="23"/>
      <c r="AV1486" s="23"/>
    </row>
    <row r="1487">
      <c r="A1487" s="28" t="s">
        <v>5161</v>
      </c>
      <c r="B1487" s="28" t="s">
        <v>5162</v>
      </c>
      <c r="C1487" s="23" t="str">
        <f t="shared" si="39"/>
        <v>Kevin Guaman paucar</v>
      </c>
      <c r="D1487" s="28" t="s">
        <v>3690</v>
      </c>
      <c r="E1487" s="28" t="s">
        <v>14330</v>
      </c>
      <c r="F1487" s="23">
        <f t="array" ref="F1487">IFERROR(
    INDEX('Hub Interns 226'!A:A, MATCH(C1487, 'Hub Interns 226'!B:B, 0)),"")</f>
        <v>742</v>
      </c>
      <c r="G1487" s="23">
        <f t="array" ref="G1487">IFERROR(
    INDEX('Hub Users 226'!A:A, MATCH(C1487, 'Hub Users 226'!B:B, 0)),"")</f>
        <v>1175</v>
      </c>
      <c r="H1487" s="28">
        <v>1555.0</v>
      </c>
      <c r="I1487" s="28"/>
      <c r="J1487" s="28"/>
      <c r="K1487" s="28"/>
      <c r="L1487" s="28" t="s">
        <v>5165</v>
      </c>
      <c r="M1487" s="56" t="s">
        <v>14331</v>
      </c>
      <c r="N1487" s="57">
        <v>44959.37222222222</v>
      </c>
      <c r="O1487" s="58">
        <v>39968.0</v>
      </c>
      <c r="P1487" s="28">
        <f t="shared" si="41"/>
        <v>16</v>
      </c>
      <c r="Q1487" s="28" t="s">
        <v>240</v>
      </c>
      <c r="R1487" s="28" t="s">
        <v>14332</v>
      </c>
      <c r="S1487" s="28">
        <v>14.0</v>
      </c>
      <c r="T1487" s="28">
        <v>13.0</v>
      </c>
      <c r="U1487" s="28">
        <v>34.0</v>
      </c>
      <c r="V1487" s="28">
        <v>21.0</v>
      </c>
      <c r="W1487" s="28" t="s">
        <v>1173</v>
      </c>
      <c r="X1487" s="28" t="s">
        <v>272</v>
      </c>
      <c r="Y1487" s="28" t="s">
        <v>14333</v>
      </c>
      <c r="Z1487" s="28" t="s">
        <v>5403</v>
      </c>
      <c r="AA1487" s="28" t="s">
        <v>5404</v>
      </c>
      <c r="AB1487" s="28">
        <v>21.0</v>
      </c>
      <c r="AC1487" s="28" t="s">
        <v>23</v>
      </c>
      <c r="AD1487" s="23"/>
      <c r="AE1487" s="28" t="s">
        <v>15</v>
      </c>
      <c r="AF1487" s="23"/>
      <c r="AG1487" s="23"/>
      <c r="AH1487" s="23" t="str">
        <f>IFERROR(__xludf.DUMMYFUNCTION("IF(
ISNUMBER(MATCH(
C1487,
IMPORTRANGE(""https://docs.google.com/spreadsheets/d/1yTh1ELC33JHYOeEdgIiEclxPRyh0zOKtlawDltfUay8"",""'Interns'!A:A""),
0
)),
""Outreach Conducted"",
"""")"),"")</f>
        <v/>
      </c>
      <c r="AI1487" s="23"/>
      <c r="AJ1487" s="23"/>
      <c r="AK1487" s="23" t="str">
        <f>IFERROR(__xludf.DUMMYFUNCTION("XLOOKUP(C1487, 
   IMPORTRANGE(""1RdEdgHYrZ33LJ7RUHj_h-qkAFL92bcVjtIdVa-UlsCw"", ""Interns!D:D""), 
   IMPORTRANGE(""1RdEdgHYrZ33LJ7RUHj_h-qkAFL92bcVjtIdVa-UlsCw"", ""Interns!M:M""), 
   ""Not Found"")"),"Contacted")</f>
        <v>Contacted</v>
      </c>
      <c r="AL1487" s="23" t="str">
        <f>IFERROR(__xludf.DUMMYFUNCTION("XLOOKUP(C1487, 
   IMPORTRANGE(""1RdEdgHYrZ33LJ7RUHj_h-qkAFL92bcVjtIdVa-UlsCw"", ""Interns!D:D""), 
   IMPORTRANGE(""1RdEdgHYrZ33LJ7RUHj_h-qkAFL92bcVjtIdVa-UlsCw"", ""Interns!N:N""), 
   ""Not Found"")"),"#Cheers4Careers")</f>
        <v>#Cheers4Careers</v>
      </c>
      <c r="AM1487" s="23" t="str">
        <f>IFERROR(__xludf.DUMMYFUNCTION("XLOOKUP(C1487,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487" s="23"/>
      <c r="AO1487" s="23" t="s">
        <v>14334</v>
      </c>
      <c r="AP1487" s="28" t="s">
        <v>5182</v>
      </c>
      <c r="AQ1487" s="28"/>
      <c r="AR1487" s="23"/>
      <c r="AS1487" s="23"/>
      <c r="AT1487" s="23"/>
      <c r="AU1487" s="23"/>
      <c r="AV1487" s="23"/>
    </row>
    <row r="1488">
      <c r="A1488" s="28" t="s">
        <v>5161</v>
      </c>
      <c r="B1488" s="28" t="s">
        <v>31</v>
      </c>
      <c r="C1488" s="23" t="str">
        <f t="shared" si="39"/>
        <v>Domenica Rivera</v>
      </c>
      <c r="D1488" s="28" t="s">
        <v>9867</v>
      </c>
      <c r="E1488" s="28" t="s">
        <v>1976</v>
      </c>
      <c r="F1488" s="23">
        <f t="array" ref="F1488">IFERROR(
    INDEX('Hub Interns 226'!A:A, MATCH(C1488, 'Hub Interns 226'!B:B, 0)),"")</f>
        <v>1595</v>
      </c>
      <c r="G1488" s="23">
        <f t="array" ref="G1488">IFERROR(
    INDEX('Hub Users 226'!A:A, MATCH(C1488, 'Hub Users 226'!B:B, 0)),"")</f>
        <v>2201</v>
      </c>
      <c r="H1488" s="28">
        <v>1727.0</v>
      </c>
      <c r="I1488" s="28" t="s">
        <v>269</v>
      </c>
      <c r="J1488" s="28"/>
      <c r="K1488" s="28"/>
      <c r="L1488" s="28" t="s">
        <v>5196</v>
      </c>
      <c r="M1488" s="56" t="s">
        <v>9868</v>
      </c>
      <c r="N1488" s="57">
        <v>45266.58541666667</v>
      </c>
      <c r="O1488" s="58">
        <v>40444.0</v>
      </c>
      <c r="P1488" s="28">
        <f t="shared" si="41"/>
        <v>15</v>
      </c>
      <c r="Q1488" s="28" t="s">
        <v>240</v>
      </c>
      <c r="R1488" s="28" t="s">
        <v>9869</v>
      </c>
      <c r="S1488" s="28"/>
      <c r="T1488" s="28"/>
      <c r="U1488" s="28"/>
      <c r="V1488" s="28"/>
      <c r="W1488" s="23"/>
      <c r="X1488" s="23"/>
      <c r="Y1488" s="28" t="s">
        <v>14335</v>
      </c>
      <c r="Z1488" s="28" t="s">
        <v>5352</v>
      </c>
      <c r="AA1488" s="28" t="s">
        <v>5287</v>
      </c>
      <c r="AB1488" s="28">
        <v>26.0</v>
      </c>
      <c r="AC1488" s="28" t="s">
        <v>8982</v>
      </c>
      <c r="AD1488" s="23"/>
      <c r="AE1488" s="28" t="s">
        <v>18</v>
      </c>
      <c r="AF1488" s="23"/>
      <c r="AG1488" s="23"/>
      <c r="AH1488" s="23" t="str">
        <f>IFERROR(__xludf.DUMMYFUNCTION("IF(
ISNUMBER(MATCH(
C1488,
IMPORTRANGE(""https://docs.google.com/spreadsheets/d/1yTh1ELC33JHYOeEdgIiEclxPRyh0zOKtlawDltfUay8"",""'Interns'!A:A""),
0
)),
""Outreach Conducted"",
"""")"),"")</f>
        <v/>
      </c>
      <c r="AI1488" s="23"/>
      <c r="AJ1488" s="23"/>
      <c r="AK1488" s="23" t="str">
        <f>IFERROR(__xludf.DUMMYFUNCTION("XLOOKUP(C1488, 
   IMPORTRANGE(""1RdEdgHYrZ33LJ7RUHj_h-qkAFL92bcVjtIdVa-UlsCw"", ""Interns!C:C""), 
   IMPORTRANGE(""1RdEdgHYrZ33LJ7RUHj_h-qkAFL92bcVjtIdVa-UlsCw"", ""Interns!N:N""), 
   ""Not Found"")"),"Not Found")</f>
        <v>Not Found</v>
      </c>
      <c r="AL1488" s="23" t="str">
        <f>IFERROR(__xludf.DUMMYFUNCTION("XLOOKUP(C1488, 
   IMPORTRANGE(""1RdEdgHYrZ33LJ7RUHj_h-qkAFL92bcVjtIdVa-UlsCw"", ""Interns!D:D""), 
   IMPORTRANGE(""1RdEdgHYrZ33LJ7RUHj_h-qkAFL92bcVjtIdVa-UlsCw"", ""Interns!N:N""), 
   ""Not Found"")"),"")</f>
        <v/>
      </c>
      <c r="AM1488" s="23" t="str">
        <f>IFERROR(__xludf.DUMMYFUNCTION("XLOOKUP(C1488, 
   IMPORTRANGE(""1RdEdgHYrZ33LJ7RUHj_h-qkAFL92bcVjtIdVa-UlsCw"", ""Interns!D:D""), 
   IMPORTRANGE(""1RdEdgHYrZ33LJ7RUHj_h-qkAFL92bcVjtIdVa-UlsCw"", ""Interns!O:O""), 
   ""Not Found"")"),"")</f>
        <v/>
      </c>
      <c r="AN1488" s="23"/>
      <c r="AO1488" s="23" t="s">
        <v>14336</v>
      </c>
      <c r="AP1488" s="28" t="s">
        <v>5182</v>
      </c>
      <c r="AQ1488" s="28"/>
      <c r="AR1488" s="23"/>
      <c r="AS1488" s="23"/>
      <c r="AT1488" s="23"/>
      <c r="AU1488" s="23"/>
      <c r="AV1488" s="23"/>
    </row>
    <row r="1489">
      <c r="A1489" s="28" t="s">
        <v>5161</v>
      </c>
      <c r="B1489" s="28" t="s">
        <v>5162</v>
      </c>
      <c r="C1489" s="23" t="str">
        <f t="shared" si="39"/>
        <v>Kyara Guzman</v>
      </c>
      <c r="D1489" s="28" t="s">
        <v>14337</v>
      </c>
      <c r="E1489" s="28" t="s">
        <v>847</v>
      </c>
      <c r="F1489" s="23">
        <f t="array" ref="F1489">IFERROR(
    INDEX('Hub Interns 226'!A:A, MATCH(C1489, 'Hub Interns 226'!B:B, 0)),"")</f>
        <v>743</v>
      </c>
      <c r="G1489" s="23">
        <f t="array" ref="G1489">IFERROR(
    INDEX('Hub Users 226'!A:A, MATCH(C1489, 'Hub Users 226'!B:B, 0)),"")</f>
        <v>1176</v>
      </c>
      <c r="H1489" s="28">
        <v>1048.0</v>
      </c>
      <c r="I1489" s="28" t="s">
        <v>107</v>
      </c>
      <c r="J1489" s="28"/>
      <c r="K1489" s="28"/>
      <c r="L1489" s="28" t="s">
        <v>5196</v>
      </c>
      <c r="M1489" s="56" t="s">
        <v>14338</v>
      </c>
      <c r="N1489" s="57">
        <v>44684.521527777775</v>
      </c>
      <c r="O1489" s="58">
        <v>39390.0</v>
      </c>
      <c r="P1489" s="28">
        <f t="shared" si="41"/>
        <v>18</v>
      </c>
      <c r="Q1489" s="28" t="s">
        <v>240</v>
      </c>
      <c r="R1489" s="28" t="s">
        <v>14339</v>
      </c>
      <c r="S1489" s="28">
        <v>6.0</v>
      </c>
      <c r="T1489" s="28">
        <v>12.0</v>
      </c>
      <c r="U1489" s="28">
        <v>30.0</v>
      </c>
      <c r="V1489" s="28">
        <v>26.0</v>
      </c>
      <c r="W1489" s="28" t="s">
        <v>1173</v>
      </c>
      <c r="X1489" s="28" t="s">
        <v>272</v>
      </c>
      <c r="Y1489" s="28" t="s">
        <v>14340</v>
      </c>
      <c r="Z1489" s="28" t="s">
        <v>5352</v>
      </c>
      <c r="AA1489" s="28" t="s">
        <v>5287</v>
      </c>
      <c r="AB1489" s="28">
        <v>26.0</v>
      </c>
      <c r="AC1489" s="28" t="s">
        <v>24</v>
      </c>
      <c r="AD1489" s="23"/>
      <c r="AE1489" s="28" t="s">
        <v>10</v>
      </c>
      <c r="AF1489" s="23"/>
      <c r="AG1489" s="23"/>
      <c r="AH1489" s="23" t="str">
        <f>IFERROR(__xludf.DUMMYFUNCTION("IF(
ISNUMBER(MATCH(
C1489,
IMPORTRANGE(""https://docs.google.com/spreadsheets/d/1yTh1ELC33JHYOeEdgIiEclxPRyh0zOKtlawDltfUay8"",""'Interns'!A:A""),
0
)),
""Outreach Conducted"",
"""")"),"")</f>
        <v/>
      </c>
      <c r="AI1489" s="23"/>
      <c r="AJ1489" s="23"/>
      <c r="AK1489" s="23" t="str">
        <f>IFERROR(__xludf.DUMMYFUNCTION("XLOOKUP(C1489, 
   IMPORTRANGE(""1RdEdgHYrZ33LJ7RUHj_h-qkAFL92bcVjtIdVa-UlsCw"", ""Interns!D:D""), 
   IMPORTRANGE(""1RdEdgHYrZ33LJ7RUHj_h-qkAFL92bcVjtIdVa-UlsCw"", ""Interns!M:M""), 
   ""Not Found"")"),"Contacted")</f>
        <v>Contacted</v>
      </c>
      <c r="AL1489" s="23" t="str">
        <f>IFERROR(__xludf.DUMMYFUNCTION("XLOOKUP(C1489, 
   IMPORTRANGE(""1RdEdgHYrZ33LJ7RUHj_h-qkAFL92bcVjtIdVa-UlsCw"", ""Interns!D:D""), 
   IMPORTRANGE(""1RdEdgHYrZ33LJ7RUHj_h-qkAFL92bcVjtIdVa-UlsCw"", ""Interns!N:N""), 
   ""Not Found"")"),"#Cheers4Careers")</f>
        <v>#Cheers4Careers</v>
      </c>
      <c r="AM1489" s="23" t="str">
        <f>IFERROR(__xludf.DUMMYFUNCTION("XLOOKUP(C1489, 
   IMPORTRANGE(""1RdEdgHYrZ33LJ7RUHj_h-qkAFL92bcVjtIdVa-UlsCw"", ""Interns!D:D""), 
   IMPORTRANGE(""1RdEdgHYrZ33LJ7RUHj_h-qkAFL92bcVjtIdVa-UlsCw"", ""Interns!O:O""), 
   ""Not Found"")"),"Hetal reached out by email 3/27")</f>
        <v>Hetal reached out by email 3/27</v>
      </c>
      <c r="AN1489" s="23"/>
      <c r="AO1489" s="23" t="s">
        <v>14341</v>
      </c>
      <c r="AP1489" s="28" t="s">
        <v>5182</v>
      </c>
      <c r="AQ1489" s="28"/>
      <c r="AR1489" s="23"/>
      <c r="AS1489" s="23"/>
      <c r="AT1489" s="23"/>
      <c r="AU1489" s="23"/>
      <c r="AV1489" s="23"/>
    </row>
    <row r="1490">
      <c r="A1490" s="28" t="s">
        <v>5161</v>
      </c>
      <c r="B1490" s="28" t="s">
        <v>5162</v>
      </c>
      <c r="C1490" s="23" t="str">
        <f t="shared" si="39"/>
        <v>Melanie Mora</v>
      </c>
      <c r="D1490" s="22" t="s">
        <v>3987</v>
      </c>
      <c r="E1490" s="22" t="s">
        <v>14342</v>
      </c>
      <c r="F1490" s="23"/>
      <c r="G1490" s="23"/>
      <c r="H1490" s="22">
        <v>1896.0</v>
      </c>
      <c r="I1490" s="28"/>
      <c r="J1490" s="28"/>
      <c r="K1490" s="28"/>
      <c r="L1490" s="28" t="s">
        <v>5196</v>
      </c>
      <c r="M1490" s="29" t="s">
        <v>14343</v>
      </c>
      <c r="N1490" s="61">
        <v>45845.597916666666</v>
      </c>
      <c r="O1490" s="25">
        <v>45845.0</v>
      </c>
      <c r="P1490" s="28">
        <f t="shared" si="41"/>
        <v>0</v>
      </c>
      <c r="Q1490" s="62" t="s">
        <v>240</v>
      </c>
      <c r="R1490" s="22" t="s">
        <v>14344</v>
      </c>
      <c r="S1490" s="28">
        <v>8.0</v>
      </c>
      <c r="T1490" s="28">
        <v>19.0</v>
      </c>
      <c r="U1490" s="28">
        <v>60.0</v>
      </c>
      <c r="V1490" s="28">
        <v>42.0</v>
      </c>
      <c r="W1490" s="28" t="s">
        <v>294</v>
      </c>
      <c r="X1490" s="28" t="s">
        <v>272</v>
      </c>
      <c r="Y1490" s="22" t="s">
        <v>14345</v>
      </c>
      <c r="Z1490" s="24"/>
      <c r="AA1490" s="28" t="s">
        <v>5822</v>
      </c>
      <c r="AB1490" s="28">
        <v>30.0</v>
      </c>
      <c r="AC1490" s="28" t="s">
        <v>27</v>
      </c>
      <c r="AD1490" s="23"/>
      <c r="AE1490" s="28" t="s">
        <v>20</v>
      </c>
      <c r="AF1490" s="23"/>
      <c r="AG1490" s="23"/>
      <c r="AH1490" s="23" t="str">
        <f>IFERROR(__xludf.DUMMYFUNCTION("IF(
ISNUMBER(MATCH(
C1490,
IMPORTRANGE(""https://docs.google.com/spreadsheets/d/1yTh1ELC33JHYOeEdgIiEclxPRyh0zOKtlawDltfUay8"",""'Interns'!A:A""),
0
)),
""Outreach Conducted"",
"""")"),"")</f>
        <v/>
      </c>
      <c r="AI1490" s="23"/>
      <c r="AJ1490" s="23"/>
      <c r="AK1490" s="23"/>
      <c r="AL1490" s="23" t="str">
        <f>IFERROR(__xludf.DUMMYFUNCTION("XLOOKUP(C1490, 
   IMPORTRANGE(""1RdEdgHYrZ33LJ7RUHj_h-qkAFL92bcVjtIdVa-UlsCw"", ""Interns!D:D""), 
   IMPORTRANGE(""1RdEdgHYrZ33LJ7RUHj_h-qkAFL92bcVjtIdVa-UlsCw"", ""Interns!N:N""), 
   ""Not Found"")"),"#Cheers4Careers")</f>
        <v>#Cheers4Careers</v>
      </c>
      <c r="AM1490" s="23" t="str">
        <f>IFERROR(__xludf.DUMMYFUNCTION("XLOOKUP(C1490, 
   IMPORTRANGE(""1RdEdgHYrZ33LJ7RUHj_h-qkAFL92bcVjtIdVa-UlsCw"", ""Interns!D:D""), 
   IMPORTRANGE(""1RdEdgHYrZ33LJ7RUHj_h-qkAFL92bcVjtIdVa-UlsCw"", ""Interns!O:O""), 
   ""Not Found"")"),"Hetal reached out March 27 for March #Cheers4 Careers ")</f>
        <v>Hetal reached out March 27 for March #Cheers4 Careers </v>
      </c>
      <c r="AN1490" s="23"/>
      <c r="AO1490" s="23" t="s">
        <v>14346</v>
      </c>
      <c r="AP1490" s="28" t="s">
        <v>5182</v>
      </c>
      <c r="AQ1490" s="28" t="s">
        <v>14347</v>
      </c>
      <c r="AR1490" s="23" t="s">
        <v>14348</v>
      </c>
      <c r="AS1490" s="23"/>
      <c r="AT1490" s="23"/>
      <c r="AU1490" s="23"/>
      <c r="AV1490" s="23"/>
    </row>
    <row r="1491">
      <c r="A1491" s="28" t="s">
        <v>5202</v>
      </c>
      <c r="B1491" s="28" t="s">
        <v>5162</v>
      </c>
      <c r="C1491" s="23" t="str">
        <f t="shared" si="39"/>
        <v>Oumou Diallo</v>
      </c>
      <c r="D1491" s="28" t="s">
        <v>7817</v>
      </c>
      <c r="E1491" s="28" t="s">
        <v>7818</v>
      </c>
      <c r="F1491" s="23">
        <f t="array" ref="F1491">IFERROR(
    INDEX('Hub Interns 226'!A:A, MATCH(C1491, 'Hub Interns 226'!B:B, 0)),"")</f>
        <v>975</v>
      </c>
      <c r="G1491" s="23">
        <f t="array" ref="G1491">IFERROR(
    INDEX('Hub Users 226'!A:A, MATCH(C1491, 'Hub Users 226'!B:B, 0)),"")</f>
        <v>1408</v>
      </c>
      <c r="H1491" s="28">
        <v>465.0</v>
      </c>
      <c r="I1491" s="28" t="s">
        <v>260</v>
      </c>
      <c r="J1491" s="28" t="s">
        <v>9893</v>
      </c>
      <c r="K1491" s="28" t="s">
        <v>5245</v>
      </c>
      <c r="L1491" s="28" t="s">
        <v>5196</v>
      </c>
      <c r="M1491" s="56" t="s">
        <v>7819</v>
      </c>
      <c r="N1491" s="57">
        <v>44360.643055555556</v>
      </c>
      <c r="O1491" s="58">
        <v>36896.0</v>
      </c>
      <c r="P1491" s="28">
        <f t="shared" si="41"/>
        <v>25</v>
      </c>
      <c r="Q1491" s="28" t="s">
        <v>7820</v>
      </c>
      <c r="R1491" s="28" t="s">
        <v>7821</v>
      </c>
      <c r="S1491" s="28">
        <v>13.0</v>
      </c>
      <c r="T1491" s="28">
        <v>30.0</v>
      </c>
      <c r="U1491" s="28">
        <v>71.0</v>
      </c>
      <c r="V1491" s="28">
        <v>9.0</v>
      </c>
      <c r="W1491" s="28" t="s">
        <v>859</v>
      </c>
      <c r="X1491" s="28" t="s">
        <v>272</v>
      </c>
      <c r="Y1491" s="28" t="s">
        <v>7822</v>
      </c>
      <c r="Z1491" s="28" t="s">
        <v>5435</v>
      </c>
      <c r="AA1491" s="28" t="s">
        <v>7761</v>
      </c>
      <c r="AB1491" s="28">
        <v>10.0</v>
      </c>
      <c r="AC1491" s="28" t="s">
        <v>24</v>
      </c>
      <c r="AD1491" s="23"/>
      <c r="AE1491" s="28" t="s">
        <v>8</v>
      </c>
      <c r="AF1491" s="23"/>
      <c r="AG1491" s="23"/>
      <c r="AH1491" s="23" t="str">
        <f>IFERROR(__xludf.DUMMYFUNCTION("IF(
ISNUMBER(MATCH(
C1491,
IMPORTRANGE(""https://docs.google.com/spreadsheets/d/1yTh1ELC33JHYOeEdgIiEclxPRyh0zOKtlawDltfUay8"",""'Interns'!A:A""),
0
)),
""Outreach Conducted"",
"""")"),"")</f>
        <v/>
      </c>
      <c r="AI1491" s="23"/>
      <c r="AJ1491" s="23"/>
      <c r="AK1491" s="23" t="str">
        <f>IFERROR(__xludf.DUMMYFUNCTION("XLOOKUP(C1491, 
   IMPORTRANGE(""1RdEdgHYrZ33LJ7RUHj_h-qkAFL92bcVjtIdVa-UlsCw"", ""Interns!D:D""), 
   IMPORTRANGE(""1RdEdgHYrZ33LJ7RUHj_h-qkAFL92bcVjtIdVa-UlsCw"", ""Interns!M:M""), 
   ""Not Found"")"),"")</f>
        <v/>
      </c>
      <c r="AL1491" s="23" t="str">
        <f>IFERROR(__xludf.DUMMYFUNCTION("XLOOKUP(C1491, 
   IMPORTRANGE(""1RdEdgHYrZ33LJ7RUHj_h-qkAFL92bcVjtIdVa-UlsCw"", ""Interns!D:D""), 
   IMPORTRANGE(""1RdEdgHYrZ33LJ7RUHj_h-qkAFL92bcVjtIdVa-UlsCw"", ""Interns!N:N""), 
   ""Not Found"")"),"")</f>
        <v/>
      </c>
      <c r="AM1491" s="23" t="str">
        <f>IFERROR(__xludf.DUMMYFUNCTION("XLOOKUP(C1491, 
   IMPORTRANGE(""1RdEdgHYrZ33LJ7RUHj_h-qkAFL92bcVjtIdVa-UlsCw"", ""Interns!D:D""), 
   IMPORTRANGE(""1RdEdgHYrZ33LJ7RUHj_h-qkAFL92bcVjtIdVa-UlsCw"", ""Interns!O:O""), 
   ""Not Found"")"),"")</f>
        <v/>
      </c>
      <c r="AN1491" s="23"/>
      <c r="AO1491" s="23" t="s">
        <v>7823</v>
      </c>
      <c r="AP1491" s="28" t="s">
        <v>5191</v>
      </c>
      <c r="AQ1491" s="28" t="s">
        <v>7824</v>
      </c>
      <c r="AR1491" s="23" t="s">
        <v>7825</v>
      </c>
      <c r="AS1491" s="23"/>
      <c r="AT1491" s="23"/>
      <c r="AU1491" s="23"/>
      <c r="AV1491" s="23"/>
    </row>
    <row r="1492">
      <c r="A1492" s="28" t="s">
        <v>5161</v>
      </c>
      <c r="B1492" s="28" t="s">
        <v>5162</v>
      </c>
      <c r="C1492" s="23" t="str">
        <f t="shared" si="39"/>
        <v>Ian martinez</v>
      </c>
      <c r="D1492" s="28" t="s">
        <v>1563</v>
      </c>
      <c r="E1492" s="28" t="s">
        <v>6769</v>
      </c>
      <c r="F1492" s="23">
        <f t="array" ref="F1492">IFERROR(
    INDEX('Hub Interns 226'!A:A, MATCH(C1492, 'Hub Interns 226'!B:B, 0)),"")</f>
        <v>1147</v>
      </c>
      <c r="G1492" s="23">
        <f t="array" ref="G1492">IFERROR(
    INDEX('Hub Users 226'!A:A, MATCH(C1492, 'Hub Users 226'!B:B, 0)),"")</f>
        <v>1580</v>
      </c>
      <c r="H1492" s="28">
        <v>1109.0</v>
      </c>
      <c r="I1492" s="28" t="s">
        <v>260</v>
      </c>
      <c r="J1492" s="28"/>
      <c r="K1492" s="28"/>
      <c r="L1492" s="28" t="s">
        <v>5165</v>
      </c>
      <c r="M1492" s="56" t="s">
        <v>14349</v>
      </c>
      <c r="N1492" s="57">
        <v>44715.49236111111</v>
      </c>
      <c r="O1492" s="58">
        <v>39721.0</v>
      </c>
      <c r="P1492" s="28">
        <f t="shared" si="41"/>
        <v>17</v>
      </c>
      <c r="Q1492" s="28" t="s">
        <v>240</v>
      </c>
      <c r="R1492" s="28" t="s">
        <v>14350</v>
      </c>
      <c r="S1492" s="28">
        <v>6.0</v>
      </c>
      <c r="T1492" s="28">
        <v>12.0</v>
      </c>
      <c r="U1492" s="28">
        <v>37.0</v>
      </c>
      <c r="V1492" s="28">
        <v>26.0</v>
      </c>
      <c r="W1492" s="28" t="s">
        <v>1173</v>
      </c>
      <c r="X1492" s="28" t="s">
        <v>272</v>
      </c>
      <c r="Y1492" s="28" t="s">
        <v>14351</v>
      </c>
      <c r="Z1492" s="28" t="s">
        <v>5352</v>
      </c>
      <c r="AA1492" s="28" t="s">
        <v>5287</v>
      </c>
      <c r="AB1492" s="28">
        <v>26.0</v>
      </c>
      <c r="AC1492" s="28" t="s">
        <v>24</v>
      </c>
      <c r="AD1492" s="23"/>
      <c r="AE1492" s="28" t="s">
        <v>10</v>
      </c>
      <c r="AF1492" s="23"/>
      <c r="AG1492" s="23"/>
      <c r="AH1492" s="23" t="str">
        <f>IFERROR(__xludf.DUMMYFUNCTION("IF(
ISNUMBER(MATCH(
C1492,
IMPORTRANGE(""https://docs.google.com/spreadsheets/d/1yTh1ELC33JHYOeEdgIiEclxPRyh0zOKtlawDltfUay8"",""'Interns'!A:A""),
0
)),
""Outreach Conducted"",
"""")"),"")</f>
        <v/>
      </c>
      <c r="AI1492" s="23"/>
      <c r="AJ1492" s="23"/>
      <c r="AK1492" s="23" t="str">
        <f>IFERROR(__xludf.DUMMYFUNCTION("XLOOKUP(C1492, 
   IMPORTRANGE(""1RdEdgHYrZ33LJ7RUHj_h-qkAFL92bcVjtIdVa-UlsCw"", ""Interns!D:D""), 
   IMPORTRANGE(""1RdEdgHYrZ33LJ7RUHj_h-qkAFL92bcVjtIdVa-UlsCw"", ""Interns!M:M""), 
   ""Not Found"")"),"Contacted")</f>
        <v>Contacted</v>
      </c>
      <c r="AL1492" s="23" t="str">
        <f>IFERROR(__xludf.DUMMYFUNCTION("XLOOKUP(C1492, 
   IMPORTRANGE(""1RdEdgHYrZ33LJ7RUHj_h-qkAFL92bcVjtIdVa-UlsCw"", ""Interns!D:D""), 
   IMPORTRANGE(""1RdEdgHYrZ33LJ7RUHj_h-qkAFL92bcVjtIdVa-UlsCw"", ""Interns!N:N""), 
   ""Not Found"")"),"#Cheers4Careers")</f>
        <v>#Cheers4Careers</v>
      </c>
      <c r="AM1492" s="23" t="str">
        <f>IFERROR(__xludf.DUMMYFUNCTION("XLOOKUP(C1492, 
   IMPORTRANGE(""1RdEdgHYrZ33LJ7RUHj_h-qkAFL92bcVjtIdVa-UlsCw"", ""Interns!D:D""), 
   IMPORTRANGE(""1RdEdgHYrZ33LJ7RUHj_h-qkAFL92bcVjtIdVa-UlsCw"", ""Interns!O:O""), 
   ""Not Found"")"),"Hetal reached out by email 3/27")</f>
        <v>Hetal reached out by email 3/27</v>
      </c>
      <c r="AN1492" s="23"/>
      <c r="AO1492" s="23" t="s">
        <v>14352</v>
      </c>
      <c r="AP1492" s="28" t="s">
        <v>5182</v>
      </c>
      <c r="AQ1492" s="28"/>
      <c r="AR1492" s="23"/>
      <c r="AS1492" s="23"/>
      <c r="AT1492" s="23"/>
      <c r="AU1492" s="23"/>
      <c r="AV1492" s="23"/>
    </row>
    <row r="1493">
      <c r="A1493" s="28" t="s">
        <v>5161</v>
      </c>
      <c r="B1493" s="28" t="s">
        <v>5162</v>
      </c>
      <c r="C1493" s="23" t="str">
        <f t="shared" si="39"/>
        <v>Santos Coyotl Coyotl</v>
      </c>
      <c r="D1493" s="28" t="s">
        <v>14353</v>
      </c>
      <c r="E1493" s="28" t="s">
        <v>14354</v>
      </c>
      <c r="F1493" s="23">
        <f t="array" ref="F1493">IFERROR(
    INDEX('Hub Interns 226'!A:A, MATCH(C1493, 'Hub Interns 226'!B:B, 0)),"")</f>
        <v>1743</v>
      </c>
      <c r="G1493" s="23">
        <f t="array" ref="G1493">IFERROR(
    INDEX('Hub Users 226'!A:A, MATCH(C1493, 'Hub Users 226'!B:B, 0)),"")</f>
        <v>2573</v>
      </c>
      <c r="H1493" s="28">
        <v>1859.0</v>
      </c>
      <c r="I1493" s="28" t="s">
        <v>290</v>
      </c>
      <c r="J1493" s="28"/>
      <c r="K1493" s="28"/>
      <c r="L1493" s="28" t="s">
        <v>5165</v>
      </c>
      <c r="M1493" s="56" t="s">
        <v>14355</v>
      </c>
      <c r="N1493" s="57">
        <v>45628.4</v>
      </c>
      <c r="O1493" s="58">
        <v>40186.0</v>
      </c>
      <c r="P1493" s="28">
        <f t="shared" si="41"/>
        <v>16</v>
      </c>
      <c r="Q1493" s="28" t="s">
        <v>240</v>
      </c>
      <c r="R1493" s="28" t="s">
        <v>14356</v>
      </c>
      <c r="S1493" s="28">
        <v>6.0</v>
      </c>
      <c r="T1493" s="28">
        <v>13.0</v>
      </c>
      <c r="U1493" s="28">
        <v>39.0</v>
      </c>
      <c r="V1493" s="28">
        <v>25.0</v>
      </c>
      <c r="W1493" s="28" t="s">
        <v>1173</v>
      </c>
      <c r="X1493" s="28" t="s">
        <v>272</v>
      </c>
      <c r="Y1493" s="28" t="s">
        <v>14357</v>
      </c>
      <c r="Z1493" s="28" t="s">
        <v>5170</v>
      </c>
      <c r="AA1493" s="28" t="s">
        <v>5171</v>
      </c>
      <c r="AB1493" s="28">
        <v>30.0</v>
      </c>
      <c r="AC1493" s="26" t="s">
        <v>23</v>
      </c>
      <c r="AD1493" s="23"/>
      <c r="AE1493" s="28" t="s">
        <v>19</v>
      </c>
      <c r="AF1493" s="23"/>
      <c r="AG1493" s="23"/>
      <c r="AH1493" s="23" t="str">
        <f>IFERROR(__xludf.DUMMYFUNCTION("IF(
ISNUMBER(MATCH(
C1493,
IMPORTRANGE(""https://docs.google.com/spreadsheets/d/1yTh1ELC33JHYOeEdgIiEclxPRyh0zOKtlawDltfUay8"",""'Interns'!A:A""),
0
)),
""Outreach Conducted"",
"""")"),"")</f>
        <v/>
      </c>
      <c r="AI1493" s="23"/>
      <c r="AJ1493" s="23"/>
      <c r="AK1493" s="23" t="str">
        <f>IFERROR(__xludf.DUMMYFUNCTION("XLOOKUP(C1493, 
   IMPORTRANGE(""1RdEdgHYrZ33LJ7RUHj_h-qkAFL92bcVjtIdVa-UlsCw"", ""Interns!D:D""), 
   IMPORTRANGE(""1RdEdgHYrZ33LJ7RUHj_h-qkAFL92bcVjtIdVa-UlsCw"", ""Interns!M:M""), 
   ""Not Found"")"),"Contacted")</f>
        <v>Contacted</v>
      </c>
      <c r="AL1493" s="23" t="str">
        <f>IFERROR(__xludf.DUMMYFUNCTION("XLOOKUP(C1493, 
   IMPORTRANGE(""1RdEdgHYrZ33LJ7RUHj_h-qkAFL92bcVjtIdVa-UlsCw"", ""Interns!D:D""), 
   IMPORTRANGE(""1RdEdgHYrZ33LJ7RUHj_h-qkAFL92bcVjtIdVa-UlsCw"", ""Interns!N:N""), 
   ""Not Found"")"),"#Cheers4Careers")</f>
        <v>#Cheers4Careers</v>
      </c>
      <c r="AM1493" s="23" t="str">
        <f>IFERROR(__xludf.DUMMYFUNCTION("XLOOKUP(C1493, 
   IMPORTRANGE(""1RdEdgHYrZ33LJ7RUHj_h-qkAFL92bcVjtIdVa-UlsCw"", ""Interns!D:D""), 
   IMPORTRANGE(""1RdEdgHYrZ33LJ7RUHj_h-qkAFL92bcVjtIdVa-UlsCw"", ""Interns!O:O""), 
   ""Not Found"")"),"Hetal reached out March 27 for March #Cheers4 Careers ")</f>
        <v>Hetal reached out March 27 for March #Cheers4 Careers </v>
      </c>
      <c r="AN1493" s="23"/>
      <c r="AO1493" s="23" t="s">
        <v>14358</v>
      </c>
      <c r="AP1493" s="28" t="s">
        <v>5191</v>
      </c>
      <c r="AQ1493" s="28"/>
      <c r="AR1493" s="23"/>
      <c r="AS1493" s="23"/>
      <c r="AT1493" s="23"/>
      <c r="AU1493" s="23"/>
      <c r="AV1493" s="23"/>
    </row>
    <row r="1494">
      <c r="A1494" s="28" t="s">
        <v>5161</v>
      </c>
      <c r="B1494" s="28" t="s">
        <v>5162</v>
      </c>
      <c r="C1494" s="23" t="str">
        <f t="shared" si="39"/>
        <v>Destiny Cortez</v>
      </c>
      <c r="D1494" s="28" t="s">
        <v>14359</v>
      </c>
      <c r="E1494" s="28" t="s">
        <v>14360</v>
      </c>
      <c r="F1494" s="23">
        <f t="array" ref="F1494">IFERROR(
    INDEX('Hub Interns 226'!A:A, MATCH(C1494, 'Hub Interns 226'!B:B, 0)),"")</f>
        <v>436</v>
      </c>
      <c r="G1494" s="23">
        <f t="array" ref="G1494">IFERROR(
    INDEX('Hub Users 226'!A:A, MATCH(C1494, 'Hub Users 226'!B:B, 0)),"")</f>
        <v>869</v>
      </c>
      <c r="H1494" s="28">
        <v>1017.0</v>
      </c>
      <c r="I1494" s="28" t="s">
        <v>107</v>
      </c>
      <c r="J1494" s="28"/>
      <c r="K1494" s="28"/>
      <c r="L1494" s="28" t="s">
        <v>5196</v>
      </c>
      <c r="M1494" s="56" t="s">
        <v>14361</v>
      </c>
      <c r="N1494" s="57">
        <v>44658.31180555555</v>
      </c>
      <c r="O1494" s="58">
        <v>39559.0</v>
      </c>
      <c r="P1494" s="28">
        <f t="shared" si="41"/>
        <v>18</v>
      </c>
      <c r="Q1494" s="28" t="s">
        <v>14298</v>
      </c>
      <c r="R1494" s="28" t="s">
        <v>14362</v>
      </c>
      <c r="S1494" s="28">
        <v>6.0</v>
      </c>
      <c r="T1494" s="28">
        <v>12.0</v>
      </c>
      <c r="U1494" s="28">
        <v>30.0</v>
      </c>
      <c r="V1494" s="28">
        <v>26.0</v>
      </c>
      <c r="W1494" s="28" t="s">
        <v>1173</v>
      </c>
      <c r="X1494" s="28" t="s">
        <v>272</v>
      </c>
      <c r="Y1494" s="28" t="s">
        <v>14363</v>
      </c>
      <c r="Z1494" s="28" t="s">
        <v>5352</v>
      </c>
      <c r="AA1494" s="28" t="s">
        <v>5287</v>
      </c>
      <c r="AB1494" s="28">
        <v>26.0</v>
      </c>
      <c r="AC1494" s="28" t="s">
        <v>24</v>
      </c>
      <c r="AD1494" s="23"/>
      <c r="AE1494" s="28" t="s">
        <v>10</v>
      </c>
      <c r="AF1494" s="23"/>
      <c r="AG1494" s="23"/>
      <c r="AH1494" s="23" t="str">
        <f>IFERROR(__xludf.DUMMYFUNCTION("IF(
ISNUMBER(MATCH(
C1494,
IMPORTRANGE(""https://docs.google.com/spreadsheets/d/1yTh1ELC33JHYOeEdgIiEclxPRyh0zOKtlawDltfUay8"",""'Interns'!A:A""),
0
)),
""Outreach Conducted"",
"""")"),"")</f>
        <v/>
      </c>
      <c r="AI1494" s="23"/>
      <c r="AJ1494" s="23"/>
      <c r="AK1494" s="23" t="str">
        <f>IFERROR(__xludf.DUMMYFUNCTION("XLOOKUP(C1494, 
   IMPORTRANGE(""1RdEdgHYrZ33LJ7RUHj_h-qkAFL92bcVjtIdVa-UlsCw"", ""Interns!D:D""), 
   IMPORTRANGE(""1RdEdgHYrZ33LJ7RUHj_h-qkAFL92bcVjtIdVa-UlsCw"", ""Interns!M:M""), 
   ""Not Found"")"),"Contacted")</f>
        <v>Contacted</v>
      </c>
      <c r="AL1494" s="23" t="str">
        <f>IFERROR(__xludf.DUMMYFUNCTION("XLOOKUP(C1494, 
   IMPORTRANGE(""1RdEdgHYrZ33LJ7RUHj_h-qkAFL92bcVjtIdVa-UlsCw"", ""Interns!D:D""), 
   IMPORTRANGE(""1RdEdgHYrZ33LJ7RUHj_h-qkAFL92bcVjtIdVa-UlsCw"", ""Interns!N:N""), 
   ""Not Found"")"),"#Cheers4Careers")</f>
        <v>#Cheers4Careers</v>
      </c>
      <c r="AM1494" s="23" t="str">
        <f>IFERROR(__xludf.DUMMYFUNCTION("XLOOKUP(C1494, 
   IMPORTRANGE(""1RdEdgHYrZ33LJ7RUHj_h-qkAFL92bcVjtIdVa-UlsCw"", ""Interns!D:D""), 
   IMPORTRANGE(""1RdEdgHYrZ33LJ7RUHj_h-qkAFL92bcVjtIdVa-UlsCw"", ""Interns!O:O""), 
   ""Not Found"")"),"Hetal reached out by email 3/27")</f>
        <v>Hetal reached out by email 3/27</v>
      </c>
      <c r="AN1494" s="23"/>
      <c r="AO1494" s="23" t="s">
        <v>14364</v>
      </c>
      <c r="AP1494" s="28" t="s">
        <v>5182</v>
      </c>
      <c r="AQ1494" s="28"/>
      <c r="AR1494" s="23"/>
      <c r="AS1494" s="23"/>
      <c r="AT1494" s="23"/>
      <c r="AU1494" s="23"/>
      <c r="AV1494" s="23"/>
    </row>
    <row r="1495">
      <c r="A1495" s="28" t="s">
        <v>5161</v>
      </c>
      <c r="B1495" s="28" t="s">
        <v>5162</v>
      </c>
      <c r="C1495" s="23" t="str">
        <f t="shared" si="39"/>
        <v>Aysline Francisco</v>
      </c>
      <c r="D1495" s="28" t="s">
        <v>14365</v>
      </c>
      <c r="E1495" s="28" t="s">
        <v>7582</v>
      </c>
      <c r="F1495" s="23">
        <f t="array" ref="F1495">IFERROR(
    INDEX('Hub Interns 226'!A:A, MATCH(C1495, 'Hub Interns 226'!B:B, 0)),"")</f>
        <v>281</v>
      </c>
      <c r="G1495" s="23">
        <f t="array" ref="G1495">IFERROR(
    INDEX('Hub Users 226'!A:A, MATCH(C1495, 'Hub Users 226'!B:B, 0)),"")</f>
        <v>714</v>
      </c>
      <c r="H1495" s="28">
        <v>1514.0</v>
      </c>
      <c r="I1495" s="28" t="s">
        <v>260</v>
      </c>
      <c r="J1495" s="28"/>
      <c r="K1495" s="28"/>
      <c r="L1495" s="28" t="s">
        <v>5196</v>
      </c>
      <c r="M1495" s="56" t="s">
        <v>14366</v>
      </c>
      <c r="N1495" s="57">
        <v>44953.368055555555</v>
      </c>
      <c r="O1495" s="58">
        <v>40008.0</v>
      </c>
      <c r="P1495" s="28">
        <f t="shared" si="41"/>
        <v>16</v>
      </c>
      <c r="Q1495" s="28" t="s">
        <v>240</v>
      </c>
      <c r="R1495" s="28" t="s">
        <v>14367</v>
      </c>
      <c r="S1495" s="28">
        <v>14.0</v>
      </c>
      <c r="T1495" s="28">
        <v>13.0</v>
      </c>
      <c r="U1495" s="28">
        <v>34.0</v>
      </c>
      <c r="V1495" s="28">
        <v>21.0</v>
      </c>
      <c r="W1495" s="28" t="s">
        <v>1173</v>
      </c>
      <c r="X1495" s="28" t="s">
        <v>272</v>
      </c>
      <c r="Y1495" s="28" t="s">
        <v>14368</v>
      </c>
      <c r="Z1495" s="28" t="s">
        <v>5403</v>
      </c>
      <c r="AA1495" s="28" t="s">
        <v>5404</v>
      </c>
      <c r="AB1495" s="28">
        <v>21.0</v>
      </c>
      <c r="AC1495" s="28" t="s">
        <v>23</v>
      </c>
      <c r="AD1495" s="23"/>
      <c r="AE1495" s="28" t="s">
        <v>15</v>
      </c>
      <c r="AF1495" s="23"/>
      <c r="AG1495" s="23"/>
      <c r="AH1495" s="23" t="str">
        <f>IFERROR(__xludf.DUMMYFUNCTION("IF(
ISNUMBER(MATCH(
C1495,
IMPORTRANGE(""https://docs.google.com/spreadsheets/d/1yTh1ELC33JHYOeEdgIiEclxPRyh0zOKtlawDltfUay8"",""'Interns'!A:A""),
0
)),
""Outreach Conducted"",
"""")"),"")</f>
        <v/>
      </c>
      <c r="AI1495" s="23"/>
      <c r="AJ1495" s="23"/>
      <c r="AK1495" s="23" t="str">
        <f>IFERROR(__xludf.DUMMYFUNCTION("XLOOKUP(C1495, 
   IMPORTRANGE(""1RdEdgHYrZ33LJ7RUHj_h-qkAFL92bcVjtIdVa-UlsCw"", ""Interns!D:D""), 
   IMPORTRANGE(""1RdEdgHYrZ33LJ7RUHj_h-qkAFL92bcVjtIdVa-UlsCw"", ""Interns!M:M""), 
   ""Not Found"")"),"Contacted")</f>
        <v>Contacted</v>
      </c>
      <c r="AL1495" s="23" t="str">
        <f>IFERROR(__xludf.DUMMYFUNCTION("XLOOKUP(C1495, 
   IMPORTRANGE(""1RdEdgHYrZ33LJ7RUHj_h-qkAFL92bcVjtIdVa-UlsCw"", ""Interns!D:D""), 
   IMPORTRANGE(""1RdEdgHYrZ33LJ7RUHj_h-qkAFL92bcVjtIdVa-UlsCw"", ""Interns!N:N""), 
   ""Not Found"")"),"#Cheers4Careers, #SpeakingMyName")</f>
        <v>#Cheers4Careers, #SpeakingMyName</v>
      </c>
      <c r="AM1495" s="23" t="str">
        <f>IFERROR(__xludf.DUMMYFUNCTION("XLOOKUP(C1495, 
   IMPORTRANGE(""1RdEdgHYrZ33LJ7RUHj_h-qkAFL92bcVjtIdVa-UlsCw"", ""Interns!D:D""), 
   IMPORTRANGE(""1RdEdgHYrZ33LJ7RUHj_h-qkAFL92bcVjtIdVa-UlsCw"", ""Interns!O:O""), 
   ""Not Found"")"),"Reached out by text 3/26-3/28 followed up by email 3/27 by Jackie
Alicia reached out by email on 5/15 for #SpeakingMyName")</f>
        <v>Reached out by text 3/26-3/28 followed up by email 3/27 by Jackie
Alicia reached out by email on 5/15 for #SpeakingMyName</v>
      </c>
      <c r="AN1495" s="23"/>
      <c r="AO1495" s="23" t="s">
        <v>14369</v>
      </c>
      <c r="AP1495" s="28" t="s">
        <v>5191</v>
      </c>
      <c r="AQ1495" s="28"/>
      <c r="AR1495" s="23"/>
      <c r="AS1495" s="23"/>
      <c r="AT1495" s="23"/>
      <c r="AU1495" s="23"/>
      <c r="AV1495" s="23"/>
    </row>
    <row r="1496">
      <c r="A1496" s="28" t="s">
        <v>5161</v>
      </c>
      <c r="B1496" s="28" t="s">
        <v>5162</v>
      </c>
      <c r="C1496" s="23" t="str">
        <f t="shared" si="39"/>
        <v>Kelly Contreras</v>
      </c>
      <c r="D1496" s="28" t="s">
        <v>2545</v>
      </c>
      <c r="E1496" s="28" t="s">
        <v>14370</v>
      </c>
      <c r="F1496" s="23">
        <f t="array" ref="F1496">IFERROR(
    INDEX('Hub Interns 226'!A:A, MATCH(C1496, 'Hub Interns 226'!B:B, 0)),"")</f>
        <v>734</v>
      </c>
      <c r="G1496" s="23">
        <f t="array" ref="G1496">IFERROR(
    INDEX('Hub Users 226'!A:A, MATCH(C1496, 'Hub Users 226'!B:B, 0)),"")</f>
        <v>1167</v>
      </c>
      <c r="H1496" s="28">
        <v>1050.0</v>
      </c>
      <c r="I1496" s="28"/>
      <c r="J1496" s="28"/>
      <c r="K1496" s="28"/>
      <c r="L1496" s="28" t="s">
        <v>5196</v>
      </c>
      <c r="M1496" s="56" t="s">
        <v>14371</v>
      </c>
      <c r="N1496" s="57">
        <v>44684.52291666667</v>
      </c>
      <c r="O1496" s="58">
        <v>39552.0</v>
      </c>
      <c r="P1496" s="28">
        <f t="shared" si="41"/>
        <v>18</v>
      </c>
      <c r="Q1496" s="28" t="s">
        <v>14372</v>
      </c>
      <c r="R1496" s="28" t="s">
        <v>14373</v>
      </c>
      <c r="S1496" s="28">
        <v>6.0</v>
      </c>
      <c r="T1496" s="28">
        <v>12.0</v>
      </c>
      <c r="U1496" s="28">
        <v>30.0</v>
      </c>
      <c r="V1496" s="28">
        <v>25.0</v>
      </c>
      <c r="W1496" s="28" t="s">
        <v>1173</v>
      </c>
      <c r="X1496" s="28" t="s">
        <v>272</v>
      </c>
      <c r="Y1496" s="28" t="s">
        <v>14374</v>
      </c>
      <c r="Z1496" s="28" t="s">
        <v>5352</v>
      </c>
      <c r="AA1496" s="28" t="s">
        <v>5287</v>
      </c>
      <c r="AB1496" s="28">
        <v>26.0</v>
      </c>
      <c r="AC1496" s="28" t="s">
        <v>24</v>
      </c>
      <c r="AD1496" s="23"/>
      <c r="AE1496" s="28" t="s">
        <v>10</v>
      </c>
      <c r="AF1496" s="23"/>
      <c r="AG1496" s="23"/>
      <c r="AH1496" s="23" t="str">
        <f>IFERROR(__xludf.DUMMYFUNCTION("IF(
ISNUMBER(MATCH(
C1496,
IMPORTRANGE(""https://docs.google.com/spreadsheets/d/1yTh1ELC33JHYOeEdgIiEclxPRyh0zOKtlawDltfUay8"",""'Interns'!A:A""),
0
)),
""Outreach Conducted"",
"""")"),"")</f>
        <v/>
      </c>
      <c r="AI1496" s="23"/>
      <c r="AJ1496" s="23"/>
      <c r="AK1496" s="23" t="str">
        <f>IFERROR(__xludf.DUMMYFUNCTION("XLOOKUP(C1496, 
   IMPORTRANGE(""1RdEdgHYrZ33LJ7RUHj_h-qkAFL92bcVjtIdVa-UlsCw"", ""Interns!D:D""), 
   IMPORTRANGE(""1RdEdgHYrZ33LJ7RUHj_h-qkAFL92bcVjtIdVa-UlsCw"", ""Interns!M:M""), 
   ""Not Found"")"),"Contacted")</f>
        <v>Contacted</v>
      </c>
      <c r="AL1496" s="23" t="str">
        <f>IFERROR(__xludf.DUMMYFUNCTION("XLOOKUP(C1496, 
   IMPORTRANGE(""1RdEdgHYrZ33LJ7RUHj_h-qkAFL92bcVjtIdVa-UlsCw"", ""Interns!D:D""), 
   IMPORTRANGE(""1RdEdgHYrZ33LJ7RUHj_h-qkAFL92bcVjtIdVa-UlsCw"", ""Interns!N:N""), 
   ""Not Found"")"),"#Cheers4Careers")</f>
        <v>#Cheers4Careers</v>
      </c>
      <c r="AM1496" s="23" t="str">
        <f>IFERROR(__xludf.DUMMYFUNCTION("XLOOKUP(C1496, 
   IMPORTRANGE(""1RdEdgHYrZ33LJ7RUHj_h-qkAFL92bcVjtIdVa-UlsCw"", ""Interns!D:D""), 
   IMPORTRANGE(""1RdEdgHYrZ33LJ7RUHj_h-qkAFL92bcVjtIdVa-UlsCw"", ""Interns!O:O""), 
   ""Not Found"")"),"Hetal reached out by email 3/27")</f>
        <v>Hetal reached out by email 3/27</v>
      </c>
      <c r="AN1496" s="23"/>
      <c r="AO1496" s="23" t="s">
        <v>14375</v>
      </c>
      <c r="AP1496" s="28" t="s">
        <v>5240</v>
      </c>
      <c r="AQ1496" s="28"/>
      <c r="AR1496" s="23"/>
      <c r="AS1496" s="23"/>
      <c r="AT1496" s="23"/>
      <c r="AU1496" s="23"/>
      <c r="AV1496" s="23"/>
    </row>
    <row r="1497">
      <c r="A1497" s="28" t="s">
        <v>5161</v>
      </c>
      <c r="B1497" s="28" t="s">
        <v>5162</v>
      </c>
      <c r="C1497" s="23" t="str">
        <f t="shared" si="39"/>
        <v>Raiyat Adheer</v>
      </c>
      <c r="D1497" s="22" t="s">
        <v>14376</v>
      </c>
      <c r="E1497" s="22" t="s">
        <v>14377</v>
      </c>
      <c r="F1497" s="23"/>
      <c r="G1497" s="23"/>
      <c r="H1497" s="22">
        <v>1993.0</v>
      </c>
      <c r="I1497" s="28"/>
      <c r="J1497" s="28"/>
      <c r="K1497" s="28"/>
      <c r="L1497" s="28" t="s">
        <v>5165</v>
      </c>
      <c r="M1497" s="29" t="s">
        <v>14378</v>
      </c>
      <c r="N1497" s="61">
        <v>45631.49444444444</v>
      </c>
      <c r="O1497" s="25">
        <v>40891.0</v>
      </c>
      <c r="P1497" s="28">
        <f t="shared" si="41"/>
        <v>14</v>
      </c>
      <c r="Q1497" s="62" t="s">
        <v>240</v>
      </c>
      <c r="R1497" s="22" t="s">
        <v>14379</v>
      </c>
      <c r="S1497" s="28">
        <v>6.0</v>
      </c>
      <c r="T1497" s="28">
        <v>12.0</v>
      </c>
      <c r="U1497" s="28">
        <v>30.0</v>
      </c>
      <c r="V1497" s="28">
        <v>25.0</v>
      </c>
      <c r="W1497" s="28" t="s">
        <v>1173</v>
      </c>
      <c r="X1497" s="28" t="s">
        <v>272</v>
      </c>
      <c r="Y1497" s="22" t="s">
        <v>14380</v>
      </c>
      <c r="Z1497" s="22" t="s">
        <v>5520</v>
      </c>
      <c r="AA1497" s="28" t="s">
        <v>5171</v>
      </c>
      <c r="AB1497" s="28">
        <v>30.0</v>
      </c>
      <c r="AC1497" s="28" t="s">
        <v>23</v>
      </c>
      <c r="AD1497" s="23"/>
      <c r="AE1497" s="28" t="s">
        <v>19</v>
      </c>
      <c r="AF1497" s="23"/>
      <c r="AG1497" s="26" t="s">
        <v>5697</v>
      </c>
      <c r="AH1497" s="23" t="str">
        <f>IFERROR(__xludf.DUMMYFUNCTION("IF(
ISNUMBER(MATCH(
C1497,
IMPORTRANGE(""https://docs.google.com/spreadsheets/d/1yTh1ELC33JHYOeEdgIiEclxPRyh0zOKtlawDltfUay8"",""'Interns'!A:A""),
0
)),
""Outreach Conducted"",
"""")"),"")</f>
        <v/>
      </c>
      <c r="AI1497" s="23"/>
      <c r="AJ1497" s="23"/>
      <c r="AK1497" s="23"/>
      <c r="AL1497" s="23" t="str">
        <f>IFERROR(__xludf.DUMMYFUNCTION("XLOOKUP(C1497, 
   IMPORTRANGE(""1RdEdgHYrZ33LJ7RUHj_h-qkAFL92bcVjtIdVa-UlsCw"", ""Interns!D:D""), 
   IMPORTRANGE(""1RdEdgHYrZ33LJ7RUHj_h-qkAFL92bcVjtIdVa-UlsCw"", ""Interns!N:N""), 
   ""Not Found"")"),"Not Found")</f>
        <v>Not Found</v>
      </c>
      <c r="AM1497" s="23" t="str">
        <f>IFERROR(__xludf.DUMMYFUNCTION("XLOOKUP(C1497, 
   IMPORTRANGE(""1RdEdgHYrZ33LJ7RUHj_h-qkAFL92bcVjtIdVa-UlsCw"", ""Interns!D:D""), 
   IMPORTRANGE(""1RdEdgHYrZ33LJ7RUHj_h-qkAFL92bcVjtIdVa-UlsCw"", ""Interns!O:O""), 
   ""Not Found"")"),"Not Found")</f>
        <v>Not Found</v>
      </c>
      <c r="AN1497" s="23"/>
      <c r="AO1497" s="23" t="s">
        <v>14381</v>
      </c>
      <c r="AP1497" s="28" t="s">
        <v>5182</v>
      </c>
      <c r="AQ1497" s="28" t="s">
        <v>14378</v>
      </c>
      <c r="AR1497" s="23">
        <v>3.472313315E9</v>
      </c>
      <c r="AS1497" s="23"/>
      <c r="AT1497" s="23"/>
      <c r="AU1497" s="23"/>
      <c r="AV1497" s="23"/>
    </row>
    <row r="1498">
      <c r="A1498" s="28" t="s">
        <v>5161</v>
      </c>
      <c r="B1498" s="28" t="s">
        <v>5162</v>
      </c>
      <c r="C1498" s="23" t="str">
        <f t="shared" si="39"/>
        <v>Esau Leon</v>
      </c>
      <c r="D1498" s="28" t="s">
        <v>14382</v>
      </c>
      <c r="E1498" s="28" t="s">
        <v>3146</v>
      </c>
      <c r="F1498" s="23">
        <f t="array" ref="F1498">IFERROR(
    INDEX('Hub Interns 226'!A:A, MATCH(C1498, 'Hub Interns 226'!B:B, 0)),"")</f>
        <v>498</v>
      </c>
      <c r="G1498" s="23">
        <f t="array" ref="G1498">IFERROR(
    INDEX('Hub Users 226'!A:A, MATCH(C1498, 'Hub Users 226'!B:B, 0)),"")</f>
        <v>931</v>
      </c>
      <c r="H1498" s="28">
        <v>1505.0</v>
      </c>
      <c r="I1498" s="28" t="s">
        <v>407</v>
      </c>
      <c r="J1498" s="28"/>
      <c r="K1498" s="28"/>
      <c r="L1498" s="28" t="s">
        <v>5165</v>
      </c>
      <c r="M1498" s="56" t="s">
        <v>14383</v>
      </c>
      <c r="N1498" s="57">
        <v>44952.39444444444</v>
      </c>
      <c r="O1498" s="58">
        <v>39831.0</v>
      </c>
      <c r="P1498" s="28">
        <f t="shared" si="41"/>
        <v>17</v>
      </c>
      <c r="Q1498" s="28" t="s">
        <v>240</v>
      </c>
      <c r="R1498" s="28" t="s">
        <v>14384</v>
      </c>
      <c r="S1498" s="28">
        <v>14.0</v>
      </c>
      <c r="T1498" s="28">
        <v>13.0</v>
      </c>
      <c r="U1498" s="28">
        <v>34.0</v>
      </c>
      <c r="V1498" s="28">
        <v>21.0</v>
      </c>
      <c r="W1498" s="28" t="s">
        <v>1173</v>
      </c>
      <c r="X1498" s="28" t="s">
        <v>272</v>
      </c>
      <c r="Y1498" s="28" t="s">
        <v>14385</v>
      </c>
      <c r="Z1498" s="28" t="s">
        <v>5403</v>
      </c>
      <c r="AA1498" s="28" t="s">
        <v>5404</v>
      </c>
      <c r="AB1498" s="28">
        <v>21.0</v>
      </c>
      <c r="AC1498" s="28" t="s">
        <v>23</v>
      </c>
      <c r="AD1498" s="23"/>
      <c r="AE1498" s="28" t="s">
        <v>15</v>
      </c>
      <c r="AF1498" s="23"/>
      <c r="AG1498" s="23"/>
      <c r="AH1498" s="23" t="str">
        <f>IFERROR(__xludf.DUMMYFUNCTION("IF(
ISNUMBER(MATCH(
C1498,
IMPORTRANGE(""https://docs.google.com/spreadsheets/d/1yTh1ELC33JHYOeEdgIiEclxPRyh0zOKtlawDltfUay8"",""'Interns'!A:A""),
0
)),
""Outreach Conducted"",
"""")"),"")</f>
        <v/>
      </c>
      <c r="AI1498" s="23"/>
      <c r="AJ1498" s="23"/>
      <c r="AK1498" s="23" t="str">
        <f>IFERROR(__xludf.DUMMYFUNCTION("XLOOKUP(C1498, 
   IMPORTRANGE(""1RdEdgHYrZ33LJ7RUHj_h-qkAFL92bcVjtIdVa-UlsCw"", ""Interns!D:D""), 
   IMPORTRANGE(""1RdEdgHYrZ33LJ7RUHj_h-qkAFL92bcVjtIdVa-UlsCw"", ""Interns!M:M""), 
   ""Not Found"")"),"Contacted")</f>
        <v>Contacted</v>
      </c>
      <c r="AL1498" s="23" t="str">
        <f>IFERROR(__xludf.DUMMYFUNCTION("XLOOKUP(C1498, 
   IMPORTRANGE(""1RdEdgHYrZ33LJ7RUHj_h-qkAFL92bcVjtIdVa-UlsCw"", ""Interns!D:D""), 
   IMPORTRANGE(""1RdEdgHYrZ33LJ7RUHj_h-qkAFL92bcVjtIdVa-UlsCw"", ""Interns!N:N""), 
   ""Not Found"")"),"#Cheers4Careers")</f>
        <v>#Cheers4Careers</v>
      </c>
      <c r="AM1498" s="23" t="str">
        <f>IFERROR(__xludf.DUMMYFUNCTION("XLOOKUP(C1498, 
   IMPORTRANGE(""1RdEdgHYrZ33LJ7RUHj_h-qkAFL92bcVjtIdVa-UlsCw"", ""Interns!D:D""), 
   IMPORTRANGE(""1RdEdgHYrZ33LJ7RUHj_h-qkAFL92bcVjtIdVa-UlsCw"", ""Interns!O:O""), 
   ""Not Found"")"),"Reached out by text 3/26-3/28 followed up by email 3/27 by Jackie")</f>
        <v>Reached out by text 3/26-3/28 followed up by email 3/27 by Jackie</v>
      </c>
      <c r="AN1498" s="23"/>
      <c r="AO1498" s="23" t="s">
        <v>14386</v>
      </c>
      <c r="AP1498" s="28" t="s">
        <v>5182</v>
      </c>
      <c r="AQ1498" s="28"/>
      <c r="AR1498" s="23"/>
      <c r="AS1498" s="23"/>
      <c r="AT1498" s="23"/>
      <c r="AU1498" s="23"/>
      <c r="AV1498" s="23"/>
    </row>
    <row r="1499">
      <c r="A1499" s="28" t="s">
        <v>5202</v>
      </c>
      <c r="B1499" s="28" t="s">
        <v>5162</v>
      </c>
      <c r="C1499" s="23" t="str">
        <f t="shared" si="39"/>
        <v>Assane Thiam</v>
      </c>
      <c r="D1499" s="28" t="s">
        <v>14387</v>
      </c>
      <c r="E1499" s="28" t="s">
        <v>12507</v>
      </c>
      <c r="F1499" s="23">
        <f t="array" ref="F1499">IFERROR(
    INDEX('Hub Interns 226'!A:A, MATCH(C1499, 'Hub Interns 226'!B:B, 0)),"")</f>
        <v>273</v>
      </c>
      <c r="G1499" s="23">
        <f t="array" ref="G1499">IFERROR(
    INDEX('Hub Users 226'!A:A, MATCH(C1499, 'Hub Users 226'!B:B, 0)),"")</f>
        <v>706</v>
      </c>
      <c r="H1499" s="28">
        <v>881.0</v>
      </c>
      <c r="I1499" s="28" t="s">
        <v>290</v>
      </c>
      <c r="J1499" s="28" t="s">
        <v>8907</v>
      </c>
      <c r="K1499" s="28" t="s">
        <v>5245</v>
      </c>
      <c r="L1499" s="28" t="s">
        <v>5165</v>
      </c>
      <c r="M1499" s="56" t="s">
        <v>14388</v>
      </c>
      <c r="N1499" s="57">
        <v>44600.52361111111</v>
      </c>
      <c r="O1499" s="58">
        <v>36827.0</v>
      </c>
      <c r="P1499" s="28">
        <f t="shared" si="41"/>
        <v>25</v>
      </c>
      <c r="Q1499" s="28" t="s">
        <v>240</v>
      </c>
      <c r="R1499" s="28" t="s">
        <v>14389</v>
      </c>
      <c r="S1499" s="28">
        <v>15.0</v>
      </c>
      <c r="T1499" s="28">
        <v>36.0</v>
      </c>
      <c r="U1499" s="28">
        <v>80.0</v>
      </c>
      <c r="V1499" s="28">
        <v>12.0</v>
      </c>
      <c r="W1499" s="28" t="s">
        <v>859</v>
      </c>
      <c r="X1499" s="28" t="s">
        <v>272</v>
      </c>
      <c r="Y1499" s="28" t="s">
        <v>14390</v>
      </c>
      <c r="Z1499" s="28" t="s">
        <v>5435</v>
      </c>
      <c r="AA1499" s="28" t="s">
        <v>5436</v>
      </c>
      <c r="AB1499" s="28">
        <v>10.0</v>
      </c>
      <c r="AC1499" s="28" t="s">
        <v>25</v>
      </c>
      <c r="AD1499" s="23"/>
      <c r="AE1499" s="28" t="s">
        <v>10</v>
      </c>
      <c r="AF1499" s="23" t="str">
        <f>IFERROR(__xludf.DUMMYFUNCTION("TEXTJOIN("", "", TRUE,
  FILTER(Champions!C:C,
    ISNUMBER(SEARCH(C1499, Champions!W:W))
  )
)"),"Tanya Toko")</f>
        <v>Tanya Toko</v>
      </c>
      <c r="AG1499" s="23"/>
      <c r="AH1499" s="23" t="str">
        <f>IFERROR(__xludf.DUMMYFUNCTION("IF(
ISNUMBER(MATCH(
C1499,
IMPORTRANGE(""https://docs.google.com/spreadsheets/d/1yTh1ELC33JHYOeEdgIiEclxPRyh0zOKtlawDltfUay8"",""'Interns'!A:A""),
0
)),
""Outreach Conducted"",
"""")"),"")</f>
        <v/>
      </c>
      <c r="AI1499" s="23"/>
      <c r="AJ1499" s="23"/>
      <c r="AK1499" s="23" t="str">
        <f>IFERROR(__xludf.DUMMYFUNCTION("XLOOKUP(C1499, 
   IMPORTRANGE(""1RdEdgHYrZ33LJ7RUHj_h-qkAFL92bcVjtIdVa-UlsCw"", ""Interns!D:D""), 
   IMPORTRANGE(""1RdEdgHYrZ33LJ7RUHj_h-qkAFL92bcVjtIdVa-UlsCw"", ""Interns!M:M""), 
   ""Not Found"")"),"")</f>
        <v/>
      </c>
      <c r="AL1499" s="23" t="str">
        <f>IFERROR(__xludf.DUMMYFUNCTION("XLOOKUP(C1499, 
   IMPORTRANGE(""1RdEdgHYrZ33LJ7RUHj_h-qkAFL92bcVjtIdVa-UlsCw"", ""Interns!D:D""), 
   IMPORTRANGE(""1RdEdgHYrZ33LJ7RUHj_h-qkAFL92bcVjtIdVa-UlsCw"", ""Interns!N:N""), 
   ""Not Found"")"),"")</f>
        <v/>
      </c>
      <c r="AM1499" s="23" t="str">
        <f>IFERROR(__xludf.DUMMYFUNCTION("XLOOKUP(C1499, 
   IMPORTRANGE(""1RdEdgHYrZ33LJ7RUHj_h-qkAFL92bcVjtIdVa-UlsCw"", ""Interns!D:D""), 
   IMPORTRANGE(""1RdEdgHYrZ33LJ7RUHj_h-qkAFL92bcVjtIdVa-UlsCw"", ""Interns!O:O""), 
   ""Not Found"")"),"")</f>
        <v/>
      </c>
      <c r="AN1499" s="23"/>
      <c r="AO1499" s="23" t="s">
        <v>14391</v>
      </c>
      <c r="AP1499" s="28" t="s">
        <v>5191</v>
      </c>
      <c r="AQ1499" s="28" t="s">
        <v>14392</v>
      </c>
      <c r="AR1499" s="23" t="s">
        <v>14390</v>
      </c>
      <c r="AS1499" s="23"/>
      <c r="AT1499" s="23"/>
      <c r="AU1499" s="23"/>
      <c r="AV1499" s="23"/>
    </row>
    <row r="1500">
      <c r="A1500" s="28" t="s">
        <v>5161</v>
      </c>
      <c r="B1500" s="28" t="s">
        <v>5162</v>
      </c>
      <c r="C1500" s="23" t="str">
        <f t="shared" si="39"/>
        <v>Jacob Chimborazo</v>
      </c>
      <c r="D1500" s="28" t="s">
        <v>1593</v>
      </c>
      <c r="E1500" s="28" t="s">
        <v>9415</v>
      </c>
      <c r="F1500" s="23">
        <f t="array" ref="F1500">IFERROR(
    INDEX('Hub Interns 226'!A:A, MATCH(C1500, 'Hub Interns 226'!B:B, 0)),"")</f>
        <v>617</v>
      </c>
      <c r="G1500" s="23">
        <f t="array" ref="G1500">IFERROR(
    INDEX('Hub Users 226'!A:A, MATCH(C1500, 'Hub Users 226'!B:B, 0)),"")</f>
        <v>1050</v>
      </c>
      <c r="H1500" s="28">
        <v>1525.0</v>
      </c>
      <c r="I1500" s="28" t="s">
        <v>107</v>
      </c>
      <c r="J1500" s="28"/>
      <c r="K1500" s="28"/>
      <c r="L1500" s="28" t="s">
        <v>5165</v>
      </c>
      <c r="M1500" s="56" t="s">
        <v>14393</v>
      </c>
      <c r="N1500" s="57">
        <v>44953.37430555555</v>
      </c>
      <c r="O1500" s="58">
        <v>40839.0</v>
      </c>
      <c r="P1500" s="28">
        <f t="shared" si="41"/>
        <v>14</v>
      </c>
      <c r="Q1500" s="28" t="s">
        <v>240</v>
      </c>
      <c r="R1500" s="28" t="s">
        <v>14394</v>
      </c>
      <c r="S1500" s="28">
        <v>14.0</v>
      </c>
      <c r="T1500" s="28">
        <v>13.0</v>
      </c>
      <c r="U1500" s="28">
        <v>34.0</v>
      </c>
      <c r="V1500" s="28">
        <v>21.0</v>
      </c>
      <c r="W1500" s="28" t="s">
        <v>1173</v>
      </c>
      <c r="X1500" s="28" t="s">
        <v>272</v>
      </c>
      <c r="Y1500" s="28" t="s">
        <v>14395</v>
      </c>
      <c r="Z1500" s="28" t="s">
        <v>5403</v>
      </c>
      <c r="AA1500" s="28" t="s">
        <v>5404</v>
      </c>
      <c r="AB1500" s="28">
        <v>21.0</v>
      </c>
      <c r="AC1500" s="28" t="s">
        <v>23</v>
      </c>
      <c r="AD1500" s="23"/>
      <c r="AE1500" s="28" t="s">
        <v>15</v>
      </c>
      <c r="AF1500" s="23"/>
      <c r="AG1500" s="23"/>
      <c r="AH1500" s="23" t="str">
        <f>IFERROR(__xludf.DUMMYFUNCTION("IF(
ISNUMBER(MATCH(
C1500,
IMPORTRANGE(""https://docs.google.com/spreadsheets/d/1yTh1ELC33JHYOeEdgIiEclxPRyh0zOKtlawDltfUay8"",""'Interns'!A:A""),
0
)),
""Outreach Conducted"",
"""")"),"")</f>
        <v/>
      </c>
      <c r="AI1500" s="23"/>
      <c r="AJ1500" s="23"/>
      <c r="AK1500" s="23" t="str">
        <f>IFERROR(__xludf.DUMMYFUNCTION("XLOOKUP(C1500, 
   IMPORTRANGE(""1RdEdgHYrZ33LJ7RUHj_h-qkAFL92bcVjtIdVa-UlsCw"", ""Interns!D:D""), 
   IMPORTRANGE(""1RdEdgHYrZ33LJ7RUHj_h-qkAFL92bcVjtIdVa-UlsCw"", ""Interns!M:M""), 
   ""Not Found"")"),"Contacted")</f>
        <v>Contacted</v>
      </c>
      <c r="AL1500" s="23" t="str">
        <f>IFERROR(__xludf.DUMMYFUNCTION("XLOOKUP(C1500, 
   IMPORTRANGE(""1RdEdgHYrZ33LJ7RUHj_h-qkAFL92bcVjtIdVa-UlsCw"", ""Interns!D:D""), 
   IMPORTRANGE(""1RdEdgHYrZ33LJ7RUHj_h-qkAFL92bcVjtIdVa-UlsCw"", ""Interns!N:N""), 
   ""Not Found"")"),"#Cheers4Careers, #SpeakingMyName")</f>
        <v>#Cheers4Careers, #SpeakingMyName</v>
      </c>
      <c r="AM1500" s="23" t="str">
        <f>IFERROR(__xludf.DUMMYFUNCTION("XLOOKUP(C1500, 
   IMPORTRANGE(""1RdEdgHYrZ33LJ7RUHj_h-qkAFL92bcVjtIdVa-UlsCw"", ""Interns!D:D""), 
   IMPORTRANGE(""1RdEdgHYrZ33LJ7RUHj_h-qkAFL92bcVjtIdVa-UlsCw"", ""Interns!O:O""), 
   ""Not Found"")"),"reached out by email 3/27 by Menna 
Leyli reached out on 4/10 by email for April 18th #Cheers4Careers
Alicia reached out by email on 5/15 for #SpeakingMyName")</f>
        <v>reached out by email 3/27 by Menna 
Leyli reached out on 4/10 by email for April 18th #Cheers4Careers
Alicia reached out by email on 5/15 for #SpeakingMyName</v>
      </c>
      <c r="AN1500" s="23"/>
      <c r="AO1500" s="23" t="s">
        <v>14396</v>
      </c>
      <c r="AP1500" s="28" t="s">
        <v>5191</v>
      </c>
      <c r="AQ1500" s="28"/>
      <c r="AR1500" s="23"/>
      <c r="AS1500" s="23"/>
      <c r="AT1500" s="23"/>
      <c r="AU1500" s="23"/>
      <c r="AV1500" s="23"/>
    </row>
    <row r="1501">
      <c r="A1501" s="28" t="s">
        <v>5161</v>
      </c>
      <c r="B1501" s="28" t="s">
        <v>5162</v>
      </c>
      <c r="C1501" s="23" t="str">
        <f t="shared" si="39"/>
        <v>Michael Cabrera</v>
      </c>
      <c r="D1501" s="28" t="s">
        <v>2424</v>
      </c>
      <c r="E1501" s="28" t="s">
        <v>7390</v>
      </c>
      <c r="F1501" s="23">
        <f t="array" ref="F1501">IFERROR(
    INDEX('Hub Interns 226'!A:A, MATCH(C1501, 'Hub Interns 226'!B:B, 0)),"")</f>
        <v>881</v>
      </c>
      <c r="G1501" s="23">
        <f t="array" ref="G1501">IFERROR(
    INDEX('Hub Users 226'!A:A, MATCH(C1501, 'Hub Users 226'!B:B, 0)),"")</f>
        <v>1314</v>
      </c>
      <c r="H1501" s="28">
        <v>1518.0</v>
      </c>
      <c r="I1501" s="28" t="s">
        <v>269</v>
      </c>
      <c r="J1501" s="28"/>
      <c r="K1501" s="28"/>
      <c r="L1501" s="28" t="s">
        <v>5165</v>
      </c>
      <c r="M1501" s="56" t="s">
        <v>14397</v>
      </c>
      <c r="N1501" s="57">
        <v>44953.37013888889</v>
      </c>
      <c r="O1501" s="58">
        <v>40863.0</v>
      </c>
      <c r="P1501" s="28">
        <f t="shared" si="41"/>
        <v>14</v>
      </c>
      <c r="Q1501" s="28" t="s">
        <v>240</v>
      </c>
      <c r="R1501" s="28" t="s">
        <v>14398</v>
      </c>
      <c r="S1501" s="28">
        <v>14.0</v>
      </c>
      <c r="T1501" s="28">
        <v>13.0</v>
      </c>
      <c r="U1501" s="28">
        <v>34.0</v>
      </c>
      <c r="V1501" s="28">
        <v>21.0</v>
      </c>
      <c r="W1501" s="28" t="s">
        <v>1173</v>
      </c>
      <c r="X1501" s="28" t="s">
        <v>272</v>
      </c>
      <c r="Y1501" s="28" t="s">
        <v>14399</v>
      </c>
      <c r="Z1501" s="28" t="s">
        <v>5403</v>
      </c>
      <c r="AA1501" s="28" t="s">
        <v>5404</v>
      </c>
      <c r="AB1501" s="28">
        <v>21.0</v>
      </c>
      <c r="AC1501" s="28" t="s">
        <v>23</v>
      </c>
      <c r="AD1501" s="23"/>
      <c r="AE1501" s="28" t="s">
        <v>15</v>
      </c>
      <c r="AF1501" s="23"/>
      <c r="AG1501" s="23"/>
      <c r="AH1501" s="23" t="str">
        <f>IFERROR(__xludf.DUMMYFUNCTION("IF(
ISNUMBER(MATCH(
C1501,
IMPORTRANGE(""https://docs.google.com/spreadsheets/d/1yTh1ELC33JHYOeEdgIiEclxPRyh0zOKtlawDltfUay8"",""'Interns'!A:A""),
0
)),
""Outreach Conducted"",
"""")"),"")</f>
        <v/>
      </c>
      <c r="AI1501" s="23"/>
      <c r="AJ1501" s="23"/>
      <c r="AK1501" s="23" t="str">
        <f>IFERROR(__xludf.DUMMYFUNCTION("XLOOKUP(C1501, 
   IMPORTRANGE(""1RdEdgHYrZ33LJ7RUHj_h-qkAFL92bcVjtIdVa-UlsCw"", ""Interns!D:D""), 
   IMPORTRANGE(""1RdEdgHYrZ33LJ7RUHj_h-qkAFL92bcVjtIdVa-UlsCw"", ""Interns!M:M""), 
   ""Not Found"")"),"Contacted")</f>
        <v>Contacted</v>
      </c>
      <c r="AL1501" s="23" t="str">
        <f>IFERROR(__xludf.DUMMYFUNCTION("XLOOKUP(C1501, 
   IMPORTRANGE(""1RdEdgHYrZ33LJ7RUHj_h-qkAFL92bcVjtIdVa-UlsCw"", ""Interns!D:D""), 
   IMPORTRANGE(""1RdEdgHYrZ33LJ7RUHj_h-qkAFL92bcVjtIdVa-UlsCw"", ""Interns!N:N""), 
   ""Not Found"")"),"#Cheers4Careers")</f>
        <v>#Cheers4Careers</v>
      </c>
      <c r="AM1501" s="23" t="str">
        <f>IFERROR(__xludf.DUMMYFUNCTION("XLOOKUP(C1501,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501" s="23"/>
      <c r="AO1501" s="23" t="s">
        <v>14400</v>
      </c>
      <c r="AP1501" s="28" t="s">
        <v>5182</v>
      </c>
      <c r="AQ1501" s="28"/>
      <c r="AR1501" s="23"/>
      <c r="AS1501" s="23"/>
      <c r="AT1501" s="23"/>
      <c r="AU1501" s="23"/>
      <c r="AV1501" s="23"/>
    </row>
    <row r="1502">
      <c r="A1502" s="28" t="s">
        <v>5202</v>
      </c>
      <c r="B1502" s="28" t="s">
        <v>5162</v>
      </c>
      <c r="C1502" s="23" t="str">
        <f t="shared" si="39"/>
        <v>Abdulghani Ali</v>
      </c>
      <c r="D1502" s="28" t="s">
        <v>14401</v>
      </c>
      <c r="E1502" s="28" t="s">
        <v>9802</v>
      </c>
      <c r="F1502" s="23">
        <f t="array" ref="F1502">IFERROR(
    INDEX('Hub Interns 226'!A:A, MATCH(C1502, 'Hub Interns 226'!B:B, 0)),"")</f>
        <v>126</v>
      </c>
      <c r="G1502" s="23">
        <f t="array" ref="G1502">IFERROR(
    INDEX('Hub Users 226'!A:A, MATCH(C1502, 'Hub Users 226'!B:B, 0)),"")</f>
        <v>559</v>
      </c>
      <c r="H1502" s="28">
        <v>783.0</v>
      </c>
      <c r="I1502" s="28" t="s">
        <v>290</v>
      </c>
      <c r="J1502" s="28" t="s">
        <v>9487</v>
      </c>
      <c r="K1502" s="28" t="s">
        <v>5186</v>
      </c>
      <c r="L1502" s="28" t="s">
        <v>5165</v>
      </c>
      <c r="M1502" s="56" t="s">
        <v>14402</v>
      </c>
      <c r="N1502" s="59">
        <v>44553.56736111111</v>
      </c>
      <c r="O1502" s="58">
        <v>38462.0</v>
      </c>
      <c r="P1502" s="28">
        <f t="shared" si="41"/>
        <v>21</v>
      </c>
      <c r="Q1502" s="28" t="s">
        <v>240</v>
      </c>
      <c r="R1502" s="28" t="s">
        <v>14403</v>
      </c>
      <c r="S1502" s="28">
        <v>8.0</v>
      </c>
      <c r="T1502" s="28">
        <v>19.0</v>
      </c>
      <c r="U1502" s="28">
        <v>58.0</v>
      </c>
      <c r="V1502" s="28">
        <v>46.0</v>
      </c>
      <c r="W1502" s="28" t="s">
        <v>294</v>
      </c>
      <c r="X1502" s="28" t="s">
        <v>272</v>
      </c>
      <c r="Y1502" s="28" t="s">
        <v>14404</v>
      </c>
      <c r="Z1502" s="28" t="s">
        <v>5386</v>
      </c>
      <c r="AA1502" s="28" t="s">
        <v>1887</v>
      </c>
      <c r="AB1502" s="28">
        <v>47.0</v>
      </c>
      <c r="AC1502" s="28" t="s">
        <v>25</v>
      </c>
      <c r="AD1502" s="23"/>
      <c r="AE1502" s="28" t="s">
        <v>10</v>
      </c>
      <c r="AF1502" s="23" t="str">
        <f>IFERROR(__xludf.DUMMYFUNCTION("TEXTJOIN("", "", TRUE,
  FILTER(Champions!C:C,
    ISNUMBER(SEARCH(C1502, Champions!W:W))
  )
)"),"Annie Camey Kuo, Vatsala Sarathy")</f>
        <v>Annie Camey Kuo, Vatsala Sarathy</v>
      </c>
      <c r="AG1502" s="23"/>
      <c r="AH1502" s="23" t="str">
        <f>IFERROR(__xludf.DUMMYFUNCTION("IF(
ISNUMBER(MATCH(
C1502,
IMPORTRANGE(""https://docs.google.com/spreadsheets/d/1yTh1ELC33JHYOeEdgIiEclxPRyh0zOKtlawDltfUay8"",""'Interns'!A:A""),
0
)),
""Outreach Conducted"",
"""")"),"")</f>
        <v/>
      </c>
      <c r="AI1502" s="23"/>
      <c r="AJ1502" s="23"/>
      <c r="AK1502" s="23" t="str">
        <f>IFERROR(__xludf.DUMMYFUNCTION("XLOOKUP(C1502, 
   IMPORTRANGE(""1RdEdgHYrZ33LJ7RUHj_h-qkAFL92bcVjtIdVa-UlsCw"", ""Interns!D:D""), 
   IMPORTRANGE(""1RdEdgHYrZ33LJ7RUHj_h-qkAFL92bcVjtIdVa-UlsCw"", ""Interns!M:M""), 
   ""Not Found"")"),"")</f>
        <v/>
      </c>
      <c r="AL1502" s="23" t="str">
        <f>IFERROR(__xludf.DUMMYFUNCTION("XLOOKUP(C1502, 
   IMPORTRANGE(""1RdEdgHYrZ33LJ7RUHj_h-qkAFL92bcVjtIdVa-UlsCw"", ""Interns!D:D""), 
   IMPORTRANGE(""1RdEdgHYrZ33LJ7RUHj_h-qkAFL92bcVjtIdVa-UlsCw"", ""Interns!N:N""), 
   ""Not Found"")"),"")</f>
        <v/>
      </c>
      <c r="AM1502" s="23" t="str">
        <f>IFERROR(__xludf.DUMMYFUNCTION("XLOOKUP(C1502, 
   IMPORTRANGE(""1RdEdgHYrZ33LJ7RUHj_h-qkAFL92bcVjtIdVa-UlsCw"", ""Interns!D:D""), 
   IMPORTRANGE(""1RdEdgHYrZ33LJ7RUHj_h-qkAFL92bcVjtIdVa-UlsCw"", ""Interns!O:O""), 
   ""Not Found"")"),"")</f>
        <v/>
      </c>
      <c r="AN1502" s="23"/>
      <c r="AO1502" s="23" t="s">
        <v>9802</v>
      </c>
      <c r="AP1502" s="28" t="s">
        <v>5191</v>
      </c>
      <c r="AQ1502" s="28" t="s">
        <v>14405</v>
      </c>
      <c r="AR1502" s="23" t="s">
        <v>14406</v>
      </c>
      <c r="AS1502" s="23"/>
      <c r="AT1502" s="23"/>
      <c r="AU1502" s="23"/>
      <c r="AV1502" s="23"/>
    </row>
    <row r="1503">
      <c r="A1503" s="28" t="s">
        <v>5161</v>
      </c>
      <c r="B1503" s="28" t="s">
        <v>5162</v>
      </c>
      <c r="C1503" s="23" t="str">
        <f t="shared" si="39"/>
        <v>Luis Freites</v>
      </c>
      <c r="D1503" s="28" t="s">
        <v>6689</v>
      </c>
      <c r="E1503" s="28" t="s">
        <v>14407</v>
      </c>
      <c r="F1503" s="23" t="str">
        <f t="array" ref="F1503">IFERROR(
    INDEX('Hub Interns 226'!A:A, MATCH(C1503, 'Hub Interns 226'!B:B, 0)),"")</f>
        <v/>
      </c>
      <c r="G1503" s="23">
        <f t="array" ref="G1503">IFERROR(
    INDEX('Hub Users 226'!A:A, MATCH(C1503, 'Hub Users 226'!B:B, 0)),"")</f>
        <v>1916</v>
      </c>
      <c r="H1503" s="28">
        <v>1796.0</v>
      </c>
      <c r="I1503" s="28" t="s">
        <v>608</v>
      </c>
      <c r="J1503" s="28"/>
      <c r="K1503" s="28"/>
      <c r="L1503" s="28" t="s">
        <v>5165</v>
      </c>
      <c r="M1503" s="56" t="s">
        <v>14408</v>
      </c>
      <c r="N1503" s="57">
        <v>45314.96527777778</v>
      </c>
      <c r="O1503" s="58">
        <v>39056.0</v>
      </c>
      <c r="P1503" s="28">
        <f t="shared" si="41"/>
        <v>19</v>
      </c>
      <c r="Q1503" s="28" t="s">
        <v>14409</v>
      </c>
      <c r="R1503" s="28" t="s">
        <v>14410</v>
      </c>
      <c r="S1503" s="28">
        <v>12.0</v>
      </c>
      <c r="T1503" s="28">
        <v>28.0</v>
      </c>
      <c r="U1503" s="28">
        <v>73.0</v>
      </c>
      <c r="V1503" s="28">
        <v>4.0</v>
      </c>
      <c r="W1503" s="28" t="s">
        <v>271</v>
      </c>
      <c r="X1503" s="28" t="s">
        <v>272</v>
      </c>
      <c r="Y1503" s="28" t="s">
        <v>14411</v>
      </c>
      <c r="Z1503" s="28" t="s">
        <v>5259</v>
      </c>
      <c r="AA1503" s="28" t="s">
        <v>704</v>
      </c>
      <c r="AB1503" s="28">
        <v>2.0</v>
      </c>
      <c r="AC1503" s="28" t="s">
        <v>27</v>
      </c>
      <c r="AD1503" s="28" t="s">
        <v>101</v>
      </c>
      <c r="AE1503" s="28" t="s">
        <v>18</v>
      </c>
      <c r="AF1503" s="23"/>
      <c r="AG1503" s="23"/>
      <c r="AH1503" s="23" t="str">
        <f>IFERROR(__xludf.DUMMYFUNCTION("IF(
ISNUMBER(MATCH(
C1503,
IMPORTRANGE(""https://docs.google.com/spreadsheets/d/1yTh1ELC33JHYOeEdgIiEclxPRyh0zOKtlawDltfUay8"",""'Interns'!A:A""),
0
)),
""Outreach Conducted"",
"""")"),"")</f>
        <v/>
      </c>
      <c r="AI1503" s="23"/>
      <c r="AJ1503" s="23"/>
      <c r="AK1503" s="23" t="str">
        <f>IFERROR(__xludf.DUMMYFUNCTION("XLOOKUP(C1503, 
   IMPORTRANGE(""1RdEdgHYrZ33LJ7RUHj_h-qkAFL92bcVjtIdVa-UlsCw"", ""Interns!D:D""), 
   IMPORTRANGE(""1RdEdgHYrZ33LJ7RUHj_h-qkAFL92bcVjtIdVa-UlsCw"", ""Interns!M:M""), 
   ""Not Found"")"),"Contacted")</f>
        <v>Contacted</v>
      </c>
      <c r="AL1503" s="23" t="str">
        <f>IFERROR(__xludf.DUMMYFUNCTION("XLOOKUP(C1503, 
   IMPORTRANGE(""1RdEdgHYrZ33LJ7RUHj_h-qkAFL92bcVjtIdVa-UlsCw"", ""Interns!D:D""), 
   IMPORTRANGE(""1RdEdgHYrZ33LJ7RUHj_h-qkAFL92bcVjtIdVa-UlsCw"", ""Interns!N:N""), 
   ""Not Found"")"),"#Cheers4Careers")</f>
        <v>#Cheers4Careers</v>
      </c>
      <c r="AM1503" s="23" t="str">
        <f>IFERROR(__xludf.DUMMYFUNCTION("XLOOKUP(C1503, 
   IMPORTRANGE(""1RdEdgHYrZ33LJ7RUHj_h-qkAFL92bcVjtIdVa-UlsCw"", ""Interns!D:D""), 
   IMPORTRANGE(""1RdEdgHYrZ33LJ7RUHj_h-qkAFL92bcVjtIdVa-UlsCw"", ""Interns!O:O""), 
   ""Not Found"")"),"Ousmane reached out by email 3/26 and reach out by text 3/28")</f>
        <v>Ousmane reached out by email 3/26 and reach out by text 3/28</v>
      </c>
      <c r="AN1503" s="23"/>
      <c r="AO1503" s="23" t="s">
        <v>14412</v>
      </c>
      <c r="AP1503" s="28" t="s">
        <v>5880</v>
      </c>
      <c r="AQ1503" s="28" t="s">
        <v>14413</v>
      </c>
      <c r="AR1503" s="23">
        <v>6.464187843E9</v>
      </c>
      <c r="AS1503" s="23"/>
      <c r="AT1503" s="23"/>
      <c r="AU1503" s="23"/>
      <c r="AV1503" s="23"/>
    </row>
    <row r="1504">
      <c r="A1504" s="28" t="s">
        <v>5202</v>
      </c>
      <c r="B1504" s="28" t="s">
        <v>5162</v>
      </c>
      <c r="C1504" s="23" t="str">
        <f t="shared" si="39"/>
        <v>Nabel Qaid</v>
      </c>
      <c r="D1504" s="28" t="s">
        <v>14414</v>
      </c>
      <c r="E1504" s="28" t="s">
        <v>14415</v>
      </c>
      <c r="F1504" s="23">
        <f t="array" ref="F1504">IFERROR(
    INDEX('Hub Interns 226'!A:A, MATCH(C1504, 'Hub Interns 226'!B:B, 0)),"")</f>
        <v>907</v>
      </c>
      <c r="G1504" s="23">
        <f t="array" ref="G1504">IFERROR(
    INDEX('Hub Users 226'!A:A, MATCH(C1504, 'Hub Users 226'!B:B, 0)),"")</f>
        <v>1340</v>
      </c>
      <c r="H1504" s="28">
        <v>964.0</v>
      </c>
      <c r="I1504" s="28"/>
      <c r="J1504" s="28" t="s">
        <v>9487</v>
      </c>
      <c r="K1504" s="28" t="s">
        <v>5186</v>
      </c>
      <c r="L1504" s="28" t="s">
        <v>5165</v>
      </c>
      <c r="M1504" s="56" t="s">
        <v>14416</v>
      </c>
      <c r="N1504" s="57">
        <v>44628.56319444445</v>
      </c>
      <c r="O1504" s="58">
        <v>109844.0</v>
      </c>
      <c r="P1504" s="28" t="str">
        <f t="shared" si="41"/>
        <v>#NUM!</v>
      </c>
      <c r="Q1504" s="28" t="s">
        <v>240</v>
      </c>
      <c r="R1504" s="28" t="s">
        <v>14417</v>
      </c>
      <c r="S1504" s="28">
        <v>8.0</v>
      </c>
      <c r="T1504" s="28">
        <v>19.0</v>
      </c>
      <c r="U1504" s="28">
        <v>59.0</v>
      </c>
      <c r="V1504" s="28">
        <v>46.0</v>
      </c>
      <c r="W1504" s="28" t="s">
        <v>294</v>
      </c>
      <c r="X1504" s="28" t="s">
        <v>272</v>
      </c>
      <c r="Y1504" s="28" t="s">
        <v>14418</v>
      </c>
      <c r="Z1504" s="28" t="s">
        <v>5589</v>
      </c>
      <c r="AA1504" s="28" t="s">
        <v>5590</v>
      </c>
      <c r="AB1504" s="28">
        <v>35.0</v>
      </c>
      <c r="AC1504" s="28" t="s">
        <v>24</v>
      </c>
      <c r="AD1504" s="23"/>
      <c r="AE1504" s="28" t="s">
        <v>10</v>
      </c>
      <c r="AF1504" s="23"/>
      <c r="AG1504" s="23"/>
      <c r="AH1504" s="23" t="str">
        <f>IFERROR(__xludf.DUMMYFUNCTION("IF(
ISNUMBER(MATCH(
C1504,
IMPORTRANGE(""https://docs.google.com/spreadsheets/d/1yTh1ELC33JHYOeEdgIiEclxPRyh0zOKtlawDltfUay8"",""'Interns'!A:A""),
0
)),
""Outreach Conducted"",
"""")"),"")</f>
        <v/>
      </c>
      <c r="AI1504" s="23"/>
      <c r="AJ1504" s="23"/>
      <c r="AK1504" s="23" t="str">
        <f>IFERROR(__xludf.DUMMYFUNCTION("XLOOKUP(C1504, 
   IMPORTRANGE(""1RdEdgHYrZ33LJ7RUHj_h-qkAFL92bcVjtIdVa-UlsCw"", ""Interns!D:D""), 
   IMPORTRANGE(""1RdEdgHYrZ33LJ7RUHj_h-qkAFL92bcVjtIdVa-UlsCw"", ""Interns!M:M""), 
   ""Not Found"")"),"")</f>
        <v/>
      </c>
      <c r="AL1504" s="23" t="str">
        <f>IFERROR(__xludf.DUMMYFUNCTION("XLOOKUP(C1504, 
   IMPORTRANGE(""1RdEdgHYrZ33LJ7RUHj_h-qkAFL92bcVjtIdVa-UlsCw"", ""Interns!D:D""), 
   IMPORTRANGE(""1RdEdgHYrZ33LJ7RUHj_h-qkAFL92bcVjtIdVa-UlsCw"", ""Interns!N:N""), 
   ""Not Found"")"),"")</f>
        <v/>
      </c>
      <c r="AM1504" s="23" t="str">
        <f>IFERROR(__xludf.DUMMYFUNCTION("XLOOKUP(C1504, 
   IMPORTRANGE(""1RdEdgHYrZ33LJ7RUHj_h-qkAFL92bcVjtIdVa-UlsCw"", ""Interns!D:D""), 
   IMPORTRANGE(""1RdEdgHYrZ33LJ7RUHj_h-qkAFL92bcVjtIdVa-UlsCw"", ""Interns!O:O""), 
   ""Not Found"")"),"")</f>
        <v/>
      </c>
      <c r="AN1504" s="23"/>
      <c r="AO1504" s="23" t="s">
        <v>14419</v>
      </c>
      <c r="AP1504" s="28" t="s">
        <v>5191</v>
      </c>
      <c r="AQ1504" s="28"/>
      <c r="AR1504" s="23"/>
      <c r="AS1504" s="23"/>
      <c r="AT1504" s="23"/>
      <c r="AU1504" s="23"/>
      <c r="AV1504" s="23"/>
    </row>
    <row r="1505">
      <c r="A1505" s="28" t="s">
        <v>5161</v>
      </c>
      <c r="B1505" s="28" t="s">
        <v>5162</v>
      </c>
      <c r="C1505" s="23" t="str">
        <f t="shared" si="39"/>
        <v>Heidy Zapata</v>
      </c>
      <c r="D1505" s="28" t="s">
        <v>14420</v>
      </c>
      <c r="E1505" s="28" t="s">
        <v>7228</v>
      </c>
      <c r="F1505" s="23">
        <f t="array" ref="F1505">IFERROR(
    INDEX('Hub Interns 226'!A:A, MATCH(C1505, 'Hub Interns 226'!B:B, 0)),"")</f>
        <v>573</v>
      </c>
      <c r="G1505" s="23">
        <f t="array" ref="G1505">IFERROR(
    INDEX('Hub Users 226'!A:A, MATCH(C1505, 'Hub Users 226'!B:B, 0)),"")</f>
        <v>1006</v>
      </c>
      <c r="H1505" s="28">
        <v>304.0</v>
      </c>
      <c r="I1505" s="28" t="s">
        <v>260</v>
      </c>
      <c r="J1505" s="28"/>
      <c r="K1505" s="28"/>
      <c r="L1505" s="28" t="s">
        <v>5196</v>
      </c>
      <c r="M1505" s="56" t="s">
        <v>14421</v>
      </c>
      <c r="N1505" s="57">
        <v>44232.955555555556</v>
      </c>
      <c r="O1505" s="58">
        <v>38131.0</v>
      </c>
      <c r="P1505" s="28">
        <f t="shared" si="41"/>
        <v>21</v>
      </c>
      <c r="Q1505" s="28" t="s">
        <v>240</v>
      </c>
      <c r="R1505" s="28" t="s">
        <v>14422</v>
      </c>
      <c r="S1505" s="28">
        <v>16.0</v>
      </c>
      <c r="T1505" s="28">
        <v>36.0</v>
      </c>
      <c r="U1505" s="28">
        <v>83.0</v>
      </c>
      <c r="V1505" s="28">
        <v>12.0</v>
      </c>
      <c r="W1505" s="28" t="s">
        <v>859</v>
      </c>
      <c r="X1505" s="28" t="s">
        <v>272</v>
      </c>
      <c r="Y1505" s="28" t="s">
        <v>14423</v>
      </c>
      <c r="Z1505" s="28" t="s">
        <v>5310</v>
      </c>
      <c r="AA1505" s="28" t="s">
        <v>362</v>
      </c>
      <c r="AB1505" s="28">
        <v>16.0</v>
      </c>
      <c r="AC1505" s="28" t="s">
        <v>25</v>
      </c>
      <c r="AD1505" s="23"/>
      <c r="AE1505" s="28" t="s">
        <v>8</v>
      </c>
      <c r="AF1505" s="23" t="str">
        <f>IFERROR(__xludf.DUMMYFUNCTION("TEXTJOIN("", "", TRUE,
  FILTER(Champions!C:C,
    ISNUMBER(SEARCH(C1505, Champions!W:W))
  )
)"),"Flavia Mihaela Vaduva, Sriramya Ayyagari")</f>
        <v>Flavia Mihaela Vaduva, Sriramya Ayyagari</v>
      </c>
      <c r="AG1505" s="23"/>
      <c r="AH1505" s="23" t="str">
        <f>IFERROR(__xludf.DUMMYFUNCTION("IF(
ISNUMBER(MATCH(
C1505,
IMPORTRANGE(""https://docs.google.com/spreadsheets/d/1yTh1ELC33JHYOeEdgIiEclxPRyh0zOKtlawDltfUay8"",""'Interns'!A:A""),
0
)),
""Outreach Conducted"",
"""")"),"")</f>
        <v/>
      </c>
      <c r="AI1505" s="23"/>
      <c r="AJ1505" s="23"/>
      <c r="AK1505" s="23" t="str">
        <f>IFERROR(__xludf.DUMMYFUNCTION("XLOOKUP(C1505, 
   IMPORTRANGE(""1RdEdgHYrZ33LJ7RUHj_h-qkAFL92bcVjtIdVa-UlsCw"", ""Interns!D:D""), 
   IMPORTRANGE(""1RdEdgHYrZ33LJ7RUHj_h-qkAFL92bcVjtIdVa-UlsCw"", ""Interns!M:M""), 
   ""Not Found"")"),"")</f>
        <v/>
      </c>
      <c r="AL1505" s="23" t="str">
        <f>IFERROR(__xludf.DUMMYFUNCTION("XLOOKUP(C1505, 
   IMPORTRANGE(""1RdEdgHYrZ33LJ7RUHj_h-qkAFL92bcVjtIdVa-UlsCw"", ""Interns!D:D""), 
   IMPORTRANGE(""1RdEdgHYrZ33LJ7RUHj_h-qkAFL92bcVjtIdVa-UlsCw"", ""Interns!N:N""), 
   ""Not Found"")"),"#SpeakingMyName")</f>
        <v>#SpeakingMyName</v>
      </c>
      <c r="AM1505" s="23" t="str">
        <f>IFERROR(__xludf.DUMMYFUNCTION("XLOOKUP(C1505, 
   IMPORTRANGE(""1RdEdgHYrZ33LJ7RUHj_h-qkAFL92bcVjtIdVa-UlsCw"", ""Interns!D:D""), 
   IMPORTRANGE(""1RdEdgHYrZ33LJ7RUHj_h-qkAFL92bcVjtIdVa-UlsCw"", ""Interns!O:O""), 
   ""Not Found"")"),"Alicia reached out by email on 5/15 for #SpeakingMyName")</f>
        <v>Alicia reached out by email on 5/15 for #SpeakingMyName</v>
      </c>
      <c r="AN1505" s="23"/>
      <c r="AO1505" s="23" t="s">
        <v>14424</v>
      </c>
      <c r="AP1505" s="28" t="s">
        <v>5191</v>
      </c>
      <c r="AQ1505" s="28" t="s">
        <v>14421</v>
      </c>
      <c r="AR1505" s="23" t="s">
        <v>14425</v>
      </c>
      <c r="AS1505" s="23"/>
      <c r="AT1505" s="23"/>
      <c r="AU1505" s="23"/>
      <c r="AV1505" s="23"/>
    </row>
    <row r="1506">
      <c r="A1506" s="28" t="s">
        <v>5161</v>
      </c>
      <c r="B1506" s="28" t="s">
        <v>5162</v>
      </c>
      <c r="C1506" s="23" t="str">
        <f t="shared" si="39"/>
        <v>Jessiel Jaquez</v>
      </c>
      <c r="D1506" s="28" t="s">
        <v>13710</v>
      </c>
      <c r="E1506" s="28" t="s">
        <v>13711</v>
      </c>
      <c r="F1506" s="23">
        <f t="array" ref="F1506">IFERROR(
    INDEX('Hub Interns 226'!A:A, MATCH(C1506, 'Hub Interns 226'!B:B, 0)),"")</f>
        <v>655</v>
      </c>
      <c r="G1506" s="23">
        <f t="array" ref="G1506">IFERROR(
    INDEX('Hub Users 226'!A:A, MATCH(C1506, 'Hub Users 226'!B:B, 0)),"")</f>
        <v>1088</v>
      </c>
      <c r="H1506" s="28">
        <v>1229.0</v>
      </c>
      <c r="I1506" s="28" t="s">
        <v>260</v>
      </c>
      <c r="J1506" s="28"/>
      <c r="K1506" s="28"/>
      <c r="L1506" s="28" t="s">
        <v>5196</v>
      </c>
      <c r="M1506" s="56" t="s">
        <v>13712</v>
      </c>
      <c r="N1506" s="57">
        <v>44838.44652777778</v>
      </c>
      <c r="O1506" s="58">
        <v>38645.0</v>
      </c>
      <c r="P1506" s="28">
        <f t="shared" si="41"/>
        <v>20</v>
      </c>
      <c r="Q1506" s="28" t="s">
        <v>240</v>
      </c>
      <c r="R1506" s="28" t="s">
        <v>13713</v>
      </c>
      <c r="S1506" s="28">
        <v>13.0</v>
      </c>
      <c r="T1506" s="28">
        <v>31.0</v>
      </c>
      <c r="U1506" s="28">
        <v>72.0</v>
      </c>
      <c r="V1506" s="28">
        <v>10.0</v>
      </c>
      <c r="W1506" s="28" t="s">
        <v>271</v>
      </c>
      <c r="X1506" s="28" t="s">
        <v>272</v>
      </c>
      <c r="Y1506" s="28" t="s">
        <v>13714</v>
      </c>
      <c r="Z1506" s="28" t="s">
        <v>5341</v>
      </c>
      <c r="AA1506" s="28" t="s">
        <v>1085</v>
      </c>
      <c r="AB1506" s="28">
        <v>10.0</v>
      </c>
      <c r="AC1506" s="28" t="s">
        <v>23</v>
      </c>
      <c r="AD1506" s="23"/>
      <c r="AE1506" s="28" t="s">
        <v>15</v>
      </c>
      <c r="AF1506" s="23"/>
      <c r="AG1506" s="23"/>
      <c r="AH1506" s="23" t="str">
        <f>IFERROR(__xludf.DUMMYFUNCTION("IF(
ISNUMBER(MATCH(
C1506,
IMPORTRANGE(""https://docs.google.com/spreadsheets/d/1yTh1ELC33JHYOeEdgIiEclxPRyh0zOKtlawDltfUay8"",""'Interns'!A:A""),
0
)),
""Outreach Conducted"",
"""")"),"")</f>
        <v/>
      </c>
      <c r="AI1506" s="23"/>
      <c r="AJ1506" s="23"/>
      <c r="AK1506" s="23" t="str">
        <f>IFERROR(__xludf.DUMMYFUNCTION("XLOOKUP(C1506, 
   IMPORTRANGE(""1RdEdgHYrZ33LJ7RUHj_h-qkAFL92bcVjtIdVa-UlsCw"", ""Interns!D:D""), 
   IMPORTRANGE(""1RdEdgHYrZ33LJ7RUHj_h-qkAFL92bcVjtIdVa-UlsCw"", ""Interns!M:M""), 
   ""Not Found"")"),"")</f>
        <v/>
      </c>
      <c r="AL1506" s="23" t="str">
        <f>IFERROR(__xludf.DUMMYFUNCTION("XLOOKUP(C1506, 
   IMPORTRANGE(""1RdEdgHYrZ33LJ7RUHj_h-qkAFL92bcVjtIdVa-UlsCw"", ""Interns!D:D""), 
   IMPORTRANGE(""1RdEdgHYrZ33LJ7RUHj_h-qkAFL92bcVjtIdVa-UlsCw"", ""Interns!N:N""), 
   ""Not Found"")"),"")</f>
        <v/>
      </c>
      <c r="AM1506" s="23" t="str">
        <f>IFERROR(__xludf.DUMMYFUNCTION("XLOOKUP(C1506, 
   IMPORTRANGE(""1RdEdgHYrZ33LJ7RUHj_h-qkAFL92bcVjtIdVa-UlsCw"", ""Interns!D:D""), 
   IMPORTRANGE(""1RdEdgHYrZ33LJ7RUHj_h-qkAFL92bcVjtIdVa-UlsCw"", ""Interns!O:O""), 
   ""Not Found"")"),"")</f>
        <v/>
      </c>
      <c r="AN1506" s="23"/>
      <c r="AO1506" s="23" t="s">
        <v>13715</v>
      </c>
      <c r="AP1506" s="28" t="s">
        <v>5182</v>
      </c>
      <c r="AQ1506" s="28"/>
      <c r="AR1506" s="23"/>
      <c r="AS1506" s="23"/>
      <c r="AT1506" s="23"/>
      <c r="AU1506" s="23"/>
      <c r="AV1506" s="23"/>
    </row>
    <row r="1507">
      <c r="A1507" s="28" t="s">
        <v>5161</v>
      </c>
      <c r="B1507" s="28" t="s">
        <v>5162</v>
      </c>
      <c r="C1507" s="23" t="str">
        <f t="shared" si="39"/>
        <v>Kamielle Sanchez</v>
      </c>
      <c r="D1507" s="28" t="s">
        <v>14426</v>
      </c>
      <c r="E1507" s="28" t="s">
        <v>6853</v>
      </c>
      <c r="F1507" s="23" t="str">
        <f t="array" ref="F1507">IFERROR(
    INDEX('Hub Interns 226'!A:A, MATCH(C1507, 'Hub Interns 226'!B:B, 0)),"")</f>
        <v/>
      </c>
      <c r="G1507" s="28">
        <v>1859.0</v>
      </c>
      <c r="H1507" s="28">
        <v>1761.0</v>
      </c>
      <c r="I1507" s="28" t="s">
        <v>269</v>
      </c>
      <c r="J1507" s="28"/>
      <c r="K1507" s="28"/>
      <c r="L1507" s="28" t="s">
        <v>5196</v>
      </c>
      <c r="M1507" s="56" t="s">
        <v>14427</v>
      </c>
      <c r="N1507" s="59">
        <v>45280.40902777778</v>
      </c>
      <c r="O1507" s="58">
        <v>40677.0</v>
      </c>
      <c r="P1507" s="28">
        <f t="shared" si="41"/>
        <v>15</v>
      </c>
      <c r="Q1507" s="28" t="s">
        <v>240</v>
      </c>
      <c r="R1507" s="28" t="s">
        <v>14428</v>
      </c>
      <c r="S1507" s="28">
        <v>6.0</v>
      </c>
      <c r="T1507" s="28">
        <v>13.0</v>
      </c>
      <c r="U1507" s="28">
        <v>39.0</v>
      </c>
      <c r="V1507" s="28">
        <v>25.0</v>
      </c>
      <c r="W1507" s="28" t="s">
        <v>1173</v>
      </c>
      <c r="X1507" s="28" t="s">
        <v>272</v>
      </c>
      <c r="Y1507" s="28" t="s">
        <v>14429</v>
      </c>
      <c r="Z1507" s="28" t="s">
        <v>5170</v>
      </c>
      <c r="AA1507" s="28" t="s">
        <v>5171</v>
      </c>
      <c r="AB1507" s="28">
        <v>30.0</v>
      </c>
      <c r="AC1507" s="28" t="s">
        <v>23</v>
      </c>
      <c r="AD1507" s="23"/>
      <c r="AE1507" s="28" t="s">
        <v>18</v>
      </c>
      <c r="AF1507" s="23"/>
      <c r="AG1507" s="23"/>
      <c r="AH1507" s="23" t="str">
        <f>IFERROR(__xludf.DUMMYFUNCTION("IF(
ISNUMBER(MATCH(
C1507,
IMPORTRANGE(""https://docs.google.com/spreadsheets/d/1yTh1ELC33JHYOeEdgIiEclxPRyh0zOKtlawDltfUay8"",""'Interns'!A:A""),
0
)),
""Outreach Conducted"",
"""")"),"")</f>
        <v/>
      </c>
      <c r="AI1507" s="23"/>
      <c r="AJ1507" s="23"/>
      <c r="AK1507" s="23" t="str">
        <f>IFERROR(__xludf.DUMMYFUNCTION("XLOOKUP(C1507, 
   IMPORTRANGE(""1RdEdgHYrZ33LJ7RUHj_h-qkAFL92bcVjtIdVa-UlsCw"", ""Interns!D:D""), 
   IMPORTRANGE(""1RdEdgHYrZ33LJ7RUHj_h-qkAFL92bcVjtIdVa-UlsCw"", ""Interns!M:M""), 
   ""Not Found"")"),"Contacted")</f>
        <v>Contacted</v>
      </c>
      <c r="AL1507" s="23" t="str">
        <f>IFERROR(__xludf.DUMMYFUNCTION("XLOOKUP(C1507, 
   IMPORTRANGE(""1RdEdgHYrZ33LJ7RUHj_h-qkAFL92bcVjtIdVa-UlsCw"", ""Interns!D:D""), 
   IMPORTRANGE(""1RdEdgHYrZ33LJ7RUHj_h-qkAFL92bcVjtIdVa-UlsCw"", ""Interns!N:N""), 
   ""Not Found"")"),"#Cheers4Careers")</f>
        <v>#Cheers4Careers</v>
      </c>
      <c r="AM1507" s="23" t="str">
        <f>IFERROR(__xludf.DUMMYFUNCTION("XLOOKUP(C1507, 
   IMPORTRANGE(""1RdEdgHYrZ33LJ7RUHj_h-qkAFL92bcVjtIdVa-UlsCw"", ""Interns!D:D""), 
   IMPORTRANGE(""1RdEdgHYrZ33LJ7RUHj_h-qkAFL92bcVjtIdVa-UlsCw"", ""Interns!O:O""), 
   ""Not Found"")"),"Hetal reached out March 27 for March #Cheers4 Careers ")</f>
        <v>Hetal reached out March 27 for March #Cheers4 Careers </v>
      </c>
      <c r="AN1507" s="23"/>
      <c r="AO1507" s="23" t="s">
        <v>14430</v>
      </c>
      <c r="AP1507" s="28" t="s">
        <v>5240</v>
      </c>
      <c r="AQ1507" s="28"/>
      <c r="AR1507" s="23"/>
      <c r="AS1507" s="23"/>
      <c r="AT1507" s="23"/>
      <c r="AU1507" s="23"/>
      <c r="AV1507" s="23"/>
    </row>
    <row r="1508">
      <c r="A1508" s="28" t="s">
        <v>5161</v>
      </c>
      <c r="B1508" s="28" t="s">
        <v>5162</v>
      </c>
      <c r="C1508" s="23" t="str">
        <f t="shared" si="39"/>
        <v>Albry Witherspoon</v>
      </c>
      <c r="D1508" s="28" t="s">
        <v>14431</v>
      </c>
      <c r="E1508" s="28" t="s">
        <v>14432</v>
      </c>
      <c r="F1508" s="23">
        <f t="array" ref="F1508">IFERROR(
    INDEX('Hub Interns 226'!A:A, MATCH(C1508, 'Hub Interns 226'!B:B, 0)),"")</f>
        <v>175</v>
      </c>
      <c r="G1508" s="23">
        <f t="array" ref="G1508">IFERROR(
    INDEX('Hub Users 226'!A:A, MATCH(C1508, 'Hub Users 226'!B:B, 0)),"")</f>
        <v>608</v>
      </c>
      <c r="H1508" s="28">
        <v>1194.0</v>
      </c>
      <c r="I1508" s="28" t="s">
        <v>260</v>
      </c>
      <c r="J1508" s="28"/>
      <c r="K1508" s="28"/>
      <c r="L1508" s="28" t="s">
        <v>5165</v>
      </c>
      <c r="M1508" s="56" t="s">
        <v>14433</v>
      </c>
      <c r="N1508" s="57">
        <v>44833.59027777778</v>
      </c>
      <c r="O1508" s="58">
        <v>39884.0</v>
      </c>
      <c r="P1508" s="28">
        <f t="shared" si="41"/>
        <v>17</v>
      </c>
      <c r="Q1508" s="28" t="s">
        <v>240</v>
      </c>
      <c r="R1508" s="28" t="s">
        <v>14434</v>
      </c>
      <c r="S1508" s="28">
        <v>6.0</v>
      </c>
      <c r="T1508" s="28">
        <v>13.0</v>
      </c>
      <c r="U1508" s="28">
        <v>30.0</v>
      </c>
      <c r="V1508" s="28">
        <v>25.0</v>
      </c>
      <c r="W1508" s="28" t="s">
        <v>1173</v>
      </c>
      <c r="X1508" s="28" t="s">
        <v>272</v>
      </c>
      <c r="Y1508" s="28" t="s">
        <v>14435</v>
      </c>
      <c r="Z1508" s="28" t="s">
        <v>5170</v>
      </c>
      <c r="AA1508" s="28" t="s">
        <v>5171</v>
      </c>
      <c r="AB1508" s="28">
        <v>30.0</v>
      </c>
      <c r="AC1508" s="28" t="s">
        <v>23</v>
      </c>
      <c r="AD1508" s="23"/>
      <c r="AE1508" s="28" t="s">
        <v>15</v>
      </c>
      <c r="AF1508" s="23"/>
      <c r="AG1508" s="23"/>
      <c r="AH1508" s="23" t="str">
        <f>IFERROR(__xludf.DUMMYFUNCTION("IF(
ISNUMBER(MATCH(
C1508,
IMPORTRANGE(""https://docs.google.com/spreadsheets/d/1yTh1ELC33JHYOeEdgIiEclxPRyh0zOKtlawDltfUay8"",""'Interns'!A:A""),
0
)),
""Outreach Conducted"",
"""")"),"")</f>
        <v/>
      </c>
      <c r="AI1508" s="23"/>
      <c r="AJ1508" s="23"/>
      <c r="AK1508" s="23" t="str">
        <f>IFERROR(__xludf.DUMMYFUNCTION("XLOOKUP(C1508, 
   IMPORTRANGE(""1RdEdgHYrZ33LJ7RUHj_h-qkAFL92bcVjtIdVa-UlsCw"", ""Interns!D:D""), 
   IMPORTRANGE(""1RdEdgHYrZ33LJ7RUHj_h-qkAFL92bcVjtIdVa-UlsCw"", ""Interns!M:M""), 
   ""Not Found"")"),"Contacted")</f>
        <v>Contacted</v>
      </c>
      <c r="AL1508" s="23" t="str">
        <f>IFERROR(__xludf.DUMMYFUNCTION("XLOOKUP(C1508, 
   IMPORTRANGE(""1RdEdgHYrZ33LJ7RUHj_h-qkAFL92bcVjtIdVa-UlsCw"", ""Interns!D:D""), 
   IMPORTRANGE(""1RdEdgHYrZ33LJ7RUHj_h-qkAFL92bcVjtIdVa-UlsCw"", ""Interns!N:N""), 
   ""Not Found"")"),"#Cheers4Careers")</f>
        <v>#Cheers4Careers</v>
      </c>
      <c r="AM1508" s="23" t="str">
        <f>IFERROR(__xludf.DUMMYFUNCTION("XLOOKUP(C1508, 
   IMPORTRANGE(""1RdEdgHYrZ33LJ7RUHj_h-qkAFL92bcVjtIdVa-UlsCw"", ""Interns!D:D""), 
   IMPORTRANGE(""1RdEdgHYrZ33LJ7RUHj_h-qkAFL92bcVjtIdVa-UlsCw"", ""Interns!O:O""), 
   ""Not Found"")"),"Hetal reached out March 27 for March #Cheers4 Careers ")</f>
        <v>Hetal reached out March 27 for March #Cheers4 Careers </v>
      </c>
      <c r="AN1508" s="23"/>
      <c r="AO1508" s="23" t="s">
        <v>14436</v>
      </c>
      <c r="AP1508" s="28" t="s">
        <v>5191</v>
      </c>
      <c r="AQ1508" s="28"/>
      <c r="AR1508" s="23"/>
      <c r="AS1508" s="23"/>
      <c r="AT1508" s="23"/>
      <c r="AU1508" s="23"/>
      <c r="AV1508" s="23"/>
    </row>
    <row r="1509">
      <c r="A1509" s="28" t="s">
        <v>5161</v>
      </c>
      <c r="B1509" s="28" t="s">
        <v>5162</v>
      </c>
      <c r="C1509" s="23" t="str">
        <f t="shared" si="39"/>
        <v>Aya Zrelli</v>
      </c>
      <c r="D1509" s="28" t="s">
        <v>653</v>
      </c>
      <c r="E1509" s="28" t="s">
        <v>14437</v>
      </c>
      <c r="F1509" s="23">
        <f t="array" ref="F1509">IFERROR(
    INDEX('Hub Interns 226'!A:A, MATCH(C1509, 'Hub Interns 226'!B:B, 0)),"")</f>
        <v>756</v>
      </c>
      <c r="G1509" s="23">
        <f t="array" ref="G1509">IFERROR(
    INDEX('Hub Users 226'!A:A, MATCH(C1509, 'Hub Users 226'!B:B, 0)),"")</f>
        <v>1189</v>
      </c>
      <c r="H1509" s="28">
        <v>1087.0</v>
      </c>
      <c r="I1509" s="28"/>
      <c r="J1509" s="28"/>
      <c r="K1509" s="28"/>
      <c r="L1509" s="28" t="s">
        <v>5165</v>
      </c>
      <c r="M1509" s="56" t="s">
        <v>14438</v>
      </c>
      <c r="N1509" s="57">
        <v>44704.51944444444</v>
      </c>
      <c r="O1509" s="58">
        <v>39539.0</v>
      </c>
      <c r="P1509" s="28">
        <f t="shared" si="41"/>
        <v>18</v>
      </c>
      <c r="Q1509" s="28" t="s">
        <v>240</v>
      </c>
      <c r="R1509" s="28" t="s">
        <v>14439</v>
      </c>
      <c r="S1509" s="28">
        <v>6.0</v>
      </c>
      <c r="T1509" s="28">
        <v>12.0</v>
      </c>
      <c r="U1509" s="28">
        <v>37.0</v>
      </c>
      <c r="V1509" s="28">
        <v>26.0</v>
      </c>
      <c r="W1509" s="28" t="s">
        <v>1173</v>
      </c>
      <c r="X1509" s="28" t="s">
        <v>272</v>
      </c>
      <c r="Y1509" s="28" t="s">
        <v>14440</v>
      </c>
      <c r="Z1509" s="28" t="s">
        <v>5352</v>
      </c>
      <c r="AA1509" s="28" t="s">
        <v>5287</v>
      </c>
      <c r="AB1509" s="28">
        <v>26.0</v>
      </c>
      <c r="AC1509" s="28" t="s">
        <v>24</v>
      </c>
      <c r="AD1509" s="23"/>
      <c r="AE1509" s="28" t="s">
        <v>10</v>
      </c>
      <c r="AF1509" s="23"/>
      <c r="AG1509" s="23"/>
      <c r="AH1509" s="23" t="str">
        <f>IFERROR(__xludf.DUMMYFUNCTION("IF(
ISNUMBER(MATCH(
C1509,
IMPORTRANGE(""https://docs.google.com/spreadsheets/d/1yTh1ELC33JHYOeEdgIiEclxPRyh0zOKtlawDltfUay8"",""'Interns'!A:A""),
0
)),
""Outreach Conducted"",
"""")"),"")</f>
        <v/>
      </c>
      <c r="AI1509" s="23"/>
      <c r="AJ1509" s="23"/>
      <c r="AK1509" s="23" t="str">
        <f>IFERROR(__xludf.DUMMYFUNCTION("XLOOKUP(C1509, 
   IMPORTRANGE(""1RdEdgHYrZ33LJ7RUHj_h-qkAFL92bcVjtIdVa-UlsCw"", ""Interns!D:D""), 
   IMPORTRANGE(""1RdEdgHYrZ33LJ7RUHj_h-qkAFL92bcVjtIdVa-UlsCw"", ""Interns!M:M""), 
   ""Not Found"")"),"Contacted")</f>
        <v>Contacted</v>
      </c>
      <c r="AL1509" s="23" t="str">
        <f>IFERROR(__xludf.DUMMYFUNCTION("XLOOKUP(C1509, 
   IMPORTRANGE(""1RdEdgHYrZ33LJ7RUHj_h-qkAFL92bcVjtIdVa-UlsCw"", ""Interns!D:D""), 
   IMPORTRANGE(""1RdEdgHYrZ33LJ7RUHj_h-qkAFL92bcVjtIdVa-UlsCw"", ""Interns!N:N""), 
   ""Not Found"")"),"#Cheers4Careers")</f>
        <v>#Cheers4Careers</v>
      </c>
      <c r="AM1509" s="23" t="str">
        <f>IFERROR(__xludf.DUMMYFUNCTION("XLOOKUP(C1509, 
   IMPORTRANGE(""1RdEdgHYrZ33LJ7RUHj_h-qkAFL92bcVjtIdVa-UlsCw"", ""Interns!D:D""), 
   IMPORTRANGE(""1RdEdgHYrZ33LJ7RUHj_h-qkAFL92bcVjtIdVa-UlsCw"", ""Interns!O:O""), 
   ""Not Found"")"),"Hetal reached out by email 3/27")</f>
        <v>Hetal reached out by email 3/27</v>
      </c>
      <c r="AN1509" s="23"/>
      <c r="AO1509" s="23" t="s">
        <v>14441</v>
      </c>
      <c r="AP1509" s="28" t="s">
        <v>5191</v>
      </c>
      <c r="AQ1509" s="28"/>
      <c r="AR1509" s="23"/>
      <c r="AS1509" s="23"/>
      <c r="AT1509" s="23"/>
      <c r="AU1509" s="23"/>
      <c r="AV1509" s="23"/>
    </row>
    <row r="1510">
      <c r="A1510" s="28" t="s">
        <v>5161</v>
      </c>
      <c r="B1510" s="28" t="s">
        <v>5162</v>
      </c>
      <c r="C1510" s="23" t="str">
        <f t="shared" si="39"/>
        <v>Kyra Sapera</v>
      </c>
      <c r="D1510" s="22" t="s">
        <v>14442</v>
      </c>
      <c r="E1510" s="22" t="s">
        <v>14443</v>
      </c>
      <c r="F1510" s="23"/>
      <c r="G1510" s="23"/>
      <c r="H1510" s="22">
        <v>1951.0</v>
      </c>
      <c r="I1510" s="28"/>
      <c r="J1510" s="28"/>
      <c r="K1510" s="28"/>
      <c r="L1510" s="28" t="s">
        <v>5196</v>
      </c>
      <c r="M1510" s="29" t="s">
        <v>14444</v>
      </c>
      <c r="N1510" s="61">
        <v>45715.31180555555</v>
      </c>
      <c r="O1510" s="25">
        <v>41162.0</v>
      </c>
      <c r="P1510" s="28">
        <f t="shared" si="41"/>
        <v>13</v>
      </c>
      <c r="Q1510" s="62" t="s">
        <v>14445</v>
      </c>
      <c r="R1510" s="22" t="s">
        <v>14446</v>
      </c>
      <c r="S1510" s="28">
        <v>7.0</v>
      </c>
      <c r="T1510" s="28">
        <v>12.0</v>
      </c>
      <c r="U1510" s="28">
        <v>37.0</v>
      </c>
      <c r="V1510" s="28">
        <v>26.0</v>
      </c>
      <c r="W1510" s="28" t="s">
        <v>1173</v>
      </c>
      <c r="X1510" s="28" t="s">
        <v>272</v>
      </c>
      <c r="Y1510" s="22" t="s">
        <v>14447</v>
      </c>
      <c r="Z1510" s="22" t="s">
        <v>5536</v>
      </c>
      <c r="AA1510" s="28" t="s">
        <v>5287</v>
      </c>
      <c r="AB1510" s="28">
        <v>26.0</v>
      </c>
      <c r="AC1510" s="28" t="s">
        <v>22</v>
      </c>
      <c r="AD1510" s="23"/>
      <c r="AE1510" s="28" t="s">
        <v>19</v>
      </c>
      <c r="AF1510" s="23"/>
      <c r="AG1510" s="23"/>
      <c r="AH1510" s="23" t="str">
        <f>IFERROR(__xludf.DUMMYFUNCTION("IF(
ISNUMBER(MATCH(
C1510,
IMPORTRANGE(""https://docs.google.com/spreadsheets/d/1yTh1ELC33JHYOeEdgIiEclxPRyh0zOKtlawDltfUay8"",""'Interns'!A:A""),
0
)),
""Outreach Conducted"",
"""")"),"")</f>
        <v/>
      </c>
      <c r="AI1510" s="23"/>
      <c r="AJ1510" s="23"/>
      <c r="AK1510" s="23"/>
      <c r="AL1510" s="23" t="str">
        <f>IFERROR(__xludf.DUMMYFUNCTION("XLOOKUP(C1510, 
   IMPORTRANGE(""1RdEdgHYrZ33LJ7RUHj_h-qkAFL92bcVjtIdVa-UlsCw"", ""Interns!D:D""), 
   IMPORTRANGE(""1RdEdgHYrZ33LJ7RUHj_h-qkAFL92bcVjtIdVa-UlsCw"", ""Interns!N:N""), 
   ""Not Found"")"),"#Cheers4Careers")</f>
        <v>#Cheers4Careers</v>
      </c>
      <c r="AM1510" s="23" t="str">
        <f>IFERROR(__xludf.DUMMYFUNCTION("XLOOKUP(C1510, 
   IMPORTRANGE(""1RdEdgHYrZ33LJ7RUHj_h-qkAFL92bcVjtIdVa-UlsCw"", ""Interns!D:D""), 
   IMPORTRANGE(""1RdEdgHYrZ33LJ7RUHj_h-qkAFL92bcVjtIdVa-UlsCw"", ""Interns!O:O""), 
   ""Not Found"")"),"Hetal reached out March 27 for March #Cheers4 Careers ")</f>
        <v>Hetal reached out March 27 for March #Cheers4 Careers </v>
      </c>
      <c r="AN1510" s="23"/>
      <c r="AO1510" s="23" t="s">
        <v>14448</v>
      </c>
      <c r="AP1510" s="28" t="s">
        <v>5191</v>
      </c>
      <c r="AQ1510" s="28" t="s">
        <v>14449</v>
      </c>
      <c r="AR1510" s="23" t="s">
        <v>14450</v>
      </c>
      <c r="AS1510" s="23"/>
      <c r="AT1510" s="23"/>
      <c r="AU1510" s="23"/>
      <c r="AV1510" s="23"/>
    </row>
    <row r="1511">
      <c r="A1511" s="28" t="s">
        <v>5161</v>
      </c>
      <c r="B1511" s="28" t="s">
        <v>5162</v>
      </c>
      <c r="C1511" s="23" t="str">
        <f t="shared" si="39"/>
        <v>Doha Ibrahim</v>
      </c>
      <c r="D1511" s="28" t="s">
        <v>14451</v>
      </c>
      <c r="E1511" s="28" t="s">
        <v>4390</v>
      </c>
      <c r="F1511" s="23" t="str">
        <f t="array" ref="F1511">IFERROR(
    INDEX('Hub Interns 226'!A:A, MATCH(C1511, 'Hub Interns 226'!B:B, 0)),"")</f>
        <v/>
      </c>
      <c r="G1511" s="23" t="str">
        <f t="array" ref="G1511">IFERROR(
    INDEX('Hub Users 226'!A:A, MATCH(C1511, 'Hub Users 226'!B:B, 0)),"")</f>
        <v/>
      </c>
      <c r="H1511" s="28">
        <v>1399.0</v>
      </c>
      <c r="I1511" s="28" t="s">
        <v>107</v>
      </c>
      <c r="J1511" s="28"/>
      <c r="K1511" s="28"/>
      <c r="L1511" s="28" t="s">
        <v>5196</v>
      </c>
      <c r="M1511" s="28"/>
      <c r="N1511" s="59">
        <v>44862.643055555556</v>
      </c>
      <c r="O1511" s="58">
        <v>37363.0</v>
      </c>
      <c r="P1511" s="28">
        <f t="shared" si="41"/>
        <v>24</v>
      </c>
      <c r="Q1511" s="28" t="s">
        <v>14452</v>
      </c>
      <c r="R1511" s="28" t="s">
        <v>14453</v>
      </c>
      <c r="S1511" s="28"/>
      <c r="T1511" s="28"/>
      <c r="U1511" s="28"/>
      <c r="V1511" s="28"/>
      <c r="W1511" s="28" t="s">
        <v>380</v>
      </c>
      <c r="X1511" s="28" t="s">
        <v>381</v>
      </c>
      <c r="Y1511" s="23"/>
      <c r="Z1511" s="28" t="s">
        <v>5491</v>
      </c>
      <c r="AA1511" s="28" t="s">
        <v>5492</v>
      </c>
      <c r="AB1511" s="28">
        <v>47.0</v>
      </c>
      <c r="AC1511" s="28" t="s">
        <v>25</v>
      </c>
      <c r="AD1511" s="23"/>
      <c r="AE1511" s="28" t="s">
        <v>4</v>
      </c>
      <c r="AF1511" s="23" t="str">
        <f>IFERROR(__xludf.DUMMYFUNCTION("TEXTJOIN("", "", TRUE,
  FILTER(Champions!C:C,
    ISNUMBER(SEARCH(C1511, Champions!W:W))
  )
)"),"#N/A")</f>
        <v>#N/A</v>
      </c>
      <c r="AG1511" s="23"/>
      <c r="AH1511" s="23" t="str">
        <f>IFERROR(__xludf.DUMMYFUNCTION("IF(
ISNUMBER(MATCH(
C1511,
IMPORTRANGE(""https://docs.google.com/spreadsheets/d/1yTh1ELC33JHYOeEdgIiEclxPRyh0zOKtlawDltfUay8"",""'Interns'!A:A""),
0
)),
""Outreach Conducted"",
"""")"),"")</f>
        <v/>
      </c>
      <c r="AI1511" s="23"/>
      <c r="AJ1511" s="23"/>
      <c r="AK1511" s="23" t="str">
        <f>IFERROR(__xludf.DUMMYFUNCTION("XLOOKUP(C1511, 
   IMPORTRANGE(""1RdEdgHYrZ33LJ7RUHj_h-qkAFL92bcVjtIdVa-UlsCw"", ""Interns!D:D""), 
   IMPORTRANGE(""1RdEdgHYrZ33LJ7RUHj_h-qkAFL92bcVjtIdVa-UlsCw"", ""Interns!M:M""), 
   ""Not Found"")"),"")</f>
        <v/>
      </c>
      <c r="AL1511" s="23" t="str">
        <f>IFERROR(__xludf.DUMMYFUNCTION("XLOOKUP(C1511, 
   IMPORTRANGE(""1RdEdgHYrZ33LJ7RUHj_h-qkAFL92bcVjtIdVa-UlsCw"", ""Interns!D:D""), 
   IMPORTRANGE(""1RdEdgHYrZ33LJ7RUHj_h-qkAFL92bcVjtIdVa-UlsCw"", ""Interns!N:N""), 
   ""Not Found"")"),"")</f>
        <v/>
      </c>
      <c r="AM1511" s="23" t="str">
        <f>IFERROR(__xludf.DUMMYFUNCTION("XLOOKUP(C1511, 
   IMPORTRANGE(""1RdEdgHYrZ33LJ7RUHj_h-qkAFL92bcVjtIdVa-UlsCw"", ""Interns!D:D""), 
   IMPORTRANGE(""1RdEdgHYrZ33LJ7RUHj_h-qkAFL92bcVjtIdVa-UlsCw"", ""Interns!O:O""), 
   ""Not Found"")"),"")</f>
        <v/>
      </c>
      <c r="AN1511" s="23"/>
      <c r="AO1511" s="23" t="s">
        <v>14454</v>
      </c>
      <c r="AP1511" s="28" t="s">
        <v>5182</v>
      </c>
      <c r="AQ1511" s="28" t="s">
        <v>14455</v>
      </c>
      <c r="AR1511" s="23">
        <v>2.07356135E9</v>
      </c>
      <c r="AS1511" s="23"/>
      <c r="AT1511" s="23"/>
      <c r="AU1511" s="23"/>
      <c r="AV1511" s="23"/>
    </row>
    <row r="1512">
      <c r="A1512" s="28" t="s">
        <v>5161</v>
      </c>
      <c r="B1512" s="28" t="s">
        <v>5162</v>
      </c>
      <c r="C1512" s="23" t="str">
        <f t="shared" si="39"/>
        <v>SARAHI Alcantara</v>
      </c>
      <c r="D1512" s="28" t="s">
        <v>14456</v>
      </c>
      <c r="E1512" s="28" t="s">
        <v>14457</v>
      </c>
      <c r="F1512" s="23">
        <f t="array" ref="F1512">IFERROR(
    INDEX('Hub Interns 226'!A:A, MATCH(C1512, 'Hub Interns 226'!B:B, 0)),"")</f>
        <v>1059</v>
      </c>
      <c r="G1512" s="23">
        <f t="array" ref="G1512">IFERROR(
    INDEX('Hub Users 226'!A:A, MATCH(C1512, 'Hub Users 226'!B:B, 0)),"")</f>
        <v>1492</v>
      </c>
      <c r="H1512" s="28">
        <v>1078.0</v>
      </c>
      <c r="I1512" s="28"/>
      <c r="J1512" s="28"/>
      <c r="K1512" s="28"/>
      <c r="L1512" s="28" t="s">
        <v>5196</v>
      </c>
      <c r="M1512" s="56" t="s">
        <v>14458</v>
      </c>
      <c r="N1512" s="57">
        <v>44704.50902777778</v>
      </c>
      <c r="O1512" s="58">
        <v>39678.0</v>
      </c>
      <c r="P1512" s="28">
        <f t="shared" si="41"/>
        <v>17</v>
      </c>
      <c r="Q1512" s="28" t="s">
        <v>240</v>
      </c>
      <c r="R1512" s="28" t="s">
        <v>14459</v>
      </c>
      <c r="S1512" s="28">
        <v>6.0</v>
      </c>
      <c r="T1512" s="28">
        <v>12.0</v>
      </c>
      <c r="U1512" s="28">
        <v>37.0</v>
      </c>
      <c r="V1512" s="28">
        <v>26.0</v>
      </c>
      <c r="W1512" s="28" t="s">
        <v>1173</v>
      </c>
      <c r="X1512" s="28" t="s">
        <v>272</v>
      </c>
      <c r="Y1512" s="28" t="s">
        <v>14460</v>
      </c>
      <c r="Z1512" s="28" t="s">
        <v>5352</v>
      </c>
      <c r="AA1512" s="28" t="s">
        <v>5287</v>
      </c>
      <c r="AB1512" s="28">
        <v>26.0</v>
      </c>
      <c r="AC1512" s="28" t="s">
        <v>24</v>
      </c>
      <c r="AD1512" s="23"/>
      <c r="AE1512" s="28" t="s">
        <v>10</v>
      </c>
      <c r="AF1512" s="23"/>
      <c r="AG1512" s="23"/>
      <c r="AH1512" s="23" t="str">
        <f>IFERROR(__xludf.DUMMYFUNCTION("IF(
ISNUMBER(MATCH(
C1512,
IMPORTRANGE(""https://docs.google.com/spreadsheets/d/1yTh1ELC33JHYOeEdgIiEclxPRyh0zOKtlawDltfUay8"",""'Interns'!A:A""),
0
)),
""Outreach Conducted"",
"""")"),"")</f>
        <v/>
      </c>
      <c r="AI1512" s="23"/>
      <c r="AJ1512" s="23"/>
      <c r="AK1512" s="23" t="str">
        <f>IFERROR(__xludf.DUMMYFUNCTION("XLOOKUP(C1512, 
   IMPORTRANGE(""1RdEdgHYrZ33LJ7RUHj_h-qkAFL92bcVjtIdVa-UlsCw"", ""Interns!D:D""), 
   IMPORTRANGE(""1RdEdgHYrZ33LJ7RUHj_h-qkAFL92bcVjtIdVa-UlsCw"", ""Interns!M:M""), 
   ""Not Found"")"),"Contacted")</f>
        <v>Contacted</v>
      </c>
      <c r="AL1512" s="23" t="str">
        <f>IFERROR(__xludf.DUMMYFUNCTION("XLOOKUP(C1512, 
   IMPORTRANGE(""1RdEdgHYrZ33LJ7RUHj_h-qkAFL92bcVjtIdVa-UlsCw"", ""Interns!D:D""), 
   IMPORTRANGE(""1RdEdgHYrZ33LJ7RUHj_h-qkAFL92bcVjtIdVa-UlsCw"", ""Interns!N:N""), 
   ""Not Found"")"),"#Cheers4Careers")</f>
        <v>#Cheers4Careers</v>
      </c>
      <c r="AM1512" s="23" t="str">
        <f>IFERROR(__xludf.DUMMYFUNCTION("XLOOKUP(C1512, 
   IMPORTRANGE(""1RdEdgHYrZ33LJ7RUHj_h-qkAFL92bcVjtIdVa-UlsCw"", ""Interns!D:D""), 
   IMPORTRANGE(""1RdEdgHYrZ33LJ7RUHj_h-qkAFL92bcVjtIdVa-UlsCw"", ""Interns!O:O""), 
   ""Not Found"")"),"Hetal reached out by email 3/27")</f>
        <v>Hetal reached out by email 3/27</v>
      </c>
      <c r="AN1512" s="23"/>
      <c r="AO1512" s="23" t="s">
        <v>2308</v>
      </c>
      <c r="AP1512" s="28" t="s">
        <v>5182</v>
      </c>
      <c r="AQ1512" s="28"/>
      <c r="AR1512" s="23"/>
      <c r="AS1512" s="23"/>
      <c r="AT1512" s="23"/>
      <c r="AU1512" s="23"/>
      <c r="AV1512" s="23"/>
    </row>
    <row r="1513">
      <c r="A1513" s="28" t="s">
        <v>5161</v>
      </c>
      <c r="B1513" s="28" t="s">
        <v>5162</v>
      </c>
      <c r="C1513" s="23" t="str">
        <f t="shared" si="39"/>
        <v>Ray Valdez</v>
      </c>
      <c r="D1513" s="28" t="s">
        <v>3843</v>
      </c>
      <c r="E1513" s="28" t="s">
        <v>14461</v>
      </c>
      <c r="F1513" s="23">
        <f t="array" ref="F1513">IFERROR(
    INDEX('Hub Interns 226'!A:A, MATCH(C1513, 'Hub Interns 226'!B:B, 0)),"")</f>
        <v>26</v>
      </c>
      <c r="G1513" s="23">
        <f t="array" ref="G1513">IFERROR(
    INDEX('Hub Users 226'!A:A, MATCH(C1513, 'Hub Users 226'!B:B, 0)),"")</f>
        <v>459</v>
      </c>
      <c r="H1513" s="28">
        <v>457.0</v>
      </c>
      <c r="I1513" s="28" t="s">
        <v>269</v>
      </c>
      <c r="J1513" s="28"/>
      <c r="K1513" s="28"/>
      <c r="L1513" s="28" t="s">
        <v>5165</v>
      </c>
      <c r="M1513" s="56" t="s">
        <v>14462</v>
      </c>
      <c r="N1513" s="57">
        <v>44356.518055555556</v>
      </c>
      <c r="O1513" s="58">
        <v>39289.0</v>
      </c>
      <c r="P1513" s="28">
        <f t="shared" si="41"/>
        <v>18</v>
      </c>
      <c r="Q1513" s="28" t="s">
        <v>240</v>
      </c>
      <c r="R1513" s="28" t="s">
        <v>14463</v>
      </c>
      <c r="S1513" s="28"/>
      <c r="T1513" s="28"/>
      <c r="U1513" s="28"/>
      <c r="V1513" s="28"/>
      <c r="W1513" s="28" t="s">
        <v>12324</v>
      </c>
      <c r="X1513" s="28" t="s">
        <v>465</v>
      </c>
      <c r="Y1513" s="28" t="s">
        <v>14464</v>
      </c>
      <c r="Z1513" s="28" t="s">
        <v>12326</v>
      </c>
      <c r="AA1513" s="28" t="s">
        <v>12327</v>
      </c>
      <c r="AB1513" s="28" t="s">
        <v>12328</v>
      </c>
      <c r="AC1513" s="28" t="s">
        <v>24</v>
      </c>
      <c r="AD1513" s="23"/>
      <c r="AE1513" s="28" t="s">
        <v>10</v>
      </c>
      <c r="AF1513" s="23"/>
      <c r="AG1513" s="23"/>
      <c r="AH1513" s="23" t="str">
        <f>IFERROR(__xludf.DUMMYFUNCTION("IF(
ISNUMBER(MATCH(
C1513,
IMPORTRANGE(""https://docs.google.com/spreadsheets/d/1yTh1ELC33JHYOeEdgIiEclxPRyh0zOKtlawDltfUay8"",""'Interns'!A:A""),
0
)),
""Outreach Conducted"",
"""")"),"")</f>
        <v/>
      </c>
      <c r="AI1513" s="23"/>
      <c r="AJ1513" s="23"/>
      <c r="AK1513" s="23" t="str">
        <f>IFERROR(__xludf.DUMMYFUNCTION("XLOOKUP(C1513, 
   IMPORTRANGE(""1RdEdgHYrZ33LJ7RUHj_h-qkAFL92bcVjtIdVa-UlsCw"", ""Interns!D:D""), 
   IMPORTRANGE(""1RdEdgHYrZ33LJ7RUHj_h-qkAFL92bcVjtIdVa-UlsCw"", ""Interns!M:M""), 
   ""Not Found"")"),"")</f>
        <v/>
      </c>
      <c r="AL1513" s="23" t="str">
        <f>IFERROR(__xludf.DUMMYFUNCTION("XLOOKUP(C1513, 
   IMPORTRANGE(""1RdEdgHYrZ33LJ7RUHj_h-qkAFL92bcVjtIdVa-UlsCw"", ""Interns!D:D""), 
   IMPORTRANGE(""1RdEdgHYrZ33LJ7RUHj_h-qkAFL92bcVjtIdVa-UlsCw"", ""Interns!N:N""), 
   ""Not Found"")"),"")</f>
        <v/>
      </c>
      <c r="AM1513" s="23" t="str">
        <f>IFERROR(__xludf.DUMMYFUNCTION("XLOOKUP(C1513, 
   IMPORTRANGE(""1RdEdgHYrZ33LJ7RUHj_h-qkAFL92bcVjtIdVa-UlsCw"", ""Interns!D:D""), 
   IMPORTRANGE(""1RdEdgHYrZ33LJ7RUHj_h-qkAFL92bcVjtIdVa-UlsCw"", ""Interns!O:O""), 
   ""Not Found"")"),"")</f>
        <v/>
      </c>
      <c r="AN1513" s="23"/>
      <c r="AO1513" s="23" t="s">
        <v>14465</v>
      </c>
      <c r="AP1513" s="28" t="s">
        <v>5173</v>
      </c>
      <c r="AQ1513" s="28"/>
      <c r="AR1513" s="23"/>
      <c r="AS1513" s="23"/>
      <c r="AT1513" s="23"/>
      <c r="AU1513" s="23"/>
      <c r="AV1513" s="23"/>
    </row>
    <row r="1514">
      <c r="A1514" s="28" t="s">
        <v>5161</v>
      </c>
      <c r="B1514" s="28" t="s">
        <v>5162</v>
      </c>
      <c r="C1514" s="23" t="str">
        <f t="shared" si="39"/>
        <v>Alan Navarrete</v>
      </c>
      <c r="D1514" s="22" t="s">
        <v>6443</v>
      </c>
      <c r="E1514" s="22" t="s">
        <v>14466</v>
      </c>
      <c r="F1514" s="23"/>
      <c r="G1514" s="23"/>
      <c r="H1514" s="22">
        <v>1995.0</v>
      </c>
      <c r="I1514" s="28"/>
      <c r="J1514" s="28"/>
      <c r="K1514" s="28"/>
      <c r="L1514" s="28" t="s">
        <v>5165</v>
      </c>
      <c r="M1514" s="29" t="s">
        <v>14467</v>
      </c>
      <c r="N1514" s="61">
        <v>45628.56597222222</v>
      </c>
      <c r="O1514" s="25">
        <v>45628.0</v>
      </c>
      <c r="P1514" s="28">
        <f t="shared" si="41"/>
        <v>1</v>
      </c>
      <c r="Q1514" s="62" t="s">
        <v>240</v>
      </c>
      <c r="R1514" s="22" t="s">
        <v>14468</v>
      </c>
      <c r="S1514" s="28">
        <v>14.0</v>
      </c>
      <c r="T1514" s="28">
        <v>13.0</v>
      </c>
      <c r="U1514" s="28">
        <v>39.0</v>
      </c>
      <c r="V1514" s="28">
        <v>20.0</v>
      </c>
      <c r="W1514" s="28" t="s">
        <v>1173</v>
      </c>
      <c r="X1514" s="28" t="s">
        <v>272</v>
      </c>
      <c r="Y1514" s="24"/>
      <c r="Z1514" s="22" t="s">
        <v>5520</v>
      </c>
      <c r="AA1514" s="28" t="s">
        <v>5171</v>
      </c>
      <c r="AB1514" s="28">
        <v>30.0</v>
      </c>
      <c r="AC1514" s="28" t="s">
        <v>23</v>
      </c>
      <c r="AD1514" s="23"/>
      <c r="AE1514" s="28" t="s">
        <v>19</v>
      </c>
      <c r="AF1514" s="23"/>
      <c r="AG1514" s="23"/>
      <c r="AH1514" s="23" t="str">
        <f>IFERROR(__xludf.DUMMYFUNCTION("IF(
ISNUMBER(MATCH(
C1514,
IMPORTRANGE(""https://docs.google.com/spreadsheets/d/1yTh1ELC33JHYOeEdgIiEclxPRyh0zOKtlawDltfUay8"",""'Interns'!A:A""),
0
)),
""Outreach Conducted"",
"""")"),"")</f>
        <v/>
      </c>
      <c r="AI1514" s="23"/>
      <c r="AJ1514" s="23"/>
      <c r="AK1514" s="23"/>
      <c r="AL1514" s="23" t="str">
        <f>IFERROR(__xludf.DUMMYFUNCTION("XLOOKUP(C1514, 
   IMPORTRANGE(""1RdEdgHYrZ33LJ7RUHj_h-qkAFL92bcVjtIdVa-UlsCw"", ""Interns!D:D""), 
   IMPORTRANGE(""1RdEdgHYrZ33LJ7RUHj_h-qkAFL92bcVjtIdVa-UlsCw"", ""Interns!N:N""), 
   ""Not Found"")"),"Not Found")</f>
        <v>Not Found</v>
      </c>
      <c r="AM1514" s="23" t="str">
        <f>IFERROR(__xludf.DUMMYFUNCTION("XLOOKUP(C1514, 
   IMPORTRANGE(""1RdEdgHYrZ33LJ7RUHj_h-qkAFL92bcVjtIdVa-UlsCw"", ""Interns!D:D""), 
   IMPORTRANGE(""1RdEdgHYrZ33LJ7RUHj_h-qkAFL92bcVjtIdVa-UlsCw"", ""Interns!O:O""), 
   ""Not Found"")"),"Not Found")</f>
        <v>Not Found</v>
      </c>
      <c r="AN1514" s="23"/>
      <c r="AO1514" s="23" t="s">
        <v>14469</v>
      </c>
      <c r="AP1514" s="28" t="s">
        <v>5182</v>
      </c>
      <c r="AQ1514" s="28"/>
      <c r="AR1514" s="23"/>
      <c r="AS1514" s="23"/>
      <c r="AT1514" s="23"/>
      <c r="AU1514" s="23"/>
      <c r="AV1514" s="23"/>
    </row>
    <row r="1515">
      <c r="A1515" s="28" t="s">
        <v>5202</v>
      </c>
      <c r="B1515" s="28" t="s">
        <v>5162</v>
      </c>
      <c r="C1515" s="23" t="str">
        <f t="shared" si="39"/>
        <v>Hamzah Saleh</v>
      </c>
      <c r="D1515" s="28" t="s">
        <v>14470</v>
      </c>
      <c r="E1515" s="28" t="s">
        <v>14471</v>
      </c>
      <c r="F1515" s="23">
        <f t="array" ref="F1515">IFERROR(
    INDEX('Hub Interns 226'!A:A, MATCH(C1515, 'Hub Interns 226'!B:B, 0)),"")</f>
        <v>562</v>
      </c>
      <c r="G1515" s="23">
        <f t="array" ref="G1515">IFERROR(
    INDEX('Hub Users 226'!A:A, MATCH(C1515, 'Hub Users 226'!B:B, 0)),"")</f>
        <v>995</v>
      </c>
      <c r="H1515" s="28">
        <v>735.0</v>
      </c>
      <c r="I1515" s="28" t="s">
        <v>260</v>
      </c>
      <c r="J1515" s="28" t="s">
        <v>9487</v>
      </c>
      <c r="K1515" s="28" t="s">
        <v>5186</v>
      </c>
      <c r="L1515" s="28" t="s">
        <v>5165</v>
      </c>
      <c r="M1515" s="56" t="s">
        <v>14472</v>
      </c>
      <c r="N1515" s="59">
        <v>44550.836805555555</v>
      </c>
      <c r="O1515" s="58">
        <v>38890.0</v>
      </c>
      <c r="P1515" s="28">
        <f t="shared" si="41"/>
        <v>19</v>
      </c>
      <c r="Q1515" s="28" t="s">
        <v>14473</v>
      </c>
      <c r="R1515" s="28" t="s">
        <v>14474</v>
      </c>
      <c r="S1515" s="28">
        <v>13.0</v>
      </c>
      <c r="T1515" s="28">
        <v>31.0</v>
      </c>
      <c r="U1515" s="28">
        <v>72.0</v>
      </c>
      <c r="V1515" s="28">
        <v>10.0</v>
      </c>
      <c r="W1515" s="28" t="s">
        <v>271</v>
      </c>
      <c r="X1515" s="28" t="s">
        <v>272</v>
      </c>
      <c r="Y1515" s="28" t="s">
        <v>14475</v>
      </c>
      <c r="Z1515" s="28" t="s">
        <v>5341</v>
      </c>
      <c r="AA1515" s="28" t="s">
        <v>1085</v>
      </c>
      <c r="AB1515" s="28">
        <v>10.0</v>
      </c>
      <c r="AC1515" s="28" t="s">
        <v>25</v>
      </c>
      <c r="AD1515" s="23"/>
      <c r="AE1515" s="28" t="s">
        <v>10</v>
      </c>
      <c r="AF1515" s="23" t="str">
        <f>IFERROR(__xludf.DUMMYFUNCTION("TEXTJOIN("", "", TRUE,
  FILTER(Champions!C:C,
    ISNUMBER(SEARCH(C1515, Champions!W:W))
  )
)"),"Natalie Oniszk-De Vincenzi")</f>
        <v>Natalie Oniszk-De Vincenzi</v>
      </c>
      <c r="AG1515" s="26" t="s">
        <v>5342</v>
      </c>
      <c r="AH1515" s="23" t="str">
        <f>IFERROR(__xludf.DUMMYFUNCTION("IF(
ISNUMBER(MATCH(
C1515,
IMPORTRANGE(""https://docs.google.com/spreadsheets/d/1yTh1ELC33JHYOeEdgIiEclxPRyh0zOKtlawDltfUay8"",""'Interns'!A:A""),
0
)),
""Outreach Conducted"",
"""")"),"")</f>
        <v/>
      </c>
      <c r="AI1515" s="23"/>
      <c r="AJ1515" s="23"/>
      <c r="AK1515" s="23" t="str">
        <f>IFERROR(__xludf.DUMMYFUNCTION("XLOOKUP(C1515, 
   IMPORTRANGE(""1RdEdgHYrZ33LJ7RUHj_h-qkAFL92bcVjtIdVa-UlsCw"", ""Interns!D:D""), 
   IMPORTRANGE(""1RdEdgHYrZ33LJ7RUHj_h-qkAFL92bcVjtIdVa-UlsCw"", ""Interns!M:M""), 
   ""Not Found"")"),"")</f>
        <v/>
      </c>
      <c r="AL1515" s="23" t="str">
        <f>IFERROR(__xludf.DUMMYFUNCTION("XLOOKUP(C1515, 
   IMPORTRANGE(""1RdEdgHYrZ33LJ7RUHj_h-qkAFL92bcVjtIdVa-UlsCw"", ""Interns!D:D""), 
   IMPORTRANGE(""1RdEdgHYrZ33LJ7RUHj_h-qkAFL92bcVjtIdVa-UlsCw"", ""Interns!N:N""), 
   ""Not Found"")"),"")</f>
        <v/>
      </c>
      <c r="AM1515" s="23" t="str">
        <f>IFERROR(__xludf.DUMMYFUNCTION("XLOOKUP(C1515, 
   IMPORTRANGE(""1RdEdgHYrZ33LJ7RUHj_h-qkAFL92bcVjtIdVa-UlsCw"", ""Interns!D:D""), 
   IMPORTRANGE(""1RdEdgHYrZ33LJ7RUHj_h-qkAFL92bcVjtIdVa-UlsCw"", ""Interns!O:O""), 
   ""Not Found"")"),"")</f>
        <v/>
      </c>
      <c r="AN1515" s="23"/>
      <c r="AO1515" s="23" t="s">
        <v>14476</v>
      </c>
      <c r="AP1515" s="28" t="s">
        <v>5182</v>
      </c>
      <c r="AQ1515" s="28" t="s">
        <v>14477</v>
      </c>
      <c r="AR1515" s="23" t="s">
        <v>14478</v>
      </c>
      <c r="AS1515" s="23"/>
      <c r="AT1515" s="23"/>
      <c r="AU1515" s="23"/>
      <c r="AV1515" s="23"/>
    </row>
    <row r="1516">
      <c r="A1516" s="28" t="s">
        <v>5161</v>
      </c>
      <c r="B1516" s="28" t="s">
        <v>5162</v>
      </c>
      <c r="C1516" s="23" t="str">
        <f t="shared" si="39"/>
        <v>Yolet Gonzalez</v>
      </c>
      <c r="D1516" s="28" t="s">
        <v>14479</v>
      </c>
      <c r="E1516" s="28" t="s">
        <v>1377</v>
      </c>
      <c r="F1516" s="23">
        <f t="array" ref="F1516">IFERROR(
    INDEX('Hub Interns 226'!A:A, MATCH(C1516, 'Hub Interns 226'!B:B, 0)),"")</f>
        <v>1236</v>
      </c>
      <c r="G1516" s="23">
        <f t="array" ref="G1516">IFERROR(
    INDEX('Hub Users 226'!A:A, MATCH(C1516, 'Hub Users 226'!B:B, 0)),"")</f>
        <v>1669</v>
      </c>
      <c r="H1516" s="28">
        <v>1124.0</v>
      </c>
      <c r="I1516" s="28" t="s">
        <v>260</v>
      </c>
      <c r="J1516" s="28"/>
      <c r="K1516" s="28"/>
      <c r="L1516" s="28" t="s">
        <v>5196</v>
      </c>
      <c r="M1516" s="56" t="s">
        <v>14480</v>
      </c>
      <c r="N1516" s="57">
        <v>44729.37777777778</v>
      </c>
      <c r="O1516" s="58">
        <v>39753.0</v>
      </c>
      <c r="P1516" s="28">
        <f t="shared" si="41"/>
        <v>17</v>
      </c>
      <c r="Q1516" s="28" t="s">
        <v>240</v>
      </c>
      <c r="R1516" s="28" t="s">
        <v>14481</v>
      </c>
      <c r="S1516" s="28">
        <v>6.0</v>
      </c>
      <c r="T1516" s="28">
        <v>13.0</v>
      </c>
      <c r="U1516" s="28">
        <v>30.0</v>
      </c>
      <c r="V1516" s="28">
        <v>25.0</v>
      </c>
      <c r="W1516" s="28" t="s">
        <v>1173</v>
      </c>
      <c r="X1516" s="28" t="s">
        <v>272</v>
      </c>
      <c r="Y1516" s="28" t="s">
        <v>14482</v>
      </c>
      <c r="Z1516" s="28" t="s">
        <v>5170</v>
      </c>
      <c r="AA1516" s="28" t="s">
        <v>5171</v>
      </c>
      <c r="AB1516" s="28">
        <v>30.0</v>
      </c>
      <c r="AC1516" s="28" t="s">
        <v>24</v>
      </c>
      <c r="AD1516" s="23"/>
      <c r="AE1516" s="28" t="s">
        <v>10</v>
      </c>
      <c r="AF1516" s="23"/>
      <c r="AG1516" s="23"/>
      <c r="AH1516" s="23" t="str">
        <f>IFERROR(__xludf.DUMMYFUNCTION("IF(
ISNUMBER(MATCH(
C1516,
IMPORTRANGE(""https://docs.google.com/spreadsheets/d/1yTh1ELC33JHYOeEdgIiEclxPRyh0zOKtlawDltfUay8"",""'Interns'!A:A""),
0
)),
""Outreach Conducted"",
"""")"),"")</f>
        <v/>
      </c>
      <c r="AI1516" s="23"/>
      <c r="AJ1516" s="23"/>
      <c r="AK1516" s="23" t="str">
        <f>IFERROR(__xludf.DUMMYFUNCTION("XLOOKUP(C1516, 
   IMPORTRANGE(""1RdEdgHYrZ33LJ7RUHj_h-qkAFL92bcVjtIdVa-UlsCw"", ""Interns!D:D""), 
   IMPORTRANGE(""1RdEdgHYrZ33LJ7RUHj_h-qkAFL92bcVjtIdVa-UlsCw"", ""Interns!M:M""), 
   ""Not Found"")"),"Contacted")</f>
        <v>Contacted</v>
      </c>
      <c r="AL1516" s="23" t="str">
        <f>IFERROR(__xludf.DUMMYFUNCTION("XLOOKUP(C1516, 
   IMPORTRANGE(""1RdEdgHYrZ33LJ7RUHj_h-qkAFL92bcVjtIdVa-UlsCw"", ""Interns!D:D""), 
   IMPORTRANGE(""1RdEdgHYrZ33LJ7RUHj_h-qkAFL92bcVjtIdVa-UlsCw"", ""Interns!N:N""), 
   ""Not Found"")"),"#Cheers4Careers")</f>
        <v>#Cheers4Careers</v>
      </c>
      <c r="AM1516" s="23" t="str">
        <f>IFERROR(__xludf.DUMMYFUNCTION("XLOOKUP(C1516, 
   IMPORTRANGE(""1RdEdgHYrZ33LJ7RUHj_h-qkAFL92bcVjtIdVa-UlsCw"", ""Interns!D:D""), 
   IMPORTRANGE(""1RdEdgHYrZ33LJ7RUHj_h-qkAFL92bcVjtIdVa-UlsCw"", ""Interns!O:O""), 
   ""Not Found"")"),"Hetal reached out March 27 for March #Cheers4 Careers ")</f>
        <v>Hetal reached out March 27 for March #Cheers4 Careers </v>
      </c>
      <c r="AN1516" s="23"/>
      <c r="AO1516" s="23" t="s">
        <v>14483</v>
      </c>
      <c r="AP1516" s="28" t="s">
        <v>5182</v>
      </c>
      <c r="AQ1516" s="28"/>
      <c r="AR1516" s="23"/>
      <c r="AS1516" s="23"/>
      <c r="AT1516" s="23"/>
      <c r="AU1516" s="23"/>
      <c r="AV1516" s="23"/>
    </row>
    <row r="1517">
      <c r="A1517" s="28" t="s">
        <v>5161</v>
      </c>
      <c r="B1517" s="28" t="s">
        <v>5162</v>
      </c>
      <c r="C1517" s="23" t="str">
        <f t="shared" si="39"/>
        <v>Sofia Andrade</v>
      </c>
      <c r="D1517" s="22" t="s">
        <v>8680</v>
      </c>
      <c r="E1517" s="22" t="s">
        <v>14484</v>
      </c>
      <c r="F1517" s="23"/>
      <c r="G1517" s="23"/>
      <c r="H1517" s="22">
        <v>1968.0</v>
      </c>
      <c r="I1517" s="28"/>
      <c r="J1517" s="28"/>
      <c r="K1517" s="28"/>
      <c r="L1517" s="28" t="s">
        <v>5196</v>
      </c>
      <c r="M1517" s="29" t="s">
        <v>14485</v>
      </c>
      <c r="N1517" s="22" t="s">
        <v>240</v>
      </c>
      <c r="O1517" s="25">
        <v>40639.0</v>
      </c>
      <c r="P1517" s="28">
        <f t="shared" si="41"/>
        <v>15</v>
      </c>
      <c r="Q1517" s="62" t="s">
        <v>240</v>
      </c>
      <c r="R1517" s="22" t="s">
        <v>14486</v>
      </c>
      <c r="S1517" s="28">
        <v>6.0</v>
      </c>
      <c r="T1517" s="28">
        <v>13.0</v>
      </c>
      <c r="U1517" s="28">
        <v>30.0</v>
      </c>
      <c r="V1517" s="28">
        <v>25.0</v>
      </c>
      <c r="W1517" s="23"/>
      <c r="X1517" s="23"/>
      <c r="Y1517" s="24"/>
      <c r="Z1517" s="22" t="s">
        <v>5520</v>
      </c>
      <c r="AA1517" s="28" t="s">
        <v>5171</v>
      </c>
      <c r="AB1517" s="28">
        <v>30.0</v>
      </c>
      <c r="AC1517" s="28" t="s">
        <v>23</v>
      </c>
      <c r="AD1517" s="23"/>
      <c r="AE1517" s="28" t="s">
        <v>19</v>
      </c>
      <c r="AF1517" s="23"/>
      <c r="AG1517" s="23"/>
      <c r="AH1517" s="23" t="str">
        <f>IFERROR(__xludf.DUMMYFUNCTION("IF(
ISNUMBER(MATCH(
C1517,
IMPORTRANGE(""https://docs.google.com/spreadsheets/d/1yTh1ELC33JHYOeEdgIiEclxPRyh0zOKtlawDltfUay8"",""'Interns'!A:A""),
0
)),
""Outreach Conducted"",
"""")"),"")</f>
        <v/>
      </c>
      <c r="AI1517" s="23"/>
      <c r="AJ1517" s="23"/>
      <c r="AK1517" s="23"/>
      <c r="AL1517" s="23" t="str">
        <f>IFERROR(__xludf.DUMMYFUNCTION("XLOOKUP(C1517, 
   IMPORTRANGE(""1RdEdgHYrZ33LJ7RUHj_h-qkAFL92bcVjtIdVa-UlsCw"", ""Interns!D:D""), 
   IMPORTRANGE(""1RdEdgHYrZ33LJ7RUHj_h-qkAFL92bcVjtIdVa-UlsCw"", ""Interns!N:N""), 
   ""Not Found"")"),"Not Found")</f>
        <v>Not Found</v>
      </c>
      <c r="AM1517" s="23" t="str">
        <f>IFERROR(__xludf.DUMMYFUNCTION("XLOOKUP(C1517, 
   IMPORTRANGE(""1RdEdgHYrZ33LJ7RUHj_h-qkAFL92bcVjtIdVa-UlsCw"", ""Interns!D:D""), 
   IMPORTRANGE(""1RdEdgHYrZ33LJ7RUHj_h-qkAFL92bcVjtIdVa-UlsCw"", ""Interns!O:O""), 
   ""Not Found"")"),"Not Found")</f>
        <v>Not Found</v>
      </c>
      <c r="AN1517" s="23"/>
      <c r="AO1517" s="23" t="s">
        <v>14487</v>
      </c>
      <c r="AP1517" s="28" t="s">
        <v>5182</v>
      </c>
      <c r="AQ1517" s="28" t="s">
        <v>14485</v>
      </c>
      <c r="AR1517" s="23">
        <v>3.478066894E9</v>
      </c>
      <c r="AS1517" s="23"/>
      <c r="AT1517" s="23"/>
      <c r="AU1517" s="23"/>
      <c r="AV1517" s="23"/>
    </row>
    <row r="1518">
      <c r="A1518" s="28" t="s">
        <v>5161</v>
      </c>
      <c r="B1518" s="28" t="s">
        <v>5162</v>
      </c>
      <c r="C1518" s="23" t="str">
        <f t="shared" si="39"/>
        <v>Shabib Mahrus</v>
      </c>
      <c r="D1518" s="28" t="s">
        <v>14488</v>
      </c>
      <c r="E1518" s="28" t="s">
        <v>14489</v>
      </c>
      <c r="F1518" s="23">
        <f t="array" ref="F1518">IFERROR(
    INDEX('Hub Interns 226'!A:A, MATCH(C1518, 'Hub Interns 226'!B:B, 0)),"")</f>
        <v>1091</v>
      </c>
      <c r="G1518" s="23">
        <f t="array" ref="G1518">IFERROR(
    INDEX('Hub Users 226'!A:A, MATCH(C1518, 'Hub Users 226'!B:B, 0)),"")</f>
        <v>1524</v>
      </c>
      <c r="H1518" s="28">
        <v>1202.0</v>
      </c>
      <c r="I1518" s="28" t="s">
        <v>239</v>
      </c>
      <c r="J1518" s="28"/>
      <c r="K1518" s="28"/>
      <c r="L1518" s="28" t="s">
        <v>6647</v>
      </c>
      <c r="M1518" s="56" t="s">
        <v>14490</v>
      </c>
      <c r="N1518" s="57">
        <v>44834.50833333333</v>
      </c>
      <c r="O1518" s="58">
        <v>40126.0</v>
      </c>
      <c r="P1518" s="28">
        <f t="shared" si="41"/>
        <v>16</v>
      </c>
      <c r="Q1518" s="28" t="s">
        <v>240</v>
      </c>
      <c r="R1518" s="28" t="s">
        <v>14491</v>
      </c>
      <c r="S1518" s="28">
        <v>6.0</v>
      </c>
      <c r="T1518" s="28">
        <v>13.0</v>
      </c>
      <c r="U1518" s="28">
        <v>39.0</v>
      </c>
      <c r="V1518" s="28">
        <v>25.0</v>
      </c>
      <c r="W1518" s="28" t="s">
        <v>1173</v>
      </c>
      <c r="X1518" s="28" t="s">
        <v>272</v>
      </c>
      <c r="Y1518" s="28" t="s">
        <v>14492</v>
      </c>
      <c r="Z1518" s="28" t="s">
        <v>5170</v>
      </c>
      <c r="AA1518" s="28" t="s">
        <v>5171</v>
      </c>
      <c r="AB1518" s="28">
        <v>30.0</v>
      </c>
      <c r="AC1518" s="28" t="s">
        <v>23</v>
      </c>
      <c r="AD1518" s="28" t="s">
        <v>101</v>
      </c>
      <c r="AE1518" s="28" t="s">
        <v>15</v>
      </c>
      <c r="AF1518" s="23"/>
      <c r="AG1518" s="23"/>
      <c r="AH1518" s="23" t="str">
        <f>IFERROR(__xludf.DUMMYFUNCTION("IF(
ISNUMBER(MATCH(
C1518,
IMPORTRANGE(""https://docs.google.com/spreadsheets/d/1yTh1ELC33JHYOeEdgIiEclxPRyh0zOKtlawDltfUay8"",""'Interns'!A:A""),
0
)),
""Outreach Conducted"",
"""")"),"")</f>
        <v/>
      </c>
      <c r="AI1518" s="23"/>
      <c r="AJ1518" s="23"/>
      <c r="AK1518" s="23" t="str">
        <f>IFERROR(__xludf.DUMMYFUNCTION("XLOOKUP(C1518, 
   IMPORTRANGE(""1RdEdgHYrZ33LJ7RUHj_h-qkAFL92bcVjtIdVa-UlsCw"", ""Interns!D:D""), 
   IMPORTRANGE(""1RdEdgHYrZ33LJ7RUHj_h-qkAFL92bcVjtIdVa-UlsCw"", ""Interns!M:M""), 
   ""Not Found"")"),"Contacted")</f>
        <v>Contacted</v>
      </c>
      <c r="AL1518" s="23" t="str">
        <f>IFERROR(__xludf.DUMMYFUNCTION("XLOOKUP(C1518, 
   IMPORTRANGE(""1RdEdgHYrZ33LJ7RUHj_h-qkAFL92bcVjtIdVa-UlsCw"", ""Interns!D:D""), 
   IMPORTRANGE(""1RdEdgHYrZ33LJ7RUHj_h-qkAFL92bcVjtIdVa-UlsCw"", ""Interns!N:N""), 
   ""Not Found"")"),"#Cheers4Careers")</f>
        <v>#Cheers4Careers</v>
      </c>
      <c r="AM1518" s="23" t="str">
        <f>IFERROR(__xludf.DUMMYFUNCTION("XLOOKUP(C1518, 
   IMPORTRANGE(""1RdEdgHYrZ33LJ7RUHj_h-qkAFL92bcVjtIdVa-UlsCw"", ""Interns!D:D""), 
   IMPORTRANGE(""1RdEdgHYrZ33LJ7RUHj_h-qkAFL92bcVjtIdVa-UlsCw"", ""Interns!O:O""), 
   ""Not Found"")"),"Hetal reached out March 27 for March #Cheers4 Careers ")</f>
        <v>Hetal reached out March 27 for March #Cheers4 Careers </v>
      </c>
      <c r="AN1518" s="23"/>
      <c r="AO1518" s="23" t="s">
        <v>14493</v>
      </c>
      <c r="AP1518" s="28" t="s">
        <v>5182</v>
      </c>
      <c r="AQ1518" s="28"/>
      <c r="AR1518" s="23"/>
      <c r="AS1518" s="23"/>
      <c r="AT1518" s="23"/>
      <c r="AU1518" s="23"/>
      <c r="AV1518" s="23"/>
    </row>
    <row r="1519">
      <c r="A1519" s="28" t="s">
        <v>5161</v>
      </c>
      <c r="B1519" s="28" t="s">
        <v>5162</v>
      </c>
      <c r="C1519" s="23" t="str">
        <f t="shared" si="39"/>
        <v>James Romero</v>
      </c>
      <c r="D1519" s="28" t="s">
        <v>1628</v>
      </c>
      <c r="E1519" s="28" t="s">
        <v>6698</v>
      </c>
      <c r="F1519" s="23">
        <f t="array" ref="F1519">IFERROR(
    INDEX('Hub Interns 226'!A:A, MATCH(C1519, 'Hub Interns 226'!B:B, 0)),"")</f>
        <v>700</v>
      </c>
      <c r="G1519" s="23">
        <f t="array" ref="G1519">IFERROR(
    INDEX('Hub Users 226'!A:A, MATCH(C1519, 'Hub Users 226'!B:B, 0)),"")</f>
        <v>1133</v>
      </c>
      <c r="H1519" s="28">
        <v>1127.0</v>
      </c>
      <c r="I1519" s="28"/>
      <c r="J1519" s="28"/>
      <c r="K1519" s="28"/>
      <c r="L1519" s="28" t="s">
        <v>5165</v>
      </c>
      <c r="M1519" s="56" t="s">
        <v>14494</v>
      </c>
      <c r="N1519" s="57">
        <v>44729.47986111111</v>
      </c>
      <c r="O1519" s="58">
        <v>39460.0</v>
      </c>
      <c r="P1519" s="28">
        <f t="shared" si="41"/>
        <v>18</v>
      </c>
      <c r="Q1519" s="28" t="s">
        <v>240</v>
      </c>
      <c r="R1519" s="28" t="s">
        <v>14495</v>
      </c>
      <c r="S1519" s="28">
        <v>7.0</v>
      </c>
      <c r="T1519" s="28">
        <v>12.0</v>
      </c>
      <c r="U1519" s="28">
        <v>37.0</v>
      </c>
      <c r="V1519" s="28">
        <v>26.0</v>
      </c>
      <c r="W1519" s="28" t="s">
        <v>1173</v>
      </c>
      <c r="X1519" s="28" t="s">
        <v>272</v>
      </c>
      <c r="Y1519" s="28" t="s">
        <v>14496</v>
      </c>
      <c r="Z1519" s="28" t="s">
        <v>5352</v>
      </c>
      <c r="AA1519" s="28" t="s">
        <v>5287</v>
      </c>
      <c r="AB1519" s="28">
        <v>26.0</v>
      </c>
      <c r="AC1519" s="28" t="s">
        <v>24</v>
      </c>
      <c r="AD1519" s="23"/>
      <c r="AE1519" s="28" t="s">
        <v>10</v>
      </c>
      <c r="AF1519" s="23"/>
      <c r="AG1519" s="23"/>
      <c r="AH1519" s="23" t="str">
        <f>IFERROR(__xludf.DUMMYFUNCTION("IF(
ISNUMBER(MATCH(
C1519,
IMPORTRANGE(""https://docs.google.com/spreadsheets/d/1yTh1ELC33JHYOeEdgIiEclxPRyh0zOKtlawDltfUay8"",""'Interns'!A:A""),
0
)),
""Outreach Conducted"",
"""")"),"")</f>
        <v/>
      </c>
      <c r="AI1519" s="23"/>
      <c r="AJ1519" s="23"/>
      <c r="AK1519" s="23" t="str">
        <f>IFERROR(__xludf.DUMMYFUNCTION("XLOOKUP(C1519, 
   IMPORTRANGE(""1RdEdgHYrZ33LJ7RUHj_h-qkAFL92bcVjtIdVa-UlsCw"", ""Interns!D:D""), 
   IMPORTRANGE(""1RdEdgHYrZ33LJ7RUHj_h-qkAFL92bcVjtIdVa-UlsCw"", ""Interns!M:M""), 
   ""Not Found"")"),"Contacted")</f>
        <v>Contacted</v>
      </c>
      <c r="AL1519" s="23" t="str">
        <f>IFERROR(__xludf.DUMMYFUNCTION("XLOOKUP(C1519, 
   IMPORTRANGE(""1RdEdgHYrZ33LJ7RUHj_h-qkAFL92bcVjtIdVa-UlsCw"", ""Interns!D:D""), 
   IMPORTRANGE(""1RdEdgHYrZ33LJ7RUHj_h-qkAFL92bcVjtIdVa-UlsCw"", ""Interns!N:N""), 
   ""Not Found"")"),"#Cheers4Careers")</f>
        <v>#Cheers4Careers</v>
      </c>
      <c r="AM1519" s="23" t="str">
        <f>IFERROR(__xludf.DUMMYFUNCTION("XLOOKUP(C1519, 
   IMPORTRANGE(""1RdEdgHYrZ33LJ7RUHj_h-qkAFL92bcVjtIdVa-UlsCw"", ""Interns!D:D""), 
   IMPORTRANGE(""1RdEdgHYrZ33LJ7RUHj_h-qkAFL92bcVjtIdVa-UlsCw"", ""Interns!O:O""), 
   ""Not Found"")"),"Hetal reached out by email 3/27")</f>
        <v>Hetal reached out by email 3/27</v>
      </c>
      <c r="AN1519" s="23"/>
      <c r="AO1519" s="23" t="s">
        <v>14497</v>
      </c>
      <c r="AP1519" s="28" t="s">
        <v>5182</v>
      </c>
      <c r="AQ1519" s="28"/>
      <c r="AR1519" s="23"/>
      <c r="AS1519" s="23"/>
      <c r="AT1519" s="23"/>
      <c r="AU1519" s="23"/>
      <c r="AV1519" s="23"/>
    </row>
    <row r="1520">
      <c r="A1520" s="28" t="s">
        <v>5161</v>
      </c>
      <c r="B1520" s="28" t="s">
        <v>5162</v>
      </c>
      <c r="C1520" s="23" t="str">
        <f t="shared" si="39"/>
        <v>Jose Orellana</v>
      </c>
      <c r="D1520" s="28" t="s">
        <v>6697</v>
      </c>
      <c r="E1520" s="28" t="s">
        <v>11019</v>
      </c>
      <c r="F1520" s="23">
        <f t="array" ref="F1520">IFERROR(
    INDEX('Hub Interns 226'!A:A, MATCH(C1520, 'Hub Interns 226'!B:B, 0)),"")</f>
        <v>689</v>
      </c>
      <c r="G1520" s="23">
        <f t="array" ref="G1520">IFERROR(
    INDEX('Hub Users 226'!A:A, MATCH(C1520, 'Hub Users 226'!B:B, 0)),"")</f>
        <v>1122</v>
      </c>
      <c r="H1520" s="28">
        <v>853.0</v>
      </c>
      <c r="I1520" s="28" t="s">
        <v>1235</v>
      </c>
      <c r="J1520" s="28"/>
      <c r="K1520" s="28"/>
      <c r="L1520" s="28" t="s">
        <v>5165</v>
      </c>
      <c r="M1520" s="56" t="s">
        <v>14498</v>
      </c>
      <c r="N1520" s="57">
        <v>44588.634722222225</v>
      </c>
      <c r="O1520" s="58">
        <v>38154.0</v>
      </c>
      <c r="P1520" s="28">
        <f t="shared" si="41"/>
        <v>21</v>
      </c>
      <c r="Q1520" s="28" t="s">
        <v>240</v>
      </c>
      <c r="R1520" s="28" t="s">
        <v>14499</v>
      </c>
      <c r="S1520" s="28">
        <v>6.0</v>
      </c>
      <c r="T1520" s="28">
        <v>16.0</v>
      </c>
      <c r="U1520" s="28">
        <v>40.0</v>
      </c>
      <c r="V1520" s="28">
        <v>20.0</v>
      </c>
      <c r="W1520" s="28" t="s">
        <v>1173</v>
      </c>
      <c r="X1520" s="28" t="s">
        <v>272</v>
      </c>
      <c r="Y1520" s="28" t="s">
        <v>14500</v>
      </c>
      <c r="Z1520" s="28" t="s">
        <v>5189</v>
      </c>
      <c r="AA1520" s="28" t="s">
        <v>619</v>
      </c>
      <c r="AB1520" s="28">
        <v>20.0</v>
      </c>
      <c r="AC1520" s="28" t="s">
        <v>25</v>
      </c>
      <c r="AD1520" s="23"/>
      <c r="AE1520" s="28" t="s">
        <v>10</v>
      </c>
      <c r="AF1520" s="23" t="str">
        <f>IFERROR(__xludf.DUMMYFUNCTION("TEXTJOIN("", "", TRUE,
  FILTER(Champions!C:C,
    ISNUMBER(SEARCH(C1520, Champions!W:W))
  )
)"),"Erycka Montoya")</f>
        <v>Erycka Montoya</v>
      </c>
      <c r="AG1520" s="23"/>
      <c r="AH1520" s="23" t="str">
        <f>IFERROR(__xludf.DUMMYFUNCTION("IF(
ISNUMBER(MATCH(
C1520,
IMPORTRANGE(""https://docs.google.com/spreadsheets/d/1yTh1ELC33JHYOeEdgIiEclxPRyh0zOKtlawDltfUay8"",""'Interns'!A:A""),
0
)),
""Outreach Conducted"",
"""")"),"")</f>
        <v/>
      </c>
      <c r="AI1520" s="23"/>
      <c r="AJ1520" s="23"/>
      <c r="AK1520" s="23" t="str">
        <f>IFERROR(__xludf.DUMMYFUNCTION("XLOOKUP(C1520, 
   IMPORTRANGE(""1RdEdgHYrZ33LJ7RUHj_h-qkAFL92bcVjtIdVa-UlsCw"", ""Interns!D:D""), 
   IMPORTRANGE(""1RdEdgHYrZ33LJ7RUHj_h-qkAFL92bcVjtIdVa-UlsCw"", ""Interns!M:M""), 
   ""Not Found"")"),"Contacted")</f>
        <v>Contacted</v>
      </c>
      <c r="AL1520" s="23" t="str">
        <f>IFERROR(__xludf.DUMMYFUNCTION("XLOOKUP(C1520, 
   IMPORTRANGE(""1RdEdgHYrZ33LJ7RUHj_h-qkAFL92bcVjtIdVa-UlsCw"", ""Interns!D:D""), 
   IMPORTRANGE(""1RdEdgHYrZ33LJ7RUHj_h-qkAFL92bcVjtIdVa-UlsCw"", ""Interns!N:N""), 
   ""Not Found"")"),"#Cheers4Careers")</f>
        <v>#Cheers4Careers</v>
      </c>
      <c r="AM1520" s="23" t="str">
        <f>IFERROR(__xludf.DUMMYFUNCTION("XLOOKUP(C1520, 
   IMPORTRANGE(""1RdEdgHYrZ33LJ7RUHj_h-qkAFL92bcVjtIdVa-UlsCw"", ""Interns!D:D""), 
   IMPORTRANGE(""1RdEdgHYrZ33LJ7RUHj_h-qkAFL92bcVjtIdVa-UlsCw"", ""Interns!O:O""), 
   ""Not Found"")"),"Hetal reached out by email 3/27 followed by text")</f>
        <v>Hetal reached out by email 3/27 followed by text</v>
      </c>
      <c r="AN1520" s="23"/>
      <c r="AO1520" s="23" t="s">
        <v>14501</v>
      </c>
      <c r="AP1520" s="28" t="s">
        <v>5989</v>
      </c>
      <c r="AQ1520" s="28" t="s">
        <v>14502</v>
      </c>
      <c r="AR1520" s="23" t="s">
        <v>14503</v>
      </c>
      <c r="AS1520" s="23"/>
      <c r="AT1520" s="23"/>
      <c r="AU1520" s="23"/>
      <c r="AV1520" s="23"/>
    </row>
    <row r="1521">
      <c r="A1521" s="28" t="s">
        <v>5161</v>
      </c>
      <c r="B1521" s="28" t="s">
        <v>5162</v>
      </c>
      <c r="C1521" s="23" t="str">
        <f t="shared" si="39"/>
        <v>Hayden-Miguel Rene Serrano</v>
      </c>
      <c r="D1521" s="28" t="s">
        <v>14504</v>
      </c>
      <c r="E1521" s="28" t="s">
        <v>14505</v>
      </c>
      <c r="F1521" s="23">
        <f t="array" ref="F1521">IFERROR(
    INDEX('Hub Interns 226'!A:A, MATCH(C1521, 'Hub Interns 226'!B:B, 0)),"")</f>
        <v>583</v>
      </c>
      <c r="G1521" s="23">
        <f t="array" ref="G1521">IFERROR(
    INDEX('Hub Users 226'!A:A, MATCH(C1521, 'Hub Users 226'!B:B, 0)),"")</f>
        <v>1016</v>
      </c>
      <c r="H1521" s="28">
        <v>1025.0</v>
      </c>
      <c r="I1521" s="28" t="s">
        <v>239</v>
      </c>
      <c r="J1521" s="28"/>
      <c r="K1521" s="28"/>
      <c r="L1521" s="28" t="s">
        <v>5165</v>
      </c>
      <c r="M1521" s="56" t="s">
        <v>14506</v>
      </c>
      <c r="N1521" s="57">
        <v>44658.6875</v>
      </c>
      <c r="O1521" s="58">
        <v>39561.0</v>
      </c>
      <c r="P1521" s="28">
        <f t="shared" si="41"/>
        <v>18</v>
      </c>
      <c r="Q1521" s="28" t="s">
        <v>240</v>
      </c>
      <c r="R1521" s="28" t="s">
        <v>14507</v>
      </c>
      <c r="S1521" s="28">
        <v>7.0</v>
      </c>
      <c r="T1521" s="28">
        <v>12.0</v>
      </c>
      <c r="U1521" s="28">
        <v>37.0</v>
      </c>
      <c r="V1521" s="28">
        <v>26.0</v>
      </c>
      <c r="W1521" s="28" t="s">
        <v>1173</v>
      </c>
      <c r="X1521" s="28" t="s">
        <v>272</v>
      </c>
      <c r="Y1521" s="28" t="s">
        <v>14508</v>
      </c>
      <c r="Z1521" s="28" t="s">
        <v>5352</v>
      </c>
      <c r="AA1521" s="28" t="s">
        <v>5287</v>
      </c>
      <c r="AB1521" s="28">
        <v>26.0</v>
      </c>
      <c r="AC1521" s="28" t="s">
        <v>24</v>
      </c>
      <c r="AD1521" s="23"/>
      <c r="AE1521" s="28" t="s">
        <v>10</v>
      </c>
      <c r="AF1521" s="23"/>
      <c r="AG1521" s="23"/>
      <c r="AH1521" s="23" t="str">
        <f>IFERROR(__xludf.DUMMYFUNCTION("IF(
ISNUMBER(MATCH(
C1521,
IMPORTRANGE(""https://docs.google.com/spreadsheets/d/1yTh1ELC33JHYOeEdgIiEclxPRyh0zOKtlawDltfUay8"",""'Interns'!A:A""),
0
)),
""Outreach Conducted"",
"""")"),"")</f>
        <v/>
      </c>
      <c r="AI1521" s="23"/>
      <c r="AJ1521" s="23"/>
      <c r="AK1521" s="23" t="str">
        <f>IFERROR(__xludf.DUMMYFUNCTION("XLOOKUP(C1521, 
   IMPORTRANGE(""1RdEdgHYrZ33LJ7RUHj_h-qkAFL92bcVjtIdVa-UlsCw"", ""Interns!D:D""), 
   IMPORTRANGE(""1RdEdgHYrZ33LJ7RUHj_h-qkAFL92bcVjtIdVa-UlsCw"", ""Interns!M:M""), 
   ""Not Found"")"),"Contacted")</f>
        <v>Contacted</v>
      </c>
      <c r="AL1521" s="23" t="str">
        <f>IFERROR(__xludf.DUMMYFUNCTION("XLOOKUP(C1521, 
   IMPORTRANGE(""1RdEdgHYrZ33LJ7RUHj_h-qkAFL92bcVjtIdVa-UlsCw"", ""Interns!D:D""), 
   IMPORTRANGE(""1RdEdgHYrZ33LJ7RUHj_h-qkAFL92bcVjtIdVa-UlsCw"", ""Interns!N:N""), 
   ""Not Found"")"),"#Cheers4Careers")</f>
        <v>#Cheers4Careers</v>
      </c>
      <c r="AM1521" s="23" t="str">
        <f>IFERROR(__xludf.DUMMYFUNCTION("XLOOKUP(C1521, 
   IMPORTRANGE(""1RdEdgHYrZ33LJ7RUHj_h-qkAFL92bcVjtIdVa-UlsCw"", ""Interns!D:D""), 
   IMPORTRANGE(""1RdEdgHYrZ33LJ7RUHj_h-qkAFL92bcVjtIdVa-UlsCw"", ""Interns!O:O""), 
   ""Not Found"")"),"Hetal reached out by email 3/27")</f>
        <v>Hetal reached out by email 3/27</v>
      </c>
      <c r="AN1521" s="23"/>
      <c r="AO1521" s="23" t="s">
        <v>14509</v>
      </c>
      <c r="AP1521" s="28" t="s">
        <v>5182</v>
      </c>
      <c r="AQ1521" s="28"/>
      <c r="AR1521" s="23"/>
      <c r="AS1521" s="23"/>
      <c r="AT1521" s="23"/>
      <c r="AU1521" s="23"/>
      <c r="AV1521" s="23"/>
    </row>
    <row r="1522">
      <c r="A1522" s="28" t="s">
        <v>5202</v>
      </c>
      <c r="B1522" s="28" t="s">
        <v>5162</v>
      </c>
      <c r="C1522" s="23" t="str">
        <f t="shared" si="39"/>
        <v>Mazaher (Moon) Mohamed</v>
      </c>
      <c r="D1522" s="28" t="s">
        <v>14510</v>
      </c>
      <c r="E1522" s="28" t="s">
        <v>9486</v>
      </c>
      <c r="F1522" s="23">
        <f t="array" ref="F1522">IFERROR(
    INDEX('Hub Interns 226'!A:A, MATCH("Moon", 'Hub Interns 226'!B:B, 0)),"")</f>
        <v>1296</v>
      </c>
      <c r="G1522" s="23">
        <f t="array" ref="G1522">IFERROR(
    INDEX('Hub Users 226'!A:A, MATCH("Mazaher Mohamed", 'Hub Users 226'!B:B, 0)),"")</f>
        <v>1791</v>
      </c>
      <c r="H1522" s="28">
        <v>1673.0</v>
      </c>
      <c r="I1522" s="28" t="s">
        <v>407</v>
      </c>
      <c r="J1522" s="28" t="s">
        <v>9487</v>
      </c>
      <c r="K1522" s="28" t="s">
        <v>5186</v>
      </c>
      <c r="L1522" s="28" t="s">
        <v>5196</v>
      </c>
      <c r="M1522" s="56" t="s">
        <v>14511</v>
      </c>
      <c r="N1522" s="59">
        <v>45225.04236111111</v>
      </c>
      <c r="O1522" s="58">
        <v>38800.0</v>
      </c>
      <c r="P1522" s="28">
        <f t="shared" si="41"/>
        <v>20</v>
      </c>
      <c r="Q1522" s="28" t="s">
        <v>240</v>
      </c>
      <c r="R1522" s="28" t="s">
        <v>14512</v>
      </c>
      <c r="S1522" s="28">
        <v>15.0</v>
      </c>
      <c r="T1522" s="28">
        <v>33.0</v>
      </c>
      <c r="U1522" s="28">
        <v>81.0</v>
      </c>
      <c r="V1522" s="28">
        <v>11.0</v>
      </c>
      <c r="W1522" s="28" t="s">
        <v>859</v>
      </c>
      <c r="X1522" s="28" t="s">
        <v>272</v>
      </c>
      <c r="Y1522" s="28">
        <v>9.143167521E9</v>
      </c>
      <c r="Z1522" s="28" t="s">
        <v>5435</v>
      </c>
      <c r="AA1522" s="28" t="s">
        <v>5436</v>
      </c>
      <c r="AB1522" s="28">
        <v>10.0</v>
      </c>
      <c r="AC1522" s="28" t="s">
        <v>25</v>
      </c>
      <c r="AD1522" s="23"/>
      <c r="AE1522" s="28" t="s">
        <v>18</v>
      </c>
      <c r="AF1522" s="23" t="str">
        <f>IFERROR(__xludf.DUMMYFUNCTION("TEXTJOIN("", "", TRUE,
  FILTER(Champions!C:C,
    ISNUMBER(SEARCH(C1522, Champions!W:W))
  )
)"),"Sunkyung Park, Christina Thomas")</f>
        <v>Sunkyung Park, Christina Thomas</v>
      </c>
      <c r="AG1522" s="26" t="s">
        <v>7320</v>
      </c>
      <c r="AH1522" s="23" t="str">
        <f>IFERROR(__xludf.DUMMYFUNCTION("IF(
ISNUMBER(MATCH(
C1522,
IMPORTRANGE(""https://docs.google.com/spreadsheets/d/1yTh1ELC33JHYOeEdgIiEclxPRyh0zOKtlawDltfUay8"",""'Interns'!A:A""),
0
)),
""Outreach Conducted"",
"""")"),"")</f>
        <v/>
      </c>
      <c r="AI1522" s="23"/>
      <c r="AJ1522" s="23"/>
      <c r="AK1522" s="23" t="str">
        <f>IFERROR(__xludf.DUMMYFUNCTION("XLOOKUP(C1522, 
   IMPORTRANGE(""1RdEdgHYrZ33LJ7RUHj_h-qkAFL92bcVjtIdVa-UlsCw"", ""Interns!D:D""), 
   IMPORTRANGE(""1RdEdgHYrZ33LJ7RUHj_h-qkAFL92bcVjtIdVa-UlsCw"", ""Interns!M:M""), 
   ""Not Found"")"),"")</f>
        <v/>
      </c>
      <c r="AL1522" s="23" t="str">
        <f>IFERROR(__xludf.DUMMYFUNCTION("XLOOKUP(C1522, 
   IMPORTRANGE(""1RdEdgHYrZ33LJ7RUHj_h-qkAFL92bcVjtIdVa-UlsCw"", ""Interns!D:D""), 
   IMPORTRANGE(""1RdEdgHYrZ33LJ7RUHj_h-qkAFL92bcVjtIdVa-UlsCw"", ""Interns!N:N""), 
   ""Not Found"")"),"")</f>
        <v/>
      </c>
      <c r="AM1522" s="23" t="str">
        <f>IFERROR(__xludf.DUMMYFUNCTION("XLOOKUP(C1522, 
   IMPORTRANGE(""1RdEdgHYrZ33LJ7RUHj_h-qkAFL92bcVjtIdVa-UlsCw"", ""Interns!D:D""), 
   IMPORTRANGE(""1RdEdgHYrZ33LJ7RUHj_h-qkAFL92bcVjtIdVa-UlsCw"", ""Interns!O:O""), 
   ""Not Found"")"),"")</f>
        <v/>
      </c>
      <c r="AN1522" s="23"/>
      <c r="AO1522" s="23" t="s">
        <v>14513</v>
      </c>
      <c r="AP1522" s="28" t="s">
        <v>14514</v>
      </c>
      <c r="AQ1522" s="28" t="s">
        <v>14514</v>
      </c>
      <c r="AR1522" s="23">
        <v>3.133274154E9</v>
      </c>
      <c r="AS1522" s="23"/>
      <c r="AT1522" s="23"/>
      <c r="AU1522" s="23"/>
      <c r="AV1522" s="23"/>
    </row>
    <row r="1523">
      <c r="A1523" s="28" t="s">
        <v>5161</v>
      </c>
      <c r="B1523" s="28" t="s">
        <v>5162</v>
      </c>
      <c r="C1523" s="23" t="str">
        <f t="shared" si="39"/>
        <v>Tenzin Lungtop</v>
      </c>
      <c r="D1523" s="28" t="s">
        <v>11141</v>
      </c>
      <c r="E1523" s="28" t="s">
        <v>14515</v>
      </c>
      <c r="F1523" s="23" t="str">
        <f t="array" ref="F1523">IFERROR(
    INDEX('Hub Interns 226'!A:A, MATCH(C1523, 'Hub Interns 226'!B:B, 0)),"")</f>
        <v/>
      </c>
      <c r="G1523" s="23">
        <f t="array" ref="G1523">IFERROR(
    INDEX('Hub Users 226'!A:A, MATCH(C1523, 'Hub Users 226'!B:B, 0)),"")</f>
        <v>1848</v>
      </c>
      <c r="H1523" s="28">
        <v>1688.0</v>
      </c>
      <c r="I1523" s="28" t="s">
        <v>239</v>
      </c>
      <c r="J1523" s="28"/>
      <c r="K1523" s="28"/>
      <c r="L1523" s="28" t="s">
        <v>5165</v>
      </c>
      <c r="M1523" s="56" t="s">
        <v>14516</v>
      </c>
      <c r="N1523" s="59">
        <v>45249.933333333334</v>
      </c>
      <c r="O1523" s="58">
        <v>40964.0</v>
      </c>
      <c r="P1523" s="28">
        <f t="shared" si="41"/>
        <v>14</v>
      </c>
      <c r="Q1523" s="28" t="s">
        <v>240</v>
      </c>
      <c r="R1523" s="28" t="s">
        <v>14517</v>
      </c>
      <c r="S1523" s="28">
        <v>6.0</v>
      </c>
      <c r="T1523" s="28">
        <v>12.0</v>
      </c>
      <c r="U1523" s="28">
        <v>39.0</v>
      </c>
      <c r="V1523" s="28">
        <v>25.0</v>
      </c>
      <c r="W1523" s="28" t="s">
        <v>1173</v>
      </c>
      <c r="X1523" s="28" t="s">
        <v>272</v>
      </c>
      <c r="Y1523" s="28">
        <v>3.476498013E9</v>
      </c>
      <c r="Z1523" s="28" t="s">
        <v>5170</v>
      </c>
      <c r="AA1523" s="28" t="s">
        <v>5171</v>
      </c>
      <c r="AB1523" s="28">
        <v>30.0</v>
      </c>
      <c r="AC1523" s="28" t="s">
        <v>23</v>
      </c>
      <c r="AD1523" s="28" t="s">
        <v>101</v>
      </c>
      <c r="AE1523" s="28" t="s">
        <v>18</v>
      </c>
      <c r="AF1523" s="23"/>
      <c r="AG1523" s="23"/>
      <c r="AH1523" s="23" t="str">
        <f>IFERROR(__xludf.DUMMYFUNCTION("IF(
ISNUMBER(MATCH(
C1523,
IMPORTRANGE(""https://docs.google.com/spreadsheets/d/1yTh1ELC33JHYOeEdgIiEclxPRyh0zOKtlawDltfUay8"",""'Interns'!A:A""),
0
)),
""Outreach Conducted"",
"""")"),"")</f>
        <v/>
      </c>
      <c r="AI1523" s="23"/>
      <c r="AJ1523" s="23"/>
      <c r="AK1523" s="23" t="str">
        <f>IFERROR(__xludf.DUMMYFUNCTION("XLOOKUP(C1523, 
   IMPORTRANGE(""1RdEdgHYrZ33LJ7RUHj_h-qkAFL92bcVjtIdVa-UlsCw"", ""Interns!D:D""), 
   IMPORTRANGE(""1RdEdgHYrZ33LJ7RUHj_h-qkAFL92bcVjtIdVa-UlsCw"", ""Interns!M:M""), 
   ""Not Found"")"),"Contacted")</f>
        <v>Contacted</v>
      </c>
      <c r="AL1523" s="23" t="str">
        <f>IFERROR(__xludf.DUMMYFUNCTION("XLOOKUP(C1523, 
   IMPORTRANGE(""1RdEdgHYrZ33LJ7RUHj_h-qkAFL92bcVjtIdVa-UlsCw"", ""Interns!D:D""), 
   IMPORTRANGE(""1RdEdgHYrZ33LJ7RUHj_h-qkAFL92bcVjtIdVa-UlsCw"", ""Interns!N:N""), 
   ""Not Found"")"),"#Cheers4Careers")</f>
        <v>#Cheers4Careers</v>
      </c>
      <c r="AM1523" s="23" t="str">
        <f>IFERROR(__xludf.DUMMYFUNCTION("XLOOKUP(C1523, 
   IMPORTRANGE(""1RdEdgHYrZ33LJ7RUHj_h-qkAFL92bcVjtIdVa-UlsCw"", ""Interns!D:D""), 
   IMPORTRANGE(""1RdEdgHYrZ33LJ7RUHj_h-qkAFL92bcVjtIdVa-UlsCw"", ""Interns!O:O""), 
   ""Not Found"")"),"Hetal reached out March 27 for March #Cheers4 Careers ")</f>
        <v>Hetal reached out March 27 for March #Cheers4 Careers </v>
      </c>
      <c r="AN1523" s="23"/>
      <c r="AO1523" s="23" t="s">
        <v>14518</v>
      </c>
      <c r="AP1523" s="28" t="s">
        <v>5182</v>
      </c>
      <c r="AQ1523" s="28" t="s">
        <v>14519</v>
      </c>
      <c r="AR1523" s="23">
        <v>6.46322733E9</v>
      </c>
      <c r="AS1523" s="23"/>
      <c r="AT1523" s="23"/>
      <c r="AU1523" s="23"/>
      <c r="AV1523" s="23"/>
    </row>
    <row r="1524">
      <c r="A1524" s="28" t="s">
        <v>5161</v>
      </c>
      <c r="B1524" s="28" t="s">
        <v>5162</v>
      </c>
      <c r="C1524" s="23" t="str">
        <f t="shared" si="39"/>
        <v>Valeri Viveros</v>
      </c>
      <c r="D1524" s="28" t="s">
        <v>14520</v>
      </c>
      <c r="E1524" s="28" t="s">
        <v>14521</v>
      </c>
      <c r="F1524" s="23">
        <f t="array" ref="F1524">IFERROR(
    INDEX('Hub Interns 226'!A:A, MATCH(C1524, 'Hub Interns 226'!B:B, 0)),"")</f>
        <v>1180</v>
      </c>
      <c r="G1524" s="23">
        <f t="array" ref="G1524">IFERROR(
    INDEX('Hub Users 226'!A:A, MATCH(C1524, 'Hub Users 226'!B:B, 0)),"")</f>
        <v>1613</v>
      </c>
      <c r="H1524" s="28">
        <v>1394.0</v>
      </c>
      <c r="I1524" s="28"/>
      <c r="J1524" s="28"/>
      <c r="K1524" s="28"/>
      <c r="L1524" s="28" t="s">
        <v>5196</v>
      </c>
      <c r="M1524" s="56" t="s">
        <v>14522</v>
      </c>
      <c r="N1524" s="59">
        <v>44862.53055555555</v>
      </c>
      <c r="O1524" s="58">
        <v>40145.0</v>
      </c>
      <c r="P1524" s="28">
        <f t="shared" si="41"/>
        <v>16</v>
      </c>
      <c r="Q1524" s="28" t="s">
        <v>14523</v>
      </c>
      <c r="R1524" s="28" t="s">
        <v>14524</v>
      </c>
      <c r="S1524" s="28">
        <v>7.0</v>
      </c>
      <c r="T1524" s="28">
        <v>12.0</v>
      </c>
      <c r="U1524" s="28">
        <v>37.0</v>
      </c>
      <c r="V1524" s="28">
        <v>26.0</v>
      </c>
      <c r="W1524" s="28" t="s">
        <v>1173</v>
      </c>
      <c r="X1524" s="28" t="s">
        <v>272</v>
      </c>
      <c r="Y1524" s="28" t="s">
        <v>5351</v>
      </c>
      <c r="Z1524" s="28" t="s">
        <v>5352</v>
      </c>
      <c r="AA1524" s="28" t="s">
        <v>5287</v>
      </c>
      <c r="AB1524" s="28">
        <v>26.0</v>
      </c>
      <c r="AC1524" s="28" t="s">
        <v>23</v>
      </c>
      <c r="AD1524" s="23"/>
      <c r="AE1524" s="28" t="s">
        <v>15</v>
      </c>
      <c r="AF1524" s="23"/>
      <c r="AG1524" s="23"/>
      <c r="AH1524" s="23" t="str">
        <f>IFERROR(__xludf.DUMMYFUNCTION("IF(
ISNUMBER(MATCH(
C1524,
IMPORTRANGE(""https://docs.google.com/spreadsheets/d/1yTh1ELC33JHYOeEdgIiEclxPRyh0zOKtlawDltfUay8"",""'Interns'!A:A""),
0
)),
""Outreach Conducted"",
"""")"),"")</f>
        <v/>
      </c>
      <c r="AI1524" s="23"/>
      <c r="AJ1524" s="23"/>
      <c r="AK1524" s="23" t="str">
        <f>IFERROR(__xludf.DUMMYFUNCTION("XLOOKUP(C1524, 
   IMPORTRANGE(""1RdEdgHYrZ33LJ7RUHj_h-qkAFL92bcVjtIdVa-UlsCw"", ""Interns!D:D""), 
   IMPORTRANGE(""1RdEdgHYrZ33LJ7RUHj_h-qkAFL92bcVjtIdVa-UlsCw"", ""Interns!M:M""), 
   ""Not Found"")"),"Contacted")</f>
        <v>Contacted</v>
      </c>
      <c r="AL1524" s="23" t="str">
        <f>IFERROR(__xludf.DUMMYFUNCTION("XLOOKUP(C1524, 
   IMPORTRANGE(""1RdEdgHYrZ33LJ7RUHj_h-qkAFL92bcVjtIdVa-UlsCw"", ""Interns!D:D""), 
   IMPORTRANGE(""1RdEdgHYrZ33LJ7RUHj_h-qkAFL92bcVjtIdVa-UlsCw"", ""Interns!N:N""), 
   ""Not Found"")"),"#Cheers4Careers")</f>
        <v>#Cheers4Careers</v>
      </c>
      <c r="AM1524" s="23" t="str">
        <f>IFERROR(__xludf.DUMMYFUNCTION("XLOOKUP(C1524, 
   IMPORTRANGE(""1RdEdgHYrZ33LJ7RUHj_h-qkAFL92bcVjtIdVa-UlsCw"", ""Interns!D:D""), 
   IMPORTRANGE(""1RdEdgHYrZ33LJ7RUHj_h-qkAFL92bcVjtIdVa-UlsCw"", ""Interns!O:O""), 
   ""Not Found"")"),"Hetal reached out by email 3/27")</f>
        <v>Hetal reached out by email 3/27</v>
      </c>
      <c r="AN1524" s="23"/>
      <c r="AO1524" s="23" t="s">
        <v>14525</v>
      </c>
      <c r="AP1524" s="28" t="s">
        <v>5182</v>
      </c>
      <c r="AQ1524" s="28"/>
      <c r="AR1524" s="23"/>
      <c r="AS1524" s="23"/>
      <c r="AT1524" s="23"/>
      <c r="AU1524" s="23"/>
      <c r="AV1524" s="23"/>
    </row>
    <row r="1525">
      <c r="A1525" s="28" t="s">
        <v>5161</v>
      </c>
      <c r="B1525" s="28" t="s">
        <v>5162</v>
      </c>
      <c r="C1525" s="23" t="str">
        <f t="shared" si="39"/>
        <v>Katelynn (Kate) Abreu</v>
      </c>
      <c r="D1525" s="22" t="s">
        <v>14526</v>
      </c>
      <c r="E1525" s="22" t="s">
        <v>8005</v>
      </c>
      <c r="F1525" s="23"/>
      <c r="G1525" s="23"/>
      <c r="H1525" s="22">
        <v>1997.0</v>
      </c>
      <c r="I1525" s="28"/>
      <c r="J1525" s="28"/>
      <c r="K1525" s="28"/>
      <c r="L1525" s="28" t="s">
        <v>5196</v>
      </c>
      <c r="M1525" s="29" t="s">
        <v>14527</v>
      </c>
      <c r="N1525" s="63">
        <v>45615.51111111111</v>
      </c>
      <c r="O1525" s="25">
        <v>41311.0</v>
      </c>
      <c r="P1525" s="28">
        <f t="shared" si="41"/>
        <v>13</v>
      </c>
      <c r="Q1525" s="62" t="s">
        <v>14528</v>
      </c>
      <c r="R1525" s="22" t="s">
        <v>14529</v>
      </c>
      <c r="S1525" s="28">
        <v>7.0</v>
      </c>
      <c r="T1525" s="28">
        <v>12.0</v>
      </c>
      <c r="U1525" s="28">
        <v>37.0</v>
      </c>
      <c r="V1525" s="28">
        <v>22.0</v>
      </c>
      <c r="W1525" s="28" t="s">
        <v>1173</v>
      </c>
      <c r="X1525" s="28" t="s">
        <v>272</v>
      </c>
      <c r="Y1525" s="22">
        <v>3.477553407E9</v>
      </c>
      <c r="Z1525" s="22" t="s">
        <v>5536</v>
      </c>
      <c r="AA1525" s="28" t="s">
        <v>5287</v>
      </c>
      <c r="AB1525" s="28">
        <v>26.0</v>
      </c>
      <c r="AC1525" s="28" t="s">
        <v>27</v>
      </c>
      <c r="AD1525" s="23"/>
      <c r="AE1525" s="28" t="s">
        <v>19</v>
      </c>
      <c r="AF1525" s="23"/>
      <c r="AG1525" s="23"/>
      <c r="AH1525" s="23" t="str">
        <f>IFERROR(__xludf.DUMMYFUNCTION("IF(
ISNUMBER(MATCH(
C1525,
IMPORTRANGE(""https://docs.google.com/spreadsheets/d/1yTh1ELC33JHYOeEdgIiEclxPRyh0zOKtlawDltfUay8"",""'Interns'!A:A""),
0
)),
""Outreach Conducted"",
"""")"),"")</f>
        <v/>
      </c>
      <c r="AI1525" s="23"/>
      <c r="AJ1525" s="23"/>
      <c r="AK1525" s="23"/>
      <c r="AL1525" s="23" t="str">
        <f>IFERROR(__xludf.DUMMYFUNCTION("XLOOKUP(C1525, 
   IMPORTRANGE(""1RdEdgHYrZ33LJ7RUHj_h-qkAFL92bcVjtIdVa-UlsCw"", ""Interns!D:D""), 
   IMPORTRANGE(""1RdEdgHYrZ33LJ7RUHj_h-qkAFL92bcVjtIdVa-UlsCw"", ""Interns!N:N""), 
   ""Not Found"")"),"Not Found")</f>
        <v>Not Found</v>
      </c>
      <c r="AM1525" s="23" t="str">
        <f>IFERROR(__xludf.DUMMYFUNCTION("XLOOKUP(C1525, 
   IMPORTRANGE(""1RdEdgHYrZ33LJ7RUHj_h-qkAFL92bcVjtIdVa-UlsCw"", ""Interns!D:D""), 
   IMPORTRANGE(""1RdEdgHYrZ33LJ7RUHj_h-qkAFL92bcVjtIdVa-UlsCw"", ""Interns!O:O""), 
   ""Not Found"")"),"Not Found")</f>
        <v>Not Found</v>
      </c>
      <c r="AN1525" s="23"/>
      <c r="AO1525" s="23" t="s">
        <v>14530</v>
      </c>
      <c r="AP1525" s="28" t="s">
        <v>5182</v>
      </c>
      <c r="AQ1525" s="28" t="s">
        <v>14531</v>
      </c>
      <c r="AR1525" s="23">
        <v>3.33033333333E11</v>
      </c>
      <c r="AS1525" s="23"/>
      <c r="AT1525" s="23"/>
      <c r="AU1525" s="23"/>
      <c r="AV1525" s="23"/>
    </row>
    <row r="1526">
      <c r="A1526" s="28" t="s">
        <v>5161</v>
      </c>
      <c r="B1526" s="28" t="s">
        <v>5162</v>
      </c>
      <c r="C1526" s="23" t="str">
        <f t="shared" si="39"/>
        <v>John Lim</v>
      </c>
      <c r="D1526" s="28" t="s">
        <v>1788</v>
      </c>
      <c r="E1526" s="28" t="s">
        <v>14532</v>
      </c>
      <c r="F1526" s="23">
        <f t="array" ref="F1526">IFERROR(
    INDEX('Hub Interns 226'!A:A, MATCH(C1526, 'Hub Interns 226'!B:B, 0)),"")</f>
        <v>679</v>
      </c>
      <c r="G1526" s="23">
        <f t="array" ref="G1526">IFERROR(
    INDEX('Hub Users 226'!A:A, MATCH(C1526, 'Hub Users 226'!B:B, 0)),"")</f>
        <v>1112</v>
      </c>
      <c r="H1526" s="28">
        <v>1045.0</v>
      </c>
      <c r="I1526" s="28"/>
      <c r="J1526" s="28"/>
      <c r="K1526" s="28"/>
      <c r="L1526" s="28" t="s">
        <v>5165</v>
      </c>
      <c r="M1526" s="56" t="s">
        <v>14533</v>
      </c>
      <c r="N1526" s="57">
        <v>44684.4375</v>
      </c>
      <c r="O1526" s="58">
        <v>44684.0</v>
      </c>
      <c r="P1526" s="28">
        <f t="shared" si="41"/>
        <v>4</v>
      </c>
      <c r="Q1526" s="28" t="s">
        <v>240</v>
      </c>
      <c r="R1526" s="28" t="s">
        <v>14534</v>
      </c>
      <c r="S1526" s="28">
        <v>6.0</v>
      </c>
      <c r="T1526" s="28">
        <v>12.0</v>
      </c>
      <c r="U1526" s="28">
        <v>30.0</v>
      </c>
      <c r="V1526" s="28">
        <v>26.0</v>
      </c>
      <c r="W1526" s="28" t="s">
        <v>1173</v>
      </c>
      <c r="X1526" s="28" t="s">
        <v>272</v>
      </c>
      <c r="Y1526" s="28" t="s">
        <v>14535</v>
      </c>
      <c r="Z1526" s="28" t="s">
        <v>5170</v>
      </c>
      <c r="AA1526" s="28" t="s">
        <v>5171</v>
      </c>
      <c r="AB1526" s="28">
        <v>30.0</v>
      </c>
      <c r="AC1526" s="28" t="s">
        <v>24</v>
      </c>
      <c r="AD1526" s="23"/>
      <c r="AE1526" s="28" t="s">
        <v>10</v>
      </c>
      <c r="AF1526" s="23"/>
      <c r="AG1526" s="23"/>
      <c r="AH1526" s="23" t="str">
        <f>IFERROR(__xludf.DUMMYFUNCTION("IF(
ISNUMBER(MATCH(
C1526,
IMPORTRANGE(""https://docs.google.com/spreadsheets/d/1yTh1ELC33JHYOeEdgIiEclxPRyh0zOKtlawDltfUay8"",""'Interns'!A:A""),
0
)),
""Outreach Conducted"",
"""")"),"")</f>
        <v/>
      </c>
      <c r="AI1526" s="23"/>
      <c r="AJ1526" s="23"/>
      <c r="AK1526" s="23" t="str">
        <f>IFERROR(__xludf.DUMMYFUNCTION("XLOOKUP(C1526, 
   IMPORTRANGE(""1RdEdgHYrZ33LJ7RUHj_h-qkAFL92bcVjtIdVa-UlsCw"", ""Interns!D:D""), 
   IMPORTRANGE(""1RdEdgHYrZ33LJ7RUHj_h-qkAFL92bcVjtIdVa-UlsCw"", ""Interns!M:M""), 
   ""Not Found"")"),"Contacted")</f>
        <v>Contacted</v>
      </c>
      <c r="AL1526" s="23" t="str">
        <f>IFERROR(__xludf.DUMMYFUNCTION("XLOOKUP(C1526, 
   IMPORTRANGE(""1RdEdgHYrZ33LJ7RUHj_h-qkAFL92bcVjtIdVa-UlsCw"", ""Interns!D:D""), 
   IMPORTRANGE(""1RdEdgHYrZ33LJ7RUHj_h-qkAFL92bcVjtIdVa-UlsCw"", ""Interns!N:N""), 
   ""Not Found"")"),"#Cheers4Careers")</f>
        <v>#Cheers4Careers</v>
      </c>
      <c r="AM1526" s="23" t="str">
        <f>IFERROR(__xludf.DUMMYFUNCTION("XLOOKUP(C1526, 
   IMPORTRANGE(""1RdEdgHYrZ33LJ7RUHj_h-qkAFL92bcVjtIdVa-UlsCw"", ""Interns!D:D""), 
   IMPORTRANGE(""1RdEdgHYrZ33LJ7RUHj_h-qkAFL92bcVjtIdVa-UlsCw"", ""Interns!O:O""), 
   ""Not Found"")"),"Hetal reached out March 27 for March #Cheers4 Careers and whatsapp on 3/28
Hetal reached out on 4/10 by whatsapp for April 18th #Cheers4Careers")</f>
        <v>Hetal reached out March 27 for March #Cheers4 Careers and whatsapp on 3/28
Hetal reached out on 4/10 by whatsapp for April 18th #Cheers4Careers</v>
      </c>
      <c r="AN1526" s="23"/>
      <c r="AO1526" s="23" t="s">
        <v>14536</v>
      </c>
      <c r="AP1526" s="28" t="s">
        <v>5182</v>
      </c>
      <c r="AQ1526" s="28"/>
      <c r="AR1526" s="23"/>
      <c r="AS1526" s="23"/>
      <c r="AT1526" s="23"/>
      <c r="AU1526" s="23"/>
      <c r="AV1526" s="23"/>
    </row>
    <row r="1527">
      <c r="A1527" s="28" t="s">
        <v>5161</v>
      </c>
      <c r="B1527" s="28" t="s">
        <v>5162</v>
      </c>
      <c r="C1527" s="23" t="str">
        <f t="shared" si="39"/>
        <v>Romina Campos</v>
      </c>
      <c r="D1527" s="28" t="s">
        <v>2943</v>
      </c>
      <c r="E1527" s="28" t="s">
        <v>1771</v>
      </c>
      <c r="F1527" s="23">
        <f t="array" ref="F1527">IFERROR(
    INDEX('Hub Interns 226'!A:A, MATCH(C1527, 'Hub Interns 226'!B:B, 0)),"")</f>
        <v>1023</v>
      </c>
      <c r="G1527" s="23">
        <f t="array" ref="G1527">IFERROR(
    INDEX('Hub Users 226'!A:A, MATCH(C1527, 'Hub Users 226'!B:B, 0)),"")</f>
        <v>1456</v>
      </c>
      <c r="H1527" s="28">
        <v>1085.0</v>
      </c>
      <c r="I1527" s="28" t="s">
        <v>269</v>
      </c>
      <c r="J1527" s="28"/>
      <c r="K1527" s="28"/>
      <c r="L1527" s="28" t="s">
        <v>5196</v>
      </c>
      <c r="M1527" s="56" t="s">
        <v>14537</v>
      </c>
      <c r="N1527" s="57">
        <v>44704.51666666667</v>
      </c>
      <c r="O1527" s="58">
        <v>44709.0</v>
      </c>
      <c r="P1527" s="28">
        <f t="shared" si="41"/>
        <v>3</v>
      </c>
      <c r="Q1527" s="28" t="s">
        <v>240</v>
      </c>
      <c r="R1527" s="28" t="s">
        <v>14538</v>
      </c>
      <c r="S1527" s="28">
        <v>7.0</v>
      </c>
      <c r="T1527" s="28">
        <v>12.0</v>
      </c>
      <c r="U1527" s="28">
        <v>37.0</v>
      </c>
      <c r="V1527" s="28">
        <v>26.0</v>
      </c>
      <c r="W1527" s="28" t="s">
        <v>1173</v>
      </c>
      <c r="X1527" s="28" t="s">
        <v>272</v>
      </c>
      <c r="Y1527" s="28" t="s">
        <v>14539</v>
      </c>
      <c r="Z1527" s="28" t="s">
        <v>5352</v>
      </c>
      <c r="AA1527" s="28" t="s">
        <v>5287</v>
      </c>
      <c r="AB1527" s="28">
        <v>26.0</v>
      </c>
      <c r="AC1527" s="28" t="s">
        <v>24</v>
      </c>
      <c r="AD1527" s="23"/>
      <c r="AE1527" s="28" t="s">
        <v>10</v>
      </c>
      <c r="AF1527" s="23"/>
      <c r="AG1527" s="23"/>
      <c r="AH1527" s="23" t="str">
        <f>IFERROR(__xludf.DUMMYFUNCTION("IF(
ISNUMBER(MATCH(
C1527,
IMPORTRANGE(""https://docs.google.com/spreadsheets/d/1yTh1ELC33JHYOeEdgIiEclxPRyh0zOKtlawDltfUay8"",""'Interns'!A:A""),
0
)),
""Outreach Conducted"",
"""")"),"")</f>
        <v/>
      </c>
      <c r="AI1527" s="23"/>
      <c r="AJ1527" s="23"/>
      <c r="AK1527" s="23" t="str">
        <f>IFERROR(__xludf.DUMMYFUNCTION("XLOOKUP(C1527, 
   IMPORTRANGE(""1RdEdgHYrZ33LJ7RUHj_h-qkAFL92bcVjtIdVa-UlsCw"", ""Interns!D:D""), 
   IMPORTRANGE(""1RdEdgHYrZ33LJ7RUHj_h-qkAFL92bcVjtIdVa-UlsCw"", ""Interns!M:M""), 
   ""Not Found"")"),"Contacted")</f>
        <v>Contacted</v>
      </c>
      <c r="AL1527" s="23" t="str">
        <f>IFERROR(__xludf.DUMMYFUNCTION("XLOOKUP(C1527, 
   IMPORTRANGE(""1RdEdgHYrZ33LJ7RUHj_h-qkAFL92bcVjtIdVa-UlsCw"", ""Interns!D:D""), 
   IMPORTRANGE(""1RdEdgHYrZ33LJ7RUHj_h-qkAFL92bcVjtIdVa-UlsCw"", ""Interns!N:N""), 
   ""Not Found"")"),"#Cheers4Careers")</f>
        <v>#Cheers4Careers</v>
      </c>
      <c r="AM1527" s="23" t="str">
        <f>IFERROR(__xludf.DUMMYFUNCTION("XLOOKUP(C1527, 
   IMPORTRANGE(""1RdEdgHYrZ33LJ7RUHj_h-qkAFL92bcVjtIdVa-UlsCw"", ""Interns!D:D""), 
   IMPORTRANGE(""1RdEdgHYrZ33LJ7RUHj_h-qkAFL92bcVjtIdVa-UlsCw"", ""Interns!O:O""), 
   ""Not Found"")"),"Hetal reached out by email 3/27")</f>
        <v>Hetal reached out by email 3/27</v>
      </c>
      <c r="AN1527" s="23"/>
      <c r="AO1527" s="23" t="s">
        <v>14540</v>
      </c>
      <c r="AP1527" s="28" t="s">
        <v>5182</v>
      </c>
      <c r="AQ1527" s="28"/>
      <c r="AR1527" s="23"/>
      <c r="AS1527" s="23"/>
      <c r="AT1527" s="23"/>
      <c r="AU1527" s="23"/>
      <c r="AV1527" s="23"/>
    </row>
    <row r="1528">
      <c r="A1528" s="28" t="s">
        <v>5161</v>
      </c>
      <c r="B1528" s="28" t="s">
        <v>5162</v>
      </c>
      <c r="C1528" s="23" t="str">
        <f t="shared" si="39"/>
        <v>Eileen Spikes</v>
      </c>
      <c r="D1528" s="28" t="s">
        <v>14541</v>
      </c>
      <c r="E1528" s="28" t="s">
        <v>14542</v>
      </c>
      <c r="F1528" s="23">
        <f t="array" ref="F1528">IFERROR(
    INDEX('Hub Interns 226'!A:A, MATCH(C1528, 'Hub Interns 226'!B:B, 0)),"")</f>
        <v>471</v>
      </c>
      <c r="G1528" s="23">
        <f t="array" ref="G1528">IFERROR(
    INDEX('Hub Users 226'!A:A, MATCH(C1528, 'Hub Users 226'!B:B, 0)),"")</f>
        <v>904</v>
      </c>
      <c r="H1528" s="28">
        <v>484.0</v>
      </c>
      <c r="I1528" s="28" t="s">
        <v>260</v>
      </c>
      <c r="J1528" s="28"/>
      <c r="K1528" s="28"/>
      <c r="L1528" s="28" t="s">
        <v>5196</v>
      </c>
      <c r="M1528" s="56" t="s">
        <v>14543</v>
      </c>
      <c r="N1528" s="57">
        <v>44372.854166666664</v>
      </c>
      <c r="O1528" s="58">
        <v>39154.0</v>
      </c>
      <c r="P1528" s="28">
        <f t="shared" si="41"/>
        <v>19</v>
      </c>
      <c r="Q1528" s="28" t="s">
        <v>240</v>
      </c>
      <c r="R1528" s="28" t="s">
        <v>14544</v>
      </c>
      <c r="S1528" s="28"/>
      <c r="T1528" s="28"/>
      <c r="U1528" s="28"/>
      <c r="V1528" s="28"/>
      <c r="W1528" s="28" t="s">
        <v>12324</v>
      </c>
      <c r="X1528" s="28" t="s">
        <v>465</v>
      </c>
      <c r="Y1528" s="28" t="s">
        <v>14545</v>
      </c>
      <c r="Z1528" s="28" t="s">
        <v>12326</v>
      </c>
      <c r="AA1528" s="28" t="s">
        <v>12327</v>
      </c>
      <c r="AB1528" s="28" t="s">
        <v>12328</v>
      </c>
      <c r="AC1528" s="28" t="s">
        <v>24</v>
      </c>
      <c r="AD1528" s="23"/>
      <c r="AE1528" s="28" t="s">
        <v>10</v>
      </c>
      <c r="AF1528" s="23"/>
      <c r="AG1528" s="23"/>
      <c r="AH1528" s="23" t="str">
        <f>IFERROR(__xludf.DUMMYFUNCTION("IF(
ISNUMBER(MATCH(
C1528,
IMPORTRANGE(""https://docs.google.com/spreadsheets/d/1yTh1ELC33JHYOeEdgIiEclxPRyh0zOKtlawDltfUay8"",""'Interns'!A:A""),
0
)),
""Outreach Conducted"",
"""")"),"")</f>
        <v/>
      </c>
      <c r="AI1528" s="23"/>
      <c r="AJ1528" s="23"/>
      <c r="AK1528" s="23" t="str">
        <f>IFERROR(__xludf.DUMMYFUNCTION("XLOOKUP(C1528, 
   IMPORTRANGE(""1RdEdgHYrZ33LJ7RUHj_h-qkAFL92bcVjtIdVa-UlsCw"", ""Interns!D:D""), 
   IMPORTRANGE(""1RdEdgHYrZ33LJ7RUHj_h-qkAFL92bcVjtIdVa-UlsCw"", ""Interns!M:M""), 
   ""Not Found"")"),"")</f>
        <v/>
      </c>
      <c r="AL1528" s="23" t="str">
        <f>IFERROR(__xludf.DUMMYFUNCTION("XLOOKUP(C1528, 
   IMPORTRANGE(""1RdEdgHYrZ33LJ7RUHj_h-qkAFL92bcVjtIdVa-UlsCw"", ""Interns!D:D""), 
   IMPORTRANGE(""1RdEdgHYrZ33LJ7RUHj_h-qkAFL92bcVjtIdVa-UlsCw"", ""Interns!N:N""), 
   ""Not Found"")"),"")</f>
        <v/>
      </c>
      <c r="AM1528" s="23" t="str">
        <f>IFERROR(__xludf.DUMMYFUNCTION("XLOOKUP(C1528, 
   IMPORTRANGE(""1RdEdgHYrZ33LJ7RUHj_h-qkAFL92bcVjtIdVa-UlsCw"", ""Interns!D:D""), 
   IMPORTRANGE(""1RdEdgHYrZ33LJ7RUHj_h-qkAFL92bcVjtIdVa-UlsCw"", ""Interns!O:O""), 
   ""Not Found"")"),"")</f>
        <v/>
      </c>
      <c r="AN1528" s="23"/>
      <c r="AO1528" s="23" t="s">
        <v>14546</v>
      </c>
      <c r="AP1528" s="28" t="s">
        <v>5191</v>
      </c>
      <c r="AQ1528" s="28"/>
      <c r="AR1528" s="23"/>
      <c r="AS1528" s="23"/>
      <c r="AT1528" s="23"/>
      <c r="AU1528" s="23"/>
      <c r="AV1528" s="23"/>
    </row>
    <row r="1529">
      <c r="A1529" s="28" t="s">
        <v>5202</v>
      </c>
      <c r="B1529" s="28" t="s">
        <v>5162</v>
      </c>
      <c r="C1529" s="23" t="str">
        <f t="shared" si="39"/>
        <v>Ali Aljabyali</v>
      </c>
      <c r="D1529" s="28" t="s">
        <v>9802</v>
      </c>
      <c r="E1529" s="28" t="s">
        <v>14547</v>
      </c>
      <c r="F1529" s="23">
        <f t="array" ref="F1529">IFERROR(
    INDEX('Hub Interns 226'!A:A, MATCH(C1529, 'Hub Interns 226'!B:B, 0)),"")</f>
        <v>118</v>
      </c>
      <c r="G1529" s="23">
        <f t="array" ref="G1529">IFERROR(
    INDEX('Hub Users 226'!A:A, MATCH(C1529, 'Hub Users 226'!B:B, 0)),"")</f>
        <v>551</v>
      </c>
      <c r="H1529" s="28">
        <v>968.0</v>
      </c>
      <c r="I1529" s="28" t="s">
        <v>290</v>
      </c>
      <c r="J1529" s="28" t="s">
        <v>9487</v>
      </c>
      <c r="K1529" s="28" t="s">
        <v>5186</v>
      </c>
      <c r="L1529" s="28" t="s">
        <v>5165</v>
      </c>
      <c r="M1529" s="56" t="s">
        <v>14548</v>
      </c>
      <c r="N1529" s="57">
        <v>44631.58611111111</v>
      </c>
      <c r="O1529" s="58">
        <v>37803.0</v>
      </c>
      <c r="P1529" s="28">
        <f t="shared" si="41"/>
        <v>22</v>
      </c>
      <c r="Q1529" s="28" t="s">
        <v>240</v>
      </c>
      <c r="R1529" s="28" t="s">
        <v>14549</v>
      </c>
      <c r="S1529" s="28">
        <v>9.0</v>
      </c>
      <c r="T1529" s="28">
        <v>20.0</v>
      </c>
      <c r="U1529" s="28">
        <v>43.0</v>
      </c>
      <c r="V1529" s="28">
        <v>36.0</v>
      </c>
      <c r="W1529" s="28" t="s">
        <v>294</v>
      </c>
      <c r="X1529" s="28" t="s">
        <v>272</v>
      </c>
      <c r="Y1529" s="28" t="s">
        <v>14550</v>
      </c>
      <c r="Z1529" s="28" t="s">
        <v>5589</v>
      </c>
      <c r="AA1529" s="28" t="s">
        <v>5590</v>
      </c>
      <c r="AB1529" s="28">
        <v>35.0</v>
      </c>
      <c r="AC1529" s="28" t="s">
        <v>24</v>
      </c>
      <c r="AD1529" s="23"/>
      <c r="AE1529" s="28" t="s">
        <v>10</v>
      </c>
      <c r="AF1529" s="23"/>
      <c r="AG1529" s="23"/>
      <c r="AH1529" s="23" t="str">
        <f>IFERROR(__xludf.DUMMYFUNCTION("IF(
ISNUMBER(MATCH(
C1529,
IMPORTRANGE(""https://docs.google.com/spreadsheets/d/1yTh1ELC33JHYOeEdgIiEclxPRyh0zOKtlawDltfUay8"",""'Interns'!A:A""),
0
)),
""Outreach Conducted"",
"""")"),"")</f>
        <v/>
      </c>
      <c r="AI1529" s="23"/>
      <c r="AJ1529" s="23"/>
      <c r="AK1529" s="23" t="str">
        <f>IFERROR(__xludf.DUMMYFUNCTION("XLOOKUP(C1529, 
   IMPORTRANGE(""1RdEdgHYrZ33LJ7RUHj_h-qkAFL92bcVjtIdVa-UlsCw"", ""Interns!D:D""), 
   IMPORTRANGE(""1RdEdgHYrZ33LJ7RUHj_h-qkAFL92bcVjtIdVa-UlsCw"", ""Interns!M:M""), 
   ""Not Found"")"),"")</f>
        <v/>
      </c>
      <c r="AL1529" s="23" t="str">
        <f>IFERROR(__xludf.DUMMYFUNCTION("XLOOKUP(C1529, 
   IMPORTRANGE(""1RdEdgHYrZ33LJ7RUHj_h-qkAFL92bcVjtIdVa-UlsCw"", ""Interns!D:D""), 
   IMPORTRANGE(""1RdEdgHYrZ33LJ7RUHj_h-qkAFL92bcVjtIdVa-UlsCw"", ""Interns!N:N""), 
   ""Not Found"")"),"")</f>
        <v/>
      </c>
      <c r="AM1529" s="23" t="str">
        <f>IFERROR(__xludf.DUMMYFUNCTION("XLOOKUP(C1529, 
   IMPORTRANGE(""1RdEdgHYrZ33LJ7RUHj_h-qkAFL92bcVjtIdVa-UlsCw"", ""Interns!D:D""), 
   IMPORTRANGE(""1RdEdgHYrZ33LJ7RUHj_h-qkAFL92bcVjtIdVa-UlsCw"", ""Interns!O:O""), 
   ""Not Found"")"),"")</f>
        <v/>
      </c>
      <c r="AN1529" s="23"/>
      <c r="AO1529" s="23" t="s">
        <v>14551</v>
      </c>
      <c r="AP1529" s="28" t="s">
        <v>5191</v>
      </c>
      <c r="AQ1529" s="28"/>
      <c r="AR1529" s="23"/>
      <c r="AS1529" s="23"/>
      <c r="AT1529" s="23"/>
      <c r="AU1529" s="23"/>
      <c r="AV1529" s="23"/>
    </row>
    <row r="1530">
      <c r="A1530" s="28" t="s">
        <v>5161</v>
      </c>
      <c r="B1530" s="28" t="s">
        <v>5162</v>
      </c>
      <c r="C1530" s="23" t="str">
        <f t="shared" si="39"/>
        <v>Arcangel Rodriguez</v>
      </c>
      <c r="D1530" s="28" t="s">
        <v>14552</v>
      </c>
      <c r="E1530" s="28" t="s">
        <v>536</v>
      </c>
      <c r="F1530" s="23">
        <f t="array" ref="F1530">IFERROR(
    INDEX('Hub Interns 226'!A:A, MATCH(C1530, 'Hub Interns 226'!B:B, 0)),"")</f>
        <v>255</v>
      </c>
      <c r="G1530" s="23">
        <f t="array" ref="G1530">IFERROR(
    INDEX('Hub Users 226'!A:A, MATCH(C1530, 'Hub Users 226'!B:B, 0)),"")</f>
        <v>688</v>
      </c>
      <c r="H1530" s="28">
        <v>454.0</v>
      </c>
      <c r="I1530" s="28"/>
      <c r="J1530" s="28"/>
      <c r="K1530" s="28"/>
      <c r="L1530" s="28" t="s">
        <v>5165</v>
      </c>
      <c r="M1530" s="56" t="s">
        <v>14553</v>
      </c>
      <c r="N1530" s="57">
        <v>44355.77013888889</v>
      </c>
      <c r="O1530" s="58">
        <v>39468.0</v>
      </c>
      <c r="P1530" s="28">
        <f t="shared" si="41"/>
        <v>18</v>
      </c>
      <c r="Q1530" s="28" t="s">
        <v>14554</v>
      </c>
      <c r="R1530" s="28" t="s">
        <v>14555</v>
      </c>
      <c r="S1530" s="28"/>
      <c r="T1530" s="28"/>
      <c r="U1530" s="28"/>
      <c r="V1530" s="28"/>
      <c r="W1530" s="28" t="s">
        <v>12324</v>
      </c>
      <c r="X1530" s="28" t="s">
        <v>465</v>
      </c>
      <c r="Y1530" s="28">
        <v>2.10702996E9</v>
      </c>
      <c r="Z1530" s="28" t="s">
        <v>12326</v>
      </c>
      <c r="AA1530" s="28" t="s">
        <v>12327</v>
      </c>
      <c r="AB1530" s="28" t="s">
        <v>12328</v>
      </c>
      <c r="AC1530" s="28" t="s">
        <v>24</v>
      </c>
      <c r="AD1530" s="23"/>
      <c r="AE1530" s="28" t="s">
        <v>10</v>
      </c>
      <c r="AF1530" s="23"/>
      <c r="AG1530" s="23"/>
      <c r="AH1530" s="23" t="str">
        <f>IFERROR(__xludf.DUMMYFUNCTION("IF(
ISNUMBER(MATCH(
C1530,
IMPORTRANGE(""https://docs.google.com/spreadsheets/d/1yTh1ELC33JHYOeEdgIiEclxPRyh0zOKtlawDltfUay8"",""'Interns'!A:A""),
0
)),
""Outreach Conducted"",
"""")"),"")</f>
        <v/>
      </c>
      <c r="AI1530" s="23"/>
      <c r="AJ1530" s="23"/>
      <c r="AK1530" s="23" t="str">
        <f>IFERROR(__xludf.DUMMYFUNCTION("XLOOKUP(C1530, 
   IMPORTRANGE(""1RdEdgHYrZ33LJ7RUHj_h-qkAFL92bcVjtIdVa-UlsCw"", ""Interns!D:D""), 
   IMPORTRANGE(""1RdEdgHYrZ33LJ7RUHj_h-qkAFL92bcVjtIdVa-UlsCw"", ""Interns!M:M""), 
   ""Not Found"")"),"")</f>
        <v/>
      </c>
      <c r="AL1530" s="23" t="str">
        <f>IFERROR(__xludf.DUMMYFUNCTION("XLOOKUP(C1530, 
   IMPORTRANGE(""1RdEdgHYrZ33LJ7RUHj_h-qkAFL92bcVjtIdVa-UlsCw"", ""Interns!D:D""), 
   IMPORTRANGE(""1RdEdgHYrZ33LJ7RUHj_h-qkAFL92bcVjtIdVa-UlsCw"", ""Interns!N:N""), 
   ""Not Found"")"),"")</f>
        <v/>
      </c>
      <c r="AM1530" s="23" t="str">
        <f>IFERROR(__xludf.DUMMYFUNCTION("XLOOKUP(C1530, 
   IMPORTRANGE(""1RdEdgHYrZ33LJ7RUHj_h-qkAFL92bcVjtIdVa-UlsCw"", ""Interns!D:D""), 
   IMPORTRANGE(""1RdEdgHYrZ33LJ7RUHj_h-qkAFL92bcVjtIdVa-UlsCw"", ""Interns!O:O""), 
   ""Not Found"")"),"")</f>
        <v/>
      </c>
      <c r="AN1530" s="23"/>
      <c r="AO1530" s="23" t="s">
        <v>14556</v>
      </c>
      <c r="AP1530" s="28" t="s">
        <v>5182</v>
      </c>
      <c r="AQ1530" s="28"/>
      <c r="AR1530" s="23"/>
      <c r="AS1530" s="23"/>
      <c r="AT1530" s="23"/>
      <c r="AU1530" s="23"/>
      <c r="AV1530" s="23"/>
    </row>
    <row r="1531">
      <c r="A1531" s="28" t="s">
        <v>5161</v>
      </c>
      <c r="B1531" s="28" t="s">
        <v>5162</v>
      </c>
      <c r="C1531" s="23" t="str">
        <f t="shared" si="39"/>
        <v>xavier lugo</v>
      </c>
      <c r="D1531" s="28" t="s">
        <v>14557</v>
      </c>
      <c r="E1531" s="28" t="s">
        <v>14558</v>
      </c>
      <c r="F1531" s="23">
        <f t="array" ref="F1531">IFERROR(
    INDEX('Hub Interns 226'!A:A, MATCH(C1531, 'Hub Interns 226'!B:B, 0)),"")</f>
        <v>1207</v>
      </c>
      <c r="G1531" s="23">
        <f t="array" ref="G1531">IFERROR(
    INDEX('Hub Users 226'!A:A, MATCH(C1531, 'Hub Users 226'!B:B, 0)),"")</f>
        <v>1640</v>
      </c>
      <c r="H1531" s="28">
        <v>1051.0</v>
      </c>
      <c r="I1531" s="28" t="s">
        <v>269</v>
      </c>
      <c r="J1531" s="28"/>
      <c r="K1531" s="28"/>
      <c r="L1531" s="28" t="s">
        <v>5165</v>
      </c>
      <c r="M1531" s="56" t="s">
        <v>14559</v>
      </c>
      <c r="N1531" s="57">
        <v>44684.73263888889</v>
      </c>
      <c r="O1531" s="58">
        <v>39428.0</v>
      </c>
      <c r="P1531" s="28">
        <f t="shared" si="41"/>
        <v>18</v>
      </c>
      <c r="Q1531" s="28" t="s">
        <v>240</v>
      </c>
      <c r="R1531" s="28" t="s">
        <v>14560</v>
      </c>
      <c r="S1531" s="28">
        <v>7.0</v>
      </c>
      <c r="T1531" s="28">
        <v>12.0</v>
      </c>
      <c r="U1531" s="28">
        <v>37.0</v>
      </c>
      <c r="V1531" s="28">
        <v>26.0</v>
      </c>
      <c r="W1531" s="28" t="s">
        <v>1173</v>
      </c>
      <c r="X1531" s="28" t="s">
        <v>272</v>
      </c>
      <c r="Y1531" s="28" t="s">
        <v>14561</v>
      </c>
      <c r="Z1531" s="28" t="s">
        <v>5352</v>
      </c>
      <c r="AA1531" s="28" t="s">
        <v>5287</v>
      </c>
      <c r="AB1531" s="28">
        <v>26.0</v>
      </c>
      <c r="AC1531" s="28" t="s">
        <v>24</v>
      </c>
      <c r="AD1531" s="23"/>
      <c r="AE1531" s="28" t="s">
        <v>10</v>
      </c>
      <c r="AF1531" s="23"/>
      <c r="AG1531" s="23"/>
      <c r="AH1531" s="23" t="str">
        <f>IFERROR(__xludf.DUMMYFUNCTION("IF(
ISNUMBER(MATCH(
C1531,
IMPORTRANGE(""https://docs.google.com/spreadsheets/d/1yTh1ELC33JHYOeEdgIiEclxPRyh0zOKtlawDltfUay8"",""'Interns'!A:A""),
0
)),
""Outreach Conducted"",
"""")"),"")</f>
        <v/>
      </c>
      <c r="AI1531" s="23"/>
      <c r="AJ1531" s="23"/>
      <c r="AK1531" s="23" t="str">
        <f>IFERROR(__xludf.DUMMYFUNCTION("XLOOKUP(C1531, 
   IMPORTRANGE(""1RdEdgHYrZ33LJ7RUHj_h-qkAFL92bcVjtIdVa-UlsCw"", ""Interns!D:D""), 
   IMPORTRANGE(""1RdEdgHYrZ33LJ7RUHj_h-qkAFL92bcVjtIdVa-UlsCw"", ""Interns!M:M""), 
   ""Not Found"")"),"Contacted")</f>
        <v>Contacted</v>
      </c>
      <c r="AL1531" s="23" t="str">
        <f>IFERROR(__xludf.DUMMYFUNCTION("XLOOKUP(C1531, 
   IMPORTRANGE(""1RdEdgHYrZ33LJ7RUHj_h-qkAFL92bcVjtIdVa-UlsCw"", ""Interns!D:D""), 
   IMPORTRANGE(""1RdEdgHYrZ33LJ7RUHj_h-qkAFL92bcVjtIdVa-UlsCw"", ""Interns!N:N""), 
   ""Not Found"")"),"#Cheers4Careers")</f>
        <v>#Cheers4Careers</v>
      </c>
      <c r="AM1531" s="23" t="str">
        <f>IFERROR(__xludf.DUMMYFUNCTION("XLOOKUP(C1531, 
   IMPORTRANGE(""1RdEdgHYrZ33LJ7RUHj_h-qkAFL92bcVjtIdVa-UlsCw"", ""Interns!D:D""), 
   IMPORTRANGE(""1RdEdgHYrZ33LJ7RUHj_h-qkAFL92bcVjtIdVa-UlsCw"", ""Interns!O:O""), 
   ""Not Found"")"),"Hetal reached out by email 3/27")</f>
        <v>Hetal reached out by email 3/27</v>
      </c>
      <c r="AN1531" s="23"/>
      <c r="AO1531" s="23" t="s">
        <v>14562</v>
      </c>
      <c r="AP1531" s="28" t="s">
        <v>5191</v>
      </c>
      <c r="AQ1531" s="28"/>
      <c r="AR1531" s="23"/>
      <c r="AS1531" s="23"/>
      <c r="AT1531" s="23"/>
      <c r="AU1531" s="23"/>
      <c r="AV1531" s="23"/>
    </row>
    <row r="1532">
      <c r="A1532" s="28" t="s">
        <v>5202</v>
      </c>
      <c r="B1532" s="28" t="s">
        <v>5162</v>
      </c>
      <c r="C1532" s="23" t="str">
        <f t="shared" si="39"/>
        <v>Yousef Alzandani</v>
      </c>
      <c r="D1532" s="28" t="s">
        <v>14563</v>
      </c>
      <c r="E1532" s="28" t="s">
        <v>14564</v>
      </c>
      <c r="F1532" s="23">
        <f t="array" ref="F1532">IFERROR(
    INDEX('Hub Interns 226'!A:A, MATCH(C1532, 'Hub Interns 226'!B:B, 0)),"")</f>
        <v>1208</v>
      </c>
      <c r="G1532" s="23">
        <f t="array" ref="G1532">IFERROR(
    INDEX('Hub Users 226'!A:A, MATCH(C1532, 'Hub Users 226'!B:B, 0)),"")</f>
        <v>1641</v>
      </c>
      <c r="H1532" s="28">
        <v>967.0</v>
      </c>
      <c r="I1532" s="28"/>
      <c r="J1532" s="28" t="s">
        <v>9487</v>
      </c>
      <c r="K1532" s="28" t="s">
        <v>5186</v>
      </c>
      <c r="L1532" s="28" t="s">
        <v>5165</v>
      </c>
      <c r="M1532" s="56" t="s">
        <v>14565</v>
      </c>
      <c r="N1532" s="57">
        <v>44628.56736111111</v>
      </c>
      <c r="O1532" s="58">
        <v>38315.0</v>
      </c>
      <c r="P1532" s="28">
        <f t="shared" si="41"/>
        <v>21</v>
      </c>
      <c r="Q1532" s="28" t="s">
        <v>240</v>
      </c>
      <c r="R1532" s="28" t="s">
        <v>14566</v>
      </c>
      <c r="S1532" s="28">
        <v>8.0</v>
      </c>
      <c r="T1532" s="28">
        <v>19.0</v>
      </c>
      <c r="U1532" s="28">
        <v>60.0</v>
      </c>
      <c r="V1532" s="28">
        <v>42.0</v>
      </c>
      <c r="W1532" s="28" t="s">
        <v>294</v>
      </c>
      <c r="X1532" s="28" t="s">
        <v>272</v>
      </c>
      <c r="Y1532" s="28" t="s">
        <v>14567</v>
      </c>
      <c r="Z1532" s="28" t="s">
        <v>5589</v>
      </c>
      <c r="AA1532" s="28" t="s">
        <v>5590</v>
      </c>
      <c r="AB1532" s="28">
        <v>35.0</v>
      </c>
      <c r="AC1532" s="28" t="s">
        <v>24</v>
      </c>
      <c r="AD1532" s="23"/>
      <c r="AE1532" s="28" t="s">
        <v>10</v>
      </c>
      <c r="AF1532" s="23"/>
      <c r="AG1532" s="23"/>
      <c r="AH1532" s="23" t="str">
        <f>IFERROR(__xludf.DUMMYFUNCTION("IF(
ISNUMBER(MATCH(
C1532,
IMPORTRANGE(""https://docs.google.com/spreadsheets/d/1yTh1ELC33JHYOeEdgIiEclxPRyh0zOKtlawDltfUay8"",""'Interns'!A:A""),
0
)),
""Outreach Conducted"",
"""")"),"")</f>
        <v/>
      </c>
      <c r="AI1532" s="23"/>
      <c r="AJ1532" s="23"/>
      <c r="AK1532" s="23" t="str">
        <f>IFERROR(__xludf.DUMMYFUNCTION("XLOOKUP(C1532, 
   IMPORTRANGE(""1RdEdgHYrZ33LJ7RUHj_h-qkAFL92bcVjtIdVa-UlsCw"", ""Interns!D:D""), 
   IMPORTRANGE(""1RdEdgHYrZ33LJ7RUHj_h-qkAFL92bcVjtIdVa-UlsCw"", ""Interns!M:M""), 
   ""Not Found"")"),"")</f>
        <v/>
      </c>
      <c r="AL1532" s="23" t="str">
        <f>IFERROR(__xludf.DUMMYFUNCTION("XLOOKUP(C1532, 
   IMPORTRANGE(""1RdEdgHYrZ33LJ7RUHj_h-qkAFL92bcVjtIdVa-UlsCw"", ""Interns!D:D""), 
   IMPORTRANGE(""1RdEdgHYrZ33LJ7RUHj_h-qkAFL92bcVjtIdVa-UlsCw"", ""Interns!N:N""), 
   ""Not Found"")"),"")</f>
        <v/>
      </c>
      <c r="AM1532" s="23" t="str">
        <f>IFERROR(__xludf.DUMMYFUNCTION("XLOOKUP(C1532, 
   IMPORTRANGE(""1RdEdgHYrZ33LJ7RUHj_h-qkAFL92bcVjtIdVa-UlsCw"", ""Interns!D:D""), 
   IMPORTRANGE(""1RdEdgHYrZ33LJ7RUHj_h-qkAFL92bcVjtIdVa-UlsCw"", ""Interns!O:O""), 
   ""Not Found"")"),"")</f>
        <v/>
      </c>
      <c r="AN1532" s="23"/>
      <c r="AO1532" s="23" t="s">
        <v>14568</v>
      </c>
      <c r="AP1532" s="28" t="s">
        <v>5191</v>
      </c>
      <c r="AQ1532" s="28"/>
      <c r="AR1532" s="23"/>
      <c r="AS1532" s="23"/>
      <c r="AT1532" s="23"/>
      <c r="AU1532" s="23"/>
      <c r="AV1532" s="23"/>
    </row>
    <row r="1533">
      <c r="A1533" s="28" t="s">
        <v>5161</v>
      </c>
      <c r="B1533" s="28" t="s">
        <v>5162</v>
      </c>
      <c r="C1533" s="23" t="str">
        <f t="shared" si="39"/>
        <v>nouhayla elidrissi</v>
      </c>
      <c r="D1533" s="28" t="s">
        <v>14569</v>
      </c>
      <c r="E1533" s="28" t="s">
        <v>14570</v>
      </c>
      <c r="F1533" s="23">
        <f t="array" ref="F1533">IFERROR(
    INDEX('Hub Interns 226'!A:A, MATCH(C1533, 'Hub Interns 226'!B:B, 0)),"")</f>
        <v>948</v>
      </c>
      <c r="G1533" s="23">
        <f t="array" ref="G1533">IFERROR(
    INDEX('Hub Users 226'!A:A, MATCH(C1533, 'Hub Users 226'!B:B, 0)),"")</f>
        <v>1381</v>
      </c>
      <c r="H1533" s="28">
        <v>1081.0</v>
      </c>
      <c r="I1533" s="28"/>
      <c r="J1533" s="28"/>
      <c r="K1533" s="28"/>
      <c r="L1533" s="28" t="s">
        <v>5196</v>
      </c>
      <c r="M1533" s="56" t="s">
        <v>14571</v>
      </c>
      <c r="N1533" s="57">
        <v>44704.5125</v>
      </c>
      <c r="O1533" s="58">
        <v>39749.0</v>
      </c>
      <c r="P1533" s="28">
        <f t="shared" si="41"/>
        <v>17</v>
      </c>
      <c r="Q1533" s="28" t="s">
        <v>240</v>
      </c>
      <c r="R1533" s="28" t="s">
        <v>14572</v>
      </c>
      <c r="S1533" s="28">
        <v>7.0</v>
      </c>
      <c r="T1533" s="28">
        <v>12.0</v>
      </c>
      <c r="U1533" s="28">
        <v>37.0</v>
      </c>
      <c r="V1533" s="28">
        <v>22.0</v>
      </c>
      <c r="W1533" s="28" t="s">
        <v>1173</v>
      </c>
      <c r="X1533" s="28" t="s">
        <v>272</v>
      </c>
      <c r="Y1533" s="28" t="s">
        <v>14573</v>
      </c>
      <c r="Z1533" s="28" t="s">
        <v>5352</v>
      </c>
      <c r="AA1533" s="28" t="s">
        <v>5287</v>
      </c>
      <c r="AB1533" s="28">
        <v>26.0</v>
      </c>
      <c r="AC1533" s="28" t="s">
        <v>24</v>
      </c>
      <c r="AD1533" s="23"/>
      <c r="AE1533" s="28" t="s">
        <v>10</v>
      </c>
      <c r="AF1533" s="23"/>
      <c r="AG1533" s="23"/>
      <c r="AH1533" s="23" t="str">
        <f>IFERROR(__xludf.DUMMYFUNCTION("IF(
ISNUMBER(MATCH(
C1533,
IMPORTRANGE(""https://docs.google.com/spreadsheets/d/1yTh1ELC33JHYOeEdgIiEclxPRyh0zOKtlawDltfUay8"",""'Interns'!A:A""),
0
)),
""Outreach Conducted"",
"""")"),"")</f>
        <v/>
      </c>
      <c r="AI1533" s="23"/>
      <c r="AJ1533" s="23"/>
      <c r="AK1533" s="23" t="str">
        <f>IFERROR(__xludf.DUMMYFUNCTION("XLOOKUP(C1533, 
   IMPORTRANGE(""1RdEdgHYrZ33LJ7RUHj_h-qkAFL92bcVjtIdVa-UlsCw"", ""Interns!D:D""), 
   IMPORTRANGE(""1RdEdgHYrZ33LJ7RUHj_h-qkAFL92bcVjtIdVa-UlsCw"", ""Interns!M:M""), 
   ""Not Found"")"),"Contacted")</f>
        <v>Contacted</v>
      </c>
      <c r="AL1533" s="23" t="str">
        <f>IFERROR(__xludf.DUMMYFUNCTION("XLOOKUP(C1533, 
   IMPORTRANGE(""1RdEdgHYrZ33LJ7RUHj_h-qkAFL92bcVjtIdVa-UlsCw"", ""Interns!D:D""), 
   IMPORTRANGE(""1RdEdgHYrZ33LJ7RUHj_h-qkAFL92bcVjtIdVa-UlsCw"", ""Interns!N:N""), 
   ""Not Found"")"),"#Cheers4Careers")</f>
        <v>#Cheers4Careers</v>
      </c>
      <c r="AM1533" s="23" t="str">
        <f>IFERROR(__xludf.DUMMYFUNCTION("XLOOKUP(C1533,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1533" s="23"/>
      <c r="AO1533" s="23" t="s">
        <v>14574</v>
      </c>
      <c r="AP1533" s="28" t="s">
        <v>5641</v>
      </c>
      <c r="AQ1533" s="28"/>
      <c r="AR1533" s="23"/>
      <c r="AS1533" s="23"/>
      <c r="AT1533" s="23"/>
      <c r="AU1533" s="23"/>
      <c r="AV1533" s="23"/>
    </row>
    <row r="1534">
      <c r="A1534" s="28" t="s">
        <v>5161</v>
      </c>
      <c r="B1534" s="28" t="s">
        <v>5162</v>
      </c>
      <c r="C1534" s="23" t="str">
        <f t="shared" si="39"/>
        <v>Christopher Moreno</v>
      </c>
      <c r="D1534" s="28" t="s">
        <v>976</v>
      </c>
      <c r="E1534" s="28" t="s">
        <v>6759</v>
      </c>
      <c r="F1534" s="23" t="str">
        <f t="array" ref="F1534">IFERROR(
    INDEX('Hub Interns 226'!A:A, MATCH(C1534, 'Hub Interns 226'!B:B, 0)),"")</f>
        <v/>
      </c>
      <c r="G1534" s="23">
        <f t="array" ref="G1534">IFERROR(
    INDEX('Hub Users 226'!A:A, MATCH(C1534, 'Hub Users 226'!B:B, 0)),"")</f>
        <v>2173</v>
      </c>
      <c r="H1534" s="28">
        <v>1861.0</v>
      </c>
      <c r="I1534" s="28" t="s">
        <v>269</v>
      </c>
      <c r="J1534" s="28"/>
      <c r="K1534" s="28"/>
      <c r="L1534" s="28" t="s">
        <v>5165</v>
      </c>
      <c r="M1534" s="56" t="s">
        <v>14575</v>
      </c>
      <c r="N1534" s="57">
        <v>45628.40138888889</v>
      </c>
      <c r="O1534" s="58">
        <v>40898.0</v>
      </c>
      <c r="P1534" s="28">
        <f t="shared" si="41"/>
        <v>14</v>
      </c>
      <c r="Q1534" s="28" t="s">
        <v>240</v>
      </c>
      <c r="R1534" s="28" t="s">
        <v>14576</v>
      </c>
      <c r="S1534" s="28">
        <v>6.0</v>
      </c>
      <c r="T1534" s="28">
        <v>12.0</v>
      </c>
      <c r="U1534" s="28">
        <v>30.0</v>
      </c>
      <c r="V1534" s="28">
        <v>26.0</v>
      </c>
      <c r="W1534" s="28" t="s">
        <v>1173</v>
      </c>
      <c r="X1534" s="28" t="s">
        <v>272</v>
      </c>
      <c r="Y1534" s="28" t="s">
        <v>14577</v>
      </c>
      <c r="Z1534" s="28" t="s">
        <v>5170</v>
      </c>
      <c r="AA1534" s="28" t="s">
        <v>5171</v>
      </c>
      <c r="AB1534" s="28">
        <v>30.0</v>
      </c>
      <c r="AC1534" s="26" t="s">
        <v>23</v>
      </c>
      <c r="AD1534" s="23"/>
      <c r="AE1534" s="28" t="s">
        <v>19</v>
      </c>
      <c r="AF1534" s="23"/>
      <c r="AG1534" s="23"/>
      <c r="AH1534" s="23" t="str">
        <f>IFERROR(__xludf.DUMMYFUNCTION("IF(
ISNUMBER(MATCH(
C1534,
IMPORTRANGE(""https://docs.google.com/spreadsheets/d/1yTh1ELC33JHYOeEdgIiEclxPRyh0zOKtlawDltfUay8"",""'Interns'!A:A""),
0
)),
""Outreach Conducted"",
"""")"),"")</f>
        <v/>
      </c>
      <c r="AI1534" s="23"/>
      <c r="AJ1534" s="23"/>
      <c r="AK1534" s="23" t="str">
        <f>IFERROR(__xludf.DUMMYFUNCTION("XLOOKUP(C1534, 
   IMPORTRANGE(""1RdEdgHYrZ33LJ7RUHj_h-qkAFL92bcVjtIdVa-UlsCw"", ""Interns!D:D""), 
   IMPORTRANGE(""1RdEdgHYrZ33LJ7RUHj_h-qkAFL92bcVjtIdVa-UlsCw"", ""Interns!M:M""), 
   ""Not Found"")"),"Contacted")</f>
        <v>Contacted</v>
      </c>
      <c r="AL1534" s="23" t="str">
        <f>IFERROR(__xludf.DUMMYFUNCTION("XLOOKUP(C1534, 
   IMPORTRANGE(""1RdEdgHYrZ33LJ7RUHj_h-qkAFL92bcVjtIdVa-UlsCw"", ""Interns!D:D""), 
   IMPORTRANGE(""1RdEdgHYrZ33LJ7RUHj_h-qkAFL92bcVjtIdVa-UlsCw"", ""Interns!N:N""), 
   ""Not Found"")"),"#Cheers4Careers")</f>
        <v>#Cheers4Careers</v>
      </c>
      <c r="AM1534" s="23" t="str">
        <f>IFERROR(__xludf.DUMMYFUNCTION("XLOOKUP(C1534, 
   IMPORTRANGE(""1RdEdgHYrZ33LJ7RUHj_h-qkAFL92bcVjtIdVa-UlsCw"", ""Interns!D:D""), 
   IMPORTRANGE(""1RdEdgHYrZ33LJ7RUHj_h-qkAFL92bcVjtIdVa-UlsCw"", ""Interns!O:O""), 
   ""Not Found"")"),"Hetal reached out March 27 for March #Cheers4 Careers ")</f>
        <v>Hetal reached out March 27 for March #Cheers4 Careers </v>
      </c>
      <c r="AN1534" s="23"/>
      <c r="AO1534" s="23" t="s">
        <v>14578</v>
      </c>
      <c r="AP1534" s="28" t="s">
        <v>5191</v>
      </c>
      <c r="AQ1534" s="28"/>
      <c r="AR1534" s="23"/>
      <c r="AS1534" s="23"/>
      <c r="AT1534" s="23"/>
      <c r="AU1534" s="23"/>
      <c r="AV1534" s="23"/>
    </row>
    <row r="1535">
      <c r="A1535" s="28" t="s">
        <v>5161</v>
      </c>
      <c r="B1535" s="28" t="s">
        <v>5162</v>
      </c>
      <c r="C1535" s="23" t="str">
        <f t="shared" si="39"/>
        <v>Logan Richardson</v>
      </c>
      <c r="D1535" s="28" t="s">
        <v>1992</v>
      </c>
      <c r="E1535" s="28" t="s">
        <v>14579</v>
      </c>
      <c r="F1535" s="23">
        <f t="array" ref="F1535">IFERROR(
    INDEX('Hub Interns 226'!A:A, MATCH(C1535, 'Hub Interns 226'!B:B, 0)),"")</f>
        <v>958</v>
      </c>
      <c r="G1535" s="23">
        <f t="array" ref="G1535">IFERROR(
    INDEX('Hub Users 226'!A:A, MATCH(C1535, 'Hub Users 226'!B:B, 0)),"")</f>
        <v>1391</v>
      </c>
      <c r="H1535" s="28">
        <v>1022.0</v>
      </c>
      <c r="I1535" s="28"/>
      <c r="J1535" s="28"/>
      <c r="K1535" s="28"/>
      <c r="L1535" s="28" t="s">
        <v>5165</v>
      </c>
      <c r="M1535" s="56" t="s">
        <v>14580</v>
      </c>
      <c r="N1535" s="57">
        <v>44658.524305555555</v>
      </c>
      <c r="O1535" s="58">
        <v>44658.0</v>
      </c>
      <c r="P1535" s="28">
        <f t="shared" si="41"/>
        <v>4</v>
      </c>
      <c r="Q1535" s="28" t="s">
        <v>240</v>
      </c>
      <c r="R1535" s="28" t="s">
        <v>14581</v>
      </c>
      <c r="S1535" s="28">
        <v>7.0</v>
      </c>
      <c r="T1535" s="28">
        <v>12.0</v>
      </c>
      <c r="U1535" s="28">
        <v>37.0</v>
      </c>
      <c r="V1535" s="28">
        <v>26.0</v>
      </c>
      <c r="W1535" s="28" t="s">
        <v>1173</v>
      </c>
      <c r="X1535" s="28" t="s">
        <v>272</v>
      </c>
      <c r="Y1535" s="28" t="s">
        <v>14582</v>
      </c>
      <c r="Z1535" s="28" t="s">
        <v>5352</v>
      </c>
      <c r="AA1535" s="28" t="s">
        <v>5287</v>
      </c>
      <c r="AB1535" s="28">
        <v>26.0</v>
      </c>
      <c r="AC1535" s="28" t="s">
        <v>24</v>
      </c>
      <c r="AD1535" s="23"/>
      <c r="AE1535" s="28" t="s">
        <v>10</v>
      </c>
      <c r="AF1535" s="23"/>
      <c r="AG1535" s="23"/>
      <c r="AH1535" s="23" t="str">
        <f>IFERROR(__xludf.DUMMYFUNCTION("IF(
ISNUMBER(MATCH(
C1535,
IMPORTRANGE(""https://docs.google.com/spreadsheets/d/1yTh1ELC33JHYOeEdgIiEclxPRyh0zOKtlawDltfUay8"",""'Interns'!A:A""),
0
)),
""Outreach Conducted"",
"""")"),"")</f>
        <v/>
      </c>
      <c r="AI1535" s="23"/>
      <c r="AJ1535" s="23"/>
      <c r="AK1535" s="23" t="str">
        <f>IFERROR(__xludf.DUMMYFUNCTION("XLOOKUP(C1535, 
   IMPORTRANGE(""1RdEdgHYrZ33LJ7RUHj_h-qkAFL92bcVjtIdVa-UlsCw"", ""Interns!D:D""), 
   IMPORTRANGE(""1RdEdgHYrZ33LJ7RUHj_h-qkAFL92bcVjtIdVa-UlsCw"", ""Interns!M:M""), 
   ""Not Found"")"),"Contacted")</f>
        <v>Contacted</v>
      </c>
      <c r="AL1535" s="23" t="str">
        <f>IFERROR(__xludf.DUMMYFUNCTION("XLOOKUP(C1535, 
   IMPORTRANGE(""1RdEdgHYrZ33LJ7RUHj_h-qkAFL92bcVjtIdVa-UlsCw"", ""Interns!D:D""), 
   IMPORTRANGE(""1RdEdgHYrZ33LJ7RUHj_h-qkAFL92bcVjtIdVa-UlsCw"", ""Interns!N:N""), 
   ""Not Found"")"),"#Cheers4Careers")</f>
        <v>#Cheers4Careers</v>
      </c>
      <c r="AM1535" s="23" t="str">
        <f>IFERROR(__xludf.DUMMYFUNCTION("XLOOKUP(C1535, 
   IMPORTRANGE(""1RdEdgHYrZ33LJ7RUHj_h-qkAFL92bcVjtIdVa-UlsCw"", ""Interns!D:D""), 
   IMPORTRANGE(""1RdEdgHYrZ33LJ7RUHj_h-qkAFL92bcVjtIdVa-UlsCw"", ""Interns!O:O""), 
   ""Not Found"")"),"Hetal reached out by email 3/27")</f>
        <v>Hetal reached out by email 3/27</v>
      </c>
      <c r="AN1535" s="23"/>
      <c r="AO1535" s="23" t="s">
        <v>14583</v>
      </c>
      <c r="AP1535" s="28" t="s">
        <v>5182</v>
      </c>
      <c r="AQ1535" s="28"/>
      <c r="AR1535" s="23"/>
      <c r="AS1535" s="23"/>
      <c r="AT1535" s="23"/>
      <c r="AU1535" s="23"/>
      <c r="AV1535" s="23"/>
    </row>
    <row r="1536">
      <c r="A1536" s="28" t="s">
        <v>5161</v>
      </c>
      <c r="B1536" s="28" t="s">
        <v>5162</v>
      </c>
      <c r="C1536" s="23" t="str">
        <f t="shared" si="39"/>
        <v>Anderson Buestan</v>
      </c>
      <c r="D1536" s="28" t="s">
        <v>9749</v>
      </c>
      <c r="E1536" s="28" t="s">
        <v>14584</v>
      </c>
      <c r="F1536" s="23">
        <f t="array" ref="F1536">IFERROR(
    INDEX('Hub Interns 226'!A:A, MATCH(C1536, 'Hub Interns 226'!B:B, 0)),"")</f>
        <v>1598</v>
      </c>
      <c r="G1536" s="23">
        <f t="array" ref="G1536">IFERROR(
    INDEX('Hub Users 226'!A:A, MATCH(C1536, 'Hub Users 226'!B:B, 0)),"")</f>
        <v>2204</v>
      </c>
      <c r="H1536" s="28">
        <v>1720.0</v>
      </c>
      <c r="I1536" s="28" t="s">
        <v>107</v>
      </c>
      <c r="J1536" s="28"/>
      <c r="K1536" s="28"/>
      <c r="L1536" s="28" t="s">
        <v>5165</v>
      </c>
      <c r="M1536" s="56" t="s">
        <v>14585</v>
      </c>
      <c r="N1536" s="57">
        <v>45266.4125</v>
      </c>
      <c r="O1536" s="58">
        <v>41110.0</v>
      </c>
      <c r="P1536" s="28">
        <f t="shared" si="41"/>
        <v>13</v>
      </c>
      <c r="Q1536" s="28" t="s">
        <v>240</v>
      </c>
      <c r="R1536" s="28" t="s">
        <v>14586</v>
      </c>
      <c r="S1536" s="28">
        <v>6.0</v>
      </c>
      <c r="T1536" s="28">
        <v>12.0</v>
      </c>
      <c r="U1536" s="28">
        <v>30.0</v>
      </c>
      <c r="V1536" s="28">
        <v>30.0</v>
      </c>
      <c r="W1536" s="28" t="s">
        <v>1173</v>
      </c>
      <c r="X1536" s="28" t="s">
        <v>272</v>
      </c>
      <c r="Y1536" s="28" t="s">
        <v>14587</v>
      </c>
      <c r="Z1536" s="28" t="s">
        <v>5170</v>
      </c>
      <c r="AA1536" s="28" t="s">
        <v>5171</v>
      </c>
      <c r="AB1536" s="28">
        <v>30.0</v>
      </c>
      <c r="AC1536" s="28" t="s">
        <v>23</v>
      </c>
      <c r="AD1536" s="23"/>
      <c r="AE1536" s="28" t="s">
        <v>18</v>
      </c>
      <c r="AF1536" s="23"/>
      <c r="AG1536" s="23"/>
      <c r="AH1536" s="23" t="str">
        <f>IFERROR(__xludf.DUMMYFUNCTION("IF(
ISNUMBER(MATCH(
C1536,
IMPORTRANGE(""https://docs.google.com/spreadsheets/d/1yTh1ELC33JHYOeEdgIiEclxPRyh0zOKtlawDltfUay8"",""'Interns'!A:A""),
0
)),
""Outreach Conducted"",
"""")"),"")</f>
        <v/>
      </c>
      <c r="AI1536" s="23"/>
      <c r="AJ1536" s="23"/>
      <c r="AK1536" s="23" t="str">
        <f>IFERROR(__xludf.DUMMYFUNCTION("XLOOKUP(C1536, 
   IMPORTRANGE(""1RdEdgHYrZ33LJ7RUHj_h-qkAFL92bcVjtIdVa-UlsCw"", ""Interns!D:D""), 
   IMPORTRANGE(""1RdEdgHYrZ33LJ7RUHj_h-qkAFL92bcVjtIdVa-UlsCw"", ""Interns!M:M""), 
   ""Not Found"")"),"Contacted")</f>
        <v>Contacted</v>
      </c>
      <c r="AL1536" s="23" t="str">
        <f>IFERROR(__xludf.DUMMYFUNCTION("XLOOKUP(C1536, 
   IMPORTRANGE(""1RdEdgHYrZ33LJ7RUHj_h-qkAFL92bcVjtIdVa-UlsCw"", ""Interns!D:D""), 
   IMPORTRANGE(""1RdEdgHYrZ33LJ7RUHj_h-qkAFL92bcVjtIdVa-UlsCw"", ""Interns!N:N""), 
   ""Not Found"")"),"#Cheers4Careers")</f>
        <v>#Cheers4Careers</v>
      </c>
      <c r="AM1536" s="23" t="str">
        <f>IFERROR(__xludf.DUMMYFUNCTION("XLOOKUP(C1536,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536" s="23"/>
      <c r="AO1536" s="23" t="s">
        <v>14588</v>
      </c>
      <c r="AP1536" s="28" t="s">
        <v>5182</v>
      </c>
      <c r="AQ1536" s="28"/>
      <c r="AR1536" s="23"/>
      <c r="AS1536" s="23"/>
      <c r="AT1536" s="23"/>
      <c r="AU1536" s="23"/>
      <c r="AV1536" s="23"/>
    </row>
    <row r="1537">
      <c r="A1537" s="28" t="s">
        <v>5161</v>
      </c>
      <c r="B1537" s="28" t="s">
        <v>5162</v>
      </c>
      <c r="C1537" s="23" t="str">
        <f t="shared" si="39"/>
        <v>Valeria Vasquez</v>
      </c>
      <c r="D1537" s="28" t="s">
        <v>9137</v>
      </c>
      <c r="E1537" s="28" t="s">
        <v>7764</v>
      </c>
      <c r="F1537" s="23">
        <f t="array" ref="F1537">IFERROR(
    INDEX('Hub Interns 226'!A:A, MATCH(C1537, 'Hub Interns 226'!B:B, 0)),"")</f>
        <v>1168</v>
      </c>
      <c r="G1537" s="23">
        <f t="array" ref="G1537">IFERROR(
    INDEX('Hub Users 226'!A:A, MATCH(C1537, 'Hub Users 226'!B:B, 0)),"")</f>
        <v>1601</v>
      </c>
      <c r="H1537" s="28">
        <v>1595.0</v>
      </c>
      <c r="I1537" s="28"/>
      <c r="J1537" s="28"/>
      <c r="K1537" s="28"/>
      <c r="L1537" s="28" t="s">
        <v>5196</v>
      </c>
      <c r="M1537" s="56" t="s">
        <v>14589</v>
      </c>
      <c r="N1537" s="57">
        <v>45016.39166666667</v>
      </c>
      <c r="O1537" s="58">
        <v>40484.0</v>
      </c>
      <c r="P1537" s="28">
        <f t="shared" si="41"/>
        <v>15</v>
      </c>
      <c r="Q1537" s="28" t="s">
        <v>240</v>
      </c>
      <c r="R1537" s="28" t="s">
        <v>12013</v>
      </c>
      <c r="S1537" s="28">
        <v>6.0</v>
      </c>
      <c r="T1537" s="28">
        <v>12.0</v>
      </c>
      <c r="U1537" s="28">
        <v>30.0</v>
      </c>
      <c r="V1537" s="28">
        <v>30.0</v>
      </c>
      <c r="W1537" s="28" t="s">
        <v>1173</v>
      </c>
      <c r="X1537" s="28" t="s">
        <v>272</v>
      </c>
      <c r="Y1537" s="28" t="s">
        <v>5169</v>
      </c>
      <c r="Z1537" s="28" t="s">
        <v>5170</v>
      </c>
      <c r="AA1537" s="28" t="s">
        <v>5171</v>
      </c>
      <c r="AB1537" s="28">
        <v>30.0</v>
      </c>
      <c r="AC1537" s="28" t="s">
        <v>23</v>
      </c>
      <c r="AD1537" s="23"/>
      <c r="AE1537" s="28" t="s">
        <v>15</v>
      </c>
      <c r="AF1537" s="23"/>
      <c r="AG1537" s="23"/>
      <c r="AH1537" s="23" t="str">
        <f>IFERROR(__xludf.DUMMYFUNCTION("IF(
ISNUMBER(MATCH(
C1537,
IMPORTRANGE(""https://docs.google.com/spreadsheets/d/1yTh1ELC33JHYOeEdgIiEclxPRyh0zOKtlawDltfUay8"",""'Interns'!A:A""),
0
)),
""Outreach Conducted"",
"""")"),"")</f>
        <v/>
      </c>
      <c r="AI1537" s="23"/>
      <c r="AJ1537" s="23"/>
      <c r="AK1537" s="23" t="str">
        <f>IFERROR(__xludf.DUMMYFUNCTION("XLOOKUP(C1537, 
   IMPORTRANGE(""1RdEdgHYrZ33LJ7RUHj_h-qkAFL92bcVjtIdVa-UlsCw"", ""Interns!D:D""), 
   IMPORTRANGE(""1RdEdgHYrZ33LJ7RUHj_h-qkAFL92bcVjtIdVa-UlsCw"", ""Interns!M:M""), 
   ""Not Found"")"),"Contacted")</f>
        <v>Contacted</v>
      </c>
      <c r="AL1537" s="23" t="str">
        <f>IFERROR(__xludf.DUMMYFUNCTION("XLOOKUP(C1537, 
   IMPORTRANGE(""1RdEdgHYrZ33LJ7RUHj_h-qkAFL92bcVjtIdVa-UlsCw"", ""Interns!D:D""), 
   IMPORTRANGE(""1RdEdgHYrZ33LJ7RUHj_h-qkAFL92bcVjtIdVa-UlsCw"", ""Interns!N:N""), 
   ""Not Found"")"),"#Cheers4Careers")</f>
        <v>#Cheers4Careers</v>
      </c>
      <c r="AM1537" s="23" t="str">
        <f>IFERROR(__xludf.DUMMYFUNCTION("XLOOKUP(C1537, 
   IMPORTRANGE(""1RdEdgHYrZ33LJ7RUHj_h-qkAFL92bcVjtIdVa-UlsCw"", ""Interns!D:D""), 
   IMPORTRANGE(""1RdEdgHYrZ33LJ7RUHj_h-qkAFL92bcVjtIdVa-UlsCw"", ""Interns!O:O""), 
   ""Not Found"")"),"Hetal reached out March 27 for March #Cheers4 Careers ")</f>
        <v>Hetal reached out March 27 for March #Cheers4 Careers </v>
      </c>
      <c r="AN1537" s="23"/>
      <c r="AO1537" s="23" t="s">
        <v>14590</v>
      </c>
      <c r="AP1537" s="28" t="s">
        <v>5182</v>
      </c>
      <c r="AQ1537" s="28"/>
      <c r="AR1537" s="23"/>
      <c r="AS1537" s="23"/>
      <c r="AT1537" s="23"/>
      <c r="AU1537" s="23"/>
      <c r="AV1537" s="23"/>
    </row>
    <row r="1538">
      <c r="A1538" s="28" t="s">
        <v>5161</v>
      </c>
      <c r="B1538" s="28" t="s">
        <v>5162</v>
      </c>
      <c r="C1538" s="23" t="str">
        <f t="shared" si="39"/>
        <v>Logan Anam</v>
      </c>
      <c r="D1538" s="28" t="s">
        <v>1992</v>
      </c>
      <c r="E1538" s="28" t="s">
        <v>14591</v>
      </c>
      <c r="F1538" s="23" t="str">
        <f t="array" ref="F1538">IFERROR(
    INDEX('Hub Interns 226'!A:A, MATCH(C1538, 'Hub Interns 226'!B:B, 0)),"")</f>
        <v/>
      </c>
      <c r="G1538" s="28">
        <v>1857.0</v>
      </c>
      <c r="H1538" s="28">
        <v>1716.0</v>
      </c>
      <c r="I1538" s="28" t="s">
        <v>269</v>
      </c>
      <c r="J1538" s="28"/>
      <c r="K1538" s="28"/>
      <c r="L1538" s="28" t="s">
        <v>5165</v>
      </c>
      <c r="M1538" s="56" t="s">
        <v>14592</v>
      </c>
      <c r="N1538" s="59">
        <v>45252.40138888889</v>
      </c>
      <c r="O1538" s="58">
        <v>41241.0</v>
      </c>
      <c r="P1538" s="28">
        <f t="shared" si="41"/>
        <v>13</v>
      </c>
      <c r="Q1538" s="28" t="s">
        <v>240</v>
      </c>
      <c r="R1538" s="28" t="s">
        <v>14593</v>
      </c>
      <c r="S1538" s="28">
        <v>6.0</v>
      </c>
      <c r="T1538" s="28">
        <v>12.0</v>
      </c>
      <c r="U1538" s="28">
        <v>30.0</v>
      </c>
      <c r="V1538" s="28">
        <v>30.0</v>
      </c>
      <c r="W1538" s="28" t="s">
        <v>1173</v>
      </c>
      <c r="X1538" s="28" t="s">
        <v>272</v>
      </c>
      <c r="Y1538" s="28" t="s">
        <v>14594</v>
      </c>
      <c r="Z1538" s="28" t="s">
        <v>5170</v>
      </c>
      <c r="AA1538" s="28" t="s">
        <v>5171</v>
      </c>
      <c r="AB1538" s="28">
        <v>30.0</v>
      </c>
      <c r="AC1538" s="28" t="s">
        <v>23</v>
      </c>
      <c r="AD1538" s="28" t="s">
        <v>101</v>
      </c>
      <c r="AE1538" s="28" t="s">
        <v>18</v>
      </c>
      <c r="AF1538" s="23"/>
      <c r="AG1538" s="23"/>
      <c r="AH1538" s="23" t="str">
        <f>IFERROR(__xludf.DUMMYFUNCTION("IF(
ISNUMBER(MATCH(
C1538,
IMPORTRANGE(""https://docs.google.com/spreadsheets/d/1yTh1ELC33JHYOeEdgIiEclxPRyh0zOKtlawDltfUay8"",""'Interns'!A:A""),
0
)),
""Outreach Conducted"",
"""")"),"")</f>
        <v/>
      </c>
      <c r="AI1538" s="23"/>
      <c r="AJ1538" s="23"/>
      <c r="AK1538" s="23" t="str">
        <f>IFERROR(__xludf.DUMMYFUNCTION("XLOOKUP(C1538, 
   IMPORTRANGE(""1RdEdgHYrZ33LJ7RUHj_h-qkAFL92bcVjtIdVa-UlsCw"", ""Interns!D:D""), 
   IMPORTRANGE(""1RdEdgHYrZ33LJ7RUHj_h-qkAFL92bcVjtIdVa-UlsCw"", ""Interns!M:M""), 
   ""Not Found"")"),"Contacted")</f>
        <v>Contacted</v>
      </c>
      <c r="AL1538" s="23" t="str">
        <f>IFERROR(__xludf.DUMMYFUNCTION("XLOOKUP(C1538, 
   IMPORTRANGE(""1RdEdgHYrZ33LJ7RUHj_h-qkAFL92bcVjtIdVa-UlsCw"", ""Interns!D:D""), 
   IMPORTRANGE(""1RdEdgHYrZ33LJ7RUHj_h-qkAFL92bcVjtIdVa-UlsCw"", ""Interns!N:N""), 
   ""Not Found"")"),"#Cheers4Careers")</f>
        <v>#Cheers4Careers</v>
      </c>
      <c r="AM1538" s="23" t="str">
        <f>IFERROR(__xludf.DUMMYFUNCTION("XLOOKUP(C1538, 
   IMPORTRANGE(""1RdEdgHYrZ33LJ7RUHj_h-qkAFL92bcVjtIdVa-UlsCw"", ""Interns!D:D""), 
   IMPORTRANGE(""1RdEdgHYrZ33LJ7RUHj_h-qkAFL92bcVjtIdVa-UlsCw"", ""Interns!O:O""), 
   ""Not Found"")"),"Hetal reached out March 27 for March #Cheers4 Careers ")</f>
        <v>Hetal reached out March 27 for March #Cheers4 Careers </v>
      </c>
      <c r="AN1538" s="23"/>
      <c r="AO1538" s="23" t="s">
        <v>14595</v>
      </c>
      <c r="AP1538" s="28" t="s">
        <v>5182</v>
      </c>
      <c r="AQ1538" s="28"/>
      <c r="AR1538" s="23"/>
      <c r="AS1538" s="23"/>
      <c r="AT1538" s="23"/>
      <c r="AU1538" s="23"/>
      <c r="AV1538" s="23"/>
    </row>
    <row r="1539">
      <c r="A1539" s="28" t="s">
        <v>5161</v>
      </c>
      <c r="B1539" s="28" t="s">
        <v>5162</v>
      </c>
      <c r="C1539" s="23" t="str">
        <f t="shared" si="39"/>
        <v>Alyson Alvarez</v>
      </c>
      <c r="D1539" s="28" t="s">
        <v>14596</v>
      </c>
      <c r="E1539" s="28" t="s">
        <v>9224</v>
      </c>
      <c r="F1539" s="23" t="str">
        <f t="array" ref="F1539">IFERROR(
    INDEX('Hub Interns 226'!A:A, MATCH(C1539, 'Hub Interns 226'!B:B, 0)),"")</f>
        <v/>
      </c>
      <c r="G1539" s="23">
        <f t="array" ref="G1539">IFERROR(
    INDEX('Hub Users 226'!A:A, MATCH(C1539, 'Hub Users 226'!B:B, 0)),"")</f>
        <v>1863</v>
      </c>
      <c r="H1539" s="28">
        <v>1715.0</v>
      </c>
      <c r="I1539" s="28" t="s">
        <v>269</v>
      </c>
      <c r="J1539" s="28"/>
      <c r="K1539" s="28"/>
      <c r="L1539" s="28" t="s">
        <v>5196</v>
      </c>
      <c r="M1539" s="56" t="s">
        <v>14597</v>
      </c>
      <c r="N1539" s="59">
        <v>45252.396527777775</v>
      </c>
      <c r="O1539" s="58">
        <v>41012.0</v>
      </c>
      <c r="P1539" s="28">
        <f t="shared" si="41"/>
        <v>14</v>
      </c>
      <c r="Q1539" s="28" t="s">
        <v>240</v>
      </c>
      <c r="R1539" s="28" t="s">
        <v>14598</v>
      </c>
      <c r="S1539" s="28">
        <v>6.0</v>
      </c>
      <c r="T1539" s="28">
        <v>12.0</v>
      </c>
      <c r="U1539" s="28">
        <v>30.0</v>
      </c>
      <c r="V1539" s="28">
        <v>30.0</v>
      </c>
      <c r="W1539" s="28" t="s">
        <v>1173</v>
      </c>
      <c r="X1539" s="28" t="s">
        <v>272</v>
      </c>
      <c r="Y1539" s="28" t="s">
        <v>14599</v>
      </c>
      <c r="Z1539" s="28" t="s">
        <v>5170</v>
      </c>
      <c r="AA1539" s="28" t="s">
        <v>5171</v>
      </c>
      <c r="AB1539" s="28">
        <v>30.0</v>
      </c>
      <c r="AC1539" s="28" t="s">
        <v>23</v>
      </c>
      <c r="AD1539" s="23"/>
      <c r="AE1539" s="28" t="s">
        <v>18</v>
      </c>
      <c r="AF1539" s="23"/>
      <c r="AG1539" s="23"/>
      <c r="AH1539" s="23" t="str">
        <f>IFERROR(__xludf.DUMMYFUNCTION("IF(
ISNUMBER(MATCH(
C1539,
IMPORTRANGE(""https://docs.google.com/spreadsheets/d/1yTh1ELC33JHYOeEdgIiEclxPRyh0zOKtlawDltfUay8"",""'Interns'!A:A""),
0
)),
""Outreach Conducted"",
"""")"),"")</f>
        <v/>
      </c>
      <c r="AI1539" s="23"/>
      <c r="AJ1539" s="23"/>
      <c r="AK1539" s="23" t="str">
        <f>IFERROR(__xludf.DUMMYFUNCTION("XLOOKUP(C1539, 
   IMPORTRANGE(""1RdEdgHYrZ33LJ7RUHj_h-qkAFL92bcVjtIdVa-UlsCw"", ""Interns!D:D""), 
   IMPORTRANGE(""1RdEdgHYrZ33LJ7RUHj_h-qkAFL92bcVjtIdVa-UlsCw"", ""Interns!M:M""), 
   ""Not Found"")"),"Contacted")</f>
        <v>Contacted</v>
      </c>
      <c r="AL1539" s="23" t="str">
        <f>IFERROR(__xludf.DUMMYFUNCTION("XLOOKUP(C1539, 
   IMPORTRANGE(""1RdEdgHYrZ33LJ7RUHj_h-qkAFL92bcVjtIdVa-UlsCw"", ""Interns!D:D""), 
   IMPORTRANGE(""1RdEdgHYrZ33LJ7RUHj_h-qkAFL92bcVjtIdVa-UlsCw"", ""Interns!N:N""), 
   ""Not Found"")"),"#Cheers4Careers")</f>
        <v>#Cheers4Careers</v>
      </c>
      <c r="AM1539" s="23" t="str">
        <f>IFERROR(__xludf.DUMMYFUNCTION("XLOOKUP(C1539, 
   IMPORTRANGE(""1RdEdgHYrZ33LJ7RUHj_h-qkAFL92bcVjtIdVa-UlsCw"", ""Interns!D:D""), 
   IMPORTRANGE(""1RdEdgHYrZ33LJ7RUHj_h-qkAFL92bcVjtIdVa-UlsCw"", ""Interns!O:O""), 
   ""Not Found"")"),"Hetal reached out March 27 for March #Cheers4 Careers ")</f>
        <v>Hetal reached out March 27 for March #Cheers4 Careers </v>
      </c>
      <c r="AN1539" s="23"/>
      <c r="AO1539" s="23" t="s">
        <v>14600</v>
      </c>
      <c r="AP1539" s="28" t="s">
        <v>5182</v>
      </c>
      <c r="AQ1539" s="28"/>
      <c r="AR1539" s="23"/>
      <c r="AS1539" s="23"/>
      <c r="AT1539" s="23"/>
      <c r="AU1539" s="23"/>
      <c r="AV1539" s="23"/>
    </row>
    <row r="1540">
      <c r="A1540" s="28" t="s">
        <v>5161</v>
      </c>
      <c r="B1540" s="28" t="s">
        <v>5162</v>
      </c>
      <c r="C1540" s="23" t="str">
        <f t="shared" si="39"/>
        <v>Waasif Muhammad</v>
      </c>
      <c r="D1540" s="28" t="s">
        <v>14601</v>
      </c>
      <c r="E1540" s="28" t="s">
        <v>647</v>
      </c>
      <c r="F1540" s="23">
        <f t="array" ref="F1540">IFERROR(
    INDEX('Hub Interns 226'!A:A, MATCH(C1540, 'Hub Interns 226'!B:B, 0)),"")</f>
        <v>1769</v>
      </c>
      <c r="G1540" s="23">
        <f t="array" ref="G1540">IFERROR(
    INDEX('Hub Users 226'!A:A, MATCH(C1540, 'Hub Users 226'!B:B, 0)),"")</f>
        <v>2599</v>
      </c>
      <c r="H1540" s="28">
        <v>1667.0</v>
      </c>
      <c r="I1540" s="28"/>
      <c r="J1540" s="28"/>
      <c r="K1540" s="28"/>
      <c r="L1540" s="28" t="s">
        <v>5165</v>
      </c>
      <c r="M1540" s="56" t="s">
        <v>14602</v>
      </c>
      <c r="N1540" s="59">
        <v>45223.39791666667</v>
      </c>
      <c r="O1540" s="58">
        <v>41229.0</v>
      </c>
      <c r="P1540" s="28">
        <f t="shared" si="41"/>
        <v>13</v>
      </c>
      <c r="Q1540" s="28" t="s">
        <v>240</v>
      </c>
      <c r="R1540" s="28" t="s">
        <v>14603</v>
      </c>
      <c r="S1540" s="28">
        <v>6.0</v>
      </c>
      <c r="T1540" s="28">
        <v>12.0</v>
      </c>
      <c r="U1540" s="28">
        <v>30.0</v>
      </c>
      <c r="V1540" s="28">
        <v>30.0</v>
      </c>
      <c r="W1540" s="28" t="s">
        <v>1173</v>
      </c>
      <c r="X1540" s="28" t="s">
        <v>272</v>
      </c>
      <c r="Y1540" s="28" t="s">
        <v>14604</v>
      </c>
      <c r="Z1540" s="28" t="s">
        <v>5170</v>
      </c>
      <c r="AA1540" s="28" t="s">
        <v>5171</v>
      </c>
      <c r="AB1540" s="28">
        <v>30.0</v>
      </c>
      <c r="AC1540" s="28" t="s">
        <v>23</v>
      </c>
      <c r="AD1540" s="23"/>
      <c r="AE1540" s="28" t="s">
        <v>18</v>
      </c>
      <c r="AF1540" s="23"/>
      <c r="AG1540" s="23"/>
      <c r="AH1540" s="23" t="str">
        <f>IFERROR(__xludf.DUMMYFUNCTION("IF(
ISNUMBER(MATCH(
C1540,
IMPORTRANGE(""https://docs.google.com/spreadsheets/d/1yTh1ELC33JHYOeEdgIiEclxPRyh0zOKtlawDltfUay8"",""'Interns'!A:A""),
0
)),
""Outreach Conducted"",
"""")"),"")</f>
        <v/>
      </c>
      <c r="AI1540" s="23"/>
      <c r="AJ1540" s="23"/>
      <c r="AK1540" s="23" t="str">
        <f>IFERROR(__xludf.DUMMYFUNCTION("XLOOKUP(C1540, 
   IMPORTRANGE(""1RdEdgHYrZ33LJ7RUHj_h-qkAFL92bcVjtIdVa-UlsCw"", ""Interns!D:D""), 
   IMPORTRANGE(""1RdEdgHYrZ33LJ7RUHj_h-qkAFL92bcVjtIdVa-UlsCw"", ""Interns!M:M""), 
   ""Not Found"")"),"Contacted")</f>
        <v>Contacted</v>
      </c>
      <c r="AL1540" s="23" t="str">
        <f>IFERROR(__xludf.DUMMYFUNCTION("XLOOKUP(C1540, 
   IMPORTRANGE(""1RdEdgHYrZ33LJ7RUHj_h-qkAFL92bcVjtIdVa-UlsCw"", ""Interns!D:D""), 
   IMPORTRANGE(""1RdEdgHYrZ33LJ7RUHj_h-qkAFL92bcVjtIdVa-UlsCw"", ""Interns!N:N""), 
   ""Not Found"")"),"#Cheers4Careers")</f>
        <v>#Cheers4Careers</v>
      </c>
      <c r="AM1540" s="23" t="str">
        <f>IFERROR(__xludf.DUMMYFUNCTION("XLOOKUP(C1540,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540" s="23"/>
      <c r="AO1540" s="23" t="s">
        <v>647</v>
      </c>
      <c r="AP1540" s="28" t="s">
        <v>5191</v>
      </c>
      <c r="AQ1540" s="28"/>
      <c r="AR1540" s="23"/>
      <c r="AS1540" s="23"/>
      <c r="AT1540" s="23"/>
      <c r="AU1540" s="23"/>
      <c r="AV1540" s="23"/>
    </row>
    <row r="1541">
      <c r="A1541" s="28" t="s">
        <v>5202</v>
      </c>
      <c r="B1541" s="28" t="s">
        <v>5162</v>
      </c>
      <c r="C1541" s="23" t="str">
        <f t="shared" si="39"/>
        <v>Katherine Sumba</v>
      </c>
      <c r="D1541" s="28" t="s">
        <v>1926</v>
      </c>
      <c r="E1541" s="28" t="s">
        <v>14605</v>
      </c>
      <c r="F1541" s="23">
        <f t="array" ref="F1541">IFERROR(
    INDEX('Hub Interns 226'!A:A, MATCH(C1541, 'Hub Interns 226'!B:B, 0)),"")</f>
        <v>124</v>
      </c>
      <c r="G1541" s="23">
        <f t="array" ref="G1541">IFERROR(
    INDEX('Hub Users 226'!A:A, MATCH(C1541, 'Hub Users 226'!B:B, 0)),"")</f>
        <v>557</v>
      </c>
      <c r="H1541" s="28">
        <v>1092.0</v>
      </c>
      <c r="I1541" s="28"/>
      <c r="J1541" s="28"/>
      <c r="K1541" s="28"/>
      <c r="L1541" s="28" t="s">
        <v>5196</v>
      </c>
      <c r="M1541" s="56" t="s">
        <v>14606</v>
      </c>
      <c r="N1541" s="57">
        <v>44705.995833333334</v>
      </c>
      <c r="O1541" s="58">
        <v>39969.0</v>
      </c>
      <c r="P1541" s="28">
        <f t="shared" si="41"/>
        <v>16</v>
      </c>
      <c r="Q1541" s="28" t="s">
        <v>240</v>
      </c>
      <c r="R1541" s="28" t="s">
        <v>14607</v>
      </c>
      <c r="S1541" s="28">
        <v>14.0</v>
      </c>
      <c r="T1541" s="28">
        <v>13.0</v>
      </c>
      <c r="U1541" s="28">
        <v>35.0</v>
      </c>
      <c r="V1541" s="28">
        <v>21.0</v>
      </c>
      <c r="W1541" s="28" t="s">
        <v>1173</v>
      </c>
      <c r="X1541" s="28" t="s">
        <v>272</v>
      </c>
      <c r="Y1541" s="28" t="s">
        <v>14608</v>
      </c>
      <c r="Z1541" s="28" t="s">
        <v>5403</v>
      </c>
      <c r="AA1541" s="28" t="s">
        <v>5404</v>
      </c>
      <c r="AB1541" s="28">
        <v>21.0</v>
      </c>
      <c r="AC1541" s="28" t="s">
        <v>24</v>
      </c>
      <c r="AD1541" s="23"/>
      <c r="AE1541" s="28" t="s">
        <v>10</v>
      </c>
      <c r="AF1541" s="23"/>
      <c r="AG1541" s="23"/>
      <c r="AH1541" s="23" t="str">
        <f>IFERROR(__xludf.DUMMYFUNCTION("IF(
ISNUMBER(MATCH(
C1541,
IMPORTRANGE(""https://docs.google.com/spreadsheets/d/1yTh1ELC33JHYOeEdgIiEclxPRyh0zOKtlawDltfUay8"",""'Interns'!A:A""),
0
)),
""Outreach Conducted"",
"""")"),"")</f>
        <v/>
      </c>
      <c r="AI1541" s="23"/>
      <c r="AJ1541" s="23"/>
      <c r="AK1541" s="23" t="str">
        <f>IFERROR(__xludf.DUMMYFUNCTION("XLOOKUP(C1541, 
   IMPORTRANGE(""1RdEdgHYrZ33LJ7RUHj_h-qkAFL92bcVjtIdVa-UlsCw"", ""Interns!D:D""), 
   IMPORTRANGE(""1RdEdgHYrZ33LJ7RUHj_h-qkAFL92bcVjtIdVa-UlsCw"", ""Interns!M:M""), 
   ""Not Found"")"),"")</f>
        <v/>
      </c>
      <c r="AL1541" s="23" t="str">
        <f>IFERROR(__xludf.DUMMYFUNCTION("XLOOKUP(C1541, 
   IMPORTRANGE(""1RdEdgHYrZ33LJ7RUHj_h-qkAFL92bcVjtIdVa-UlsCw"", ""Interns!D:D""), 
   IMPORTRANGE(""1RdEdgHYrZ33LJ7RUHj_h-qkAFL92bcVjtIdVa-UlsCw"", ""Interns!N:N""), 
   ""Not Found"")"),"")</f>
        <v/>
      </c>
      <c r="AM1541" s="23" t="str">
        <f>IFERROR(__xludf.DUMMYFUNCTION("XLOOKUP(C1541, 
   IMPORTRANGE(""1RdEdgHYrZ33LJ7RUHj_h-qkAFL92bcVjtIdVa-UlsCw"", ""Interns!D:D""), 
   IMPORTRANGE(""1RdEdgHYrZ33LJ7RUHj_h-qkAFL92bcVjtIdVa-UlsCw"", ""Interns!O:O""), 
   ""Not Found"")"),"")</f>
        <v/>
      </c>
      <c r="AN1541" s="23"/>
      <c r="AO1541" s="23" t="s">
        <v>14609</v>
      </c>
      <c r="AP1541" s="28" t="s">
        <v>5182</v>
      </c>
      <c r="AQ1541" s="28"/>
      <c r="AR1541" s="23"/>
      <c r="AS1541" s="23"/>
      <c r="AT1541" s="23"/>
      <c r="AU1541" s="23"/>
      <c r="AV1541" s="23"/>
    </row>
    <row r="1542">
      <c r="A1542" s="28" t="s">
        <v>5161</v>
      </c>
      <c r="B1542" s="28" t="s">
        <v>5162</v>
      </c>
      <c r="C1542" s="23" t="str">
        <f t="shared" si="39"/>
        <v>Jose Garcia</v>
      </c>
      <c r="D1542" s="28" t="s">
        <v>6697</v>
      </c>
      <c r="E1542" s="28" t="s">
        <v>1484</v>
      </c>
      <c r="F1542" s="23">
        <f t="array" ref="F1542">IFERROR(
    INDEX('Hub Interns 226'!A:A, MATCH(C1542, 'Hub Interns 226'!B:B, 0)),"")</f>
        <v>685</v>
      </c>
      <c r="G1542" s="23">
        <f t="array" ref="G1542">IFERROR(
    INDEX('Hub Users 226'!A:A, MATCH(C1542, 'Hub Users 226'!B:B, 0)),"")</f>
        <v>1118</v>
      </c>
      <c r="H1542" s="28">
        <v>1586.0</v>
      </c>
      <c r="I1542" s="28" t="s">
        <v>239</v>
      </c>
      <c r="J1542" s="28"/>
      <c r="K1542" s="28"/>
      <c r="L1542" s="28" t="s">
        <v>5165</v>
      </c>
      <c r="M1542" s="56" t="s">
        <v>14610</v>
      </c>
      <c r="N1542" s="57">
        <v>45016.38611111111</v>
      </c>
      <c r="O1542" s="58">
        <v>40399.0</v>
      </c>
      <c r="P1542" s="28">
        <f t="shared" si="41"/>
        <v>15</v>
      </c>
      <c r="Q1542" s="28" t="s">
        <v>14611</v>
      </c>
      <c r="R1542" s="28" t="s">
        <v>14612</v>
      </c>
      <c r="S1542" s="28">
        <v>6.0</v>
      </c>
      <c r="T1542" s="28">
        <v>12.0</v>
      </c>
      <c r="U1542" s="28">
        <v>30.0</v>
      </c>
      <c r="V1542" s="28">
        <v>30.0</v>
      </c>
      <c r="W1542" s="28" t="s">
        <v>1173</v>
      </c>
      <c r="X1542" s="28" t="s">
        <v>272</v>
      </c>
      <c r="Y1542" s="28" t="s">
        <v>5169</v>
      </c>
      <c r="Z1542" s="28" t="s">
        <v>5170</v>
      </c>
      <c r="AA1542" s="28" t="s">
        <v>5171</v>
      </c>
      <c r="AB1542" s="28">
        <v>30.0</v>
      </c>
      <c r="AC1542" s="28" t="s">
        <v>23</v>
      </c>
      <c r="AD1542" s="23"/>
      <c r="AE1542" s="28" t="s">
        <v>15</v>
      </c>
      <c r="AF1542" s="23"/>
      <c r="AG1542" s="23"/>
      <c r="AH1542" s="23" t="str">
        <f>IFERROR(__xludf.DUMMYFUNCTION("IF(
ISNUMBER(MATCH(
C1542,
IMPORTRANGE(""https://docs.google.com/spreadsheets/d/1yTh1ELC33JHYOeEdgIiEclxPRyh0zOKtlawDltfUay8"",""'Interns'!A:A""),
0
)),
""Outreach Conducted"",
"""")"),"")</f>
        <v/>
      </c>
      <c r="AI1542" s="23"/>
      <c r="AJ1542" s="28" t="s">
        <v>14613</v>
      </c>
      <c r="AK1542" s="23" t="str">
        <f>IFERROR(__xludf.DUMMYFUNCTION("XLOOKUP(C1542, 
   IMPORTRANGE(""1RdEdgHYrZ33LJ7RUHj_h-qkAFL92bcVjtIdVa-UlsCw"", ""Interns!D:D""), 
   IMPORTRANGE(""1RdEdgHYrZ33LJ7RUHj_h-qkAFL92bcVjtIdVa-UlsCw"", ""Interns!M:M""), 
   ""Not Found"")"),"Contacted")</f>
        <v>Contacted</v>
      </c>
      <c r="AL1542" s="23" t="str">
        <f>IFERROR(__xludf.DUMMYFUNCTION("XLOOKUP(C1542, 
   IMPORTRANGE(""1RdEdgHYrZ33LJ7RUHj_h-qkAFL92bcVjtIdVa-UlsCw"", ""Interns!D:D""), 
   IMPORTRANGE(""1RdEdgHYrZ33LJ7RUHj_h-qkAFL92bcVjtIdVa-UlsCw"", ""Interns!N:N""), 
   ""Not Found"")"),"#Cheers4Careers")</f>
        <v>#Cheers4Careers</v>
      </c>
      <c r="AM1542" s="23" t="str">
        <f>IFERROR(__xludf.DUMMYFUNCTION("XLOOKUP(C1542, 
   IMPORTRANGE(""1RdEdgHYrZ33LJ7RUHj_h-qkAFL92bcVjtIdVa-UlsCw"", ""Interns!D:D""), 
   IMPORTRANGE(""1RdEdgHYrZ33LJ7RUHj_h-qkAFL92bcVjtIdVa-UlsCw"", ""Interns!O:O""), 
   ""Not Found"")"),"Hetal reached out March 27 for March #Cheers4 Careers ")</f>
        <v>Hetal reached out March 27 for March #Cheers4 Careers </v>
      </c>
      <c r="AN1542" s="23"/>
      <c r="AO1542" s="23" t="s">
        <v>14614</v>
      </c>
      <c r="AP1542" s="28" t="s">
        <v>5182</v>
      </c>
      <c r="AQ1542" s="28"/>
      <c r="AR1542" s="23"/>
      <c r="AS1542" s="23"/>
      <c r="AT1542" s="23"/>
      <c r="AU1542" s="23"/>
      <c r="AV1542" s="23"/>
    </row>
    <row r="1543">
      <c r="A1543" s="28" t="s">
        <v>5161</v>
      </c>
      <c r="B1543" s="28" t="s">
        <v>5162</v>
      </c>
      <c r="C1543" s="23" t="str">
        <f t="shared" si="39"/>
        <v>Jessica Dolma</v>
      </c>
      <c r="D1543" s="28" t="s">
        <v>1602</v>
      </c>
      <c r="E1543" s="28" t="s">
        <v>14615</v>
      </c>
      <c r="F1543" s="23">
        <f t="array" ref="F1543">IFERROR(
    INDEX('Hub Interns 226'!A:A, MATCH(C1543, 'Hub Interns 226'!B:B, 0)),"")</f>
        <v>653</v>
      </c>
      <c r="G1543" s="23">
        <f t="array" ref="G1543">IFERROR(
    INDEX('Hub Users 226'!A:A, MATCH(C1543, 'Hub Users 226'!B:B, 0)),"")</f>
        <v>1086</v>
      </c>
      <c r="H1543" s="28">
        <v>1588.0</v>
      </c>
      <c r="I1543" s="28"/>
      <c r="J1543" s="28"/>
      <c r="K1543" s="28"/>
      <c r="L1543" s="28" t="s">
        <v>5196</v>
      </c>
      <c r="M1543" s="56" t="s">
        <v>14616</v>
      </c>
      <c r="N1543" s="57">
        <v>45016.38680555556</v>
      </c>
      <c r="O1543" s="58">
        <v>40532.0</v>
      </c>
      <c r="P1543" s="28">
        <f t="shared" si="41"/>
        <v>15</v>
      </c>
      <c r="Q1543" s="28" t="s">
        <v>240</v>
      </c>
      <c r="R1543" s="28" t="s">
        <v>14617</v>
      </c>
      <c r="S1543" s="28">
        <v>6.0</v>
      </c>
      <c r="T1543" s="28">
        <v>12.0</v>
      </c>
      <c r="U1543" s="28">
        <v>30.0</v>
      </c>
      <c r="V1543" s="28">
        <v>30.0</v>
      </c>
      <c r="W1543" s="28" t="s">
        <v>1173</v>
      </c>
      <c r="X1543" s="28" t="s">
        <v>272</v>
      </c>
      <c r="Y1543" s="28" t="s">
        <v>5169</v>
      </c>
      <c r="Z1543" s="28" t="s">
        <v>5170</v>
      </c>
      <c r="AA1543" s="28" t="s">
        <v>5171</v>
      </c>
      <c r="AB1543" s="28">
        <v>30.0</v>
      </c>
      <c r="AC1543" s="28" t="s">
        <v>23</v>
      </c>
      <c r="AD1543" s="23"/>
      <c r="AE1543" s="28" t="s">
        <v>15</v>
      </c>
      <c r="AF1543" s="23"/>
      <c r="AG1543" s="23"/>
      <c r="AH1543" s="23" t="str">
        <f>IFERROR(__xludf.DUMMYFUNCTION("IF(
ISNUMBER(MATCH(
C1543,
IMPORTRANGE(""https://docs.google.com/spreadsheets/d/1yTh1ELC33JHYOeEdgIiEclxPRyh0zOKtlawDltfUay8"",""'Interns'!A:A""),
0
)),
""Outreach Conducted"",
"""")"),"")</f>
        <v/>
      </c>
      <c r="AI1543" s="23"/>
      <c r="AJ1543" s="23"/>
      <c r="AK1543" s="23" t="str">
        <f>IFERROR(__xludf.DUMMYFUNCTION("XLOOKUP(C1543, 
   IMPORTRANGE(""1RdEdgHYrZ33LJ7RUHj_h-qkAFL92bcVjtIdVa-UlsCw"", ""Interns!D:D""), 
   IMPORTRANGE(""1RdEdgHYrZ33LJ7RUHj_h-qkAFL92bcVjtIdVa-UlsCw"", ""Interns!M:M""), 
   ""Not Found"")"),"Contacted")</f>
        <v>Contacted</v>
      </c>
      <c r="AL1543" s="23" t="str">
        <f>IFERROR(__xludf.DUMMYFUNCTION("XLOOKUP(C1543, 
   IMPORTRANGE(""1RdEdgHYrZ33LJ7RUHj_h-qkAFL92bcVjtIdVa-UlsCw"", ""Interns!D:D""), 
   IMPORTRANGE(""1RdEdgHYrZ33LJ7RUHj_h-qkAFL92bcVjtIdVa-UlsCw"", ""Interns!N:N""), 
   ""Not Found"")"),"#Cheers4Careers")</f>
        <v>#Cheers4Careers</v>
      </c>
      <c r="AM1543" s="23" t="str">
        <f>IFERROR(__xludf.DUMMYFUNCTION("XLOOKUP(C1543, 
   IMPORTRANGE(""1RdEdgHYrZ33LJ7RUHj_h-qkAFL92bcVjtIdVa-UlsCw"", ""Interns!D:D""), 
   IMPORTRANGE(""1RdEdgHYrZ33LJ7RUHj_h-qkAFL92bcVjtIdVa-UlsCw"", ""Interns!O:O""), 
   ""Not Found"")"),"Hetal reached out March 27 for March #Cheers4 Careers ")</f>
        <v>Hetal reached out March 27 for March #Cheers4 Careers </v>
      </c>
      <c r="AN1543" s="23"/>
      <c r="AO1543" s="23" t="s">
        <v>14618</v>
      </c>
      <c r="AP1543" s="28" t="s">
        <v>5182</v>
      </c>
      <c r="AQ1543" s="28"/>
      <c r="AR1543" s="23"/>
      <c r="AS1543" s="23"/>
      <c r="AT1543" s="23"/>
      <c r="AU1543" s="23"/>
      <c r="AV1543" s="23"/>
    </row>
    <row r="1544">
      <c r="A1544" s="28" t="s">
        <v>5161</v>
      </c>
      <c r="B1544" s="28" t="s">
        <v>5162</v>
      </c>
      <c r="C1544" s="23" t="str">
        <f t="shared" si="39"/>
        <v>Nataly Buestan</v>
      </c>
      <c r="D1544" s="28" t="s">
        <v>9192</v>
      </c>
      <c r="E1544" s="28" t="s">
        <v>14584</v>
      </c>
      <c r="F1544" s="23">
        <f t="array" ref="F1544">IFERROR(
    INDEX('Hub Interns 226'!A:A, MATCH(C1544, 'Hub Interns 226'!B:B, 0)),"")</f>
        <v>924</v>
      </c>
      <c r="G1544" s="23">
        <f t="array" ref="G1544">IFERROR(
    INDEX('Hub Users 226'!A:A, MATCH(C1544, 'Hub Users 226'!B:B, 0)),"")</f>
        <v>1357</v>
      </c>
      <c r="H1544" s="28">
        <v>1589.0</v>
      </c>
      <c r="I1544" s="28"/>
      <c r="J1544" s="28"/>
      <c r="K1544" s="28"/>
      <c r="L1544" s="28" t="s">
        <v>5196</v>
      </c>
      <c r="M1544" s="56" t="s">
        <v>14619</v>
      </c>
      <c r="N1544" s="57">
        <v>45016.38680555556</v>
      </c>
      <c r="O1544" s="58">
        <v>40185.0</v>
      </c>
      <c r="P1544" s="28">
        <f t="shared" si="41"/>
        <v>16</v>
      </c>
      <c r="Q1544" s="28" t="s">
        <v>240</v>
      </c>
      <c r="R1544" s="28" t="s">
        <v>14620</v>
      </c>
      <c r="S1544" s="28">
        <v>6.0</v>
      </c>
      <c r="T1544" s="28">
        <v>12.0</v>
      </c>
      <c r="U1544" s="28">
        <v>30.0</v>
      </c>
      <c r="V1544" s="28">
        <v>30.0</v>
      </c>
      <c r="W1544" s="28" t="s">
        <v>1173</v>
      </c>
      <c r="X1544" s="28" t="s">
        <v>272</v>
      </c>
      <c r="Y1544" s="28" t="s">
        <v>5169</v>
      </c>
      <c r="Z1544" s="28" t="s">
        <v>5170</v>
      </c>
      <c r="AA1544" s="28" t="s">
        <v>5171</v>
      </c>
      <c r="AB1544" s="28">
        <v>30.0</v>
      </c>
      <c r="AC1544" s="28" t="s">
        <v>23</v>
      </c>
      <c r="AD1544" s="23"/>
      <c r="AE1544" s="28" t="s">
        <v>15</v>
      </c>
      <c r="AF1544" s="23"/>
      <c r="AG1544" s="23"/>
      <c r="AH1544" s="23" t="str">
        <f>IFERROR(__xludf.DUMMYFUNCTION("IF(
ISNUMBER(MATCH(
C1544,
IMPORTRANGE(""https://docs.google.com/spreadsheets/d/1yTh1ELC33JHYOeEdgIiEclxPRyh0zOKtlawDltfUay8"",""'Interns'!A:A""),
0
)),
""Outreach Conducted"",
"""")"),"")</f>
        <v/>
      </c>
      <c r="AI1544" s="23"/>
      <c r="AJ1544" s="23"/>
      <c r="AK1544" s="23" t="str">
        <f>IFERROR(__xludf.DUMMYFUNCTION("XLOOKUP(C1544, 
   IMPORTRANGE(""1RdEdgHYrZ33LJ7RUHj_h-qkAFL92bcVjtIdVa-UlsCw"", ""Interns!D:D""), 
   IMPORTRANGE(""1RdEdgHYrZ33LJ7RUHj_h-qkAFL92bcVjtIdVa-UlsCw"", ""Interns!M:M""), 
   ""Not Found"")"),"Contacted")</f>
        <v>Contacted</v>
      </c>
      <c r="AL1544" s="23" t="str">
        <f>IFERROR(__xludf.DUMMYFUNCTION("XLOOKUP(C1544, 
   IMPORTRANGE(""1RdEdgHYrZ33LJ7RUHj_h-qkAFL92bcVjtIdVa-UlsCw"", ""Interns!D:D""), 
   IMPORTRANGE(""1RdEdgHYrZ33LJ7RUHj_h-qkAFL92bcVjtIdVa-UlsCw"", ""Interns!N:N""), 
   ""Not Found"")"),"#Cheers4Careers")</f>
        <v>#Cheers4Careers</v>
      </c>
      <c r="AM1544" s="23" t="str">
        <f>IFERROR(__xludf.DUMMYFUNCTION("XLOOKUP(C1544, 
   IMPORTRANGE(""1RdEdgHYrZ33LJ7RUHj_h-qkAFL92bcVjtIdVa-UlsCw"", ""Interns!D:D""), 
   IMPORTRANGE(""1RdEdgHYrZ33LJ7RUHj_h-qkAFL92bcVjtIdVa-UlsCw"", ""Interns!O:O""), 
   ""Not Found"")"),"Hetal reached out March 27 for March #Cheers4 Careers ")</f>
        <v>Hetal reached out March 27 for March #Cheers4 Careers </v>
      </c>
      <c r="AN1544" s="23"/>
      <c r="AO1544" s="23" t="s">
        <v>14621</v>
      </c>
      <c r="AP1544" s="28" t="s">
        <v>5182</v>
      </c>
      <c r="AQ1544" s="28"/>
      <c r="AR1544" s="23"/>
      <c r="AS1544" s="23"/>
      <c r="AT1544" s="23"/>
      <c r="AU1544" s="23"/>
      <c r="AV1544" s="23"/>
    </row>
    <row r="1545">
      <c r="A1545" s="28" t="s">
        <v>5202</v>
      </c>
      <c r="B1545" s="28" t="s">
        <v>5162</v>
      </c>
      <c r="C1545" s="23" t="str">
        <f t="shared" si="39"/>
        <v>Elian Duarte</v>
      </c>
      <c r="D1545" s="28" t="s">
        <v>8912</v>
      </c>
      <c r="E1545" s="28" t="s">
        <v>1698</v>
      </c>
      <c r="F1545" s="23">
        <f t="array" ref="F1545">IFERROR(
    INDEX('Hub Interns 226'!A:A, MATCH(C1545, 'Hub Interns 226'!B:B, 0)),"")</f>
        <v>477</v>
      </c>
      <c r="G1545" s="23">
        <f t="array" ref="G1545">IFERROR(
    INDEX('Hub Users 226'!A:A, MATCH(C1545, 'Hub Users 226'!B:B, 0)),"")</f>
        <v>910</v>
      </c>
      <c r="H1545" s="28">
        <v>926.0</v>
      </c>
      <c r="I1545" s="28" t="s">
        <v>239</v>
      </c>
      <c r="J1545" s="28"/>
      <c r="K1545" s="28"/>
      <c r="L1545" s="28" t="s">
        <v>5165</v>
      </c>
      <c r="M1545" s="56" t="s">
        <v>8913</v>
      </c>
      <c r="N1545" s="57">
        <v>44603.47430555556</v>
      </c>
      <c r="O1545" s="58">
        <v>38448.0</v>
      </c>
      <c r="P1545" s="28">
        <f t="shared" si="41"/>
        <v>21</v>
      </c>
      <c r="Q1545" s="28" t="s">
        <v>240</v>
      </c>
      <c r="R1545" s="28" t="s">
        <v>8914</v>
      </c>
      <c r="S1545" s="28"/>
      <c r="T1545" s="28"/>
      <c r="U1545" s="28"/>
      <c r="V1545" s="28"/>
      <c r="W1545" s="28" t="s">
        <v>1173</v>
      </c>
      <c r="X1545" s="28" t="s">
        <v>272</v>
      </c>
      <c r="Y1545" s="28" t="s">
        <v>8915</v>
      </c>
      <c r="Z1545" s="28" t="s">
        <v>5208</v>
      </c>
      <c r="AA1545" s="28" t="s">
        <v>2141</v>
      </c>
      <c r="AB1545" s="28">
        <v>8.0</v>
      </c>
      <c r="AC1545" s="28" t="s">
        <v>24</v>
      </c>
      <c r="AD1545" s="23"/>
      <c r="AE1545" s="28" t="s">
        <v>10</v>
      </c>
      <c r="AF1545" s="23"/>
      <c r="AG1545" s="23"/>
      <c r="AH1545" s="23" t="str">
        <f>IFERROR(__xludf.DUMMYFUNCTION("IF(
ISNUMBER(MATCH(
C1545,
IMPORTRANGE(""https://docs.google.com/spreadsheets/d/1yTh1ELC33JHYOeEdgIiEclxPRyh0zOKtlawDltfUay8"",""'Interns'!A:A""),
0
)),
""Outreach Conducted"",
"""")"),"")</f>
        <v/>
      </c>
      <c r="AI1545" s="23"/>
      <c r="AJ1545" s="23"/>
      <c r="AK1545" s="23" t="str">
        <f>IFERROR(__xludf.DUMMYFUNCTION("XLOOKUP(C1545, 
   IMPORTRANGE(""1RdEdgHYrZ33LJ7RUHj_h-qkAFL92bcVjtIdVa-UlsCw"", ""Interns!D:D""), 
   IMPORTRANGE(""1RdEdgHYrZ33LJ7RUHj_h-qkAFL92bcVjtIdVa-UlsCw"", ""Interns!M:M""), 
   ""Not Found"")"),"")</f>
        <v/>
      </c>
      <c r="AL1545" s="23" t="str">
        <f>IFERROR(__xludf.DUMMYFUNCTION("XLOOKUP(C1545, 
   IMPORTRANGE(""1RdEdgHYrZ33LJ7RUHj_h-qkAFL92bcVjtIdVa-UlsCw"", ""Interns!D:D""), 
   IMPORTRANGE(""1RdEdgHYrZ33LJ7RUHj_h-qkAFL92bcVjtIdVa-UlsCw"", ""Interns!N:N""), 
   ""Not Found"")"),"")</f>
        <v/>
      </c>
      <c r="AM1545" s="23" t="str">
        <f>IFERROR(__xludf.DUMMYFUNCTION("XLOOKUP(C1545, 
   IMPORTRANGE(""1RdEdgHYrZ33LJ7RUHj_h-qkAFL92bcVjtIdVa-UlsCw"", ""Interns!D:D""), 
   IMPORTRANGE(""1RdEdgHYrZ33LJ7RUHj_h-qkAFL92bcVjtIdVa-UlsCw"", ""Interns!O:O""), 
   ""Not Found"")"),"")</f>
        <v/>
      </c>
      <c r="AN1545" s="23"/>
      <c r="AO1545" s="23" t="s">
        <v>8916</v>
      </c>
      <c r="AP1545" s="28" t="s">
        <v>5173</v>
      </c>
      <c r="AQ1545" s="28"/>
      <c r="AR1545" s="23"/>
      <c r="AS1545" s="23"/>
      <c r="AT1545" s="23"/>
      <c r="AU1545" s="23"/>
      <c r="AV1545" s="23"/>
    </row>
    <row r="1546">
      <c r="A1546" s="28" t="s">
        <v>5161</v>
      </c>
      <c r="B1546" s="28" t="s">
        <v>5162</v>
      </c>
      <c r="C1546" s="23" t="str">
        <f t="shared" si="39"/>
        <v>Dafne Sanchez</v>
      </c>
      <c r="D1546" s="28" t="s">
        <v>14622</v>
      </c>
      <c r="E1546" s="28" t="s">
        <v>6853</v>
      </c>
      <c r="F1546" s="23">
        <f t="array" ref="F1546">IFERROR(
    INDEX('Hub Interns 226'!A:A, MATCH(C1546, 'Hub Interns 226'!B:B, 0)),"")</f>
        <v>403</v>
      </c>
      <c r="G1546" s="23">
        <f t="array" ref="G1546">IFERROR(
    INDEX('Hub Users 226'!A:A, MATCH(C1546, 'Hub Users 226'!B:B, 0)),"")</f>
        <v>836</v>
      </c>
      <c r="H1546" s="28">
        <v>1596.0</v>
      </c>
      <c r="I1546" s="28"/>
      <c r="J1546" s="28"/>
      <c r="K1546" s="28"/>
      <c r="L1546" s="28" t="s">
        <v>8087</v>
      </c>
      <c r="M1546" s="56" t="s">
        <v>14623</v>
      </c>
      <c r="N1546" s="57">
        <v>45016.39375</v>
      </c>
      <c r="O1546" s="58">
        <v>40042.0</v>
      </c>
      <c r="P1546" s="28">
        <f t="shared" si="41"/>
        <v>16</v>
      </c>
      <c r="Q1546" s="28" t="s">
        <v>240</v>
      </c>
      <c r="R1546" s="28" t="s">
        <v>14624</v>
      </c>
      <c r="S1546" s="28">
        <v>6.0</v>
      </c>
      <c r="T1546" s="28">
        <v>12.0</v>
      </c>
      <c r="U1546" s="28">
        <v>30.0</v>
      </c>
      <c r="V1546" s="28">
        <v>30.0</v>
      </c>
      <c r="W1546" s="28" t="s">
        <v>1173</v>
      </c>
      <c r="X1546" s="28" t="s">
        <v>272</v>
      </c>
      <c r="Y1546" s="28" t="s">
        <v>5169</v>
      </c>
      <c r="Z1546" s="28" t="s">
        <v>5170</v>
      </c>
      <c r="AA1546" s="28" t="s">
        <v>5171</v>
      </c>
      <c r="AB1546" s="28">
        <v>30.0</v>
      </c>
      <c r="AC1546" s="28" t="s">
        <v>23</v>
      </c>
      <c r="AD1546" s="28" t="s">
        <v>101</v>
      </c>
      <c r="AE1546" s="28" t="s">
        <v>15</v>
      </c>
      <c r="AF1546" s="23"/>
      <c r="AG1546" s="23"/>
      <c r="AH1546" s="23" t="str">
        <f>IFERROR(__xludf.DUMMYFUNCTION("IF(
ISNUMBER(MATCH(
C1546,
IMPORTRANGE(""https://docs.google.com/spreadsheets/d/1yTh1ELC33JHYOeEdgIiEclxPRyh0zOKtlawDltfUay8"",""'Interns'!A:A""),
0
)),
""Outreach Conducted"",
"""")"),"")</f>
        <v/>
      </c>
      <c r="AI1546" s="23"/>
      <c r="AJ1546" s="23"/>
      <c r="AK1546" s="23" t="str">
        <f>IFERROR(__xludf.DUMMYFUNCTION("XLOOKUP(C1546, 
   IMPORTRANGE(""1RdEdgHYrZ33LJ7RUHj_h-qkAFL92bcVjtIdVa-UlsCw"", ""Interns!D:D""), 
   IMPORTRANGE(""1RdEdgHYrZ33LJ7RUHj_h-qkAFL92bcVjtIdVa-UlsCw"", ""Interns!M:M""), 
   ""Not Found"")"),"Contacted")</f>
        <v>Contacted</v>
      </c>
      <c r="AL1546" s="23" t="str">
        <f>IFERROR(__xludf.DUMMYFUNCTION("XLOOKUP(C1546, 
   IMPORTRANGE(""1RdEdgHYrZ33LJ7RUHj_h-qkAFL92bcVjtIdVa-UlsCw"", ""Interns!D:D""), 
   IMPORTRANGE(""1RdEdgHYrZ33LJ7RUHj_h-qkAFL92bcVjtIdVa-UlsCw"", ""Interns!N:N""), 
   ""Not Found"")"),"#Cheers4Careers")</f>
        <v>#Cheers4Careers</v>
      </c>
      <c r="AM1546" s="23" t="str">
        <f>IFERROR(__xludf.DUMMYFUNCTION("XLOOKUP(C1546, 
   IMPORTRANGE(""1RdEdgHYrZ33LJ7RUHj_h-qkAFL92bcVjtIdVa-UlsCw"", ""Interns!D:D""), 
   IMPORTRANGE(""1RdEdgHYrZ33LJ7RUHj_h-qkAFL92bcVjtIdVa-UlsCw"", ""Interns!O:O""), 
   ""Not Found"")"),"Hetal reached out March 27 for March #Cheers4 Careers ")</f>
        <v>Hetal reached out March 27 for March #Cheers4 Careers </v>
      </c>
      <c r="AN1546" s="23"/>
      <c r="AO1546" s="23" t="s">
        <v>14625</v>
      </c>
      <c r="AP1546" s="28" t="s">
        <v>5182</v>
      </c>
      <c r="AQ1546" s="28"/>
      <c r="AR1546" s="23"/>
      <c r="AS1546" s="23"/>
      <c r="AT1546" s="23"/>
      <c r="AU1546" s="23"/>
      <c r="AV1546" s="23"/>
    </row>
    <row r="1547">
      <c r="A1547" s="28" t="s">
        <v>5202</v>
      </c>
      <c r="B1547" s="28" t="s">
        <v>5162</v>
      </c>
      <c r="C1547" s="23" t="str">
        <f t="shared" si="39"/>
        <v>kira guartasaca</v>
      </c>
      <c r="D1547" s="28" t="s">
        <v>14626</v>
      </c>
      <c r="E1547" s="28" t="s">
        <v>14627</v>
      </c>
      <c r="F1547" s="23">
        <f t="array" ref="F1547">IFERROR(
    INDEX('Hub Interns 226'!A:A, MATCH(C1547, 'Hub Interns 226'!B:B, 0)),"")</f>
        <v>711</v>
      </c>
      <c r="G1547" s="23">
        <f t="array" ref="G1547">IFERROR(
    INDEX('Hub Users 226'!A:A, MATCH(C1547, 'Hub Users 226'!B:B, 0)),"")</f>
        <v>1144</v>
      </c>
      <c r="H1547" s="28">
        <v>962.0</v>
      </c>
      <c r="I1547" s="28"/>
      <c r="J1547" s="28"/>
      <c r="K1547" s="28"/>
      <c r="L1547" s="28" t="s">
        <v>5196</v>
      </c>
      <c r="M1547" s="56" t="s">
        <v>14628</v>
      </c>
      <c r="N1547" s="57">
        <v>44628.55486111111</v>
      </c>
      <c r="O1547" s="58">
        <v>37421.0</v>
      </c>
      <c r="P1547" s="28">
        <f t="shared" si="41"/>
        <v>23</v>
      </c>
      <c r="Q1547" s="28" t="s">
        <v>240</v>
      </c>
      <c r="R1547" s="28" t="s">
        <v>14629</v>
      </c>
      <c r="S1547" s="28">
        <v>9.0</v>
      </c>
      <c r="T1547" s="28">
        <v>21.0</v>
      </c>
      <c r="U1547" s="28">
        <v>42.0</v>
      </c>
      <c r="V1547" s="28">
        <v>40.0</v>
      </c>
      <c r="W1547" s="28" t="s">
        <v>294</v>
      </c>
      <c r="X1547" s="28" t="s">
        <v>272</v>
      </c>
      <c r="Y1547" s="28" t="s">
        <v>14630</v>
      </c>
      <c r="Z1547" s="28" t="s">
        <v>5589</v>
      </c>
      <c r="AA1547" s="28" t="s">
        <v>5590</v>
      </c>
      <c r="AB1547" s="28">
        <v>35.0</v>
      </c>
      <c r="AC1547" s="28" t="s">
        <v>24</v>
      </c>
      <c r="AD1547" s="23"/>
      <c r="AE1547" s="28" t="s">
        <v>10</v>
      </c>
      <c r="AF1547" s="23"/>
      <c r="AG1547" s="23"/>
      <c r="AH1547" s="23" t="str">
        <f>IFERROR(__xludf.DUMMYFUNCTION("IF(
ISNUMBER(MATCH(
C1547,
IMPORTRANGE(""https://docs.google.com/spreadsheets/d/1yTh1ELC33JHYOeEdgIiEclxPRyh0zOKtlawDltfUay8"",""'Interns'!A:A""),
0
)),
""Outreach Conducted"",
"""")"),"")</f>
        <v/>
      </c>
      <c r="AI1547" s="23"/>
      <c r="AJ1547" s="23"/>
      <c r="AK1547" s="23" t="str">
        <f>IFERROR(__xludf.DUMMYFUNCTION("XLOOKUP(C1547, 
   IMPORTRANGE(""1RdEdgHYrZ33LJ7RUHj_h-qkAFL92bcVjtIdVa-UlsCw"", ""Interns!D:D""), 
   IMPORTRANGE(""1RdEdgHYrZ33LJ7RUHj_h-qkAFL92bcVjtIdVa-UlsCw"", ""Interns!M:M""), 
   ""Not Found"")"),"")</f>
        <v/>
      </c>
      <c r="AL1547" s="23" t="str">
        <f>IFERROR(__xludf.DUMMYFUNCTION("XLOOKUP(C1547, 
   IMPORTRANGE(""1RdEdgHYrZ33LJ7RUHj_h-qkAFL92bcVjtIdVa-UlsCw"", ""Interns!D:D""), 
   IMPORTRANGE(""1RdEdgHYrZ33LJ7RUHj_h-qkAFL92bcVjtIdVa-UlsCw"", ""Interns!N:N""), 
   ""Not Found"")"),"")</f>
        <v/>
      </c>
      <c r="AM1547" s="23" t="str">
        <f>IFERROR(__xludf.DUMMYFUNCTION("XLOOKUP(C1547, 
   IMPORTRANGE(""1RdEdgHYrZ33LJ7RUHj_h-qkAFL92bcVjtIdVa-UlsCw"", ""Interns!D:D""), 
   IMPORTRANGE(""1RdEdgHYrZ33LJ7RUHj_h-qkAFL92bcVjtIdVa-UlsCw"", ""Interns!O:O""), 
   ""Not Found"")"),"")</f>
        <v/>
      </c>
      <c r="AN1547" s="23"/>
      <c r="AO1547" s="23" t="s">
        <v>14631</v>
      </c>
      <c r="AP1547" s="28" t="s">
        <v>5182</v>
      </c>
      <c r="AQ1547" s="28"/>
      <c r="AR1547" s="23"/>
      <c r="AS1547" s="23"/>
      <c r="AT1547" s="23"/>
      <c r="AU1547" s="23"/>
      <c r="AV1547" s="23"/>
    </row>
    <row r="1548">
      <c r="A1548" s="28" t="s">
        <v>5161</v>
      </c>
      <c r="B1548" s="28" t="s">
        <v>5162</v>
      </c>
      <c r="C1548" s="23" t="str">
        <f t="shared" si="39"/>
        <v>Angeliz Castano</v>
      </c>
      <c r="D1548" s="28" t="s">
        <v>14632</v>
      </c>
      <c r="E1548" s="28" t="s">
        <v>14633</v>
      </c>
      <c r="F1548" s="23">
        <f t="array" ref="F1548">IFERROR(
    INDEX('Hub Interns 226'!A:A, MATCH(C1548, 'Hub Interns 226'!B:B, 0)),"")</f>
        <v>1763</v>
      </c>
      <c r="G1548" s="23">
        <f t="array" ref="G1548">IFERROR(
    INDEX('Hub Users 226'!A:A, MATCH(C1548, 'Hub Users 226'!B:B, 0)),"")</f>
        <v>2593</v>
      </c>
      <c r="H1548" s="28">
        <v>1681.0</v>
      </c>
      <c r="I1548" s="28" t="s">
        <v>1235</v>
      </c>
      <c r="J1548" s="28"/>
      <c r="K1548" s="28"/>
      <c r="L1548" s="28" t="s">
        <v>5196</v>
      </c>
      <c r="M1548" s="56" t="s">
        <v>14634</v>
      </c>
      <c r="N1548" s="59">
        <v>45226.34722222222</v>
      </c>
      <c r="O1548" s="58">
        <v>41184.0</v>
      </c>
      <c r="P1548" s="28">
        <f t="shared" si="41"/>
        <v>13</v>
      </c>
      <c r="Q1548" s="28" t="s">
        <v>240</v>
      </c>
      <c r="R1548" s="28" t="s">
        <v>14635</v>
      </c>
      <c r="S1548" s="28">
        <v>6.0</v>
      </c>
      <c r="T1548" s="28">
        <v>12.0</v>
      </c>
      <c r="U1548" s="28">
        <v>30.0</v>
      </c>
      <c r="V1548" s="28">
        <v>30.0</v>
      </c>
      <c r="W1548" s="28" t="s">
        <v>1173</v>
      </c>
      <c r="X1548" s="28" t="s">
        <v>272</v>
      </c>
      <c r="Y1548" s="28" t="s">
        <v>14636</v>
      </c>
      <c r="Z1548" s="28" t="s">
        <v>5170</v>
      </c>
      <c r="AA1548" s="28" t="s">
        <v>5171</v>
      </c>
      <c r="AB1548" s="28">
        <v>30.0</v>
      </c>
      <c r="AC1548" s="28" t="s">
        <v>23</v>
      </c>
      <c r="AD1548" s="23"/>
      <c r="AE1548" s="28" t="s">
        <v>18</v>
      </c>
      <c r="AF1548" s="23"/>
      <c r="AG1548" s="23"/>
      <c r="AH1548" s="23" t="str">
        <f>IFERROR(__xludf.DUMMYFUNCTION("IF(
ISNUMBER(MATCH(
C1548,
IMPORTRANGE(""https://docs.google.com/spreadsheets/d/1yTh1ELC33JHYOeEdgIiEclxPRyh0zOKtlawDltfUay8"",""'Interns'!A:A""),
0
)),
""Outreach Conducted"",
"""")"),"")</f>
        <v/>
      </c>
      <c r="AI1548" s="23"/>
      <c r="AJ1548" s="23"/>
      <c r="AK1548" s="23" t="str">
        <f>IFERROR(__xludf.DUMMYFUNCTION("XLOOKUP(C1548, 
   IMPORTRANGE(""1RdEdgHYrZ33LJ7RUHj_h-qkAFL92bcVjtIdVa-UlsCw"", ""Interns!D:D""), 
   IMPORTRANGE(""1RdEdgHYrZ33LJ7RUHj_h-qkAFL92bcVjtIdVa-UlsCw"", ""Interns!M:M""), 
   ""Not Found"")"),"Contacted")</f>
        <v>Contacted</v>
      </c>
      <c r="AL1548" s="23" t="str">
        <f>IFERROR(__xludf.DUMMYFUNCTION("XLOOKUP(C1548, 
   IMPORTRANGE(""1RdEdgHYrZ33LJ7RUHj_h-qkAFL92bcVjtIdVa-UlsCw"", ""Interns!D:D""), 
   IMPORTRANGE(""1RdEdgHYrZ33LJ7RUHj_h-qkAFL92bcVjtIdVa-UlsCw"", ""Interns!N:N""), 
   ""Not Found"")"),"#Cheers4Careers")</f>
        <v>#Cheers4Careers</v>
      </c>
      <c r="AM1548" s="23" t="str">
        <f>IFERROR(__xludf.DUMMYFUNCTION("XLOOKUP(C1548, 
   IMPORTRANGE(""1RdEdgHYrZ33LJ7RUHj_h-qkAFL92bcVjtIdVa-UlsCw"", ""Interns!D:D""), 
   IMPORTRANGE(""1RdEdgHYrZ33LJ7RUHj_h-qkAFL92bcVjtIdVa-UlsCw"", ""Interns!O:O""), 
   ""Not Found"")"),"Hetal reached out March 27 for March #Cheers4 Careers ")</f>
        <v>Hetal reached out March 27 for March #Cheers4 Careers </v>
      </c>
      <c r="AN1548" s="23"/>
      <c r="AO1548" s="23" t="s">
        <v>14637</v>
      </c>
      <c r="AP1548" s="28" t="s">
        <v>5191</v>
      </c>
      <c r="AQ1548" s="28"/>
      <c r="AR1548" s="23"/>
      <c r="AS1548" s="23"/>
      <c r="AT1548" s="23"/>
      <c r="AU1548" s="23"/>
      <c r="AV1548" s="23"/>
    </row>
    <row r="1549">
      <c r="A1549" s="28" t="s">
        <v>5161</v>
      </c>
      <c r="B1549" s="28" t="s">
        <v>5162</v>
      </c>
      <c r="C1549" s="23" t="str">
        <f t="shared" si="39"/>
        <v>Christopher Hernandez</v>
      </c>
      <c r="D1549" s="28" t="s">
        <v>976</v>
      </c>
      <c r="E1549" s="28" t="s">
        <v>2168</v>
      </c>
      <c r="F1549" s="23">
        <f t="array" ref="F1549">IFERROR(
    INDEX('Hub Interns 226'!A:A, MATCH(C1549, 'Hub Interns 226'!B:B, 0)),"")</f>
        <v>367</v>
      </c>
      <c r="G1549" s="23">
        <f t="array" ref="G1549">IFERROR(
    INDEX('Hub Users 226'!A:A, MATCH(C1549, 'Hub Users 226'!B:B, 0)),"")</f>
        <v>800</v>
      </c>
      <c r="H1549" s="28">
        <v>1580.0</v>
      </c>
      <c r="I1549" s="28" t="s">
        <v>260</v>
      </c>
      <c r="J1549" s="28"/>
      <c r="K1549" s="28"/>
      <c r="L1549" s="28" t="s">
        <v>5165</v>
      </c>
      <c r="M1549" s="56" t="s">
        <v>14638</v>
      </c>
      <c r="N1549" s="57">
        <v>45016.38402777778</v>
      </c>
      <c r="O1549" s="58">
        <v>40228.0</v>
      </c>
      <c r="P1549" s="28">
        <f t="shared" si="41"/>
        <v>16</v>
      </c>
      <c r="Q1549" s="28" t="s">
        <v>240</v>
      </c>
      <c r="R1549" s="28" t="s">
        <v>14639</v>
      </c>
      <c r="S1549" s="28">
        <v>6.0</v>
      </c>
      <c r="T1549" s="28">
        <v>12.0</v>
      </c>
      <c r="U1549" s="28">
        <v>30.0</v>
      </c>
      <c r="V1549" s="28">
        <v>30.0</v>
      </c>
      <c r="W1549" s="28" t="s">
        <v>1173</v>
      </c>
      <c r="X1549" s="28" t="s">
        <v>272</v>
      </c>
      <c r="Y1549" s="28" t="s">
        <v>14640</v>
      </c>
      <c r="Z1549" s="28" t="s">
        <v>5170</v>
      </c>
      <c r="AA1549" s="28" t="s">
        <v>5171</v>
      </c>
      <c r="AB1549" s="28">
        <v>30.0</v>
      </c>
      <c r="AC1549" s="28" t="s">
        <v>23</v>
      </c>
      <c r="AD1549" s="28" t="s">
        <v>101</v>
      </c>
      <c r="AE1549" s="28" t="s">
        <v>15</v>
      </c>
      <c r="AF1549" s="23"/>
      <c r="AG1549" s="23"/>
      <c r="AH1549" s="23" t="str">
        <f>IFERROR(__xludf.DUMMYFUNCTION("IF(
ISNUMBER(MATCH(
C1549,
IMPORTRANGE(""https://docs.google.com/spreadsheets/d/1yTh1ELC33JHYOeEdgIiEclxPRyh0zOKtlawDltfUay8"",""'Interns'!A:A""),
0
)),
""Outreach Conducted"",
"""")"),"")</f>
        <v/>
      </c>
      <c r="AI1549" s="23"/>
      <c r="AJ1549" s="23"/>
      <c r="AK1549" s="23" t="str">
        <f>IFERROR(__xludf.DUMMYFUNCTION("XLOOKUP(C1549, 
   IMPORTRANGE(""1RdEdgHYrZ33LJ7RUHj_h-qkAFL92bcVjtIdVa-UlsCw"", ""Interns!D:D""), 
   IMPORTRANGE(""1RdEdgHYrZ33LJ7RUHj_h-qkAFL92bcVjtIdVa-UlsCw"", ""Interns!M:M""), 
   ""Not Found"")"),"Contacted")</f>
        <v>Contacted</v>
      </c>
      <c r="AL1549" s="23" t="str">
        <f>IFERROR(__xludf.DUMMYFUNCTION("XLOOKUP(C1549, 
   IMPORTRANGE(""1RdEdgHYrZ33LJ7RUHj_h-qkAFL92bcVjtIdVa-UlsCw"", ""Interns!D:D""), 
   IMPORTRANGE(""1RdEdgHYrZ33LJ7RUHj_h-qkAFL92bcVjtIdVa-UlsCw"", ""Interns!N:N""), 
   ""Not Found"")"),"#Cheers4Careers")</f>
        <v>#Cheers4Careers</v>
      </c>
      <c r="AM1549" s="23" t="str">
        <f>IFERROR(__xludf.DUMMYFUNCTION("XLOOKUP(C1549, 
   IMPORTRANGE(""1RdEdgHYrZ33LJ7RUHj_h-qkAFL92bcVjtIdVa-UlsCw"", ""Interns!D:D""), 
   IMPORTRANGE(""1RdEdgHYrZ33LJ7RUHj_h-qkAFL92bcVjtIdVa-UlsCw"", ""Interns!O:O""), 
   ""Not Found"")"),"Hetal reached out March 27 for March #Cheers4 Careers ")</f>
        <v>Hetal reached out March 27 for March #Cheers4 Careers </v>
      </c>
      <c r="AN1549" s="23"/>
      <c r="AO1549" s="23" t="s">
        <v>14641</v>
      </c>
      <c r="AP1549" s="28" t="s">
        <v>5182</v>
      </c>
      <c r="AQ1549" s="28"/>
      <c r="AR1549" s="23"/>
      <c r="AS1549" s="23"/>
      <c r="AT1549" s="23"/>
      <c r="AU1549" s="23"/>
      <c r="AV1549" s="23"/>
    </row>
    <row r="1550">
      <c r="A1550" s="28" t="s">
        <v>5161</v>
      </c>
      <c r="B1550" s="28" t="s">
        <v>5162</v>
      </c>
      <c r="C1550" s="23" t="str">
        <f t="shared" si="39"/>
        <v>Cindy Pan</v>
      </c>
      <c r="D1550" s="28" t="s">
        <v>7808</v>
      </c>
      <c r="E1550" s="28" t="s">
        <v>6265</v>
      </c>
      <c r="F1550" s="23">
        <f t="array" ref="F1550">IFERROR(
    INDEX('Hub Interns 226'!A:A, MATCH(C1550, 'Hub Interns 226'!B:B, 0)),"")</f>
        <v>1766</v>
      </c>
      <c r="G1550" s="23">
        <f t="array" ref="G1550">IFERROR(
    INDEX('Hub Users 226'!A:A, MATCH(C1550, 'Hub Users 226'!B:B, 0)),"")</f>
        <v>2596</v>
      </c>
      <c r="H1550" s="28">
        <v>1670.0</v>
      </c>
      <c r="I1550" s="28" t="s">
        <v>407</v>
      </c>
      <c r="J1550" s="28"/>
      <c r="K1550" s="28"/>
      <c r="L1550" s="28" t="s">
        <v>5196</v>
      </c>
      <c r="M1550" s="56" t="s">
        <v>14642</v>
      </c>
      <c r="N1550" s="59">
        <v>45223.75208333333</v>
      </c>
      <c r="O1550" s="58">
        <v>41024.0</v>
      </c>
      <c r="P1550" s="28">
        <f t="shared" si="41"/>
        <v>14</v>
      </c>
      <c r="Q1550" s="28" t="s">
        <v>240</v>
      </c>
      <c r="R1550" s="28" t="s">
        <v>14643</v>
      </c>
      <c r="S1550" s="28">
        <v>6.0</v>
      </c>
      <c r="T1550" s="28">
        <v>12.0</v>
      </c>
      <c r="U1550" s="28">
        <v>30.0</v>
      </c>
      <c r="V1550" s="28">
        <v>30.0</v>
      </c>
      <c r="W1550" s="28" t="s">
        <v>1173</v>
      </c>
      <c r="X1550" s="28" t="s">
        <v>272</v>
      </c>
      <c r="Y1550" s="28" t="s">
        <v>14644</v>
      </c>
      <c r="Z1550" s="28" t="s">
        <v>5170</v>
      </c>
      <c r="AA1550" s="28" t="s">
        <v>5171</v>
      </c>
      <c r="AB1550" s="28">
        <v>30.0</v>
      </c>
      <c r="AC1550" s="28" t="s">
        <v>23</v>
      </c>
      <c r="AD1550" s="23"/>
      <c r="AE1550" s="28" t="s">
        <v>18</v>
      </c>
      <c r="AF1550" s="23"/>
      <c r="AG1550" s="23"/>
      <c r="AH1550" s="23" t="str">
        <f>IFERROR(__xludf.DUMMYFUNCTION("IF(
ISNUMBER(MATCH(
C1550,
IMPORTRANGE(""https://docs.google.com/spreadsheets/d/1yTh1ELC33JHYOeEdgIiEclxPRyh0zOKtlawDltfUay8"",""'Interns'!A:A""),
0
)),
""Outreach Conducted"",
"""")"),"")</f>
        <v/>
      </c>
      <c r="AI1550" s="23"/>
      <c r="AJ1550" s="23"/>
      <c r="AK1550" s="23" t="str">
        <f>IFERROR(__xludf.DUMMYFUNCTION("XLOOKUP(C1550, 
   IMPORTRANGE(""1RdEdgHYrZ33LJ7RUHj_h-qkAFL92bcVjtIdVa-UlsCw"", ""Interns!D:D""), 
   IMPORTRANGE(""1RdEdgHYrZ33LJ7RUHj_h-qkAFL92bcVjtIdVa-UlsCw"", ""Interns!M:M""), 
   ""Not Found"")"),"Contacted")</f>
        <v>Contacted</v>
      </c>
      <c r="AL1550" s="23" t="str">
        <f>IFERROR(__xludf.DUMMYFUNCTION("XLOOKUP(C1550, 
   IMPORTRANGE(""1RdEdgHYrZ33LJ7RUHj_h-qkAFL92bcVjtIdVa-UlsCw"", ""Interns!D:D""), 
   IMPORTRANGE(""1RdEdgHYrZ33LJ7RUHj_h-qkAFL92bcVjtIdVa-UlsCw"", ""Interns!N:N""), 
   ""Not Found"")"),"#Cheers4Careers")</f>
        <v>#Cheers4Careers</v>
      </c>
      <c r="AM1550" s="23" t="str">
        <f>IFERROR(__xludf.DUMMYFUNCTION("XLOOKUP(C1550, 
   IMPORTRANGE(""1RdEdgHYrZ33LJ7RUHj_h-qkAFL92bcVjtIdVa-UlsCw"", ""Interns!D:D""), 
   IMPORTRANGE(""1RdEdgHYrZ33LJ7RUHj_h-qkAFL92bcVjtIdVa-UlsCw"", ""Interns!O:O""), 
   ""Not Found"")"),"Hetal reached out March 27 for March #Cheers4 Careers ")</f>
        <v>Hetal reached out March 27 for March #Cheers4 Careers </v>
      </c>
      <c r="AN1550" s="23"/>
      <c r="AO1550" s="23" t="s">
        <v>14645</v>
      </c>
      <c r="AP1550" s="28" t="s">
        <v>5182</v>
      </c>
      <c r="AQ1550" s="28"/>
      <c r="AR1550" s="23"/>
      <c r="AS1550" s="23"/>
      <c r="AT1550" s="23"/>
      <c r="AU1550" s="23"/>
      <c r="AV1550" s="23"/>
    </row>
    <row r="1551">
      <c r="A1551" s="28" t="s">
        <v>5161</v>
      </c>
      <c r="B1551" s="28" t="s">
        <v>5162</v>
      </c>
      <c r="C1551" s="23" t="str">
        <f t="shared" si="39"/>
        <v>Harrison Arias</v>
      </c>
      <c r="D1551" s="28" t="s">
        <v>1518</v>
      </c>
      <c r="E1551" s="28" t="s">
        <v>6470</v>
      </c>
      <c r="F1551" s="23">
        <f t="array" ref="F1551">IFERROR(
    INDEX('Hub Interns 226'!A:A, MATCH(C1551, 'Hub Interns 226'!B:B, 0)),"")</f>
        <v>1764</v>
      </c>
      <c r="G1551" s="23">
        <f t="array" ref="G1551">IFERROR(
    INDEX('Hub Users 226'!A:A, MATCH(C1551, 'Hub Users 226'!B:B, 0)),"")</f>
        <v>2594</v>
      </c>
      <c r="H1551" s="28">
        <v>1672.0</v>
      </c>
      <c r="I1551" s="28"/>
      <c r="J1551" s="28"/>
      <c r="K1551" s="28"/>
      <c r="L1551" s="28" t="s">
        <v>5165</v>
      </c>
      <c r="M1551" s="56" t="s">
        <v>14646</v>
      </c>
      <c r="N1551" s="59">
        <v>45224.84652777778</v>
      </c>
      <c r="O1551" s="58">
        <v>41060.0</v>
      </c>
      <c r="P1551" s="28">
        <f t="shared" si="41"/>
        <v>13</v>
      </c>
      <c r="Q1551" s="28" t="s">
        <v>240</v>
      </c>
      <c r="R1551" s="28" t="s">
        <v>14635</v>
      </c>
      <c r="S1551" s="28">
        <v>6.0</v>
      </c>
      <c r="T1551" s="28">
        <v>12.0</v>
      </c>
      <c r="U1551" s="28">
        <v>30.0</v>
      </c>
      <c r="V1551" s="28">
        <v>30.0</v>
      </c>
      <c r="W1551" s="28" t="s">
        <v>1173</v>
      </c>
      <c r="X1551" s="28" t="s">
        <v>272</v>
      </c>
      <c r="Y1551" s="28" t="s">
        <v>14647</v>
      </c>
      <c r="Z1551" s="28" t="s">
        <v>5170</v>
      </c>
      <c r="AA1551" s="28" t="s">
        <v>5171</v>
      </c>
      <c r="AB1551" s="28">
        <v>30.0</v>
      </c>
      <c r="AC1551" s="28" t="s">
        <v>23</v>
      </c>
      <c r="AD1551" s="23"/>
      <c r="AE1551" s="28" t="s">
        <v>18</v>
      </c>
      <c r="AF1551" s="23"/>
      <c r="AG1551" s="23"/>
      <c r="AH1551" s="23" t="str">
        <f>IFERROR(__xludf.DUMMYFUNCTION("IF(
ISNUMBER(MATCH(
C1551,
IMPORTRANGE(""https://docs.google.com/spreadsheets/d/1yTh1ELC33JHYOeEdgIiEclxPRyh0zOKtlawDltfUay8"",""'Interns'!A:A""),
0
)),
""Outreach Conducted"",
"""")"),"")</f>
        <v/>
      </c>
      <c r="AI1551" s="23"/>
      <c r="AJ1551" s="23"/>
      <c r="AK1551" s="23" t="str">
        <f>IFERROR(__xludf.DUMMYFUNCTION("XLOOKUP(C1551, 
   IMPORTRANGE(""1RdEdgHYrZ33LJ7RUHj_h-qkAFL92bcVjtIdVa-UlsCw"", ""Interns!D:D""), 
   IMPORTRANGE(""1RdEdgHYrZ33LJ7RUHj_h-qkAFL92bcVjtIdVa-UlsCw"", ""Interns!M:M""), 
   ""Not Found"")"),"Contacted")</f>
        <v>Contacted</v>
      </c>
      <c r="AL1551" s="23" t="str">
        <f>IFERROR(__xludf.DUMMYFUNCTION("XLOOKUP(C1551, 
   IMPORTRANGE(""1RdEdgHYrZ33LJ7RUHj_h-qkAFL92bcVjtIdVa-UlsCw"", ""Interns!D:D""), 
   IMPORTRANGE(""1RdEdgHYrZ33LJ7RUHj_h-qkAFL92bcVjtIdVa-UlsCw"", ""Interns!N:N""), 
   ""Not Found"")"),"#Cheers4Careers")</f>
        <v>#Cheers4Careers</v>
      </c>
      <c r="AM1551" s="23" t="str">
        <f>IFERROR(__xludf.DUMMYFUNCTION("XLOOKUP(C1551,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551" s="23"/>
      <c r="AO1551" s="23" t="s">
        <v>14648</v>
      </c>
      <c r="AP1551" s="28" t="s">
        <v>5182</v>
      </c>
      <c r="AQ1551" s="28"/>
      <c r="AR1551" s="23"/>
      <c r="AS1551" s="23"/>
      <c r="AT1551" s="23"/>
      <c r="AU1551" s="23"/>
      <c r="AV1551" s="23"/>
    </row>
    <row r="1552">
      <c r="A1552" s="28" t="s">
        <v>5202</v>
      </c>
      <c r="B1552" s="28" t="s">
        <v>5162</v>
      </c>
      <c r="C1552" s="23" t="str">
        <f t="shared" si="39"/>
        <v>Keily Aquino</v>
      </c>
      <c r="D1552" s="28" t="s">
        <v>14649</v>
      </c>
      <c r="E1552" s="28" t="s">
        <v>8093</v>
      </c>
      <c r="F1552" s="23">
        <f t="array" ref="F1552">IFERROR(
    INDEX('Hub Interns 226'!A:A, MATCH(C1552, 'Hub Interns 226'!B:B, 0)),"")</f>
        <v>735</v>
      </c>
      <c r="G1552" s="23">
        <f t="array" ref="G1552">IFERROR(
    INDEX('Hub Users 226'!A:A, MATCH(C1552, 'Hub Users 226'!B:B, 0)),"")</f>
        <v>1168</v>
      </c>
      <c r="H1552" s="28">
        <v>1032.0</v>
      </c>
      <c r="I1552" s="28"/>
      <c r="J1552" s="28"/>
      <c r="K1552" s="28"/>
      <c r="L1552" s="28" t="s">
        <v>5196</v>
      </c>
      <c r="M1552" s="56" t="s">
        <v>14650</v>
      </c>
      <c r="N1552" s="57">
        <v>44663.65555555555</v>
      </c>
      <c r="O1552" s="58">
        <v>40101.0</v>
      </c>
      <c r="P1552" s="28">
        <f t="shared" si="41"/>
        <v>16</v>
      </c>
      <c r="Q1552" s="28" t="s">
        <v>240</v>
      </c>
      <c r="R1552" s="28" t="s">
        <v>14651</v>
      </c>
      <c r="S1552" s="28">
        <v>6.0</v>
      </c>
      <c r="T1552" s="28">
        <v>13.0</v>
      </c>
      <c r="U1552" s="28">
        <v>39.0</v>
      </c>
      <c r="V1552" s="28">
        <v>21.0</v>
      </c>
      <c r="W1552" s="28" t="s">
        <v>1173</v>
      </c>
      <c r="X1552" s="28" t="s">
        <v>272</v>
      </c>
      <c r="Y1552" s="28" t="s">
        <v>14652</v>
      </c>
      <c r="Z1552" s="28" t="s">
        <v>5403</v>
      </c>
      <c r="AA1552" s="28" t="s">
        <v>5404</v>
      </c>
      <c r="AB1552" s="28">
        <v>21.0</v>
      </c>
      <c r="AC1552" s="28" t="s">
        <v>24</v>
      </c>
      <c r="AD1552" s="23"/>
      <c r="AE1552" s="28" t="s">
        <v>10</v>
      </c>
      <c r="AF1552" s="23"/>
      <c r="AG1552" s="23"/>
      <c r="AH1552" s="23" t="str">
        <f>IFERROR(__xludf.DUMMYFUNCTION("IF(
ISNUMBER(MATCH(
C1552,
IMPORTRANGE(""https://docs.google.com/spreadsheets/d/1yTh1ELC33JHYOeEdgIiEclxPRyh0zOKtlawDltfUay8"",""'Interns'!A:A""),
0
)),
""Outreach Conducted"",
"""")"),"")</f>
        <v/>
      </c>
      <c r="AI1552" s="23"/>
      <c r="AJ1552" s="23"/>
      <c r="AK1552" s="23" t="str">
        <f>IFERROR(__xludf.DUMMYFUNCTION("XLOOKUP(C1552, 
   IMPORTRANGE(""1RdEdgHYrZ33LJ7RUHj_h-qkAFL92bcVjtIdVa-UlsCw"", ""Interns!D:D""), 
   IMPORTRANGE(""1RdEdgHYrZ33LJ7RUHj_h-qkAFL92bcVjtIdVa-UlsCw"", ""Interns!M:M""), 
   ""Not Found"")"),"")</f>
        <v/>
      </c>
      <c r="AL1552" s="23" t="str">
        <f>IFERROR(__xludf.DUMMYFUNCTION("XLOOKUP(C1552, 
   IMPORTRANGE(""1RdEdgHYrZ33LJ7RUHj_h-qkAFL92bcVjtIdVa-UlsCw"", ""Interns!D:D""), 
   IMPORTRANGE(""1RdEdgHYrZ33LJ7RUHj_h-qkAFL92bcVjtIdVa-UlsCw"", ""Interns!N:N""), 
   ""Not Found"")"),"")</f>
        <v/>
      </c>
      <c r="AM1552" s="23" t="str">
        <f>IFERROR(__xludf.DUMMYFUNCTION("XLOOKUP(C1552, 
   IMPORTRANGE(""1RdEdgHYrZ33LJ7RUHj_h-qkAFL92bcVjtIdVa-UlsCw"", ""Interns!D:D""), 
   IMPORTRANGE(""1RdEdgHYrZ33LJ7RUHj_h-qkAFL92bcVjtIdVa-UlsCw"", ""Interns!O:O""), 
   ""Not Found"")"),"")</f>
        <v/>
      </c>
      <c r="AN1552" s="23"/>
      <c r="AO1552" s="23" t="s">
        <v>14653</v>
      </c>
      <c r="AP1552" s="28" t="s">
        <v>5191</v>
      </c>
      <c r="AQ1552" s="28"/>
      <c r="AR1552" s="23"/>
      <c r="AS1552" s="23"/>
      <c r="AT1552" s="23"/>
      <c r="AU1552" s="23"/>
      <c r="AV1552" s="23"/>
    </row>
    <row r="1553">
      <c r="A1553" s="28" t="s">
        <v>5161</v>
      </c>
      <c r="B1553" s="28" t="s">
        <v>5162</v>
      </c>
      <c r="C1553" s="23" t="str">
        <f t="shared" si="39"/>
        <v>Joy Patel</v>
      </c>
      <c r="D1553" s="28" t="s">
        <v>1853</v>
      </c>
      <c r="E1553" s="28" t="s">
        <v>487</v>
      </c>
      <c r="F1553" s="23">
        <f t="array" ref="F1553">IFERROR(
    INDEX('Hub Interns 226'!A:A, MATCH(C1553, 'Hub Interns 226'!B:B, 0)),"")</f>
        <v>1765</v>
      </c>
      <c r="G1553" s="23">
        <f t="array" ref="G1553">IFERROR(
    INDEX('Hub Users 226'!A:A, MATCH(C1553, 'Hub Users 226'!B:B, 0)),"")</f>
        <v>2595</v>
      </c>
      <c r="H1553" s="28">
        <v>1671.0</v>
      </c>
      <c r="I1553" s="28" t="s">
        <v>290</v>
      </c>
      <c r="J1553" s="28"/>
      <c r="K1553" s="28"/>
      <c r="L1553" s="28" t="s">
        <v>5165</v>
      </c>
      <c r="M1553" s="56" t="s">
        <v>14654</v>
      </c>
      <c r="N1553" s="59">
        <v>45224.021527777775</v>
      </c>
      <c r="O1553" s="58">
        <v>41146.0</v>
      </c>
      <c r="P1553" s="28">
        <f t="shared" si="41"/>
        <v>13</v>
      </c>
      <c r="Q1553" s="28" t="s">
        <v>14655</v>
      </c>
      <c r="R1553" s="28" t="s">
        <v>14639</v>
      </c>
      <c r="S1553" s="28">
        <v>6.0</v>
      </c>
      <c r="T1553" s="28">
        <v>12.0</v>
      </c>
      <c r="U1553" s="28">
        <v>30.0</v>
      </c>
      <c r="V1553" s="28">
        <v>30.0</v>
      </c>
      <c r="W1553" s="28" t="s">
        <v>1173</v>
      </c>
      <c r="X1553" s="28" t="s">
        <v>272</v>
      </c>
      <c r="Y1553" s="28" t="s">
        <v>14644</v>
      </c>
      <c r="Z1553" s="28" t="s">
        <v>5170</v>
      </c>
      <c r="AA1553" s="28" t="s">
        <v>5171</v>
      </c>
      <c r="AB1553" s="28">
        <v>30.0</v>
      </c>
      <c r="AC1553" s="28" t="s">
        <v>23</v>
      </c>
      <c r="AD1553" s="23"/>
      <c r="AE1553" s="28" t="s">
        <v>18</v>
      </c>
      <c r="AF1553" s="23"/>
      <c r="AG1553" s="26" t="s">
        <v>5615</v>
      </c>
      <c r="AH1553" s="23" t="str">
        <f>IFERROR(__xludf.DUMMYFUNCTION("IF(
ISNUMBER(MATCH(
C1553,
IMPORTRANGE(""https://docs.google.com/spreadsheets/d/1yTh1ELC33JHYOeEdgIiEclxPRyh0zOKtlawDltfUay8"",""'Interns'!A:A""),
0
)),
""Outreach Conducted"",
"""")"),"")</f>
        <v/>
      </c>
      <c r="AI1553" s="23"/>
      <c r="AJ1553" s="23"/>
      <c r="AK1553" s="23" t="str">
        <f>IFERROR(__xludf.DUMMYFUNCTION("XLOOKUP(C1553, 
   IMPORTRANGE(""1RdEdgHYrZ33LJ7RUHj_h-qkAFL92bcVjtIdVa-UlsCw"", ""Interns!D:D""), 
   IMPORTRANGE(""1RdEdgHYrZ33LJ7RUHj_h-qkAFL92bcVjtIdVa-UlsCw"", ""Interns!M:M""), 
   ""Not Found"")"),"In Communication")</f>
        <v>In Communication</v>
      </c>
      <c r="AL1553" s="23" t="str">
        <f>IFERROR(__xludf.DUMMYFUNCTION("XLOOKUP(C1553, 
   IMPORTRANGE(""1RdEdgHYrZ33LJ7RUHj_h-qkAFL92bcVjtIdVa-UlsCw"", ""Interns!D:D""), 
   IMPORTRANGE(""1RdEdgHYrZ33LJ7RUHj_h-qkAFL92bcVjtIdVa-UlsCw"", ""Interns!N:N""), 
   ""Not Found"")"),"#Cheers4Careers")</f>
        <v>#Cheers4Careers</v>
      </c>
      <c r="AM1553" s="23" t="str">
        <f>IFERROR(__xludf.DUMMYFUNCTION("XLOOKUP(C1553, 
   IMPORTRANGE(""1RdEdgHYrZ33LJ7RUHj_h-qkAFL92bcVjtIdVa-UlsCw"", ""Interns!D:D""), 
   IMPORTRANGE(""1RdEdgHYrZ33LJ7RUHj_h-qkAFL92bcVjtIdVa-UlsCw"", ""Interns!O:O""), 
   ""Not Found"")"),"Hetal reached out March 27 for March #Cheers4 Careers and text to sister -- Joy has Lacrosse meet and can't attend this one")</f>
        <v>Hetal reached out March 27 for March #Cheers4 Careers and text to sister -- Joy has Lacrosse meet and can't attend this one</v>
      </c>
      <c r="AN1553" s="23"/>
      <c r="AO1553" s="23" t="s">
        <v>14656</v>
      </c>
      <c r="AP1553" s="28" t="s">
        <v>5191</v>
      </c>
      <c r="AQ1553" s="28"/>
      <c r="AR1553" s="23"/>
      <c r="AS1553" s="23"/>
      <c r="AT1553" s="23"/>
      <c r="AU1553" s="23"/>
      <c r="AV1553" s="23"/>
    </row>
    <row r="1554">
      <c r="A1554" s="28" t="s">
        <v>5161</v>
      </c>
      <c r="B1554" s="28" t="s">
        <v>5162</v>
      </c>
      <c r="C1554" s="23" t="str">
        <f t="shared" si="39"/>
        <v>Jackeline Susano Moran</v>
      </c>
      <c r="D1554" s="28" t="s">
        <v>5604</v>
      </c>
      <c r="E1554" s="28" t="s">
        <v>5605</v>
      </c>
      <c r="F1554" s="23">
        <f t="array" ref="F1554">IFERROR(
    INDEX('Hub Interns 226'!A:A, MATCH(C1554, 'Hub Interns 226'!B:B, 0)),"")</f>
        <v>615</v>
      </c>
      <c r="G1554" s="23">
        <f t="array" ref="G1554">IFERROR(
    INDEX('Hub Users 226'!A:A, MATCH(C1554, 'Hub Users 226'!B:B, 0)),"")</f>
        <v>1047</v>
      </c>
      <c r="H1554" s="28">
        <v>1430.0</v>
      </c>
      <c r="I1554" s="28" t="s">
        <v>239</v>
      </c>
      <c r="J1554" s="28"/>
      <c r="K1554" s="28"/>
      <c r="L1554" s="28" t="s">
        <v>5196</v>
      </c>
      <c r="M1554" s="56" t="s">
        <v>14657</v>
      </c>
      <c r="N1554" s="57">
        <v>44869.58194444444</v>
      </c>
      <c r="O1554" s="58">
        <v>39898.0</v>
      </c>
      <c r="P1554" s="28">
        <f t="shared" si="41"/>
        <v>17</v>
      </c>
      <c r="Q1554" s="28" t="s">
        <v>240</v>
      </c>
      <c r="R1554" s="28" t="s">
        <v>14658</v>
      </c>
      <c r="S1554" s="28">
        <v>14.0</v>
      </c>
      <c r="T1554" s="28">
        <v>13.0</v>
      </c>
      <c r="U1554" s="28">
        <v>39.0</v>
      </c>
      <c r="V1554" s="28">
        <v>21.0</v>
      </c>
      <c r="W1554" s="28" t="s">
        <v>1173</v>
      </c>
      <c r="X1554" s="28" t="s">
        <v>272</v>
      </c>
      <c r="Y1554" s="28" t="s">
        <v>5608</v>
      </c>
      <c r="Z1554" s="28" t="s">
        <v>5403</v>
      </c>
      <c r="AA1554" s="28" t="s">
        <v>5404</v>
      </c>
      <c r="AB1554" s="28">
        <v>21.0</v>
      </c>
      <c r="AC1554" s="28" t="s">
        <v>23</v>
      </c>
      <c r="AD1554" s="23"/>
      <c r="AE1554" s="28" t="s">
        <v>15</v>
      </c>
      <c r="AF1554" s="23"/>
      <c r="AG1554" s="26" t="s">
        <v>5697</v>
      </c>
      <c r="AH1554" s="23" t="str">
        <f>IFERROR(__xludf.DUMMYFUNCTION("IF(
ISNUMBER(MATCH(
C1554,
IMPORTRANGE(""https://docs.google.com/spreadsheets/d/1yTh1ELC33JHYOeEdgIiEclxPRyh0zOKtlawDltfUay8"",""'Interns'!A:A""),
0
)),
""Outreach Conducted"",
"""")"),"Outreach Conducted")</f>
        <v>Outreach Conducted</v>
      </c>
      <c r="AI1554" s="23"/>
      <c r="AJ1554" s="23"/>
      <c r="AK1554" s="23" t="str">
        <f>IFERROR(__xludf.DUMMYFUNCTION("XLOOKUP(C1554, 
   IMPORTRANGE(""1RdEdgHYrZ33LJ7RUHj_h-qkAFL92bcVjtIdVa-UlsCw"", ""Interns!D:D""), 
   IMPORTRANGE(""1RdEdgHYrZ33LJ7RUHj_h-qkAFL92bcVjtIdVa-UlsCw"", ""Interns!M:M""), 
   ""Not Found"")"),"RSVP'd")</f>
        <v>RSVP'd</v>
      </c>
      <c r="AL1554" s="23" t="str">
        <f>IFERROR(__xludf.DUMMYFUNCTION("XLOOKUP(C1554, 
   IMPORTRANGE(""1RdEdgHYrZ33LJ7RUHj_h-qkAFL92bcVjtIdVa-UlsCw"", ""Interns!D:D""), 
   IMPORTRANGE(""1RdEdgHYrZ33LJ7RUHj_h-qkAFL92bcVjtIdVa-UlsCw"", ""Interns!N:N""), 
   ""Not Found"")"),"#Cheers4Careers")</f>
        <v>#Cheers4Careers</v>
      </c>
      <c r="AM1554" s="23" t="str">
        <f>IFERROR(__xludf.DUMMYFUNCTION("XLOOKUP(C1554, 
   IMPORTRANGE(""1RdEdgHYrZ33LJ7RUHj_h-qkAFL92bcVjtIdVa-UlsCw"", ""Interns!D:D""), 
   IMPORTRANGE(""1RdEdgHYrZ33LJ7RUHj_h-qkAFL92bcVjtIdVa-UlsCw"", ""Interns!O:O""), 
   ""Not Found"")"),"Thats Jackies previous info, i am registered though")</f>
        <v>Thats Jackies previous info, i am registered though</v>
      </c>
      <c r="AN1554" s="23"/>
      <c r="AO1554" s="23" t="s">
        <v>14659</v>
      </c>
      <c r="AP1554" s="28" t="s">
        <v>5182</v>
      </c>
      <c r="AQ1554" s="28"/>
      <c r="AR1554" s="23"/>
      <c r="AS1554" s="23"/>
      <c r="AT1554" s="23"/>
      <c r="AU1554" s="23"/>
      <c r="AV1554" s="23"/>
    </row>
    <row r="1555">
      <c r="A1555" s="28" t="s">
        <v>5161</v>
      </c>
      <c r="B1555" s="28" t="s">
        <v>5162</v>
      </c>
      <c r="C1555" s="23" t="str">
        <f t="shared" si="39"/>
        <v>Terrence Mariano</v>
      </c>
      <c r="D1555" s="28" t="s">
        <v>13620</v>
      </c>
      <c r="E1555" s="28" t="s">
        <v>14660</v>
      </c>
      <c r="F1555" s="23">
        <f t="array" ref="F1555">IFERROR(
    INDEX('Hub Interns 226'!A:A, MATCH(C1555, 'Hub Interns 226'!B:B, 0)),"")</f>
        <v>995</v>
      </c>
      <c r="G1555" s="23">
        <f t="array" ref="G1555">IFERROR(
    INDEX('Hub Users 226'!A:A, MATCH(C1555, 'Hub Users 226'!B:B, 0)),"")</f>
        <v>1428</v>
      </c>
      <c r="H1555" s="28">
        <v>1582.0</v>
      </c>
      <c r="I1555" s="28"/>
      <c r="J1555" s="28"/>
      <c r="K1555" s="28"/>
      <c r="L1555" s="28" t="s">
        <v>5165</v>
      </c>
      <c r="M1555" s="56" t="s">
        <v>14661</v>
      </c>
      <c r="N1555" s="57">
        <v>45016.384722222225</v>
      </c>
      <c r="O1555" s="58">
        <v>40513.0</v>
      </c>
      <c r="P1555" s="28">
        <f t="shared" si="41"/>
        <v>15</v>
      </c>
      <c r="Q1555" s="28" t="s">
        <v>240</v>
      </c>
      <c r="R1555" s="28" t="s">
        <v>14639</v>
      </c>
      <c r="S1555" s="28">
        <v>6.0</v>
      </c>
      <c r="T1555" s="28">
        <v>12.0</v>
      </c>
      <c r="U1555" s="28">
        <v>30.0</v>
      </c>
      <c r="V1555" s="28">
        <v>30.0</v>
      </c>
      <c r="W1555" s="28" t="s">
        <v>1173</v>
      </c>
      <c r="X1555" s="28" t="s">
        <v>272</v>
      </c>
      <c r="Y1555" s="28" t="s">
        <v>5169</v>
      </c>
      <c r="Z1555" s="28" t="s">
        <v>5170</v>
      </c>
      <c r="AA1555" s="28" t="s">
        <v>5171</v>
      </c>
      <c r="AB1555" s="28">
        <v>30.0</v>
      </c>
      <c r="AC1555" s="28" t="s">
        <v>23</v>
      </c>
      <c r="AD1555" s="28" t="s">
        <v>101</v>
      </c>
      <c r="AE1555" s="28" t="s">
        <v>15</v>
      </c>
      <c r="AF1555" s="23"/>
      <c r="AG1555" s="23"/>
      <c r="AH1555" s="23" t="str">
        <f>IFERROR(__xludf.DUMMYFUNCTION("IF(
ISNUMBER(MATCH(
C1555,
IMPORTRANGE(""https://docs.google.com/spreadsheets/d/1yTh1ELC33JHYOeEdgIiEclxPRyh0zOKtlawDltfUay8"",""'Interns'!A:A""),
0
)),
""Outreach Conducted"",
"""")"),"")</f>
        <v/>
      </c>
      <c r="AI1555" s="23"/>
      <c r="AJ1555" s="23"/>
      <c r="AK1555" s="23" t="str">
        <f>IFERROR(__xludf.DUMMYFUNCTION("XLOOKUP(C1555, 
   IMPORTRANGE(""1RdEdgHYrZ33LJ7RUHj_h-qkAFL92bcVjtIdVa-UlsCw"", ""Interns!D:D""), 
   IMPORTRANGE(""1RdEdgHYrZ33LJ7RUHj_h-qkAFL92bcVjtIdVa-UlsCw"", ""Interns!M:M""), 
   ""Not Found"")"),"Contacted")</f>
        <v>Contacted</v>
      </c>
      <c r="AL1555" s="23" t="str">
        <f>IFERROR(__xludf.DUMMYFUNCTION("XLOOKUP(C1555, 
   IMPORTRANGE(""1RdEdgHYrZ33LJ7RUHj_h-qkAFL92bcVjtIdVa-UlsCw"", ""Interns!D:D""), 
   IMPORTRANGE(""1RdEdgHYrZ33LJ7RUHj_h-qkAFL92bcVjtIdVa-UlsCw"", ""Interns!N:N""), 
   ""Not Found"")"),"#Cheers4Careers")</f>
        <v>#Cheers4Careers</v>
      </c>
      <c r="AM1555" s="23" t="str">
        <f>IFERROR(__xludf.DUMMYFUNCTION("XLOOKUP(C1555, 
   IMPORTRANGE(""1RdEdgHYrZ33LJ7RUHj_h-qkAFL92bcVjtIdVa-UlsCw"", ""Interns!D:D""), 
   IMPORTRANGE(""1RdEdgHYrZ33LJ7RUHj_h-qkAFL92bcVjtIdVa-UlsCw"", ""Interns!O:O""), 
   ""Not Found"")"),"Hetal reached out March 27 for March #Cheers4 Careers ")</f>
        <v>Hetal reached out March 27 for March #Cheers4 Careers </v>
      </c>
      <c r="AN1555" s="23"/>
      <c r="AO1555" s="23" t="s">
        <v>14662</v>
      </c>
      <c r="AP1555" s="28" t="s">
        <v>5182</v>
      </c>
      <c r="AQ1555" s="28"/>
      <c r="AR1555" s="23"/>
      <c r="AS1555" s="23"/>
      <c r="AT1555" s="23"/>
      <c r="AU1555" s="23"/>
      <c r="AV1555" s="23"/>
    </row>
    <row r="1556">
      <c r="A1556" s="28" t="s">
        <v>5161</v>
      </c>
      <c r="B1556" s="28" t="s">
        <v>5162</v>
      </c>
      <c r="C1556" s="23" t="str">
        <f t="shared" si="39"/>
        <v>Darielkys Tavarez</v>
      </c>
      <c r="D1556" s="28" t="s">
        <v>14663</v>
      </c>
      <c r="E1556" s="28" t="s">
        <v>7048</v>
      </c>
      <c r="F1556" s="23">
        <f t="array" ref="F1556">IFERROR(
    INDEX('Hub Interns 226'!A:A, MATCH(C1556, 'Hub Interns 226'!B:B, 0)),"")</f>
        <v>413</v>
      </c>
      <c r="G1556" s="23">
        <f t="array" ref="G1556">IFERROR(
    INDEX('Hub Users 226'!A:A, MATCH(C1556, 'Hub Users 226'!B:B, 0)),"")</f>
        <v>846</v>
      </c>
      <c r="H1556" s="28">
        <v>1598.0</v>
      </c>
      <c r="I1556" s="28"/>
      <c r="J1556" s="28"/>
      <c r="K1556" s="28"/>
      <c r="L1556" s="28" t="s">
        <v>5196</v>
      </c>
      <c r="M1556" s="56" t="s">
        <v>14664</v>
      </c>
      <c r="N1556" s="57">
        <v>45016.395833333336</v>
      </c>
      <c r="O1556" s="58">
        <v>40541.0</v>
      </c>
      <c r="P1556" s="28">
        <f t="shared" si="41"/>
        <v>15</v>
      </c>
      <c r="Q1556" s="28" t="s">
        <v>240</v>
      </c>
      <c r="R1556" s="28" t="s">
        <v>14665</v>
      </c>
      <c r="S1556" s="28">
        <v>6.0</v>
      </c>
      <c r="T1556" s="28">
        <v>12.0</v>
      </c>
      <c r="U1556" s="28">
        <v>30.0</v>
      </c>
      <c r="V1556" s="28">
        <v>30.0</v>
      </c>
      <c r="W1556" s="28" t="s">
        <v>380</v>
      </c>
      <c r="X1556" s="28" t="s">
        <v>381</v>
      </c>
      <c r="Y1556" s="28" t="s">
        <v>5169</v>
      </c>
      <c r="Z1556" s="28" t="s">
        <v>5170</v>
      </c>
      <c r="AA1556" s="28" t="s">
        <v>5171</v>
      </c>
      <c r="AB1556" s="28">
        <v>30.0</v>
      </c>
      <c r="AC1556" s="28" t="s">
        <v>23</v>
      </c>
      <c r="AD1556" s="23"/>
      <c r="AE1556" s="28" t="s">
        <v>15</v>
      </c>
      <c r="AF1556" s="23"/>
      <c r="AG1556" s="23"/>
      <c r="AH1556" s="23" t="str">
        <f>IFERROR(__xludf.DUMMYFUNCTION("IF(
ISNUMBER(MATCH(
C1556,
IMPORTRANGE(""https://docs.google.com/spreadsheets/d/1yTh1ELC33JHYOeEdgIiEclxPRyh0zOKtlawDltfUay8"",""'Interns'!A:A""),
0
)),
""Outreach Conducted"",
"""")"),"")</f>
        <v/>
      </c>
      <c r="AI1556" s="23"/>
      <c r="AJ1556" s="23"/>
      <c r="AK1556" s="23" t="str">
        <f>IFERROR(__xludf.DUMMYFUNCTION("XLOOKUP(C1556, 
   IMPORTRANGE(""1RdEdgHYrZ33LJ7RUHj_h-qkAFL92bcVjtIdVa-UlsCw"", ""Interns!D:D""), 
   IMPORTRANGE(""1RdEdgHYrZ33LJ7RUHj_h-qkAFL92bcVjtIdVa-UlsCw"", ""Interns!M:M""), 
   ""Not Found"")"),"Contacted")</f>
        <v>Contacted</v>
      </c>
      <c r="AL1556" s="23" t="str">
        <f>IFERROR(__xludf.DUMMYFUNCTION("XLOOKUP(C1556, 
   IMPORTRANGE(""1RdEdgHYrZ33LJ7RUHj_h-qkAFL92bcVjtIdVa-UlsCw"", ""Interns!D:D""), 
   IMPORTRANGE(""1RdEdgHYrZ33LJ7RUHj_h-qkAFL92bcVjtIdVa-UlsCw"", ""Interns!N:N""), 
   ""Not Found"")"),"#Cheers4Careers")</f>
        <v>#Cheers4Careers</v>
      </c>
      <c r="AM1556" s="23" t="str">
        <f>IFERROR(__xludf.DUMMYFUNCTION("XLOOKUP(C1556, 
   IMPORTRANGE(""1RdEdgHYrZ33LJ7RUHj_h-qkAFL92bcVjtIdVa-UlsCw"", ""Interns!D:D""), 
   IMPORTRANGE(""1RdEdgHYrZ33LJ7RUHj_h-qkAFL92bcVjtIdVa-UlsCw"", ""Interns!O:O""), 
   ""Not Found"")"),"Hetal reached out March 27 for March #Cheers4 Careers ")</f>
        <v>Hetal reached out March 27 for March #Cheers4 Careers </v>
      </c>
      <c r="AN1556" s="23"/>
      <c r="AO1556" s="23" t="s">
        <v>14666</v>
      </c>
      <c r="AP1556" s="28" t="s">
        <v>5240</v>
      </c>
      <c r="AQ1556" s="28"/>
      <c r="AR1556" s="23"/>
      <c r="AS1556" s="23"/>
      <c r="AT1556" s="23"/>
      <c r="AU1556" s="23"/>
      <c r="AV1556" s="23"/>
    </row>
    <row r="1557">
      <c r="A1557" s="28" t="s">
        <v>5161</v>
      </c>
      <c r="B1557" s="28" t="s">
        <v>5162</v>
      </c>
      <c r="C1557" s="23" t="str">
        <f t="shared" si="39"/>
        <v>Mary Carchi</v>
      </c>
      <c r="D1557" s="28" t="s">
        <v>5634</v>
      </c>
      <c r="E1557" s="28" t="s">
        <v>9261</v>
      </c>
      <c r="F1557" s="23">
        <f t="array" ref="F1557">IFERROR(
    INDEX('Hub Interns 226'!A:A, MATCH(C1557, 'Hub Interns 226'!B:B, 0)),"")</f>
        <v>854</v>
      </c>
      <c r="G1557" s="23">
        <f t="array" ref="G1557">IFERROR(
    INDEX('Hub Users 226'!A:A, MATCH(C1557, 'Hub Users 226'!B:B, 0)),"")</f>
        <v>1287</v>
      </c>
      <c r="H1557" s="28">
        <v>1600.0</v>
      </c>
      <c r="I1557" s="28"/>
      <c r="J1557" s="28"/>
      <c r="K1557" s="28"/>
      <c r="L1557" s="28" t="s">
        <v>5196</v>
      </c>
      <c r="M1557" s="56" t="s">
        <v>14667</v>
      </c>
      <c r="N1557" s="57">
        <v>45016.396527777775</v>
      </c>
      <c r="O1557" s="58">
        <v>40482.0</v>
      </c>
      <c r="P1557" s="28">
        <f t="shared" si="41"/>
        <v>15</v>
      </c>
      <c r="Q1557" s="28" t="s">
        <v>240</v>
      </c>
      <c r="R1557" s="28" t="s">
        <v>14668</v>
      </c>
      <c r="S1557" s="28">
        <v>6.0</v>
      </c>
      <c r="T1557" s="28">
        <v>12.0</v>
      </c>
      <c r="U1557" s="28">
        <v>30.0</v>
      </c>
      <c r="V1557" s="28">
        <v>30.0</v>
      </c>
      <c r="W1557" s="28" t="s">
        <v>1173</v>
      </c>
      <c r="X1557" s="28" t="s">
        <v>272</v>
      </c>
      <c r="Y1557" s="28" t="s">
        <v>5169</v>
      </c>
      <c r="Z1557" s="28" t="s">
        <v>5170</v>
      </c>
      <c r="AA1557" s="28" t="s">
        <v>5171</v>
      </c>
      <c r="AB1557" s="28">
        <v>30.0</v>
      </c>
      <c r="AC1557" s="28" t="s">
        <v>23</v>
      </c>
      <c r="AD1557" s="23"/>
      <c r="AE1557" s="28" t="s">
        <v>15</v>
      </c>
      <c r="AF1557" s="23"/>
      <c r="AG1557" s="23"/>
      <c r="AH1557" s="23" t="str">
        <f>IFERROR(__xludf.DUMMYFUNCTION("IF(
ISNUMBER(MATCH(
C1557,
IMPORTRANGE(""https://docs.google.com/spreadsheets/d/1yTh1ELC33JHYOeEdgIiEclxPRyh0zOKtlawDltfUay8"",""'Interns'!A:A""),
0
)),
""Outreach Conducted"",
"""")"),"")</f>
        <v/>
      </c>
      <c r="AI1557" s="23"/>
      <c r="AJ1557" s="23"/>
      <c r="AK1557" s="23" t="str">
        <f>IFERROR(__xludf.DUMMYFUNCTION("XLOOKUP(C1557, 
   IMPORTRANGE(""1RdEdgHYrZ33LJ7RUHj_h-qkAFL92bcVjtIdVa-UlsCw"", ""Interns!D:D""), 
   IMPORTRANGE(""1RdEdgHYrZ33LJ7RUHj_h-qkAFL92bcVjtIdVa-UlsCw"", ""Interns!M:M""), 
   ""Not Found"")"),"Contacted")</f>
        <v>Contacted</v>
      </c>
      <c r="AL1557" s="23" t="str">
        <f>IFERROR(__xludf.DUMMYFUNCTION("XLOOKUP(C1557, 
   IMPORTRANGE(""1RdEdgHYrZ33LJ7RUHj_h-qkAFL92bcVjtIdVa-UlsCw"", ""Interns!D:D""), 
   IMPORTRANGE(""1RdEdgHYrZ33LJ7RUHj_h-qkAFL92bcVjtIdVa-UlsCw"", ""Interns!N:N""), 
   ""Not Found"")"),"#Cheers4Careers")</f>
        <v>#Cheers4Careers</v>
      </c>
      <c r="AM1557" s="23" t="str">
        <f>IFERROR(__xludf.DUMMYFUNCTION("XLOOKUP(C1557, 
   IMPORTRANGE(""1RdEdgHYrZ33LJ7RUHj_h-qkAFL92bcVjtIdVa-UlsCw"", ""Interns!D:D""), 
   IMPORTRANGE(""1RdEdgHYrZ33LJ7RUHj_h-qkAFL92bcVjtIdVa-UlsCw"", ""Interns!O:O""), 
   ""Not Found"")"),"Hetal reached out March 27 for March #Cheers4 Careers ")</f>
        <v>Hetal reached out March 27 for March #Cheers4 Careers </v>
      </c>
      <c r="AN1557" s="23"/>
      <c r="AO1557" s="23" t="s">
        <v>14669</v>
      </c>
      <c r="AP1557" s="28" t="s">
        <v>5182</v>
      </c>
      <c r="AQ1557" s="28"/>
      <c r="AR1557" s="23"/>
      <c r="AS1557" s="23"/>
      <c r="AT1557" s="23"/>
      <c r="AU1557" s="23"/>
      <c r="AV1557" s="23"/>
    </row>
    <row r="1558">
      <c r="A1558" s="28" t="s">
        <v>5161</v>
      </c>
      <c r="B1558" s="28" t="s">
        <v>5162</v>
      </c>
      <c r="C1558" s="23" t="str">
        <f t="shared" si="39"/>
        <v>Brianna Cajamarca</v>
      </c>
      <c r="D1558" s="28" t="s">
        <v>5354</v>
      </c>
      <c r="E1558" s="28" t="s">
        <v>14670</v>
      </c>
      <c r="F1558" s="23">
        <f t="array" ref="F1558">IFERROR(
    INDEX('Hub Interns 226'!A:A, MATCH(C1558, 'Hub Interns 226'!B:B, 0)),"")</f>
        <v>316</v>
      </c>
      <c r="G1558" s="23">
        <f t="array" ref="G1558">IFERROR(
    INDEX('Hub Users 226'!A:A, MATCH(C1558, 'Hub Users 226'!B:B, 0)),"")</f>
        <v>749</v>
      </c>
      <c r="H1558" s="28">
        <v>1578.0</v>
      </c>
      <c r="I1558" s="28"/>
      <c r="J1558" s="28"/>
      <c r="K1558" s="28"/>
      <c r="L1558" s="28" t="s">
        <v>8087</v>
      </c>
      <c r="M1558" s="56" t="s">
        <v>14671</v>
      </c>
      <c r="N1558" s="57">
        <v>45016.38333333333</v>
      </c>
      <c r="O1558" s="58">
        <v>40496.0</v>
      </c>
      <c r="P1558" s="28">
        <f t="shared" si="41"/>
        <v>15</v>
      </c>
      <c r="Q1558" s="28" t="s">
        <v>240</v>
      </c>
      <c r="R1558" s="28" t="s">
        <v>14672</v>
      </c>
      <c r="S1558" s="28">
        <v>6.0</v>
      </c>
      <c r="T1558" s="28">
        <v>12.0</v>
      </c>
      <c r="U1558" s="28">
        <v>30.0</v>
      </c>
      <c r="V1558" s="28">
        <v>30.0</v>
      </c>
      <c r="W1558" s="28" t="s">
        <v>1173</v>
      </c>
      <c r="X1558" s="28" t="s">
        <v>272</v>
      </c>
      <c r="Y1558" s="28" t="s">
        <v>5169</v>
      </c>
      <c r="Z1558" s="28" t="s">
        <v>5170</v>
      </c>
      <c r="AA1558" s="28" t="s">
        <v>5171</v>
      </c>
      <c r="AB1558" s="28">
        <v>30.0</v>
      </c>
      <c r="AC1558" s="28" t="s">
        <v>23</v>
      </c>
      <c r="AD1558" s="23"/>
      <c r="AE1558" s="28" t="s">
        <v>15</v>
      </c>
      <c r="AF1558" s="23"/>
      <c r="AG1558" s="23"/>
      <c r="AH1558" s="23" t="str">
        <f>IFERROR(__xludf.DUMMYFUNCTION("IF(
ISNUMBER(MATCH(
C1558,
IMPORTRANGE(""https://docs.google.com/spreadsheets/d/1yTh1ELC33JHYOeEdgIiEclxPRyh0zOKtlawDltfUay8"",""'Interns'!A:A""),
0
)),
""Outreach Conducted"",
"""")"),"")</f>
        <v/>
      </c>
      <c r="AI1558" s="23"/>
      <c r="AJ1558" s="23"/>
      <c r="AK1558" s="23" t="str">
        <f>IFERROR(__xludf.DUMMYFUNCTION("XLOOKUP(C1558, 
   IMPORTRANGE(""1RdEdgHYrZ33LJ7RUHj_h-qkAFL92bcVjtIdVa-UlsCw"", ""Interns!D:D""), 
   IMPORTRANGE(""1RdEdgHYrZ33LJ7RUHj_h-qkAFL92bcVjtIdVa-UlsCw"", ""Interns!M:M""), 
   ""Not Found"")"),"Contacted")</f>
        <v>Contacted</v>
      </c>
      <c r="AL1558" s="23" t="str">
        <f>IFERROR(__xludf.DUMMYFUNCTION("XLOOKUP(C1558, 
   IMPORTRANGE(""1RdEdgHYrZ33LJ7RUHj_h-qkAFL92bcVjtIdVa-UlsCw"", ""Interns!D:D""), 
   IMPORTRANGE(""1RdEdgHYrZ33LJ7RUHj_h-qkAFL92bcVjtIdVa-UlsCw"", ""Interns!N:N""), 
   ""Not Found"")"),"#Cheers4Careers")</f>
        <v>#Cheers4Careers</v>
      </c>
      <c r="AM1558" s="23" t="str">
        <f>IFERROR(__xludf.DUMMYFUNCTION("XLOOKUP(C1558, 
   IMPORTRANGE(""1RdEdgHYrZ33LJ7RUHj_h-qkAFL92bcVjtIdVa-UlsCw"", ""Interns!D:D""), 
   IMPORTRANGE(""1RdEdgHYrZ33LJ7RUHj_h-qkAFL92bcVjtIdVa-UlsCw"", ""Interns!O:O""), 
   ""Not Found"")"),"Hetal reached out March 27 for March #Cheers4 Careers ")</f>
        <v>Hetal reached out March 27 for March #Cheers4 Careers </v>
      </c>
      <c r="AN1558" s="23"/>
      <c r="AO1558" s="23" t="s">
        <v>14673</v>
      </c>
      <c r="AP1558" s="28" t="s">
        <v>5191</v>
      </c>
      <c r="AQ1558" s="28"/>
      <c r="AR1558" s="23"/>
      <c r="AS1558" s="23"/>
      <c r="AT1558" s="23"/>
      <c r="AU1558" s="23"/>
      <c r="AV1558" s="23"/>
    </row>
    <row r="1559">
      <c r="A1559" s="28" t="s">
        <v>5202</v>
      </c>
      <c r="B1559" s="28" t="s">
        <v>5162</v>
      </c>
      <c r="C1559" s="23" t="str">
        <f t="shared" si="39"/>
        <v>Saul dutan</v>
      </c>
      <c r="D1559" s="28" t="s">
        <v>14674</v>
      </c>
      <c r="E1559" s="28" t="s">
        <v>14675</v>
      </c>
      <c r="F1559" s="23">
        <f t="array" ref="F1559">IFERROR(
    INDEX('Hub Interns 226'!A:A, MATCH(C1559, 'Hub Interns 226'!B:B, 0)),"")</f>
        <v>544</v>
      </c>
      <c r="G1559" s="23">
        <f t="array" ref="G1559">IFERROR(
    INDEX('Hub Users 226'!A:A, MATCH(C1559, 'Hub Users 226'!B:B, 0)),"")</f>
        <v>977</v>
      </c>
      <c r="H1559" s="28">
        <v>1029.0</v>
      </c>
      <c r="I1559" s="28"/>
      <c r="J1559" s="28"/>
      <c r="K1559" s="28"/>
      <c r="L1559" s="28" t="s">
        <v>5165</v>
      </c>
      <c r="M1559" s="56" t="s">
        <v>14676</v>
      </c>
      <c r="N1559" s="57">
        <v>44663.635416666664</v>
      </c>
      <c r="O1559" s="58">
        <v>40021.0</v>
      </c>
      <c r="P1559" s="28">
        <f t="shared" si="41"/>
        <v>16</v>
      </c>
      <c r="Q1559" s="28" t="s">
        <v>240</v>
      </c>
      <c r="R1559" s="28" t="s">
        <v>14677</v>
      </c>
      <c r="S1559" s="28">
        <v>14.0</v>
      </c>
      <c r="T1559" s="28">
        <v>13.0</v>
      </c>
      <c r="U1559" s="28">
        <v>35.0</v>
      </c>
      <c r="V1559" s="28">
        <v>21.0</v>
      </c>
      <c r="W1559" s="28" t="s">
        <v>1173</v>
      </c>
      <c r="X1559" s="28" t="s">
        <v>272</v>
      </c>
      <c r="Y1559" s="28" t="s">
        <v>14678</v>
      </c>
      <c r="Z1559" s="28" t="s">
        <v>5403</v>
      </c>
      <c r="AA1559" s="28" t="s">
        <v>5404</v>
      </c>
      <c r="AB1559" s="28">
        <v>21.0</v>
      </c>
      <c r="AC1559" s="28" t="s">
        <v>24</v>
      </c>
      <c r="AD1559" s="23"/>
      <c r="AE1559" s="28" t="s">
        <v>10</v>
      </c>
      <c r="AF1559" s="23"/>
      <c r="AG1559" s="23"/>
      <c r="AH1559" s="23" t="str">
        <f>IFERROR(__xludf.DUMMYFUNCTION("IF(
ISNUMBER(MATCH(
C1559,
IMPORTRANGE(""https://docs.google.com/spreadsheets/d/1yTh1ELC33JHYOeEdgIiEclxPRyh0zOKtlawDltfUay8"",""'Interns'!A:A""),
0
)),
""Outreach Conducted"",
"""")"),"")</f>
        <v/>
      </c>
      <c r="AI1559" s="23"/>
      <c r="AJ1559" s="23"/>
      <c r="AK1559" s="23" t="str">
        <f>IFERROR(__xludf.DUMMYFUNCTION("XLOOKUP(C1559, 
   IMPORTRANGE(""1RdEdgHYrZ33LJ7RUHj_h-qkAFL92bcVjtIdVa-UlsCw"", ""Interns!D:D""), 
   IMPORTRANGE(""1RdEdgHYrZ33LJ7RUHj_h-qkAFL92bcVjtIdVa-UlsCw"", ""Interns!M:M""), 
   ""Not Found"")"),"")</f>
        <v/>
      </c>
      <c r="AL1559" s="23" t="str">
        <f>IFERROR(__xludf.DUMMYFUNCTION("XLOOKUP(C1559, 
   IMPORTRANGE(""1RdEdgHYrZ33LJ7RUHj_h-qkAFL92bcVjtIdVa-UlsCw"", ""Interns!D:D""), 
   IMPORTRANGE(""1RdEdgHYrZ33LJ7RUHj_h-qkAFL92bcVjtIdVa-UlsCw"", ""Interns!N:N""), 
   ""Not Found"")"),"")</f>
        <v/>
      </c>
      <c r="AM1559" s="23" t="str">
        <f>IFERROR(__xludf.DUMMYFUNCTION("XLOOKUP(C1559, 
   IMPORTRANGE(""1RdEdgHYrZ33LJ7RUHj_h-qkAFL92bcVjtIdVa-UlsCw"", ""Interns!D:D""), 
   IMPORTRANGE(""1RdEdgHYrZ33LJ7RUHj_h-qkAFL92bcVjtIdVa-UlsCw"", ""Interns!O:O""), 
   ""Not Found"")"),"")</f>
        <v/>
      </c>
      <c r="AN1559" s="23"/>
      <c r="AO1559" s="23" t="s">
        <v>14679</v>
      </c>
      <c r="AP1559" s="28" t="s">
        <v>5182</v>
      </c>
      <c r="AQ1559" s="28"/>
      <c r="AR1559" s="23"/>
      <c r="AS1559" s="23"/>
      <c r="AT1559" s="23"/>
      <c r="AU1559" s="23"/>
      <c r="AV1559" s="23"/>
    </row>
    <row r="1560">
      <c r="A1560" s="28" t="s">
        <v>5161</v>
      </c>
      <c r="B1560" s="28" t="s">
        <v>5162</v>
      </c>
      <c r="C1560" s="23" t="str">
        <f t="shared" si="39"/>
        <v>Brenda Perez</v>
      </c>
      <c r="D1560" s="28" t="s">
        <v>738</v>
      </c>
      <c r="E1560" s="28" t="s">
        <v>5175</v>
      </c>
      <c r="F1560" s="23">
        <f t="array" ref="F1560">IFERROR(
    INDEX('Hub Interns 226'!A:A, MATCH(C1560, 'Hub Interns 226'!B:B, 0)),"")</f>
        <v>315</v>
      </c>
      <c r="G1560" s="23">
        <f t="array" ref="G1560">IFERROR(
    INDEX('Hub Users 226'!A:A, MATCH(C1560, 'Hub Users 226'!B:B, 0)),"")</f>
        <v>748</v>
      </c>
      <c r="H1560" s="28">
        <v>1602.0</v>
      </c>
      <c r="I1560" s="28"/>
      <c r="J1560" s="28"/>
      <c r="K1560" s="28"/>
      <c r="L1560" s="28" t="s">
        <v>5196</v>
      </c>
      <c r="M1560" s="56" t="s">
        <v>14680</v>
      </c>
      <c r="N1560" s="57">
        <v>45016.39722222222</v>
      </c>
      <c r="O1560" s="58">
        <v>40505.0</v>
      </c>
      <c r="P1560" s="28">
        <f t="shared" si="41"/>
        <v>15</v>
      </c>
      <c r="Q1560" s="28" t="s">
        <v>240</v>
      </c>
      <c r="R1560" s="28" t="s">
        <v>14681</v>
      </c>
      <c r="S1560" s="28">
        <v>6.0</v>
      </c>
      <c r="T1560" s="28">
        <v>12.0</v>
      </c>
      <c r="U1560" s="28">
        <v>30.0</v>
      </c>
      <c r="V1560" s="28">
        <v>30.0</v>
      </c>
      <c r="W1560" s="28" t="s">
        <v>1173</v>
      </c>
      <c r="X1560" s="28" t="s">
        <v>272</v>
      </c>
      <c r="Y1560" s="28" t="s">
        <v>14682</v>
      </c>
      <c r="Z1560" s="28" t="s">
        <v>5170</v>
      </c>
      <c r="AA1560" s="28" t="s">
        <v>5171</v>
      </c>
      <c r="AB1560" s="28">
        <v>30.0</v>
      </c>
      <c r="AC1560" s="28" t="s">
        <v>23</v>
      </c>
      <c r="AD1560" s="23"/>
      <c r="AE1560" s="28" t="s">
        <v>15</v>
      </c>
      <c r="AF1560" s="23"/>
      <c r="AG1560" s="23"/>
      <c r="AH1560" s="23" t="str">
        <f>IFERROR(__xludf.DUMMYFUNCTION("IF(
ISNUMBER(MATCH(
C1560,
IMPORTRANGE(""https://docs.google.com/spreadsheets/d/1yTh1ELC33JHYOeEdgIiEclxPRyh0zOKtlawDltfUay8"",""'Interns'!A:A""),
0
)),
""Outreach Conducted"",
"""")"),"")</f>
        <v/>
      </c>
      <c r="AI1560" s="23"/>
      <c r="AJ1560" s="23"/>
      <c r="AK1560" s="23" t="str">
        <f>IFERROR(__xludf.DUMMYFUNCTION("XLOOKUP(C1560, 
   IMPORTRANGE(""1RdEdgHYrZ33LJ7RUHj_h-qkAFL92bcVjtIdVa-UlsCw"", ""Interns!D:D""), 
   IMPORTRANGE(""1RdEdgHYrZ33LJ7RUHj_h-qkAFL92bcVjtIdVa-UlsCw"", ""Interns!M:M""), 
   ""Not Found"")"),"Contacted")</f>
        <v>Contacted</v>
      </c>
      <c r="AL1560" s="23" t="str">
        <f>IFERROR(__xludf.DUMMYFUNCTION("XLOOKUP(C1560, 
   IMPORTRANGE(""1RdEdgHYrZ33LJ7RUHj_h-qkAFL92bcVjtIdVa-UlsCw"", ""Interns!D:D""), 
   IMPORTRANGE(""1RdEdgHYrZ33LJ7RUHj_h-qkAFL92bcVjtIdVa-UlsCw"", ""Interns!N:N""), 
   ""Not Found"")"),"#Cheers4Careers")</f>
        <v>#Cheers4Careers</v>
      </c>
      <c r="AM1560" s="23" t="str">
        <f>IFERROR(__xludf.DUMMYFUNCTION("XLOOKUP(C1560, 
   IMPORTRANGE(""1RdEdgHYrZ33LJ7RUHj_h-qkAFL92bcVjtIdVa-UlsCw"", ""Interns!D:D""), 
   IMPORTRANGE(""1RdEdgHYrZ33LJ7RUHj_h-qkAFL92bcVjtIdVa-UlsCw"", ""Interns!O:O""), 
   ""Not Found"")"),"Hetal reached out March 27 for March #Cheers4 Careers ")</f>
        <v>Hetal reached out March 27 for March #Cheers4 Careers </v>
      </c>
      <c r="AN1560" s="23"/>
      <c r="AO1560" s="23" t="s">
        <v>14683</v>
      </c>
      <c r="AP1560" s="28" t="s">
        <v>5173</v>
      </c>
      <c r="AQ1560" s="28"/>
      <c r="AR1560" s="23"/>
      <c r="AS1560" s="23"/>
      <c r="AT1560" s="23"/>
      <c r="AU1560" s="23"/>
      <c r="AV1560" s="23"/>
    </row>
    <row r="1561">
      <c r="A1561" s="28" t="s">
        <v>5202</v>
      </c>
      <c r="B1561" s="28" t="s">
        <v>5162</v>
      </c>
      <c r="C1561" s="23" t="str">
        <f t="shared" si="39"/>
        <v>Heather Nieves</v>
      </c>
      <c r="D1561" s="28" t="s">
        <v>4662</v>
      </c>
      <c r="E1561" s="28" t="s">
        <v>13321</v>
      </c>
      <c r="F1561" s="23">
        <f t="array" ref="F1561">IFERROR(
    INDEX('Hub Interns 226'!A:A, MATCH(C1561, 'Hub Interns 226'!B:B, 0)),"")</f>
        <v>971</v>
      </c>
      <c r="G1561" s="23">
        <f t="array" ref="G1561">IFERROR(
    INDEX('Hub Users 226'!A:A, MATCH(C1561, 'Hub Users 226'!B:B, 0)),"")</f>
        <v>1404</v>
      </c>
      <c r="H1561" s="28">
        <v>858.0</v>
      </c>
      <c r="I1561" s="28" t="s">
        <v>407</v>
      </c>
      <c r="J1561" s="28"/>
      <c r="K1561" s="28"/>
      <c r="L1561" s="28" t="s">
        <v>5196</v>
      </c>
      <c r="M1561" s="56" t="s">
        <v>14684</v>
      </c>
      <c r="N1561" s="57">
        <v>44593.885416666664</v>
      </c>
      <c r="O1561" s="58">
        <v>38024.0</v>
      </c>
      <c r="P1561" s="28">
        <f t="shared" si="41"/>
        <v>22</v>
      </c>
      <c r="Q1561" s="28" t="s">
        <v>14685</v>
      </c>
      <c r="R1561" s="28" t="s">
        <v>14686</v>
      </c>
      <c r="S1561" s="28">
        <v>14.0</v>
      </c>
      <c r="T1561" s="28">
        <v>32.0</v>
      </c>
      <c r="U1561" s="28">
        <v>85.0</v>
      </c>
      <c r="V1561" s="28">
        <v>18.0</v>
      </c>
      <c r="W1561" s="28" t="s">
        <v>859</v>
      </c>
      <c r="X1561" s="28" t="s">
        <v>272</v>
      </c>
      <c r="Y1561" s="28" t="s">
        <v>14687</v>
      </c>
      <c r="Z1561" s="28" t="s">
        <v>5779</v>
      </c>
      <c r="AA1561" s="28" t="s">
        <v>3931</v>
      </c>
      <c r="AB1561" s="28">
        <v>2.0</v>
      </c>
      <c r="AC1561" s="28" t="s">
        <v>25</v>
      </c>
      <c r="AD1561" s="23"/>
      <c r="AE1561" s="28" t="s">
        <v>10</v>
      </c>
      <c r="AF1561" s="23" t="str">
        <f>IFERROR(__xludf.DUMMYFUNCTION("TEXTJOIN("", "", TRUE,
  FILTER(Champions!C:C,
    ISNUMBER(SEARCH(C1561, Champions!W:W))
  )
)"),"Christopher Pasi")</f>
        <v>Christopher Pasi</v>
      </c>
      <c r="AG1561" s="23"/>
      <c r="AH1561" s="23" t="str">
        <f>IFERROR(__xludf.DUMMYFUNCTION("IF(
ISNUMBER(MATCH(
C1561,
IMPORTRANGE(""https://docs.google.com/spreadsheets/d/1yTh1ELC33JHYOeEdgIiEclxPRyh0zOKtlawDltfUay8"",""'Interns'!A:A""),
0
)),
""Outreach Conducted"",
"""")"),"")</f>
        <v/>
      </c>
      <c r="AI1561" s="23"/>
      <c r="AJ1561" s="23"/>
      <c r="AK1561" s="23" t="str">
        <f>IFERROR(__xludf.DUMMYFUNCTION("XLOOKUP(C1561, 
   IMPORTRANGE(""1RdEdgHYrZ33LJ7RUHj_h-qkAFL92bcVjtIdVa-UlsCw"", ""Interns!D:D""), 
   IMPORTRANGE(""1RdEdgHYrZ33LJ7RUHj_h-qkAFL92bcVjtIdVa-UlsCw"", ""Interns!M:M""), 
   ""Not Found"")"),"")</f>
        <v/>
      </c>
      <c r="AL1561" s="23" t="str">
        <f>IFERROR(__xludf.DUMMYFUNCTION("XLOOKUP(C1561, 
   IMPORTRANGE(""1RdEdgHYrZ33LJ7RUHj_h-qkAFL92bcVjtIdVa-UlsCw"", ""Interns!D:D""), 
   IMPORTRANGE(""1RdEdgHYrZ33LJ7RUHj_h-qkAFL92bcVjtIdVa-UlsCw"", ""Interns!N:N""), 
   ""Not Found"")"),"")</f>
        <v/>
      </c>
      <c r="AM1561" s="23" t="str">
        <f>IFERROR(__xludf.DUMMYFUNCTION("XLOOKUP(C1561, 
   IMPORTRANGE(""1RdEdgHYrZ33LJ7RUHj_h-qkAFL92bcVjtIdVa-UlsCw"", ""Interns!D:D""), 
   IMPORTRANGE(""1RdEdgHYrZ33LJ7RUHj_h-qkAFL92bcVjtIdVa-UlsCw"", ""Interns!O:O""), 
   ""Not Found"")"),"")</f>
        <v/>
      </c>
      <c r="AN1561" s="23"/>
      <c r="AO1561" s="23" t="s">
        <v>14688</v>
      </c>
      <c r="AP1561" s="28" t="s">
        <v>5182</v>
      </c>
      <c r="AQ1561" s="28" t="s">
        <v>14689</v>
      </c>
      <c r="AR1561" s="23" t="s">
        <v>14690</v>
      </c>
      <c r="AS1561" s="23"/>
      <c r="AT1561" s="23"/>
      <c r="AU1561" s="23"/>
      <c r="AV1561" s="23"/>
    </row>
    <row r="1562">
      <c r="A1562" s="28" t="s">
        <v>5161</v>
      </c>
      <c r="B1562" s="28" t="s">
        <v>5162</v>
      </c>
      <c r="C1562" s="23" t="str">
        <f t="shared" si="39"/>
        <v>Chelsea Torres</v>
      </c>
      <c r="D1562" s="28" t="s">
        <v>1469</v>
      </c>
      <c r="E1562" s="28" t="s">
        <v>6739</v>
      </c>
      <c r="F1562" s="23">
        <f t="array" ref="F1562">IFERROR(
    INDEX('Hub Interns 226'!A:A, MATCH(C1562, 'Hub Interns 226'!B:B, 0)),"")</f>
        <v>356</v>
      </c>
      <c r="G1562" s="23">
        <f t="array" ref="G1562">IFERROR(
    INDEX('Hub Users 226'!A:A, MATCH(C1562, 'Hub Users 226'!B:B, 0)),"")</f>
        <v>789</v>
      </c>
      <c r="H1562" s="28">
        <v>1601.0</v>
      </c>
      <c r="I1562" s="28"/>
      <c r="J1562" s="28"/>
      <c r="K1562" s="28"/>
      <c r="L1562" s="28" t="s">
        <v>5196</v>
      </c>
      <c r="M1562" s="56" t="s">
        <v>14691</v>
      </c>
      <c r="N1562" s="57">
        <v>45016.39722222222</v>
      </c>
      <c r="O1562" s="58">
        <v>40477.0</v>
      </c>
      <c r="P1562" s="28">
        <f t="shared" si="41"/>
        <v>15</v>
      </c>
      <c r="Q1562" s="28" t="s">
        <v>240</v>
      </c>
      <c r="R1562" s="28" t="s">
        <v>14692</v>
      </c>
      <c r="S1562" s="28">
        <v>6.0</v>
      </c>
      <c r="T1562" s="28">
        <v>12.0</v>
      </c>
      <c r="U1562" s="28">
        <v>30.0</v>
      </c>
      <c r="V1562" s="28">
        <v>30.0</v>
      </c>
      <c r="W1562" s="28" t="s">
        <v>1173</v>
      </c>
      <c r="X1562" s="28" t="s">
        <v>272</v>
      </c>
      <c r="Y1562" s="28" t="s">
        <v>5169</v>
      </c>
      <c r="Z1562" s="28" t="s">
        <v>5170</v>
      </c>
      <c r="AA1562" s="28" t="s">
        <v>5171</v>
      </c>
      <c r="AB1562" s="28">
        <v>30.0</v>
      </c>
      <c r="AC1562" s="28" t="s">
        <v>23</v>
      </c>
      <c r="AD1562" s="28" t="s">
        <v>101</v>
      </c>
      <c r="AE1562" s="28" t="s">
        <v>15</v>
      </c>
      <c r="AF1562" s="23"/>
      <c r="AG1562" s="23"/>
      <c r="AH1562" s="23" t="str">
        <f>IFERROR(__xludf.DUMMYFUNCTION("IF(
ISNUMBER(MATCH(
C1562,
IMPORTRANGE(""https://docs.google.com/spreadsheets/d/1yTh1ELC33JHYOeEdgIiEclxPRyh0zOKtlawDltfUay8"",""'Interns'!A:A""),
0
)),
""Outreach Conducted"",
"""")"),"")</f>
        <v/>
      </c>
      <c r="AI1562" s="23"/>
      <c r="AJ1562" s="23"/>
      <c r="AK1562" s="23" t="str">
        <f>IFERROR(__xludf.DUMMYFUNCTION("XLOOKUP(C1562, 
   IMPORTRANGE(""1RdEdgHYrZ33LJ7RUHj_h-qkAFL92bcVjtIdVa-UlsCw"", ""Interns!D:D""), 
   IMPORTRANGE(""1RdEdgHYrZ33LJ7RUHj_h-qkAFL92bcVjtIdVa-UlsCw"", ""Interns!M:M""), 
   ""Not Found"")"),"Contacted")</f>
        <v>Contacted</v>
      </c>
      <c r="AL1562" s="23" t="str">
        <f>IFERROR(__xludf.DUMMYFUNCTION("XLOOKUP(C1562, 
   IMPORTRANGE(""1RdEdgHYrZ33LJ7RUHj_h-qkAFL92bcVjtIdVa-UlsCw"", ""Interns!D:D""), 
   IMPORTRANGE(""1RdEdgHYrZ33LJ7RUHj_h-qkAFL92bcVjtIdVa-UlsCw"", ""Interns!N:N""), 
   ""Not Found"")"),"#Cheers4Careers")</f>
        <v>#Cheers4Careers</v>
      </c>
      <c r="AM1562" s="23" t="str">
        <f>IFERROR(__xludf.DUMMYFUNCTION("XLOOKUP(C1562, 
   IMPORTRANGE(""1RdEdgHYrZ33LJ7RUHj_h-qkAFL92bcVjtIdVa-UlsCw"", ""Interns!D:D""), 
   IMPORTRANGE(""1RdEdgHYrZ33LJ7RUHj_h-qkAFL92bcVjtIdVa-UlsCw"", ""Interns!O:O""), 
   ""Not Found"")"),"Hetal reached out March 27 for March #Cheers4 Careers ")</f>
        <v>Hetal reached out March 27 for March #Cheers4 Careers </v>
      </c>
      <c r="AN1562" s="23"/>
      <c r="AO1562" s="23" t="s">
        <v>14693</v>
      </c>
      <c r="AP1562" s="28" t="s">
        <v>5191</v>
      </c>
      <c r="AQ1562" s="28"/>
      <c r="AR1562" s="23"/>
      <c r="AS1562" s="23"/>
      <c r="AT1562" s="23"/>
      <c r="AU1562" s="23"/>
      <c r="AV1562" s="23"/>
    </row>
    <row r="1563">
      <c r="A1563" s="28" t="s">
        <v>5202</v>
      </c>
      <c r="B1563" s="28" t="s">
        <v>5162</v>
      </c>
      <c r="C1563" s="23" t="str">
        <f t="shared" si="39"/>
        <v>Jolina Narbona</v>
      </c>
      <c r="D1563" s="28" t="s">
        <v>14694</v>
      </c>
      <c r="E1563" s="28" t="s">
        <v>14695</v>
      </c>
      <c r="F1563" s="23">
        <f t="array" ref="F1563">IFERROR(
    INDEX('Hub Interns 226'!A:A, MATCH(C1563, 'Hub Interns 226'!B:B, 0)),"")</f>
        <v>680</v>
      </c>
      <c r="G1563" s="23">
        <f t="array" ref="G1563">IFERROR(
    INDEX('Hub Users 226'!A:A, MATCH(C1563, 'Hub Users 226'!B:B, 0)),"")</f>
        <v>1113</v>
      </c>
      <c r="H1563" s="28">
        <v>817.0</v>
      </c>
      <c r="I1563" s="28" t="s">
        <v>107</v>
      </c>
      <c r="J1563" s="28"/>
      <c r="K1563" s="28"/>
      <c r="L1563" s="28" t="s">
        <v>5196</v>
      </c>
      <c r="M1563" s="56" t="s">
        <v>14696</v>
      </c>
      <c r="N1563" s="57">
        <v>44572.393055555556</v>
      </c>
      <c r="O1563" s="58">
        <v>38239.0</v>
      </c>
      <c r="P1563" s="28">
        <f t="shared" si="41"/>
        <v>21</v>
      </c>
      <c r="Q1563" s="28" t="s">
        <v>240</v>
      </c>
      <c r="R1563" s="28" t="s">
        <v>14697</v>
      </c>
      <c r="S1563" s="28">
        <v>5.0</v>
      </c>
      <c r="T1563" s="28">
        <v>10.0</v>
      </c>
      <c r="U1563" s="28">
        <v>32.0</v>
      </c>
      <c r="V1563" s="28">
        <v>28.0</v>
      </c>
      <c r="W1563" s="28" t="s">
        <v>1173</v>
      </c>
      <c r="X1563" s="28" t="s">
        <v>272</v>
      </c>
      <c r="Y1563" s="28" t="s">
        <v>14698</v>
      </c>
      <c r="Z1563" s="28" t="s">
        <v>5332</v>
      </c>
      <c r="AA1563" s="28" t="s">
        <v>421</v>
      </c>
      <c r="AB1563" s="28">
        <v>31.0</v>
      </c>
      <c r="AC1563" s="28" t="s">
        <v>24</v>
      </c>
      <c r="AD1563" s="23"/>
      <c r="AE1563" s="28" t="s">
        <v>10</v>
      </c>
      <c r="AF1563" s="23"/>
      <c r="AG1563" s="23"/>
      <c r="AH1563" s="23" t="str">
        <f>IFERROR(__xludf.DUMMYFUNCTION("IF(
ISNUMBER(MATCH(
C1563,
IMPORTRANGE(""https://docs.google.com/spreadsheets/d/1yTh1ELC33JHYOeEdgIiEclxPRyh0zOKtlawDltfUay8"",""'Interns'!A:A""),
0
)),
""Outreach Conducted"",
"""")"),"")</f>
        <v/>
      </c>
      <c r="AI1563" s="23"/>
      <c r="AJ1563" s="23"/>
      <c r="AK1563" s="23" t="str">
        <f>IFERROR(__xludf.DUMMYFUNCTION("XLOOKUP(C1563, 
   IMPORTRANGE(""1RdEdgHYrZ33LJ7RUHj_h-qkAFL92bcVjtIdVa-UlsCw"", ""Interns!D:D""), 
   IMPORTRANGE(""1RdEdgHYrZ33LJ7RUHj_h-qkAFL92bcVjtIdVa-UlsCw"", ""Interns!M:M""), 
   ""Not Found"")"),"")</f>
        <v/>
      </c>
      <c r="AL1563" s="23" t="str">
        <f>IFERROR(__xludf.DUMMYFUNCTION("XLOOKUP(C1563, 
   IMPORTRANGE(""1RdEdgHYrZ33LJ7RUHj_h-qkAFL92bcVjtIdVa-UlsCw"", ""Interns!D:D""), 
   IMPORTRANGE(""1RdEdgHYrZ33LJ7RUHj_h-qkAFL92bcVjtIdVa-UlsCw"", ""Interns!N:N""), 
   ""Not Found"")"),"")</f>
        <v/>
      </c>
      <c r="AM1563" s="23" t="str">
        <f>IFERROR(__xludf.DUMMYFUNCTION("XLOOKUP(C1563, 
   IMPORTRANGE(""1RdEdgHYrZ33LJ7RUHj_h-qkAFL92bcVjtIdVa-UlsCw"", ""Interns!D:D""), 
   IMPORTRANGE(""1RdEdgHYrZ33LJ7RUHj_h-qkAFL92bcVjtIdVa-UlsCw"", ""Interns!O:O""), 
   ""Not Found"")"),"")</f>
        <v/>
      </c>
      <c r="AN1563" s="23"/>
      <c r="AO1563" s="23" t="s">
        <v>14699</v>
      </c>
      <c r="AP1563" s="28" t="s">
        <v>5182</v>
      </c>
      <c r="AQ1563" s="28"/>
      <c r="AR1563" s="23"/>
      <c r="AS1563" s="23"/>
      <c r="AT1563" s="23"/>
      <c r="AU1563" s="23"/>
      <c r="AV1563" s="23"/>
    </row>
    <row r="1564">
      <c r="A1564" s="28" t="s">
        <v>5161</v>
      </c>
      <c r="B1564" s="28" t="s">
        <v>5162</v>
      </c>
      <c r="C1564" s="23" t="str">
        <f t="shared" si="39"/>
        <v>Allen Chen</v>
      </c>
      <c r="D1564" s="28" t="s">
        <v>4217</v>
      </c>
      <c r="E1564" s="28" t="s">
        <v>1741</v>
      </c>
      <c r="F1564" s="23">
        <f t="array" ref="F1564">IFERROR(
    INDEX('Hub Interns 226'!A:A, MATCH(C1564, 'Hub Interns 226'!B:B, 0)),"")</f>
        <v>197</v>
      </c>
      <c r="G1564" s="23">
        <f t="array" ref="G1564">IFERROR(
    INDEX('Hub Users 226'!A:A, MATCH(C1564, 'Hub Users 226'!B:B, 0)),"")</f>
        <v>630</v>
      </c>
      <c r="H1564" s="28">
        <v>1575.0</v>
      </c>
      <c r="I1564" s="28" t="s">
        <v>290</v>
      </c>
      <c r="J1564" s="28"/>
      <c r="K1564" s="28"/>
      <c r="L1564" s="28" t="s">
        <v>5165</v>
      </c>
      <c r="M1564" s="56" t="s">
        <v>14700</v>
      </c>
      <c r="N1564" s="57">
        <v>45016.36388888889</v>
      </c>
      <c r="O1564" s="58">
        <v>40195.0</v>
      </c>
      <c r="P1564" s="28">
        <f t="shared" si="41"/>
        <v>16</v>
      </c>
      <c r="Q1564" s="28" t="s">
        <v>240</v>
      </c>
      <c r="R1564" s="28" t="s">
        <v>14701</v>
      </c>
      <c r="S1564" s="60">
        <v>6.0</v>
      </c>
      <c r="T1564" s="60">
        <v>12.0</v>
      </c>
      <c r="U1564" s="60">
        <v>30.0</v>
      </c>
      <c r="V1564" s="28">
        <v>30.0</v>
      </c>
      <c r="W1564" s="28" t="s">
        <v>1173</v>
      </c>
      <c r="X1564" s="28" t="s">
        <v>272</v>
      </c>
      <c r="Y1564" s="28" t="s">
        <v>5169</v>
      </c>
      <c r="Z1564" s="28" t="s">
        <v>5170</v>
      </c>
      <c r="AA1564" s="28" t="s">
        <v>5171</v>
      </c>
      <c r="AB1564" s="28">
        <v>30.0</v>
      </c>
      <c r="AC1564" s="28" t="s">
        <v>23</v>
      </c>
      <c r="AD1564" s="28" t="s">
        <v>101</v>
      </c>
      <c r="AE1564" s="28" t="s">
        <v>15</v>
      </c>
      <c r="AF1564" s="23"/>
      <c r="AG1564" s="23"/>
      <c r="AH1564" s="23" t="str">
        <f>IFERROR(__xludf.DUMMYFUNCTION("IF(
ISNUMBER(MATCH(
C1564,
IMPORTRANGE(""https://docs.google.com/spreadsheets/d/1yTh1ELC33JHYOeEdgIiEclxPRyh0zOKtlawDltfUay8"",""'Interns'!A:A""),
0
)),
""Outreach Conducted"",
"""")"),"")</f>
        <v/>
      </c>
      <c r="AI1564" s="23"/>
      <c r="AJ1564" s="23"/>
      <c r="AK1564" s="23" t="str">
        <f>IFERROR(__xludf.DUMMYFUNCTION("XLOOKUP(C1564, 
   IMPORTRANGE(""1RdEdgHYrZ33LJ7RUHj_h-qkAFL92bcVjtIdVa-UlsCw"", ""Interns!D:D""), 
   IMPORTRANGE(""1RdEdgHYrZ33LJ7RUHj_h-qkAFL92bcVjtIdVa-UlsCw"", ""Interns!M:M""), 
   ""Not Found"")"),"Contacted")</f>
        <v>Contacted</v>
      </c>
      <c r="AL1564" s="23" t="str">
        <f>IFERROR(__xludf.DUMMYFUNCTION("XLOOKUP(C1564, 
   IMPORTRANGE(""1RdEdgHYrZ33LJ7RUHj_h-qkAFL92bcVjtIdVa-UlsCw"", ""Interns!D:D""), 
   IMPORTRANGE(""1RdEdgHYrZ33LJ7RUHj_h-qkAFL92bcVjtIdVa-UlsCw"", ""Interns!N:N""), 
   ""Not Found"")"),"#Cheers4Careers")</f>
        <v>#Cheers4Careers</v>
      </c>
      <c r="AM1564" s="23" t="str">
        <f>IFERROR(__xludf.DUMMYFUNCTION("XLOOKUP(C1564, 
   IMPORTRANGE(""1RdEdgHYrZ33LJ7RUHj_h-qkAFL92bcVjtIdVa-UlsCw"", ""Interns!D:D""), 
   IMPORTRANGE(""1RdEdgHYrZ33LJ7RUHj_h-qkAFL92bcVjtIdVa-UlsCw"", ""Interns!O:O""), 
   ""Not Found"")"),"Hetal reached out March 27 for March #Cheers4 Careers ")</f>
        <v>Hetal reached out March 27 for March #Cheers4 Careers </v>
      </c>
      <c r="AN1564" s="23"/>
      <c r="AO1564" s="23" t="s">
        <v>14702</v>
      </c>
      <c r="AP1564" s="28" t="s">
        <v>5182</v>
      </c>
      <c r="AQ1564" s="28"/>
      <c r="AR1564" s="23"/>
      <c r="AS1564" s="23"/>
      <c r="AT1564" s="23"/>
      <c r="AU1564" s="23"/>
      <c r="AV1564" s="23"/>
    </row>
    <row r="1565">
      <c r="A1565" s="28" t="s">
        <v>5161</v>
      </c>
      <c r="B1565" s="28" t="s">
        <v>5162</v>
      </c>
      <c r="C1565" s="23" t="str">
        <f t="shared" si="39"/>
        <v>Karen Cortes Mejia</v>
      </c>
      <c r="D1565" s="28" t="s">
        <v>1818</v>
      </c>
      <c r="E1565" s="28" t="s">
        <v>14703</v>
      </c>
      <c r="F1565" s="23">
        <f t="array" ref="F1565">IFERROR(
    INDEX('Hub Interns 226'!A:A, MATCH(C1565, 'Hub Interns 226'!B:B, 0)),"")</f>
        <v>1312</v>
      </c>
      <c r="G1565" s="23">
        <f t="array" ref="G1565">IFERROR(
    INDEX('Hub Users 226'!A:A, MATCH(C1565, 'Hub Users 226'!B:B, 0)),"")</f>
        <v>1822</v>
      </c>
      <c r="H1565" s="28">
        <v>1694.0</v>
      </c>
      <c r="I1565" s="28" t="s">
        <v>269</v>
      </c>
      <c r="J1565" s="28"/>
      <c r="K1565" s="28"/>
      <c r="L1565" s="28" t="s">
        <v>5196</v>
      </c>
      <c r="M1565" s="56" t="s">
        <v>14704</v>
      </c>
      <c r="N1565" s="59">
        <v>45250.925</v>
      </c>
      <c r="O1565" s="58">
        <v>40231.0</v>
      </c>
      <c r="P1565" s="28">
        <f t="shared" si="41"/>
        <v>16</v>
      </c>
      <c r="Q1565" s="28" t="s">
        <v>240</v>
      </c>
      <c r="R1565" s="28" t="s">
        <v>11703</v>
      </c>
      <c r="S1565" s="60">
        <v>6.0</v>
      </c>
      <c r="T1565" s="60">
        <v>12.0</v>
      </c>
      <c r="U1565" s="60">
        <v>30.0</v>
      </c>
      <c r="V1565" s="28">
        <v>30.0</v>
      </c>
      <c r="W1565" s="28" t="s">
        <v>1173</v>
      </c>
      <c r="X1565" s="28" t="s">
        <v>272</v>
      </c>
      <c r="Y1565" s="28" t="s">
        <v>8135</v>
      </c>
      <c r="Z1565" s="28" t="s">
        <v>5170</v>
      </c>
      <c r="AA1565" s="28" t="s">
        <v>5171</v>
      </c>
      <c r="AB1565" s="28">
        <v>30.0</v>
      </c>
      <c r="AC1565" s="28" t="s">
        <v>23</v>
      </c>
      <c r="AD1565" s="23"/>
      <c r="AE1565" s="28" t="s">
        <v>18</v>
      </c>
      <c r="AF1565" s="23"/>
      <c r="AG1565" s="23"/>
      <c r="AH1565" s="23" t="str">
        <f>IFERROR(__xludf.DUMMYFUNCTION("IF(
ISNUMBER(MATCH(
C1565,
IMPORTRANGE(""https://docs.google.com/spreadsheets/d/1yTh1ELC33JHYOeEdgIiEclxPRyh0zOKtlawDltfUay8"",""'Interns'!A:A""),
0
)),
""Outreach Conducted"",
"""")"),"")</f>
        <v/>
      </c>
      <c r="AI1565" s="23"/>
      <c r="AJ1565" s="23"/>
      <c r="AK1565" s="23" t="str">
        <f>IFERROR(__xludf.DUMMYFUNCTION("XLOOKUP(C1565, 
   IMPORTRANGE(""1RdEdgHYrZ33LJ7RUHj_h-qkAFL92bcVjtIdVa-UlsCw"", ""Interns!D:D""), 
   IMPORTRANGE(""1RdEdgHYrZ33LJ7RUHj_h-qkAFL92bcVjtIdVa-UlsCw"", ""Interns!M:M""), 
   ""Not Found"")"),"Contacted")</f>
        <v>Contacted</v>
      </c>
      <c r="AL1565" s="23" t="str">
        <f>IFERROR(__xludf.DUMMYFUNCTION("XLOOKUP(C1565, 
   IMPORTRANGE(""1RdEdgHYrZ33LJ7RUHj_h-qkAFL92bcVjtIdVa-UlsCw"", ""Interns!D:D""), 
   IMPORTRANGE(""1RdEdgHYrZ33LJ7RUHj_h-qkAFL92bcVjtIdVa-UlsCw"", ""Interns!N:N""), 
   ""Not Found"")"),"#Cheers4Careers")</f>
        <v>#Cheers4Careers</v>
      </c>
      <c r="AM1565" s="23" t="str">
        <f>IFERROR(__xludf.DUMMYFUNCTION("XLOOKUP(C1565, 
   IMPORTRANGE(""1RdEdgHYrZ33LJ7RUHj_h-qkAFL92bcVjtIdVa-UlsCw"", ""Interns!D:D""), 
   IMPORTRANGE(""1RdEdgHYrZ33LJ7RUHj_h-qkAFL92bcVjtIdVa-UlsCw"", ""Interns!O:O""), 
   ""Not Found"")"),"Hetal reached out March 27 for March #Cheers4 Careers ")</f>
        <v>Hetal reached out March 27 for March #Cheers4 Careers </v>
      </c>
      <c r="AN1565" s="23"/>
      <c r="AO1565" s="23" t="s">
        <v>14705</v>
      </c>
      <c r="AP1565" s="28" t="s">
        <v>5182</v>
      </c>
      <c r="AQ1565" s="28" t="s">
        <v>14706</v>
      </c>
      <c r="AR1565" s="23" t="s">
        <v>14707</v>
      </c>
      <c r="AS1565" s="23"/>
      <c r="AT1565" s="23"/>
      <c r="AU1565" s="23"/>
      <c r="AV1565" s="23"/>
    </row>
    <row r="1566">
      <c r="A1566" s="28" t="s">
        <v>5161</v>
      </c>
      <c r="B1566" s="28" t="s">
        <v>5162</v>
      </c>
      <c r="C1566" s="23" t="str">
        <f t="shared" si="39"/>
        <v>Liam Fernazdez</v>
      </c>
      <c r="D1566" s="28" t="s">
        <v>14708</v>
      </c>
      <c r="E1566" s="28" t="s">
        <v>14709</v>
      </c>
      <c r="F1566" s="23">
        <f t="array" ref="F1566">IFERROR(
    INDEX('Hub Interns 226'!A:A, MATCH(C1566, 'Hub Interns 226'!B:B, 0)),"")</f>
        <v>1768</v>
      </c>
      <c r="G1566" s="23">
        <f t="array" ref="G1566">IFERROR(
    INDEX('Hub Users 226'!A:A, MATCH(C1566, 'Hub Users 226'!B:B, 0)),"")</f>
        <v>2598</v>
      </c>
      <c r="H1566" s="28">
        <v>1668.0</v>
      </c>
      <c r="I1566" s="28" t="s">
        <v>269</v>
      </c>
      <c r="J1566" s="28"/>
      <c r="K1566" s="28"/>
      <c r="L1566" s="28" t="s">
        <v>5165</v>
      </c>
      <c r="M1566" s="56" t="s">
        <v>14710</v>
      </c>
      <c r="N1566" s="59">
        <v>45223.399305555555</v>
      </c>
      <c r="O1566" s="58">
        <v>41227.0</v>
      </c>
      <c r="P1566" s="28">
        <f t="shared" si="41"/>
        <v>13</v>
      </c>
      <c r="Q1566" s="28" t="s">
        <v>240</v>
      </c>
      <c r="R1566" s="28" t="s">
        <v>14711</v>
      </c>
      <c r="S1566" s="60">
        <v>6.0</v>
      </c>
      <c r="T1566" s="60">
        <v>12.0</v>
      </c>
      <c r="U1566" s="60">
        <v>30.0</v>
      </c>
      <c r="V1566" s="28">
        <v>30.0</v>
      </c>
      <c r="W1566" s="28" t="s">
        <v>1173</v>
      </c>
      <c r="X1566" s="28" t="s">
        <v>272</v>
      </c>
      <c r="Y1566" s="28" t="s">
        <v>14644</v>
      </c>
      <c r="Z1566" s="28" t="s">
        <v>5170</v>
      </c>
      <c r="AA1566" s="28" t="s">
        <v>5171</v>
      </c>
      <c r="AB1566" s="28">
        <v>30.0</v>
      </c>
      <c r="AC1566" s="28" t="s">
        <v>23</v>
      </c>
      <c r="AD1566" s="23"/>
      <c r="AE1566" s="28" t="s">
        <v>18</v>
      </c>
      <c r="AF1566" s="23"/>
      <c r="AG1566" s="23"/>
      <c r="AH1566" s="23" t="str">
        <f>IFERROR(__xludf.DUMMYFUNCTION("IF(
ISNUMBER(MATCH(
C1566,
IMPORTRANGE(""https://docs.google.com/spreadsheets/d/1yTh1ELC33JHYOeEdgIiEclxPRyh0zOKtlawDltfUay8"",""'Interns'!A:A""),
0
)),
""Outreach Conducted"",
"""")"),"")</f>
        <v/>
      </c>
      <c r="AI1566" s="23"/>
      <c r="AJ1566" s="23"/>
      <c r="AK1566" s="23" t="str">
        <f>IFERROR(__xludf.DUMMYFUNCTION("XLOOKUP(C1566, 
   IMPORTRANGE(""1RdEdgHYrZ33LJ7RUHj_h-qkAFL92bcVjtIdVa-UlsCw"", ""Interns!D:D""), 
   IMPORTRANGE(""1RdEdgHYrZ33LJ7RUHj_h-qkAFL92bcVjtIdVa-UlsCw"", ""Interns!M:M""), 
   ""Not Found"")"),"Contacted")</f>
        <v>Contacted</v>
      </c>
      <c r="AL1566" s="23" t="str">
        <f>IFERROR(__xludf.DUMMYFUNCTION("XLOOKUP(C1566, 
   IMPORTRANGE(""1RdEdgHYrZ33LJ7RUHj_h-qkAFL92bcVjtIdVa-UlsCw"", ""Interns!D:D""), 
   IMPORTRANGE(""1RdEdgHYrZ33LJ7RUHj_h-qkAFL92bcVjtIdVa-UlsCw"", ""Interns!N:N""), 
   ""Not Found"")"),"#Cheers4Careers")</f>
        <v>#Cheers4Careers</v>
      </c>
      <c r="AM1566" s="23" t="str">
        <f>IFERROR(__xludf.DUMMYFUNCTION("XLOOKUP(C1566,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566" s="23"/>
      <c r="AO1566" s="23" t="s">
        <v>14712</v>
      </c>
      <c r="AP1566" s="28" t="s">
        <v>5182</v>
      </c>
      <c r="AQ1566" s="28"/>
      <c r="AR1566" s="23"/>
      <c r="AS1566" s="23"/>
      <c r="AT1566" s="23"/>
      <c r="AU1566" s="23"/>
      <c r="AV1566" s="23"/>
    </row>
    <row r="1567">
      <c r="A1567" s="28" t="s">
        <v>5161</v>
      </c>
      <c r="B1567" s="28" t="s">
        <v>5162</v>
      </c>
      <c r="C1567" s="23" t="str">
        <f t="shared" si="39"/>
        <v>Danny Yauri</v>
      </c>
      <c r="D1567" s="28" t="s">
        <v>14713</v>
      </c>
      <c r="E1567" s="28" t="s">
        <v>14714</v>
      </c>
      <c r="F1567" s="23">
        <f t="array" ref="F1567">IFERROR(
    INDEX('Hub Interns 226'!A:A, MATCH(C1567, 'Hub Interns 226'!B:B, 0)),"")</f>
        <v>411</v>
      </c>
      <c r="G1567" s="23">
        <f t="array" ref="G1567">IFERROR(
    INDEX('Hub Users 226'!A:A, MATCH(C1567, 'Hub Users 226'!B:B, 0)),"")</f>
        <v>844</v>
      </c>
      <c r="H1567" s="28">
        <v>1605.0</v>
      </c>
      <c r="I1567" s="28"/>
      <c r="J1567" s="28"/>
      <c r="K1567" s="28"/>
      <c r="L1567" s="28" t="s">
        <v>5165</v>
      </c>
      <c r="M1567" s="56" t="s">
        <v>14715</v>
      </c>
      <c r="N1567" s="57">
        <v>45041.37291666667</v>
      </c>
      <c r="O1567" s="58">
        <v>39941.0</v>
      </c>
      <c r="P1567" s="28">
        <f t="shared" si="41"/>
        <v>17</v>
      </c>
      <c r="Q1567" s="28" t="s">
        <v>240</v>
      </c>
      <c r="R1567" s="28" t="s">
        <v>14716</v>
      </c>
      <c r="S1567" s="60">
        <v>6.0</v>
      </c>
      <c r="T1567" s="60">
        <v>12.0</v>
      </c>
      <c r="U1567" s="60">
        <v>30.0</v>
      </c>
      <c r="V1567" s="28">
        <v>30.0</v>
      </c>
      <c r="W1567" s="28" t="s">
        <v>1173</v>
      </c>
      <c r="X1567" s="28" t="s">
        <v>272</v>
      </c>
      <c r="Y1567" s="28" t="s">
        <v>5169</v>
      </c>
      <c r="Z1567" s="28" t="s">
        <v>5170</v>
      </c>
      <c r="AA1567" s="28" t="s">
        <v>5171</v>
      </c>
      <c r="AB1567" s="28">
        <v>30.0</v>
      </c>
      <c r="AC1567" s="28" t="s">
        <v>23</v>
      </c>
      <c r="AD1567" s="23"/>
      <c r="AE1567" s="28" t="s">
        <v>15</v>
      </c>
      <c r="AF1567" s="23"/>
      <c r="AG1567" s="23"/>
      <c r="AH1567" s="23" t="str">
        <f>IFERROR(__xludf.DUMMYFUNCTION("IF(
ISNUMBER(MATCH(
C1567,
IMPORTRANGE(""https://docs.google.com/spreadsheets/d/1yTh1ELC33JHYOeEdgIiEclxPRyh0zOKtlawDltfUay8"",""'Interns'!A:A""),
0
)),
""Outreach Conducted"",
"""")"),"")</f>
        <v/>
      </c>
      <c r="AI1567" s="23"/>
      <c r="AJ1567" s="23"/>
      <c r="AK1567" s="23" t="str">
        <f>IFERROR(__xludf.DUMMYFUNCTION("XLOOKUP(C1567, 
   IMPORTRANGE(""1RdEdgHYrZ33LJ7RUHj_h-qkAFL92bcVjtIdVa-UlsCw"", ""Interns!D:D""), 
   IMPORTRANGE(""1RdEdgHYrZ33LJ7RUHj_h-qkAFL92bcVjtIdVa-UlsCw"", ""Interns!M:M""), 
   ""Not Found"")"),"Contacted")</f>
        <v>Contacted</v>
      </c>
      <c r="AL1567" s="23" t="str">
        <f>IFERROR(__xludf.DUMMYFUNCTION("XLOOKUP(C1567, 
   IMPORTRANGE(""1RdEdgHYrZ33LJ7RUHj_h-qkAFL92bcVjtIdVa-UlsCw"", ""Interns!D:D""), 
   IMPORTRANGE(""1RdEdgHYrZ33LJ7RUHj_h-qkAFL92bcVjtIdVa-UlsCw"", ""Interns!N:N""), 
   ""Not Found"")"),"#Cheers4Careers")</f>
        <v>#Cheers4Careers</v>
      </c>
      <c r="AM1567" s="23" t="str">
        <f>IFERROR(__xludf.DUMMYFUNCTION("XLOOKUP(C1567, 
   IMPORTRANGE(""1RdEdgHYrZ33LJ7RUHj_h-qkAFL92bcVjtIdVa-UlsCw"", ""Interns!D:D""), 
   IMPORTRANGE(""1RdEdgHYrZ33LJ7RUHj_h-qkAFL92bcVjtIdVa-UlsCw"", ""Interns!O:O""), 
   ""Not Found"")"),"Hetal reached out March 27 for March #Cheers4 Careers ")</f>
        <v>Hetal reached out March 27 for March #Cheers4 Careers </v>
      </c>
      <c r="AN1567" s="23"/>
      <c r="AO1567" s="23" t="s">
        <v>12500</v>
      </c>
      <c r="AP1567" s="28" t="s">
        <v>5182</v>
      </c>
      <c r="AQ1567" s="28"/>
      <c r="AR1567" s="23"/>
      <c r="AS1567" s="23"/>
      <c r="AT1567" s="23"/>
      <c r="AU1567" s="23"/>
      <c r="AV1567" s="23"/>
    </row>
    <row r="1568">
      <c r="A1568" s="28" t="s">
        <v>5202</v>
      </c>
      <c r="B1568" s="28" t="s">
        <v>5162</v>
      </c>
      <c r="C1568" s="23" t="str">
        <f t="shared" si="39"/>
        <v>Prince Agbotui</v>
      </c>
      <c r="D1568" s="28" t="s">
        <v>14717</v>
      </c>
      <c r="E1568" s="28" t="s">
        <v>14718</v>
      </c>
      <c r="F1568" s="23">
        <f t="array" ref="F1568">IFERROR(
    INDEX('Hub Interns 226'!A:A, MATCH(C1568, 'Hub Interns 226'!B:B, 0)),"")</f>
        <v>999</v>
      </c>
      <c r="G1568" s="23">
        <f t="array" ref="G1568">IFERROR(
    INDEX('Hub Users 226'!A:A, MATCH(C1568, 'Hub Users 226'!B:B, 0)),"")</f>
        <v>1432</v>
      </c>
      <c r="H1568" s="28">
        <v>1359.0</v>
      </c>
      <c r="I1568" s="28" t="s">
        <v>239</v>
      </c>
      <c r="J1568" s="28"/>
      <c r="K1568" s="28"/>
      <c r="L1568" s="28" t="s">
        <v>5165</v>
      </c>
      <c r="M1568" s="56" t="s">
        <v>14719</v>
      </c>
      <c r="N1568" s="59">
        <v>44859.60625</v>
      </c>
      <c r="O1568" s="58">
        <v>39514.0</v>
      </c>
      <c r="P1568" s="28">
        <f t="shared" si="41"/>
        <v>18</v>
      </c>
      <c r="Q1568" s="28" t="s">
        <v>240</v>
      </c>
      <c r="R1568" s="28" t="s">
        <v>14720</v>
      </c>
      <c r="S1568" s="28">
        <v>5.0</v>
      </c>
      <c r="T1568" s="28">
        <v>14.0</v>
      </c>
      <c r="U1568" s="28">
        <v>33.0</v>
      </c>
      <c r="V1568" s="28">
        <v>27.0</v>
      </c>
      <c r="W1568" s="28" t="s">
        <v>1173</v>
      </c>
      <c r="X1568" s="28" t="s">
        <v>272</v>
      </c>
      <c r="Y1568" s="28" t="s">
        <v>14721</v>
      </c>
      <c r="Z1568" s="28" t="s">
        <v>5332</v>
      </c>
      <c r="AA1568" s="28" t="s">
        <v>421</v>
      </c>
      <c r="AB1568" s="28">
        <v>31.0</v>
      </c>
      <c r="AC1568" s="28" t="s">
        <v>23</v>
      </c>
      <c r="AD1568" s="23"/>
      <c r="AE1568" s="28" t="s">
        <v>15</v>
      </c>
      <c r="AF1568" s="23"/>
      <c r="AG1568" s="23"/>
      <c r="AH1568" s="23" t="str">
        <f>IFERROR(__xludf.DUMMYFUNCTION("IF(
ISNUMBER(MATCH(
C1568,
IMPORTRANGE(""https://docs.google.com/spreadsheets/d/1yTh1ELC33JHYOeEdgIiEclxPRyh0zOKtlawDltfUay8"",""'Interns'!A:A""),
0
)),
""Outreach Conducted"",
"""")"),"")</f>
        <v/>
      </c>
      <c r="AI1568" s="23"/>
      <c r="AJ1568" s="23"/>
      <c r="AK1568" s="23" t="str">
        <f>IFERROR(__xludf.DUMMYFUNCTION("XLOOKUP(C1568, 
   IMPORTRANGE(""1RdEdgHYrZ33LJ7RUHj_h-qkAFL92bcVjtIdVa-UlsCw"", ""Interns!D:D""), 
   IMPORTRANGE(""1RdEdgHYrZ33LJ7RUHj_h-qkAFL92bcVjtIdVa-UlsCw"", ""Interns!M:M""), 
   ""Not Found"")"),"")</f>
        <v/>
      </c>
      <c r="AL1568" s="23" t="str">
        <f>IFERROR(__xludf.DUMMYFUNCTION("XLOOKUP(C1568, 
   IMPORTRANGE(""1RdEdgHYrZ33LJ7RUHj_h-qkAFL92bcVjtIdVa-UlsCw"", ""Interns!D:D""), 
   IMPORTRANGE(""1RdEdgHYrZ33LJ7RUHj_h-qkAFL92bcVjtIdVa-UlsCw"", ""Interns!N:N""), 
   ""Not Found"")"),"")</f>
        <v/>
      </c>
      <c r="AM1568" s="23" t="str">
        <f>IFERROR(__xludf.DUMMYFUNCTION("XLOOKUP(C1568, 
   IMPORTRANGE(""1RdEdgHYrZ33LJ7RUHj_h-qkAFL92bcVjtIdVa-UlsCw"", ""Interns!D:D""), 
   IMPORTRANGE(""1RdEdgHYrZ33LJ7RUHj_h-qkAFL92bcVjtIdVa-UlsCw"", ""Interns!O:O""), 
   ""Not Found"")"),"")</f>
        <v/>
      </c>
      <c r="AN1568" s="23"/>
      <c r="AO1568" s="23" t="s">
        <v>14722</v>
      </c>
      <c r="AP1568" s="28" t="s">
        <v>5182</v>
      </c>
      <c r="AQ1568" s="28"/>
      <c r="AR1568" s="23"/>
      <c r="AS1568" s="23"/>
      <c r="AT1568" s="23"/>
      <c r="AU1568" s="23"/>
      <c r="AV1568" s="23"/>
    </row>
    <row r="1569">
      <c r="A1569" s="28" t="s">
        <v>5161</v>
      </c>
      <c r="B1569" s="28" t="s">
        <v>5162</v>
      </c>
      <c r="C1569" s="23" t="str">
        <f t="shared" si="39"/>
        <v>Melvin Paz</v>
      </c>
      <c r="D1569" s="28" t="s">
        <v>7865</v>
      </c>
      <c r="E1569" s="28" t="s">
        <v>11696</v>
      </c>
      <c r="F1569" s="23">
        <f t="array" ref="F1569">IFERROR(
    INDEX('Hub Interns 226'!A:A, MATCH(C1569, 'Hub Interns 226'!B:B, 0)),"")</f>
        <v>874</v>
      </c>
      <c r="G1569" s="23">
        <f t="array" ref="G1569">IFERROR(
    INDEX('Hub Users 226'!A:A, MATCH(C1569, 'Hub Users 226'!B:B, 0)),"")</f>
        <v>1307</v>
      </c>
      <c r="H1569" s="28">
        <v>1464.0</v>
      </c>
      <c r="I1569" s="28"/>
      <c r="J1569" s="28"/>
      <c r="K1569" s="28"/>
      <c r="L1569" s="28" t="s">
        <v>5165</v>
      </c>
      <c r="M1569" s="56" t="s">
        <v>14723</v>
      </c>
      <c r="N1569" s="57">
        <v>44936.36666666667</v>
      </c>
      <c r="O1569" s="58">
        <v>39969.0</v>
      </c>
      <c r="P1569" s="28">
        <f t="shared" si="41"/>
        <v>16</v>
      </c>
      <c r="Q1569" s="28" t="s">
        <v>240</v>
      </c>
      <c r="R1569" s="28" t="s">
        <v>14716</v>
      </c>
      <c r="S1569" s="60">
        <v>6.0</v>
      </c>
      <c r="T1569" s="60">
        <v>12.0</v>
      </c>
      <c r="U1569" s="60">
        <v>30.0</v>
      </c>
      <c r="V1569" s="28">
        <v>30.0</v>
      </c>
      <c r="W1569" s="28" t="s">
        <v>1173</v>
      </c>
      <c r="X1569" s="28" t="s">
        <v>272</v>
      </c>
      <c r="Y1569" s="28" t="s">
        <v>5169</v>
      </c>
      <c r="Z1569" s="28" t="s">
        <v>5170</v>
      </c>
      <c r="AA1569" s="28" t="s">
        <v>5171</v>
      </c>
      <c r="AB1569" s="28">
        <v>30.0</v>
      </c>
      <c r="AC1569" s="28" t="s">
        <v>23</v>
      </c>
      <c r="AD1569" s="23"/>
      <c r="AE1569" s="28" t="s">
        <v>15</v>
      </c>
      <c r="AF1569" s="23"/>
      <c r="AG1569" s="23"/>
      <c r="AH1569" s="23" t="str">
        <f>IFERROR(__xludf.DUMMYFUNCTION("IF(
ISNUMBER(MATCH(
C1569,
IMPORTRANGE(""https://docs.google.com/spreadsheets/d/1yTh1ELC33JHYOeEdgIiEclxPRyh0zOKtlawDltfUay8"",""'Interns'!A:A""),
0
)),
""Outreach Conducted"",
"""")"),"")</f>
        <v/>
      </c>
      <c r="AI1569" s="23"/>
      <c r="AJ1569" s="23"/>
      <c r="AK1569" s="23" t="str">
        <f>IFERROR(__xludf.DUMMYFUNCTION("XLOOKUP(C1569, 
   IMPORTRANGE(""1RdEdgHYrZ33LJ7RUHj_h-qkAFL92bcVjtIdVa-UlsCw"", ""Interns!D:D""), 
   IMPORTRANGE(""1RdEdgHYrZ33LJ7RUHj_h-qkAFL92bcVjtIdVa-UlsCw"", ""Interns!M:M""), 
   ""Not Found"")"),"Contacted")</f>
        <v>Contacted</v>
      </c>
      <c r="AL1569" s="23" t="str">
        <f>IFERROR(__xludf.DUMMYFUNCTION("XLOOKUP(C1569, 
   IMPORTRANGE(""1RdEdgHYrZ33LJ7RUHj_h-qkAFL92bcVjtIdVa-UlsCw"", ""Interns!D:D""), 
   IMPORTRANGE(""1RdEdgHYrZ33LJ7RUHj_h-qkAFL92bcVjtIdVa-UlsCw"", ""Interns!N:N""), 
   ""Not Found"")"),"#Cheers4Careers")</f>
        <v>#Cheers4Careers</v>
      </c>
      <c r="AM1569" s="23" t="str">
        <f>IFERROR(__xludf.DUMMYFUNCTION("XLOOKUP(C1569, 
   IMPORTRANGE(""1RdEdgHYrZ33LJ7RUHj_h-qkAFL92bcVjtIdVa-UlsCw"", ""Interns!D:D""), 
   IMPORTRANGE(""1RdEdgHYrZ33LJ7RUHj_h-qkAFL92bcVjtIdVa-UlsCw"", ""Interns!O:O""), 
   ""Not Found"")"),"Hetal reached out March 27 for March #Cheers4 Careers ")</f>
        <v>Hetal reached out March 27 for March #Cheers4 Careers </v>
      </c>
      <c r="AN1569" s="23"/>
      <c r="AO1569" s="23" t="s">
        <v>14724</v>
      </c>
      <c r="AP1569" s="28" t="s">
        <v>5182</v>
      </c>
      <c r="AQ1569" s="28"/>
      <c r="AR1569" s="23"/>
      <c r="AS1569" s="23"/>
      <c r="AT1569" s="23"/>
      <c r="AU1569" s="23"/>
      <c r="AV1569" s="23"/>
    </row>
    <row r="1570">
      <c r="A1570" s="28" t="s">
        <v>5161</v>
      </c>
      <c r="B1570" s="28" t="s">
        <v>5162</v>
      </c>
      <c r="C1570" s="23" t="str">
        <f t="shared" si="39"/>
        <v>Sherlyn Nayotl</v>
      </c>
      <c r="D1570" s="28" t="s">
        <v>14725</v>
      </c>
      <c r="E1570" s="28" t="s">
        <v>14726</v>
      </c>
      <c r="F1570" s="23">
        <f t="array" ref="F1570">IFERROR(
    INDEX('Hub Interns 226'!A:A, MATCH(C1570, 'Hub Interns 226'!B:B, 0)),"")</f>
        <v>1097</v>
      </c>
      <c r="G1570" s="23">
        <f t="array" ref="G1570">IFERROR(
    INDEX('Hub Users 226'!A:A, MATCH(C1570, 'Hub Users 226'!B:B, 0)),"")</f>
        <v>1530</v>
      </c>
      <c r="H1570" s="28">
        <v>1223.0</v>
      </c>
      <c r="I1570" s="28" t="s">
        <v>260</v>
      </c>
      <c r="J1570" s="28"/>
      <c r="K1570" s="28"/>
      <c r="L1570" s="28" t="s">
        <v>5196</v>
      </c>
      <c r="M1570" s="56" t="s">
        <v>14727</v>
      </c>
      <c r="N1570" s="57">
        <v>44837.59375</v>
      </c>
      <c r="O1570" s="58">
        <v>40080.0</v>
      </c>
      <c r="P1570" s="28">
        <f t="shared" si="41"/>
        <v>16</v>
      </c>
      <c r="Q1570" s="28" t="s">
        <v>240</v>
      </c>
      <c r="R1570" s="28" t="s">
        <v>14716</v>
      </c>
      <c r="S1570" s="60">
        <v>6.0</v>
      </c>
      <c r="T1570" s="60">
        <v>12.0</v>
      </c>
      <c r="U1570" s="60">
        <v>30.0</v>
      </c>
      <c r="V1570" s="28">
        <v>30.0</v>
      </c>
      <c r="W1570" s="28" t="s">
        <v>1173</v>
      </c>
      <c r="X1570" s="28" t="s">
        <v>272</v>
      </c>
      <c r="Y1570" s="28" t="s">
        <v>14728</v>
      </c>
      <c r="Z1570" s="28" t="s">
        <v>5170</v>
      </c>
      <c r="AA1570" s="28" t="s">
        <v>5171</v>
      </c>
      <c r="AB1570" s="28">
        <v>30.0</v>
      </c>
      <c r="AC1570" s="28" t="s">
        <v>23</v>
      </c>
      <c r="AD1570" s="23"/>
      <c r="AE1570" s="28" t="s">
        <v>15</v>
      </c>
      <c r="AF1570" s="23"/>
      <c r="AG1570" s="23"/>
      <c r="AH1570" s="23" t="str">
        <f>IFERROR(__xludf.DUMMYFUNCTION("IF(
ISNUMBER(MATCH(
C1570,
IMPORTRANGE(""https://docs.google.com/spreadsheets/d/1yTh1ELC33JHYOeEdgIiEclxPRyh0zOKtlawDltfUay8"",""'Interns'!A:A""),
0
)),
""Outreach Conducted"",
"""")"),"")</f>
        <v/>
      </c>
      <c r="AI1570" s="23"/>
      <c r="AJ1570" s="23"/>
      <c r="AK1570" s="23" t="str">
        <f>IFERROR(__xludf.DUMMYFUNCTION("XLOOKUP(C1570, 
   IMPORTRANGE(""1RdEdgHYrZ33LJ7RUHj_h-qkAFL92bcVjtIdVa-UlsCw"", ""Interns!D:D""), 
   IMPORTRANGE(""1RdEdgHYrZ33LJ7RUHj_h-qkAFL92bcVjtIdVa-UlsCw"", ""Interns!M:M""), 
   ""Not Found"")"),"Contacted")</f>
        <v>Contacted</v>
      </c>
      <c r="AL1570" s="23" t="str">
        <f>IFERROR(__xludf.DUMMYFUNCTION("XLOOKUP(C1570, 
   IMPORTRANGE(""1RdEdgHYrZ33LJ7RUHj_h-qkAFL92bcVjtIdVa-UlsCw"", ""Interns!D:D""), 
   IMPORTRANGE(""1RdEdgHYrZ33LJ7RUHj_h-qkAFL92bcVjtIdVa-UlsCw"", ""Interns!N:N""), 
   ""Not Found"")"),"#Cheers4Careers")</f>
        <v>#Cheers4Careers</v>
      </c>
      <c r="AM1570" s="23" t="str">
        <f>IFERROR(__xludf.DUMMYFUNCTION("XLOOKUP(C1570, 
   IMPORTRANGE(""1RdEdgHYrZ33LJ7RUHj_h-qkAFL92bcVjtIdVa-UlsCw"", ""Interns!D:D""), 
   IMPORTRANGE(""1RdEdgHYrZ33LJ7RUHj_h-qkAFL92bcVjtIdVa-UlsCw"", ""Interns!O:O""), 
   ""Not Found"")"),"Hetal reached out March 27 for March #Cheers4 Careers ")</f>
        <v>Hetal reached out March 27 for March #Cheers4 Careers </v>
      </c>
      <c r="AN1570" s="23"/>
      <c r="AO1570" s="23" t="s">
        <v>14729</v>
      </c>
      <c r="AP1570" s="28" t="s">
        <v>5182</v>
      </c>
      <c r="AQ1570" s="28"/>
      <c r="AR1570" s="23"/>
      <c r="AS1570" s="23"/>
      <c r="AT1570" s="23"/>
      <c r="AU1570" s="23"/>
      <c r="AV1570" s="23"/>
    </row>
    <row r="1571">
      <c r="A1571" s="28" t="s">
        <v>5161</v>
      </c>
      <c r="B1571" s="28" t="s">
        <v>5162</v>
      </c>
      <c r="C1571" s="23" t="str">
        <f t="shared" si="39"/>
        <v>Adalay Rodriguez</v>
      </c>
      <c r="D1571" s="28" t="s">
        <v>14730</v>
      </c>
      <c r="E1571" s="28" t="s">
        <v>536</v>
      </c>
      <c r="F1571" s="23">
        <f t="array" ref="F1571">IFERROR(
    INDEX('Hub Interns 226'!A:A, MATCH(C1571, 'Hub Interns 226'!B:B, 0)),"")</f>
        <v>145</v>
      </c>
      <c r="G1571" s="23">
        <f t="array" ref="G1571">IFERROR(
    INDEX('Hub Users 226'!A:A, MATCH(C1571, 'Hub Users 226'!B:B, 0)),"")</f>
        <v>578</v>
      </c>
      <c r="H1571" s="28">
        <v>1204.0</v>
      </c>
      <c r="I1571" s="28" t="s">
        <v>425</v>
      </c>
      <c r="J1571" s="28"/>
      <c r="K1571" s="28"/>
      <c r="L1571" s="28" t="s">
        <v>5165</v>
      </c>
      <c r="M1571" s="56" t="s">
        <v>14731</v>
      </c>
      <c r="N1571" s="57">
        <v>44834.51944444444</v>
      </c>
      <c r="O1571" s="58">
        <v>39986.0</v>
      </c>
      <c r="P1571" s="28">
        <f t="shared" si="41"/>
        <v>16</v>
      </c>
      <c r="Q1571" s="28" t="s">
        <v>240</v>
      </c>
      <c r="R1571" s="28" t="s">
        <v>14732</v>
      </c>
      <c r="S1571" s="60">
        <v>6.0</v>
      </c>
      <c r="T1571" s="60">
        <v>12.0</v>
      </c>
      <c r="U1571" s="60">
        <v>30.0</v>
      </c>
      <c r="V1571" s="28">
        <v>30.0</v>
      </c>
      <c r="W1571" s="28" t="s">
        <v>1173</v>
      </c>
      <c r="X1571" s="28" t="s">
        <v>272</v>
      </c>
      <c r="Y1571" s="28" t="s">
        <v>5169</v>
      </c>
      <c r="Z1571" s="28" t="s">
        <v>5170</v>
      </c>
      <c r="AA1571" s="28" t="s">
        <v>5171</v>
      </c>
      <c r="AB1571" s="28">
        <v>30.0</v>
      </c>
      <c r="AC1571" s="28" t="s">
        <v>23</v>
      </c>
      <c r="AD1571" s="23"/>
      <c r="AE1571" s="28" t="s">
        <v>15</v>
      </c>
      <c r="AF1571" s="23"/>
      <c r="AG1571" s="23"/>
      <c r="AH1571" s="23" t="str">
        <f>IFERROR(__xludf.DUMMYFUNCTION("IF(
ISNUMBER(MATCH(
C1571,
IMPORTRANGE(""https://docs.google.com/spreadsheets/d/1yTh1ELC33JHYOeEdgIiEclxPRyh0zOKtlawDltfUay8"",""'Interns'!A:A""),
0
)),
""Outreach Conducted"",
"""")"),"")</f>
        <v/>
      </c>
      <c r="AI1571" s="23"/>
      <c r="AJ1571" s="23"/>
      <c r="AK1571" s="23" t="str">
        <f>IFERROR(__xludf.DUMMYFUNCTION("XLOOKUP(C1571, 
   IMPORTRANGE(""1RdEdgHYrZ33LJ7RUHj_h-qkAFL92bcVjtIdVa-UlsCw"", ""Interns!D:D""), 
   IMPORTRANGE(""1RdEdgHYrZ33LJ7RUHj_h-qkAFL92bcVjtIdVa-UlsCw"", ""Interns!M:M""), 
   ""Not Found"")"),"Contacted")</f>
        <v>Contacted</v>
      </c>
      <c r="AL1571" s="23" t="str">
        <f>IFERROR(__xludf.DUMMYFUNCTION("XLOOKUP(C1571, 
   IMPORTRANGE(""1RdEdgHYrZ33LJ7RUHj_h-qkAFL92bcVjtIdVa-UlsCw"", ""Interns!D:D""), 
   IMPORTRANGE(""1RdEdgHYrZ33LJ7RUHj_h-qkAFL92bcVjtIdVa-UlsCw"", ""Interns!N:N""), 
   ""Not Found"")"),"#Cheers4Careers")</f>
        <v>#Cheers4Careers</v>
      </c>
      <c r="AM1571" s="23" t="str">
        <f>IFERROR(__xludf.DUMMYFUNCTION("XLOOKUP(C1571, 
   IMPORTRANGE(""1RdEdgHYrZ33LJ7RUHj_h-qkAFL92bcVjtIdVa-UlsCw"", ""Interns!D:D""), 
   IMPORTRANGE(""1RdEdgHYrZ33LJ7RUHj_h-qkAFL92bcVjtIdVa-UlsCw"", ""Interns!O:O""), 
   ""Not Found"")"),"Hetal reached out March 27 for March #Cheers4 Careers ")</f>
        <v>Hetal reached out March 27 for March #Cheers4 Careers </v>
      </c>
      <c r="AN1571" s="23"/>
      <c r="AO1571" s="23" t="s">
        <v>14733</v>
      </c>
      <c r="AP1571" s="28" t="s">
        <v>5182</v>
      </c>
      <c r="AQ1571" s="28"/>
      <c r="AR1571" s="23"/>
      <c r="AS1571" s="23"/>
      <c r="AT1571" s="23"/>
      <c r="AU1571" s="23"/>
      <c r="AV1571" s="23"/>
    </row>
    <row r="1572">
      <c r="A1572" s="28" t="s">
        <v>5161</v>
      </c>
      <c r="B1572" s="28" t="s">
        <v>5162</v>
      </c>
      <c r="C1572" s="23" t="str">
        <f t="shared" si="39"/>
        <v>Ariel Ortiz</v>
      </c>
      <c r="D1572" s="28" t="s">
        <v>4208</v>
      </c>
      <c r="E1572" s="28" t="s">
        <v>8190</v>
      </c>
      <c r="F1572" s="23">
        <f t="array" ref="F1572">IFERROR(
    INDEX('Hub Interns 226'!A:A, MATCH(C1572, 'Hub Interns 226'!B:B, 0)),"")</f>
        <v>260</v>
      </c>
      <c r="G1572" s="23">
        <f t="array" ref="G1572">IFERROR(
    INDEX('Hub Users 226'!A:A, MATCH(C1572, 'Hub Users 226'!B:B, 0)),"")</f>
        <v>693</v>
      </c>
      <c r="H1572" s="28">
        <v>1222.0</v>
      </c>
      <c r="I1572" s="28" t="s">
        <v>239</v>
      </c>
      <c r="J1572" s="28"/>
      <c r="K1572" s="28"/>
      <c r="L1572" s="28" t="s">
        <v>5165</v>
      </c>
      <c r="M1572" s="56" t="s">
        <v>14734</v>
      </c>
      <c r="N1572" s="57">
        <v>44837.583333333336</v>
      </c>
      <c r="O1572" s="58">
        <v>40054.0</v>
      </c>
      <c r="P1572" s="28">
        <f t="shared" si="41"/>
        <v>16</v>
      </c>
      <c r="Q1572" s="28" t="s">
        <v>240</v>
      </c>
      <c r="R1572" s="28" t="s">
        <v>14732</v>
      </c>
      <c r="S1572" s="60">
        <v>6.0</v>
      </c>
      <c r="T1572" s="60">
        <v>12.0</v>
      </c>
      <c r="U1572" s="60">
        <v>30.0</v>
      </c>
      <c r="V1572" s="28">
        <v>30.0</v>
      </c>
      <c r="W1572" s="28" t="s">
        <v>1173</v>
      </c>
      <c r="X1572" s="28" t="s">
        <v>272</v>
      </c>
      <c r="Y1572" s="28" t="s">
        <v>14735</v>
      </c>
      <c r="Z1572" s="28" t="s">
        <v>5170</v>
      </c>
      <c r="AA1572" s="28" t="s">
        <v>5171</v>
      </c>
      <c r="AB1572" s="28">
        <v>30.0</v>
      </c>
      <c r="AC1572" s="28" t="s">
        <v>23</v>
      </c>
      <c r="AD1572" s="28" t="s">
        <v>101</v>
      </c>
      <c r="AE1572" s="28" t="s">
        <v>15</v>
      </c>
      <c r="AF1572" s="23"/>
      <c r="AG1572" s="23"/>
      <c r="AH1572" s="23" t="str">
        <f>IFERROR(__xludf.DUMMYFUNCTION("IF(
ISNUMBER(MATCH(
C1572,
IMPORTRANGE(""https://docs.google.com/spreadsheets/d/1yTh1ELC33JHYOeEdgIiEclxPRyh0zOKtlawDltfUay8"",""'Interns'!A:A""),
0
)),
""Outreach Conducted"",
"""")"),"")</f>
        <v/>
      </c>
      <c r="AI1572" s="23"/>
      <c r="AJ1572" s="23"/>
      <c r="AK1572" s="23" t="str">
        <f>IFERROR(__xludf.DUMMYFUNCTION("XLOOKUP(C1572, 
   IMPORTRANGE(""1RdEdgHYrZ33LJ7RUHj_h-qkAFL92bcVjtIdVa-UlsCw"", ""Interns!D:D""), 
   IMPORTRANGE(""1RdEdgHYrZ33LJ7RUHj_h-qkAFL92bcVjtIdVa-UlsCw"", ""Interns!M:M""), 
   ""Not Found"")"),"Contacted")</f>
        <v>Contacted</v>
      </c>
      <c r="AL1572" s="23" t="str">
        <f>IFERROR(__xludf.DUMMYFUNCTION("XLOOKUP(C1572, 
   IMPORTRANGE(""1RdEdgHYrZ33LJ7RUHj_h-qkAFL92bcVjtIdVa-UlsCw"", ""Interns!D:D""), 
   IMPORTRANGE(""1RdEdgHYrZ33LJ7RUHj_h-qkAFL92bcVjtIdVa-UlsCw"", ""Interns!N:N""), 
   ""Not Found"")"),"#Cheers4Careers")</f>
        <v>#Cheers4Careers</v>
      </c>
      <c r="AM1572" s="23" t="str">
        <f>IFERROR(__xludf.DUMMYFUNCTION("XLOOKUP(C1572, 
   IMPORTRANGE(""1RdEdgHYrZ33LJ7RUHj_h-qkAFL92bcVjtIdVa-UlsCw"", ""Interns!D:D""), 
   IMPORTRANGE(""1RdEdgHYrZ33LJ7RUHj_h-qkAFL92bcVjtIdVa-UlsCw"", ""Interns!O:O""), 
   ""Not Found"")"),"Hetal reached out March 27 for March #Cheers4 Careers ")</f>
        <v>Hetal reached out March 27 for March #Cheers4 Careers </v>
      </c>
      <c r="AN1572" s="23"/>
      <c r="AO1572" s="23" t="s">
        <v>14736</v>
      </c>
      <c r="AP1572" s="28" t="s">
        <v>5182</v>
      </c>
      <c r="AQ1572" s="28"/>
      <c r="AR1572" s="23"/>
      <c r="AS1572" s="23"/>
      <c r="AT1572" s="23"/>
      <c r="AU1572" s="23"/>
      <c r="AV1572" s="23"/>
    </row>
    <row r="1573">
      <c r="A1573" s="28" t="s">
        <v>5161</v>
      </c>
      <c r="B1573" s="28" t="s">
        <v>5162</v>
      </c>
      <c r="C1573" s="23" t="str">
        <f t="shared" si="39"/>
        <v>Heyder Mayorga</v>
      </c>
      <c r="D1573" s="28" t="s">
        <v>14737</v>
      </c>
      <c r="E1573" s="28" t="s">
        <v>6506</v>
      </c>
      <c r="F1573" s="23">
        <f t="array" ref="F1573">IFERROR(
    INDEX('Hub Interns 226'!A:A, MATCH(C1573, 'Hub Interns 226'!B:B, 0)),"")</f>
        <v>576</v>
      </c>
      <c r="G1573" s="23">
        <f t="array" ref="G1573">IFERROR(
    INDEX('Hub Users 226'!A:A, MATCH(C1573, 'Hub Users 226'!B:B, 0)),"")</f>
        <v>1009</v>
      </c>
      <c r="H1573" s="28">
        <v>1592.0</v>
      </c>
      <c r="I1573" s="28"/>
      <c r="J1573" s="28"/>
      <c r="K1573" s="28"/>
      <c r="L1573" s="28" t="s">
        <v>5165</v>
      </c>
      <c r="M1573" s="56" t="s">
        <v>14738</v>
      </c>
      <c r="N1573" s="57">
        <v>45016.38958333333</v>
      </c>
      <c r="O1573" s="58">
        <v>40488.0</v>
      </c>
      <c r="P1573" s="28">
        <f t="shared" si="41"/>
        <v>15</v>
      </c>
      <c r="Q1573" s="28" t="s">
        <v>240</v>
      </c>
      <c r="R1573" s="28" t="s">
        <v>14739</v>
      </c>
      <c r="S1573" s="60">
        <v>6.0</v>
      </c>
      <c r="T1573" s="60">
        <v>12.0</v>
      </c>
      <c r="U1573" s="60">
        <v>30.0</v>
      </c>
      <c r="V1573" s="28">
        <v>30.0</v>
      </c>
      <c r="W1573" s="28" t="s">
        <v>1173</v>
      </c>
      <c r="X1573" s="28" t="s">
        <v>272</v>
      </c>
      <c r="Y1573" s="28" t="s">
        <v>5169</v>
      </c>
      <c r="Z1573" s="28" t="s">
        <v>5170</v>
      </c>
      <c r="AA1573" s="28" t="s">
        <v>5171</v>
      </c>
      <c r="AB1573" s="28">
        <v>30.0</v>
      </c>
      <c r="AC1573" s="28" t="s">
        <v>23</v>
      </c>
      <c r="AD1573" s="23"/>
      <c r="AE1573" s="28" t="s">
        <v>15</v>
      </c>
      <c r="AF1573" s="23"/>
      <c r="AG1573" s="23"/>
      <c r="AH1573" s="23" t="str">
        <f>IFERROR(__xludf.DUMMYFUNCTION("IF(
ISNUMBER(MATCH(
C1573,
IMPORTRANGE(""https://docs.google.com/spreadsheets/d/1yTh1ELC33JHYOeEdgIiEclxPRyh0zOKtlawDltfUay8"",""'Interns'!A:A""),
0
)),
""Outreach Conducted"",
"""")"),"")</f>
        <v/>
      </c>
      <c r="AI1573" s="23"/>
      <c r="AJ1573" s="23"/>
      <c r="AK1573" s="23" t="str">
        <f>IFERROR(__xludf.DUMMYFUNCTION("XLOOKUP(C1573, 
   IMPORTRANGE(""1RdEdgHYrZ33LJ7RUHj_h-qkAFL92bcVjtIdVa-UlsCw"", ""Interns!D:D""), 
   IMPORTRANGE(""1RdEdgHYrZ33LJ7RUHj_h-qkAFL92bcVjtIdVa-UlsCw"", ""Interns!M:M""), 
   ""Not Found"")"),"Contacted")</f>
        <v>Contacted</v>
      </c>
      <c r="AL1573" s="23" t="str">
        <f>IFERROR(__xludf.DUMMYFUNCTION("XLOOKUP(C1573, 
   IMPORTRANGE(""1RdEdgHYrZ33LJ7RUHj_h-qkAFL92bcVjtIdVa-UlsCw"", ""Interns!D:D""), 
   IMPORTRANGE(""1RdEdgHYrZ33LJ7RUHj_h-qkAFL92bcVjtIdVa-UlsCw"", ""Interns!N:N""), 
   ""Not Found"")"),"#Cheers4Careers")</f>
        <v>#Cheers4Careers</v>
      </c>
      <c r="AM1573" s="23" t="str">
        <f>IFERROR(__xludf.DUMMYFUNCTION("XLOOKUP(C1573, 
   IMPORTRANGE(""1RdEdgHYrZ33LJ7RUHj_h-qkAFL92bcVjtIdVa-UlsCw"", ""Interns!D:D""), 
   IMPORTRANGE(""1RdEdgHYrZ33LJ7RUHj_h-qkAFL92bcVjtIdVa-UlsCw"", ""Interns!O:O""), 
   ""Not Found"")"),"Hetal reached out March 27 for March #Cheers4 Careers ")</f>
        <v>Hetal reached out March 27 for March #Cheers4 Careers </v>
      </c>
      <c r="AN1573" s="23"/>
      <c r="AO1573" s="23" t="s">
        <v>14740</v>
      </c>
      <c r="AP1573" s="28" t="s">
        <v>5182</v>
      </c>
      <c r="AQ1573" s="28"/>
      <c r="AR1573" s="23"/>
      <c r="AS1573" s="23"/>
      <c r="AT1573" s="23"/>
      <c r="AU1573" s="23"/>
      <c r="AV1573" s="23"/>
    </row>
    <row r="1574">
      <c r="A1574" s="28" t="s">
        <v>5161</v>
      </c>
      <c r="B1574" s="28" t="s">
        <v>5162</v>
      </c>
      <c r="C1574" s="23" t="str">
        <f t="shared" si="39"/>
        <v>Julia Ash</v>
      </c>
      <c r="D1574" s="28" t="s">
        <v>1864</v>
      </c>
      <c r="E1574" s="28" t="s">
        <v>14741</v>
      </c>
      <c r="F1574" s="23" t="str">
        <f t="array" ref="F1574">IFERROR(
    INDEX('Hub Interns 226'!A:A, MATCH(C1574, 'Hub Interns 226'!B:B, 0)),"")</f>
        <v/>
      </c>
      <c r="G1574" s="23">
        <f t="array" ref="G1574">IFERROR(
    INDEX('Hub Users 226'!A:A, MATCH(C1574, 'Hub Users 226'!B:B, 0)),"")</f>
        <v>1846</v>
      </c>
      <c r="H1574" s="28">
        <v>1717.0</v>
      </c>
      <c r="I1574" s="28" t="s">
        <v>407</v>
      </c>
      <c r="J1574" s="28"/>
      <c r="K1574" s="28"/>
      <c r="L1574" s="28" t="s">
        <v>8087</v>
      </c>
      <c r="M1574" s="56" t="s">
        <v>14742</v>
      </c>
      <c r="N1574" s="59">
        <v>45252.40625</v>
      </c>
      <c r="O1574" s="58">
        <v>41081.0</v>
      </c>
      <c r="P1574" s="28">
        <f t="shared" si="41"/>
        <v>13</v>
      </c>
      <c r="Q1574" s="28" t="s">
        <v>240</v>
      </c>
      <c r="R1574" s="28" t="s">
        <v>14743</v>
      </c>
      <c r="S1574" s="60">
        <v>6.0</v>
      </c>
      <c r="T1574" s="60">
        <v>12.0</v>
      </c>
      <c r="U1574" s="60">
        <v>30.0</v>
      </c>
      <c r="V1574" s="28">
        <v>30.0</v>
      </c>
      <c r="W1574" s="28" t="s">
        <v>1173</v>
      </c>
      <c r="X1574" s="28" t="s">
        <v>272</v>
      </c>
      <c r="Y1574" s="28" t="s">
        <v>14744</v>
      </c>
      <c r="Z1574" s="28" t="s">
        <v>5170</v>
      </c>
      <c r="AA1574" s="28" t="s">
        <v>5171</v>
      </c>
      <c r="AB1574" s="28">
        <v>30.0</v>
      </c>
      <c r="AC1574" s="28" t="s">
        <v>23</v>
      </c>
      <c r="AD1574" s="23"/>
      <c r="AE1574" s="28" t="s">
        <v>18</v>
      </c>
      <c r="AF1574" s="23"/>
      <c r="AG1574" s="23"/>
      <c r="AH1574" s="23" t="str">
        <f>IFERROR(__xludf.DUMMYFUNCTION("IF(
ISNUMBER(MATCH(
C1574,
IMPORTRANGE(""https://docs.google.com/spreadsheets/d/1yTh1ELC33JHYOeEdgIiEclxPRyh0zOKtlawDltfUay8"",""'Interns'!A:A""),
0
)),
""Outreach Conducted"",
"""")"),"")</f>
        <v/>
      </c>
      <c r="AI1574" s="23"/>
      <c r="AJ1574" s="23"/>
      <c r="AK1574" s="23" t="str">
        <f>IFERROR(__xludf.DUMMYFUNCTION("XLOOKUP(C1574, 
   IMPORTRANGE(""1RdEdgHYrZ33LJ7RUHj_h-qkAFL92bcVjtIdVa-UlsCw"", ""Interns!D:D""), 
   IMPORTRANGE(""1RdEdgHYrZ33LJ7RUHj_h-qkAFL92bcVjtIdVa-UlsCw"", ""Interns!M:M""), 
   ""Not Found"")"),"Contacted")</f>
        <v>Contacted</v>
      </c>
      <c r="AL1574" s="23" t="str">
        <f>IFERROR(__xludf.DUMMYFUNCTION("XLOOKUP(C1574, 
   IMPORTRANGE(""1RdEdgHYrZ33LJ7RUHj_h-qkAFL92bcVjtIdVa-UlsCw"", ""Interns!D:D""), 
   IMPORTRANGE(""1RdEdgHYrZ33LJ7RUHj_h-qkAFL92bcVjtIdVa-UlsCw"", ""Interns!N:N""), 
   ""Not Found"")"),"#Cheers4Careers")</f>
        <v>#Cheers4Careers</v>
      </c>
      <c r="AM1574" s="23" t="str">
        <f>IFERROR(__xludf.DUMMYFUNCTION("XLOOKUP(C1574, 
   IMPORTRANGE(""1RdEdgHYrZ33LJ7RUHj_h-qkAFL92bcVjtIdVa-UlsCw"", ""Interns!D:D""), 
   IMPORTRANGE(""1RdEdgHYrZ33LJ7RUHj_h-qkAFL92bcVjtIdVa-UlsCw"", ""Interns!O:O""), 
   ""Not Found"")"),"Hetal reached out March 27 for March #Cheers4 Careers ")</f>
        <v>Hetal reached out March 27 for March #Cheers4 Careers </v>
      </c>
      <c r="AN1574" s="23"/>
      <c r="AO1574" s="23" t="s">
        <v>14745</v>
      </c>
      <c r="AP1574" s="28" t="s">
        <v>5182</v>
      </c>
      <c r="AQ1574" s="28"/>
      <c r="AR1574" s="23"/>
      <c r="AS1574" s="23"/>
      <c r="AT1574" s="23"/>
      <c r="AU1574" s="23"/>
      <c r="AV1574" s="23"/>
    </row>
    <row r="1575">
      <c r="A1575" s="28" t="s">
        <v>5161</v>
      </c>
      <c r="B1575" s="28" t="s">
        <v>5162</v>
      </c>
      <c r="C1575" s="23" t="str">
        <f t="shared" si="39"/>
        <v>Kaitlyn Castro</v>
      </c>
      <c r="D1575" s="28" t="s">
        <v>14746</v>
      </c>
      <c r="E1575" s="28" t="s">
        <v>2092</v>
      </c>
      <c r="F1575" s="23">
        <f t="array" ref="F1575">IFERROR(
    INDEX('Hub Interns 226'!A:A, MATCH(C1575, 'Hub Interns 226'!B:B, 0)),"")</f>
        <v>1599</v>
      </c>
      <c r="G1575" s="23">
        <f t="array" ref="G1575">IFERROR(
    INDEX('Hub Users 226'!A:A, MATCH(C1575, 'Hub Users 226'!B:B, 0)),"")</f>
        <v>1845</v>
      </c>
      <c r="H1575" s="28">
        <v>1718.0</v>
      </c>
      <c r="I1575" s="28" t="s">
        <v>239</v>
      </c>
      <c r="J1575" s="28"/>
      <c r="K1575" s="28"/>
      <c r="L1575" s="28" t="s">
        <v>5196</v>
      </c>
      <c r="M1575" s="56" t="s">
        <v>14747</v>
      </c>
      <c r="N1575" s="59">
        <v>45252.41111111111</v>
      </c>
      <c r="O1575" s="58">
        <v>41060.0</v>
      </c>
      <c r="P1575" s="28">
        <f t="shared" si="41"/>
        <v>13</v>
      </c>
      <c r="Q1575" s="28" t="s">
        <v>240</v>
      </c>
      <c r="R1575" s="28" t="s">
        <v>14748</v>
      </c>
      <c r="S1575" s="60">
        <v>6.0</v>
      </c>
      <c r="T1575" s="60">
        <v>12.0</v>
      </c>
      <c r="U1575" s="60">
        <v>30.0</v>
      </c>
      <c r="V1575" s="28">
        <v>30.0</v>
      </c>
      <c r="W1575" s="28" t="s">
        <v>1173</v>
      </c>
      <c r="X1575" s="28" t="s">
        <v>272</v>
      </c>
      <c r="Y1575" s="28" t="s">
        <v>14749</v>
      </c>
      <c r="Z1575" s="28" t="s">
        <v>5170</v>
      </c>
      <c r="AA1575" s="28" t="s">
        <v>5171</v>
      </c>
      <c r="AB1575" s="28">
        <v>30.0</v>
      </c>
      <c r="AC1575" s="28" t="s">
        <v>23</v>
      </c>
      <c r="AD1575" s="23"/>
      <c r="AE1575" s="28" t="s">
        <v>18</v>
      </c>
      <c r="AF1575" s="23"/>
      <c r="AG1575" s="23"/>
      <c r="AH1575" s="23" t="str">
        <f>IFERROR(__xludf.DUMMYFUNCTION("IF(
ISNUMBER(MATCH(
C1575,
IMPORTRANGE(""https://docs.google.com/spreadsheets/d/1yTh1ELC33JHYOeEdgIiEclxPRyh0zOKtlawDltfUay8"",""'Interns'!A:A""),
0
)),
""Outreach Conducted"",
"""")"),"")</f>
        <v/>
      </c>
      <c r="AI1575" s="23"/>
      <c r="AJ1575" s="23"/>
      <c r="AK1575" s="23" t="str">
        <f>IFERROR(__xludf.DUMMYFUNCTION("XLOOKUP(C1575, 
   IMPORTRANGE(""1RdEdgHYrZ33LJ7RUHj_h-qkAFL92bcVjtIdVa-UlsCw"", ""Interns!D:D""), 
   IMPORTRANGE(""1RdEdgHYrZ33LJ7RUHj_h-qkAFL92bcVjtIdVa-UlsCw"", ""Interns!M:M""), 
   ""Not Found"")"),"Contacted")</f>
        <v>Contacted</v>
      </c>
      <c r="AL1575" s="23" t="str">
        <f>IFERROR(__xludf.DUMMYFUNCTION("XLOOKUP(C1575, 
   IMPORTRANGE(""1RdEdgHYrZ33LJ7RUHj_h-qkAFL92bcVjtIdVa-UlsCw"", ""Interns!D:D""), 
   IMPORTRANGE(""1RdEdgHYrZ33LJ7RUHj_h-qkAFL92bcVjtIdVa-UlsCw"", ""Interns!N:N""), 
   ""Not Found"")"),"#Cheers4Careers")</f>
        <v>#Cheers4Careers</v>
      </c>
      <c r="AM1575" s="23" t="str">
        <f>IFERROR(__xludf.DUMMYFUNCTION("XLOOKUP(C1575, 
   IMPORTRANGE(""1RdEdgHYrZ33LJ7RUHj_h-qkAFL92bcVjtIdVa-UlsCw"", ""Interns!D:D""), 
   IMPORTRANGE(""1RdEdgHYrZ33LJ7RUHj_h-qkAFL92bcVjtIdVa-UlsCw"", ""Interns!O:O""), 
   ""Not Found"")"),"Hetal reached out March 27 for March #Cheers4 Careers ")</f>
        <v>Hetal reached out March 27 for March #Cheers4 Careers </v>
      </c>
      <c r="AN1575" s="23"/>
      <c r="AO1575" s="23" t="s">
        <v>14750</v>
      </c>
      <c r="AP1575" s="28" t="s">
        <v>5182</v>
      </c>
      <c r="AQ1575" s="28"/>
      <c r="AR1575" s="23"/>
      <c r="AS1575" s="23"/>
      <c r="AT1575" s="23"/>
      <c r="AU1575" s="23"/>
      <c r="AV1575" s="23"/>
    </row>
    <row r="1576">
      <c r="A1576" s="28" t="s">
        <v>5161</v>
      </c>
      <c r="B1576" s="28" t="s">
        <v>5162</v>
      </c>
      <c r="C1576" s="23" t="str">
        <f t="shared" si="39"/>
        <v>Sophia Solis</v>
      </c>
      <c r="D1576" s="22" t="s">
        <v>14751</v>
      </c>
      <c r="E1576" s="22" t="s">
        <v>14045</v>
      </c>
      <c r="F1576" s="23"/>
      <c r="G1576" s="23"/>
      <c r="H1576" s="22">
        <v>1990.0</v>
      </c>
      <c r="I1576" s="28"/>
      <c r="J1576" s="28"/>
      <c r="K1576" s="28"/>
      <c r="L1576" s="28" t="s">
        <v>5196</v>
      </c>
      <c r="M1576" s="29" t="s">
        <v>14752</v>
      </c>
      <c r="N1576" s="61">
        <v>45631.49444444444</v>
      </c>
      <c r="O1576" s="25">
        <v>40906.0</v>
      </c>
      <c r="P1576" s="28">
        <f t="shared" si="41"/>
        <v>14</v>
      </c>
      <c r="Q1576" s="62" t="s">
        <v>14753</v>
      </c>
      <c r="R1576" s="22" t="s">
        <v>14754</v>
      </c>
      <c r="S1576" s="60">
        <v>6.0</v>
      </c>
      <c r="T1576" s="60">
        <v>12.0</v>
      </c>
      <c r="U1576" s="60">
        <v>30.0</v>
      </c>
      <c r="V1576" s="28">
        <v>30.0</v>
      </c>
      <c r="W1576" s="28" t="s">
        <v>1173</v>
      </c>
      <c r="X1576" s="28" t="s">
        <v>272</v>
      </c>
      <c r="Y1576" s="22" t="s">
        <v>14755</v>
      </c>
      <c r="Z1576" s="22" t="s">
        <v>5520</v>
      </c>
      <c r="AA1576" s="28" t="s">
        <v>5171</v>
      </c>
      <c r="AB1576" s="28">
        <v>30.0</v>
      </c>
      <c r="AC1576" s="28" t="s">
        <v>23</v>
      </c>
      <c r="AD1576" s="23"/>
      <c r="AE1576" s="28" t="s">
        <v>19</v>
      </c>
      <c r="AF1576" s="23"/>
      <c r="AG1576" s="23"/>
      <c r="AH1576" s="23" t="str">
        <f>IFERROR(__xludf.DUMMYFUNCTION("IF(
ISNUMBER(MATCH(
C1576,
IMPORTRANGE(""https://docs.google.com/spreadsheets/d/1yTh1ELC33JHYOeEdgIiEclxPRyh0zOKtlawDltfUay8"",""'Interns'!A:A""),
0
)),
""Outreach Conducted"",
"""")"),"")</f>
        <v/>
      </c>
      <c r="AI1576" s="23"/>
      <c r="AJ1576" s="23"/>
      <c r="AK1576" s="23"/>
      <c r="AL1576" s="23" t="str">
        <f>IFERROR(__xludf.DUMMYFUNCTION("XLOOKUP(C1576, 
   IMPORTRANGE(""1RdEdgHYrZ33LJ7RUHj_h-qkAFL92bcVjtIdVa-UlsCw"", ""Interns!D:D""), 
   IMPORTRANGE(""1RdEdgHYrZ33LJ7RUHj_h-qkAFL92bcVjtIdVa-UlsCw"", ""Interns!N:N""), 
   ""Not Found"")"),"Not Found")</f>
        <v>Not Found</v>
      </c>
      <c r="AM1576" s="23" t="str">
        <f>IFERROR(__xludf.DUMMYFUNCTION("XLOOKUP(C1576, 
   IMPORTRANGE(""1RdEdgHYrZ33LJ7RUHj_h-qkAFL92bcVjtIdVa-UlsCw"", ""Interns!D:D""), 
   IMPORTRANGE(""1RdEdgHYrZ33LJ7RUHj_h-qkAFL92bcVjtIdVa-UlsCw"", ""Interns!O:O""), 
   ""Not Found"")"),"Not Found")</f>
        <v>Not Found</v>
      </c>
      <c r="AN1576" s="23"/>
      <c r="AO1576" s="23" t="s">
        <v>14756</v>
      </c>
      <c r="AP1576" s="28" t="s">
        <v>5182</v>
      </c>
      <c r="AQ1576" s="28" t="s">
        <v>14757</v>
      </c>
      <c r="AR1576" s="23">
        <v>3.475176926E9</v>
      </c>
      <c r="AS1576" s="23"/>
      <c r="AT1576" s="23"/>
      <c r="AU1576" s="23"/>
      <c r="AV1576" s="23"/>
    </row>
    <row r="1577">
      <c r="A1577" s="28" t="s">
        <v>5161</v>
      </c>
      <c r="B1577" s="28" t="s">
        <v>5162</v>
      </c>
      <c r="C1577" s="23" t="str">
        <f t="shared" si="39"/>
        <v>Ndeye Diedhiou</v>
      </c>
      <c r="D1577" s="28" t="s">
        <v>14758</v>
      </c>
      <c r="E1577" s="28" t="s">
        <v>12546</v>
      </c>
      <c r="F1577" s="23">
        <f t="array" ref="F1577">IFERROR(
    INDEX('Hub Interns 226'!A:A, MATCH(C1577, 'Hub Interns 226'!B:B, 0)),"")</f>
        <v>931</v>
      </c>
      <c r="G1577" s="23">
        <f t="array" ref="G1577">IFERROR(
    INDEX('Hub Users 226'!A:A, MATCH(C1577, 'Hub Users 226'!B:B, 0)),"")</f>
        <v>1364</v>
      </c>
      <c r="H1577" s="28">
        <v>1604.0</v>
      </c>
      <c r="I1577" s="28"/>
      <c r="J1577" s="28" t="s">
        <v>8907</v>
      </c>
      <c r="K1577" s="28" t="s">
        <v>5245</v>
      </c>
      <c r="L1577" s="28" t="s">
        <v>5196</v>
      </c>
      <c r="M1577" s="56" t="s">
        <v>14759</v>
      </c>
      <c r="N1577" s="57">
        <v>45039.53194444445</v>
      </c>
      <c r="O1577" s="58">
        <v>38272.0</v>
      </c>
      <c r="P1577" s="28">
        <f t="shared" si="41"/>
        <v>21</v>
      </c>
      <c r="Q1577" s="28" t="s">
        <v>240</v>
      </c>
      <c r="R1577" s="28" t="s">
        <v>4434</v>
      </c>
      <c r="S1577" s="28"/>
      <c r="T1577" s="28"/>
      <c r="U1577" s="28"/>
      <c r="V1577" s="28"/>
      <c r="W1577" s="28" t="s">
        <v>859</v>
      </c>
      <c r="X1577" s="28" t="s">
        <v>272</v>
      </c>
      <c r="Y1577" s="28" t="s">
        <v>12550</v>
      </c>
      <c r="Z1577" s="28" t="s">
        <v>5435</v>
      </c>
      <c r="AA1577" s="28" t="s">
        <v>5871</v>
      </c>
      <c r="AB1577" s="28">
        <v>31.0</v>
      </c>
      <c r="AC1577" s="28" t="s">
        <v>23</v>
      </c>
      <c r="AD1577" s="23"/>
      <c r="AE1577" s="28" t="s">
        <v>17</v>
      </c>
      <c r="AF1577" s="23"/>
      <c r="AG1577" s="26" t="s">
        <v>7320</v>
      </c>
      <c r="AH1577" s="23" t="str">
        <f>IFERROR(__xludf.DUMMYFUNCTION("IF(
ISNUMBER(MATCH(
C1577,
IMPORTRANGE(""https://docs.google.com/spreadsheets/d/1yTh1ELC33JHYOeEdgIiEclxPRyh0zOKtlawDltfUay8"",""'Interns'!A:A""),
0
)),
""Outreach Conducted"",
"""")"),"")</f>
        <v/>
      </c>
      <c r="AI1577" s="23"/>
      <c r="AJ1577" s="23"/>
      <c r="AK1577" s="23" t="str">
        <f>IFERROR(__xludf.DUMMYFUNCTION("XLOOKUP(C1577, 
   IMPORTRANGE(""1RdEdgHYrZ33LJ7RUHj_h-qkAFL92bcVjtIdVa-UlsCw"", ""Interns!D:D""), 
   IMPORTRANGE(""1RdEdgHYrZ33LJ7RUHj_h-qkAFL92bcVjtIdVa-UlsCw"", ""Interns!M:M""), 
   ""Not Found"")"),"")</f>
        <v/>
      </c>
      <c r="AL1577" s="23" t="str">
        <f>IFERROR(__xludf.DUMMYFUNCTION("XLOOKUP(C1577, 
   IMPORTRANGE(""1RdEdgHYrZ33LJ7RUHj_h-qkAFL92bcVjtIdVa-UlsCw"", ""Interns!D:D""), 
   IMPORTRANGE(""1RdEdgHYrZ33LJ7RUHj_h-qkAFL92bcVjtIdVa-UlsCw"", ""Interns!N:N""), 
   ""Not Found"")"),"")</f>
        <v/>
      </c>
      <c r="AM1577" s="23" t="str">
        <f>IFERROR(__xludf.DUMMYFUNCTION("XLOOKUP(C1577, 
   IMPORTRANGE(""1RdEdgHYrZ33LJ7RUHj_h-qkAFL92bcVjtIdVa-UlsCw"", ""Interns!D:D""), 
   IMPORTRANGE(""1RdEdgHYrZ33LJ7RUHj_h-qkAFL92bcVjtIdVa-UlsCw"", ""Interns!O:O""), 
   ""Not Found"")"),"")</f>
        <v/>
      </c>
      <c r="AN1577" s="23"/>
      <c r="AO1577" s="23" t="s">
        <v>14760</v>
      </c>
      <c r="AP1577" s="28" t="s">
        <v>5191</v>
      </c>
      <c r="AQ1577" s="28"/>
      <c r="AR1577" s="23"/>
      <c r="AS1577" s="23"/>
      <c r="AT1577" s="23"/>
      <c r="AU1577" s="23"/>
      <c r="AV1577" s="23"/>
    </row>
    <row r="1578">
      <c r="A1578" s="28" t="s">
        <v>5161</v>
      </c>
      <c r="B1578" s="28" t="s">
        <v>5162</v>
      </c>
      <c r="C1578" s="23" t="str">
        <f t="shared" si="39"/>
        <v>Christian nava</v>
      </c>
      <c r="D1578" s="28" t="s">
        <v>932</v>
      </c>
      <c r="E1578" s="28" t="s">
        <v>14761</v>
      </c>
      <c r="F1578" s="23">
        <f t="array" ref="F1578">IFERROR(
    INDEX('Hub Interns 226'!A:A, MATCH(C1578, 'Hub Interns 226'!B:B, 0)),"")</f>
        <v>385</v>
      </c>
      <c r="G1578" s="23">
        <f t="array" ref="G1578">IFERROR(
    INDEX('Hub Users 226'!A:A, MATCH(C1578, 'Hub Users 226'!B:B, 0)),"")</f>
        <v>818</v>
      </c>
      <c r="H1578" s="28">
        <v>1083.0</v>
      </c>
      <c r="I1578" s="28"/>
      <c r="J1578" s="28"/>
      <c r="K1578" s="28"/>
      <c r="L1578" s="28" t="s">
        <v>5165</v>
      </c>
      <c r="M1578" s="56" t="s">
        <v>14762</v>
      </c>
      <c r="N1578" s="57">
        <v>44704.51388888889</v>
      </c>
      <c r="O1578" s="58">
        <v>39717.0</v>
      </c>
      <c r="P1578" s="28">
        <f t="shared" si="41"/>
        <v>17</v>
      </c>
      <c r="Q1578" s="28" t="s">
        <v>240</v>
      </c>
      <c r="R1578" s="28" t="s">
        <v>14763</v>
      </c>
      <c r="S1578" s="69">
        <v>7.0</v>
      </c>
      <c r="T1578" s="69">
        <v>12.0</v>
      </c>
      <c r="U1578" s="69">
        <v>37.0</v>
      </c>
      <c r="V1578" s="28">
        <v>26.0</v>
      </c>
      <c r="W1578" s="28" t="s">
        <v>1173</v>
      </c>
      <c r="X1578" s="28" t="s">
        <v>272</v>
      </c>
      <c r="Y1578" s="28" t="s">
        <v>14764</v>
      </c>
      <c r="Z1578" s="28" t="s">
        <v>5352</v>
      </c>
      <c r="AA1578" s="28" t="s">
        <v>5287</v>
      </c>
      <c r="AB1578" s="28">
        <v>26.0</v>
      </c>
      <c r="AC1578" s="28" t="s">
        <v>24</v>
      </c>
      <c r="AD1578" s="23"/>
      <c r="AE1578" s="28" t="s">
        <v>10</v>
      </c>
      <c r="AF1578" s="23"/>
      <c r="AG1578" s="23"/>
      <c r="AH1578" s="23" t="str">
        <f>IFERROR(__xludf.DUMMYFUNCTION("IF(
ISNUMBER(MATCH(
C1578,
IMPORTRANGE(""https://docs.google.com/spreadsheets/d/1yTh1ELC33JHYOeEdgIiEclxPRyh0zOKtlawDltfUay8"",""'Interns'!A:A""),
0
)),
""Outreach Conducted"",
"""")"),"")</f>
        <v/>
      </c>
      <c r="AI1578" s="23"/>
      <c r="AJ1578" s="23"/>
      <c r="AK1578" s="23" t="str">
        <f>IFERROR(__xludf.DUMMYFUNCTION("XLOOKUP(C1578, 
   IMPORTRANGE(""1RdEdgHYrZ33LJ7RUHj_h-qkAFL92bcVjtIdVa-UlsCw"", ""Interns!D:D""), 
   IMPORTRANGE(""1RdEdgHYrZ33LJ7RUHj_h-qkAFL92bcVjtIdVa-UlsCw"", ""Interns!M:M""), 
   ""Not Found"")"),"Contacted")</f>
        <v>Contacted</v>
      </c>
      <c r="AL1578" s="23" t="str">
        <f>IFERROR(__xludf.DUMMYFUNCTION("XLOOKUP(C1578, 
   IMPORTRANGE(""1RdEdgHYrZ33LJ7RUHj_h-qkAFL92bcVjtIdVa-UlsCw"", ""Interns!D:D""), 
   IMPORTRANGE(""1RdEdgHYrZ33LJ7RUHj_h-qkAFL92bcVjtIdVa-UlsCw"", ""Interns!N:N""), 
   ""Not Found"")"),"#Cheers4Careers")</f>
        <v>#Cheers4Careers</v>
      </c>
      <c r="AM1578" s="23" t="str">
        <f>IFERROR(__xludf.DUMMYFUNCTION("XLOOKUP(C1578, 
   IMPORTRANGE(""1RdEdgHYrZ33LJ7RUHj_h-qkAFL92bcVjtIdVa-UlsCw"", ""Interns!D:D""), 
   IMPORTRANGE(""1RdEdgHYrZ33LJ7RUHj_h-qkAFL92bcVjtIdVa-UlsCw"", ""Interns!O:O""), 
   ""Not Found"")"),"Hetal reached out by email 3/27")</f>
        <v>Hetal reached out by email 3/27</v>
      </c>
      <c r="AN1578" s="23"/>
      <c r="AO1578" s="23" t="s">
        <v>14765</v>
      </c>
      <c r="AP1578" s="28" t="s">
        <v>5182</v>
      </c>
      <c r="AQ1578" s="28"/>
      <c r="AR1578" s="23"/>
      <c r="AS1578" s="23"/>
      <c r="AT1578" s="23"/>
      <c r="AU1578" s="23"/>
      <c r="AV1578" s="23"/>
    </row>
    <row r="1579">
      <c r="A1579" s="28" t="s">
        <v>5161</v>
      </c>
      <c r="B1579" s="28" t="s">
        <v>5162</v>
      </c>
      <c r="C1579" s="23" t="str">
        <f t="shared" si="39"/>
        <v>Ibrahim Alkutaini</v>
      </c>
      <c r="D1579" s="28" t="s">
        <v>4390</v>
      </c>
      <c r="E1579" s="28" t="s">
        <v>14766</v>
      </c>
      <c r="F1579" s="23">
        <f t="array" ref="F1579">IFERROR(
    INDEX('Hub Interns 226'!A:A, MATCH(C1579, 'Hub Interns 226'!B:B, 0)),"")</f>
        <v>586</v>
      </c>
      <c r="G1579" s="23">
        <f t="array" ref="G1579">IFERROR(
    INDEX('Hub Users 226'!A:A, MATCH(C1579, 'Hub Users 226'!B:B, 0)),"")</f>
        <v>1019</v>
      </c>
      <c r="H1579" s="28">
        <v>1195.0</v>
      </c>
      <c r="I1579" s="28" t="s">
        <v>290</v>
      </c>
      <c r="J1579" s="28"/>
      <c r="K1579" s="28"/>
      <c r="L1579" s="28" t="s">
        <v>5165</v>
      </c>
      <c r="M1579" s="56" t="s">
        <v>14767</v>
      </c>
      <c r="N1579" s="57">
        <v>44833.59027777778</v>
      </c>
      <c r="O1579" s="58">
        <v>40111.0</v>
      </c>
      <c r="P1579" s="28">
        <f t="shared" si="41"/>
        <v>16</v>
      </c>
      <c r="Q1579" s="28" t="s">
        <v>14768</v>
      </c>
      <c r="R1579" s="28" t="s">
        <v>14769</v>
      </c>
      <c r="S1579" s="28">
        <v>6.0</v>
      </c>
      <c r="T1579" s="28">
        <v>12.0</v>
      </c>
      <c r="U1579" s="28">
        <v>30.0</v>
      </c>
      <c r="V1579" s="28">
        <v>26.0</v>
      </c>
      <c r="W1579" s="28" t="s">
        <v>1173</v>
      </c>
      <c r="X1579" s="28" t="s">
        <v>272</v>
      </c>
      <c r="Y1579" s="28" t="s">
        <v>14770</v>
      </c>
      <c r="Z1579" s="28" t="s">
        <v>5170</v>
      </c>
      <c r="AA1579" s="28" t="s">
        <v>5171</v>
      </c>
      <c r="AB1579" s="28">
        <v>30.0</v>
      </c>
      <c r="AC1579" s="28" t="s">
        <v>23</v>
      </c>
      <c r="AD1579" s="28" t="s">
        <v>101</v>
      </c>
      <c r="AE1579" s="28" t="s">
        <v>15</v>
      </c>
      <c r="AF1579" s="23"/>
      <c r="AG1579" s="23"/>
      <c r="AH1579" s="23" t="str">
        <f>IFERROR(__xludf.DUMMYFUNCTION("IF(
ISNUMBER(MATCH(
C1579,
IMPORTRANGE(""https://docs.google.com/spreadsheets/d/1yTh1ELC33JHYOeEdgIiEclxPRyh0zOKtlawDltfUay8"",""'Interns'!A:A""),
0
)),
""Outreach Conducted"",
"""")"),"")</f>
        <v/>
      </c>
      <c r="AI1579" s="23"/>
      <c r="AJ1579" s="23"/>
      <c r="AK1579" s="23" t="str">
        <f>IFERROR(__xludf.DUMMYFUNCTION("XLOOKUP(C1579, 
   IMPORTRANGE(""1RdEdgHYrZ33LJ7RUHj_h-qkAFL92bcVjtIdVa-UlsCw"", ""Interns!D:D""), 
   IMPORTRANGE(""1RdEdgHYrZ33LJ7RUHj_h-qkAFL92bcVjtIdVa-UlsCw"", ""Interns!M:M""), 
   ""Not Found"")"),"Contacted")</f>
        <v>Contacted</v>
      </c>
      <c r="AL1579" s="23" t="str">
        <f>IFERROR(__xludf.DUMMYFUNCTION("XLOOKUP(C1579, 
   IMPORTRANGE(""1RdEdgHYrZ33LJ7RUHj_h-qkAFL92bcVjtIdVa-UlsCw"", ""Interns!D:D""), 
   IMPORTRANGE(""1RdEdgHYrZ33LJ7RUHj_h-qkAFL92bcVjtIdVa-UlsCw"", ""Interns!N:N""), 
   ""Not Found"")"),"#Cheers4Careers")</f>
        <v>#Cheers4Careers</v>
      </c>
      <c r="AM1579" s="23" t="str">
        <f>IFERROR(__xludf.DUMMYFUNCTION("XLOOKUP(C1579, 
   IMPORTRANGE(""1RdEdgHYrZ33LJ7RUHj_h-qkAFL92bcVjtIdVa-UlsCw"", ""Interns!D:D""), 
   IMPORTRANGE(""1RdEdgHYrZ33LJ7RUHj_h-qkAFL92bcVjtIdVa-UlsCw"", ""Interns!O:O""), 
   ""Not Found"")"),"Hetal reached out March 27 for March #Cheers4 Careers and whatsapp on 3/28
Hetal reached out on 4/10 by whatsapp for April 18th #Cheers4Careers")</f>
        <v>Hetal reached out March 27 for March #Cheers4 Careers and whatsapp on 3/28
Hetal reached out on 4/10 by whatsapp for April 18th #Cheers4Careers</v>
      </c>
      <c r="AN1579" s="23"/>
      <c r="AO1579" s="23" t="s">
        <v>14771</v>
      </c>
      <c r="AP1579" s="28" t="s">
        <v>5191</v>
      </c>
      <c r="AQ1579" s="28"/>
      <c r="AR1579" s="23"/>
      <c r="AS1579" s="23"/>
      <c r="AT1579" s="23"/>
      <c r="AU1579" s="23"/>
      <c r="AV1579" s="23"/>
    </row>
    <row r="1580">
      <c r="A1580" s="28" t="s">
        <v>5161</v>
      </c>
      <c r="B1580" s="28" t="s">
        <v>5162</v>
      </c>
      <c r="C1580" s="23" t="str">
        <f t="shared" si="39"/>
        <v>Abcdee Arguello</v>
      </c>
      <c r="D1580" s="28" t="s">
        <v>14772</v>
      </c>
      <c r="E1580" s="28" t="s">
        <v>14773</v>
      </c>
      <c r="F1580" s="23">
        <f t="array" ref="F1580">IFERROR(
    INDEX('Hub Interns 226'!A:A, MATCH(C1580, 'Hub Interns 226'!B:B, 0)),"")</f>
        <v>1112</v>
      </c>
      <c r="G1580" s="23">
        <f t="array" ref="G1580">IFERROR(
    INDEX('Hub Users 226'!A:A, MATCH(C1580, 'Hub Users 226'!B:B, 0)),"")</f>
        <v>1545</v>
      </c>
      <c r="H1580" s="28">
        <v>224.0</v>
      </c>
      <c r="I1580" s="28" t="s">
        <v>260</v>
      </c>
      <c r="J1580" s="28"/>
      <c r="K1580" s="28"/>
      <c r="L1580" s="28" t="s">
        <v>5196</v>
      </c>
      <c r="M1580" s="56" t="s">
        <v>14774</v>
      </c>
      <c r="N1580" s="57">
        <v>44111.544444444444</v>
      </c>
      <c r="O1580" s="58"/>
      <c r="P1580" s="28">
        <f t="shared" si="41"/>
        <v>126</v>
      </c>
      <c r="Q1580" s="28" t="s">
        <v>14775</v>
      </c>
      <c r="R1580" s="28" t="s">
        <v>14776</v>
      </c>
      <c r="S1580" s="28"/>
      <c r="T1580" s="28"/>
      <c r="U1580" s="28"/>
      <c r="V1580" s="28"/>
      <c r="W1580" s="28" t="s">
        <v>12324</v>
      </c>
      <c r="X1580" s="28" t="s">
        <v>465</v>
      </c>
      <c r="Y1580" s="28">
        <v>1.210955473E10</v>
      </c>
      <c r="Z1580" s="28" t="s">
        <v>12326</v>
      </c>
      <c r="AA1580" s="28" t="s">
        <v>12327</v>
      </c>
      <c r="AB1580" s="28" t="s">
        <v>12328</v>
      </c>
      <c r="AC1580" s="28" t="s">
        <v>24</v>
      </c>
      <c r="AD1580" s="23"/>
      <c r="AE1580" s="28" t="s">
        <v>8</v>
      </c>
      <c r="AF1580" s="23"/>
      <c r="AG1580" s="23"/>
      <c r="AH1580" s="23" t="str">
        <f>IFERROR(__xludf.DUMMYFUNCTION("IF(
ISNUMBER(MATCH(
C1580,
IMPORTRANGE(""https://docs.google.com/spreadsheets/d/1yTh1ELC33JHYOeEdgIiEclxPRyh0zOKtlawDltfUay8"",""'Interns'!A:A""),
0
)),
""Outreach Conducted"",
"""")"),"")</f>
        <v/>
      </c>
      <c r="AI1580" s="23"/>
      <c r="AJ1580" s="23"/>
      <c r="AK1580" s="23" t="str">
        <f>IFERROR(__xludf.DUMMYFUNCTION("XLOOKUP(C1580, 
   IMPORTRANGE(""1RdEdgHYrZ33LJ7RUHj_h-qkAFL92bcVjtIdVa-UlsCw"", ""Interns!D:D""), 
   IMPORTRANGE(""1RdEdgHYrZ33LJ7RUHj_h-qkAFL92bcVjtIdVa-UlsCw"", ""Interns!M:M""), 
   ""Not Found"")"),"")</f>
        <v/>
      </c>
      <c r="AL1580" s="23" t="str">
        <f>IFERROR(__xludf.DUMMYFUNCTION("XLOOKUP(C1580, 
   IMPORTRANGE(""1RdEdgHYrZ33LJ7RUHj_h-qkAFL92bcVjtIdVa-UlsCw"", ""Interns!D:D""), 
   IMPORTRANGE(""1RdEdgHYrZ33LJ7RUHj_h-qkAFL92bcVjtIdVa-UlsCw"", ""Interns!N:N""), 
   ""Not Found"")"),"")</f>
        <v/>
      </c>
      <c r="AM1580" s="23" t="str">
        <f>IFERROR(__xludf.DUMMYFUNCTION("XLOOKUP(C1580, 
   IMPORTRANGE(""1RdEdgHYrZ33LJ7RUHj_h-qkAFL92bcVjtIdVa-UlsCw"", ""Interns!D:D""), 
   IMPORTRANGE(""1RdEdgHYrZ33LJ7RUHj_h-qkAFL92bcVjtIdVa-UlsCw"", ""Interns!O:O""), 
   ""Not Found"")"),"")</f>
        <v/>
      </c>
      <c r="AN1580" s="23"/>
      <c r="AO1580" s="23"/>
      <c r="AP1580" s="28"/>
      <c r="AQ1580" s="28"/>
      <c r="AR1580" s="23"/>
      <c r="AS1580" s="23"/>
      <c r="AT1580" s="23"/>
      <c r="AU1580" s="23"/>
      <c r="AV1580" s="23"/>
    </row>
    <row r="1581">
      <c r="A1581" s="28" t="s">
        <v>5161</v>
      </c>
      <c r="B1581" s="28" t="s">
        <v>5162</v>
      </c>
      <c r="C1581" s="23" t="str">
        <f t="shared" si="39"/>
        <v>Paulina Jachero</v>
      </c>
      <c r="D1581" s="28" t="s">
        <v>9550</v>
      </c>
      <c r="E1581" s="28" t="s">
        <v>13819</v>
      </c>
      <c r="F1581" s="23">
        <f t="array" ref="F1581">IFERROR(
    INDEX('Hub Interns 226'!A:A, MATCH(C1581, 'Hub Interns 226'!B:B, 0)),"")</f>
        <v>990</v>
      </c>
      <c r="G1581" s="23">
        <f t="array" ref="G1581">IFERROR(
    INDEX('Hub Users 226'!A:A, MATCH(C1581, 'Hub Users 226'!B:B, 0)),"")</f>
        <v>1423</v>
      </c>
      <c r="H1581" s="28">
        <v>1230.0</v>
      </c>
      <c r="I1581" s="28" t="s">
        <v>260</v>
      </c>
      <c r="J1581" s="28"/>
      <c r="K1581" s="28"/>
      <c r="L1581" s="28" t="s">
        <v>5196</v>
      </c>
      <c r="M1581" s="56" t="s">
        <v>13820</v>
      </c>
      <c r="N1581" s="57">
        <v>44838.44652777778</v>
      </c>
      <c r="O1581" s="58">
        <v>39055.0</v>
      </c>
      <c r="P1581" s="28">
        <f t="shared" si="41"/>
        <v>19</v>
      </c>
      <c r="Q1581" s="28" t="s">
        <v>240</v>
      </c>
      <c r="R1581" s="28" t="s">
        <v>13821</v>
      </c>
      <c r="S1581" s="28">
        <v>13.0</v>
      </c>
      <c r="T1581" s="28">
        <v>31.0</v>
      </c>
      <c r="U1581" s="28">
        <v>72.0</v>
      </c>
      <c r="V1581" s="28">
        <v>10.0</v>
      </c>
      <c r="W1581" s="28" t="s">
        <v>271</v>
      </c>
      <c r="X1581" s="28" t="s">
        <v>272</v>
      </c>
      <c r="Y1581" s="28" t="s">
        <v>13822</v>
      </c>
      <c r="Z1581" s="28" t="s">
        <v>5341</v>
      </c>
      <c r="AA1581" s="28" t="s">
        <v>1085</v>
      </c>
      <c r="AB1581" s="28">
        <v>10.0</v>
      </c>
      <c r="AC1581" s="28" t="s">
        <v>23</v>
      </c>
      <c r="AD1581" s="28" t="s">
        <v>101</v>
      </c>
      <c r="AE1581" s="28" t="s">
        <v>15</v>
      </c>
      <c r="AF1581" s="23"/>
      <c r="AG1581" s="23"/>
      <c r="AH1581" s="23" t="str">
        <f>IFERROR(__xludf.DUMMYFUNCTION("IF(
ISNUMBER(MATCH(
C1581,
IMPORTRANGE(""https://docs.google.com/spreadsheets/d/1yTh1ELC33JHYOeEdgIiEclxPRyh0zOKtlawDltfUay8"",""'Interns'!A:A""),
0
)),
""Outreach Conducted"",
"""")"),"")</f>
        <v/>
      </c>
      <c r="AI1581" s="23"/>
      <c r="AJ1581" s="23"/>
      <c r="AK1581" s="23" t="str">
        <f>IFERROR(__xludf.DUMMYFUNCTION("XLOOKUP(C1581, 
   IMPORTRANGE(""1RdEdgHYrZ33LJ7RUHj_h-qkAFL92bcVjtIdVa-UlsCw"", ""Interns!D:D""), 
   IMPORTRANGE(""1RdEdgHYrZ33LJ7RUHj_h-qkAFL92bcVjtIdVa-UlsCw"", ""Interns!M:M""), 
   ""Not Found"")"),"")</f>
        <v/>
      </c>
      <c r="AL1581" s="23" t="str">
        <f>IFERROR(__xludf.DUMMYFUNCTION("XLOOKUP(C1581, 
   IMPORTRANGE(""1RdEdgHYrZ33LJ7RUHj_h-qkAFL92bcVjtIdVa-UlsCw"", ""Interns!D:D""), 
   IMPORTRANGE(""1RdEdgHYrZ33LJ7RUHj_h-qkAFL92bcVjtIdVa-UlsCw"", ""Interns!N:N""), 
   ""Not Found"")"),"")</f>
        <v/>
      </c>
      <c r="AM1581" s="23" t="str">
        <f>IFERROR(__xludf.DUMMYFUNCTION("XLOOKUP(C1581, 
   IMPORTRANGE(""1RdEdgHYrZ33LJ7RUHj_h-qkAFL92bcVjtIdVa-UlsCw"", ""Interns!D:D""), 
   IMPORTRANGE(""1RdEdgHYrZ33LJ7RUHj_h-qkAFL92bcVjtIdVa-UlsCw"", ""Interns!O:O""), 
   ""Not Found"")"),"")</f>
        <v/>
      </c>
      <c r="AN1581" s="23"/>
      <c r="AO1581" s="23" t="s">
        <v>13823</v>
      </c>
      <c r="AP1581" s="28" t="s">
        <v>5182</v>
      </c>
      <c r="AQ1581" s="28"/>
      <c r="AR1581" s="23"/>
      <c r="AS1581" s="23"/>
      <c r="AT1581" s="23"/>
      <c r="AU1581" s="23"/>
      <c r="AV1581" s="23"/>
    </row>
    <row r="1582">
      <c r="A1582" s="28" t="s">
        <v>5161</v>
      </c>
      <c r="B1582" s="28" t="s">
        <v>5162</v>
      </c>
      <c r="C1582" s="23" t="str">
        <f t="shared" si="39"/>
        <v>Austin Liu</v>
      </c>
      <c r="D1582" s="28" t="s">
        <v>1218</v>
      </c>
      <c r="E1582" s="28" t="s">
        <v>6241</v>
      </c>
      <c r="F1582" s="23">
        <f t="array" ref="F1582">IFERROR(
    INDEX('Hub Interns 226'!A:A, MATCH(C1582, 'Hub Interns 226'!B:B, 0)),"")</f>
        <v>276</v>
      </c>
      <c r="G1582" s="23">
        <f t="array" ref="G1582">IFERROR(
    INDEX('Hub Users 226'!A:A, MATCH(C1582, 'Hub Users 226'!B:B, 0)),"")</f>
        <v>709</v>
      </c>
      <c r="H1582" s="28">
        <v>1008.0</v>
      </c>
      <c r="I1582" s="28" t="s">
        <v>107</v>
      </c>
      <c r="J1582" s="28"/>
      <c r="K1582" s="28"/>
      <c r="L1582" s="28" t="s">
        <v>5165</v>
      </c>
      <c r="M1582" s="56" t="s">
        <v>14777</v>
      </c>
      <c r="N1582" s="57">
        <v>44655.95347222222</v>
      </c>
      <c r="O1582" s="58">
        <v>39885.0</v>
      </c>
      <c r="P1582" s="28">
        <f t="shared" si="41"/>
        <v>17</v>
      </c>
      <c r="Q1582" s="28" t="s">
        <v>240</v>
      </c>
      <c r="R1582" s="28" t="s">
        <v>14778</v>
      </c>
      <c r="S1582" s="28">
        <v>6.0</v>
      </c>
      <c r="T1582" s="28">
        <v>13.0</v>
      </c>
      <c r="U1582" s="28">
        <v>39.0</v>
      </c>
      <c r="V1582" s="28">
        <v>25.0</v>
      </c>
      <c r="W1582" s="28" t="s">
        <v>1173</v>
      </c>
      <c r="X1582" s="28" t="s">
        <v>272</v>
      </c>
      <c r="Y1582" s="28" t="s">
        <v>14779</v>
      </c>
      <c r="Z1582" s="28" t="s">
        <v>9652</v>
      </c>
      <c r="AA1582" s="28" t="s">
        <v>9653</v>
      </c>
      <c r="AB1582" s="28">
        <v>30.0</v>
      </c>
      <c r="AC1582" s="28" t="s">
        <v>24</v>
      </c>
      <c r="AD1582" s="23"/>
      <c r="AE1582" s="28" t="s">
        <v>10</v>
      </c>
      <c r="AF1582" s="23"/>
      <c r="AG1582" s="23"/>
      <c r="AH1582" s="23" t="str">
        <f>IFERROR(__xludf.DUMMYFUNCTION("IF(
ISNUMBER(MATCH(
C1582,
IMPORTRANGE(""https://docs.google.com/spreadsheets/d/1yTh1ELC33JHYOeEdgIiEclxPRyh0zOKtlawDltfUay8"",""'Interns'!A:A""),
0
)),
""Outreach Conducted"",
"""")"),"")</f>
        <v/>
      </c>
      <c r="AI1582" s="23"/>
      <c r="AJ1582" s="23"/>
      <c r="AK1582" s="23" t="str">
        <f>IFERROR(__xludf.DUMMYFUNCTION("XLOOKUP(C1582, 
   IMPORTRANGE(""1RdEdgHYrZ33LJ7RUHj_h-qkAFL92bcVjtIdVa-UlsCw"", ""Interns!D:D""), 
   IMPORTRANGE(""1RdEdgHYrZ33LJ7RUHj_h-qkAFL92bcVjtIdVa-UlsCw"", ""Interns!M:M""), 
   ""Not Found"")"),"Contacted")</f>
        <v>Contacted</v>
      </c>
      <c r="AL1582" s="23" t="str">
        <f>IFERROR(__xludf.DUMMYFUNCTION("XLOOKUP(C1582, 
   IMPORTRANGE(""1RdEdgHYrZ33LJ7RUHj_h-qkAFL92bcVjtIdVa-UlsCw"", ""Interns!D:D""), 
   IMPORTRANGE(""1RdEdgHYrZ33LJ7RUHj_h-qkAFL92bcVjtIdVa-UlsCw"", ""Interns!N:N""), 
   ""Not Found"")"),"#Cheers4Careers")</f>
        <v>#Cheers4Careers</v>
      </c>
      <c r="AM1582" s="23" t="str">
        <f>IFERROR(__xludf.DUMMYFUNCTION("XLOOKUP(C1582, 
   IMPORTRANGE(""1RdEdgHYrZ33LJ7RUHj_h-qkAFL92bcVjtIdVa-UlsCw"", ""Interns!D:D""), 
   IMPORTRANGE(""1RdEdgHYrZ33LJ7RUHj_h-qkAFL92bcVjtIdVa-UlsCw"", ""Interns!O:O""), 
   ""Not Found"")"),"Reached out by email 3/26 and by text 3/27 for Cheers 4 Careers Reached out again 3/28 but no response ")</f>
        <v>Reached out by email 3/26 and by text 3/27 for Cheers 4 Careers Reached out again 3/28 but no response </v>
      </c>
      <c r="AN1582" s="23"/>
      <c r="AO1582" s="23" t="s">
        <v>14780</v>
      </c>
      <c r="AP1582" s="28" t="s">
        <v>5182</v>
      </c>
      <c r="AQ1582" s="28"/>
      <c r="AR1582" s="23"/>
      <c r="AS1582" s="23"/>
      <c r="AT1582" s="23"/>
      <c r="AU1582" s="23"/>
      <c r="AV1582" s="23"/>
    </row>
    <row r="1583">
      <c r="A1583" s="28" t="s">
        <v>5161</v>
      </c>
      <c r="B1583" s="28" t="s">
        <v>5162</v>
      </c>
      <c r="C1583" s="23" t="str">
        <f t="shared" si="39"/>
        <v>justin zenetno</v>
      </c>
      <c r="D1583" s="28" t="s">
        <v>14781</v>
      </c>
      <c r="E1583" s="28" t="s">
        <v>14782</v>
      </c>
      <c r="F1583" s="23">
        <f t="array" ref="F1583">IFERROR(
    INDEX('Hub Interns 226'!A:A, MATCH(C1583, 'Hub Interns 226'!B:B, 0)),"")</f>
        <v>709</v>
      </c>
      <c r="G1583" s="23">
        <f t="array" ref="G1583">IFERROR(
    INDEX('Hub Users 226'!A:A, MATCH(C1583, 'Hub Users 226'!B:B, 0)),"")</f>
        <v>1142</v>
      </c>
      <c r="H1583" s="28">
        <v>1047.0</v>
      </c>
      <c r="I1583" s="28" t="s">
        <v>239</v>
      </c>
      <c r="J1583" s="28"/>
      <c r="K1583" s="28"/>
      <c r="L1583" s="28" t="s">
        <v>5165</v>
      </c>
      <c r="M1583" s="56" t="s">
        <v>14783</v>
      </c>
      <c r="N1583" s="57">
        <v>44684.51944444444</v>
      </c>
      <c r="O1583" s="58">
        <v>39765.0</v>
      </c>
      <c r="P1583" s="28">
        <f t="shared" si="41"/>
        <v>17</v>
      </c>
      <c r="Q1583" s="28" t="s">
        <v>240</v>
      </c>
      <c r="R1583" s="28" t="s">
        <v>14784</v>
      </c>
      <c r="S1583" s="28">
        <v>7.0</v>
      </c>
      <c r="T1583" s="28">
        <v>12.0</v>
      </c>
      <c r="U1583" s="28">
        <v>37.0</v>
      </c>
      <c r="V1583" s="28">
        <v>26.0</v>
      </c>
      <c r="W1583" s="28" t="s">
        <v>1173</v>
      </c>
      <c r="X1583" s="28" t="s">
        <v>272</v>
      </c>
      <c r="Y1583" s="28" t="s">
        <v>14785</v>
      </c>
      <c r="Z1583" s="28" t="s">
        <v>5352</v>
      </c>
      <c r="AA1583" s="28" t="s">
        <v>5287</v>
      </c>
      <c r="AB1583" s="28">
        <v>26.0</v>
      </c>
      <c r="AC1583" s="28" t="s">
        <v>24</v>
      </c>
      <c r="AD1583" s="23"/>
      <c r="AE1583" s="28" t="s">
        <v>10</v>
      </c>
      <c r="AF1583" s="23"/>
      <c r="AG1583" s="23"/>
      <c r="AH1583" s="23" t="str">
        <f>IFERROR(__xludf.DUMMYFUNCTION("IF(
ISNUMBER(MATCH(
C1583,
IMPORTRANGE(""https://docs.google.com/spreadsheets/d/1yTh1ELC33JHYOeEdgIiEclxPRyh0zOKtlawDltfUay8"",""'Interns'!A:A""),
0
)),
""Outreach Conducted"",
"""")"),"")</f>
        <v/>
      </c>
      <c r="AI1583" s="23"/>
      <c r="AJ1583" s="23"/>
      <c r="AK1583" s="23" t="str">
        <f>IFERROR(__xludf.DUMMYFUNCTION("XLOOKUP(C1583, 
   IMPORTRANGE(""1RdEdgHYrZ33LJ7RUHj_h-qkAFL92bcVjtIdVa-UlsCw"", ""Interns!D:D""), 
   IMPORTRANGE(""1RdEdgHYrZ33LJ7RUHj_h-qkAFL92bcVjtIdVa-UlsCw"", ""Interns!M:M""), 
   ""Not Found"")"),"Contacted")</f>
        <v>Contacted</v>
      </c>
      <c r="AL1583" s="23" t="str">
        <f>IFERROR(__xludf.DUMMYFUNCTION("XLOOKUP(C1583, 
   IMPORTRANGE(""1RdEdgHYrZ33LJ7RUHj_h-qkAFL92bcVjtIdVa-UlsCw"", ""Interns!D:D""), 
   IMPORTRANGE(""1RdEdgHYrZ33LJ7RUHj_h-qkAFL92bcVjtIdVa-UlsCw"", ""Interns!N:N""), 
   ""Not Found"")"),"#Cheers4Careers")</f>
        <v>#Cheers4Careers</v>
      </c>
      <c r="AM1583" s="23" t="str">
        <f>IFERROR(__xludf.DUMMYFUNCTION("XLOOKUP(C1583, 
   IMPORTRANGE(""1RdEdgHYrZ33LJ7RUHj_h-qkAFL92bcVjtIdVa-UlsCw"", ""Interns!D:D""), 
   IMPORTRANGE(""1RdEdgHYrZ33LJ7RUHj_h-qkAFL92bcVjtIdVa-UlsCw"", ""Interns!O:O""), 
   ""Not Found"")"),"Hetal reached out by email 3/27")</f>
        <v>Hetal reached out by email 3/27</v>
      </c>
      <c r="AN1583" s="23"/>
      <c r="AO1583" s="23" t="s">
        <v>5368</v>
      </c>
      <c r="AP1583" s="28" t="s">
        <v>5908</v>
      </c>
      <c r="AQ1583" s="28"/>
      <c r="AR1583" s="23"/>
      <c r="AS1583" s="23"/>
      <c r="AT1583" s="23"/>
      <c r="AU1583" s="23"/>
      <c r="AV1583" s="23"/>
    </row>
    <row r="1584">
      <c r="A1584" s="28" t="s">
        <v>5202</v>
      </c>
      <c r="B1584" s="28" t="s">
        <v>5162</v>
      </c>
      <c r="C1584" s="23" t="str">
        <f t="shared" si="39"/>
        <v>Beatriz Espinosa</v>
      </c>
      <c r="D1584" s="28" t="s">
        <v>14786</v>
      </c>
      <c r="E1584" s="28" t="s">
        <v>14787</v>
      </c>
      <c r="F1584" s="23">
        <f t="array" ref="F1584">IFERROR(
    INDEX('Hub Interns 226'!A:A, MATCH(C1584, 'Hub Interns 226'!B:B, 0)),"")</f>
        <v>291</v>
      </c>
      <c r="G1584" s="23">
        <f t="array" ref="G1584">IFERROR(
    INDEX('Hub Users 226'!A:A, MATCH(C1584, 'Hub Users 226'!B:B, 0)),"")</f>
        <v>724</v>
      </c>
      <c r="H1584" s="28">
        <v>1042.0</v>
      </c>
      <c r="I1584" s="28" t="s">
        <v>260</v>
      </c>
      <c r="J1584" s="28"/>
      <c r="K1584" s="28"/>
      <c r="L1584" s="28" t="s">
        <v>5196</v>
      </c>
      <c r="M1584" s="56" t="s">
        <v>14788</v>
      </c>
      <c r="N1584" s="57">
        <v>44684.42916666667</v>
      </c>
      <c r="O1584" s="58">
        <v>38472.0</v>
      </c>
      <c r="P1584" s="28">
        <f t="shared" si="41"/>
        <v>21</v>
      </c>
      <c r="Q1584" s="28" t="s">
        <v>14789</v>
      </c>
      <c r="R1584" s="28" t="s">
        <v>14790</v>
      </c>
      <c r="S1584" s="28">
        <v>15.0</v>
      </c>
      <c r="T1584" s="28">
        <v>32.0</v>
      </c>
      <c r="U1584" s="28">
        <v>79.0</v>
      </c>
      <c r="V1584" s="28">
        <v>16.0</v>
      </c>
      <c r="W1584" s="28" t="s">
        <v>859</v>
      </c>
      <c r="X1584" s="28" t="s">
        <v>272</v>
      </c>
      <c r="Y1584" s="28" t="s">
        <v>14791</v>
      </c>
      <c r="Z1584" s="28" t="s">
        <v>5310</v>
      </c>
      <c r="AA1584" s="28" t="s">
        <v>362</v>
      </c>
      <c r="AB1584" s="28">
        <v>16.0</v>
      </c>
      <c r="AC1584" s="28" t="s">
        <v>24</v>
      </c>
      <c r="AD1584" s="23"/>
      <c r="AE1584" s="28" t="s">
        <v>10</v>
      </c>
      <c r="AF1584" s="23"/>
      <c r="AG1584" s="23"/>
      <c r="AH1584" s="23" t="str">
        <f>IFERROR(__xludf.DUMMYFUNCTION("IF(
ISNUMBER(MATCH(
C1584,
IMPORTRANGE(""https://docs.google.com/spreadsheets/d/1yTh1ELC33JHYOeEdgIiEclxPRyh0zOKtlawDltfUay8"",""'Interns'!A:A""),
0
)),
""Outreach Conducted"",
"""")"),"")</f>
        <v/>
      </c>
      <c r="AI1584" s="23"/>
      <c r="AJ1584" s="23"/>
      <c r="AK1584" s="23" t="str">
        <f>IFERROR(__xludf.DUMMYFUNCTION("XLOOKUP(C1584, 
   IMPORTRANGE(""1RdEdgHYrZ33LJ7RUHj_h-qkAFL92bcVjtIdVa-UlsCw"", ""Interns!D:D""), 
   IMPORTRANGE(""1RdEdgHYrZ33LJ7RUHj_h-qkAFL92bcVjtIdVa-UlsCw"", ""Interns!M:M""), 
   ""Not Found"")"),"")</f>
        <v/>
      </c>
      <c r="AL1584" s="23" t="str">
        <f>IFERROR(__xludf.DUMMYFUNCTION("XLOOKUP(C1584, 
   IMPORTRANGE(""1RdEdgHYrZ33LJ7RUHj_h-qkAFL92bcVjtIdVa-UlsCw"", ""Interns!D:D""), 
   IMPORTRANGE(""1RdEdgHYrZ33LJ7RUHj_h-qkAFL92bcVjtIdVa-UlsCw"", ""Interns!N:N""), 
   ""Not Found"")"),"")</f>
        <v/>
      </c>
      <c r="AM1584" s="23" t="str">
        <f>IFERROR(__xludf.DUMMYFUNCTION("XLOOKUP(C1584, 
   IMPORTRANGE(""1RdEdgHYrZ33LJ7RUHj_h-qkAFL92bcVjtIdVa-UlsCw"", ""Interns!D:D""), 
   IMPORTRANGE(""1RdEdgHYrZ33LJ7RUHj_h-qkAFL92bcVjtIdVa-UlsCw"", ""Interns!O:O""), 
   ""Not Found"")"),"")</f>
        <v/>
      </c>
      <c r="AN1584" s="23"/>
      <c r="AO1584" s="23" t="s">
        <v>14792</v>
      </c>
      <c r="AP1584" s="28" t="s">
        <v>5641</v>
      </c>
      <c r="AQ1584" s="28"/>
      <c r="AR1584" s="23"/>
      <c r="AS1584" s="23"/>
      <c r="AT1584" s="23"/>
      <c r="AU1584" s="23"/>
      <c r="AV1584" s="23"/>
    </row>
    <row r="1585">
      <c r="A1585" s="28" t="s">
        <v>5161</v>
      </c>
      <c r="B1585" s="28" t="s">
        <v>5162</v>
      </c>
      <c r="C1585" s="23" t="str">
        <f t="shared" si="39"/>
        <v>Javier Esteves</v>
      </c>
      <c r="D1585" s="28" t="s">
        <v>8018</v>
      </c>
      <c r="E1585" s="28" t="s">
        <v>14793</v>
      </c>
      <c r="F1585" s="23">
        <f t="array" ref="F1585">IFERROR(
    INDEX('Hub Interns 226'!A:A, MATCH(C1585, 'Hub Interns 226'!B:B, 0)),"")</f>
        <v>115</v>
      </c>
      <c r="G1585" s="23">
        <f t="array" ref="G1585">IFERROR(
    INDEX('Hub Users 226'!A:A, MATCH(C1585, 'Hub Users 226'!B:B, 0)),"")</f>
        <v>548</v>
      </c>
      <c r="H1585" s="28">
        <v>296.0</v>
      </c>
      <c r="I1585" s="28" t="s">
        <v>269</v>
      </c>
      <c r="J1585" s="28"/>
      <c r="K1585" s="28"/>
      <c r="L1585" s="28" t="s">
        <v>5165</v>
      </c>
      <c r="M1585" s="56" t="s">
        <v>14794</v>
      </c>
      <c r="N1585" s="57">
        <v>44228.7125</v>
      </c>
      <c r="O1585" s="58">
        <v>37830.0</v>
      </c>
      <c r="P1585" s="28">
        <f t="shared" si="41"/>
        <v>22</v>
      </c>
      <c r="Q1585" s="28" t="s">
        <v>14795</v>
      </c>
      <c r="R1585" s="28" t="s">
        <v>14796</v>
      </c>
      <c r="S1585" s="28"/>
      <c r="T1585" s="28"/>
      <c r="U1585" s="28"/>
      <c r="V1585" s="28"/>
      <c r="W1585" s="28" t="s">
        <v>380</v>
      </c>
      <c r="X1585" s="28" t="s">
        <v>381</v>
      </c>
      <c r="Y1585" s="28" t="s">
        <v>14797</v>
      </c>
      <c r="Z1585" s="28" t="s">
        <v>5220</v>
      </c>
      <c r="AA1585" s="28" t="s">
        <v>1570</v>
      </c>
      <c r="AB1585" s="28" t="s">
        <v>5221</v>
      </c>
      <c r="AC1585" s="28" t="s">
        <v>25</v>
      </c>
      <c r="AD1585" s="23"/>
      <c r="AE1585" s="28" t="s">
        <v>8</v>
      </c>
      <c r="AF1585" s="23" t="str">
        <f>IFERROR(__xludf.DUMMYFUNCTION("TEXTJOIN("", "", TRUE,
  FILTER(Champions!C:C,
    ISNUMBER(SEARCH(C1585, Champions!W:W))
  )
)"),"Kiran Gill, Sam McConnell")</f>
        <v>Kiran Gill, Sam McConnell</v>
      </c>
      <c r="AG1585" s="23"/>
      <c r="AH1585" s="23" t="str">
        <f>IFERROR(__xludf.DUMMYFUNCTION("IF(
ISNUMBER(MATCH(
C1585,
IMPORTRANGE(""https://docs.google.com/spreadsheets/d/1yTh1ELC33JHYOeEdgIiEclxPRyh0zOKtlawDltfUay8"",""'Interns'!A:A""),
0
)),
""Outreach Conducted"",
"""")"),"")</f>
        <v/>
      </c>
      <c r="AI1585" s="23"/>
      <c r="AJ1585" s="23"/>
      <c r="AK1585" s="23" t="str">
        <f>IFERROR(__xludf.DUMMYFUNCTION("XLOOKUP(C1585, 
   IMPORTRANGE(""1RdEdgHYrZ33LJ7RUHj_h-qkAFL92bcVjtIdVa-UlsCw"", ""Interns!D:D""), 
   IMPORTRANGE(""1RdEdgHYrZ33LJ7RUHj_h-qkAFL92bcVjtIdVa-UlsCw"", ""Interns!M:M""), 
   ""Not Found"")"),"")</f>
        <v/>
      </c>
      <c r="AL1585" s="23" t="str">
        <f>IFERROR(__xludf.DUMMYFUNCTION("XLOOKUP(C1585, 
   IMPORTRANGE(""1RdEdgHYrZ33LJ7RUHj_h-qkAFL92bcVjtIdVa-UlsCw"", ""Interns!D:D""), 
   IMPORTRANGE(""1RdEdgHYrZ33LJ7RUHj_h-qkAFL92bcVjtIdVa-UlsCw"", ""Interns!N:N""), 
   ""Not Found"")"),"")</f>
        <v/>
      </c>
      <c r="AM1585" s="23" t="str">
        <f>IFERROR(__xludf.DUMMYFUNCTION("XLOOKUP(C1585, 
   IMPORTRANGE(""1RdEdgHYrZ33LJ7RUHj_h-qkAFL92bcVjtIdVa-UlsCw"", ""Interns!D:D""), 
   IMPORTRANGE(""1RdEdgHYrZ33LJ7RUHj_h-qkAFL92bcVjtIdVa-UlsCw"", ""Interns!O:O""), 
   ""Not Found"")"),"")</f>
        <v/>
      </c>
      <c r="AN1585" s="23"/>
      <c r="AO1585" s="23" t="s">
        <v>14798</v>
      </c>
      <c r="AP1585" s="28" t="s">
        <v>5908</v>
      </c>
      <c r="AQ1585" s="28" t="s">
        <v>14799</v>
      </c>
      <c r="AR1585" s="23" t="s">
        <v>14800</v>
      </c>
      <c r="AS1585" s="23"/>
      <c r="AT1585" s="23"/>
      <c r="AU1585" s="23"/>
      <c r="AV1585" s="23"/>
    </row>
    <row r="1586">
      <c r="A1586" s="28" t="s">
        <v>5161</v>
      </c>
      <c r="B1586" s="28" t="s">
        <v>5162</v>
      </c>
      <c r="C1586" s="23" t="str">
        <f t="shared" si="39"/>
        <v>Arabella (Bella) Gonzalez</v>
      </c>
      <c r="D1586" s="22" t="s">
        <v>14801</v>
      </c>
      <c r="E1586" s="22" t="s">
        <v>1377</v>
      </c>
      <c r="F1586" s="23"/>
      <c r="G1586" s="23"/>
      <c r="H1586" s="22">
        <v>1963.0</v>
      </c>
      <c r="I1586" s="28"/>
      <c r="J1586" s="28"/>
      <c r="K1586" s="28"/>
      <c r="L1586" s="28" t="s">
        <v>5196</v>
      </c>
      <c r="M1586" s="29" t="s">
        <v>14802</v>
      </c>
      <c r="N1586" s="61">
        <v>45680.65416666667</v>
      </c>
      <c r="O1586" s="25">
        <v>41068.0</v>
      </c>
      <c r="P1586" s="28">
        <f t="shared" si="41"/>
        <v>13</v>
      </c>
      <c r="Q1586" s="62" t="s">
        <v>240</v>
      </c>
      <c r="R1586" s="22" t="s">
        <v>14803</v>
      </c>
      <c r="S1586" s="28">
        <v>6.0</v>
      </c>
      <c r="T1586" s="28">
        <v>12.0</v>
      </c>
      <c r="U1586" s="28">
        <v>30.0</v>
      </c>
      <c r="V1586" s="28">
        <v>30.0</v>
      </c>
      <c r="W1586" s="28" t="s">
        <v>1173</v>
      </c>
      <c r="X1586" s="28" t="s">
        <v>272</v>
      </c>
      <c r="Y1586" s="22" t="s">
        <v>14804</v>
      </c>
      <c r="Z1586" s="22" t="s">
        <v>6346</v>
      </c>
      <c r="AA1586" s="28" t="s">
        <v>5512</v>
      </c>
      <c r="AB1586" s="28">
        <v>30.0</v>
      </c>
      <c r="AC1586" s="28" t="s">
        <v>23</v>
      </c>
      <c r="AD1586" s="23"/>
      <c r="AE1586" s="28" t="s">
        <v>19</v>
      </c>
      <c r="AF1586" s="23"/>
      <c r="AG1586" s="23"/>
      <c r="AH1586" s="23" t="str">
        <f>IFERROR(__xludf.DUMMYFUNCTION("IF(
ISNUMBER(MATCH(
C1586,
IMPORTRANGE(""https://docs.google.com/spreadsheets/d/1yTh1ELC33JHYOeEdgIiEclxPRyh0zOKtlawDltfUay8"",""'Interns'!A:A""),
0
)),
""Outreach Conducted"",
"""")"),"")</f>
        <v/>
      </c>
      <c r="AI1586" s="23"/>
      <c r="AJ1586" s="23"/>
      <c r="AK1586" s="23"/>
      <c r="AL1586" s="23" t="str">
        <f>IFERROR(__xludf.DUMMYFUNCTION("XLOOKUP(C1586, 
   IMPORTRANGE(""1RdEdgHYrZ33LJ7RUHj_h-qkAFL92bcVjtIdVa-UlsCw"", ""Interns!D:D""), 
   IMPORTRANGE(""1RdEdgHYrZ33LJ7RUHj_h-qkAFL92bcVjtIdVa-UlsCw"", ""Interns!N:N""), 
   ""Not Found"")"),"Not Found")</f>
        <v>Not Found</v>
      </c>
      <c r="AM1586" s="23" t="str">
        <f>IFERROR(__xludf.DUMMYFUNCTION("XLOOKUP(C1586, 
   IMPORTRANGE(""1RdEdgHYrZ33LJ7RUHj_h-qkAFL92bcVjtIdVa-UlsCw"", ""Interns!D:D""), 
   IMPORTRANGE(""1RdEdgHYrZ33LJ7RUHj_h-qkAFL92bcVjtIdVa-UlsCw"", ""Interns!O:O""), 
   ""Not Found"")"),"Not Found")</f>
        <v>Not Found</v>
      </c>
      <c r="AN1586" s="23"/>
      <c r="AO1586" s="23" t="s">
        <v>14805</v>
      </c>
      <c r="AP1586" s="28" t="s">
        <v>5182</v>
      </c>
      <c r="AQ1586" s="28" t="s">
        <v>14806</v>
      </c>
      <c r="AR1586" s="23" t="s">
        <v>14807</v>
      </c>
      <c r="AS1586" s="23"/>
      <c r="AT1586" s="23"/>
      <c r="AU1586" s="23"/>
      <c r="AV1586" s="23"/>
    </row>
    <row r="1587">
      <c r="A1587" s="28" t="s">
        <v>5161</v>
      </c>
      <c r="B1587" s="28" t="s">
        <v>5162</v>
      </c>
      <c r="C1587" s="23" t="str">
        <f t="shared" si="39"/>
        <v>Claribelisa Gonzalez</v>
      </c>
      <c r="D1587" s="28" t="s">
        <v>14808</v>
      </c>
      <c r="E1587" s="28" t="s">
        <v>1377</v>
      </c>
      <c r="F1587" s="23">
        <f t="array" ref="F1587">IFERROR(
    INDEX('Hub Interns 226'!A:A, MATCH(C1587, 'Hub Interns 226'!B:B, 0)),"")</f>
        <v>380</v>
      </c>
      <c r="G1587" s="23">
        <f t="array" ref="G1587">IFERROR(
    INDEX('Hub Users 226'!A:A, MATCH(C1587, 'Hub Users 226'!B:B, 0)),"")</f>
        <v>813</v>
      </c>
      <c r="H1587" s="28">
        <v>326.0</v>
      </c>
      <c r="I1587" s="28" t="s">
        <v>425</v>
      </c>
      <c r="J1587" s="28"/>
      <c r="K1587" s="28" t="s">
        <v>5186</v>
      </c>
      <c r="L1587" s="28" t="s">
        <v>5196</v>
      </c>
      <c r="M1587" s="56" t="s">
        <v>14809</v>
      </c>
      <c r="N1587" s="57">
        <v>44237.475</v>
      </c>
      <c r="O1587" s="58">
        <v>38172.0</v>
      </c>
      <c r="P1587" s="28">
        <f t="shared" si="41"/>
        <v>21</v>
      </c>
      <c r="Q1587" s="28" t="s">
        <v>5247</v>
      </c>
      <c r="R1587" s="28" t="s">
        <v>14810</v>
      </c>
      <c r="S1587" s="28">
        <v>14.0</v>
      </c>
      <c r="T1587" s="28">
        <v>29.0</v>
      </c>
      <c r="U1587" s="28">
        <v>84.0</v>
      </c>
      <c r="V1587" s="28">
        <v>8.0</v>
      </c>
      <c r="W1587" s="28" t="s">
        <v>859</v>
      </c>
      <c r="X1587" s="28" t="s">
        <v>272</v>
      </c>
      <c r="Y1587" s="28" t="s">
        <v>14811</v>
      </c>
      <c r="Z1587" s="28" t="s">
        <v>5208</v>
      </c>
      <c r="AA1587" s="28" t="s">
        <v>2141</v>
      </c>
      <c r="AB1587" s="28">
        <v>8.0</v>
      </c>
      <c r="AC1587" s="28" t="s">
        <v>25</v>
      </c>
      <c r="AD1587" s="23"/>
      <c r="AE1587" s="28" t="s">
        <v>11</v>
      </c>
      <c r="AF1587" s="23" t="str">
        <f>IFERROR(__xludf.DUMMYFUNCTION("TEXTJOIN("", "", TRUE,
  FILTER(Champions!C:C,
    ISNUMBER(SEARCH(C1587, Champions!W:W))
  )
)"),"Casey Burry, Griselda Guadalupe Cuevas Zambrano, Linda Guerrero, Maria Graciela Burn, Scotney Young")</f>
        <v>Casey Burry, Griselda Guadalupe Cuevas Zambrano, Linda Guerrero, Maria Graciela Burn, Scotney Young</v>
      </c>
      <c r="AG1587" s="23"/>
      <c r="AH1587" s="23" t="str">
        <f>IFERROR(__xludf.DUMMYFUNCTION("IF(
ISNUMBER(MATCH(
C1587,
IMPORTRANGE(""https://docs.google.com/spreadsheets/d/1yTh1ELC33JHYOeEdgIiEclxPRyh0zOKtlawDltfUay8"",""'Interns'!A:A""),
0
)),
""Outreach Conducted"",
"""")"),"")</f>
        <v/>
      </c>
      <c r="AI1587" s="23"/>
      <c r="AJ1587" s="23"/>
      <c r="AK1587" s="23" t="str">
        <f>IFERROR(__xludf.DUMMYFUNCTION("XLOOKUP(C1587, 
   IMPORTRANGE(""1RdEdgHYrZ33LJ7RUHj_h-qkAFL92bcVjtIdVa-UlsCw"", ""Interns!D:D""), 
   IMPORTRANGE(""1RdEdgHYrZ33LJ7RUHj_h-qkAFL92bcVjtIdVa-UlsCw"", ""Interns!M:M""), 
   ""Not Found"")"),"Contacted")</f>
        <v>Contacted</v>
      </c>
      <c r="AL1587" s="23" t="str">
        <f>IFERROR(__xludf.DUMMYFUNCTION("XLOOKUP(C1587, 
   IMPORTRANGE(""1RdEdgHYrZ33LJ7RUHj_h-qkAFL92bcVjtIdVa-UlsCw"", ""Interns!D:D""), 
   IMPORTRANGE(""1RdEdgHYrZ33LJ7RUHj_h-qkAFL92bcVjtIdVa-UlsCw"", ""Interns!N:N""), 
   ""Not Found"")"),"#Cheers4Careers")</f>
        <v>#Cheers4Careers</v>
      </c>
      <c r="AM1587" s="23" t="str">
        <f>IFERROR(__xludf.DUMMYFUNCTION("XLOOKUP(C1587, 
   IMPORTRANGE(""1RdEdgHYrZ33LJ7RUHj_h-qkAFL92bcVjtIdVa-UlsCw"", ""Interns!D:D""), 
   IMPORTRANGE(""1RdEdgHYrZ33LJ7RUHj_h-qkAFL92bcVjtIdVa-UlsCw"", ""Interns!O:O""), 
   ""Not Found"")"),"Hetal reached out by email 3/27")</f>
        <v>Hetal reached out by email 3/27</v>
      </c>
      <c r="AN1587" s="23"/>
      <c r="AO1587" s="23" t="s">
        <v>14812</v>
      </c>
      <c r="AP1587" s="28" t="s">
        <v>5182</v>
      </c>
      <c r="AQ1587" s="28" t="s">
        <v>14813</v>
      </c>
      <c r="AR1587" s="23" t="s">
        <v>14814</v>
      </c>
      <c r="AS1587" s="23"/>
      <c r="AT1587" s="23"/>
      <c r="AU1587" s="23"/>
      <c r="AV1587" s="23"/>
    </row>
    <row r="1588">
      <c r="A1588" s="28" t="s">
        <v>5161</v>
      </c>
      <c r="B1588" s="28" t="s">
        <v>5162</v>
      </c>
      <c r="C1588" s="23" t="str">
        <f t="shared" si="39"/>
        <v>Kamyl Batista</v>
      </c>
      <c r="D1588" s="28" t="s">
        <v>13758</v>
      </c>
      <c r="E1588" s="28" t="s">
        <v>7204</v>
      </c>
      <c r="F1588" s="23">
        <f t="array" ref="F1588">IFERROR(
    INDEX('Hub Interns 226'!A:A, MATCH(C1588, 'Hub Interns 226'!B:B, 0)),"")</f>
        <v>719</v>
      </c>
      <c r="G1588" s="23">
        <f t="array" ref="G1588">IFERROR(
    INDEX('Hub Users 226'!A:A, MATCH(C1588, 'Hub Users 226'!B:B, 0)),"")</f>
        <v>1152</v>
      </c>
      <c r="H1588" s="28">
        <v>1227.0</v>
      </c>
      <c r="I1588" s="28" t="s">
        <v>407</v>
      </c>
      <c r="J1588" s="28"/>
      <c r="K1588" s="28"/>
      <c r="L1588" s="28" t="s">
        <v>5165</v>
      </c>
      <c r="M1588" s="56" t="s">
        <v>13759</v>
      </c>
      <c r="N1588" s="57">
        <v>44838.44027777778</v>
      </c>
      <c r="O1588" s="58">
        <v>39016.0</v>
      </c>
      <c r="P1588" s="28">
        <f t="shared" si="41"/>
        <v>19</v>
      </c>
      <c r="Q1588" s="28" t="s">
        <v>240</v>
      </c>
      <c r="R1588" s="28" t="s">
        <v>13760</v>
      </c>
      <c r="S1588" s="28">
        <v>13.0</v>
      </c>
      <c r="T1588" s="28">
        <v>30.0</v>
      </c>
      <c r="U1588" s="28">
        <v>71.0</v>
      </c>
      <c r="V1588" s="28">
        <v>7.0</v>
      </c>
      <c r="W1588" s="28" t="s">
        <v>271</v>
      </c>
      <c r="X1588" s="28" t="s">
        <v>272</v>
      </c>
      <c r="Y1588" s="28" t="s">
        <v>13761</v>
      </c>
      <c r="Z1588" s="28" t="s">
        <v>5341</v>
      </c>
      <c r="AA1588" s="28" t="s">
        <v>1085</v>
      </c>
      <c r="AB1588" s="28">
        <v>10.0</v>
      </c>
      <c r="AC1588" s="28" t="s">
        <v>23</v>
      </c>
      <c r="AD1588" s="23"/>
      <c r="AE1588" s="28" t="s">
        <v>15</v>
      </c>
      <c r="AF1588" s="23"/>
      <c r="AG1588" s="23"/>
      <c r="AH1588" s="23" t="str">
        <f>IFERROR(__xludf.DUMMYFUNCTION("IF(
ISNUMBER(MATCH(
C1588,
IMPORTRANGE(""https://docs.google.com/spreadsheets/d/1yTh1ELC33JHYOeEdgIiEclxPRyh0zOKtlawDltfUay8"",""'Interns'!A:A""),
0
)),
""Outreach Conducted"",
"""")"),"")</f>
        <v/>
      </c>
      <c r="AI1588" s="23"/>
      <c r="AJ1588" s="23"/>
      <c r="AK1588" s="23" t="str">
        <f>IFERROR(__xludf.DUMMYFUNCTION("XLOOKUP(C1588, 
   IMPORTRANGE(""1RdEdgHYrZ33LJ7RUHj_h-qkAFL92bcVjtIdVa-UlsCw"", ""Interns!D:D""), 
   IMPORTRANGE(""1RdEdgHYrZ33LJ7RUHj_h-qkAFL92bcVjtIdVa-UlsCw"", ""Interns!M:M""), 
   ""Not Found"")"),"")</f>
        <v/>
      </c>
      <c r="AL1588" s="23" t="str">
        <f>IFERROR(__xludf.DUMMYFUNCTION("XLOOKUP(C1588, 
   IMPORTRANGE(""1RdEdgHYrZ33LJ7RUHj_h-qkAFL92bcVjtIdVa-UlsCw"", ""Interns!D:D""), 
   IMPORTRANGE(""1RdEdgHYrZ33LJ7RUHj_h-qkAFL92bcVjtIdVa-UlsCw"", ""Interns!N:N""), 
   ""Not Found"")"),"")</f>
        <v/>
      </c>
      <c r="AM1588" s="23" t="str">
        <f>IFERROR(__xludf.DUMMYFUNCTION("XLOOKUP(C1588, 
   IMPORTRANGE(""1RdEdgHYrZ33LJ7RUHj_h-qkAFL92bcVjtIdVa-UlsCw"", ""Interns!D:D""), 
   IMPORTRANGE(""1RdEdgHYrZ33LJ7RUHj_h-qkAFL92bcVjtIdVa-UlsCw"", ""Interns!O:O""), 
   ""Not Found"")"),"")</f>
        <v/>
      </c>
      <c r="AN1588" s="23"/>
      <c r="AO1588" s="23" t="s">
        <v>13762</v>
      </c>
      <c r="AP1588" s="28" t="s">
        <v>5182</v>
      </c>
      <c r="AQ1588" s="28"/>
      <c r="AR1588" s="23"/>
      <c r="AS1588" s="23"/>
      <c r="AT1588" s="23"/>
      <c r="AU1588" s="23"/>
      <c r="AV1588" s="23"/>
    </row>
    <row r="1589">
      <c r="A1589" s="28" t="s">
        <v>5161</v>
      </c>
      <c r="B1589" s="28" t="s">
        <v>5162</v>
      </c>
      <c r="C1589" s="23" t="str">
        <f t="shared" si="39"/>
        <v>Sophia Tsang</v>
      </c>
      <c r="D1589" s="28" t="s">
        <v>14751</v>
      </c>
      <c r="E1589" s="28" t="s">
        <v>14815</v>
      </c>
      <c r="F1589" s="23">
        <f t="array" ref="F1589">IFERROR(
    INDEX('Hub Interns 226'!A:A, MATCH(C1589, 'Hub Interns 226'!B:B, 0)),"")</f>
        <v>1482</v>
      </c>
      <c r="G1589" s="23">
        <f t="array" ref="G1589">IFERROR(
    INDEX('Hub Users 226'!A:A, MATCH(C1589, 'Hub Users 226'!B:B, 0)),"")</f>
        <v>2058</v>
      </c>
      <c r="H1589" s="28">
        <v>1847.0</v>
      </c>
      <c r="I1589" s="28" t="s">
        <v>290</v>
      </c>
      <c r="J1589" s="28"/>
      <c r="K1589" s="28"/>
      <c r="L1589" s="28" t="s">
        <v>5196</v>
      </c>
      <c r="M1589" s="56" t="s">
        <v>14816</v>
      </c>
      <c r="N1589" s="57">
        <v>45503.98472222222</v>
      </c>
      <c r="O1589" s="58">
        <v>45481.0</v>
      </c>
      <c r="P1589" s="28">
        <f t="shared" si="41"/>
        <v>1</v>
      </c>
      <c r="Q1589" s="28" t="s">
        <v>240</v>
      </c>
      <c r="R1589" s="28" t="s">
        <v>14817</v>
      </c>
      <c r="S1589" s="28">
        <v>6.0</v>
      </c>
      <c r="T1589" s="28">
        <v>12.0</v>
      </c>
      <c r="U1589" s="28">
        <v>30.0</v>
      </c>
      <c r="V1589" s="28">
        <v>30.0</v>
      </c>
      <c r="W1589" s="28" t="s">
        <v>1173</v>
      </c>
      <c r="X1589" s="28" t="s">
        <v>272</v>
      </c>
      <c r="Y1589" s="23"/>
      <c r="Z1589" s="23"/>
      <c r="AA1589" s="28" t="s">
        <v>5512</v>
      </c>
      <c r="AB1589" s="28">
        <v>30.0</v>
      </c>
      <c r="AC1589" s="28" t="s">
        <v>23</v>
      </c>
      <c r="AD1589" s="23"/>
      <c r="AE1589" s="28" t="s">
        <v>19</v>
      </c>
      <c r="AF1589" s="23"/>
      <c r="AG1589" s="23"/>
      <c r="AH1589" s="23" t="str">
        <f>IFERROR(__xludf.DUMMYFUNCTION("IF(
ISNUMBER(MATCH(
C1589,
IMPORTRANGE(""https://docs.google.com/spreadsheets/d/1yTh1ELC33JHYOeEdgIiEclxPRyh0zOKtlawDltfUay8"",""'Interns'!A:A""),
0
)),
""Outreach Conducted"",
"""")"),"")</f>
        <v/>
      </c>
      <c r="AI1589" s="23"/>
      <c r="AJ1589" s="23"/>
      <c r="AK1589" s="23" t="str">
        <f>IFERROR(__xludf.DUMMYFUNCTION("XLOOKUP(C1589, 
   IMPORTRANGE(""1RdEdgHYrZ33LJ7RUHj_h-qkAFL92bcVjtIdVa-UlsCw"", ""Interns!D:D""), 
   IMPORTRANGE(""1RdEdgHYrZ33LJ7RUHj_h-qkAFL92bcVjtIdVa-UlsCw"", ""Interns!M:M""), 
   ""Not Found"")"),"Contacted")</f>
        <v>Contacted</v>
      </c>
      <c r="AL1589" s="23" t="str">
        <f>IFERROR(__xludf.DUMMYFUNCTION("XLOOKUP(C1589, 
   IMPORTRANGE(""1RdEdgHYrZ33LJ7RUHj_h-qkAFL92bcVjtIdVa-UlsCw"", ""Interns!D:D""), 
   IMPORTRANGE(""1RdEdgHYrZ33LJ7RUHj_h-qkAFL92bcVjtIdVa-UlsCw"", ""Interns!N:N""), 
   ""Not Found"")"),"#Cheers4Careers")</f>
        <v>#Cheers4Careers</v>
      </c>
      <c r="AM1589" s="23" t="str">
        <f>IFERROR(__xludf.DUMMYFUNCTION("XLOOKUP(C1589,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589" s="23"/>
      <c r="AO1589" s="23"/>
      <c r="AP1589" s="28"/>
      <c r="AQ1589" s="28"/>
      <c r="AR1589" s="23"/>
      <c r="AS1589" s="23"/>
      <c r="AT1589" s="23"/>
      <c r="AU1589" s="23"/>
      <c r="AV1589" s="23"/>
    </row>
    <row r="1590">
      <c r="A1590" s="28" t="s">
        <v>5202</v>
      </c>
      <c r="B1590" s="28" t="s">
        <v>5162</v>
      </c>
      <c r="C1590" s="23" t="str">
        <f t="shared" si="39"/>
        <v>Jlynn Ortiz</v>
      </c>
      <c r="D1590" s="28" t="s">
        <v>13732</v>
      </c>
      <c r="E1590" s="28" t="s">
        <v>8190</v>
      </c>
      <c r="F1590" s="23">
        <f t="array" ref="F1590">IFERROR(
    INDEX('Hub Interns 226'!A:A, MATCH(C1590, 'Hub Interns 226'!B:B, 0)),"")</f>
        <v>670</v>
      </c>
      <c r="G1590" s="23">
        <f t="array" ref="G1590">IFERROR(
    INDEX('Hub Users 226'!A:A, MATCH(C1590, 'Hub Users 226'!B:B, 0)),"")</f>
        <v>1103</v>
      </c>
      <c r="H1590" s="28">
        <v>1233.0</v>
      </c>
      <c r="I1590" s="28" t="s">
        <v>260</v>
      </c>
      <c r="J1590" s="28"/>
      <c r="K1590" s="28"/>
      <c r="L1590" s="28" t="s">
        <v>8087</v>
      </c>
      <c r="M1590" s="56" t="s">
        <v>13733</v>
      </c>
      <c r="N1590" s="57">
        <v>44838.45</v>
      </c>
      <c r="O1590" s="58">
        <v>38992.0</v>
      </c>
      <c r="P1590" s="28">
        <f t="shared" si="41"/>
        <v>19</v>
      </c>
      <c r="Q1590" s="28" t="s">
        <v>240</v>
      </c>
      <c r="R1590" s="28" t="s">
        <v>13734</v>
      </c>
      <c r="S1590" s="28">
        <v>13.0</v>
      </c>
      <c r="T1590" s="28">
        <v>31.0</v>
      </c>
      <c r="U1590" s="28">
        <v>72.0</v>
      </c>
      <c r="V1590" s="28">
        <v>10.0</v>
      </c>
      <c r="W1590" s="28" t="s">
        <v>271</v>
      </c>
      <c r="X1590" s="28" t="s">
        <v>272</v>
      </c>
      <c r="Y1590" s="28" t="s">
        <v>13735</v>
      </c>
      <c r="Z1590" s="28" t="s">
        <v>5341</v>
      </c>
      <c r="AA1590" s="28" t="s">
        <v>1085</v>
      </c>
      <c r="AB1590" s="28">
        <v>10.0</v>
      </c>
      <c r="AC1590" s="28" t="s">
        <v>23</v>
      </c>
      <c r="AD1590" s="28" t="s">
        <v>101</v>
      </c>
      <c r="AE1590" s="28" t="s">
        <v>15</v>
      </c>
      <c r="AF1590" s="23"/>
      <c r="AG1590" s="26" t="s">
        <v>5342</v>
      </c>
      <c r="AH1590" s="23" t="str">
        <f>IFERROR(__xludf.DUMMYFUNCTION("IF(
ISNUMBER(MATCH(
C1590,
IMPORTRANGE(""https://docs.google.com/spreadsheets/d/1yTh1ELC33JHYOeEdgIiEclxPRyh0zOKtlawDltfUay8"",""'Interns'!A:A""),
0
)),
""Outreach Conducted"",
"""")"),"")</f>
        <v/>
      </c>
      <c r="AI1590" s="23"/>
      <c r="AJ1590" s="23"/>
      <c r="AK1590" s="23" t="str">
        <f>IFERROR(__xludf.DUMMYFUNCTION("XLOOKUP(C1590, 
   IMPORTRANGE(""1RdEdgHYrZ33LJ7RUHj_h-qkAFL92bcVjtIdVa-UlsCw"", ""Interns!D:D""), 
   IMPORTRANGE(""1RdEdgHYrZ33LJ7RUHj_h-qkAFL92bcVjtIdVa-UlsCw"", ""Interns!M:M""), 
   ""Not Found"")"),"")</f>
        <v/>
      </c>
      <c r="AL1590" s="23" t="str">
        <f>IFERROR(__xludf.DUMMYFUNCTION("XLOOKUP(C1590, 
   IMPORTRANGE(""1RdEdgHYrZ33LJ7RUHj_h-qkAFL92bcVjtIdVa-UlsCw"", ""Interns!D:D""), 
   IMPORTRANGE(""1RdEdgHYrZ33LJ7RUHj_h-qkAFL92bcVjtIdVa-UlsCw"", ""Interns!N:N""), 
   ""Not Found"")"),"")</f>
        <v/>
      </c>
      <c r="AM1590" s="23" t="str">
        <f>IFERROR(__xludf.DUMMYFUNCTION("XLOOKUP(C1590, 
   IMPORTRANGE(""1RdEdgHYrZ33LJ7RUHj_h-qkAFL92bcVjtIdVa-UlsCw"", ""Interns!D:D""), 
   IMPORTRANGE(""1RdEdgHYrZ33LJ7RUHj_h-qkAFL92bcVjtIdVa-UlsCw"", ""Interns!O:O""), 
   ""Not Found"")"),"")</f>
        <v/>
      </c>
      <c r="AN1590" s="23"/>
      <c r="AO1590" s="23" t="s">
        <v>536</v>
      </c>
      <c r="AP1590" s="28" t="s">
        <v>5182</v>
      </c>
      <c r="AQ1590" s="28"/>
      <c r="AR1590" s="23"/>
      <c r="AS1590" s="23"/>
      <c r="AT1590" s="23"/>
      <c r="AU1590" s="23"/>
      <c r="AV1590" s="23"/>
    </row>
    <row r="1591">
      <c r="A1591" s="28" t="s">
        <v>5161</v>
      </c>
      <c r="B1591" s="28" t="s">
        <v>5162</v>
      </c>
      <c r="C1591" s="23" t="str">
        <f t="shared" si="39"/>
        <v>Jesline Placencia</v>
      </c>
      <c r="D1591" s="28" t="s">
        <v>13695</v>
      </c>
      <c r="E1591" s="28" t="s">
        <v>13696</v>
      </c>
      <c r="F1591" s="23">
        <f t="array" ref="F1591">IFERROR(
    INDEX('Hub Interns 226'!A:A, MATCH(C1591, 'Hub Interns 226'!B:B, 0)),"")</f>
        <v>652</v>
      </c>
      <c r="G1591" s="23">
        <f t="array" ref="G1591">IFERROR(
    INDEX('Hub Users 226'!A:A, MATCH(C1591, 'Hub Users 226'!B:B, 0)),"")</f>
        <v>1085</v>
      </c>
      <c r="H1591" s="28">
        <v>1220.0</v>
      </c>
      <c r="I1591" s="28"/>
      <c r="J1591" s="28"/>
      <c r="K1591" s="28"/>
      <c r="L1591" s="28" t="s">
        <v>5196</v>
      </c>
      <c r="M1591" s="56" t="s">
        <v>13697</v>
      </c>
      <c r="N1591" s="57">
        <v>44837.458333333336</v>
      </c>
      <c r="O1591" s="58">
        <v>39054.0</v>
      </c>
      <c r="P1591" s="28">
        <f t="shared" si="41"/>
        <v>19</v>
      </c>
      <c r="Q1591" s="28" t="s">
        <v>240</v>
      </c>
      <c r="R1591" s="28" t="s">
        <v>13698</v>
      </c>
      <c r="S1591" s="28">
        <v>13.0</v>
      </c>
      <c r="T1591" s="28">
        <v>31.0</v>
      </c>
      <c r="U1591" s="28">
        <v>72.0</v>
      </c>
      <c r="V1591" s="28">
        <v>10.0</v>
      </c>
      <c r="W1591" s="28" t="s">
        <v>271</v>
      </c>
      <c r="X1591" s="28" t="s">
        <v>272</v>
      </c>
      <c r="Y1591" s="28" t="s">
        <v>13699</v>
      </c>
      <c r="Z1591" s="28" t="s">
        <v>5341</v>
      </c>
      <c r="AA1591" s="28" t="s">
        <v>1085</v>
      </c>
      <c r="AB1591" s="28">
        <v>10.0</v>
      </c>
      <c r="AC1591" s="28" t="s">
        <v>23</v>
      </c>
      <c r="AD1591" s="28" t="s">
        <v>101</v>
      </c>
      <c r="AE1591" s="28" t="s">
        <v>15</v>
      </c>
      <c r="AF1591" s="23"/>
      <c r="AG1591" s="23"/>
      <c r="AH1591" s="23" t="str">
        <f>IFERROR(__xludf.DUMMYFUNCTION("IF(
ISNUMBER(MATCH(
C1591,
IMPORTRANGE(""https://docs.google.com/spreadsheets/d/1yTh1ELC33JHYOeEdgIiEclxPRyh0zOKtlawDltfUay8"",""'Interns'!A:A""),
0
)),
""Outreach Conducted"",
"""")"),"")</f>
        <v/>
      </c>
      <c r="AI1591" s="23"/>
      <c r="AJ1591" s="23"/>
      <c r="AK1591" s="23" t="str">
        <f>IFERROR(__xludf.DUMMYFUNCTION("XLOOKUP(C1591, 
   IMPORTRANGE(""1RdEdgHYrZ33LJ7RUHj_h-qkAFL92bcVjtIdVa-UlsCw"", ""Interns!D:D""), 
   IMPORTRANGE(""1RdEdgHYrZ33LJ7RUHj_h-qkAFL92bcVjtIdVa-UlsCw"", ""Interns!M:M""), 
   ""Not Found"")"),"")</f>
        <v/>
      </c>
      <c r="AL1591" s="23" t="str">
        <f>IFERROR(__xludf.DUMMYFUNCTION("XLOOKUP(C1591, 
   IMPORTRANGE(""1RdEdgHYrZ33LJ7RUHj_h-qkAFL92bcVjtIdVa-UlsCw"", ""Interns!D:D""), 
   IMPORTRANGE(""1RdEdgHYrZ33LJ7RUHj_h-qkAFL92bcVjtIdVa-UlsCw"", ""Interns!N:N""), 
   ""Not Found"")"),"")</f>
        <v/>
      </c>
      <c r="AM1591" s="23" t="str">
        <f>IFERROR(__xludf.DUMMYFUNCTION("XLOOKUP(C1591, 
   IMPORTRANGE(""1RdEdgHYrZ33LJ7RUHj_h-qkAFL92bcVjtIdVa-UlsCw"", ""Interns!D:D""), 
   IMPORTRANGE(""1RdEdgHYrZ33LJ7RUHj_h-qkAFL92bcVjtIdVa-UlsCw"", ""Interns!O:O""), 
   ""Not Found"")"),"")</f>
        <v/>
      </c>
      <c r="AN1591" s="23"/>
      <c r="AO1591" s="23" t="s">
        <v>13700</v>
      </c>
      <c r="AP1591" s="28" t="s">
        <v>5182</v>
      </c>
      <c r="AQ1591" s="28"/>
      <c r="AR1591" s="23"/>
      <c r="AS1591" s="23"/>
      <c r="AT1591" s="23"/>
      <c r="AU1591" s="23"/>
      <c r="AV1591" s="23"/>
    </row>
    <row r="1592">
      <c r="A1592" s="28" t="s">
        <v>5202</v>
      </c>
      <c r="B1592" s="28" t="s">
        <v>5162</v>
      </c>
      <c r="C1592" s="23" t="str">
        <f t="shared" si="39"/>
        <v>Chantell Palacios</v>
      </c>
      <c r="D1592" s="28" t="s">
        <v>14818</v>
      </c>
      <c r="E1592" s="28" t="s">
        <v>8882</v>
      </c>
      <c r="F1592" s="23">
        <f t="array" ref="F1592">IFERROR(
    INDEX('Hub Interns 226'!A:A, MATCH(C1592, 'Hub Interns 226'!B:B, 0)),"")</f>
        <v>327</v>
      </c>
      <c r="G1592" s="23">
        <f t="array" ref="G1592">IFERROR(
    INDEX('Hub Users 226'!A:A, MATCH(C1592, 'Hub Users 226'!B:B, 0)),"")</f>
        <v>760</v>
      </c>
      <c r="H1592" s="28">
        <v>963.0</v>
      </c>
      <c r="I1592" s="28" t="s">
        <v>260</v>
      </c>
      <c r="J1592" s="28"/>
      <c r="K1592" s="28"/>
      <c r="L1592" s="28" t="s">
        <v>5196</v>
      </c>
      <c r="M1592" s="56" t="s">
        <v>14819</v>
      </c>
      <c r="N1592" s="57">
        <v>44628.55763888889</v>
      </c>
      <c r="O1592" s="58">
        <v>37951.0</v>
      </c>
      <c r="P1592" s="28">
        <f t="shared" si="41"/>
        <v>22</v>
      </c>
      <c r="Q1592" s="28" t="s">
        <v>240</v>
      </c>
      <c r="R1592" s="28" t="s">
        <v>14820</v>
      </c>
      <c r="S1592" s="28">
        <v>10.0</v>
      </c>
      <c r="T1592" s="28">
        <v>26.0</v>
      </c>
      <c r="U1592" s="28">
        <v>52.0</v>
      </c>
      <c r="V1592" s="28">
        <v>39.0</v>
      </c>
      <c r="W1592" s="28" t="s">
        <v>294</v>
      </c>
      <c r="X1592" s="28" t="s">
        <v>272</v>
      </c>
      <c r="Y1592" s="28" t="s">
        <v>14821</v>
      </c>
      <c r="Z1592" s="28" t="s">
        <v>5589</v>
      </c>
      <c r="AA1592" s="28" t="s">
        <v>5590</v>
      </c>
      <c r="AB1592" s="28">
        <v>35.0</v>
      </c>
      <c r="AC1592" s="28" t="s">
        <v>24</v>
      </c>
      <c r="AD1592" s="23"/>
      <c r="AE1592" s="28" t="s">
        <v>10</v>
      </c>
      <c r="AF1592" s="23"/>
      <c r="AG1592" s="23"/>
      <c r="AH1592" s="23" t="str">
        <f>IFERROR(__xludf.DUMMYFUNCTION("IF(
ISNUMBER(MATCH(
C1592,
IMPORTRANGE(""https://docs.google.com/spreadsheets/d/1yTh1ELC33JHYOeEdgIiEclxPRyh0zOKtlawDltfUay8"",""'Interns'!A:A""),
0
)),
""Outreach Conducted"",
"""")"),"")</f>
        <v/>
      </c>
      <c r="AI1592" s="23"/>
      <c r="AJ1592" s="23"/>
      <c r="AK1592" s="23" t="str">
        <f>IFERROR(__xludf.DUMMYFUNCTION("XLOOKUP(C1592, 
   IMPORTRANGE(""1RdEdgHYrZ33LJ7RUHj_h-qkAFL92bcVjtIdVa-UlsCw"", ""Interns!D:D""), 
   IMPORTRANGE(""1RdEdgHYrZ33LJ7RUHj_h-qkAFL92bcVjtIdVa-UlsCw"", ""Interns!M:M""), 
   ""Not Found"")"),"")</f>
        <v/>
      </c>
      <c r="AL1592" s="23" t="str">
        <f>IFERROR(__xludf.DUMMYFUNCTION("XLOOKUP(C1592, 
   IMPORTRANGE(""1RdEdgHYrZ33LJ7RUHj_h-qkAFL92bcVjtIdVa-UlsCw"", ""Interns!D:D""), 
   IMPORTRANGE(""1RdEdgHYrZ33LJ7RUHj_h-qkAFL92bcVjtIdVa-UlsCw"", ""Interns!N:N""), 
   ""Not Found"")"),"")</f>
        <v/>
      </c>
      <c r="AM1592" s="23" t="str">
        <f>IFERROR(__xludf.DUMMYFUNCTION("XLOOKUP(C1592, 
   IMPORTRANGE(""1RdEdgHYrZ33LJ7RUHj_h-qkAFL92bcVjtIdVa-UlsCw"", ""Interns!D:D""), 
   IMPORTRANGE(""1RdEdgHYrZ33LJ7RUHj_h-qkAFL92bcVjtIdVa-UlsCw"", ""Interns!O:O""), 
   ""Not Found"")"),"")</f>
        <v/>
      </c>
      <c r="AN1592" s="23"/>
      <c r="AO1592" s="23" t="s">
        <v>14822</v>
      </c>
      <c r="AP1592" s="28" t="s">
        <v>5908</v>
      </c>
      <c r="AQ1592" s="28"/>
      <c r="AR1592" s="23"/>
      <c r="AS1592" s="23"/>
      <c r="AT1592" s="23"/>
      <c r="AU1592" s="23"/>
      <c r="AV1592" s="23"/>
    </row>
    <row r="1593">
      <c r="A1593" s="28" t="s">
        <v>5202</v>
      </c>
      <c r="B1593" s="28" t="s">
        <v>5162</v>
      </c>
      <c r="C1593" s="23" t="str">
        <f t="shared" si="39"/>
        <v>Kaitlynn Coppin</v>
      </c>
      <c r="D1593" s="28" t="s">
        <v>14823</v>
      </c>
      <c r="E1593" s="28" t="s">
        <v>14824</v>
      </c>
      <c r="F1593" s="23">
        <f t="array" ref="F1593">IFERROR(
    INDEX('Hub Interns 226'!A:A, MATCH(C1593, 'Hub Interns 226'!B:B, 0)),"")</f>
        <v>718</v>
      </c>
      <c r="G1593" s="23">
        <f t="array" ref="G1593">IFERROR(
    INDEX('Hub Users 226'!A:A, MATCH(C1593, 'Hub Users 226'!B:B, 0)),"")</f>
        <v>1151</v>
      </c>
      <c r="H1593" s="28">
        <v>840.0</v>
      </c>
      <c r="I1593" s="28" t="s">
        <v>425</v>
      </c>
      <c r="J1593" s="28"/>
      <c r="K1593" s="28"/>
      <c r="L1593" s="28" t="s">
        <v>5196</v>
      </c>
      <c r="M1593" s="56" t="s">
        <v>14825</v>
      </c>
      <c r="N1593" s="57">
        <v>44579.59722222222</v>
      </c>
      <c r="O1593" s="58">
        <v>37795.0</v>
      </c>
      <c r="P1593" s="28">
        <f t="shared" si="41"/>
        <v>22</v>
      </c>
      <c r="Q1593" s="28" t="s">
        <v>6867</v>
      </c>
      <c r="R1593" s="28" t="s">
        <v>14826</v>
      </c>
      <c r="S1593" s="28">
        <v>14.0</v>
      </c>
      <c r="T1593" s="28">
        <v>34.0</v>
      </c>
      <c r="U1593" s="28">
        <v>85.0</v>
      </c>
      <c r="V1593" s="28">
        <v>18.0</v>
      </c>
      <c r="W1593" s="28" t="s">
        <v>859</v>
      </c>
      <c r="X1593" s="28" t="s">
        <v>272</v>
      </c>
      <c r="Y1593" s="28" t="s">
        <v>14827</v>
      </c>
      <c r="Z1593" s="28" t="s">
        <v>5779</v>
      </c>
      <c r="AA1593" s="28" t="s">
        <v>3931</v>
      </c>
      <c r="AB1593" s="28">
        <v>2.0</v>
      </c>
      <c r="AC1593" s="28" t="s">
        <v>25</v>
      </c>
      <c r="AD1593" s="23"/>
      <c r="AE1593" s="28" t="s">
        <v>10</v>
      </c>
      <c r="AF1593" s="23" t="str">
        <f>IFERROR(__xludf.DUMMYFUNCTION("TEXTJOIN("", "", TRUE,
  FILTER(Champions!C:C,
    ISNUMBER(SEARCH(C1593, Champions!W:W))
  )
)"),"Christopher Pasi")</f>
        <v>Christopher Pasi</v>
      </c>
      <c r="AG1593" s="23"/>
      <c r="AH1593" s="23" t="str">
        <f>IFERROR(__xludf.DUMMYFUNCTION("IF(
ISNUMBER(MATCH(
C1593,
IMPORTRANGE(""https://docs.google.com/spreadsheets/d/1yTh1ELC33JHYOeEdgIiEclxPRyh0zOKtlawDltfUay8"",""'Interns'!A:A""),
0
)),
""Outreach Conducted"",
"""")"),"")</f>
        <v/>
      </c>
      <c r="AI1593" s="23"/>
      <c r="AJ1593" s="23"/>
      <c r="AK1593" s="23" t="str">
        <f>IFERROR(__xludf.DUMMYFUNCTION("XLOOKUP(C1593, 
   IMPORTRANGE(""1RdEdgHYrZ33LJ7RUHj_h-qkAFL92bcVjtIdVa-UlsCw"", ""Interns!D:D""), 
   IMPORTRANGE(""1RdEdgHYrZ33LJ7RUHj_h-qkAFL92bcVjtIdVa-UlsCw"", ""Interns!M:M""), 
   ""Not Found"")"),"")</f>
        <v/>
      </c>
      <c r="AL1593" s="23" t="str">
        <f>IFERROR(__xludf.DUMMYFUNCTION("XLOOKUP(C1593, 
   IMPORTRANGE(""1RdEdgHYrZ33LJ7RUHj_h-qkAFL92bcVjtIdVa-UlsCw"", ""Interns!D:D""), 
   IMPORTRANGE(""1RdEdgHYrZ33LJ7RUHj_h-qkAFL92bcVjtIdVa-UlsCw"", ""Interns!N:N""), 
   ""Not Found"")"),"")</f>
        <v/>
      </c>
      <c r="AM1593" s="23" t="str">
        <f>IFERROR(__xludf.DUMMYFUNCTION("XLOOKUP(C1593, 
   IMPORTRANGE(""1RdEdgHYrZ33LJ7RUHj_h-qkAFL92bcVjtIdVa-UlsCw"", ""Interns!D:D""), 
   IMPORTRANGE(""1RdEdgHYrZ33LJ7RUHj_h-qkAFL92bcVjtIdVa-UlsCw"", ""Interns!O:O""), 
   ""Not Found"")"),"")</f>
        <v/>
      </c>
      <c r="AN1593" s="23"/>
      <c r="AO1593" s="23" t="s">
        <v>14828</v>
      </c>
      <c r="AP1593" s="28" t="s">
        <v>5182</v>
      </c>
      <c r="AQ1593" s="28" t="s">
        <v>14829</v>
      </c>
      <c r="AR1593" s="23" t="s">
        <v>14830</v>
      </c>
      <c r="AS1593" s="23"/>
      <c r="AT1593" s="23"/>
      <c r="AU1593" s="23"/>
      <c r="AV1593" s="23"/>
    </row>
    <row r="1594">
      <c r="A1594" s="28" t="s">
        <v>5202</v>
      </c>
      <c r="B1594" s="28" t="s">
        <v>5162</v>
      </c>
      <c r="C1594" s="23" t="str">
        <f t="shared" si="39"/>
        <v>Samuel ORtiz</v>
      </c>
      <c r="D1594" s="28" t="s">
        <v>8295</v>
      </c>
      <c r="E1594" s="28" t="s">
        <v>14831</v>
      </c>
      <c r="F1594" s="23">
        <f t="array" ref="F1594">IFERROR(
    INDEX('Hub Interns 226'!A:A, MATCH(C1594, 'Hub Interns 226'!B:B, 0)),"")</f>
        <v>1064</v>
      </c>
      <c r="G1594" s="23">
        <f t="array" ref="G1594">IFERROR(
    INDEX('Hub Users 226'!A:A, MATCH(C1594, 'Hub Users 226'!B:B, 0)),"")</f>
        <v>1497</v>
      </c>
      <c r="H1594" s="28">
        <v>794.0</v>
      </c>
      <c r="I1594" s="28" t="s">
        <v>239</v>
      </c>
      <c r="J1594" s="28"/>
      <c r="K1594" s="28"/>
      <c r="L1594" s="28" t="s">
        <v>5165</v>
      </c>
      <c r="M1594" s="56" t="s">
        <v>14832</v>
      </c>
      <c r="N1594" s="57">
        <v>44565.56458333333</v>
      </c>
      <c r="O1594" s="58">
        <v>38027.0</v>
      </c>
      <c r="P1594" s="28">
        <f t="shared" si="41"/>
        <v>22</v>
      </c>
      <c r="Q1594" s="28" t="s">
        <v>6787</v>
      </c>
      <c r="R1594" s="28" t="s">
        <v>14833</v>
      </c>
      <c r="S1594" s="28">
        <v>15.0</v>
      </c>
      <c r="T1594" s="28">
        <v>32.0</v>
      </c>
      <c r="U1594" s="28">
        <v>79.0</v>
      </c>
      <c r="V1594" s="28">
        <v>16.0</v>
      </c>
      <c r="W1594" s="28" t="s">
        <v>859</v>
      </c>
      <c r="X1594" s="28" t="s">
        <v>272</v>
      </c>
      <c r="Y1594" s="23"/>
      <c r="Z1594" s="28" t="s">
        <v>5558</v>
      </c>
      <c r="AA1594" s="28" t="s">
        <v>5559</v>
      </c>
      <c r="AB1594" s="28">
        <v>10.0</v>
      </c>
      <c r="AC1594" s="28" t="s">
        <v>25</v>
      </c>
      <c r="AD1594" s="23"/>
      <c r="AE1594" s="28" t="s">
        <v>10</v>
      </c>
      <c r="AF1594" s="23" t="str">
        <f>IFERROR(__xludf.DUMMYFUNCTION("TEXTJOIN("", "", TRUE,
  FILTER(Champions!C:C,
    ISNUMBER(SEARCH(C1594, Champions!W:W))
  )
)"),"Oheneba Afriyie")</f>
        <v>Oheneba Afriyie</v>
      </c>
      <c r="AG1594" s="23"/>
      <c r="AH1594" s="23" t="str">
        <f>IFERROR(__xludf.DUMMYFUNCTION("IF(
ISNUMBER(MATCH(
C1594,
IMPORTRANGE(""https://docs.google.com/spreadsheets/d/1yTh1ELC33JHYOeEdgIiEclxPRyh0zOKtlawDltfUay8"",""'Interns'!A:A""),
0
)),
""Outreach Conducted"",
"""")"),"")</f>
        <v/>
      </c>
      <c r="AI1594" s="23"/>
      <c r="AJ1594" s="23"/>
      <c r="AK1594" s="23" t="str">
        <f>IFERROR(__xludf.DUMMYFUNCTION("XLOOKUP(C1594, 
   IMPORTRANGE(""1RdEdgHYrZ33LJ7RUHj_h-qkAFL92bcVjtIdVa-UlsCw"", ""Interns!D:D""), 
   IMPORTRANGE(""1RdEdgHYrZ33LJ7RUHj_h-qkAFL92bcVjtIdVa-UlsCw"", ""Interns!M:M""), 
   ""Not Found"")"),"")</f>
        <v/>
      </c>
      <c r="AL1594" s="23" t="str">
        <f>IFERROR(__xludf.DUMMYFUNCTION("XLOOKUP(C1594, 
   IMPORTRANGE(""1RdEdgHYrZ33LJ7RUHj_h-qkAFL92bcVjtIdVa-UlsCw"", ""Interns!D:D""), 
   IMPORTRANGE(""1RdEdgHYrZ33LJ7RUHj_h-qkAFL92bcVjtIdVa-UlsCw"", ""Interns!N:N""), 
   ""Not Found"")"),"")</f>
        <v/>
      </c>
      <c r="AM1594" s="23" t="str">
        <f>IFERROR(__xludf.DUMMYFUNCTION("XLOOKUP(C1594, 
   IMPORTRANGE(""1RdEdgHYrZ33LJ7RUHj_h-qkAFL92bcVjtIdVa-UlsCw"", ""Interns!D:D""), 
   IMPORTRANGE(""1RdEdgHYrZ33LJ7RUHj_h-qkAFL92bcVjtIdVa-UlsCw"", ""Interns!O:O""), 
   ""Not Found"")"),"")</f>
        <v/>
      </c>
      <c r="AN1594" s="23"/>
      <c r="AO1594" s="23" t="s">
        <v>14834</v>
      </c>
      <c r="AP1594" s="28" t="s">
        <v>5191</v>
      </c>
      <c r="AQ1594" s="28" t="s">
        <v>14835</v>
      </c>
      <c r="AR1594" s="23" t="s">
        <v>14836</v>
      </c>
      <c r="AS1594" s="23"/>
      <c r="AT1594" s="23"/>
      <c r="AU1594" s="23"/>
      <c r="AV1594" s="23"/>
    </row>
    <row r="1595">
      <c r="A1595" s="28" t="s">
        <v>5161</v>
      </c>
      <c r="B1595" s="28" t="s">
        <v>5162</v>
      </c>
      <c r="C1595" s="23" t="str">
        <f t="shared" si="39"/>
        <v>April Hiciano</v>
      </c>
      <c r="D1595" s="28" t="s">
        <v>597</v>
      </c>
      <c r="E1595" s="28" t="s">
        <v>13519</v>
      </c>
      <c r="F1595" s="23">
        <f t="array" ref="F1595">IFERROR(
    INDEX('Hub Interns 226'!A:A, MATCH(C1595, 'Hub Interns 226'!B:B, 0)),"")</f>
        <v>252</v>
      </c>
      <c r="G1595" s="23">
        <f t="array" ref="G1595">IFERROR(
    INDEX('Hub Users 226'!A:A, MATCH(C1595, 'Hub Users 226'!B:B, 0)),"")</f>
        <v>685</v>
      </c>
      <c r="H1595" s="28">
        <v>1307.0</v>
      </c>
      <c r="I1595" s="28"/>
      <c r="J1595" s="28"/>
      <c r="K1595" s="28"/>
      <c r="L1595" s="28" t="s">
        <v>5196</v>
      </c>
      <c r="M1595" s="56" t="s">
        <v>13520</v>
      </c>
      <c r="N1595" s="59">
        <v>44847.45208333333</v>
      </c>
      <c r="O1595" s="58">
        <v>38820.0</v>
      </c>
      <c r="P1595" s="28">
        <f t="shared" si="41"/>
        <v>20</v>
      </c>
      <c r="Q1595" s="28" t="s">
        <v>240</v>
      </c>
      <c r="R1595" s="28" t="s">
        <v>13521</v>
      </c>
      <c r="S1595" s="28">
        <v>13.0</v>
      </c>
      <c r="T1595" s="28">
        <v>31.0</v>
      </c>
      <c r="U1595" s="28">
        <v>72.0</v>
      </c>
      <c r="V1595" s="28">
        <v>10.0</v>
      </c>
      <c r="W1595" s="28" t="s">
        <v>271</v>
      </c>
      <c r="X1595" s="28" t="s">
        <v>272</v>
      </c>
      <c r="Y1595" s="28" t="s">
        <v>13522</v>
      </c>
      <c r="Z1595" s="28" t="s">
        <v>5341</v>
      </c>
      <c r="AA1595" s="28" t="s">
        <v>1085</v>
      </c>
      <c r="AB1595" s="28">
        <v>10.0</v>
      </c>
      <c r="AC1595" s="28" t="s">
        <v>23</v>
      </c>
      <c r="AD1595" s="28" t="s">
        <v>101</v>
      </c>
      <c r="AE1595" s="28" t="s">
        <v>15</v>
      </c>
      <c r="AF1595" s="23"/>
      <c r="AG1595" s="26" t="s">
        <v>5342</v>
      </c>
      <c r="AH1595" s="23" t="str">
        <f>IFERROR(__xludf.DUMMYFUNCTION("IF(
ISNUMBER(MATCH(
C1595,
IMPORTRANGE(""https://docs.google.com/spreadsheets/d/1yTh1ELC33JHYOeEdgIiEclxPRyh0zOKtlawDltfUay8"",""'Interns'!A:A""),
0
)),
""Outreach Conducted"",
"""")"),"")</f>
        <v/>
      </c>
      <c r="AI1595" s="23"/>
      <c r="AJ1595" s="23"/>
      <c r="AK1595" s="23" t="str">
        <f>IFERROR(__xludf.DUMMYFUNCTION("XLOOKUP(C1595, 
   IMPORTRANGE(""1RdEdgHYrZ33LJ7RUHj_h-qkAFL92bcVjtIdVa-UlsCw"", ""Interns!D:D""), 
   IMPORTRANGE(""1RdEdgHYrZ33LJ7RUHj_h-qkAFL92bcVjtIdVa-UlsCw"", ""Interns!M:M""), 
   ""Not Found"")"),"")</f>
        <v/>
      </c>
      <c r="AL1595" s="23" t="str">
        <f>IFERROR(__xludf.DUMMYFUNCTION("XLOOKUP(C1595, 
   IMPORTRANGE(""1RdEdgHYrZ33LJ7RUHj_h-qkAFL92bcVjtIdVa-UlsCw"", ""Interns!D:D""), 
   IMPORTRANGE(""1RdEdgHYrZ33LJ7RUHj_h-qkAFL92bcVjtIdVa-UlsCw"", ""Interns!N:N""), 
   ""Not Found"")"),"")</f>
        <v/>
      </c>
      <c r="AM1595" s="23" t="str">
        <f>IFERROR(__xludf.DUMMYFUNCTION("XLOOKUP(C1595, 
   IMPORTRANGE(""1RdEdgHYrZ33LJ7RUHj_h-qkAFL92bcVjtIdVa-UlsCw"", ""Interns!D:D""), 
   IMPORTRANGE(""1RdEdgHYrZ33LJ7RUHj_h-qkAFL92bcVjtIdVa-UlsCw"", ""Interns!O:O""), 
   ""Not Found"")"),"")</f>
        <v/>
      </c>
      <c r="AN1595" s="23"/>
      <c r="AO1595" s="23" t="s">
        <v>13523</v>
      </c>
      <c r="AP1595" s="28" t="s">
        <v>5182</v>
      </c>
      <c r="AQ1595" s="28"/>
      <c r="AR1595" s="23"/>
      <c r="AS1595" s="28" t="s">
        <v>5346</v>
      </c>
      <c r="AT1595" s="23"/>
      <c r="AU1595" s="23"/>
      <c r="AV1595" s="23"/>
    </row>
    <row r="1596">
      <c r="A1596" s="28" t="s">
        <v>5202</v>
      </c>
      <c r="B1596" s="28" t="s">
        <v>31</v>
      </c>
      <c r="C1596" s="23" t="str">
        <f t="shared" si="39"/>
        <v>Oceanne. Compaore</v>
      </c>
      <c r="D1596" s="28" t="s">
        <v>14837</v>
      </c>
      <c r="E1596" s="28" t="s">
        <v>5896</v>
      </c>
      <c r="F1596" s="23">
        <f t="array" ref="F1596">IFERROR(
    INDEX('Hub Interns 226'!A:A, MATCH("Oceanne Compaore", 'Hub Interns 226'!B:B, 0)),"")</f>
        <v>964</v>
      </c>
      <c r="G1596" s="23">
        <f t="array" ref="G1596">IFERROR(
    INDEX('Hub Users 226'!A:A, MATCH("Oceanne Compaore", 'Hub Users 226'!B:B, 0)),"")</f>
        <v>1397</v>
      </c>
      <c r="H1596" s="28">
        <v>464.0</v>
      </c>
      <c r="I1596" s="28" t="s">
        <v>260</v>
      </c>
      <c r="J1596" s="28"/>
      <c r="K1596" s="28"/>
      <c r="L1596" s="28" t="s">
        <v>5196</v>
      </c>
      <c r="M1596" s="56" t="s">
        <v>5897</v>
      </c>
      <c r="N1596" s="57">
        <v>44358.60138888889</v>
      </c>
      <c r="O1596" s="58">
        <v>37190.0</v>
      </c>
      <c r="P1596" s="28">
        <f t="shared" si="41"/>
        <v>24</v>
      </c>
      <c r="Q1596" s="28" t="s">
        <v>14838</v>
      </c>
      <c r="R1596" s="28" t="s">
        <v>14839</v>
      </c>
      <c r="S1596" s="28"/>
      <c r="T1596" s="28"/>
      <c r="U1596" s="28"/>
      <c r="V1596" s="28"/>
      <c r="W1596" s="28" t="s">
        <v>859</v>
      </c>
      <c r="X1596" s="28" t="s">
        <v>272</v>
      </c>
      <c r="Y1596" s="28" t="s">
        <v>14840</v>
      </c>
      <c r="Z1596" s="28" t="s">
        <v>5435</v>
      </c>
      <c r="AA1596" s="28" t="s">
        <v>7761</v>
      </c>
      <c r="AB1596" s="28">
        <v>10.0</v>
      </c>
      <c r="AC1596" s="28" t="s">
        <v>24</v>
      </c>
      <c r="AD1596" s="23"/>
      <c r="AE1596" s="28" t="s">
        <v>8</v>
      </c>
      <c r="AF1596" s="23"/>
      <c r="AG1596" s="23"/>
      <c r="AH1596" s="23" t="str">
        <f>IFERROR(__xludf.DUMMYFUNCTION("IF(
ISNUMBER(MATCH(
C1596,
IMPORTRANGE(""https://docs.google.com/spreadsheets/d/1yTh1ELC33JHYOeEdgIiEclxPRyh0zOKtlawDltfUay8"",""'Interns'!A:A""),
0
)),
""Outreach Conducted"",
"""")"),"")</f>
        <v/>
      </c>
      <c r="AI1596" s="23"/>
      <c r="AJ1596" s="23"/>
      <c r="AK1596" s="23" t="str">
        <f>IFERROR(__xludf.DUMMYFUNCTION("XLOOKUP(C1596, 
   IMPORTRANGE(""1RdEdgHYrZ33LJ7RUHj_h-qkAFL92bcVjtIdVa-UlsCw"", ""Interns!D:D""), 
   IMPORTRANGE(""1RdEdgHYrZ33LJ7RUHj_h-qkAFL92bcVjtIdVa-UlsCw"", ""Interns!M:M""), 
   ""Not Found"")"),"")</f>
        <v/>
      </c>
      <c r="AL1596" s="23" t="str">
        <f>IFERROR(__xludf.DUMMYFUNCTION("XLOOKUP(C1596, 
   IMPORTRANGE(""1RdEdgHYrZ33LJ7RUHj_h-qkAFL92bcVjtIdVa-UlsCw"", ""Interns!D:D""), 
   IMPORTRANGE(""1RdEdgHYrZ33LJ7RUHj_h-qkAFL92bcVjtIdVa-UlsCw"", ""Interns!N:N""), 
   ""Not Found"")"),"")</f>
        <v/>
      </c>
      <c r="AM1596" s="23" t="str">
        <f>IFERROR(__xludf.DUMMYFUNCTION("XLOOKUP(C1596, 
   IMPORTRANGE(""1RdEdgHYrZ33LJ7RUHj_h-qkAFL92bcVjtIdVa-UlsCw"", ""Interns!D:D""), 
   IMPORTRANGE(""1RdEdgHYrZ33LJ7RUHj_h-qkAFL92bcVjtIdVa-UlsCw"", ""Interns!O:O""), 
   ""Not Found"")"),"")</f>
        <v/>
      </c>
      <c r="AN1596" s="23"/>
      <c r="AO1596" s="23" t="s">
        <v>14841</v>
      </c>
      <c r="AP1596" s="28" t="s">
        <v>5989</v>
      </c>
      <c r="AQ1596" s="28" t="s">
        <v>14842</v>
      </c>
      <c r="AR1596" s="23" t="s">
        <v>14843</v>
      </c>
      <c r="AS1596" s="23"/>
      <c r="AT1596" s="23"/>
      <c r="AU1596" s="23"/>
      <c r="AV1596" s="23"/>
    </row>
    <row r="1597">
      <c r="A1597" s="28" t="s">
        <v>5161</v>
      </c>
      <c r="B1597" s="28" t="s">
        <v>5162</v>
      </c>
      <c r="C1597" s="23" t="str">
        <f t="shared" si="39"/>
        <v>Jayson Liz</v>
      </c>
      <c r="D1597" s="28" t="s">
        <v>8198</v>
      </c>
      <c r="E1597" s="28" t="s">
        <v>7159</v>
      </c>
      <c r="F1597" s="23">
        <f t="array" ref="F1597">IFERROR(
    INDEX('Hub Interns 226'!A:A, MATCH(C1597, 'Hub Interns 226'!B:B, 0)),"")</f>
        <v>638</v>
      </c>
      <c r="G1597" s="23">
        <f t="array" ref="G1597">IFERROR(
    INDEX('Hub Users 226'!A:A, MATCH(C1597, 'Hub Users 226'!B:B, 0)),"")</f>
        <v>1071</v>
      </c>
      <c r="H1597" s="28">
        <v>1308.0</v>
      </c>
      <c r="I1597" s="28"/>
      <c r="J1597" s="28"/>
      <c r="K1597" s="28"/>
      <c r="L1597" s="28" t="s">
        <v>5165</v>
      </c>
      <c r="M1597" s="56" t="s">
        <v>13666</v>
      </c>
      <c r="N1597" s="59">
        <v>44847.45347222222</v>
      </c>
      <c r="O1597" s="58">
        <v>38724.0</v>
      </c>
      <c r="P1597" s="28">
        <f t="shared" si="41"/>
        <v>20</v>
      </c>
      <c r="Q1597" s="28" t="s">
        <v>240</v>
      </c>
      <c r="R1597" s="28" t="s">
        <v>13667</v>
      </c>
      <c r="S1597" s="28">
        <v>13.0</v>
      </c>
      <c r="T1597" s="28">
        <v>31.0</v>
      </c>
      <c r="U1597" s="28">
        <v>72.0</v>
      </c>
      <c r="V1597" s="28">
        <v>10.0</v>
      </c>
      <c r="W1597" s="28" t="s">
        <v>271</v>
      </c>
      <c r="X1597" s="28" t="s">
        <v>272</v>
      </c>
      <c r="Y1597" s="28" t="s">
        <v>13668</v>
      </c>
      <c r="Z1597" s="28" t="s">
        <v>5341</v>
      </c>
      <c r="AA1597" s="28" t="s">
        <v>1085</v>
      </c>
      <c r="AB1597" s="28">
        <v>10.0</v>
      </c>
      <c r="AC1597" s="28" t="s">
        <v>23</v>
      </c>
      <c r="AD1597" s="23"/>
      <c r="AE1597" s="28" t="s">
        <v>15</v>
      </c>
      <c r="AF1597" s="23"/>
      <c r="AG1597" s="26" t="s">
        <v>5342</v>
      </c>
      <c r="AH1597" s="23" t="str">
        <f>IFERROR(__xludf.DUMMYFUNCTION("IF(
ISNUMBER(MATCH(
C1597,
IMPORTRANGE(""https://docs.google.com/spreadsheets/d/1yTh1ELC33JHYOeEdgIiEclxPRyh0zOKtlawDltfUay8"",""'Interns'!A:A""),
0
)),
""Outreach Conducted"",
"""")"),"")</f>
        <v/>
      </c>
      <c r="AI1597" s="23"/>
      <c r="AJ1597" s="23"/>
      <c r="AK1597" s="23" t="str">
        <f>IFERROR(__xludf.DUMMYFUNCTION("XLOOKUP(C1597, 
   IMPORTRANGE(""1RdEdgHYrZ33LJ7RUHj_h-qkAFL92bcVjtIdVa-UlsCw"", ""Interns!D:D""), 
   IMPORTRANGE(""1RdEdgHYrZ33LJ7RUHj_h-qkAFL92bcVjtIdVa-UlsCw"", ""Interns!M:M""), 
   ""Not Found"")"),"")</f>
        <v/>
      </c>
      <c r="AL1597" s="23" t="str">
        <f>IFERROR(__xludf.DUMMYFUNCTION("XLOOKUP(C1597, 
   IMPORTRANGE(""1RdEdgHYrZ33LJ7RUHj_h-qkAFL92bcVjtIdVa-UlsCw"", ""Interns!D:D""), 
   IMPORTRANGE(""1RdEdgHYrZ33LJ7RUHj_h-qkAFL92bcVjtIdVa-UlsCw"", ""Interns!N:N""), 
   ""Not Found"")"),"")</f>
        <v/>
      </c>
      <c r="AM1597" s="23" t="str">
        <f>IFERROR(__xludf.DUMMYFUNCTION("XLOOKUP(C1597, 
   IMPORTRANGE(""1RdEdgHYrZ33LJ7RUHj_h-qkAFL92bcVjtIdVa-UlsCw"", ""Interns!D:D""), 
   IMPORTRANGE(""1RdEdgHYrZ33LJ7RUHj_h-qkAFL92bcVjtIdVa-UlsCw"", ""Interns!O:O""), 
   ""Not Found"")"),"")</f>
        <v/>
      </c>
      <c r="AN1597" s="23"/>
      <c r="AO1597" s="23" t="s">
        <v>13669</v>
      </c>
      <c r="AP1597" s="28" t="s">
        <v>5182</v>
      </c>
      <c r="AQ1597" s="28"/>
      <c r="AR1597" s="23"/>
      <c r="AS1597" s="23"/>
      <c r="AT1597" s="23"/>
      <c r="AU1597" s="23"/>
      <c r="AV1597" s="23"/>
    </row>
    <row r="1598">
      <c r="A1598" s="28" t="s">
        <v>5161</v>
      </c>
      <c r="B1598" s="28" t="s">
        <v>5162</v>
      </c>
      <c r="C1598" s="23" t="str">
        <f t="shared" si="39"/>
        <v>Rogina Sobhy</v>
      </c>
      <c r="D1598" s="28" t="s">
        <v>14844</v>
      </c>
      <c r="E1598" s="28" t="s">
        <v>14845</v>
      </c>
      <c r="F1598" s="23">
        <f t="array" ref="F1598">IFERROR(
    INDEX('Hub Interns 226'!A:A, MATCH(C1598, 'Hub Interns 226'!B:B, 0)),"")</f>
        <v>976</v>
      </c>
      <c r="G1598" s="23">
        <f t="array" ref="G1598">IFERROR(
    INDEX('Hub Users 226'!A:A, MATCH(C1598, 'Hub Users 226'!B:B, 0)),"")</f>
        <v>1409</v>
      </c>
      <c r="H1598" s="28">
        <v>1005.0</v>
      </c>
      <c r="I1598" s="28" t="s">
        <v>260</v>
      </c>
      <c r="J1598" s="28"/>
      <c r="K1598" s="28"/>
      <c r="L1598" s="28" t="s">
        <v>5196</v>
      </c>
      <c r="M1598" s="56" t="s">
        <v>14846</v>
      </c>
      <c r="N1598" s="57">
        <v>44651.58819444444</v>
      </c>
      <c r="O1598" s="58">
        <v>39903.0</v>
      </c>
      <c r="P1598" s="28">
        <f t="shared" si="41"/>
        <v>17</v>
      </c>
      <c r="Q1598" s="28" t="s">
        <v>240</v>
      </c>
      <c r="R1598" s="28" t="s">
        <v>14847</v>
      </c>
      <c r="S1598" s="28">
        <v>7.0</v>
      </c>
      <c r="T1598" s="28">
        <v>18.0</v>
      </c>
      <c r="U1598" s="28">
        <v>38.0</v>
      </c>
      <c r="V1598" s="28">
        <v>34.0</v>
      </c>
      <c r="W1598" s="28" t="s">
        <v>1173</v>
      </c>
      <c r="X1598" s="28" t="s">
        <v>272</v>
      </c>
      <c r="Y1598" s="28" t="s">
        <v>14848</v>
      </c>
      <c r="Z1598" s="28" t="s">
        <v>9652</v>
      </c>
      <c r="AA1598" s="28" t="s">
        <v>9653</v>
      </c>
      <c r="AB1598" s="28">
        <v>30.0</v>
      </c>
      <c r="AC1598" s="28" t="s">
        <v>24</v>
      </c>
      <c r="AD1598" s="23"/>
      <c r="AE1598" s="28" t="s">
        <v>10</v>
      </c>
      <c r="AF1598" s="23"/>
      <c r="AG1598" s="23"/>
      <c r="AH1598" s="23" t="str">
        <f>IFERROR(__xludf.DUMMYFUNCTION("IF(
ISNUMBER(MATCH(
C1598,
IMPORTRANGE(""https://docs.google.com/spreadsheets/d/1yTh1ELC33JHYOeEdgIiEclxPRyh0zOKtlawDltfUay8"",""'Interns'!A:A""),
0
)),
""Outreach Conducted"",
"""")"),"")</f>
        <v/>
      </c>
      <c r="AI1598" s="23"/>
      <c r="AJ1598" s="23"/>
      <c r="AK1598" s="23" t="str">
        <f>IFERROR(__xludf.DUMMYFUNCTION("XLOOKUP(C1598, 
   IMPORTRANGE(""1RdEdgHYrZ33LJ7RUHj_h-qkAFL92bcVjtIdVa-UlsCw"", ""Interns!D:D""), 
   IMPORTRANGE(""1RdEdgHYrZ33LJ7RUHj_h-qkAFL92bcVjtIdVa-UlsCw"", ""Interns!M:M""), 
   ""Not Found"")"),"Contacted")</f>
        <v>Contacted</v>
      </c>
      <c r="AL1598" s="23" t="str">
        <f>IFERROR(__xludf.DUMMYFUNCTION("XLOOKUP(C1598, 
   IMPORTRANGE(""1RdEdgHYrZ33LJ7RUHj_h-qkAFL92bcVjtIdVa-UlsCw"", ""Interns!D:D""), 
   IMPORTRANGE(""1RdEdgHYrZ33LJ7RUHj_h-qkAFL92bcVjtIdVa-UlsCw"", ""Interns!N:N""), 
   ""Not Found"")"),"#Cheers4Careers")</f>
        <v>#Cheers4Careers</v>
      </c>
      <c r="AM1598" s="23" t="str">
        <f>IFERROR(__xludf.DUMMYFUNCTION("XLOOKUP(C1598, 
   IMPORTRANGE(""1RdEdgHYrZ33LJ7RUHj_h-qkAFL92bcVjtIdVa-UlsCw"", ""Interns!D:D""), 
   IMPORTRANGE(""1RdEdgHYrZ33LJ7RUHj_h-qkAFL92bcVjtIdVa-UlsCw"", ""Interns!O:O""), 
   ""Not Found"")"),"MENNA: Reached out by email 3/26 and by text 3/27 for Cheers 4 Careers +email blocked Reached out again 3/28 but no response … MENNA REACHED OUT BY TEXT  FOR APRIL 18")</f>
        <v>MENNA: Reached out by email 3/26 and by text 3/27 for Cheers 4 Careers +email blocked Reached out again 3/28 but no response … MENNA REACHED OUT BY TEXT  FOR APRIL 18</v>
      </c>
      <c r="AN1598" s="23"/>
      <c r="AO1598" s="23" t="s">
        <v>14849</v>
      </c>
      <c r="AP1598" s="28" t="s">
        <v>5191</v>
      </c>
      <c r="AQ1598" s="28"/>
      <c r="AR1598" s="23"/>
      <c r="AS1598" s="23"/>
      <c r="AT1598" s="23"/>
      <c r="AU1598" s="23"/>
      <c r="AV1598" s="23"/>
    </row>
    <row r="1599">
      <c r="A1599" s="28" t="s">
        <v>5161</v>
      </c>
      <c r="B1599" s="28" t="s">
        <v>5162</v>
      </c>
      <c r="C1599" s="23" t="str">
        <f t="shared" si="39"/>
        <v>Sanjy Saint olive</v>
      </c>
      <c r="D1599" s="28" t="s">
        <v>14850</v>
      </c>
      <c r="E1599" s="28" t="s">
        <v>14851</v>
      </c>
      <c r="F1599" s="23">
        <f t="array" ref="F1599">IFERROR(
    INDEX('Hub Interns 226'!A:A, MATCH(C1599, 'Hub Interns 226'!B:B, 0)),"")</f>
        <v>100</v>
      </c>
      <c r="G1599" s="23">
        <f t="array" ref="G1599">IFERROR(
    INDEX('Hub Users 226'!A:A, MATCH(C1599, 'Hub Users 226'!B:B, 0)),"")</f>
        <v>533</v>
      </c>
      <c r="H1599" s="28">
        <v>1492.0</v>
      </c>
      <c r="I1599" s="28" t="s">
        <v>260</v>
      </c>
      <c r="J1599" s="28" t="s">
        <v>6002</v>
      </c>
      <c r="K1599" s="28" t="s">
        <v>5463</v>
      </c>
      <c r="L1599" s="28" t="s">
        <v>5196</v>
      </c>
      <c r="M1599" s="56" t="s">
        <v>14852</v>
      </c>
      <c r="N1599" s="57">
        <v>44949.64375</v>
      </c>
      <c r="O1599" s="58">
        <v>38768.0</v>
      </c>
      <c r="P1599" s="28">
        <f t="shared" si="41"/>
        <v>20</v>
      </c>
      <c r="Q1599" s="28" t="s">
        <v>240</v>
      </c>
      <c r="R1599" s="28" t="s">
        <v>14853</v>
      </c>
      <c r="S1599" s="28">
        <v>9.0</v>
      </c>
      <c r="T1599" s="28">
        <v>21.0</v>
      </c>
      <c r="U1599" s="28">
        <v>41.0</v>
      </c>
      <c r="V1599" s="28">
        <v>45.0</v>
      </c>
      <c r="W1599" s="28" t="s">
        <v>294</v>
      </c>
      <c r="X1599" s="28" t="s">
        <v>272</v>
      </c>
      <c r="Y1599" s="28" t="s">
        <v>14854</v>
      </c>
      <c r="Z1599" s="28" t="s">
        <v>5259</v>
      </c>
      <c r="AA1599" s="28" t="s">
        <v>704</v>
      </c>
      <c r="AB1599" s="28">
        <v>2.0</v>
      </c>
      <c r="AC1599" s="28" t="s">
        <v>23</v>
      </c>
      <c r="AD1599" s="23"/>
      <c r="AE1599" s="28" t="s">
        <v>15</v>
      </c>
      <c r="AF1599" s="23"/>
      <c r="AG1599" s="23"/>
      <c r="AH1599" s="23" t="str">
        <f>IFERROR(__xludf.DUMMYFUNCTION("IF(
ISNUMBER(MATCH(
C1599,
IMPORTRANGE(""https://docs.google.com/spreadsheets/d/1yTh1ELC33JHYOeEdgIiEclxPRyh0zOKtlawDltfUay8"",""'Interns'!A:A""),
0
)),
""Outreach Conducted"",
"""")"),"")</f>
        <v/>
      </c>
      <c r="AI1599" s="23"/>
      <c r="AJ1599" s="23"/>
      <c r="AK1599" s="23" t="str">
        <f>IFERROR(__xludf.DUMMYFUNCTION("XLOOKUP(C1599, 
   IMPORTRANGE(""1RdEdgHYrZ33LJ7RUHj_h-qkAFL92bcVjtIdVa-UlsCw"", ""Interns!D:D""), 
   IMPORTRANGE(""1RdEdgHYrZ33LJ7RUHj_h-qkAFL92bcVjtIdVa-UlsCw"", ""Interns!M:M""), 
   ""Not Found"")"),"Contacted")</f>
        <v>Contacted</v>
      </c>
      <c r="AL1599" s="23" t="str">
        <f>IFERROR(__xludf.DUMMYFUNCTION("XLOOKUP(C1599, 
   IMPORTRANGE(""1RdEdgHYrZ33LJ7RUHj_h-qkAFL92bcVjtIdVa-UlsCw"", ""Interns!D:D""), 
   IMPORTRANGE(""1RdEdgHYrZ33LJ7RUHj_h-qkAFL92bcVjtIdVa-UlsCw"", ""Interns!N:N""), 
   ""Not Found"")"),"#Cheers4Careers")</f>
        <v>#Cheers4Careers</v>
      </c>
      <c r="AM1599" s="23" t="str">
        <f>IFERROR(__xludf.DUMMYFUNCTION("XLOOKUP(C1599, 
   IMPORTRANGE(""1RdEdgHYrZ33LJ7RUHj_h-qkAFL92bcVjtIdVa-UlsCw"", ""Interns!D:D""), 
   IMPORTRANGE(""1RdEdgHYrZ33LJ7RUHj_h-qkAFL92bcVjtIdVa-UlsCw"", ""Interns!O:O""), 
   ""Not Found"")"),"Ousmane reached out by email 3/26 and reach out by text 3/28")</f>
        <v>Ousmane reached out by email 3/26 and reach out by text 3/28</v>
      </c>
      <c r="AN1599" s="23"/>
      <c r="AO1599" s="23" t="s">
        <v>14855</v>
      </c>
      <c r="AP1599" s="28" t="s">
        <v>5182</v>
      </c>
      <c r="AQ1599" s="28"/>
      <c r="AR1599" s="23"/>
      <c r="AS1599" s="23"/>
      <c r="AT1599" s="23"/>
      <c r="AU1599" s="23"/>
      <c r="AV1599" s="23"/>
    </row>
    <row r="1600">
      <c r="A1600" s="28" t="s">
        <v>5161</v>
      </c>
      <c r="B1600" s="28" t="s">
        <v>5162</v>
      </c>
      <c r="C1600" s="23" t="str">
        <f t="shared" si="39"/>
        <v>Andy Humala</v>
      </c>
      <c r="D1600" s="28" t="s">
        <v>3932</v>
      </c>
      <c r="E1600" s="28" t="s">
        <v>13257</v>
      </c>
      <c r="F1600" s="23">
        <f t="array" ref="F1600">IFERROR(
    INDEX('Hub Interns 226'!A:A, MATCH(C1600, 'Hub Interns 226'!B:B, 0)),"")</f>
        <v>232</v>
      </c>
      <c r="G1600" s="23">
        <f t="array" ref="G1600">IFERROR(
    INDEX('Hub Users 226'!A:A, MATCH(C1600, 'Hub Users 226'!B:B, 0)),"")</f>
        <v>665</v>
      </c>
      <c r="H1600" s="28">
        <v>1610.0</v>
      </c>
      <c r="I1600" s="28"/>
      <c r="J1600" s="28"/>
      <c r="K1600" s="28"/>
      <c r="L1600" s="28" t="s">
        <v>5165</v>
      </c>
      <c r="M1600" s="56" t="s">
        <v>14856</v>
      </c>
      <c r="N1600" s="57">
        <v>45068.35555555556</v>
      </c>
      <c r="O1600" s="58">
        <v>39969.0</v>
      </c>
      <c r="P1600" s="28">
        <f t="shared" si="41"/>
        <v>16</v>
      </c>
      <c r="Q1600" s="28" t="s">
        <v>240</v>
      </c>
      <c r="R1600" s="28" t="s">
        <v>14857</v>
      </c>
      <c r="S1600" s="28">
        <v>6.0</v>
      </c>
      <c r="T1600" s="28">
        <v>13.0</v>
      </c>
      <c r="U1600" s="28">
        <v>35.0</v>
      </c>
      <c r="V1600" s="28">
        <v>21.0</v>
      </c>
      <c r="W1600" s="28" t="s">
        <v>1173</v>
      </c>
      <c r="X1600" s="28" t="s">
        <v>272</v>
      </c>
      <c r="Y1600" s="28" t="s">
        <v>14858</v>
      </c>
      <c r="Z1600" s="28" t="s">
        <v>5403</v>
      </c>
      <c r="AA1600" s="28" t="s">
        <v>5404</v>
      </c>
      <c r="AB1600" s="28">
        <v>21.0</v>
      </c>
      <c r="AC1600" s="28" t="s">
        <v>23</v>
      </c>
      <c r="AD1600" s="23"/>
      <c r="AE1600" s="28" t="s">
        <v>15</v>
      </c>
      <c r="AF1600" s="23"/>
      <c r="AG1600" s="23"/>
      <c r="AH1600" s="23" t="str">
        <f>IFERROR(__xludf.DUMMYFUNCTION("IF(
ISNUMBER(MATCH(
C1600,
IMPORTRANGE(""https://docs.google.com/spreadsheets/d/1yTh1ELC33JHYOeEdgIiEclxPRyh0zOKtlawDltfUay8"",""'Interns'!A:A""),
0
)),
""Outreach Conducted"",
"""")"),"")</f>
        <v/>
      </c>
      <c r="AI1600" s="23"/>
      <c r="AJ1600" s="23"/>
      <c r="AK1600" s="23" t="str">
        <f>IFERROR(__xludf.DUMMYFUNCTION("XLOOKUP(C1600, 
   IMPORTRANGE(""1RdEdgHYrZ33LJ7RUHj_h-qkAFL92bcVjtIdVa-UlsCw"", ""Interns!D:D""), 
   IMPORTRANGE(""1RdEdgHYrZ33LJ7RUHj_h-qkAFL92bcVjtIdVa-UlsCw"", ""Interns!M:M""), 
   ""Not Found"")"),"Contacted")</f>
        <v>Contacted</v>
      </c>
      <c r="AL1600" s="23" t="str">
        <f>IFERROR(__xludf.DUMMYFUNCTION("XLOOKUP(C1600, 
   IMPORTRANGE(""1RdEdgHYrZ33LJ7RUHj_h-qkAFL92bcVjtIdVa-UlsCw"", ""Interns!D:D""), 
   IMPORTRANGE(""1RdEdgHYrZ33LJ7RUHj_h-qkAFL92bcVjtIdVa-UlsCw"", ""Interns!N:N""), 
   ""Not Found"")"),"#Cheers4Careers")</f>
        <v>#Cheers4Careers</v>
      </c>
      <c r="AM1600" s="23" t="str">
        <f>IFERROR(__xludf.DUMMYFUNCTION("XLOOKUP(C1600, 
   IMPORTRANGE(""1RdEdgHYrZ33LJ7RUHj_h-qkAFL92bcVjtIdVa-UlsCw"", ""Interns!D:D""), 
   IMPORTRANGE(""1RdEdgHYrZ33LJ7RUHj_h-qkAFL92bcVjtIdVa-UlsCw"", ""Interns!O:O""), 
   ""Not Found"")"),"Reached out by text 3/26-3/28 followed up by email 3/27 by Jackie")</f>
        <v>Reached out by text 3/26-3/28 followed up by email 3/27 by Jackie</v>
      </c>
      <c r="AN1600" s="23"/>
      <c r="AO1600" s="23" t="s">
        <v>14859</v>
      </c>
      <c r="AP1600" s="28" t="s">
        <v>5182</v>
      </c>
      <c r="AQ1600" s="28"/>
      <c r="AR1600" s="23"/>
      <c r="AS1600" s="23"/>
      <c r="AT1600" s="23"/>
      <c r="AU1600" s="23"/>
      <c r="AV1600" s="23"/>
    </row>
    <row r="1601">
      <c r="A1601" s="28" t="s">
        <v>5202</v>
      </c>
      <c r="B1601" s="28" t="s">
        <v>5162</v>
      </c>
      <c r="C1601" s="23" t="str">
        <f t="shared" si="39"/>
        <v>jeffrey Chi</v>
      </c>
      <c r="D1601" s="28" t="s">
        <v>14860</v>
      </c>
      <c r="E1601" s="28" t="s">
        <v>14861</v>
      </c>
      <c r="F1601" s="23">
        <f t="array" ref="F1601">IFERROR(
    INDEX('Hub Interns 226'!A:A, MATCH(C1601, 'Hub Interns 226'!B:B, 0)),"")</f>
        <v>325</v>
      </c>
      <c r="G1601" s="23">
        <f t="array" ref="G1601">IFERROR(
    INDEX('Hub Users 226'!A:A, MATCH(C1601, 'Hub Users 226'!B:B, 0)),"")</f>
        <v>758</v>
      </c>
      <c r="H1601" s="28">
        <v>956.0</v>
      </c>
      <c r="I1601" s="28"/>
      <c r="J1601" s="28"/>
      <c r="K1601" s="28"/>
      <c r="L1601" s="28" t="s">
        <v>5165</v>
      </c>
      <c r="M1601" s="56" t="s">
        <v>14862</v>
      </c>
      <c r="N1601" s="57">
        <v>44623.36111111111</v>
      </c>
      <c r="O1601" s="58">
        <v>38547.0</v>
      </c>
      <c r="P1601" s="28">
        <f t="shared" si="41"/>
        <v>20</v>
      </c>
      <c r="Q1601" s="28" t="s">
        <v>240</v>
      </c>
      <c r="R1601" s="28" t="s">
        <v>14863</v>
      </c>
      <c r="S1601" s="28">
        <v>6.0</v>
      </c>
      <c r="T1601" s="28">
        <v>16.0</v>
      </c>
      <c r="U1601" s="28">
        <v>40.0</v>
      </c>
      <c r="V1601" s="28">
        <v>20.0</v>
      </c>
      <c r="W1601" s="28" t="s">
        <v>1173</v>
      </c>
      <c r="X1601" s="28" t="s">
        <v>272</v>
      </c>
      <c r="Y1601" s="28" t="s">
        <v>14864</v>
      </c>
      <c r="Z1601" s="28" t="s">
        <v>5189</v>
      </c>
      <c r="AA1601" s="28" t="s">
        <v>619</v>
      </c>
      <c r="AB1601" s="28">
        <v>20.0</v>
      </c>
      <c r="AC1601" s="28" t="s">
        <v>24</v>
      </c>
      <c r="AD1601" s="23"/>
      <c r="AE1601" s="28" t="s">
        <v>10</v>
      </c>
      <c r="AF1601" s="23"/>
      <c r="AG1601" s="23"/>
      <c r="AH1601" s="23" t="str">
        <f>IFERROR(__xludf.DUMMYFUNCTION("IF(
ISNUMBER(MATCH(
C1601,
IMPORTRANGE(""https://docs.google.com/spreadsheets/d/1yTh1ELC33JHYOeEdgIiEclxPRyh0zOKtlawDltfUay8"",""'Interns'!A:A""),
0
)),
""Outreach Conducted"",
"""")"),"")</f>
        <v/>
      </c>
      <c r="AI1601" s="23"/>
      <c r="AJ1601" s="23"/>
      <c r="AK1601" s="23" t="str">
        <f>IFERROR(__xludf.DUMMYFUNCTION("XLOOKUP(C1601, 
   IMPORTRANGE(""1RdEdgHYrZ33LJ7RUHj_h-qkAFL92bcVjtIdVa-UlsCw"", ""Interns!D:D""), 
   IMPORTRANGE(""1RdEdgHYrZ33LJ7RUHj_h-qkAFL92bcVjtIdVa-UlsCw"", ""Interns!M:M""), 
   ""Not Found"")"),"")</f>
        <v/>
      </c>
      <c r="AL1601" s="23" t="str">
        <f>IFERROR(__xludf.DUMMYFUNCTION("XLOOKUP(C1601, 
   IMPORTRANGE(""1RdEdgHYrZ33LJ7RUHj_h-qkAFL92bcVjtIdVa-UlsCw"", ""Interns!D:D""), 
   IMPORTRANGE(""1RdEdgHYrZ33LJ7RUHj_h-qkAFL92bcVjtIdVa-UlsCw"", ""Interns!N:N""), 
   ""Not Found"")"),"")</f>
        <v/>
      </c>
      <c r="AM1601" s="23" t="str">
        <f>IFERROR(__xludf.DUMMYFUNCTION("XLOOKUP(C1601, 
   IMPORTRANGE(""1RdEdgHYrZ33LJ7RUHj_h-qkAFL92bcVjtIdVa-UlsCw"", ""Interns!D:D""), 
   IMPORTRANGE(""1RdEdgHYrZ33LJ7RUHj_h-qkAFL92bcVjtIdVa-UlsCw"", ""Interns!O:O""), 
   ""Not Found"")"),"")</f>
        <v/>
      </c>
      <c r="AN1601" s="23"/>
      <c r="AO1601" s="23" t="s">
        <v>14865</v>
      </c>
      <c r="AP1601" s="28" t="s">
        <v>5182</v>
      </c>
      <c r="AQ1601" s="28"/>
      <c r="AR1601" s="23"/>
      <c r="AS1601" s="23"/>
      <c r="AT1601" s="23"/>
      <c r="AU1601" s="23"/>
      <c r="AV1601" s="23"/>
    </row>
    <row r="1602">
      <c r="A1602" s="28" t="s">
        <v>5202</v>
      </c>
      <c r="B1602" s="28" t="s">
        <v>5162</v>
      </c>
      <c r="C1602" s="23" t="str">
        <f t="shared" si="39"/>
        <v>Ameia Campbell</v>
      </c>
      <c r="D1602" s="28" t="s">
        <v>14866</v>
      </c>
      <c r="E1602" s="28" t="s">
        <v>1117</v>
      </c>
      <c r="F1602" s="23">
        <f t="array" ref="F1602">IFERROR(
    INDEX('Hub Interns 226'!A:A, MATCH(C1602, 'Hub Interns 226'!B:B, 0)),"")</f>
        <v>203</v>
      </c>
      <c r="G1602" s="23">
        <f t="array" ref="G1602">IFERROR(
    INDEX('Hub Users 226'!A:A, MATCH(C1602, 'Hub Users 226'!B:B, 0)),"")</f>
        <v>636</v>
      </c>
      <c r="H1602" s="28">
        <v>773.0</v>
      </c>
      <c r="I1602" s="28" t="s">
        <v>107</v>
      </c>
      <c r="J1602" s="28"/>
      <c r="K1602" s="28"/>
      <c r="L1602" s="28" t="s">
        <v>5196</v>
      </c>
      <c r="M1602" s="56" t="s">
        <v>14867</v>
      </c>
      <c r="N1602" s="59">
        <v>44552.970138888886</v>
      </c>
      <c r="O1602" s="58">
        <v>38096.0</v>
      </c>
      <c r="P1602" s="28">
        <f t="shared" si="41"/>
        <v>22</v>
      </c>
      <c r="Q1602" s="28" t="s">
        <v>14868</v>
      </c>
      <c r="R1602" s="28" t="s">
        <v>14869</v>
      </c>
      <c r="S1602" s="28">
        <v>5.0</v>
      </c>
      <c r="T1602" s="28">
        <v>14.0</v>
      </c>
      <c r="U1602" s="28">
        <v>29.0</v>
      </c>
      <c r="V1602" s="28">
        <v>31.0</v>
      </c>
      <c r="W1602" s="28" t="s">
        <v>1173</v>
      </c>
      <c r="X1602" s="28" t="s">
        <v>272</v>
      </c>
      <c r="Y1602" s="28">
        <v>3.474850003E9</v>
      </c>
      <c r="Z1602" s="28" t="s">
        <v>5332</v>
      </c>
      <c r="AA1602" s="28" t="s">
        <v>421</v>
      </c>
      <c r="AB1602" s="28">
        <v>31.0</v>
      </c>
      <c r="AC1602" s="28" t="s">
        <v>24</v>
      </c>
      <c r="AD1602" s="23"/>
      <c r="AE1602" s="28" t="s">
        <v>10</v>
      </c>
      <c r="AF1602" s="23"/>
      <c r="AG1602" s="23"/>
      <c r="AH1602" s="23" t="str">
        <f>IFERROR(__xludf.DUMMYFUNCTION("IF(
ISNUMBER(MATCH(
C1602,
IMPORTRANGE(""https://docs.google.com/spreadsheets/d/1yTh1ELC33JHYOeEdgIiEclxPRyh0zOKtlawDltfUay8"",""'Interns'!A:A""),
0
)),
""Outreach Conducted"",
"""")"),"")</f>
        <v/>
      </c>
      <c r="AI1602" s="23"/>
      <c r="AJ1602" s="23"/>
      <c r="AK1602" s="23" t="str">
        <f>IFERROR(__xludf.DUMMYFUNCTION("XLOOKUP(C1602, 
   IMPORTRANGE(""1RdEdgHYrZ33LJ7RUHj_h-qkAFL92bcVjtIdVa-UlsCw"", ""Interns!D:D""), 
   IMPORTRANGE(""1RdEdgHYrZ33LJ7RUHj_h-qkAFL92bcVjtIdVa-UlsCw"", ""Interns!M:M""), 
   ""Not Found"")"),"")</f>
        <v/>
      </c>
      <c r="AL1602" s="23" t="str">
        <f>IFERROR(__xludf.DUMMYFUNCTION("XLOOKUP(C1602, 
   IMPORTRANGE(""1RdEdgHYrZ33LJ7RUHj_h-qkAFL92bcVjtIdVa-UlsCw"", ""Interns!D:D""), 
   IMPORTRANGE(""1RdEdgHYrZ33LJ7RUHj_h-qkAFL92bcVjtIdVa-UlsCw"", ""Interns!N:N""), 
   ""Not Found"")"),"")</f>
        <v/>
      </c>
      <c r="AM1602" s="23" t="str">
        <f>IFERROR(__xludf.DUMMYFUNCTION("XLOOKUP(C1602, 
   IMPORTRANGE(""1RdEdgHYrZ33LJ7RUHj_h-qkAFL92bcVjtIdVa-UlsCw"", ""Interns!D:D""), 
   IMPORTRANGE(""1RdEdgHYrZ33LJ7RUHj_h-qkAFL92bcVjtIdVa-UlsCw"", ""Interns!O:O""), 
   ""Not Found"")"),"")</f>
        <v/>
      </c>
      <c r="AN1602" s="23"/>
      <c r="AO1602" s="23" t="s">
        <v>14870</v>
      </c>
      <c r="AP1602" s="28" t="s">
        <v>5182</v>
      </c>
      <c r="AQ1602" s="28"/>
      <c r="AR1602" s="23"/>
      <c r="AS1602" s="23"/>
      <c r="AT1602" s="23"/>
      <c r="AU1602" s="23"/>
      <c r="AV1602" s="23"/>
    </row>
    <row r="1603">
      <c r="A1603" s="28" t="s">
        <v>5202</v>
      </c>
      <c r="B1603" s="28" t="s">
        <v>5162</v>
      </c>
      <c r="C1603" s="23" t="str">
        <f t="shared" si="39"/>
        <v>Oumaru Batchilly</v>
      </c>
      <c r="D1603" s="28" t="s">
        <v>14871</v>
      </c>
      <c r="E1603" s="28" t="s">
        <v>14872</v>
      </c>
      <c r="F1603" s="23">
        <f t="array" ref="F1603">IFERROR(
    INDEX('Hub Interns 226'!A:A, MATCH(C1603, 'Hub Interns 226'!B:B, 0)),"")</f>
        <v>974</v>
      </c>
      <c r="G1603" s="23">
        <f t="array" ref="G1603">IFERROR(
    INDEX('Hub Users 226'!A:A, MATCH(C1603, 'Hub Users 226'!B:B, 0)),"")</f>
        <v>1407</v>
      </c>
      <c r="H1603" s="28">
        <v>392.0</v>
      </c>
      <c r="I1603" s="28"/>
      <c r="J1603" s="28"/>
      <c r="K1603" s="28" t="s">
        <v>5245</v>
      </c>
      <c r="L1603" s="28" t="s">
        <v>5165</v>
      </c>
      <c r="M1603" s="56" t="s">
        <v>14873</v>
      </c>
      <c r="N1603" s="57">
        <v>44265.55138888889</v>
      </c>
      <c r="O1603" s="58">
        <v>37311.0</v>
      </c>
      <c r="P1603" s="28">
        <f t="shared" si="41"/>
        <v>24</v>
      </c>
      <c r="Q1603" s="28" t="s">
        <v>240</v>
      </c>
      <c r="R1603" s="28" t="s">
        <v>14874</v>
      </c>
      <c r="S1603" s="28">
        <v>15.0</v>
      </c>
      <c r="T1603" s="28">
        <v>32.0</v>
      </c>
      <c r="U1603" s="28">
        <v>79.0</v>
      </c>
      <c r="V1603" s="28">
        <v>16.0</v>
      </c>
      <c r="W1603" s="28" t="s">
        <v>859</v>
      </c>
      <c r="X1603" s="28" t="s">
        <v>272</v>
      </c>
      <c r="Y1603" s="28" t="s">
        <v>14875</v>
      </c>
      <c r="Z1603" s="28" t="s">
        <v>5208</v>
      </c>
      <c r="AA1603" s="28" t="s">
        <v>2141</v>
      </c>
      <c r="AB1603" s="28">
        <v>8.0</v>
      </c>
      <c r="AC1603" s="28" t="s">
        <v>24</v>
      </c>
      <c r="AD1603" s="23"/>
      <c r="AE1603" s="28" t="s">
        <v>8</v>
      </c>
      <c r="AF1603" s="23"/>
      <c r="AG1603" s="23"/>
      <c r="AH1603" s="23" t="str">
        <f>IFERROR(__xludf.DUMMYFUNCTION("IF(
ISNUMBER(MATCH(
C1603,
IMPORTRANGE(""https://docs.google.com/spreadsheets/d/1yTh1ELC33JHYOeEdgIiEclxPRyh0zOKtlawDltfUay8"",""'Interns'!A:A""),
0
)),
""Outreach Conducted"",
"""")"),"")</f>
        <v/>
      </c>
      <c r="AI1603" s="23"/>
      <c r="AJ1603" s="23"/>
      <c r="AK1603" s="23" t="str">
        <f>IFERROR(__xludf.DUMMYFUNCTION("XLOOKUP(C1603, 
   IMPORTRANGE(""1RdEdgHYrZ33LJ7RUHj_h-qkAFL92bcVjtIdVa-UlsCw"", ""Interns!D:D""), 
   IMPORTRANGE(""1RdEdgHYrZ33LJ7RUHj_h-qkAFL92bcVjtIdVa-UlsCw"", ""Interns!M:M""), 
   ""Not Found"")"),"")</f>
        <v/>
      </c>
      <c r="AL1603" s="23" t="str">
        <f>IFERROR(__xludf.DUMMYFUNCTION("XLOOKUP(C1603, 
   IMPORTRANGE(""1RdEdgHYrZ33LJ7RUHj_h-qkAFL92bcVjtIdVa-UlsCw"", ""Interns!D:D""), 
   IMPORTRANGE(""1RdEdgHYrZ33LJ7RUHj_h-qkAFL92bcVjtIdVa-UlsCw"", ""Interns!N:N""), 
   ""Not Found"")"),"")</f>
        <v/>
      </c>
      <c r="AM1603" s="23" t="str">
        <f>IFERROR(__xludf.DUMMYFUNCTION("XLOOKUP(C1603, 
   IMPORTRANGE(""1RdEdgHYrZ33LJ7RUHj_h-qkAFL92bcVjtIdVa-UlsCw"", ""Interns!D:D""), 
   IMPORTRANGE(""1RdEdgHYrZ33LJ7RUHj_h-qkAFL92bcVjtIdVa-UlsCw"", ""Interns!O:O""), 
   ""Not Found"")"),"")</f>
        <v/>
      </c>
      <c r="AN1603" s="23"/>
      <c r="AO1603" s="23" t="s">
        <v>14876</v>
      </c>
      <c r="AP1603" s="28" t="s">
        <v>5182</v>
      </c>
      <c r="AQ1603" s="28"/>
      <c r="AR1603" s="23"/>
      <c r="AS1603" s="23"/>
      <c r="AT1603" s="23"/>
      <c r="AU1603" s="23"/>
      <c r="AV1603" s="23"/>
    </row>
    <row r="1604">
      <c r="A1604" s="28" t="s">
        <v>5202</v>
      </c>
      <c r="B1604" s="28" t="s">
        <v>5162</v>
      </c>
      <c r="C1604" s="23" t="str">
        <f t="shared" si="39"/>
        <v>khyia cobb</v>
      </c>
      <c r="D1604" s="28" t="s">
        <v>14877</v>
      </c>
      <c r="E1604" s="28" t="s">
        <v>14878</v>
      </c>
      <c r="F1604" s="23">
        <f t="array" ref="F1604">IFERROR(
    INDEX('Hub Interns 226'!A:A, MATCH(C1604, 'Hub Interns 226'!B:B, 0)),"")</f>
        <v>387</v>
      </c>
      <c r="G1604" s="23">
        <f t="array" ref="G1604">IFERROR(
    INDEX('Hub Users 226'!A:A, MATCH(C1604, 'Hub Users 226'!B:B, 0)),"")</f>
        <v>820</v>
      </c>
      <c r="H1604" s="28">
        <v>822.0</v>
      </c>
      <c r="I1604" s="28" t="s">
        <v>260</v>
      </c>
      <c r="J1604" s="28"/>
      <c r="K1604" s="28"/>
      <c r="L1604" s="28" t="s">
        <v>5196</v>
      </c>
      <c r="M1604" s="56" t="s">
        <v>14879</v>
      </c>
      <c r="N1604" s="57">
        <v>44572.40138888889</v>
      </c>
      <c r="O1604" s="58">
        <v>38365.0</v>
      </c>
      <c r="P1604" s="28">
        <f t="shared" si="41"/>
        <v>21</v>
      </c>
      <c r="Q1604" s="28" t="s">
        <v>240</v>
      </c>
      <c r="R1604" s="28" t="s">
        <v>14880</v>
      </c>
      <c r="S1604" s="28">
        <v>5.0</v>
      </c>
      <c r="T1604" s="28">
        <v>14.0</v>
      </c>
      <c r="U1604" s="28">
        <v>29.0</v>
      </c>
      <c r="V1604" s="28">
        <v>31.0</v>
      </c>
      <c r="W1604" s="28" t="s">
        <v>1173</v>
      </c>
      <c r="X1604" s="28" t="s">
        <v>272</v>
      </c>
      <c r="Y1604" s="28" t="s">
        <v>14881</v>
      </c>
      <c r="Z1604" s="28" t="s">
        <v>5332</v>
      </c>
      <c r="AA1604" s="28" t="s">
        <v>421</v>
      </c>
      <c r="AB1604" s="28">
        <v>31.0</v>
      </c>
      <c r="AC1604" s="28" t="s">
        <v>24</v>
      </c>
      <c r="AD1604" s="23"/>
      <c r="AE1604" s="28" t="s">
        <v>10</v>
      </c>
      <c r="AF1604" s="23"/>
      <c r="AG1604" s="23"/>
      <c r="AH1604" s="23" t="str">
        <f>IFERROR(__xludf.DUMMYFUNCTION("IF(
ISNUMBER(MATCH(
C1604,
IMPORTRANGE(""https://docs.google.com/spreadsheets/d/1yTh1ELC33JHYOeEdgIiEclxPRyh0zOKtlawDltfUay8"",""'Interns'!A:A""),
0
)),
""Outreach Conducted"",
"""")"),"")</f>
        <v/>
      </c>
      <c r="AI1604" s="23"/>
      <c r="AJ1604" s="23"/>
      <c r="AK1604" s="23" t="str">
        <f>IFERROR(__xludf.DUMMYFUNCTION("XLOOKUP(C1604, 
   IMPORTRANGE(""1RdEdgHYrZ33LJ7RUHj_h-qkAFL92bcVjtIdVa-UlsCw"", ""Interns!D:D""), 
   IMPORTRANGE(""1RdEdgHYrZ33LJ7RUHj_h-qkAFL92bcVjtIdVa-UlsCw"", ""Interns!M:M""), 
   ""Not Found"")"),"")</f>
        <v/>
      </c>
      <c r="AL1604" s="23" t="str">
        <f>IFERROR(__xludf.DUMMYFUNCTION("XLOOKUP(C1604, 
   IMPORTRANGE(""1RdEdgHYrZ33LJ7RUHj_h-qkAFL92bcVjtIdVa-UlsCw"", ""Interns!D:D""), 
   IMPORTRANGE(""1RdEdgHYrZ33LJ7RUHj_h-qkAFL92bcVjtIdVa-UlsCw"", ""Interns!N:N""), 
   ""Not Found"")"),"")</f>
        <v/>
      </c>
      <c r="AM1604" s="23" t="str">
        <f>IFERROR(__xludf.DUMMYFUNCTION("XLOOKUP(C1604, 
   IMPORTRANGE(""1RdEdgHYrZ33LJ7RUHj_h-qkAFL92bcVjtIdVa-UlsCw"", ""Interns!D:D""), 
   IMPORTRANGE(""1RdEdgHYrZ33LJ7RUHj_h-qkAFL92bcVjtIdVa-UlsCw"", ""Interns!O:O""), 
   ""Not Found"")"),"")</f>
        <v/>
      </c>
      <c r="AN1604" s="23"/>
      <c r="AO1604" s="23" t="s">
        <v>14882</v>
      </c>
      <c r="AP1604" s="28" t="s">
        <v>5182</v>
      </c>
      <c r="AQ1604" s="28"/>
      <c r="AR1604" s="23"/>
      <c r="AS1604" s="23"/>
      <c r="AT1604" s="23"/>
      <c r="AU1604" s="23"/>
      <c r="AV1604" s="23"/>
    </row>
    <row r="1605">
      <c r="A1605" s="28" t="s">
        <v>5202</v>
      </c>
      <c r="B1605" s="28" t="s">
        <v>5162</v>
      </c>
      <c r="C1605" s="23" t="str">
        <f t="shared" si="39"/>
        <v>Rue Alvarez</v>
      </c>
      <c r="D1605" s="28" t="s">
        <v>14883</v>
      </c>
      <c r="E1605" s="28" t="s">
        <v>9224</v>
      </c>
      <c r="F1605" s="23">
        <f t="array" ref="F1605">IFERROR(
    INDEX('Hub Interns 226'!A:A, MATCH(C1605, 'Hub Interns 226'!B:B, 0)),"")</f>
        <v>914</v>
      </c>
      <c r="G1605" s="23">
        <f t="array" ref="G1605">IFERROR(
    INDEX('Hub Users 226'!A:A, MATCH(C1605, 'Hub Users 226'!B:B, 0)),"")</f>
        <v>1347</v>
      </c>
      <c r="H1605" s="28">
        <v>862.0</v>
      </c>
      <c r="I1605" s="28" t="s">
        <v>260</v>
      </c>
      <c r="J1605" s="28"/>
      <c r="K1605" s="28"/>
      <c r="L1605" s="28" t="s">
        <v>5196</v>
      </c>
      <c r="M1605" s="56" t="s">
        <v>14884</v>
      </c>
      <c r="N1605" s="57">
        <v>44595.4</v>
      </c>
      <c r="O1605" s="58">
        <v>38027.0</v>
      </c>
      <c r="P1605" s="28">
        <f t="shared" si="41"/>
        <v>22</v>
      </c>
      <c r="Q1605" s="28" t="s">
        <v>240</v>
      </c>
      <c r="R1605" s="28" t="s">
        <v>14885</v>
      </c>
      <c r="S1605" s="28">
        <v>5.0</v>
      </c>
      <c r="T1605" s="28">
        <v>14.0</v>
      </c>
      <c r="U1605" s="28">
        <v>29.0</v>
      </c>
      <c r="V1605" s="28">
        <v>31.0</v>
      </c>
      <c r="W1605" s="28" t="s">
        <v>1173</v>
      </c>
      <c r="X1605" s="28" t="s">
        <v>272</v>
      </c>
      <c r="Y1605" s="28" t="s">
        <v>14886</v>
      </c>
      <c r="Z1605" s="28" t="s">
        <v>5332</v>
      </c>
      <c r="AA1605" s="28" t="s">
        <v>421</v>
      </c>
      <c r="AB1605" s="28">
        <v>31.0</v>
      </c>
      <c r="AC1605" s="28" t="s">
        <v>24</v>
      </c>
      <c r="AD1605" s="23"/>
      <c r="AE1605" s="28" t="s">
        <v>10</v>
      </c>
      <c r="AF1605" s="23"/>
      <c r="AG1605" s="23"/>
      <c r="AH1605" s="23" t="str">
        <f>IFERROR(__xludf.DUMMYFUNCTION("IF(
ISNUMBER(MATCH(
C1605,
IMPORTRANGE(""https://docs.google.com/spreadsheets/d/1yTh1ELC33JHYOeEdgIiEclxPRyh0zOKtlawDltfUay8"",""'Interns'!A:A""),
0
)),
""Outreach Conducted"",
"""")"),"")</f>
        <v/>
      </c>
      <c r="AI1605" s="23"/>
      <c r="AJ1605" s="23"/>
      <c r="AK1605" s="23" t="str">
        <f>IFERROR(__xludf.DUMMYFUNCTION("XLOOKUP(C1605, 
   IMPORTRANGE(""1RdEdgHYrZ33LJ7RUHj_h-qkAFL92bcVjtIdVa-UlsCw"", ""Interns!D:D""), 
   IMPORTRANGE(""1RdEdgHYrZ33LJ7RUHj_h-qkAFL92bcVjtIdVa-UlsCw"", ""Interns!M:M""), 
   ""Not Found"")"),"")</f>
        <v/>
      </c>
      <c r="AL1605" s="23" t="str">
        <f>IFERROR(__xludf.DUMMYFUNCTION("XLOOKUP(C1605, 
   IMPORTRANGE(""1RdEdgHYrZ33LJ7RUHj_h-qkAFL92bcVjtIdVa-UlsCw"", ""Interns!D:D""), 
   IMPORTRANGE(""1RdEdgHYrZ33LJ7RUHj_h-qkAFL92bcVjtIdVa-UlsCw"", ""Interns!N:N""), 
   ""Not Found"")"),"")</f>
        <v/>
      </c>
      <c r="AM1605" s="23" t="str">
        <f>IFERROR(__xludf.DUMMYFUNCTION("XLOOKUP(C1605, 
   IMPORTRANGE(""1RdEdgHYrZ33LJ7RUHj_h-qkAFL92bcVjtIdVa-UlsCw"", ""Interns!D:D""), 
   IMPORTRANGE(""1RdEdgHYrZ33LJ7RUHj_h-qkAFL92bcVjtIdVa-UlsCw"", ""Interns!O:O""), 
   ""Not Found"")"),"")</f>
        <v/>
      </c>
      <c r="AN1605" s="23"/>
      <c r="AO1605" s="23" t="s">
        <v>14887</v>
      </c>
      <c r="AP1605" s="28" t="s">
        <v>5182</v>
      </c>
      <c r="AQ1605" s="28"/>
      <c r="AR1605" s="23"/>
      <c r="AS1605" s="23"/>
      <c r="AT1605" s="23"/>
      <c r="AU1605" s="23"/>
      <c r="AV1605" s="23"/>
    </row>
    <row r="1606">
      <c r="A1606" s="28" t="s">
        <v>5202</v>
      </c>
      <c r="B1606" s="28" t="s">
        <v>5162</v>
      </c>
      <c r="C1606" s="23" t="str">
        <f t="shared" si="39"/>
        <v>Amoi Nelson</v>
      </c>
      <c r="D1606" s="28" t="s">
        <v>14888</v>
      </c>
      <c r="E1606" s="28" t="s">
        <v>9255</v>
      </c>
      <c r="F1606" s="23">
        <f t="array" ref="F1606">IFERROR(
    INDEX('Hub Interns 226'!A:A, MATCH(C1606, 'Hub Interns 226'!B:B, 0)),"")</f>
        <v>212</v>
      </c>
      <c r="G1606" s="23">
        <f t="array" ref="G1606">IFERROR(
    INDEX('Hub Users 226'!A:A, MATCH(C1606, 'Hub Users 226'!B:B, 0)),"")</f>
        <v>645</v>
      </c>
      <c r="H1606" s="28">
        <v>818.0</v>
      </c>
      <c r="I1606" s="28" t="s">
        <v>260</v>
      </c>
      <c r="J1606" s="28"/>
      <c r="K1606" s="28"/>
      <c r="L1606" s="28" t="s">
        <v>5196</v>
      </c>
      <c r="M1606" s="56" t="s">
        <v>14889</v>
      </c>
      <c r="N1606" s="57">
        <v>44572.39513888889</v>
      </c>
      <c r="O1606" s="58">
        <v>38444.0</v>
      </c>
      <c r="P1606" s="28">
        <f t="shared" si="41"/>
        <v>21</v>
      </c>
      <c r="Q1606" s="28" t="s">
        <v>240</v>
      </c>
      <c r="R1606" s="28" t="s">
        <v>14890</v>
      </c>
      <c r="S1606" s="28">
        <v>5.0</v>
      </c>
      <c r="T1606" s="28">
        <v>14.0</v>
      </c>
      <c r="U1606" s="28">
        <v>29.0</v>
      </c>
      <c r="V1606" s="28">
        <v>31.0</v>
      </c>
      <c r="W1606" s="28" t="s">
        <v>1173</v>
      </c>
      <c r="X1606" s="28" t="s">
        <v>272</v>
      </c>
      <c r="Y1606" s="28" t="s">
        <v>14891</v>
      </c>
      <c r="Z1606" s="28" t="s">
        <v>5332</v>
      </c>
      <c r="AA1606" s="28" t="s">
        <v>421</v>
      </c>
      <c r="AB1606" s="28">
        <v>31.0</v>
      </c>
      <c r="AC1606" s="28" t="s">
        <v>24</v>
      </c>
      <c r="AD1606" s="23"/>
      <c r="AE1606" s="28" t="s">
        <v>10</v>
      </c>
      <c r="AF1606" s="23"/>
      <c r="AG1606" s="23"/>
      <c r="AH1606" s="23" t="str">
        <f>IFERROR(__xludf.DUMMYFUNCTION("IF(
ISNUMBER(MATCH(
C1606,
IMPORTRANGE(""https://docs.google.com/spreadsheets/d/1yTh1ELC33JHYOeEdgIiEclxPRyh0zOKtlawDltfUay8"",""'Interns'!A:A""),
0
)),
""Outreach Conducted"",
"""")"),"")</f>
        <v/>
      </c>
      <c r="AI1606" s="23"/>
      <c r="AJ1606" s="23"/>
      <c r="AK1606" s="23" t="str">
        <f>IFERROR(__xludf.DUMMYFUNCTION("XLOOKUP(C1606, 
   IMPORTRANGE(""1RdEdgHYrZ33LJ7RUHj_h-qkAFL92bcVjtIdVa-UlsCw"", ""Interns!D:D""), 
   IMPORTRANGE(""1RdEdgHYrZ33LJ7RUHj_h-qkAFL92bcVjtIdVa-UlsCw"", ""Interns!M:M""), 
   ""Not Found"")"),"")</f>
        <v/>
      </c>
      <c r="AL1606" s="23" t="str">
        <f>IFERROR(__xludf.DUMMYFUNCTION("XLOOKUP(C1606, 
   IMPORTRANGE(""1RdEdgHYrZ33LJ7RUHj_h-qkAFL92bcVjtIdVa-UlsCw"", ""Interns!D:D""), 
   IMPORTRANGE(""1RdEdgHYrZ33LJ7RUHj_h-qkAFL92bcVjtIdVa-UlsCw"", ""Interns!N:N""), 
   ""Not Found"")"),"")</f>
        <v/>
      </c>
      <c r="AM1606" s="23" t="str">
        <f>IFERROR(__xludf.DUMMYFUNCTION("XLOOKUP(C1606, 
   IMPORTRANGE(""1RdEdgHYrZ33LJ7RUHj_h-qkAFL92bcVjtIdVa-UlsCw"", ""Interns!D:D""), 
   IMPORTRANGE(""1RdEdgHYrZ33LJ7RUHj_h-qkAFL92bcVjtIdVa-UlsCw"", ""Interns!O:O""), 
   ""Not Found"")"),"")</f>
        <v/>
      </c>
      <c r="AN1606" s="23"/>
      <c r="AO1606" s="23" t="s">
        <v>14892</v>
      </c>
      <c r="AP1606" s="28" t="s">
        <v>5182</v>
      </c>
      <c r="AQ1606" s="28"/>
      <c r="AR1606" s="23"/>
      <c r="AS1606" s="23"/>
      <c r="AT1606" s="23"/>
      <c r="AU1606" s="23"/>
      <c r="AV1606" s="23"/>
    </row>
    <row r="1607">
      <c r="A1607" s="28" t="s">
        <v>5161</v>
      </c>
      <c r="B1607" s="28" t="s">
        <v>5162</v>
      </c>
      <c r="C1607" s="23" t="str">
        <f t="shared" si="39"/>
        <v>Ryan Chabbi</v>
      </c>
      <c r="D1607" s="28" t="s">
        <v>4361</v>
      </c>
      <c r="E1607" s="28" t="s">
        <v>14893</v>
      </c>
      <c r="F1607" s="23">
        <f t="array" ref="F1607">IFERROR(
    INDEX('Hub Interns 226'!A:A, MATCH(C1607, 'Hub Interns 226'!B:B, 0)),"")</f>
        <v>1605</v>
      </c>
      <c r="G1607" s="23">
        <f t="array" ref="G1607">IFERROR(
    INDEX('Hub Users 226'!A:A, MATCH(C1607, 'Hub Users 226'!B:B, 0)),"")</f>
        <v>2217</v>
      </c>
      <c r="H1607" s="28">
        <v>1878.0</v>
      </c>
      <c r="I1607" s="28"/>
      <c r="J1607" s="28"/>
      <c r="K1607" s="28"/>
      <c r="L1607" s="28" t="s">
        <v>5165</v>
      </c>
      <c r="M1607" s="56" t="s">
        <v>14894</v>
      </c>
      <c r="N1607" s="62">
        <v>45692.58888888889</v>
      </c>
      <c r="O1607" s="58">
        <v>45692.0</v>
      </c>
      <c r="P1607" s="28">
        <f t="shared" si="41"/>
        <v>1</v>
      </c>
      <c r="Q1607" s="23"/>
      <c r="R1607" s="28" t="s">
        <v>14895</v>
      </c>
      <c r="S1607" s="28">
        <v>13.0</v>
      </c>
      <c r="T1607" s="28">
        <v>30.0</v>
      </c>
      <c r="U1607" s="28">
        <v>71.0</v>
      </c>
      <c r="V1607" s="28">
        <v>7.0</v>
      </c>
      <c r="W1607" s="28" t="s">
        <v>271</v>
      </c>
      <c r="X1607" s="28" t="s">
        <v>272</v>
      </c>
      <c r="Y1607" s="23"/>
      <c r="Z1607" s="28" t="s">
        <v>5853</v>
      </c>
      <c r="AA1607" s="28" t="s">
        <v>704</v>
      </c>
      <c r="AB1607" s="28">
        <v>2.0</v>
      </c>
      <c r="AC1607" s="28" t="s">
        <v>25</v>
      </c>
      <c r="AD1607" s="23"/>
      <c r="AE1607" s="28" t="s">
        <v>19</v>
      </c>
      <c r="AF1607" s="23" t="str">
        <f>IFERROR(__xludf.DUMMYFUNCTION("TEXTJOIN("", "", TRUE,
  FILTER(Champions!C:C,
    ISNUMBER(SEARCH(C1607, Champions!W:W))
  )
)"),"#N/A")</f>
        <v>#N/A</v>
      </c>
      <c r="AG1607" s="23"/>
      <c r="AH1607" s="23" t="str">
        <f>IFERROR(__xludf.DUMMYFUNCTION("IF(
ISNUMBER(MATCH(
C1607,
IMPORTRANGE(""https://docs.google.com/spreadsheets/d/1yTh1ELC33JHYOeEdgIiEclxPRyh0zOKtlawDltfUay8"",""'Interns'!A:A""),
0
)),
""Outreach Conducted"",
"""")"),"")</f>
        <v/>
      </c>
      <c r="AI1607" s="23"/>
      <c r="AJ1607" s="23"/>
      <c r="AK1607" s="23" t="str">
        <f>IFERROR(__xludf.DUMMYFUNCTION("XLOOKUP(C1607, 
   IMPORTRANGE(""1RdEdgHYrZ33LJ7RUHj_h-qkAFL92bcVjtIdVa-UlsCw"", ""Interns!D:D""), 
   IMPORTRANGE(""1RdEdgHYrZ33LJ7RUHj_h-qkAFL92bcVjtIdVa-UlsCw"", ""Interns!M:M""), 
   ""Not Found"")"),"Contacted")</f>
        <v>Contacted</v>
      </c>
      <c r="AL1607" s="23" t="str">
        <f>IFERROR(__xludf.DUMMYFUNCTION("XLOOKUP(C1607, 
   IMPORTRANGE(""1RdEdgHYrZ33LJ7RUHj_h-qkAFL92bcVjtIdVa-UlsCw"", ""Interns!D:D""), 
   IMPORTRANGE(""1RdEdgHYrZ33LJ7RUHj_h-qkAFL92bcVjtIdVa-UlsCw"", ""Interns!N:N""), 
   ""Not Found"")"),"#Cheers4Careers")</f>
        <v>#Cheers4Careers</v>
      </c>
      <c r="AM1607" s="23" t="str">
        <f>IFERROR(__xludf.DUMMYFUNCTION("XLOOKUP(C1607, 
   IMPORTRANGE(""1RdEdgHYrZ33LJ7RUHj_h-qkAFL92bcVjtIdVa-UlsCw"", ""Interns!D:D""), 
   IMPORTRANGE(""1RdEdgHYrZ33LJ7RUHj_h-qkAFL92bcVjtIdVa-UlsCw"", ""Interns!O:O""), 
   ""Not Found"")"),"Ousmane reached out by email 3/26 ")</f>
        <v>Ousmane reached out by email 3/26 </v>
      </c>
      <c r="AN1607" s="23"/>
      <c r="AO1607" s="23" t="s">
        <v>14896</v>
      </c>
      <c r="AP1607" s="28" t="s">
        <v>5191</v>
      </c>
      <c r="AQ1607" s="28" t="s">
        <v>14894</v>
      </c>
      <c r="AR1607" s="23" t="s">
        <v>14897</v>
      </c>
      <c r="AS1607" s="23"/>
      <c r="AT1607" s="23"/>
      <c r="AU1607" s="23"/>
      <c r="AV1607" s="23"/>
    </row>
    <row r="1608">
      <c r="A1608" s="28" t="s">
        <v>5161</v>
      </c>
      <c r="B1608" s="28" t="s">
        <v>5162</v>
      </c>
      <c r="C1608" s="23" t="str">
        <f t="shared" si="39"/>
        <v>Rachel Rodriguez</v>
      </c>
      <c r="D1608" s="28" t="s">
        <v>2881</v>
      </c>
      <c r="E1608" s="28" t="s">
        <v>536</v>
      </c>
      <c r="F1608" s="23">
        <f t="array" ref="F1608">IFERROR(
    INDEX('Hub Interns 226'!A:A, MATCH(C1608, 'Hub Interns 226'!B:B, 0)),"")</f>
        <v>1006</v>
      </c>
      <c r="G1608" s="23">
        <f t="array" ref="G1608">IFERROR(
    INDEX('Hub Users 226'!A:A, MATCH(C1608, 'Hub Users 226'!B:B, 0)),"")</f>
        <v>1439</v>
      </c>
      <c r="H1608" s="28">
        <v>1321.0</v>
      </c>
      <c r="I1608" s="28" t="s">
        <v>425</v>
      </c>
      <c r="J1608" s="28"/>
      <c r="K1608" s="28"/>
      <c r="L1608" s="28" t="s">
        <v>5196</v>
      </c>
      <c r="M1608" s="56" t="s">
        <v>14898</v>
      </c>
      <c r="N1608" s="59">
        <v>44851.69652777778</v>
      </c>
      <c r="O1608" s="58">
        <v>39968.0</v>
      </c>
      <c r="P1608" s="28">
        <f t="shared" si="41"/>
        <v>16</v>
      </c>
      <c r="Q1608" s="28" t="s">
        <v>14899</v>
      </c>
      <c r="R1608" s="28" t="s">
        <v>14900</v>
      </c>
      <c r="S1608" s="28">
        <v>6.0</v>
      </c>
      <c r="T1608" s="28">
        <v>13.0</v>
      </c>
      <c r="U1608" s="28">
        <v>35.0</v>
      </c>
      <c r="V1608" s="28">
        <v>21.0</v>
      </c>
      <c r="W1608" s="28" t="s">
        <v>1173</v>
      </c>
      <c r="X1608" s="28" t="s">
        <v>272</v>
      </c>
      <c r="Y1608" s="28" t="s">
        <v>14901</v>
      </c>
      <c r="Z1608" s="28" t="s">
        <v>5403</v>
      </c>
      <c r="AA1608" s="28" t="s">
        <v>5404</v>
      </c>
      <c r="AB1608" s="28">
        <v>21.0</v>
      </c>
      <c r="AC1608" s="28" t="s">
        <v>23</v>
      </c>
      <c r="AD1608" s="23"/>
      <c r="AE1608" s="28" t="s">
        <v>15</v>
      </c>
      <c r="AF1608" s="23"/>
      <c r="AG1608" s="23"/>
      <c r="AH1608" s="23" t="str">
        <f>IFERROR(__xludf.DUMMYFUNCTION("IF(
ISNUMBER(MATCH(
C1608,
IMPORTRANGE(""https://docs.google.com/spreadsheets/d/1yTh1ELC33JHYOeEdgIiEclxPRyh0zOKtlawDltfUay8"",""'Interns'!A:A""),
0
)),
""Outreach Conducted"",
"""")"),"")</f>
        <v/>
      </c>
      <c r="AI1608" s="23"/>
      <c r="AJ1608" s="23"/>
      <c r="AK1608" s="23" t="str">
        <f>IFERROR(__xludf.DUMMYFUNCTION("XLOOKUP(C1608, 
   IMPORTRANGE(""1RdEdgHYrZ33LJ7RUHj_h-qkAFL92bcVjtIdVa-UlsCw"", ""Interns!D:D""), 
   IMPORTRANGE(""1RdEdgHYrZ33LJ7RUHj_h-qkAFL92bcVjtIdVa-UlsCw"", ""Interns!M:M""), 
   ""Not Found"")"),"Contacted")</f>
        <v>Contacted</v>
      </c>
      <c r="AL1608" s="23" t="str">
        <f>IFERROR(__xludf.DUMMYFUNCTION("XLOOKUP(C1608, 
   IMPORTRANGE(""1RdEdgHYrZ33LJ7RUHj_h-qkAFL92bcVjtIdVa-UlsCw"", ""Interns!D:D""), 
   IMPORTRANGE(""1RdEdgHYrZ33LJ7RUHj_h-qkAFL92bcVjtIdVa-UlsCw"", ""Interns!N:N""), 
   ""Not Found"")"),"#Cheers4Careers")</f>
        <v>#Cheers4Careers</v>
      </c>
      <c r="AM1608" s="23" t="str">
        <f>IFERROR(__xludf.DUMMYFUNCTION("XLOOKUP(C1608,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608" s="23"/>
      <c r="AO1608" s="23" t="s">
        <v>14902</v>
      </c>
      <c r="AP1608" s="28" t="s">
        <v>5182</v>
      </c>
      <c r="AQ1608" s="28"/>
      <c r="AR1608" s="23"/>
      <c r="AS1608" s="23"/>
      <c r="AT1608" s="23"/>
      <c r="AU1608" s="23"/>
      <c r="AV1608" s="23"/>
    </row>
    <row r="1609">
      <c r="A1609" s="28" t="s">
        <v>5161</v>
      </c>
      <c r="B1609" s="28" t="s">
        <v>5162</v>
      </c>
      <c r="C1609" s="23" t="str">
        <f t="shared" si="39"/>
        <v>Aimee Jimbo</v>
      </c>
      <c r="D1609" s="28" t="s">
        <v>10991</v>
      </c>
      <c r="E1609" s="28" t="s">
        <v>14903</v>
      </c>
      <c r="F1609" s="23">
        <f t="array" ref="F1609">IFERROR(
    INDEX('Hub Interns 226'!A:A, MATCH(C1609, 'Hub Interns 226'!B:B, 0)),"")</f>
        <v>163</v>
      </c>
      <c r="G1609" s="23">
        <f t="array" ref="G1609">IFERROR(
    INDEX('Hub Users 226'!A:A, MATCH(C1609, 'Hub Users 226'!B:B, 0)),"")</f>
        <v>596</v>
      </c>
      <c r="H1609" s="28">
        <v>1221.0</v>
      </c>
      <c r="I1609" s="28" t="s">
        <v>260</v>
      </c>
      <c r="J1609" s="28"/>
      <c r="K1609" s="28"/>
      <c r="L1609" s="28" t="s">
        <v>5196</v>
      </c>
      <c r="M1609" s="56" t="s">
        <v>14904</v>
      </c>
      <c r="N1609" s="57">
        <v>44837.486805555556</v>
      </c>
      <c r="O1609" s="58">
        <v>39850.0</v>
      </c>
      <c r="P1609" s="28">
        <f t="shared" si="41"/>
        <v>17</v>
      </c>
      <c r="Q1609" s="28" t="s">
        <v>240</v>
      </c>
      <c r="R1609" s="28" t="s">
        <v>14905</v>
      </c>
      <c r="S1609" s="28">
        <v>7.0</v>
      </c>
      <c r="T1609" s="28">
        <v>12.0</v>
      </c>
      <c r="U1609" s="28">
        <v>30.0</v>
      </c>
      <c r="V1609" s="28">
        <v>26.0</v>
      </c>
      <c r="W1609" s="28" t="s">
        <v>1173</v>
      </c>
      <c r="X1609" s="28" t="s">
        <v>272</v>
      </c>
      <c r="Y1609" s="28" t="s">
        <v>5169</v>
      </c>
      <c r="Z1609" s="28" t="s">
        <v>5170</v>
      </c>
      <c r="AA1609" s="28" t="s">
        <v>5171</v>
      </c>
      <c r="AB1609" s="28">
        <v>30.0</v>
      </c>
      <c r="AC1609" s="28" t="s">
        <v>23</v>
      </c>
      <c r="AD1609" s="23"/>
      <c r="AE1609" s="28" t="s">
        <v>15</v>
      </c>
      <c r="AF1609" s="23"/>
      <c r="AG1609" s="23"/>
      <c r="AH1609" s="23" t="str">
        <f>IFERROR(__xludf.DUMMYFUNCTION("IF(
ISNUMBER(MATCH(
C1609,
IMPORTRANGE(""https://docs.google.com/spreadsheets/d/1yTh1ELC33JHYOeEdgIiEclxPRyh0zOKtlawDltfUay8"",""'Interns'!A:A""),
0
)),
""Outreach Conducted"",
"""")"),"")</f>
        <v/>
      </c>
      <c r="AI1609" s="23"/>
      <c r="AJ1609" s="23"/>
      <c r="AK1609" s="23" t="str">
        <f>IFERROR(__xludf.DUMMYFUNCTION("XLOOKUP(C1609, 
   IMPORTRANGE(""1RdEdgHYrZ33LJ7RUHj_h-qkAFL92bcVjtIdVa-UlsCw"", ""Interns!D:D""), 
   IMPORTRANGE(""1RdEdgHYrZ33LJ7RUHj_h-qkAFL92bcVjtIdVa-UlsCw"", ""Interns!M:M""), 
   ""Not Found"")"),"Contacted")</f>
        <v>Contacted</v>
      </c>
      <c r="AL1609" s="23" t="str">
        <f>IFERROR(__xludf.DUMMYFUNCTION("XLOOKUP(C1609, 
   IMPORTRANGE(""1RdEdgHYrZ33LJ7RUHj_h-qkAFL92bcVjtIdVa-UlsCw"", ""Interns!D:D""), 
   IMPORTRANGE(""1RdEdgHYrZ33LJ7RUHj_h-qkAFL92bcVjtIdVa-UlsCw"", ""Interns!N:N""), 
   ""Not Found"")"),"#Cheers4Careers")</f>
        <v>#Cheers4Careers</v>
      </c>
      <c r="AM1609" s="23" t="str">
        <f>IFERROR(__xludf.DUMMYFUNCTION("XLOOKUP(C1609, 
   IMPORTRANGE(""1RdEdgHYrZ33LJ7RUHj_h-qkAFL92bcVjtIdVa-UlsCw"", ""Interns!D:D""), 
   IMPORTRANGE(""1RdEdgHYrZ33LJ7RUHj_h-qkAFL92bcVjtIdVa-UlsCw"", ""Interns!O:O""), 
   ""Not Found"")"),"Hetal reached out March 27 for March #Cheers4 Careers ")</f>
        <v>Hetal reached out March 27 for March #Cheers4 Careers </v>
      </c>
      <c r="AN1609" s="23"/>
      <c r="AO1609" s="23" t="s">
        <v>14906</v>
      </c>
      <c r="AP1609" s="28" t="s">
        <v>5182</v>
      </c>
      <c r="AQ1609" s="28"/>
      <c r="AR1609" s="23"/>
      <c r="AS1609" s="23"/>
      <c r="AT1609" s="23"/>
      <c r="AU1609" s="23"/>
      <c r="AV1609" s="23"/>
    </row>
    <row r="1610">
      <c r="A1610" s="28" t="s">
        <v>5161</v>
      </c>
      <c r="B1610" s="28" t="s">
        <v>5162</v>
      </c>
      <c r="C1610" s="23" t="str">
        <f t="shared" si="39"/>
        <v>Juan Lozano</v>
      </c>
      <c r="D1610" s="28" t="s">
        <v>5764</v>
      </c>
      <c r="E1610" s="28" t="s">
        <v>6859</v>
      </c>
      <c r="F1610" s="23">
        <f t="array" ref="F1610">IFERROR(
    INDEX('Hub Interns 226'!A:A, MATCH(C1610, 'Hub Interns 226'!B:B, 0)),"")</f>
        <v>22</v>
      </c>
      <c r="G1610" s="23">
        <f t="array" ref="G1610">IFERROR(
    INDEX('Hub Users 226'!A:A, MATCH(C1610, 'Hub Users 226'!B:B, 0)),"")</f>
        <v>455</v>
      </c>
      <c r="H1610" s="28">
        <v>450.0</v>
      </c>
      <c r="I1610" s="28"/>
      <c r="J1610" s="28"/>
      <c r="K1610" s="28"/>
      <c r="L1610" s="28" t="s">
        <v>5165</v>
      </c>
      <c r="M1610" s="56" t="s">
        <v>14907</v>
      </c>
      <c r="N1610" s="57">
        <v>44355.5375</v>
      </c>
      <c r="O1610" s="58">
        <v>38472.0</v>
      </c>
      <c r="P1610" s="28">
        <f t="shared" si="41"/>
        <v>21</v>
      </c>
      <c r="Q1610" s="28" t="s">
        <v>240</v>
      </c>
      <c r="R1610" s="28" t="s">
        <v>14908</v>
      </c>
      <c r="S1610" s="28"/>
      <c r="T1610" s="28"/>
      <c r="U1610" s="28"/>
      <c r="V1610" s="28"/>
      <c r="W1610" s="28" t="s">
        <v>12324</v>
      </c>
      <c r="X1610" s="28" t="s">
        <v>465</v>
      </c>
      <c r="Y1610" s="28" t="s">
        <v>14909</v>
      </c>
      <c r="Z1610" s="28" t="s">
        <v>12326</v>
      </c>
      <c r="AA1610" s="28" t="s">
        <v>12327</v>
      </c>
      <c r="AB1610" s="28" t="s">
        <v>12328</v>
      </c>
      <c r="AC1610" s="28" t="s">
        <v>24</v>
      </c>
      <c r="AD1610" s="23"/>
      <c r="AE1610" s="28" t="s">
        <v>10</v>
      </c>
      <c r="AF1610" s="23"/>
      <c r="AG1610" s="23"/>
      <c r="AH1610" s="23" t="str">
        <f>IFERROR(__xludf.DUMMYFUNCTION("IF(
ISNUMBER(MATCH(
C1610,
IMPORTRANGE(""https://docs.google.com/spreadsheets/d/1yTh1ELC33JHYOeEdgIiEclxPRyh0zOKtlawDltfUay8"",""'Interns'!A:A""),
0
)),
""Outreach Conducted"",
"""")"),"")</f>
        <v/>
      </c>
      <c r="AI1610" s="23"/>
      <c r="AJ1610" s="23"/>
      <c r="AK1610" s="23" t="str">
        <f>IFERROR(__xludf.DUMMYFUNCTION("XLOOKUP(C1610, 
   IMPORTRANGE(""1RdEdgHYrZ33LJ7RUHj_h-qkAFL92bcVjtIdVa-UlsCw"", ""Interns!D:D""), 
   IMPORTRANGE(""1RdEdgHYrZ33LJ7RUHj_h-qkAFL92bcVjtIdVa-UlsCw"", ""Interns!M:M""), 
   ""Not Found"")"),"")</f>
        <v/>
      </c>
      <c r="AL1610" s="23" t="str">
        <f>IFERROR(__xludf.DUMMYFUNCTION("XLOOKUP(C1610, 
   IMPORTRANGE(""1RdEdgHYrZ33LJ7RUHj_h-qkAFL92bcVjtIdVa-UlsCw"", ""Interns!D:D""), 
   IMPORTRANGE(""1RdEdgHYrZ33LJ7RUHj_h-qkAFL92bcVjtIdVa-UlsCw"", ""Interns!N:N""), 
   ""Not Found"")"),"")</f>
        <v/>
      </c>
      <c r="AM1610" s="23" t="str">
        <f>IFERROR(__xludf.DUMMYFUNCTION("XLOOKUP(C1610, 
   IMPORTRANGE(""1RdEdgHYrZ33LJ7RUHj_h-qkAFL92bcVjtIdVa-UlsCw"", ""Interns!D:D""), 
   IMPORTRANGE(""1RdEdgHYrZ33LJ7RUHj_h-qkAFL92bcVjtIdVa-UlsCw"", ""Interns!O:O""), 
   ""Not Found"")"),"")</f>
        <v/>
      </c>
      <c r="AN1610" s="23"/>
      <c r="AO1610" s="23" t="s">
        <v>14910</v>
      </c>
      <c r="AP1610" s="28" t="s">
        <v>5182</v>
      </c>
      <c r="AQ1610" s="28"/>
      <c r="AR1610" s="23"/>
      <c r="AS1610" s="23"/>
      <c r="AT1610" s="23"/>
      <c r="AU1610" s="23"/>
      <c r="AV1610" s="23"/>
    </row>
    <row r="1611">
      <c r="A1611" s="28" t="s">
        <v>5161</v>
      </c>
      <c r="B1611" s="28" t="s">
        <v>5162</v>
      </c>
      <c r="C1611" s="23" t="str">
        <f t="shared" si="39"/>
        <v>Navil Sheikh</v>
      </c>
      <c r="D1611" s="28" t="s">
        <v>14911</v>
      </c>
      <c r="E1611" s="28" t="s">
        <v>14912</v>
      </c>
      <c r="F1611" s="23">
        <f t="array" ref="F1611">IFERROR(
    INDEX('Hub Interns 226'!A:A, MATCH(C1611, 'Hub Interns 226'!B:B, 0)),"")</f>
        <v>952</v>
      </c>
      <c r="G1611" s="23">
        <f t="array" ref="G1611">IFERROR(
    INDEX('Hub Users 226'!A:A, MATCH(C1611, 'Hub Users 226'!B:B, 0)),"")</f>
        <v>1385</v>
      </c>
      <c r="H1611" s="28">
        <v>1036.0</v>
      </c>
      <c r="I1611" s="28"/>
      <c r="J1611" s="28"/>
      <c r="K1611" s="28"/>
      <c r="L1611" s="28" t="s">
        <v>5165</v>
      </c>
      <c r="M1611" s="56" t="s">
        <v>14913</v>
      </c>
      <c r="N1611" s="57">
        <v>44675.915972222225</v>
      </c>
      <c r="O1611" s="58">
        <v>39672.0</v>
      </c>
      <c r="P1611" s="28">
        <f t="shared" si="41"/>
        <v>17</v>
      </c>
      <c r="Q1611" s="28" t="s">
        <v>240</v>
      </c>
      <c r="R1611" s="28" t="s">
        <v>14914</v>
      </c>
      <c r="S1611" s="28">
        <v>6.0</v>
      </c>
      <c r="T1611" s="28">
        <v>12.0</v>
      </c>
      <c r="U1611" s="28">
        <v>30.0</v>
      </c>
      <c r="V1611" s="28">
        <v>26.0</v>
      </c>
      <c r="W1611" s="28" t="s">
        <v>1173</v>
      </c>
      <c r="X1611" s="28" t="s">
        <v>272</v>
      </c>
      <c r="Y1611" s="28" t="s">
        <v>14915</v>
      </c>
      <c r="Z1611" s="28" t="s">
        <v>5352</v>
      </c>
      <c r="AA1611" s="28" t="s">
        <v>5287</v>
      </c>
      <c r="AB1611" s="28">
        <v>26.0</v>
      </c>
      <c r="AC1611" s="28" t="s">
        <v>24</v>
      </c>
      <c r="AD1611" s="23"/>
      <c r="AE1611" s="28" t="s">
        <v>10</v>
      </c>
      <c r="AF1611" s="23"/>
      <c r="AG1611" s="23"/>
      <c r="AH1611" s="23" t="str">
        <f>IFERROR(__xludf.DUMMYFUNCTION("IF(
ISNUMBER(MATCH(
C1611,
IMPORTRANGE(""https://docs.google.com/spreadsheets/d/1yTh1ELC33JHYOeEdgIiEclxPRyh0zOKtlawDltfUay8"",""'Interns'!A:A""),
0
)),
""Outreach Conducted"",
"""")"),"")</f>
        <v/>
      </c>
      <c r="AI1611" s="23"/>
      <c r="AJ1611" s="23"/>
      <c r="AK1611" s="23" t="str">
        <f>IFERROR(__xludf.DUMMYFUNCTION("XLOOKUP(C1611, 
   IMPORTRANGE(""1RdEdgHYrZ33LJ7RUHj_h-qkAFL92bcVjtIdVa-UlsCw"", ""Interns!D:D""), 
   IMPORTRANGE(""1RdEdgHYrZ33LJ7RUHj_h-qkAFL92bcVjtIdVa-UlsCw"", ""Interns!M:M""), 
   ""Not Found"")"),"Contacted")</f>
        <v>Contacted</v>
      </c>
      <c r="AL1611" s="23" t="str">
        <f>IFERROR(__xludf.DUMMYFUNCTION("XLOOKUP(C1611, 
   IMPORTRANGE(""1RdEdgHYrZ33LJ7RUHj_h-qkAFL92bcVjtIdVa-UlsCw"", ""Interns!D:D""), 
   IMPORTRANGE(""1RdEdgHYrZ33LJ7RUHj_h-qkAFL92bcVjtIdVa-UlsCw"", ""Interns!N:N""), 
   ""Not Found"")"),"#Cheers4Careers")</f>
        <v>#Cheers4Careers</v>
      </c>
      <c r="AM1611" s="23" t="str">
        <f>IFERROR(__xludf.DUMMYFUNCTION("XLOOKUP(C1611, 
   IMPORTRANGE(""1RdEdgHYrZ33LJ7RUHj_h-qkAFL92bcVjtIdVa-UlsCw"", ""Interns!D:D""), 
   IMPORTRANGE(""1RdEdgHYrZ33LJ7RUHj_h-qkAFL92bcVjtIdVa-UlsCw"", ""Interns!O:O""), 
   ""Not Found"")"),"Hetal reached out by email 3/27 and whatsapp on 3/28
Hetal reached out on 4/10 by whatsapp for April 18th #Cheers4Careers")</f>
        <v>Hetal reached out by email 3/27 and whatsapp on 3/28
Hetal reached out on 4/10 by whatsapp for April 18th #Cheers4Careers</v>
      </c>
      <c r="AN1611" s="23"/>
      <c r="AO1611" s="23" t="s">
        <v>14916</v>
      </c>
      <c r="AP1611" s="28" t="s">
        <v>5182</v>
      </c>
      <c r="AQ1611" s="28"/>
      <c r="AR1611" s="23"/>
      <c r="AS1611" s="23"/>
      <c r="AT1611" s="23"/>
      <c r="AU1611" s="23"/>
      <c r="AV1611" s="23"/>
    </row>
    <row r="1612">
      <c r="A1612" s="28" t="s">
        <v>5202</v>
      </c>
      <c r="B1612" s="28" t="s">
        <v>5162</v>
      </c>
      <c r="C1612" s="23" t="str">
        <f t="shared" si="39"/>
        <v>Bryan Li</v>
      </c>
      <c r="D1612" s="28" t="s">
        <v>742</v>
      </c>
      <c r="E1612" s="28" t="s">
        <v>2714</v>
      </c>
      <c r="F1612" s="23">
        <f t="array" ref="F1612">IFERROR(
    INDEX('Hub Interns 226'!A:A, MATCH(C1612, 'Hub Interns 226'!B:B, 0)),"")</f>
        <v>759</v>
      </c>
      <c r="G1612" s="23">
        <f t="array" ref="G1612">IFERROR(
    INDEX('Hub Users 226'!A:A, MATCH(C1612, 'Hub Users 226'!B:B, 0)),"")</f>
        <v>1192</v>
      </c>
      <c r="H1612" s="28">
        <v>892.0</v>
      </c>
      <c r="I1612" s="28"/>
      <c r="J1612" s="28"/>
      <c r="K1612" s="28"/>
      <c r="L1612" s="28" t="s">
        <v>5165</v>
      </c>
      <c r="M1612" s="56" t="s">
        <v>14917</v>
      </c>
      <c r="N1612" s="57">
        <v>44601.53125</v>
      </c>
      <c r="O1612" s="58">
        <v>39059.0</v>
      </c>
      <c r="P1612" s="28">
        <f t="shared" si="41"/>
        <v>19</v>
      </c>
      <c r="Q1612" s="28" t="s">
        <v>14918</v>
      </c>
      <c r="R1612" s="28" t="s">
        <v>14919</v>
      </c>
      <c r="S1612" s="28">
        <v>6.0</v>
      </c>
      <c r="T1612" s="28">
        <v>16.0</v>
      </c>
      <c r="U1612" s="28">
        <v>40.0</v>
      </c>
      <c r="V1612" s="28">
        <v>20.0</v>
      </c>
      <c r="W1612" s="28" t="s">
        <v>1173</v>
      </c>
      <c r="X1612" s="28" t="s">
        <v>272</v>
      </c>
      <c r="Y1612" s="28" t="s">
        <v>14920</v>
      </c>
      <c r="Z1612" s="28" t="s">
        <v>5189</v>
      </c>
      <c r="AA1612" s="28" t="s">
        <v>619</v>
      </c>
      <c r="AB1612" s="28">
        <v>20.0</v>
      </c>
      <c r="AC1612" s="28" t="s">
        <v>24</v>
      </c>
      <c r="AD1612" s="23"/>
      <c r="AE1612" s="28" t="s">
        <v>10</v>
      </c>
      <c r="AF1612" s="23"/>
      <c r="AG1612" s="23"/>
      <c r="AH1612" s="23" t="str">
        <f>IFERROR(__xludf.DUMMYFUNCTION("IF(
ISNUMBER(MATCH(
C1612,
IMPORTRANGE(""https://docs.google.com/spreadsheets/d/1yTh1ELC33JHYOeEdgIiEclxPRyh0zOKtlawDltfUay8"",""'Interns'!A:A""),
0
)),
""Outreach Conducted"",
"""")"),"")</f>
        <v/>
      </c>
      <c r="AI1612" s="23"/>
      <c r="AJ1612" s="23"/>
      <c r="AK1612" s="23" t="str">
        <f>IFERROR(__xludf.DUMMYFUNCTION("XLOOKUP(C1612, 
   IMPORTRANGE(""1RdEdgHYrZ33LJ7RUHj_h-qkAFL92bcVjtIdVa-UlsCw"", ""Interns!D:D""), 
   IMPORTRANGE(""1RdEdgHYrZ33LJ7RUHj_h-qkAFL92bcVjtIdVa-UlsCw"", ""Interns!M:M""), 
   ""Not Found"")"),"")</f>
        <v/>
      </c>
      <c r="AL1612" s="23" t="str">
        <f>IFERROR(__xludf.DUMMYFUNCTION("XLOOKUP(C1612, 
   IMPORTRANGE(""1RdEdgHYrZ33LJ7RUHj_h-qkAFL92bcVjtIdVa-UlsCw"", ""Interns!D:D""), 
   IMPORTRANGE(""1RdEdgHYrZ33LJ7RUHj_h-qkAFL92bcVjtIdVa-UlsCw"", ""Interns!N:N""), 
   ""Not Found"")"),"")</f>
        <v/>
      </c>
      <c r="AM1612" s="23" t="str">
        <f>IFERROR(__xludf.DUMMYFUNCTION("XLOOKUP(C1612, 
   IMPORTRANGE(""1RdEdgHYrZ33LJ7RUHj_h-qkAFL92bcVjtIdVa-UlsCw"", ""Interns!D:D""), 
   IMPORTRANGE(""1RdEdgHYrZ33LJ7RUHj_h-qkAFL92bcVjtIdVa-UlsCw"", ""Interns!O:O""), 
   ""Not Found"")"),"")</f>
        <v/>
      </c>
      <c r="AN1612" s="23"/>
      <c r="AO1612" s="23" t="s">
        <v>14921</v>
      </c>
      <c r="AP1612" s="28" t="s">
        <v>5182</v>
      </c>
      <c r="AQ1612" s="28"/>
      <c r="AR1612" s="23"/>
      <c r="AS1612" s="23"/>
      <c r="AT1612" s="23"/>
      <c r="AU1612" s="23"/>
      <c r="AV1612" s="23"/>
    </row>
    <row r="1613">
      <c r="A1613" s="28" t="s">
        <v>5161</v>
      </c>
      <c r="B1613" s="28" t="s">
        <v>5162</v>
      </c>
      <c r="C1613" s="23" t="str">
        <f t="shared" si="39"/>
        <v>Hazel Perez</v>
      </c>
      <c r="D1613" s="28" t="s">
        <v>14922</v>
      </c>
      <c r="E1613" s="28" t="s">
        <v>5175</v>
      </c>
      <c r="F1613" s="23">
        <f t="array" ref="F1613">IFERROR(
    INDEX('Hub Interns 226'!A:A, MATCH(C1613, 'Hub Interns 226'!B:B, 0)),"")</f>
        <v>571</v>
      </c>
      <c r="G1613" s="23">
        <f t="array" ref="G1613">IFERROR(
    INDEX('Hub Users 226'!A:A, MATCH(C1613, 'Hub Users 226'!B:B, 0)),"")</f>
        <v>1004</v>
      </c>
      <c r="H1613" s="28">
        <v>1121.0</v>
      </c>
      <c r="I1613" s="28" t="s">
        <v>407</v>
      </c>
      <c r="J1613" s="28"/>
      <c r="K1613" s="28"/>
      <c r="L1613" s="28" t="s">
        <v>5196</v>
      </c>
      <c r="M1613" s="56" t="s">
        <v>14923</v>
      </c>
      <c r="N1613" s="57">
        <v>44729.35625</v>
      </c>
      <c r="O1613" s="58">
        <v>39171.0</v>
      </c>
      <c r="P1613" s="28">
        <f t="shared" si="41"/>
        <v>19</v>
      </c>
      <c r="Q1613" s="28" t="s">
        <v>240</v>
      </c>
      <c r="R1613" s="28" t="s">
        <v>14924</v>
      </c>
      <c r="S1613" s="28">
        <v>6.0</v>
      </c>
      <c r="T1613" s="28">
        <v>13.0</v>
      </c>
      <c r="U1613" s="28">
        <v>35.0</v>
      </c>
      <c r="V1613" s="28">
        <v>21.0</v>
      </c>
      <c r="W1613" s="28" t="s">
        <v>1173</v>
      </c>
      <c r="X1613" s="28" t="s">
        <v>272</v>
      </c>
      <c r="Y1613" s="28" t="s">
        <v>14925</v>
      </c>
      <c r="Z1613" s="28" t="s">
        <v>5170</v>
      </c>
      <c r="AA1613" s="28" t="s">
        <v>5171</v>
      </c>
      <c r="AB1613" s="28">
        <v>30.0</v>
      </c>
      <c r="AC1613" s="28" t="s">
        <v>24</v>
      </c>
      <c r="AD1613" s="23"/>
      <c r="AE1613" s="28" t="s">
        <v>10</v>
      </c>
      <c r="AF1613" s="23"/>
      <c r="AG1613" s="23"/>
      <c r="AH1613" s="23" t="str">
        <f>IFERROR(__xludf.DUMMYFUNCTION("IF(
ISNUMBER(MATCH(
C1613,
IMPORTRANGE(""https://docs.google.com/spreadsheets/d/1yTh1ELC33JHYOeEdgIiEclxPRyh0zOKtlawDltfUay8"",""'Interns'!A:A""),
0
)),
""Outreach Conducted"",
"""")"),"")</f>
        <v/>
      </c>
      <c r="AI1613" s="23"/>
      <c r="AJ1613" s="23"/>
      <c r="AK1613" s="23" t="str">
        <f>IFERROR(__xludf.DUMMYFUNCTION("XLOOKUP(C1613, 
   IMPORTRANGE(""1RdEdgHYrZ33LJ7RUHj_h-qkAFL92bcVjtIdVa-UlsCw"", ""Interns!D:D""), 
   IMPORTRANGE(""1RdEdgHYrZ33LJ7RUHj_h-qkAFL92bcVjtIdVa-UlsCw"", ""Interns!M:M""), 
   ""Not Found"")"),"Contacted")</f>
        <v>Contacted</v>
      </c>
      <c r="AL1613" s="23" t="str">
        <f>IFERROR(__xludf.DUMMYFUNCTION("XLOOKUP(C1613, 
   IMPORTRANGE(""1RdEdgHYrZ33LJ7RUHj_h-qkAFL92bcVjtIdVa-UlsCw"", ""Interns!D:D""), 
   IMPORTRANGE(""1RdEdgHYrZ33LJ7RUHj_h-qkAFL92bcVjtIdVa-UlsCw"", ""Interns!N:N""), 
   ""Not Found"")"),"#Cheers4Careers")</f>
        <v>#Cheers4Careers</v>
      </c>
      <c r="AM1613" s="23" t="str">
        <f>IFERROR(__xludf.DUMMYFUNCTION("XLOOKUP(C1613, 
   IMPORTRANGE(""1RdEdgHYrZ33LJ7RUHj_h-qkAFL92bcVjtIdVa-UlsCw"", ""Interns!D:D""), 
   IMPORTRANGE(""1RdEdgHYrZ33LJ7RUHj_h-qkAFL92bcVjtIdVa-UlsCw"", ""Interns!O:O""), 
   ""Not Found"")"),"Hetal reached out March 27 for March #Cheers4 Careers ")</f>
        <v>Hetal reached out March 27 for March #Cheers4 Careers </v>
      </c>
      <c r="AN1613" s="23"/>
      <c r="AO1613" s="23" t="s">
        <v>14926</v>
      </c>
      <c r="AP1613" s="28" t="s">
        <v>5182</v>
      </c>
      <c r="AQ1613" s="28"/>
      <c r="AR1613" s="23"/>
      <c r="AS1613" s="23"/>
      <c r="AT1613" s="23"/>
      <c r="AU1613" s="23"/>
      <c r="AV1613" s="23"/>
    </row>
    <row r="1614">
      <c r="A1614" s="28" t="s">
        <v>5161</v>
      </c>
      <c r="B1614" s="28" t="s">
        <v>5162</v>
      </c>
      <c r="C1614" s="23" t="str">
        <f t="shared" si="39"/>
        <v>Silvana Tapia</v>
      </c>
      <c r="D1614" s="28" t="s">
        <v>14927</v>
      </c>
      <c r="E1614" s="28" t="s">
        <v>14928</v>
      </c>
      <c r="F1614" s="23">
        <f t="array" ref="F1614">IFERROR(
    INDEX('Hub Interns 226'!A:A, MATCH("Silvana. Tapia", 'Hub Interns 226'!B:B, 0)),"")</f>
        <v>101</v>
      </c>
      <c r="G1614" s="23">
        <f t="array" ref="G1614">IFERROR(
    INDEX('Hub Users 226'!A:A, MATCH("Silvana. Tapia", 'Hub Users 226'!B:B, 0)),"")</f>
        <v>534</v>
      </c>
      <c r="H1614" s="28">
        <v>1137.0</v>
      </c>
      <c r="I1614" s="28" t="s">
        <v>269</v>
      </c>
      <c r="J1614" s="28" t="s">
        <v>2388</v>
      </c>
      <c r="K1614" s="28" t="s">
        <v>5463</v>
      </c>
      <c r="L1614" s="28" t="s">
        <v>5196</v>
      </c>
      <c r="M1614" s="56" t="s">
        <v>14929</v>
      </c>
      <c r="N1614" s="57">
        <v>44749.48402777778</v>
      </c>
      <c r="O1614" s="58">
        <v>38297.0</v>
      </c>
      <c r="P1614" s="28">
        <f t="shared" si="41"/>
        <v>21</v>
      </c>
      <c r="Q1614" s="28" t="s">
        <v>240</v>
      </c>
      <c r="R1614" s="28" t="s">
        <v>14930</v>
      </c>
      <c r="S1614" s="28">
        <v>12.0</v>
      </c>
      <c r="T1614" s="28">
        <v>28.0</v>
      </c>
      <c r="U1614" s="28">
        <v>76.0</v>
      </c>
      <c r="V1614" s="28">
        <v>5.0</v>
      </c>
      <c r="W1614" s="28" t="s">
        <v>271</v>
      </c>
      <c r="X1614" s="28" t="s">
        <v>272</v>
      </c>
      <c r="Y1614" s="28" t="s">
        <v>14931</v>
      </c>
      <c r="Z1614" s="28" t="s">
        <v>5259</v>
      </c>
      <c r="AA1614" s="28" t="s">
        <v>704</v>
      </c>
      <c r="AB1614" s="28">
        <v>2.0</v>
      </c>
      <c r="AC1614" s="28" t="s">
        <v>23</v>
      </c>
      <c r="AD1614" s="28" t="s">
        <v>101</v>
      </c>
      <c r="AE1614" s="28" t="s">
        <v>15</v>
      </c>
      <c r="AF1614" s="23"/>
      <c r="AG1614" s="23"/>
      <c r="AH1614" s="23" t="str">
        <f>IFERROR(__xludf.DUMMYFUNCTION("IF(
ISNUMBER(MATCH(
C1614,
IMPORTRANGE(""https://docs.google.com/spreadsheets/d/1yTh1ELC33JHYOeEdgIiEclxPRyh0zOKtlawDltfUay8"",""'Interns'!A:A""),
0
)),
""Outreach Conducted"",
"""")"),"")</f>
        <v/>
      </c>
      <c r="AI1614" s="23"/>
      <c r="AJ1614" s="23"/>
      <c r="AK1614" s="23" t="str">
        <f>IFERROR(__xludf.DUMMYFUNCTION("XLOOKUP(C1614, 
   IMPORTRANGE(""1RdEdgHYrZ33LJ7RUHj_h-qkAFL92bcVjtIdVa-UlsCw"", ""Interns!D:D""), 
   IMPORTRANGE(""1RdEdgHYrZ33LJ7RUHj_h-qkAFL92bcVjtIdVa-UlsCw"", ""Interns!M:M""), 
   ""Not Found"")"),"Contacted")</f>
        <v>Contacted</v>
      </c>
      <c r="AL1614" s="23" t="str">
        <f>IFERROR(__xludf.DUMMYFUNCTION("XLOOKUP(C1614, 
   IMPORTRANGE(""1RdEdgHYrZ33LJ7RUHj_h-qkAFL92bcVjtIdVa-UlsCw"", ""Interns!D:D""), 
   IMPORTRANGE(""1RdEdgHYrZ33LJ7RUHj_h-qkAFL92bcVjtIdVa-UlsCw"", ""Interns!N:N""), 
   ""Not Found"")"),"#Cheers4Careers")</f>
        <v>#Cheers4Careers</v>
      </c>
      <c r="AM1614" s="23" t="str">
        <f>IFERROR(__xludf.DUMMYFUNCTION("XLOOKUP(C1614, 
   IMPORTRANGE(""1RdEdgHYrZ33LJ7RUHj_h-qkAFL92bcVjtIdVa-UlsCw"", ""Interns!D:D""), 
   IMPORTRANGE(""1RdEdgHYrZ33LJ7RUHj_h-qkAFL92bcVjtIdVa-UlsCw"", ""Interns!O:O""), 
   ""Not Found"")"),"Hetal reached out by whatsapp on 3/28
Hetal reached out on 4/10 by whatsapp for April 18th #Cheers4Careers")</f>
        <v>Hetal reached out by whatsapp on 3/28
Hetal reached out on 4/10 by whatsapp for April 18th #Cheers4Careers</v>
      </c>
      <c r="AN1614" s="23"/>
      <c r="AO1614" s="23" t="s">
        <v>14932</v>
      </c>
      <c r="AP1614" s="28" t="s">
        <v>5173</v>
      </c>
      <c r="AQ1614" s="28"/>
      <c r="AR1614" s="23"/>
      <c r="AS1614" s="23"/>
      <c r="AT1614" s="23"/>
      <c r="AU1614" s="23"/>
      <c r="AV1614" s="23"/>
    </row>
    <row r="1615">
      <c r="A1615" s="28" t="s">
        <v>5161</v>
      </c>
      <c r="B1615" s="28" t="s">
        <v>5162</v>
      </c>
      <c r="C1615" s="23" t="str">
        <f t="shared" si="39"/>
        <v>Joanna Veletanga</v>
      </c>
      <c r="D1615" s="28" t="s">
        <v>1846</v>
      </c>
      <c r="E1615" s="28" t="s">
        <v>14933</v>
      </c>
      <c r="F1615" s="23">
        <f t="array" ref="F1615">IFERROR(
    INDEX('Hub Interns 226'!A:A, MATCH(C1615, 'Hub Interns 226'!B:B, 0)),"")</f>
        <v>610</v>
      </c>
      <c r="G1615" s="23">
        <f t="array" ref="G1615">IFERROR(
    INDEX('Hub Users 226'!A:A, MATCH(C1615, 'Hub Users 226'!B:B, 0)),"")</f>
        <v>1043</v>
      </c>
      <c r="H1615" s="28">
        <v>378.0</v>
      </c>
      <c r="I1615" s="28" t="s">
        <v>260</v>
      </c>
      <c r="J1615" s="28"/>
      <c r="K1615" s="28"/>
      <c r="L1615" s="28" t="s">
        <v>5196</v>
      </c>
      <c r="M1615" s="56" t="s">
        <v>14934</v>
      </c>
      <c r="N1615" s="57">
        <v>44252.83819444444</v>
      </c>
      <c r="O1615" s="58">
        <v>38154.0</v>
      </c>
      <c r="P1615" s="28">
        <f t="shared" si="41"/>
        <v>21</v>
      </c>
      <c r="Q1615" s="28" t="s">
        <v>240</v>
      </c>
      <c r="R1615" s="28" t="s">
        <v>14935</v>
      </c>
      <c r="S1615" s="28">
        <v>6.0</v>
      </c>
      <c r="T1615" s="28">
        <v>13.0</v>
      </c>
      <c r="U1615" s="28">
        <v>35.0</v>
      </c>
      <c r="V1615" s="28">
        <v>21.0</v>
      </c>
      <c r="W1615" s="28" t="s">
        <v>1173</v>
      </c>
      <c r="X1615" s="28" t="s">
        <v>272</v>
      </c>
      <c r="Y1615" s="28" t="s">
        <v>14936</v>
      </c>
      <c r="Z1615" s="28" t="s">
        <v>5189</v>
      </c>
      <c r="AA1615" s="28" t="s">
        <v>619</v>
      </c>
      <c r="AB1615" s="28">
        <v>20.0</v>
      </c>
      <c r="AC1615" s="28" t="s">
        <v>25</v>
      </c>
      <c r="AD1615" s="23"/>
      <c r="AE1615" s="28" t="s">
        <v>8</v>
      </c>
      <c r="AF1615" s="23" t="str">
        <f>IFERROR(__xludf.DUMMYFUNCTION("TEXTJOIN("", "", TRUE,
  FILTER(Champions!C:C,
    ISNUMBER(SEARCH(C1615, Champions!W:W))
  )
)"),"Anna Carina Radulovich (D), Yada Treesukosol")</f>
        <v>Anna Carina Radulovich (D), Yada Treesukosol</v>
      </c>
      <c r="AG1615" s="23"/>
      <c r="AH1615" s="23" t="str">
        <f>IFERROR(__xludf.DUMMYFUNCTION("IF(
ISNUMBER(MATCH(
C1615,
IMPORTRANGE(""https://docs.google.com/spreadsheets/d/1yTh1ELC33JHYOeEdgIiEclxPRyh0zOKtlawDltfUay8"",""'Interns'!A:A""),
0
)),
""Outreach Conducted"",
"""")"),"")</f>
        <v/>
      </c>
      <c r="AI1615" s="23"/>
      <c r="AJ1615" s="23"/>
      <c r="AK1615" s="23" t="str">
        <f>IFERROR(__xludf.DUMMYFUNCTION("XLOOKUP(C1615, 
   IMPORTRANGE(""1RdEdgHYrZ33LJ7RUHj_h-qkAFL92bcVjtIdVa-UlsCw"", ""Interns!D:D""), 
   IMPORTRANGE(""1RdEdgHYrZ33LJ7RUHj_h-qkAFL92bcVjtIdVa-UlsCw"", ""Interns!M:M""), 
   ""Not Found"")"),"Contacted")</f>
        <v>Contacted</v>
      </c>
      <c r="AL1615" s="23" t="str">
        <f>IFERROR(__xludf.DUMMYFUNCTION("XLOOKUP(C1615, 
   IMPORTRANGE(""1RdEdgHYrZ33LJ7RUHj_h-qkAFL92bcVjtIdVa-UlsCw"", ""Interns!D:D""), 
   IMPORTRANGE(""1RdEdgHYrZ33LJ7RUHj_h-qkAFL92bcVjtIdVa-UlsCw"", ""Interns!N:N""), 
   ""Not Found"")"),"#Cheers4Careers")</f>
        <v>#Cheers4Careers</v>
      </c>
      <c r="AM1615" s="23" t="str">
        <f>IFERROR(__xludf.DUMMYFUNCTION("XLOOKUP(C1615, 
   IMPORTRANGE(""1RdEdgHYrZ33LJ7RUHj_h-qkAFL92bcVjtIdVa-UlsCw"", ""Interns!D:D""), 
   IMPORTRANGE(""1RdEdgHYrZ33LJ7RUHj_h-qkAFL92bcVjtIdVa-UlsCw"", ""Interns!O:O""), 
   ""Not Found"")"),"Hetal reached out by email 3/27 followed by text")</f>
        <v>Hetal reached out by email 3/27 followed by text</v>
      </c>
      <c r="AN1615" s="23"/>
      <c r="AO1615" s="23" t="s">
        <v>14937</v>
      </c>
      <c r="AP1615" s="28" t="s">
        <v>5182</v>
      </c>
      <c r="AQ1615" s="28" t="s">
        <v>14934</v>
      </c>
      <c r="AR1615" s="23" t="s">
        <v>14938</v>
      </c>
      <c r="AS1615" s="23"/>
      <c r="AT1615" s="23"/>
      <c r="AU1615" s="23"/>
      <c r="AV1615" s="23"/>
    </row>
    <row r="1616">
      <c r="A1616" s="28" t="s">
        <v>5202</v>
      </c>
      <c r="B1616" s="28" t="s">
        <v>5162</v>
      </c>
      <c r="C1616" s="23" t="str">
        <f t="shared" si="39"/>
        <v>Roger Cartay</v>
      </c>
      <c r="D1616" s="28" t="s">
        <v>14939</v>
      </c>
      <c r="E1616" s="28" t="s">
        <v>14940</v>
      </c>
      <c r="F1616" s="23">
        <f t="array" ref="F1616">IFERROR(
    INDEX('Hub Interns 226'!A:A, MATCH(C1616, 'Hub Interns 226'!B:B, 0)),"")</f>
        <v>1033</v>
      </c>
      <c r="G1616" s="23">
        <f t="array" ref="G1616">IFERROR(
    INDEX('Hub Users 226'!A:A, MATCH(C1616, 'Hub Users 226'!B:B, 0)),"")</f>
        <v>1466</v>
      </c>
      <c r="H1616" s="28">
        <v>946.0</v>
      </c>
      <c r="I1616" s="28" t="s">
        <v>269</v>
      </c>
      <c r="J1616" s="28"/>
      <c r="K1616" s="28"/>
      <c r="L1616" s="28" t="s">
        <v>5165</v>
      </c>
      <c r="M1616" s="56" t="s">
        <v>14941</v>
      </c>
      <c r="N1616" s="57">
        <v>44610.84305555555</v>
      </c>
      <c r="O1616" s="58">
        <v>44608.0</v>
      </c>
      <c r="P1616" s="28">
        <f t="shared" si="41"/>
        <v>4</v>
      </c>
      <c r="Q1616" s="28" t="s">
        <v>14942</v>
      </c>
      <c r="R1616" s="28" t="s">
        <v>14943</v>
      </c>
      <c r="S1616" s="28">
        <v>6.0</v>
      </c>
      <c r="T1616" s="28">
        <v>16.0</v>
      </c>
      <c r="U1616" s="28">
        <v>40.0</v>
      </c>
      <c r="V1616" s="28">
        <v>20.0</v>
      </c>
      <c r="W1616" s="28" t="s">
        <v>1173</v>
      </c>
      <c r="X1616" s="28" t="s">
        <v>272</v>
      </c>
      <c r="Y1616" s="28" t="s">
        <v>14944</v>
      </c>
      <c r="Z1616" s="28" t="s">
        <v>5189</v>
      </c>
      <c r="AA1616" s="28" t="s">
        <v>619</v>
      </c>
      <c r="AB1616" s="28">
        <v>20.0</v>
      </c>
      <c r="AC1616" s="28" t="s">
        <v>24</v>
      </c>
      <c r="AD1616" s="23"/>
      <c r="AE1616" s="28" t="s">
        <v>10</v>
      </c>
      <c r="AF1616" s="23"/>
      <c r="AG1616" s="23"/>
      <c r="AH1616" s="23" t="str">
        <f>IFERROR(__xludf.DUMMYFUNCTION("IF(
ISNUMBER(MATCH(
C1616,
IMPORTRANGE(""https://docs.google.com/spreadsheets/d/1yTh1ELC33JHYOeEdgIiEclxPRyh0zOKtlawDltfUay8"",""'Interns'!A:A""),
0
)),
""Outreach Conducted"",
"""")"),"")</f>
        <v/>
      </c>
      <c r="AI1616" s="23"/>
      <c r="AJ1616" s="23"/>
      <c r="AK1616" s="23" t="str">
        <f>IFERROR(__xludf.DUMMYFUNCTION("XLOOKUP(C1616, 
   IMPORTRANGE(""1RdEdgHYrZ33LJ7RUHj_h-qkAFL92bcVjtIdVa-UlsCw"", ""Interns!D:D""), 
   IMPORTRANGE(""1RdEdgHYrZ33LJ7RUHj_h-qkAFL92bcVjtIdVa-UlsCw"", ""Interns!M:M""), 
   ""Not Found"")"),"")</f>
        <v/>
      </c>
      <c r="AL1616" s="23" t="str">
        <f>IFERROR(__xludf.DUMMYFUNCTION("XLOOKUP(C1616, 
   IMPORTRANGE(""1RdEdgHYrZ33LJ7RUHj_h-qkAFL92bcVjtIdVa-UlsCw"", ""Interns!D:D""), 
   IMPORTRANGE(""1RdEdgHYrZ33LJ7RUHj_h-qkAFL92bcVjtIdVa-UlsCw"", ""Interns!N:N""), 
   ""Not Found"")"),"")</f>
        <v/>
      </c>
      <c r="AM1616" s="23" t="str">
        <f>IFERROR(__xludf.DUMMYFUNCTION("XLOOKUP(C1616, 
   IMPORTRANGE(""1RdEdgHYrZ33LJ7RUHj_h-qkAFL92bcVjtIdVa-UlsCw"", ""Interns!D:D""), 
   IMPORTRANGE(""1RdEdgHYrZ33LJ7RUHj_h-qkAFL92bcVjtIdVa-UlsCw"", ""Interns!O:O""), 
   ""Not Found"")"),"")</f>
        <v/>
      </c>
      <c r="AN1616" s="23"/>
      <c r="AO1616" s="23" t="s">
        <v>14945</v>
      </c>
      <c r="AP1616" s="28" t="s">
        <v>5182</v>
      </c>
      <c r="AQ1616" s="28"/>
      <c r="AR1616" s="23"/>
      <c r="AS1616" s="23"/>
      <c r="AT1616" s="23"/>
      <c r="AU1616" s="23"/>
      <c r="AV1616" s="23"/>
    </row>
    <row r="1617">
      <c r="A1617" s="28" t="s">
        <v>5161</v>
      </c>
      <c r="B1617" s="28" t="s">
        <v>5162</v>
      </c>
      <c r="C1617" s="23" t="str">
        <f t="shared" si="39"/>
        <v>Vladimir Solano</v>
      </c>
      <c r="D1617" s="22" t="s">
        <v>14946</v>
      </c>
      <c r="E1617" s="22" t="s">
        <v>14947</v>
      </c>
      <c r="F1617" s="23"/>
      <c r="G1617" s="23"/>
      <c r="H1617" s="22">
        <v>1972.0</v>
      </c>
      <c r="I1617" s="28"/>
      <c r="J1617" s="28"/>
      <c r="K1617" s="28"/>
      <c r="L1617" s="28" t="s">
        <v>5196</v>
      </c>
      <c r="M1617" s="29" t="s">
        <v>14948</v>
      </c>
      <c r="N1617" s="22" t="s">
        <v>240</v>
      </c>
      <c r="O1617" s="25">
        <v>45632.0</v>
      </c>
      <c r="P1617" s="28">
        <f t="shared" si="41"/>
        <v>1</v>
      </c>
      <c r="Q1617" s="62" t="s">
        <v>240</v>
      </c>
      <c r="R1617" s="22" t="s">
        <v>14949</v>
      </c>
      <c r="S1617" s="28">
        <v>13.0</v>
      </c>
      <c r="T1617" s="28">
        <v>30.0</v>
      </c>
      <c r="U1617" s="28">
        <v>70.0</v>
      </c>
      <c r="V1617" s="28">
        <v>9.0</v>
      </c>
      <c r="W1617" s="28" t="s">
        <v>271</v>
      </c>
      <c r="X1617" s="28" t="s">
        <v>272</v>
      </c>
      <c r="Y1617" s="22">
        <v>9.17496805E9</v>
      </c>
      <c r="Z1617" s="22" t="s">
        <v>9625</v>
      </c>
      <c r="AA1617" s="28" t="s">
        <v>6863</v>
      </c>
      <c r="AB1617" s="28">
        <v>9.0</v>
      </c>
      <c r="AC1617" s="28" t="s">
        <v>27</v>
      </c>
      <c r="AD1617" s="23"/>
      <c r="AE1617" s="28" t="s">
        <v>19</v>
      </c>
      <c r="AF1617" s="23"/>
      <c r="AG1617" s="23"/>
      <c r="AH1617" s="23" t="str">
        <f>IFERROR(__xludf.DUMMYFUNCTION("IF(
ISNUMBER(MATCH(
C1617,
IMPORTRANGE(""https://docs.google.com/spreadsheets/d/1yTh1ELC33JHYOeEdgIiEclxPRyh0zOKtlawDltfUay8"",""'Interns'!A:A""),
0
)),
""Outreach Conducted"",
"""")"),"")</f>
        <v/>
      </c>
      <c r="AI1617" s="23"/>
      <c r="AJ1617" s="23"/>
      <c r="AK1617" s="23"/>
      <c r="AL1617" s="23" t="str">
        <f>IFERROR(__xludf.DUMMYFUNCTION("XLOOKUP(C1617, 
   IMPORTRANGE(""1RdEdgHYrZ33LJ7RUHj_h-qkAFL92bcVjtIdVa-UlsCw"", ""Interns!D:D""), 
   IMPORTRANGE(""1RdEdgHYrZ33LJ7RUHj_h-qkAFL92bcVjtIdVa-UlsCw"", ""Interns!N:N""), 
   ""Not Found"")"),"Not Found")</f>
        <v>Not Found</v>
      </c>
      <c r="AM1617" s="23" t="str">
        <f>IFERROR(__xludf.DUMMYFUNCTION("XLOOKUP(C1617, 
   IMPORTRANGE(""1RdEdgHYrZ33LJ7RUHj_h-qkAFL92bcVjtIdVa-UlsCw"", ""Interns!D:D""), 
   IMPORTRANGE(""1RdEdgHYrZ33LJ7RUHj_h-qkAFL92bcVjtIdVa-UlsCw"", ""Interns!O:O""), 
   ""Not Found"")"),"Not Found")</f>
        <v>Not Found</v>
      </c>
      <c r="AN1617" s="23"/>
      <c r="AO1617" s="23" t="s">
        <v>14950</v>
      </c>
      <c r="AP1617" s="28" t="s">
        <v>5880</v>
      </c>
      <c r="AQ1617" s="28" t="s">
        <v>14948</v>
      </c>
      <c r="AR1617" s="23">
        <v>2.12694602E9</v>
      </c>
      <c r="AS1617" s="23"/>
      <c r="AT1617" s="23"/>
      <c r="AU1617" s="23"/>
      <c r="AV1617" s="23"/>
    </row>
    <row r="1618">
      <c r="A1618" s="28" t="s">
        <v>5161</v>
      </c>
      <c r="B1618" s="28" t="s">
        <v>5162</v>
      </c>
      <c r="C1618" s="23" t="str">
        <f t="shared" si="39"/>
        <v>marian quero</v>
      </c>
      <c r="D1618" s="22" t="s">
        <v>14951</v>
      </c>
      <c r="E1618" s="22" t="s">
        <v>14952</v>
      </c>
      <c r="F1618" s="23"/>
      <c r="G1618" s="23"/>
      <c r="H1618" s="22">
        <v>2046.0</v>
      </c>
      <c r="I1618" s="28"/>
      <c r="J1618" s="28"/>
      <c r="K1618" s="28"/>
      <c r="L1618" s="28" t="s">
        <v>5196</v>
      </c>
      <c r="M1618" s="29" t="s">
        <v>14953</v>
      </c>
      <c r="N1618" s="61">
        <v>45385.42083333333</v>
      </c>
      <c r="O1618" s="25">
        <v>45385.0</v>
      </c>
      <c r="P1618" s="28">
        <f t="shared" si="41"/>
        <v>2</v>
      </c>
      <c r="Q1618" s="62" t="s">
        <v>240</v>
      </c>
      <c r="R1618" s="22" t="s">
        <v>14954</v>
      </c>
      <c r="S1618" s="28">
        <v>13.0</v>
      </c>
      <c r="T1618" s="28">
        <v>30.0</v>
      </c>
      <c r="U1618" s="28">
        <v>70.0</v>
      </c>
      <c r="V1618" s="28">
        <v>9.0</v>
      </c>
      <c r="W1618" s="28" t="s">
        <v>271</v>
      </c>
      <c r="X1618" s="28" t="s">
        <v>272</v>
      </c>
      <c r="Y1618" s="64"/>
      <c r="Z1618" s="22" t="s">
        <v>13003</v>
      </c>
      <c r="AA1618" s="28" t="s">
        <v>6863</v>
      </c>
      <c r="AB1618" s="28">
        <v>9.0</v>
      </c>
      <c r="AC1618" s="28" t="s">
        <v>27</v>
      </c>
      <c r="AD1618" s="23"/>
      <c r="AE1618" s="28" t="s">
        <v>18</v>
      </c>
      <c r="AF1618" s="23"/>
      <c r="AG1618" s="23"/>
      <c r="AH1618" s="23" t="str">
        <f>IFERROR(__xludf.DUMMYFUNCTION("IF(
ISNUMBER(MATCH(
C1618,
IMPORTRANGE(""https://docs.google.com/spreadsheets/d/1yTh1ELC33JHYOeEdgIiEclxPRyh0zOKtlawDltfUay8"",""'Interns'!A:A""),
0
)),
""Outreach Conducted"",
"""")"),"")</f>
        <v/>
      </c>
      <c r="AI1618" s="23"/>
      <c r="AJ1618" s="23"/>
      <c r="AK1618" s="23" t="str">
        <f>IFERROR(__xludf.DUMMYFUNCTION("XLOOKUP(C1618, 
   IMPORTRANGE(""1RdEdgHYrZ33LJ7RUHj_h-qkAFL92bcVjtIdVa-UlsCw"", ""Interns!D:D""), 
   IMPORTRANGE(""1RdEdgHYrZ33LJ7RUHj_h-qkAFL92bcVjtIdVa-UlsCw"", ""Interns!M:M""), 
   ""Not Found"")"),"Not Found")</f>
        <v>Not Found</v>
      </c>
      <c r="AL1618" s="23" t="str">
        <f>IFERROR(__xludf.DUMMYFUNCTION("XLOOKUP(C1618, 
   IMPORTRANGE(""1RdEdgHYrZ33LJ7RUHj_h-qkAFL92bcVjtIdVa-UlsCw"", ""Interns!D:D""), 
   IMPORTRANGE(""1RdEdgHYrZ33LJ7RUHj_h-qkAFL92bcVjtIdVa-UlsCw"", ""Interns!N:N""), 
   ""Not Found"")"),"Not Found")</f>
        <v>Not Found</v>
      </c>
      <c r="AM1618" s="23" t="str">
        <f>IFERROR(__xludf.DUMMYFUNCTION("XLOOKUP(C1618, 
   IMPORTRANGE(""1RdEdgHYrZ33LJ7RUHj_h-qkAFL92bcVjtIdVa-UlsCw"", ""Interns!D:D""), 
   IMPORTRANGE(""1RdEdgHYrZ33LJ7RUHj_h-qkAFL92bcVjtIdVa-UlsCw"", ""Interns!O:O""), 
   ""Not Found"")"),"Not Found")</f>
        <v>Not Found</v>
      </c>
      <c r="AN1618" s="23"/>
      <c r="AO1618" s="23" t="s">
        <v>14955</v>
      </c>
      <c r="AP1618" s="28" t="s">
        <v>11776</v>
      </c>
      <c r="AQ1618" s="28" t="s">
        <v>9687</v>
      </c>
      <c r="AR1618" s="23">
        <v>2.12694602E9</v>
      </c>
      <c r="AS1618" s="23"/>
      <c r="AT1618" s="23"/>
      <c r="AU1618" s="23"/>
      <c r="AV1618" s="23"/>
    </row>
    <row r="1619">
      <c r="A1619" s="28" t="s">
        <v>5202</v>
      </c>
      <c r="B1619" s="28" t="s">
        <v>5162</v>
      </c>
      <c r="C1619" s="23" t="str">
        <f t="shared" si="39"/>
        <v>Jason Garcia</v>
      </c>
      <c r="D1619" s="28" t="s">
        <v>1676</v>
      </c>
      <c r="E1619" s="28" t="s">
        <v>1484</v>
      </c>
      <c r="F1619" s="23">
        <f t="array" ref="F1619">IFERROR(
    INDEX('Hub Interns 226'!A:A, MATCH(C1619, 'Hub Interns 226'!B:B, 0)),"")</f>
        <v>306</v>
      </c>
      <c r="G1619" s="23">
        <f t="array" ref="G1619">IFERROR(
    INDEX('Hub Users 226'!A:A, MATCH(C1619, 'Hub Users 226'!B:B, 0)),"")</f>
        <v>739</v>
      </c>
      <c r="H1619" s="28">
        <v>1365.0</v>
      </c>
      <c r="I1619" s="28" t="s">
        <v>269</v>
      </c>
      <c r="J1619" s="28"/>
      <c r="K1619" s="28"/>
      <c r="L1619" s="28" t="s">
        <v>8087</v>
      </c>
      <c r="M1619" s="56" t="s">
        <v>14956</v>
      </c>
      <c r="N1619" s="59">
        <v>44859.625</v>
      </c>
      <c r="O1619" s="58">
        <v>38983.0</v>
      </c>
      <c r="P1619" s="28">
        <f t="shared" si="41"/>
        <v>19</v>
      </c>
      <c r="Q1619" s="28" t="s">
        <v>14957</v>
      </c>
      <c r="R1619" s="28" t="s">
        <v>14958</v>
      </c>
      <c r="S1619" s="28">
        <v>5.0</v>
      </c>
      <c r="T1619" s="28">
        <v>10.0</v>
      </c>
      <c r="U1619" s="28">
        <v>32.0</v>
      </c>
      <c r="V1619" s="28">
        <v>28.0</v>
      </c>
      <c r="W1619" s="28" t="s">
        <v>1173</v>
      </c>
      <c r="X1619" s="28" t="s">
        <v>272</v>
      </c>
      <c r="Y1619" s="28" t="s">
        <v>14959</v>
      </c>
      <c r="Z1619" s="28" t="s">
        <v>5332</v>
      </c>
      <c r="AA1619" s="28" t="s">
        <v>421</v>
      </c>
      <c r="AB1619" s="28">
        <v>31.0</v>
      </c>
      <c r="AC1619" s="28" t="s">
        <v>25</v>
      </c>
      <c r="AD1619" s="23"/>
      <c r="AE1619" s="28" t="s">
        <v>15</v>
      </c>
      <c r="AF1619" s="23" t="str">
        <f>IFERROR(__xludf.DUMMYFUNCTION("TEXTJOIN("", "", TRUE,
  FILTER(Champions!C:C,
    ISNUMBER(SEARCH(C1619, Champions!W:W))
  )
)"),"Soraya Senosier")</f>
        <v>Soraya Senosier</v>
      </c>
      <c r="AG1619" s="23"/>
      <c r="AH1619" s="23" t="str">
        <f>IFERROR(__xludf.DUMMYFUNCTION("IF(
ISNUMBER(MATCH(
C1619,
IMPORTRANGE(""https://docs.google.com/spreadsheets/d/1yTh1ELC33JHYOeEdgIiEclxPRyh0zOKtlawDltfUay8"",""'Interns'!A:A""),
0
)),
""Outreach Conducted"",
"""")"),"")</f>
        <v/>
      </c>
      <c r="AI1619" s="23"/>
      <c r="AJ1619" s="23"/>
      <c r="AK1619" s="23" t="str">
        <f>IFERROR(__xludf.DUMMYFUNCTION("XLOOKUP(C1619, 
   IMPORTRANGE(""1RdEdgHYrZ33LJ7RUHj_h-qkAFL92bcVjtIdVa-UlsCw"", ""Interns!D:D""), 
   IMPORTRANGE(""1RdEdgHYrZ33LJ7RUHj_h-qkAFL92bcVjtIdVa-UlsCw"", ""Interns!M:M""), 
   ""Not Found"")"),"")</f>
        <v/>
      </c>
      <c r="AL1619" s="23" t="str">
        <f>IFERROR(__xludf.DUMMYFUNCTION("XLOOKUP(C1619, 
   IMPORTRANGE(""1RdEdgHYrZ33LJ7RUHj_h-qkAFL92bcVjtIdVa-UlsCw"", ""Interns!D:D""), 
   IMPORTRANGE(""1RdEdgHYrZ33LJ7RUHj_h-qkAFL92bcVjtIdVa-UlsCw"", ""Interns!N:N""), 
   ""Not Found"")"),"")</f>
        <v/>
      </c>
      <c r="AM1619" s="23" t="str">
        <f>IFERROR(__xludf.DUMMYFUNCTION("XLOOKUP(C1619, 
   IMPORTRANGE(""1RdEdgHYrZ33LJ7RUHj_h-qkAFL92bcVjtIdVa-UlsCw"", ""Interns!D:D""), 
   IMPORTRANGE(""1RdEdgHYrZ33LJ7RUHj_h-qkAFL92bcVjtIdVa-UlsCw"", ""Interns!O:O""), 
   ""Not Found"")"),"")</f>
        <v/>
      </c>
      <c r="AN1619" s="23"/>
      <c r="AO1619" s="23" t="s">
        <v>14960</v>
      </c>
      <c r="AP1619" s="28" t="s">
        <v>5182</v>
      </c>
      <c r="AQ1619" s="28" t="s">
        <v>14961</v>
      </c>
      <c r="AR1619" s="23" t="s">
        <v>14962</v>
      </c>
      <c r="AS1619" s="23"/>
      <c r="AT1619" s="23"/>
      <c r="AU1619" s="23"/>
      <c r="AV1619" s="23"/>
    </row>
    <row r="1620">
      <c r="A1620" s="28" t="s">
        <v>5202</v>
      </c>
      <c r="B1620" s="28" t="s">
        <v>5162</v>
      </c>
      <c r="C1620" s="23" t="str">
        <f t="shared" si="39"/>
        <v>Shianne Boncoeur</v>
      </c>
      <c r="D1620" s="28" t="s">
        <v>14963</v>
      </c>
      <c r="E1620" s="28" t="s">
        <v>14964</v>
      </c>
      <c r="F1620" s="23">
        <f t="array" ref="F1620">IFERROR(
    INDEX('Hub Interns 226'!A:A, MATCH(C1620, 'Hub Interns 226'!B:B, 0)),"")</f>
        <v>1098</v>
      </c>
      <c r="G1620" s="23">
        <f t="array" ref="G1620">IFERROR(
    INDEX('Hub Users 226'!A:A, MATCH(C1620, 'Hub Users 226'!B:B, 0)),"")</f>
        <v>1531</v>
      </c>
      <c r="H1620" s="28">
        <v>1406.0</v>
      </c>
      <c r="I1620" s="28" t="s">
        <v>239</v>
      </c>
      <c r="J1620" s="28"/>
      <c r="K1620" s="28"/>
      <c r="L1620" s="28" t="s">
        <v>5196</v>
      </c>
      <c r="M1620" s="56" t="s">
        <v>14965</v>
      </c>
      <c r="N1620" s="59">
        <v>44865.46875</v>
      </c>
      <c r="O1620" s="58">
        <v>39584.0</v>
      </c>
      <c r="P1620" s="28">
        <f t="shared" si="41"/>
        <v>18</v>
      </c>
      <c r="Q1620" s="28" t="s">
        <v>240</v>
      </c>
      <c r="R1620" s="28" t="s">
        <v>14966</v>
      </c>
      <c r="S1620" s="28">
        <v>5.0</v>
      </c>
      <c r="T1620" s="28">
        <v>14.0</v>
      </c>
      <c r="U1620" s="28">
        <v>29.0</v>
      </c>
      <c r="V1620" s="28">
        <v>27.0</v>
      </c>
      <c r="W1620" s="28" t="s">
        <v>1173</v>
      </c>
      <c r="X1620" s="28" t="s">
        <v>272</v>
      </c>
      <c r="Y1620" s="28" t="s">
        <v>14967</v>
      </c>
      <c r="Z1620" s="28" t="s">
        <v>5332</v>
      </c>
      <c r="AA1620" s="28" t="s">
        <v>421</v>
      </c>
      <c r="AB1620" s="28">
        <v>31.0</v>
      </c>
      <c r="AC1620" s="28" t="s">
        <v>23</v>
      </c>
      <c r="AD1620" s="23"/>
      <c r="AE1620" s="28" t="s">
        <v>15</v>
      </c>
      <c r="AF1620" s="23"/>
      <c r="AG1620" s="23"/>
      <c r="AH1620" s="23" t="str">
        <f>IFERROR(__xludf.DUMMYFUNCTION("IF(
ISNUMBER(MATCH(
C1620,
IMPORTRANGE(""https://docs.google.com/spreadsheets/d/1yTh1ELC33JHYOeEdgIiEclxPRyh0zOKtlawDltfUay8"",""'Interns'!A:A""),
0
)),
""Outreach Conducted"",
"""")"),"")</f>
        <v/>
      </c>
      <c r="AI1620" s="23"/>
      <c r="AJ1620" s="23"/>
      <c r="AK1620" s="23" t="str">
        <f>IFERROR(__xludf.DUMMYFUNCTION("XLOOKUP(C1620, 
   IMPORTRANGE(""1RdEdgHYrZ33LJ7RUHj_h-qkAFL92bcVjtIdVa-UlsCw"", ""Interns!D:D""), 
   IMPORTRANGE(""1RdEdgHYrZ33LJ7RUHj_h-qkAFL92bcVjtIdVa-UlsCw"", ""Interns!M:M""), 
   ""Not Found"")"),"")</f>
        <v/>
      </c>
      <c r="AL1620" s="23" t="str">
        <f>IFERROR(__xludf.DUMMYFUNCTION("XLOOKUP(C1620, 
   IMPORTRANGE(""1RdEdgHYrZ33LJ7RUHj_h-qkAFL92bcVjtIdVa-UlsCw"", ""Interns!D:D""), 
   IMPORTRANGE(""1RdEdgHYrZ33LJ7RUHj_h-qkAFL92bcVjtIdVa-UlsCw"", ""Interns!N:N""), 
   ""Not Found"")"),"")</f>
        <v/>
      </c>
      <c r="AM1620" s="23" t="str">
        <f>IFERROR(__xludf.DUMMYFUNCTION("XLOOKUP(C1620, 
   IMPORTRANGE(""1RdEdgHYrZ33LJ7RUHj_h-qkAFL92bcVjtIdVa-UlsCw"", ""Interns!D:D""), 
   IMPORTRANGE(""1RdEdgHYrZ33LJ7RUHj_h-qkAFL92bcVjtIdVa-UlsCw"", ""Interns!O:O""), 
   ""Not Found"")"),"")</f>
        <v/>
      </c>
      <c r="AN1620" s="23"/>
      <c r="AO1620" s="23" t="s">
        <v>14968</v>
      </c>
      <c r="AP1620" s="28" t="s">
        <v>5641</v>
      </c>
      <c r="AQ1620" s="28"/>
      <c r="AR1620" s="23"/>
      <c r="AS1620" s="23"/>
      <c r="AT1620" s="23"/>
      <c r="AU1620" s="23"/>
      <c r="AV1620" s="23"/>
    </row>
    <row r="1621">
      <c r="A1621" s="28" t="s">
        <v>5161</v>
      </c>
      <c r="B1621" s="28" t="s">
        <v>5162</v>
      </c>
      <c r="C1621" s="23" t="str">
        <f t="shared" si="39"/>
        <v>Marianny Guachichulca</v>
      </c>
      <c r="D1621" s="22" t="s">
        <v>14969</v>
      </c>
      <c r="E1621" s="22" t="s">
        <v>14970</v>
      </c>
      <c r="F1621" s="23"/>
      <c r="G1621" s="23"/>
      <c r="H1621" s="22">
        <v>1977.0</v>
      </c>
      <c r="I1621" s="28"/>
      <c r="J1621" s="28"/>
      <c r="K1621" s="28"/>
      <c r="L1621" s="28" t="s">
        <v>5196</v>
      </c>
      <c r="M1621" s="29" t="s">
        <v>14971</v>
      </c>
      <c r="N1621" s="22"/>
      <c r="O1621" s="25">
        <v>40351.0</v>
      </c>
      <c r="P1621" s="28">
        <f t="shared" si="41"/>
        <v>15</v>
      </c>
      <c r="Q1621" s="62" t="s">
        <v>14972</v>
      </c>
      <c r="R1621" s="22" t="s">
        <v>14973</v>
      </c>
      <c r="S1621" s="28">
        <v>13.0</v>
      </c>
      <c r="T1621" s="28">
        <v>30.0</v>
      </c>
      <c r="U1621" s="28">
        <v>70.0</v>
      </c>
      <c r="V1621" s="28">
        <v>9.0</v>
      </c>
      <c r="W1621" s="28" t="s">
        <v>271</v>
      </c>
      <c r="X1621" s="28" t="s">
        <v>272</v>
      </c>
      <c r="Y1621" s="24"/>
      <c r="Z1621" s="22" t="s">
        <v>6876</v>
      </c>
      <c r="AA1621" s="28" t="s">
        <v>6863</v>
      </c>
      <c r="AB1621" s="28">
        <v>9.0</v>
      </c>
      <c r="AC1621" s="28" t="s">
        <v>27</v>
      </c>
      <c r="AD1621" s="23"/>
      <c r="AE1621" s="28" t="s">
        <v>19</v>
      </c>
      <c r="AF1621" s="23"/>
      <c r="AG1621" s="23"/>
      <c r="AH1621" s="23" t="str">
        <f>IFERROR(__xludf.DUMMYFUNCTION("IF(
ISNUMBER(MATCH(
C1621,
IMPORTRANGE(""https://docs.google.com/spreadsheets/d/1yTh1ELC33JHYOeEdgIiEclxPRyh0zOKtlawDltfUay8"",""'Interns'!A:A""),
0
)),
""Outreach Conducted"",
"""")"),"")</f>
        <v/>
      </c>
      <c r="AI1621" s="23"/>
      <c r="AJ1621" s="23"/>
      <c r="AK1621" s="23"/>
      <c r="AL1621" s="23" t="str">
        <f>IFERROR(__xludf.DUMMYFUNCTION("XLOOKUP(C1621, 
   IMPORTRANGE(""1RdEdgHYrZ33LJ7RUHj_h-qkAFL92bcVjtIdVa-UlsCw"", ""Interns!D:D""), 
   IMPORTRANGE(""1RdEdgHYrZ33LJ7RUHj_h-qkAFL92bcVjtIdVa-UlsCw"", ""Interns!N:N""), 
   ""Not Found"")"),"Not Found")</f>
        <v>Not Found</v>
      </c>
      <c r="AM1621" s="23" t="str">
        <f>IFERROR(__xludf.DUMMYFUNCTION("XLOOKUP(C1621, 
   IMPORTRANGE(""1RdEdgHYrZ33LJ7RUHj_h-qkAFL92bcVjtIdVa-UlsCw"", ""Interns!D:D""), 
   IMPORTRANGE(""1RdEdgHYrZ33LJ7RUHj_h-qkAFL92bcVjtIdVa-UlsCw"", ""Interns!O:O""), 
   ""Not Found"")"),"Not Found")</f>
        <v>Not Found</v>
      </c>
      <c r="AN1621" s="23"/>
      <c r="AO1621" s="23" t="s">
        <v>14974</v>
      </c>
      <c r="AP1621" s="28" t="s">
        <v>5191</v>
      </c>
      <c r="AQ1621" s="28" t="s">
        <v>10455</v>
      </c>
      <c r="AR1621" s="23">
        <v>2.122694602E10</v>
      </c>
      <c r="AS1621" s="23"/>
      <c r="AT1621" s="23"/>
      <c r="AU1621" s="23"/>
      <c r="AV1621" s="23"/>
    </row>
    <row r="1622">
      <c r="A1622" s="28" t="s">
        <v>5161</v>
      </c>
      <c r="B1622" s="28" t="s">
        <v>31</v>
      </c>
      <c r="C1622" s="23" t="str">
        <f t="shared" si="39"/>
        <v>Rafael Vargas</v>
      </c>
      <c r="D1622" s="28" t="s">
        <v>12955</v>
      </c>
      <c r="E1622" s="28" t="s">
        <v>1111</v>
      </c>
      <c r="F1622" s="23">
        <f t="array" ref="F1622">IFERROR(
    INDEX('Hub Interns 226'!A:A, MATCH("Santiago (Duplicate) Vargas", 'Hub Interns 226'!B:B, 0)),"")</f>
        <v>1008</v>
      </c>
      <c r="G1622" s="23">
        <f t="array" ref="G1622">IFERROR(
    INDEX('Hub Users 226'!A:A, MATCH("Santiago (Duplicate) Vargas", 'Hub Users 226'!B:B, 0)),"")</f>
        <v>1441</v>
      </c>
      <c r="H1622" s="28">
        <v>1745.0</v>
      </c>
      <c r="I1622" s="28"/>
      <c r="J1622" s="28"/>
      <c r="K1622" s="28"/>
      <c r="L1622" s="28" t="s">
        <v>5165</v>
      </c>
      <c r="M1622" s="56" t="s">
        <v>12956</v>
      </c>
      <c r="N1622" s="57">
        <v>45267.42222222222</v>
      </c>
      <c r="O1622" s="58">
        <v>40280.0</v>
      </c>
      <c r="P1622" s="28">
        <f t="shared" si="41"/>
        <v>16</v>
      </c>
      <c r="Q1622" s="28" t="s">
        <v>240</v>
      </c>
      <c r="R1622" s="28" t="s">
        <v>12957</v>
      </c>
      <c r="S1622" s="28"/>
      <c r="T1622" s="28"/>
      <c r="U1622" s="28"/>
      <c r="V1622" s="28"/>
      <c r="W1622" s="28" t="s">
        <v>1173</v>
      </c>
      <c r="X1622" s="28" t="s">
        <v>272</v>
      </c>
      <c r="Y1622" s="28" t="s">
        <v>5351</v>
      </c>
      <c r="Z1622" s="28" t="s">
        <v>5352</v>
      </c>
      <c r="AA1622" s="28" t="s">
        <v>5287</v>
      </c>
      <c r="AB1622" s="28">
        <v>26.0</v>
      </c>
      <c r="AC1622" s="28" t="s">
        <v>23</v>
      </c>
      <c r="AD1622" s="23"/>
      <c r="AE1622" s="28" t="s">
        <v>15</v>
      </c>
      <c r="AF1622" s="23"/>
      <c r="AG1622" s="23"/>
      <c r="AH1622" s="23" t="str">
        <f>IFERROR(__xludf.DUMMYFUNCTION("IF(
ISNUMBER(MATCH(
C1622,
IMPORTRANGE(""https://docs.google.com/spreadsheets/d/1yTh1ELC33JHYOeEdgIiEclxPRyh0zOKtlawDltfUay8"",""'Interns'!A:A""),
0
)),
""Outreach Conducted"",
"""")"),"")</f>
        <v/>
      </c>
      <c r="AI1622" s="23"/>
      <c r="AJ1622" s="23"/>
      <c r="AK1622" s="23" t="str">
        <f>IFERROR(__xludf.DUMMYFUNCTION("XLOOKUP(C1622, 
   IMPORTRANGE(""1RdEdgHYrZ33LJ7RUHj_h-qkAFL92bcVjtIdVa-UlsCw"", ""Interns!D:D""), 
   IMPORTRANGE(""1RdEdgHYrZ33LJ7RUHj_h-qkAFL92bcVjtIdVa-UlsCw"", ""Interns!M:M""), 
   ""Not Found"")"),"Contacted")</f>
        <v>Contacted</v>
      </c>
      <c r="AL1622" s="23" t="str">
        <f>IFERROR(__xludf.DUMMYFUNCTION("XLOOKUP(C1622, 
   IMPORTRANGE(""1RdEdgHYrZ33LJ7RUHj_h-qkAFL92bcVjtIdVa-UlsCw"", ""Interns!D:D""), 
   IMPORTRANGE(""1RdEdgHYrZ33LJ7RUHj_h-qkAFL92bcVjtIdVa-UlsCw"", ""Interns!N:N""), 
   ""Not Found"")"),"#Cheers4Careers")</f>
        <v>#Cheers4Careers</v>
      </c>
      <c r="AM1622" s="23" t="str">
        <f>IFERROR(__xludf.DUMMYFUNCTION("XLOOKUP(C1622, 
   IMPORTRANGE(""1RdEdgHYrZ33LJ7RUHj_h-qkAFL92bcVjtIdVa-UlsCw"", ""Interns!D:D""), 
   IMPORTRANGE(""1RdEdgHYrZ33LJ7RUHj_h-qkAFL92bcVjtIdVa-UlsCw"", ""Interns!O:O""), 
   ""Not Found"")"),"Hetal reached out by email 3/27")</f>
        <v>Hetal reached out by email 3/27</v>
      </c>
      <c r="AN1622" s="23"/>
      <c r="AO1622" s="23" t="s">
        <v>12958</v>
      </c>
      <c r="AP1622" s="28" t="s">
        <v>5182</v>
      </c>
      <c r="AQ1622" s="28"/>
      <c r="AR1622" s="23"/>
      <c r="AS1622" s="23"/>
      <c r="AT1622" s="23"/>
      <c r="AU1622" s="23"/>
      <c r="AV1622" s="23"/>
    </row>
    <row r="1623">
      <c r="A1623" s="28" t="s">
        <v>5161</v>
      </c>
      <c r="B1623" s="28" t="s">
        <v>5162</v>
      </c>
      <c r="C1623" s="23" t="str">
        <f t="shared" si="39"/>
        <v>Keylin Cespedes</v>
      </c>
      <c r="D1623" s="22" t="s">
        <v>1975</v>
      </c>
      <c r="E1623" s="22" t="s">
        <v>7315</v>
      </c>
      <c r="F1623" s="23"/>
      <c r="G1623" s="23"/>
      <c r="H1623" s="22">
        <v>1971.0</v>
      </c>
      <c r="I1623" s="28"/>
      <c r="J1623" s="28"/>
      <c r="K1623" s="28"/>
      <c r="L1623" s="28" t="s">
        <v>5165</v>
      </c>
      <c r="M1623" s="29" t="s">
        <v>14975</v>
      </c>
      <c r="N1623" s="63">
        <v>45637.521527777775</v>
      </c>
      <c r="O1623" s="25">
        <v>40430.0</v>
      </c>
      <c r="P1623" s="28">
        <f t="shared" si="41"/>
        <v>15</v>
      </c>
      <c r="Q1623" s="62" t="s">
        <v>240</v>
      </c>
      <c r="R1623" s="22" t="s">
        <v>14976</v>
      </c>
      <c r="S1623" s="28">
        <v>13.0</v>
      </c>
      <c r="T1623" s="28">
        <v>30.0</v>
      </c>
      <c r="U1623" s="28">
        <v>70.0</v>
      </c>
      <c r="V1623" s="28">
        <v>9.0</v>
      </c>
      <c r="W1623" s="28" t="s">
        <v>271</v>
      </c>
      <c r="X1623" s="28" t="s">
        <v>272</v>
      </c>
      <c r="Y1623" s="24"/>
      <c r="Z1623" s="22" t="s">
        <v>9625</v>
      </c>
      <c r="AA1623" s="28" t="s">
        <v>6863</v>
      </c>
      <c r="AB1623" s="28">
        <v>9.0</v>
      </c>
      <c r="AC1623" s="28" t="s">
        <v>27</v>
      </c>
      <c r="AD1623" s="23"/>
      <c r="AE1623" s="28" t="s">
        <v>19</v>
      </c>
      <c r="AF1623" s="23"/>
      <c r="AG1623" s="23"/>
      <c r="AH1623" s="23" t="str">
        <f>IFERROR(__xludf.DUMMYFUNCTION("IF(
ISNUMBER(MATCH(
C1623,
IMPORTRANGE(""https://docs.google.com/spreadsheets/d/1yTh1ELC33JHYOeEdgIiEclxPRyh0zOKtlawDltfUay8"",""'Interns'!A:A""),
0
)),
""Outreach Conducted"",
"""")"),"")</f>
        <v/>
      </c>
      <c r="AI1623" s="23"/>
      <c r="AJ1623" s="23"/>
      <c r="AK1623" s="23"/>
      <c r="AL1623" s="23" t="str">
        <f>IFERROR(__xludf.DUMMYFUNCTION("XLOOKUP(C1623, 
   IMPORTRANGE(""1RdEdgHYrZ33LJ7RUHj_h-qkAFL92bcVjtIdVa-UlsCw"", ""Interns!D:D""), 
   IMPORTRANGE(""1RdEdgHYrZ33LJ7RUHj_h-qkAFL92bcVjtIdVa-UlsCw"", ""Interns!N:N""), 
   ""Not Found"")"),"Not Found")</f>
        <v>Not Found</v>
      </c>
      <c r="AM1623" s="23" t="str">
        <f>IFERROR(__xludf.DUMMYFUNCTION("XLOOKUP(C1623, 
   IMPORTRANGE(""1RdEdgHYrZ33LJ7RUHj_h-qkAFL92bcVjtIdVa-UlsCw"", ""Interns!D:D""), 
   IMPORTRANGE(""1RdEdgHYrZ33LJ7RUHj_h-qkAFL92bcVjtIdVa-UlsCw"", ""Interns!O:O""), 
   ""Not Found"")"),"Not Found")</f>
        <v>Not Found</v>
      </c>
      <c r="AN1623" s="23"/>
      <c r="AO1623" s="23"/>
      <c r="AP1623" s="28"/>
      <c r="AQ1623" s="28"/>
      <c r="AR1623" s="23"/>
      <c r="AS1623" s="23"/>
      <c r="AT1623" s="23"/>
      <c r="AU1623" s="23"/>
      <c r="AV1623" s="23"/>
    </row>
    <row r="1624">
      <c r="A1624" s="28" t="s">
        <v>5202</v>
      </c>
      <c r="B1624" s="28" t="s">
        <v>5162</v>
      </c>
      <c r="C1624" s="23" t="str">
        <f t="shared" si="39"/>
        <v>Chloe Sumlang</v>
      </c>
      <c r="D1624" s="28" t="s">
        <v>1948</v>
      </c>
      <c r="E1624" s="28" t="s">
        <v>14977</v>
      </c>
      <c r="F1624" s="23" t="str">
        <f t="array" ref="F1624">IFERROR(
    INDEX('Hub Interns 226'!A:A, MATCH(C1624, 'Hub Interns 226'!B:B, 0)),"")</f>
        <v/>
      </c>
      <c r="G1624" s="23">
        <f t="array" ref="G1624">IFERROR(
    INDEX('Hub Users 226'!A:A, MATCH(C1624, 'Hub Users 226'!B:B, 0)),"")</f>
        <v>2065</v>
      </c>
      <c r="H1624" s="28">
        <v>1845.0</v>
      </c>
      <c r="I1624" s="28"/>
      <c r="J1624" s="28"/>
      <c r="K1624" s="28"/>
      <c r="L1624" s="28" t="s">
        <v>5196</v>
      </c>
      <c r="M1624" s="56" t="s">
        <v>14978</v>
      </c>
      <c r="N1624" s="57">
        <v>45503.98402777778</v>
      </c>
      <c r="O1624" s="58">
        <v>45484.0</v>
      </c>
      <c r="P1624" s="28">
        <f t="shared" si="41"/>
        <v>1</v>
      </c>
      <c r="Q1624" s="28" t="s">
        <v>14979</v>
      </c>
      <c r="R1624" s="28" t="s">
        <v>14980</v>
      </c>
      <c r="S1624" s="28"/>
      <c r="T1624" s="28"/>
      <c r="U1624" s="28"/>
      <c r="V1624" s="28">
        <v>30.0</v>
      </c>
      <c r="W1624" s="28" t="s">
        <v>1173</v>
      </c>
      <c r="X1624" s="28" t="s">
        <v>272</v>
      </c>
      <c r="Y1624" s="28" t="s">
        <v>14981</v>
      </c>
      <c r="Z1624" s="23"/>
      <c r="AA1624" s="28" t="s">
        <v>5512</v>
      </c>
      <c r="AB1624" s="28">
        <v>30.0</v>
      </c>
      <c r="AC1624" s="28" t="s">
        <v>23</v>
      </c>
      <c r="AD1624" s="23"/>
      <c r="AE1624" s="28" t="s">
        <v>19</v>
      </c>
      <c r="AF1624" s="23"/>
      <c r="AG1624" s="23"/>
      <c r="AH1624" s="23" t="str">
        <f>IFERROR(__xludf.DUMMYFUNCTION("IF(
ISNUMBER(MATCH(
C1624,
IMPORTRANGE(""https://docs.google.com/spreadsheets/d/1yTh1ELC33JHYOeEdgIiEclxPRyh0zOKtlawDltfUay8"",""'Interns'!A:A""),
0
)),
""Outreach Conducted"",
"""")"),"")</f>
        <v/>
      </c>
      <c r="AI1624" s="23"/>
      <c r="AJ1624" s="23"/>
      <c r="AK1624" s="23" t="str">
        <f>IFERROR(__xludf.DUMMYFUNCTION("XLOOKUP(C1624, 
   IMPORTRANGE(""1RdEdgHYrZ33LJ7RUHj_h-qkAFL92bcVjtIdVa-UlsCw"", ""Interns!D:D""), 
   IMPORTRANGE(""1RdEdgHYrZ33LJ7RUHj_h-qkAFL92bcVjtIdVa-UlsCw"", ""Interns!M:M""), 
   ""Not Found"")"),"Not Found")</f>
        <v>Not Found</v>
      </c>
      <c r="AL1624" s="23" t="str">
        <f>IFERROR(__xludf.DUMMYFUNCTION("XLOOKUP(C1624, 
   IMPORTRANGE(""1RdEdgHYrZ33LJ7RUHj_h-qkAFL92bcVjtIdVa-UlsCw"", ""Interns!D:D""), 
   IMPORTRANGE(""1RdEdgHYrZ33LJ7RUHj_h-qkAFL92bcVjtIdVa-UlsCw"", ""Interns!N:N""), 
   ""Not Found"")"),"Not Found")</f>
        <v>Not Found</v>
      </c>
      <c r="AM1624" s="23" t="str">
        <f>IFERROR(__xludf.DUMMYFUNCTION("XLOOKUP(C1624, 
   IMPORTRANGE(""1RdEdgHYrZ33LJ7RUHj_h-qkAFL92bcVjtIdVa-UlsCw"", ""Interns!D:D""), 
   IMPORTRANGE(""1RdEdgHYrZ33LJ7RUHj_h-qkAFL92bcVjtIdVa-UlsCw"", ""Interns!O:O""), 
   ""Not Found"")"),"Not Found")</f>
        <v>Not Found</v>
      </c>
      <c r="AN1624" s="23"/>
      <c r="AO1624" s="23" t="s">
        <v>14982</v>
      </c>
      <c r="AP1624" s="28" t="s">
        <v>5182</v>
      </c>
      <c r="AQ1624" s="28" t="s">
        <v>14983</v>
      </c>
      <c r="AR1624" s="23">
        <v>3.472835559E9</v>
      </c>
      <c r="AS1624" s="23"/>
      <c r="AT1624" s="23"/>
      <c r="AU1624" s="23"/>
      <c r="AV1624" s="23"/>
    </row>
    <row r="1625">
      <c r="A1625" s="28" t="s">
        <v>5161</v>
      </c>
      <c r="B1625" s="28" t="s">
        <v>5162</v>
      </c>
      <c r="C1625" s="23" t="str">
        <f t="shared" si="39"/>
        <v>Axel Narvaez</v>
      </c>
      <c r="D1625" s="22" t="s">
        <v>8240</v>
      </c>
      <c r="E1625" s="22" t="s">
        <v>6397</v>
      </c>
      <c r="F1625" s="23"/>
      <c r="G1625" s="23"/>
      <c r="H1625" s="22">
        <v>2028.0</v>
      </c>
      <c r="I1625" s="28"/>
      <c r="J1625" s="28"/>
      <c r="K1625" s="28"/>
      <c r="L1625" s="28" t="s">
        <v>5165</v>
      </c>
      <c r="M1625" s="29" t="s">
        <v>14984</v>
      </c>
      <c r="N1625" s="61">
        <v>45406.44861111111</v>
      </c>
      <c r="O1625" s="25">
        <v>45406.0</v>
      </c>
      <c r="P1625" s="28">
        <f t="shared" si="41"/>
        <v>2</v>
      </c>
      <c r="Q1625" s="62" t="s">
        <v>14985</v>
      </c>
      <c r="R1625" s="22" t="s">
        <v>14986</v>
      </c>
      <c r="S1625" s="28">
        <v>7.0</v>
      </c>
      <c r="T1625" s="28">
        <v>12.0</v>
      </c>
      <c r="U1625" s="28">
        <v>37.0</v>
      </c>
      <c r="V1625" s="28">
        <v>30.0</v>
      </c>
      <c r="W1625" s="28"/>
      <c r="X1625" s="28"/>
      <c r="Y1625" s="22" t="s">
        <v>14987</v>
      </c>
      <c r="Z1625" s="22" t="s">
        <v>14988</v>
      </c>
      <c r="AA1625" s="28" t="s">
        <v>5512</v>
      </c>
      <c r="AB1625" s="28">
        <v>30.0</v>
      </c>
      <c r="AC1625" s="28" t="s">
        <v>23</v>
      </c>
      <c r="AD1625" s="23"/>
      <c r="AE1625" s="28" t="s">
        <v>19</v>
      </c>
      <c r="AF1625" s="23"/>
      <c r="AG1625" s="23"/>
      <c r="AH1625" s="23" t="str">
        <f>IFERROR(__xludf.DUMMYFUNCTION("IF(
ISNUMBER(MATCH(
C1625,
IMPORTRANGE(""https://docs.google.com/spreadsheets/d/1yTh1ELC33JHYOeEdgIiEclxPRyh0zOKtlawDltfUay8"",""'Interns'!A:A""),
0
)),
""Outreach Conducted"",
"""")"),"")</f>
        <v/>
      </c>
      <c r="AI1625" s="23"/>
      <c r="AJ1625" s="23"/>
      <c r="AK1625" s="23" t="str">
        <f>IFERROR(__xludf.DUMMYFUNCTION("XLOOKUP(C1625, 
   IMPORTRANGE(""1RdEdgHYrZ33LJ7RUHj_h-qkAFL92bcVjtIdVa-UlsCw"", ""Interns!D:D""), 
   IMPORTRANGE(""1RdEdgHYrZ33LJ7RUHj_h-qkAFL92bcVjtIdVa-UlsCw"", ""Interns!M:M""), 
   ""Not Found"")"),"Not Found")</f>
        <v>Not Found</v>
      </c>
      <c r="AL1625" s="23" t="str">
        <f>IFERROR(__xludf.DUMMYFUNCTION("XLOOKUP(C1625, 
   IMPORTRANGE(""1RdEdgHYrZ33LJ7RUHj_h-qkAFL92bcVjtIdVa-UlsCw"", ""Interns!D:D""), 
   IMPORTRANGE(""1RdEdgHYrZ33LJ7RUHj_h-qkAFL92bcVjtIdVa-UlsCw"", ""Interns!N:N""), 
   ""Not Found"")"),"Not Found")</f>
        <v>Not Found</v>
      </c>
      <c r="AM1625" s="23" t="str">
        <f>IFERROR(__xludf.DUMMYFUNCTION("XLOOKUP(C1625, 
   IMPORTRANGE(""1RdEdgHYrZ33LJ7RUHj_h-qkAFL92bcVjtIdVa-UlsCw"", ""Interns!D:D""), 
   IMPORTRANGE(""1RdEdgHYrZ33LJ7RUHj_h-qkAFL92bcVjtIdVa-UlsCw"", ""Interns!O:O""), 
   ""Not Found"")"),"Not Found")</f>
        <v>Not Found</v>
      </c>
      <c r="AN1625" s="23"/>
      <c r="AO1625" s="23" t="s">
        <v>14989</v>
      </c>
      <c r="AP1625" s="28" t="s">
        <v>5182</v>
      </c>
      <c r="AQ1625" s="28" t="s">
        <v>14990</v>
      </c>
      <c r="AR1625" s="23" t="s">
        <v>14987</v>
      </c>
      <c r="AS1625" s="23"/>
      <c r="AT1625" s="23"/>
      <c r="AU1625" s="23"/>
      <c r="AV1625" s="23"/>
    </row>
    <row r="1626">
      <c r="A1626" s="28" t="s">
        <v>5161</v>
      </c>
      <c r="B1626" s="28" t="s">
        <v>5162</v>
      </c>
      <c r="C1626" s="23" t="str">
        <f t="shared" si="39"/>
        <v>Leila Nunez</v>
      </c>
      <c r="D1626" s="28" t="s">
        <v>12779</v>
      </c>
      <c r="E1626" s="28" t="s">
        <v>3988</v>
      </c>
      <c r="F1626" s="23">
        <f t="array" ref="F1626">IFERROR(
    INDEX('Hub Interns 226'!A:A, MATCH(C1626, 'Hub Interns 226'!B:B, 0)),"")</f>
        <v>955</v>
      </c>
      <c r="G1626" s="23">
        <f t="array" ref="G1626">IFERROR(
    INDEX('Hub Users 226'!A:A, MATCH(C1626, 'Hub Users 226'!B:B, 0)),"")</f>
        <v>1388</v>
      </c>
      <c r="H1626" s="28">
        <v>394.0</v>
      </c>
      <c r="I1626" s="28" t="s">
        <v>425</v>
      </c>
      <c r="J1626" s="28"/>
      <c r="K1626" s="28"/>
      <c r="L1626" s="28" t="s">
        <v>5196</v>
      </c>
      <c r="M1626" s="56" t="s">
        <v>14991</v>
      </c>
      <c r="N1626" s="57">
        <v>44274.51111111111</v>
      </c>
      <c r="O1626" s="58">
        <v>38302.0</v>
      </c>
      <c r="P1626" s="28">
        <f t="shared" si="41"/>
        <v>21</v>
      </c>
      <c r="Q1626" s="28" t="s">
        <v>240</v>
      </c>
      <c r="R1626" s="28" t="s">
        <v>14992</v>
      </c>
      <c r="S1626" s="28">
        <v>13.0</v>
      </c>
      <c r="T1626" s="28">
        <v>30.0</v>
      </c>
      <c r="U1626" s="28">
        <v>70.0</v>
      </c>
      <c r="V1626" s="28">
        <v>7.0</v>
      </c>
      <c r="W1626" s="28" t="s">
        <v>859</v>
      </c>
      <c r="X1626" s="28" t="s">
        <v>272</v>
      </c>
      <c r="Y1626" s="28" t="s">
        <v>14993</v>
      </c>
      <c r="Z1626" s="28" t="s">
        <v>14994</v>
      </c>
      <c r="AA1626" s="28" t="s">
        <v>7761</v>
      </c>
      <c r="AB1626" s="28">
        <v>11.0</v>
      </c>
      <c r="AC1626" s="28" t="s">
        <v>24</v>
      </c>
      <c r="AD1626" s="23"/>
      <c r="AE1626" s="28" t="s">
        <v>8</v>
      </c>
      <c r="AF1626" s="23"/>
      <c r="AG1626" s="23"/>
      <c r="AH1626" s="23" t="str">
        <f>IFERROR(__xludf.DUMMYFUNCTION("IF(
ISNUMBER(MATCH(
C1626,
IMPORTRANGE(""https://docs.google.com/spreadsheets/d/1yTh1ELC33JHYOeEdgIiEclxPRyh0zOKtlawDltfUay8"",""'Interns'!A:A""),
0
)),
""Outreach Conducted"",
"""")"),"")</f>
        <v/>
      </c>
      <c r="AI1626" s="23"/>
      <c r="AJ1626" s="23"/>
      <c r="AK1626" s="23" t="str">
        <f>IFERROR(__xludf.DUMMYFUNCTION("XLOOKUP(C1626, 
   IMPORTRANGE(""1RdEdgHYrZ33LJ7RUHj_h-qkAFL92bcVjtIdVa-UlsCw"", ""Interns!D:D""), 
   IMPORTRANGE(""1RdEdgHYrZ33LJ7RUHj_h-qkAFL92bcVjtIdVa-UlsCw"", ""Interns!M:M""), 
   ""Not Found"")"),"")</f>
        <v/>
      </c>
      <c r="AL1626" s="23" t="str">
        <f>IFERROR(__xludf.DUMMYFUNCTION("XLOOKUP(C1626, 
   IMPORTRANGE(""1RdEdgHYrZ33LJ7RUHj_h-qkAFL92bcVjtIdVa-UlsCw"", ""Interns!D:D""), 
   IMPORTRANGE(""1RdEdgHYrZ33LJ7RUHj_h-qkAFL92bcVjtIdVa-UlsCw"", ""Interns!N:N""), 
   ""Not Found"")"),"")</f>
        <v/>
      </c>
      <c r="AM1626" s="23" t="str">
        <f>IFERROR(__xludf.DUMMYFUNCTION("XLOOKUP(C1626, 
   IMPORTRANGE(""1RdEdgHYrZ33LJ7RUHj_h-qkAFL92bcVjtIdVa-UlsCw"", ""Interns!D:D""), 
   IMPORTRANGE(""1RdEdgHYrZ33LJ7RUHj_h-qkAFL92bcVjtIdVa-UlsCw"", ""Interns!O:O""), 
   ""Not Found"")"),"")</f>
        <v/>
      </c>
      <c r="AN1626" s="23"/>
      <c r="AO1626" s="23" t="s">
        <v>14995</v>
      </c>
      <c r="AP1626" s="28" t="s">
        <v>5191</v>
      </c>
      <c r="AQ1626" s="28"/>
      <c r="AR1626" s="23"/>
      <c r="AS1626" s="23"/>
      <c r="AT1626" s="23"/>
      <c r="AU1626" s="23"/>
      <c r="AV1626" s="23"/>
    </row>
    <row r="1627">
      <c r="A1627" s="28" t="s">
        <v>5161</v>
      </c>
      <c r="B1627" s="28" t="s">
        <v>5162</v>
      </c>
      <c r="C1627" s="23" t="str">
        <f t="shared" si="39"/>
        <v>Alejandro Dejesus</v>
      </c>
      <c r="D1627" s="28" t="s">
        <v>14996</v>
      </c>
      <c r="E1627" s="28" t="s">
        <v>14997</v>
      </c>
      <c r="F1627" s="23">
        <f t="array" ref="F1627">IFERROR(
    INDEX('Hub Interns 226'!A:A, MATCH(C1627, 'Hub Interns 226'!B:B, 0)),"")</f>
        <v>179</v>
      </c>
      <c r="G1627" s="23">
        <f t="array" ref="G1627">IFERROR(
    INDEX('Hub Users 226'!A:A, MATCH(C1627, 'Hub Users 226'!B:B, 0)),"")</f>
        <v>612</v>
      </c>
      <c r="H1627" s="28">
        <v>995.0</v>
      </c>
      <c r="I1627" s="28" t="s">
        <v>260</v>
      </c>
      <c r="J1627" s="28"/>
      <c r="K1627" s="28"/>
      <c r="L1627" s="28" t="s">
        <v>5165</v>
      </c>
      <c r="M1627" s="56" t="s">
        <v>14998</v>
      </c>
      <c r="N1627" s="57">
        <v>44644.93819444445</v>
      </c>
      <c r="O1627" s="58">
        <v>39872.0</v>
      </c>
      <c r="P1627" s="28">
        <f t="shared" si="41"/>
        <v>17</v>
      </c>
      <c r="Q1627" s="28" t="s">
        <v>240</v>
      </c>
      <c r="R1627" s="28" t="s">
        <v>14999</v>
      </c>
      <c r="S1627" s="28">
        <v>7.0</v>
      </c>
      <c r="T1627" s="28">
        <v>12.0</v>
      </c>
      <c r="U1627" s="28">
        <v>37.0</v>
      </c>
      <c r="V1627" s="28">
        <v>30.0</v>
      </c>
      <c r="W1627" s="28" t="s">
        <v>1173</v>
      </c>
      <c r="X1627" s="28" t="s">
        <v>272</v>
      </c>
      <c r="Y1627" s="28" t="s">
        <v>15000</v>
      </c>
      <c r="Z1627" s="28" t="s">
        <v>9652</v>
      </c>
      <c r="AA1627" s="28" t="s">
        <v>9653</v>
      </c>
      <c r="AB1627" s="28">
        <v>30.0</v>
      </c>
      <c r="AC1627" s="28" t="s">
        <v>24</v>
      </c>
      <c r="AD1627" s="23"/>
      <c r="AE1627" s="28" t="s">
        <v>10</v>
      </c>
      <c r="AF1627" s="23"/>
      <c r="AG1627" s="23"/>
      <c r="AH1627" s="23" t="str">
        <f>IFERROR(__xludf.DUMMYFUNCTION("IF(
ISNUMBER(MATCH(
C1627,
IMPORTRANGE(""https://docs.google.com/spreadsheets/d/1yTh1ELC33JHYOeEdgIiEclxPRyh0zOKtlawDltfUay8"",""'Interns'!A:A""),
0
)),
""Outreach Conducted"",
"""")"),"")</f>
        <v/>
      </c>
      <c r="AI1627" s="23"/>
      <c r="AJ1627" s="23"/>
      <c r="AK1627" s="23" t="str">
        <f>IFERROR(__xludf.DUMMYFUNCTION("XLOOKUP(C1627, 
   IMPORTRANGE(""1RdEdgHYrZ33LJ7RUHj_h-qkAFL92bcVjtIdVa-UlsCw"", ""Interns!D:D""), 
   IMPORTRANGE(""1RdEdgHYrZ33LJ7RUHj_h-qkAFL92bcVjtIdVa-UlsCw"", ""Interns!M:M""), 
   ""Not Found"")"),"Contacted")</f>
        <v>Contacted</v>
      </c>
      <c r="AL1627" s="23" t="str">
        <f>IFERROR(__xludf.DUMMYFUNCTION("XLOOKUP(C1627, 
   IMPORTRANGE(""1RdEdgHYrZ33LJ7RUHj_h-qkAFL92bcVjtIdVa-UlsCw"", ""Interns!D:D""), 
   IMPORTRANGE(""1RdEdgHYrZ33LJ7RUHj_h-qkAFL92bcVjtIdVa-UlsCw"", ""Interns!N:N""), 
   ""Not Found"")"),"#Cheers4Careers")</f>
        <v>#Cheers4Careers</v>
      </c>
      <c r="AM1627" s="23" t="str">
        <f>IFERROR(__xludf.DUMMYFUNCTION("XLOOKUP(C1627, 
   IMPORTRANGE(""1RdEdgHYrZ33LJ7RUHj_h-qkAFL92bcVjtIdVa-UlsCw"", ""Interns!D:D""), 
   IMPORTRANGE(""1RdEdgHYrZ33LJ7RUHj_h-qkAFL92bcVjtIdVa-UlsCw"", ""Interns!O:O""), 
   ""Not Found"")"),"Reached out by email 3/26 and by text 3/27  for Cheers 4 Careers Reached out again 3/28 but no response ")</f>
        <v>Reached out by email 3/26 and by text 3/27  for Cheers 4 Careers Reached out again 3/28 but no response </v>
      </c>
      <c r="AN1627" s="23"/>
      <c r="AO1627" s="23" t="s">
        <v>15001</v>
      </c>
      <c r="AP1627" s="28" t="s">
        <v>5182</v>
      </c>
      <c r="AQ1627" s="28"/>
      <c r="AR1627" s="23"/>
      <c r="AS1627" s="23"/>
      <c r="AT1627" s="23"/>
      <c r="AU1627" s="23"/>
      <c r="AV1627" s="23"/>
    </row>
    <row r="1628">
      <c r="A1628" s="28" t="s">
        <v>5161</v>
      </c>
      <c r="B1628" s="28" t="s">
        <v>5162</v>
      </c>
      <c r="C1628" s="23" t="str">
        <f t="shared" si="39"/>
        <v>Aryn Arias</v>
      </c>
      <c r="D1628" s="28" t="s">
        <v>15002</v>
      </c>
      <c r="E1628" s="28" t="s">
        <v>6470</v>
      </c>
      <c r="F1628" s="23">
        <f t="array" ref="F1628">IFERROR(
    INDEX('Hub Interns 226'!A:A, MATCH(C1628, 'Hub Interns 226'!B:B, 0)),"")</f>
        <v>266</v>
      </c>
      <c r="G1628" s="23">
        <f t="array" ref="G1628">IFERROR(
    INDEX('Hub Users 226'!A:A, MATCH(C1628, 'Hub Users 226'!B:B, 0)),"")</f>
        <v>699</v>
      </c>
      <c r="H1628" s="28">
        <v>1019.0</v>
      </c>
      <c r="I1628" s="28"/>
      <c r="J1628" s="28"/>
      <c r="K1628" s="28"/>
      <c r="L1628" s="28" t="s">
        <v>5165</v>
      </c>
      <c r="M1628" s="56" t="s">
        <v>15003</v>
      </c>
      <c r="N1628" s="57">
        <v>44658.370833333334</v>
      </c>
      <c r="O1628" s="58">
        <v>39844.0</v>
      </c>
      <c r="P1628" s="28">
        <f t="shared" si="41"/>
        <v>17</v>
      </c>
      <c r="Q1628" s="28" t="s">
        <v>240</v>
      </c>
      <c r="R1628" s="28" t="s">
        <v>15004</v>
      </c>
      <c r="S1628" s="28">
        <v>7.0</v>
      </c>
      <c r="T1628" s="28">
        <v>12.0</v>
      </c>
      <c r="U1628" s="28">
        <v>37.0</v>
      </c>
      <c r="V1628" s="28">
        <v>30.0</v>
      </c>
      <c r="W1628" s="28" t="s">
        <v>1173</v>
      </c>
      <c r="X1628" s="28" t="s">
        <v>272</v>
      </c>
      <c r="Y1628" s="28" t="s">
        <v>15005</v>
      </c>
      <c r="Z1628" s="28" t="s">
        <v>7427</v>
      </c>
      <c r="AA1628" s="28" t="s">
        <v>7428</v>
      </c>
      <c r="AB1628" s="28">
        <v>34.0</v>
      </c>
      <c r="AC1628" s="28" t="s">
        <v>24</v>
      </c>
      <c r="AD1628" s="23"/>
      <c r="AE1628" s="28" t="s">
        <v>10</v>
      </c>
      <c r="AF1628" s="23"/>
      <c r="AG1628" s="23"/>
      <c r="AH1628" s="23" t="str">
        <f>IFERROR(__xludf.DUMMYFUNCTION("IF(
ISNUMBER(MATCH(
C1628,
IMPORTRANGE(""https://docs.google.com/spreadsheets/d/1yTh1ELC33JHYOeEdgIiEclxPRyh0zOKtlawDltfUay8"",""'Interns'!A:A""),
0
)),
""Outreach Conducted"",
"""")"),"")</f>
        <v/>
      </c>
      <c r="AI1628" s="23"/>
      <c r="AJ1628" s="23"/>
      <c r="AK1628" s="23" t="str">
        <f>IFERROR(__xludf.DUMMYFUNCTION("XLOOKUP(C1628, 
   IMPORTRANGE(""1RdEdgHYrZ33LJ7RUHj_h-qkAFL92bcVjtIdVa-UlsCw"", ""Interns!D:D""), 
   IMPORTRANGE(""1RdEdgHYrZ33LJ7RUHj_h-qkAFL92bcVjtIdVa-UlsCw"", ""Interns!M:M""), 
   ""Not Found"")"),"Contacted")</f>
        <v>Contacted</v>
      </c>
      <c r="AL1628" s="23" t="str">
        <f>IFERROR(__xludf.DUMMYFUNCTION("XLOOKUP(C1628, 
   IMPORTRANGE(""1RdEdgHYrZ33LJ7RUHj_h-qkAFL92bcVjtIdVa-UlsCw"", ""Interns!D:D""), 
   IMPORTRANGE(""1RdEdgHYrZ33LJ7RUHj_h-qkAFL92bcVjtIdVa-UlsCw"", ""Interns!N:N""), 
   ""Not Found"")"),"#Cheers4Careers")</f>
        <v>#Cheers4Careers</v>
      </c>
      <c r="AM1628" s="23" t="str">
        <f>IFERROR(__xludf.DUMMYFUNCTION("XLOOKUP(C1628, 
   IMPORTRANGE(""1RdEdgHYrZ33LJ7RUHj_h-qkAFL92bcVjtIdVa-UlsCw"", ""Interns!D:D""), 
   IMPORTRANGE(""1RdEdgHYrZ33LJ7RUHj_h-qkAFL92bcVjtIdVa-UlsCw"", ""Interns!O:O""), 
   ""Not Found"")"),"Hetal reached out by email 3/27")</f>
        <v>Hetal reached out by email 3/27</v>
      </c>
      <c r="AN1628" s="23"/>
      <c r="AO1628" s="23" t="s">
        <v>15006</v>
      </c>
      <c r="AP1628" s="28" t="s">
        <v>5182</v>
      </c>
      <c r="AQ1628" s="28"/>
      <c r="AR1628" s="23"/>
      <c r="AS1628" s="23"/>
      <c r="AT1628" s="23"/>
      <c r="AU1628" s="23"/>
      <c r="AV1628" s="23"/>
    </row>
    <row r="1629">
      <c r="A1629" s="28" t="s">
        <v>5202</v>
      </c>
      <c r="B1629" s="28" t="s">
        <v>5162</v>
      </c>
      <c r="C1629" s="23" t="str">
        <f t="shared" si="39"/>
        <v>Scarlett Cotto</v>
      </c>
      <c r="D1629" s="28" t="s">
        <v>15007</v>
      </c>
      <c r="E1629" s="28" t="s">
        <v>15008</v>
      </c>
      <c r="F1629" s="23">
        <f t="array" ref="F1629">IFERROR(
    INDEX('Hub Interns 226'!A:A, MATCH(C1629, 'Hub Interns 226'!B:B, 0)),"")</f>
        <v>1078</v>
      </c>
      <c r="G1629" s="23">
        <f t="array" ref="G1629">IFERROR(
    INDEX('Hub Users 226'!A:A, MATCH(C1629, 'Hub Users 226'!B:B, 0)),"")</f>
        <v>1511</v>
      </c>
      <c r="H1629" s="28">
        <v>829.0</v>
      </c>
      <c r="I1629" s="28" t="s">
        <v>785</v>
      </c>
      <c r="J1629" s="28"/>
      <c r="K1629" s="28"/>
      <c r="L1629" s="28" t="s">
        <v>5196</v>
      </c>
      <c r="M1629" s="56" t="s">
        <v>15009</v>
      </c>
      <c r="N1629" s="57">
        <v>44573.80416666667</v>
      </c>
      <c r="O1629" s="58">
        <v>37655.0</v>
      </c>
      <c r="P1629" s="28">
        <f t="shared" si="41"/>
        <v>23</v>
      </c>
      <c r="Q1629" s="28" t="s">
        <v>15010</v>
      </c>
      <c r="R1629" s="28" t="s">
        <v>15011</v>
      </c>
      <c r="S1629" s="28">
        <v>15.0</v>
      </c>
      <c r="T1629" s="28">
        <v>32.0</v>
      </c>
      <c r="U1629" s="28">
        <v>77.0</v>
      </c>
      <c r="V1629" s="28">
        <v>16.0</v>
      </c>
      <c r="W1629" s="28" t="s">
        <v>859</v>
      </c>
      <c r="X1629" s="28" t="s">
        <v>272</v>
      </c>
      <c r="Y1629" s="28" t="s">
        <v>15012</v>
      </c>
      <c r="Z1629" s="28" t="s">
        <v>5779</v>
      </c>
      <c r="AA1629" s="28" t="s">
        <v>3931</v>
      </c>
      <c r="AB1629" s="28">
        <v>2.0</v>
      </c>
      <c r="AC1629" s="28" t="s">
        <v>25</v>
      </c>
      <c r="AD1629" s="23"/>
      <c r="AE1629" s="28" t="s">
        <v>10</v>
      </c>
      <c r="AF1629" s="23" t="str">
        <f>IFERROR(__xludf.DUMMYFUNCTION("TEXTJOIN("", "", TRUE,
  FILTER(Champions!C:C,
    ISNUMBER(SEARCH(C1629, Champions!W:W))
  )
)"),"CHRISTINA BROOMES, Lynda Nwabuobi")</f>
        <v>CHRISTINA BROOMES, Lynda Nwabuobi</v>
      </c>
      <c r="AG1629" s="23"/>
      <c r="AH1629" s="23" t="str">
        <f>IFERROR(__xludf.DUMMYFUNCTION("IF(
ISNUMBER(MATCH(
C1629,
IMPORTRANGE(""https://docs.google.com/spreadsheets/d/1yTh1ELC33JHYOeEdgIiEclxPRyh0zOKtlawDltfUay8"",""'Interns'!A:A""),
0
)),
""Outreach Conducted"",
"""")"),"")</f>
        <v/>
      </c>
      <c r="AI1629" s="23"/>
      <c r="AJ1629" s="23"/>
      <c r="AK1629" s="23" t="str">
        <f>IFERROR(__xludf.DUMMYFUNCTION("XLOOKUP(C1629, 
   IMPORTRANGE(""1RdEdgHYrZ33LJ7RUHj_h-qkAFL92bcVjtIdVa-UlsCw"", ""Interns!D:D""), 
   IMPORTRANGE(""1RdEdgHYrZ33LJ7RUHj_h-qkAFL92bcVjtIdVa-UlsCw"", ""Interns!M:M""), 
   ""Not Found"")"),"")</f>
        <v/>
      </c>
      <c r="AL1629" s="23" t="str">
        <f>IFERROR(__xludf.DUMMYFUNCTION("XLOOKUP(C1629, 
   IMPORTRANGE(""1RdEdgHYrZ33LJ7RUHj_h-qkAFL92bcVjtIdVa-UlsCw"", ""Interns!D:D""), 
   IMPORTRANGE(""1RdEdgHYrZ33LJ7RUHj_h-qkAFL92bcVjtIdVa-UlsCw"", ""Interns!N:N""), 
   ""Not Found"")"),"")</f>
        <v/>
      </c>
      <c r="AM1629" s="23" t="str">
        <f>IFERROR(__xludf.DUMMYFUNCTION("XLOOKUP(C1629, 
   IMPORTRANGE(""1RdEdgHYrZ33LJ7RUHj_h-qkAFL92bcVjtIdVa-UlsCw"", ""Interns!D:D""), 
   IMPORTRANGE(""1RdEdgHYrZ33LJ7RUHj_h-qkAFL92bcVjtIdVa-UlsCw"", ""Interns!O:O""), 
   ""Not Found"")"),"")</f>
        <v/>
      </c>
      <c r="AN1629" s="23"/>
      <c r="AO1629" s="23" t="s">
        <v>15013</v>
      </c>
      <c r="AP1629" s="28" t="s">
        <v>5182</v>
      </c>
      <c r="AQ1629" s="28" t="s">
        <v>15014</v>
      </c>
      <c r="AR1629" s="23" t="s">
        <v>15015</v>
      </c>
      <c r="AS1629" s="23"/>
      <c r="AT1629" s="23"/>
      <c r="AU1629" s="23"/>
      <c r="AV1629" s="23"/>
    </row>
    <row r="1630">
      <c r="A1630" s="28" t="s">
        <v>5202</v>
      </c>
      <c r="B1630" s="28" t="s">
        <v>5162</v>
      </c>
      <c r="C1630" s="23" t="str">
        <f t="shared" si="39"/>
        <v>Abigail Deosaran</v>
      </c>
      <c r="D1630" s="28" t="s">
        <v>458</v>
      </c>
      <c r="E1630" s="28" t="s">
        <v>15016</v>
      </c>
      <c r="F1630" s="23">
        <f t="array" ref="F1630">IFERROR(
    INDEX('Hub Interns 226'!A:A, MATCH(C1630, 'Hub Interns 226'!B:B, 0)),"")</f>
        <v>133</v>
      </c>
      <c r="G1630" s="23">
        <f t="array" ref="G1630">IFERROR(
    INDEX('Hub Users 226'!A:A, MATCH(C1630, 'Hub Users 226'!B:B, 0)),"")</f>
        <v>566</v>
      </c>
      <c r="H1630" s="28">
        <v>775.0</v>
      </c>
      <c r="I1630" s="28" t="s">
        <v>290</v>
      </c>
      <c r="J1630" s="28"/>
      <c r="K1630" s="28"/>
      <c r="L1630" s="28" t="s">
        <v>5196</v>
      </c>
      <c r="M1630" s="56" t="s">
        <v>15017</v>
      </c>
      <c r="N1630" s="59">
        <v>44553.38611111111</v>
      </c>
      <c r="O1630" s="58">
        <v>38435.0</v>
      </c>
      <c r="P1630" s="28">
        <f t="shared" si="41"/>
        <v>21</v>
      </c>
      <c r="Q1630" s="28" t="s">
        <v>240</v>
      </c>
      <c r="R1630" s="28" t="s">
        <v>15018</v>
      </c>
      <c r="S1630" s="28">
        <v>5.0</v>
      </c>
      <c r="T1630" s="28">
        <v>14.0</v>
      </c>
      <c r="U1630" s="28">
        <v>33.0</v>
      </c>
      <c r="V1630" s="28">
        <v>27.0</v>
      </c>
      <c r="W1630" s="28" t="s">
        <v>1173</v>
      </c>
      <c r="X1630" s="28" t="s">
        <v>272</v>
      </c>
      <c r="Y1630" s="28" t="s">
        <v>15019</v>
      </c>
      <c r="Z1630" s="28" t="s">
        <v>5332</v>
      </c>
      <c r="AA1630" s="28" t="s">
        <v>421</v>
      </c>
      <c r="AB1630" s="28">
        <v>31.0</v>
      </c>
      <c r="AC1630" s="28" t="s">
        <v>24</v>
      </c>
      <c r="AD1630" s="23"/>
      <c r="AE1630" s="28" t="s">
        <v>10</v>
      </c>
      <c r="AF1630" s="23"/>
      <c r="AG1630" s="23"/>
      <c r="AH1630" s="23" t="str">
        <f>IFERROR(__xludf.DUMMYFUNCTION("IF(
ISNUMBER(MATCH(
C1630,
IMPORTRANGE(""https://docs.google.com/spreadsheets/d/1yTh1ELC33JHYOeEdgIiEclxPRyh0zOKtlawDltfUay8"",""'Interns'!A:A""),
0
)),
""Outreach Conducted"",
"""")"),"")</f>
        <v/>
      </c>
      <c r="AI1630" s="23"/>
      <c r="AJ1630" s="23"/>
      <c r="AK1630" s="23" t="str">
        <f>IFERROR(__xludf.DUMMYFUNCTION("XLOOKUP(C1630, 
   IMPORTRANGE(""1RdEdgHYrZ33LJ7RUHj_h-qkAFL92bcVjtIdVa-UlsCw"", ""Interns!D:D""), 
   IMPORTRANGE(""1RdEdgHYrZ33LJ7RUHj_h-qkAFL92bcVjtIdVa-UlsCw"", ""Interns!M:M""), 
   ""Not Found"")"),"")</f>
        <v/>
      </c>
      <c r="AL1630" s="23" t="str">
        <f>IFERROR(__xludf.DUMMYFUNCTION("XLOOKUP(C1630, 
   IMPORTRANGE(""1RdEdgHYrZ33LJ7RUHj_h-qkAFL92bcVjtIdVa-UlsCw"", ""Interns!D:D""), 
   IMPORTRANGE(""1RdEdgHYrZ33LJ7RUHj_h-qkAFL92bcVjtIdVa-UlsCw"", ""Interns!N:N""), 
   ""Not Found"")"),"")</f>
        <v/>
      </c>
      <c r="AM1630" s="23" t="str">
        <f>IFERROR(__xludf.DUMMYFUNCTION("XLOOKUP(C1630, 
   IMPORTRANGE(""1RdEdgHYrZ33LJ7RUHj_h-qkAFL92bcVjtIdVa-UlsCw"", ""Interns!D:D""), 
   IMPORTRANGE(""1RdEdgHYrZ33LJ7RUHj_h-qkAFL92bcVjtIdVa-UlsCw"", ""Interns!O:O""), 
   ""Not Found"")"),"")</f>
        <v/>
      </c>
      <c r="AN1630" s="23"/>
      <c r="AO1630" s="23" t="s">
        <v>15020</v>
      </c>
      <c r="AP1630" s="28" t="s">
        <v>5182</v>
      </c>
      <c r="AQ1630" s="28"/>
      <c r="AR1630" s="23"/>
      <c r="AS1630" s="28" t="s">
        <v>15021</v>
      </c>
      <c r="AT1630" s="23"/>
      <c r="AU1630" s="23"/>
      <c r="AV1630" s="23"/>
    </row>
    <row r="1631">
      <c r="A1631" s="28" t="s">
        <v>5202</v>
      </c>
      <c r="B1631" s="28" t="s">
        <v>31</v>
      </c>
      <c r="C1631" s="23" t="str">
        <f t="shared" si="39"/>
        <v>Raymound Sanchez</v>
      </c>
      <c r="D1631" s="28" t="s">
        <v>15022</v>
      </c>
      <c r="E1631" s="28" t="s">
        <v>6853</v>
      </c>
      <c r="F1631" s="23">
        <f t="array" ref="F1631">IFERROR(
    INDEX('Hub Interns 226'!A:A, MATCH(C1631, 'Hub Interns 226'!B:B, 0)),"")</f>
        <v>1021</v>
      </c>
      <c r="G1631" s="23">
        <f t="array" ref="G1631">IFERROR(
    INDEX('Hub Users 226'!A:A, MATCH(C1631, 'Hub Users 226'!B:B, 0)),"")</f>
        <v>1454</v>
      </c>
      <c r="H1631" s="28">
        <v>1091.0</v>
      </c>
      <c r="I1631" s="28"/>
      <c r="J1631" s="28"/>
      <c r="K1631" s="28"/>
      <c r="L1631" s="28" t="s">
        <v>5165</v>
      </c>
      <c r="M1631" s="56" t="s">
        <v>15023</v>
      </c>
      <c r="N1631" s="57">
        <v>44705.64375</v>
      </c>
      <c r="O1631" s="58">
        <v>40039.0</v>
      </c>
      <c r="P1631" s="28">
        <f t="shared" si="41"/>
        <v>16</v>
      </c>
      <c r="Q1631" s="28" t="s">
        <v>240</v>
      </c>
      <c r="R1631" s="28" t="s">
        <v>15024</v>
      </c>
      <c r="S1631" s="28"/>
      <c r="T1631" s="28"/>
      <c r="U1631" s="28"/>
      <c r="V1631" s="28"/>
      <c r="W1631" s="28" t="s">
        <v>1173</v>
      </c>
      <c r="X1631" s="28" t="s">
        <v>272</v>
      </c>
      <c r="Y1631" s="28" t="s">
        <v>15025</v>
      </c>
      <c r="Z1631" s="28" t="s">
        <v>5403</v>
      </c>
      <c r="AA1631" s="28" t="s">
        <v>5404</v>
      </c>
      <c r="AB1631" s="28">
        <v>21.0</v>
      </c>
      <c r="AC1631" s="28" t="s">
        <v>23</v>
      </c>
      <c r="AD1631" s="23"/>
      <c r="AE1631" s="28" t="s">
        <v>15</v>
      </c>
      <c r="AF1631" s="23"/>
      <c r="AG1631" s="23"/>
      <c r="AH1631" s="23" t="str">
        <f>IFERROR(__xludf.DUMMYFUNCTION("IF(
ISNUMBER(MATCH(
C1631,
IMPORTRANGE(""https://docs.google.com/spreadsheets/d/1yTh1ELC33JHYOeEdgIiEclxPRyh0zOKtlawDltfUay8"",""'Interns'!A:A""),
0
)),
""Outreach Conducted"",
"""")"),"")</f>
        <v/>
      </c>
      <c r="AI1631" s="23"/>
      <c r="AJ1631" s="23"/>
      <c r="AK1631" s="23" t="str">
        <f>IFERROR(__xludf.DUMMYFUNCTION("XLOOKUP(C1631, 
   IMPORTRANGE(""1RdEdgHYrZ33LJ7RUHj_h-qkAFL92bcVjtIdVa-UlsCw"", ""Interns!D:D""), 
   IMPORTRANGE(""1RdEdgHYrZ33LJ7RUHj_h-qkAFL92bcVjtIdVa-UlsCw"", ""Interns!M:M""), 
   ""Not Found"")"),"")</f>
        <v/>
      </c>
      <c r="AL1631" s="23" t="str">
        <f>IFERROR(__xludf.DUMMYFUNCTION("XLOOKUP(C1631, 
   IMPORTRANGE(""1RdEdgHYrZ33LJ7RUHj_h-qkAFL92bcVjtIdVa-UlsCw"", ""Interns!D:D""), 
   IMPORTRANGE(""1RdEdgHYrZ33LJ7RUHj_h-qkAFL92bcVjtIdVa-UlsCw"", ""Interns!N:N""), 
   ""Not Found"")"),"")</f>
        <v/>
      </c>
      <c r="AM1631" s="23" t="str">
        <f>IFERROR(__xludf.DUMMYFUNCTION("XLOOKUP(C1631, 
   IMPORTRANGE(""1RdEdgHYrZ33LJ7RUHj_h-qkAFL92bcVjtIdVa-UlsCw"", ""Interns!D:D""), 
   IMPORTRANGE(""1RdEdgHYrZ33LJ7RUHj_h-qkAFL92bcVjtIdVa-UlsCw"", ""Interns!O:O""), 
   ""Not Found"")"),"")</f>
        <v/>
      </c>
      <c r="AN1631" s="23"/>
      <c r="AO1631" s="23" t="s">
        <v>15026</v>
      </c>
      <c r="AP1631" s="28" t="s">
        <v>5182</v>
      </c>
      <c r="AQ1631" s="28"/>
      <c r="AR1631" s="23"/>
      <c r="AS1631" s="23"/>
      <c r="AT1631" s="23"/>
      <c r="AU1631" s="23"/>
      <c r="AV1631" s="23"/>
    </row>
    <row r="1632">
      <c r="A1632" s="28" t="s">
        <v>5202</v>
      </c>
      <c r="B1632" s="28" t="s">
        <v>5162</v>
      </c>
      <c r="C1632" s="23" t="str">
        <f t="shared" si="39"/>
        <v>Ani Perez</v>
      </c>
      <c r="D1632" s="28" t="s">
        <v>15027</v>
      </c>
      <c r="E1632" s="28" t="s">
        <v>5175</v>
      </c>
      <c r="F1632" s="23">
        <f t="array" ref="F1632">IFERROR(
    INDEX('Hub Interns 226'!A:A, MATCH(C1632, 'Hub Interns 226'!B:B, 0)),"")</f>
        <v>243</v>
      </c>
      <c r="G1632" s="23">
        <f t="array" ref="G1632">IFERROR(
    INDEX('Hub Users 226'!A:A, MATCH(C1632, 'Hub Users 226'!B:B, 0)),"")</f>
        <v>676</v>
      </c>
      <c r="H1632" s="28">
        <v>1041.0</v>
      </c>
      <c r="I1632" s="28"/>
      <c r="J1632" s="28"/>
      <c r="K1632" s="28"/>
      <c r="L1632" s="28" t="s">
        <v>5196</v>
      </c>
      <c r="M1632" s="56" t="s">
        <v>15028</v>
      </c>
      <c r="N1632" s="57">
        <v>44684.42847222222</v>
      </c>
      <c r="O1632" s="58">
        <v>38618.0</v>
      </c>
      <c r="P1632" s="28">
        <f t="shared" si="41"/>
        <v>20</v>
      </c>
      <c r="Q1632" s="28" t="s">
        <v>240</v>
      </c>
      <c r="R1632" s="28" t="s">
        <v>15029</v>
      </c>
      <c r="S1632" s="28">
        <v>15.0</v>
      </c>
      <c r="T1632" s="28">
        <v>33.0</v>
      </c>
      <c r="U1632" s="28">
        <v>86.0</v>
      </c>
      <c r="V1632" s="28">
        <v>14.0</v>
      </c>
      <c r="W1632" s="28" t="s">
        <v>859</v>
      </c>
      <c r="X1632" s="28" t="s">
        <v>272</v>
      </c>
      <c r="Y1632" s="28" t="s">
        <v>15030</v>
      </c>
      <c r="Z1632" s="28" t="s">
        <v>5310</v>
      </c>
      <c r="AA1632" s="28" t="s">
        <v>362</v>
      </c>
      <c r="AB1632" s="28">
        <v>16.0</v>
      </c>
      <c r="AC1632" s="28" t="s">
        <v>24</v>
      </c>
      <c r="AD1632" s="23"/>
      <c r="AE1632" s="28" t="s">
        <v>10</v>
      </c>
      <c r="AF1632" s="23"/>
      <c r="AG1632" s="23"/>
      <c r="AH1632" s="23" t="str">
        <f>IFERROR(__xludf.DUMMYFUNCTION("IF(
ISNUMBER(MATCH(
C1632,
IMPORTRANGE(""https://docs.google.com/spreadsheets/d/1yTh1ELC33JHYOeEdgIiEclxPRyh0zOKtlawDltfUay8"",""'Interns'!A:A""),
0
)),
""Outreach Conducted"",
"""")"),"")</f>
        <v/>
      </c>
      <c r="AI1632" s="23"/>
      <c r="AJ1632" s="23"/>
      <c r="AK1632" s="23" t="str">
        <f>IFERROR(__xludf.DUMMYFUNCTION("XLOOKUP(C1632, 
   IMPORTRANGE(""1RdEdgHYrZ33LJ7RUHj_h-qkAFL92bcVjtIdVa-UlsCw"", ""Interns!D:D""), 
   IMPORTRANGE(""1RdEdgHYrZ33LJ7RUHj_h-qkAFL92bcVjtIdVa-UlsCw"", ""Interns!M:M""), 
   ""Not Found"")"),"")</f>
        <v/>
      </c>
      <c r="AL1632" s="23" t="str">
        <f>IFERROR(__xludf.DUMMYFUNCTION("XLOOKUP(C1632, 
   IMPORTRANGE(""1RdEdgHYrZ33LJ7RUHj_h-qkAFL92bcVjtIdVa-UlsCw"", ""Interns!D:D""), 
   IMPORTRANGE(""1RdEdgHYrZ33LJ7RUHj_h-qkAFL92bcVjtIdVa-UlsCw"", ""Interns!N:N""), 
   ""Not Found"")"),"")</f>
        <v/>
      </c>
      <c r="AM1632" s="23" t="str">
        <f>IFERROR(__xludf.DUMMYFUNCTION("XLOOKUP(C1632, 
   IMPORTRANGE(""1RdEdgHYrZ33LJ7RUHj_h-qkAFL92bcVjtIdVa-UlsCw"", ""Interns!D:D""), 
   IMPORTRANGE(""1RdEdgHYrZ33LJ7RUHj_h-qkAFL92bcVjtIdVa-UlsCw"", ""Interns!O:O""), 
   ""Not Found"")"),"")</f>
        <v/>
      </c>
      <c r="AN1632" s="23"/>
      <c r="AO1632" s="23" t="s">
        <v>15031</v>
      </c>
      <c r="AP1632" s="28" t="s">
        <v>5182</v>
      </c>
      <c r="AQ1632" s="28"/>
      <c r="AR1632" s="23"/>
      <c r="AS1632" s="23"/>
      <c r="AT1632" s="23"/>
      <c r="AU1632" s="23"/>
      <c r="AV1632" s="23"/>
    </row>
    <row r="1633">
      <c r="A1633" s="28" t="s">
        <v>5202</v>
      </c>
      <c r="B1633" s="28" t="s">
        <v>5162</v>
      </c>
      <c r="C1633" s="23" t="str">
        <f t="shared" si="39"/>
        <v>Jasmine White</v>
      </c>
      <c r="D1633" s="28" t="s">
        <v>1872</v>
      </c>
      <c r="E1633" s="28" t="s">
        <v>11294</v>
      </c>
      <c r="F1633" s="23">
        <f t="array" ref="F1633">IFERROR(
    INDEX('Hub Interns 226'!A:A, MATCH(C1633, 'Hub Interns 226'!B:B, 0)),"")</f>
        <v>626</v>
      </c>
      <c r="G1633" s="23">
        <f t="array" ref="G1633">IFERROR(
    INDEX('Hub Users 226'!A:A, MATCH(C1633, 'Hub Users 226'!B:B, 0)),"")</f>
        <v>1059</v>
      </c>
      <c r="H1633" s="28">
        <v>820.0</v>
      </c>
      <c r="I1633" s="28"/>
      <c r="J1633" s="28"/>
      <c r="K1633" s="28"/>
      <c r="L1633" s="28" t="s">
        <v>5196</v>
      </c>
      <c r="M1633" s="56" t="s">
        <v>15032</v>
      </c>
      <c r="N1633" s="57">
        <v>44572.39791666667</v>
      </c>
      <c r="O1633" s="58">
        <v>38722.0</v>
      </c>
      <c r="P1633" s="28">
        <f t="shared" si="41"/>
        <v>20</v>
      </c>
      <c r="Q1633" s="28" t="s">
        <v>240</v>
      </c>
      <c r="R1633" s="28" t="s">
        <v>15033</v>
      </c>
      <c r="S1633" s="28">
        <v>5.0</v>
      </c>
      <c r="T1633" s="28">
        <v>11.0</v>
      </c>
      <c r="U1633" s="28">
        <v>24.0</v>
      </c>
      <c r="V1633" s="28">
        <v>23.0</v>
      </c>
      <c r="W1633" s="28" t="s">
        <v>1173</v>
      </c>
      <c r="X1633" s="28" t="s">
        <v>272</v>
      </c>
      <c r="Y1633" s="28" t="s">
        <v>15034</v>
      </c>
      <c r="Z1633" s="28" t="s">
        <v>5332</v>
      </c>
      <c r="AA1633" s="28" t="s">
        <v>421</v>
      </c>
      <c r="AB1633" s="28">
        <v>31.0</v>
      </c>
      <c r="AC1633" s="28" t="s">
        <v>24</v>
      </c>
      <c r="AD1633" s="23"/>
      <c r="AE1633" s="28" t="s">
        <v>10</v>
      </c>
      <c r="AF1633" s="23"/>
      <c r="AG1633" s="23"/>
      <c r="AH1633" s="23" t="str">
        <f>IFERROR(__xludf.DUMMYFUNCTION("IF(
ISNUMBER(MATCH(
C1633,
IMPORTRANGE(""https://docs.google.com/spreadsheets/d/1yTh1ELC33JHYOeEdgIiEclxPRyh0zOKtlawDltfUay8"",""'Interns'!A:A""),
0
)),
""Outreach Conducted"",
"""")"),"")</f>
        <v/>
      </c>
      <c r="AI1633" s="23"/>
      <c r="AJ1633" s="23"/>
      <c r="AK1633" s="23" t="str">
        <f>IFERROR(__xludf.DUMMYFUNCTION("XLOOKUP(C1633, 
   IMPORTRANGE(""1RdEdgHYrZ33LJ7RUHj_h-qkAFL92bcVjtIdVa-UlsCw"", ""Interns!D:D""), 
   IMPORTRANGE(""1RdEdgHYrZ33LJ7RUHj_h-qkAFL92bcVjtIdVa-UlsCw"", ""Interns!M:M""), 
   ""Not Found"")"),"")</f>
        <v/>
      </c>
      <c r="AL1633" s="23" t="str">
        <f>IFERROR(__xludf.DUMMYFUNCTION("XLOOKUP(C1633, 
   IMPORTRANGE(""1RdEdgHYrZ33LJ7RUHj_h-qkAFL92bcVjtIdVa-UlsCw"", ""Interns!D:D""), 
   IMPORTRANGE(""1RdEdgHYrZ33LJ7RUHj_h-qkAFL92bcVjtIdVa-UlsCw"", ""Interns!N:N""), 
   ""Not Found"")"),"")</f>
        <v/>
      </c>
      <c r="AM1633" s="23" t="str">
        <f>IFERROR(__xludf.DUMMYFUNCTION("XLOOKUP(C1633, 
   IMPORTRANGE(""1RdEdgHYrZ33LJ7RUHj_h-qkAFL92bcVjtIdVa-UlsCw"", ""Interns!D:D""), 
   IMPORTRANGE(""1RdEdgHYrZ33LJ7RUHj_h-qkAFL92bcVjtIdVa-UlsCw"", ""Interns!O:O""), 
   ""Not Found"")"),"")</f>
        <v/>
      </c>
      <c r="AN1633" s="23"/>
      <c r="AO1633" s="23" t="s">
        <v>15035</v>
      </c>
      <c r="AP1633" s="28" t="s">
        <v>5182</v>
      </c>
      <c r="AQ1633" s="28"/>
      <c r="AR1633" s="23"/>
      <c r="AS1633" s="28" t="s">
        <v>15036</v>
      </c>
      <c r="AT1633" s="23"/>
      <c r="AU1633" s="23"/>
      <c r="AV1633" s="23"/>
    </row>
    <row r="1634">
      <c r="A1634" s="28" t="s">
        <v>5202</v>
      </c>
      <c r="B1634" s="28" t="s">
        <v>5162</v>
      </c>
      <c r="C1634" s="23" t="str">
        <f t="shared" si="39"/>
        <v>Yeiry Rosa rodriguez</v>
      </c>
      <c r="D1634" s="28" t="s">
        <v>15037</v>
      </c>
      <c r="E1634" s="28" t="s">
        <v>15038</v>
      </c>
      <c r="F1634" s="23">
        <f t="array" ref="F1634">IFERROR(
    INDEX('Hub Interns 226'!A:A, MATCH(C1634, 'Hub Interns 226'!B:B, 0)),"")</f>
        <v>1039</v>
      </c>
      <c r="G1634" s="23">
        <f t="array" ref="G1634">IFERROR(
    INDEX('Hub Users 226'!A:A, MATCH(C1634, 'Hub Users 226'!B:B, 0)),"")</f>
        <v>1472</v>
      </c>
      <c r="H1634" s="28">
        <v>939.0</v>
      </c>
      <c r="I1634" s="28" t="s">
        <v>260</v>
      </c>
      <c r="J1634" s="28"/>
      <c r="K1634" s="28"/>
      <c r="L1634" s="28" t="s">
        <v>5196</v>
      </c>
      <c r="M1634" s="56" t="s">
        <v>15039</v>
      </c>
      <c r="N1634" s="57">
        <v>44603.48819444444</v>
      </c>
      <c r="O1634" s="58">
        <v>38681.0</v>
      </c>
      <c r="P1634" s="28">
        <f t="shared" si="41"/>
        <v>20</v>
      </c>
      <c r="Q1634" s="28" t="s">
        <v>240</v>
      </c>
      <c r="R1634" s="28" t="s">
        <v>15040</v>
      </c>
      <c r="S1634" s="28">
        <v>10.0</v>
      </c>
      <c r="T1634" s="28">
        <v>26.0</v>
      </c>
      <c r="U1634" s="28">
        <v>51.0</v>
      </c>
      <c r="V1634" s="28">
        <v>38.0</v>
      </c>
      <c r="W1634" s="28" t="s">
        <v>294</v>
      </c>
      <c r="X1634" s="28" t="s">
        <v>272</v>
      </c>
      <c r="Y1634" s="28" t="s">
        <v>15041</v>
      </c>
      <c r="Z1634" s="28" t="s">
        <v>5208</v>
      </c>
      <c r="AA1634" s="28" t="s">
        <v>2141</v>
      </c>
      <c r="AB1634" s="28">
        <v>8.0</v>
      </c>
      <c r="AC1634" s="28" t="s">
        <v>24</v>
      </c>
      <c r="AD1634" s="23"/>
      <c r="AE1634" s="28" t="s">
        <v>10</v>
      </c>
      <c r="AF1634" s="23"/>
      <c r="AG1634" s="23"/>
      <c r="AH1634" s="23" t="str">
        <f>IFERROR(__xludf.DUMMYFUNCTION("IF(
ISNUMBER(MATCH(
C1634,
IMPORTRANGE(""https://docs.google.com/spreadsheets/d/1yTh1ELC33JHYOeEdgIiEclxPRyh0zOKtlawDltfUay8"",""'Interns'!A:A""),
0
)),
""Outreach Conducted"",
"""")"),"")</f>
        <v/>
      </c>
      <c r="AI1634" s="23"/>
      <c r="AJ1634" s="23"/>
      <c r="AK1634" s="23" t="str">
        <f>IFERROR(__xludf.DUMMYFUNCTION("XLOOKUP(C1634, 
   IMPORTRANGE(""1RdEdgHYrZ33LJ7RUHj_h-qkAFL92bcVjtIdVa-UlsCw"", ""Interns!D:D""), 
   IMPORTRANGE(""1RdEdgHYrZ33LJ7RUHj_h-qkAFL92bcVjtIdVa-UlsCw"", ""Interns!M:M""), 
   ""Not Found"")"),"")</f>
        <v/>
      </c>
      <c r="AL1634" s="23" t="str">
        <f>IFERROR(__xludf.DUMMYFUNCTION("XLOOKUP(C1634, 
   IMPORTRANGE(""1RdEdgHYrZ33LJ7RUHj_h-qkAFL92bcVjtIdVa-UlsCw"", ""Interns!D:D""), 
   IMPORTRANGE(""1RdEdgHYrZ33LJ7RUHj_h-qkAFL92bcVjtIdVa-UlsCw"", ""Interns!N:N""), 
   ""Not Found"")"),"")</f>
        <v/>
      </c>
      <c r="AM1634" s="23" t="str">
        <f>IFERROR(__xludf.DUMMYFUNCTION("XLOOKUP(C1634, 
   IMPORTRANGE(""1RdEdgHYrZ33LJ7RUHj_h-qkAFL92bcVjtIdVa-UlsCw"", ""Interns!D:D""), 
   IMPORTRANGE(""1RdEdgHYrZ33LJ7RUHj_h-qkAFL92bcVjtIdVa-UlsCw"", ""Interns!O:O""), 
   ""Not Found"")"),"")</f>
        <v/>
      </c>
      <c r="AN1634" s="23"/>
      <c r="AO1634" s="23" t="s">
        <v>15042</v>
      </c>
      <c r="AP1634" s="28" t="s">
        <v>5182</v>
      </c>
      <c r="AQ1634" s="28"/>
      <c r="AR1634" s="23"/>
      <c r="AS1634" s="23"/>
      <c r="AT1634" s="23"/>
      <c r="AU1634" s="23"/>
      <c r="AV1634" s="23"/>
    </row>
    <row r="1635">
      <c r="A1635" s="28" t="s">
        <v>5161</v>
      </c>
      <c r="B1635" s="28" t="s">
        <v>5162</v>
      </c>
      <c r="C1635" s="23" t="str">
        <f t="shared" si="39"/>
        <v>Adam Colon</v>
      </c>
      <c r="D1635" s="28" t="s">
        <v>4181</v>
      </c>
      <c r="E1635" s="28" t="s">
        <v>5335</v>
      </c>
      <c r="F1635" s="23">
        <f t="array" ref="F1635">IFERROR(
    INDEX('Hub Interns 226'!A:A, MATCH(C1635, 'Hub Interns 226'!B:B, 0)),"")</f>
        <v>148</v>
      </c>
      <c r="G1635" s="23">
        <f t="array" ref="G1635">IFERROR(
    INDEX('Hub Users 226'!A:A, MATCH(C1635, 'Hub Users 226'!B:B, 0)),"")</f>
        <v>581</v>
      </c>
      <c r="H1635" s="28">
        <v>1010.0</v>
      </c>
      <c r="I1635" s="28"/>
      <c r="J1635" s="28"/>
      <c r="K1635" s="28"/>
      <c r="L1635" s="28" t="s">
        <v>5165</v>
      </c>
      <c r="M1635" s="56" t="s">
        <v>15043</v>
      </c>
      <c r="N1635" s="57">
        <v>44656.290972222225</v>
      </c>
      <c r="O1635" s="58">
        <v>44803.0</v>
      </c>
      <c r="P1635" s="28">
        <f t="shared" si="41"/>
        <v>3</v>
      </c>
      <c r="Q1635" s="28" t="s">
        <v>240</v>
      </c>
      <c r="R1635" s="28" t="s">
        <v>15044</v>
      </c>
      <c r="S1635" s="28">
        <v>7.0</v>
      </c>
      <c r="T1635" s="28">
        <v>12.0</v>
      </c>
      <c r="U1635" s="28">
        <v>37.0</v>
      </c>
      <c r="V1635" s="28">
        <v>30.0</v>
      </c>
      <c r="W1635" s="28" t="s">
        <v>1173</v>
      </c>
      <c r="X1635" s="28" t="s">
        <v>272</v>
      </c>
      <c r="Y1635" s="28" t="s">
        <v>15045</v>
      </c>
      <c r="Z1635" s="28" t="s">
        <v>9652</v>
      </c>
      <c r="AA1635" s="28" t="s">
        <v>9653</v>
      </c>
      <c r="AB1635" s="28">
        <v>30.0</v>
      </c>
      <c r="AC1635" s="28" t="s">
        <v>24</v>
      </c>
      <c r="AD1635" s="23"/>
      <c r="AE1635" s="28" t="s">
        <v>10</v>
      </c>
      <c r="AF1635" s="23"/>
      <c r="AG1635" s="23"/>
      <c r="AH1635" s="23" t="str">
        <f>IFERROR(__xludf.DUMMYFUNCTION("IF(
ISNUMBER(MATCH(
C1635,
IMPORTRANGE(""https://docs.google.com/spreadsheets/d/1yTh1ELC33JHYOeEdgIiEclxPRyh0zOKtlawDltfUay8"",""'Interns'!A:A""),
0
)),
""Outreach Conducted"",
"""")"),"")</f>
        <v/>
      </c>
      <c r="AI1635" s="23"/>
      <c r="AJ1635" s="23"/>
      <c r="AK1635" s="23" t="str">
        <f>IFERROR(__xludf.DUMMYFUNCTION("XLOOKUP(C1635, 
   IMPORTRANGE(""1RdEdgHYrZ33LJ7RUHj_h-qkAFL92bcVjtIdVa-UlsCw"", ""Interns!D:D""), 
   IMPORTRANGE(""1RdEdgHYrZ33LJ7RUHj_h-qkAFL92bcVjtIdVa-UlsCw"", ""Interns!M:M""), 
   ""Not Found"")"),"Contacted")</f>
        <v>Contacted</v>
      </c>
      <c r="AL1635" s="23" t="str">
        <f>IFERROR(__xludf.DUMMYFUNCTION("XLOOKUP(C1635, 
   IMPORTRANGE(""1RdEdgHYrZ33LJ7RUHj_h-qkAFL92bcVjtIdVa-UlsCw"", ""Interns!D:D""), 
   IMPORTRANGE(""1RdEdgHYrZ33LJ7RUHj_h-qkAFL92bcVjtIdVa-UlsCw"", ""Interns!N:N""), 
   ""Not Found"")"),"#Cheers4Careers")</f>
        <v>#Cheers4Careers</v>
      </c>
      <c r="AM1635" s="23" t="str">
        <f>IFERROR(__xludf.DUMMYFUNCTION("XLOOKUP(C1635, 
   IMPORTRANGE(""1RdEdgHYrZ33LJ7RUHj_h-qkAFL92bcVjtIdVa-UlsCw"", ""Interns!D:D""), 
   IMPORTRANGE(""1RdEdgHYrZ33LJ7RUHj_h-qkAFL92bcVjtIdVa-UlsCw"", ""Interns!O:O""), 
   ""Not Found"")"),"Reached out by email 3/26 and by text 3/27 for Cheers 4 Careers Reached out again 3/28 but no response a")</f>
        <v>Reached out by email 3/26 and by text 3/27 for Cheers 4 Careers Reached out again 3/28 but no response a</v>
      </c>
      <c r="AN1635" s="23"/>
      <c r="AO1635" s="23" t="s">
        <v>15046</v>
      </c>
      <c r="AP1635" s="28" t="s">
        <v>5182</v>
      </c>
      <c r="AQ1635" s="28"/>
      <c r="AR1635" s="23"/>
      <c r="AS1635" s="23"/>
      <c r="AT1635" s="23"/>
      <c r="AU1635" s="23"/>
      <c r="AV1635" s="23"/>
    </row>
    <row r="1636">
      <c r="A1636" s="28" t="s">
        <v>5161</v>
      </c>
      <c r="B1636" s="28" t="s">
        <v>5162</v>
      </c>
      <c r="C1636" s="23" t="str">
        <f t="shared" si="39"/>
        <v>David Rivera</v>
      </c>
      <c r="D1636" s="28" t="s">
        <v>1068</v>
      </c>
      <c r="E1636" s="28" t="s">
        <v>1976</v>
      </c>
      <c r="F1636" s="23">
        <f t="array" ref="F1636">IFERROR(
    INDEX('Hub Interns 226'!A:A, MATCH(C1636, 'Hub Interns 226'!B:B, 0)),"")</f>
        <v>997</v>
      </c>
      <c r="G1636" s="23">
        <f t="array" ref="G1636">IFERROR(
    INDEX('Hub Users 226'!A:A, MATCH(C1636, 'Hub Users 226'!B:B, 0)),"")</f>
        <v>1430</v>
      </c>
      <c r="H1636" s="28">
        <v>993.0</v>
      </c>
      <c r="I1636" s="28" t="s">
        <v>1235</v>
      </c>
      <c r="J1636" s="28"/>
      <c r="K1636" s="28"/>
      <c r="L1636" s="28" t="s">
        <v>5165</v>
      </c>
      <c r="M1636" s="56" t="s">
        <v>15047</v>
      </c>
      <c r="N1636" s="57">
        <v>44644.725694444445</v>
      </c>
      <c r="O1636" s="58">
        <v>39940.0</v>
      </c>
      <c r="P1636" s="28">
        <f t="shared" si="41"/>
        <v>17</v>
      </c>
      <c r="Q1636" s="28" t="s">
        <v>240</v>
      </c>
      <c r="R1636" s="28" t="s">
        <v>15048</v>
      </c>
      <c r="S1636" s="28">
        <v>7.0</v>
      </c>
      <c r="T1636" s="28">
        <v>12.0</v>
      </c>
      <c r="U1636" s="28">
        <v>37.0</v>
      </c>
      <c r="V1636" s="28">
        <v>30.0</v>
      </c>
      <c r="W1636" s="28" t="s">
        <v>1173</v>
      </c>
      <c r="X1636" s="28" t="s">
        <v>272</v>
      </c>
      <c r="Y1636" s="28" t="s">
        <v>15049</v>
      </c>
      <c r="Z1636" s="28" t="s">
        <v>7427</v>
      </c>
      <c r="AA1636" s="28" t="s">
        <v>7428</v>
      </c>
      <c r="AB1636" s="28">
        <v>34.0</v>
      </c>
      <c r="AC1636" s="28" t="s">
        <v>24</v>
      </c>
      <c r="AD1636" s="23"/>
      <c r="AE1636" s="28" t="s">
        <v>10</v>
      </c>
      <c r="AF1636" s="23"/>
      <c r="AG1636" s="23"/>
      <c r="AH1636" s="23" t="str">
        <f>IFERROR(__xludf.DUMMYFUNCTION("IF(
ISNUMBER(MATCH(
C1636,
IMPORTRANGE(""https://docs.google.com/spreadsheets/d/1yTh1ELC33JHYOeEdgIiEclxPRyh0zOKtlawDltfUay8"",""'Interns'!A:A""),
0
)),
""Outreach Conducted"",
"""")"),"")</f>
        <v/>
      </c>
      <c r="AI1636" s="23"/>
      <c r="AJ1636" s="23"/>
      <c r="AK1636" s="23" t="str">
        <f>IFERROR(__xludf.DUMMYFUNCTION("XLOOKUP(C1636, 
   IMPORTRANGE(""1RdEdgHYrZ33LJ7RUHj_h-qkAFL92bcVjtIdVa-UlsCw"", ""Interns!D:D""), 
   IMPORTRANGE(""1RdEdgHYrZ33LJ7RUHj_h-qkAFL92bcVjtIdVa-UlsCw"", ""Interns!M:M""), 
   ""Not Found"")"),"Contacted")</f>
        <v>Contacted</v>
      </c>
      <c r="AL1636" s="23" t="str">
        <f>IFERROR(__xludf.DUMMYFUNCTION("XLOOKUP(C1636, 
   IMPORTRANGE(""1RdEdgHYrZ33LJ7RUHj_h-qkAFL92bcVjtIdVa-UlsCw"", ""Interns!D:D""), 
   IMPORTRANGE(""1RdEdgHYrZ33LJ7RUHj_h-qkAFL92bcVjtIdVa-UlsCw"", ""Interns!N:N""), 
   ""Not Found"")"),"#Cheers4Careers")</f>
        <v>#Cheers4Careers</v>
      </c>
      <c r="AM1636" s="23" t="str">
        <f>IFERROR(__xludf.DUMMYFUNCTION("XLOOKUP(C1636, 
   IMPORTRANGE(""1RdEdgHYrZ33LJ7RUHj_h-qkAFL92bcVjtIdVa-UlsCw"", ""Interns!D:D""), 
   IMPORTRANGE(""1RdEdgHYrZ33LJ7RUHj_h-qkAFL92bcVjtIdVa-UlsCw"", ""Interns!O:O""), 
   ""Not Found"")"),"Hetal reached out by email 3/27")</f>
        <v>Hetal reached out by email 3/27</v>
      </c>
      <c r="AN1636" s="23"/>
      <c r="AO1636" s="23" t="s">
        <v>15050</v>
      </c>
      <c r="AP1636" s="28" t="s">
        <v>5182</v>
      </c>
      <c r="AQ1636" s="28"/>
      <c r="AR1636" s="23"/>
      <c r="AS1636" s="23"/>
      <c r="AT1636" s="23"/>
      <c r="AU1636" s="23"/>
      <c r="AV1636" s="23"/>
    </row>
    <row r="1637">
      <c r="A1637" s="28" t="s">
        <v>5202</v>
      </c>
      <c r="B1637" s="28" t="s">
        <v>5162</v>
      </c>
      <c r="C1637" s="23" t="str">
        <f t="shared" si="39"/>
        <v>Aidan Lester</v>
      </c>
      <c r="D1637" s="28" t="s">
        <v>15051</v>
      </c>
      <c r="E1637" s="28" t="s">
        <v>15052</v>
      </c>
      <c r="F1637" s="23">
        <f t="array" ref="F1637">IFERROR(
    INDEX('Hub Interns 226'!A:A, MATCH(C1637, 'Hub Interns 226'!B:B, 0)),"")</f>
        <v>159</v>
      </c>
      <c r="G1637" s="23">
        <f t="array" ref="G1637">IFERROR(
    INDEX('Hub Users 226'!A:A, MATCH(C1637, 'Hub Users 226'!B:B, 0)),"")</f>
        <v>592</v>
      </c>
      <c r="H1637" s="28">
        <v>1522.0</v>
      </c>
      <c r="I1637" s="28" t="s">
        <v>239</v>
      </c>
      <c r="J1637" s="28"/>
      <c r="K1637" s="28"/>
      <c r="L1637" s="28" t="s">
        <v>5196</v>
      </c>
      <c r="M1637" s="56" t="s">
        <v>15053</v>
      </c>
      <c r="N1637" s="57">
        <v>44953.37152777778</v>
      </c>
      <c r="O1637" s="58">
        <v>39825.0</v>
      </c>
      <c r="P1637" s="28">
        <f t="shared" si="41"/>
        <v>17</v>
      </c>
      <c r="Q1637" s="28" t="s">
        <v>240</v>
      </c>
      <c r="R1637" s="28" t="s">
        <v>15054</v>
      </c>
      <c r="S1637" s="28">
        <v>14.0</v>
      </c>
      <c r="T1637" s="28">
        <v>13.0</v>
      </c>
      <c r="U1637" s="28">
        <v>35.0</v>
      </c>
      <c r="V1637" s="28">
        <v>21.0</v>
      </c>
      <c r="W1637" s="28" t="s">
        <v>1173</v>
      </c>
      <c r="X1637" s="28" t="s">
        <v>272</v>
      </c>
      <c r="Y1637" s="28" t="s">
        <v>15055</v>
      </c>
      <c r="Z1637" s="28" t="s">
        <v>5403</v>
      </c>
      <c r="AA1637" s="28" t="s">
        <v>5404</v>
      </c>
      <c r="AB1637" s="28">
        <v>21.0</v>
      </c>
      <c r="AC1637" s="28" t="s">
        <v>23</v>
      </c>
      <c r="AD1637" s="28" t="s">
        <v>101</v>
      </c>
      <c r="AE1637" s="28" t="s">
        <v>15</v>
      </c>
      <c r="AF1637" s="23"/>
      <c r="AG1637" s="23"/>
      <c r="AH1637" s="23" t="str">
        <f>IFERROR(__xludf.DUMMYFUNCTION("IF(
ISNUMBER(MATCH(
C1637,
IMPORTRANGE(""https://docs.google.com/spreadsheets/d/1yTh1ELC33JHYOeEdgIiEclxPRyh0zOKtlawDltfUay8"",""'Interns'!A:A""),
0
)),
""Outreach Conducted"",
"""")"),"")</f>
        <v/>
      </c>
      <c r="AI1637" s="23"/>
      <c r="AJ1637" s="23"/>
      <c r="AK1637" s="23" t="str">
        <f>IFERROR(__xludf.DUMMYFUNCTION("XLOOKUP(C1637, 
   IMPORTRANGE(""1RdEdgHYrZ33LJ7RUHj_h-qkAFL92bcVjtIdVa-UlsCw"", ""Interns!D:D""), 
   IMPORTRANGE(""1RdEdgHYrZ33LJ7RUHj_h-qkAFL92bcVjtIdVa-UlsCw"", ""Interns!M:M""), 
   ""Not Found"")"),"")</f>
        <v/>
      </c>
      <c r="AL1637" s="23" t="str">
        <f>IFERROR(__xludf.DUMMYFUNCTION("XLOOKUP(C1637, 
   IMPORTRANGE(""1RdEdgHYrZ33LJ7RUHj_h-qkAFL92bcVjtIdVa-UlsCw"", ""Interns!D:D""), 
   IMPORTRANGE(""1RdEdgHYrZ33LJ7RUHj_h-qkAFL92bcVjtIdVa-UlsCw"", ""Interns!N:N""), 
   ""Not Found"")"),"")</f>
        <v/>
      </c>
      <c r="AM1637" s="23" t="str">
        <f>IFERROR(__xludf.DUMMYFUNCTION("XLOOKUP(C1637, 
   IMPORTRANGE(""1RdEdgHYrZ33LJ7RUHj_h-qkAFL92bcVjtIdVa-UlsCw"", ""Interns!D:D""), 
   IMPORTRANGE(""1RdEdgHYrZ33LJ7RUHj_h-qkAFL92bcVjtIdVa-UlsCw"", ""Interns!O:O""), 
   ""Not Found"")"),"")</f>
        <v/>
      </c>
      <c r="AN1637" s="23"/>
      <c r="AO1637" s="23" t="s">
        <v>15056</v>
      </c>
      <c r="AP1637" s="28" t="s">
        <v>5182</v>
      </c>
      <c r="AQ1637" s="28"/>
      <c r="AR1637" s="23"/>
      <c r="AS1637" s="23"/>
      <c r="AT1637" s="23"/>
      <c r="AU1637" s="23"/>
      <c r="AV1637" s="23"/>
    </row>
    <row r="1638">
      <c r="A1638" s="28" t="s">
        <v>5161</v>
      </c>
      <c r="B1638" s="28" t="s">
        <v>5162</v>
      </c>
      <c r="C1638" s="23" t="str">
        <f t="shared" si="39"/>
        <v>Estefania Lopez</v>
      </c>
      <c r="D1638" s="28" t="s">
        <v>15057</v>
      </c>
      <c r="E1638" s="28" t="s">
        <v>2778</v>
      </c>
      <c r="F1638" s="23" t="str">
        <f t="array" ref="F1638">IFERROR(
    INDEX('Hub Interns 226'!A:A, MATCH(C1638, 'Hub Interns 226'!B:B, 0)),"")</f>
        <v/>
      </c>
      <c r="G1638" s="23">
        <f t="array" ref="G1638">IFERROR(
    INDEX('Hub Users 226'!A:A, MATCH(C1638, 'Hub Users 226'!B:B, 0)),"")</f>
        <v>456</v>
      </c>
      <c r="H1638" s="28">
        <v>228.0</v>
      </c>
      <c r="I1638" s="28" t="s">
        <v>425</v>
      </c>
      <c r="J1638" s="28"/>
      <c r="K1638" s="28"/>
      <c r="L1638" s="28" t="s">
        <v>5196</v>
      </c>
      <c r="M1638" s="56" t="s">
        <v>15058</v>
      </c>
      <c r="N1638" s="59">
        <v>44123.52361111111</v>
      </c>
      <c r="O1638" s="58"/>
      <c r="P1638" s="28">
        <f t="shared" si="41"/>
        <v>126</v>
      </c>
      <c r="Q1638" s="28" t="s">
        <v>240</v>
      </c>
      <c r="R1638" s="28" t="s">
        <v>15059</v>
      </c>
      <c r="S1638" s="28"/>
      <c r="T1638" s="28"/>
      <c r="U1638" s="28"/>
      <c r="V1638" s="28"/>
      <c r="W1638" s="28" t="s">
        <v>12324</v>
      </c>
      <c r="X1638" s="28" t="s">
        <v>465</v>
      </c>
      <c r="Y1638" s="28">
        <v>2.104598784E9</v>
      </c>
      <c r="Z1638" s="28" t="s">
        <v>12326</v>
      </c>
      <c r="AA1638" s="28" t="s">
        <v>12327</v>
      </c>
      <c r="AB1638" s="28" t="s">
        <v>12328</v>
      </c>
      <c r="AC1638" s="28" t="s">
        <v>24</v>
      </c>
      <c r="AD1638" s="23"/>
      <c r="AE1638" s="28" t="s">
        <v>8</v>
      </c>
      <c r="AF1638" s="23"/>
      <c r="AG1638" s="23"/>
      <c r="AH1638" s="23" t="str">
        <f>IFERROR(__xludf.DUMMYFUNCTION("IF(
ISNUMBER(MATCH(
C1638,
IMPORTRANGE(""https://docs.google.com/spreadsheets/d/1yTh1ELC33JHYOeEdgIiEclxPRyh0zOKtlawDltfUay8"",""'Interns'!A:A""),
0
)),
""Outreach Conducted"",
"""")"),"")</f>
        <v/>
      </c>
      <c r="AI1638" s="23"/>
      <c r="AJ1638" s="23"/>
      <c r="AK1638" s="23" t="str">
        <f>IFERROR(__xludf.DUMMYFUNCTION("XLOOKUP(C1638, 
   IMPORTRANGE(""1RdEdgHYrZ33LJ7RUHj_h-qkAFL92bcVjtIdVa-UlsCw"", ""Interns!D:D""), 
   IMPORTRANGE(""1RdEdgHYrZ33LJ7RUHj_h-qkAFL92bcVjtIdVa-UlsCw"", ""Interns!M:M""), 
   ""Not Found"")"),"")</f>
        <v/>
      </c>
      <c r="AL1638" s="23" t="str">
        <f>IFERROR(__xludf.DUMMYFUNCTION("XLOOKUP(C1638, 
   IMPORTRANGE(""1RdEdgHYrZ33LJ7RUHj_h-qkAFL92bcVjtIdVa-UlsCw"", ""Interns!D:D""), 
   IMPORTRANGE(""1RdEdgHYrZ33LJ7RUHj_h-qkAFL92bcVjtIdVa-UlsCw"", ""Interns!N:N""), 
   ""Not Found"")"),"")</f>
        <v/>
      </c>
      <c r="AM1638" s="23" t="str">
        <f>IFERROR(__xludf.DUMMYFUNCTION("XLOOKUP(C1638, 
   IMPORTRANGE(""1RdEdgHYrZ33LJ7RUHj_h-qkAFL92bcVjtIdVa-UlsCw"", ""Interns!D:D""), 
   IMPORTRANGE(""1RdEdgHYrZ33LJ7RUHj_h-qkAFL92bcVjtIdVa-UlsCw"", ""Interns!O:O""), 
   ""Not Found"")"),"")</f>
        <v/>
      </c>
      <c r="AN1638" s="23"/>
      <c r="AO1638" s="23"/>
      <c r="AP1638" s="28"/>
      <c r="AQ1638" s="28"/>
      <c r="AR1638" s="23"/>
      <c r="AS1638" s="23"/>
      <c r="AT1638" s="23"/>
      <c r="AU1638" s="23"/>
      <c r="AV1638" s="23"/>
    </row>
    <row r="1639">
      <c r="A1639" s="28" t="s">
        <v>5161</v>
      </c>
      <c r="B1639" s="28" t="s">
        <v>5162</v>
      </c>
      <c r="C1639" s="23" t="str">
        <f t="shared" si="39"/>
        <v>Yousef Abdelaal</v>
      </c>
      <c r="D1639" s="28" t="s">
        <v>14563</v>
      </c>
      <c r="E1639" s="28" t="s">
        <v>15060</v>
      </c>
      <c r="F1639" s="23">
        <f t="array" ref="F1639">IFERROR(
    INDEX('Hub Interns 226'!A:A, MATCH(C1639, 'Hub Interns 226'!B:B, 0)),"")</f>
        <v>1242</v>
      </c>
      <c r="G1639" s="23">
        <f t="array" ref="G1639">IFERROR(
    INDEX('Hub Users 226'!A:A, MATCH(C1639, 'Hub Users 226'!B:B, 0)),"")</f>
        <v>1675</v>
      </c>
      <c r="H1639" s="28">
        <v>994.0</v>
      </c>
      <c r="I1639" s="28" t="s">
        <v>239</v>
      </c>
      <c r="J1639" s="28"/>
      <c r="K1639" s="28"/>
      <c r="L1639" s="28" t="s">
        <v>5165</v>
      </c>
      <c r="M1639" s="56" t="s">
        <v>15061</v>
      </c>
      <c r="N1639" s="57">
        <v>44644.89236111111</v>
      </c>
      <c r="O1639" s="58">
        <v>39896.0</v>
      </c>
      <c r="P1639" s="28">
        <f t="shared" si="41"/>
        <v>17</v>
      </c>
      <c r="Q1639" s="28" t="s">
        <v>240</v>
      </c>
      <c r="R1639" s="28" t="s">
        <v>15062</v>
      </c>
      <c r="S1639" s="28">
        <v>7.0</v>
      </c>
      <c r="T1639" s="28">
        <v>12.0</v>
      </c>
      <c r="U1639" s="28">
        <v>37.0</v>
      </c>
      <c r="V1639" s="28">
        <v>30.0</v>
      </c>
      <c r="W1639" s="28" t="s">
        <v>1173</v>
      </c>
      <c r="X1639" s="28" t="s">
        <v>272</v>
      </c>
      <c r="Y1639" s="28" t="s">
        <v>15063</v>
      </c>
      <c r="Z1639" s="28" t="s">
        <v>9652</v>
      </c>
      <c r="AA1639" s="28" t="s">
        <v>9653</v>
      </c>
      <c r="AB1639" s="28">
        <v>30.0</v>
      </c>
      <c r="AC1639" s="28" t="s">
        <v>24</v>
      </c>
      <c r="AD1639" s="23"/>
      <c r="AE1639" s="28" t="s">
        <v>10</v>
      </c>
      <c r="AF1639" s="23"/>
      <c r="AG1639" s="23"/>
      <c r="AH1639" s="23" t="str">
        <f>IFERROR(__xludf.DUMMYFUNCTION("IF(
ISNUMBER(MATCH(
C1639,
IMPORTRANGE(""https://docs.google.com/spreadsheets/d/1yTh1ELC33JHYOeEdgIiEclxPRyh0zOKtlawDltfUay8"",""'Interns'!A:A""),
0
)),
""Outreach Conducted"",
"""")"),"")</f>
        <v/>
      </c>
      <c r="AI1639" s="23"/>
      <c r="AJ1639" s="23"/>
      <c r="AK1639" s="23" t="str">
        <f>IFERROR(__xludf.DUMMYFUNCTION("XLOOKUP(C1639, 
   IMPORTRANGE(""1RdEdgHYrZ33LJ7RUHj_h-qkAFL92bcVjtIdVa-UlsCw"", ""Interns!D:D""), 
   IMPORTRANGE(""1RdEdgHYrZ33LJ7RUHj_h-qkAFL92bcVjtIdVa-UlsCw"", ""Interns!M:M""), 
   ""Not Found"")"),"Contacted")</f>
        <v>Contacted</v>
      </c>
      <c r="AL1639" s="23" t="str">
        <f>IFERROR(__xludf.DUMMYFUNCTION("XLOOKUP(C1639, 
   IMPORTRANGE(""1RdEdgHYrZ33LJ7RUHj_h-qkAFL92bcVjtIdVa-UlsCw"", ""Interns!D:D""), 
   IMPORTRANGE(""1RdEdgHYrZ33LJ7RUHj_h-qkAFL92bcVjtIdVa-UlsCw"", ""Interns!N:N""), 
   ""Not Found"")"),"#Cheers4Careers")</f>
        <v>#Cheers4Careers</v>
      </c>
      <c r="AM1639" s="23" t="str">
        <f>IFERROR(__xludf.DUMMYFUNCTION("XLOOKUP(C1639, 
   IMPORTRANGE(""1RdEdgHYrZ33LJ7RUHj_h-qkAFL92bcVjtIdVa-UlsCw"", ""Interns!D:D""), 
   IMPORTRANGE(""1RdEdgHYrZ33LJ7RUHj_h-qkAFL92bcVjtIdVa-UlsCw"", ""Interns!O:O""), 
   ""Not Found"")"),"MENNA Reached out by email 3/26 and by text 3/27 for Cheers 4 Careers Reached out again 3/28 but no response …. MENNA REACHED OUT BY TEXT FOR FOR APRIL 18")</f>
        <v>MENNA Reached out by email 3/26 and by text 3/27 for Cheers 4 Careers Reached out again 3/28 but no response …. MENNA REACHED OUT BY TEXT FOR FOR APRIL 18</v>
      </c>
      <c r="AN1639" s="23"/>
      <c r="AO1639" s="23" t="s">
        <v>15064</v>
      </c>
      <c r="AP1639" s="28" t="s">
        <v>5182</v>
      </c>
      <c r="AQ1639" s="28"/>
      <c r="AR1639" s="23"/>
      <c r="AS1639" s="23"/>
      <c r="AT1639" s="23"/>
      <c r="AU1639" s="23"/>
      <c r="AV1639" s="23"/>
    </row>
    <row r="1640">
      <c r="A1640" s="28" t="s">
        <v>5161</v>
      </c>
      <c r="B1640" s="28" t="s">
        <v>5162</v>
      </c>
      <c r="C1640" s="23" t="str">
        <f t="shared" si="39"/>
        <v>Isabella Santiago</v>
      </c>
      <c r="D1640" s="28" t="s">
        <v>14243</v>
      </c>
      <c r="E1640" s="28" t="s">
        <v>6377</v>
      </c>
      <c r="F1640" s="23">
        <f t="array" ref="F1640">IFERROR(
    INDEX('Hub Interns 226'!A:A, MATCH(C1640, 'Hub Interns 226'!B:B, 0)),"")</f>
        <v>599</v>
      </c>
      <c r="G1640" s="23">
        <f t="array" ref="G1640">IFERROR(
    INDEX('Hub Users 226'!A:A, MATCH(C1640, 'Hub Users 226'!B:B, 0)),"")</f>
        <v>1032</v>
      </c>
      <c r="H1640" s="28">
        <v>1090.0</v>
      </c>
      <c r="I1640" s="28" t="s">
        <v>269</v>
      </c>
      <c r="J1640" s="28"/>
      <c r="K1640" s="28"/>
      <c r="L1640" s="28" t="s">
        <v>5196</v>
      </c>
      <c r="M1640" s="56" t="s">
        <v>15065</v>
      </c>
      <c r="N1640" s="57">
        <v>44704.652083333334</v>
      </c>
      <c r="O1640" s="58">
        <v>39746.0</v>
      </c>
      <c r="P1640" s="28">
        <f t="shared" si="41"/>
        <v>17</v>
      </c>
      <c r="Q1640" s="28" t="s">
        <v>240</v>
      </c>
      <c r="R1640" s="28" t="s">
        <v>15066</v>
      </c>
      <c r="S1640" s="28">
        <v>6.0</v>
      </c>
      <c r="T1640" s="28">
        <v>12.0</v>
      </c>
      <c r="U1640" s="28">
        <v>30.0</v>
      </c>
      <c r="V1640" s="28">
        <v>26.0</v>
      </c>
      <c r="W1640" s="28" t="s">
        <v>1173</v>
      </c>
      <c r="X1640" s="28" t="s">
        <v>272</v>
      </c>
      <c r="Y1640" s="28" t="s">
        <v>15067</v>
      </c>
      <c r="Z1640" s="28" t="s">
        <v>5352</v>
      </c>
      <c r="AA1640" s="28" t="s">
        <v>5287</v>
      </c>
      <c r="AB1640" s="28">
        <v>26.0</v>
      </c>
      <c r="AC1640" s="28" t="s">
        <v>24</v>
      </c>
      <c r="AD1640" s="23"/>
      <c r="AE1640" s="28" t="s">
        <v>10</v>
      </c>
      <c r="AF1640" s="23"/>
      <c r="AG1640" s="23"/>
      <c r="AH1640" s="23" t="str">
        <f>IFERROR(__xludf.DUMMYFUNCTION("IF(
ISNUMBER(MATCH(
C1640,
IMPORTRANGE(""https://docs.google.com/spreadsheets/d/1yTh1ELC33JHYOeEdgIiEclxPRyh0zOKtlawDltfUay8"",""'Interns'!A:A""),
0
)),
""Outreach Conducted"",
"""")"),"")</f>
        <v/>
      </c>
      <c r="AI1640" s="23"/>
      <c r="AJ1640" s="23"/>
      <c r="AK1640" s="23" t="str">
        <f>IFERROR(__xludf.DUMMYFUNCTION("XLOOKUP(C1640, 
   IMPORTRANGE(""1RdEdgHYrZ33LJ7RUHj_h-qkAFL92bcVjtIdVa-UlsCw"", ""Interns!D:D""), 
   IMPORTRANGE(""1RdEdgHYrZ33LJ7RUHj_h-qkAFL92bcVjtIdVa-UlsCw"", ""Interns!M:M""), 
   ""Not Found"")"),"Contacted")</f>
        <v>Contacted</v>
      </c>
      <c r="AL1640" s="23" t="str">
        <f>IFERROR(__xludf.DUMMYFUNCTION("XLOOKUP(C1640, 
   IMPORTRANGE(""1RdEdgHYrZ33LJ7RUHj_h-qkAFL92bcVjtIdVa-UlsCw"", ""Interns!D:D""), 
   IMPORTRANGE(""1RdEdgHYrZ33LJ7RUHj_h-qkAFL92bcVjtIdVa-UlsCw"", ""Interns!N:N""), 
   ""Not Found"")"),"#Cheers4Careers")</f>
        <v>#Cheers4Careers</v>
      </c>
      <c r="AM1640" s="23" t="str">
        <f>IFERROR(__xludf.DUMMYFUNCTION("XLOOKUP(C1640, 
   IMPORTRANGE(""1RdEdgHYrZ33LJ7RUHj_h-qkAFL92bcVjtIdVa-UlsCw"", ""Interns!D:D""), 
   IMPORTRANGE(""1RdEdgHYrZ33LJ7RUHj_h-qkAFL92bcVjtIdVa-UlsCw"", ""Interns!O:O""), 
   ""Not Found"")"),"Hetal reached out by email 3/27")</f>
        <v>Hetal reached out by email 3/27</v>
      </c>
      <c r="AN1640" s="23"/>
      <c r="AO1640" s="23" t="s">
        <v>15068</v>
      </c>
      <c r="AP1640" s="28" t="s">
        <v>5182</v>
      </c>
      <c r="AQ1640" s="28"/>
      <c r="AR1640" s="23"/>
      <c r="AS1640" s="23"/>
      <c r="AT1640" s="23"/>
      <c r="AU1640" s="23"/>
      <c r="AV1640" s="23"/>
    </row>
    <row r="1641">
      <c r="A1641" s="28" t="s">
        <v>5161</v>
      </c>
      <c r="B1641" s="28" t="s">
        <v>5162</v>
      </c>
      <c r="C1641" s="23" t="str">
        <f t="shared" si="39"/>
        <v>Alejandra Campoverde</v>
      </c>
      <c r="D1641" s="28" t="s">
        <v>6505</v>
      </c>
      <c r="E1641" s="28" t="s">
        <v>15069</v>
      </c>
      <c r="F1641" s="23">
        <f t="array" ref="F1641">IFERROR(
    INDEX('Hub Interns 226'!A:A, MATCH(C1641, 'Hub Interns 226'!B:B, 0)),"")</f>
        <v>176</v>
      </c>
      <c r="G1641" s="23">
        <f t="array" ref="G1641">IFERROR(
    INDEX('Hub Users 226'!A:A, MATCH(C1641, 'Hub Users 226'!B:B, 0)),"")</f>
        <v>609</v>
      </c>
      <c r="H1641" s="28">
        <v>1093.0</v>
      </c>
      <c r="I1641" s="28" t="s">
        <v>269</v>
      </c>
      <c r="J1641" s="28"/>
      <c r="K1641" s="28"/>
      <c r="L1641" s="28" t="s">
        <v>5196</v>
      </c>
      <c r="M1641" s="56" t="s">
        <v>15070</v>
      </c>
      <c r="N1641" s="57">
        <v>44712.75277777778</v>
      </c>
      <c r="O1641" s="58">
        <v>40042.0</v>
      </c>
      <c r="P1641" s="28">
        <f t="shared" si="41"/>
        <v>16</v>
      </c>
      <c r="Q1641" s="28" t="s">
        <v>240</v>
      </c>
      <c r="R1641" s="28" t="s">
        <v>15071</v>
      </c>
      <c r="S1641" s="28">
        <v>7.0</v>
      </c>
      <c r="T1641" s="28">
        <v>18.0</v>
      </c>
      <c r="U1641" s="28">
        <v>37.0</v>
      </c>
      <c r="V1641" s="28">
        <v>34.0</v>
      </c>
      <c r="W1641" s="28" t="s">
        <v>1173</v>
      </c>
      <c r="X1641" s="28" t="s">
        <v>272</v>
      </c>
      <c r="Y1641" s="28" t="s">
        <v>15072</v>
      </c>
      <c r="Z1641" s="28" t="s">
        <v>9652</v>
      </c>
      <c r="AA1641" s="28" t="s">
        <v>9653</v>
      </c>
      <c r="AB1641" s="28">
        <v>30.0</v>
      </c>
      <c r="AC1641" s="28" t="s">
        <v>24</v>
      </c>
      <c r="AD1641" s="23"/>
      <c r="AE1641" s="28" t="s">
        <v>10</v>
      </c>
      <c r="AF1641" s="23"/>
      <c r="AG1641" s="23"/>
      <c r="AH1641" s="23" t="str">
        <f>IFERROR(__xludf.DUMMYFUNCTION("IF(
ISNUMBER(MATCH(
C1641,
IMPORTRANGE(""https://docs.google.com/spreadsheets/d/1yTh1ELC33JHYOeEdgIiEclxPRyh0zOKtlawDltfUay8"",""'Interns'!A:A""),
0
)),
""Outreach Conducted"",
"""")"),"")</f>
        <v/>
      </c>
      <c r="AI1641" s="23"/>
      <c r="AJ1641" s="23"/>
      <c r="AK1641" s="23" t="str">
        <f>IFERROR(__xludf.DUMMYFUNCTION("XLOOKUP(C1641, 
   IMPORTRANGE(""1RdEdgHYrZ33LJ7RUHj_h-qkAFL92bcVjtIdVa-UlsCw"", ""Interns!D:D""), 
   IMPORTRANGE(""1RdEdgHYrZ33LJ7RUHj_h-qkAFL92bcVjtIdVa-UlsCw"", ""Interns!M:M""), 
   ""Not Found"")"),"Contacted")</f>
        <v>Contacted</v>
      </c>
      <c r="AL1641" s="23" t="str">
        <f>IFERROR(__xludf.DUMMYFUNCTION("XLOOKUP(C1641, 
   IMPORTRANGE(""1RdEdgHYrZ33LJ7RUHj_h-qkAFL92bcVjtIdVa-UlsCw"", ""Interns!D:D""), 
   IMPORTRANGE(""1RdEdgHYrZ33LJ7RUHj_h-qkAFL92bcVjtIdVa-UlsCw"", ""Interns!N:N""), 
   ""Not Found"")"),"#Cheers4Careers")</f>
        <v>#Cheers4Careers</v>
      </c>
      <c r="AM1641" s="23" t="str">
        <f>IFERROR(__xludf.DUMMYFUNCTION("XLOOKUP(C1641, 
   IMPORTRANGE(""1RdEdgHYrZ33LJ7RUHj_h-qkAFL92bcVjtIdVa-UlsCw"", ""Interns!D:D""), 
   IMPORTRANGE(""1RdEdgHYrZ33LJ7RUHj_h-qkAFL92bcVjtIdVa-UlsCw"", ""Interns!O:O""), 
   ""Not Found"")"),"Reached out by email 3/26 and by text 3/27  for Cheers 4 Careers. Reached out again 3/28 but no response ")</f>
        <v>Reached out by email 3/26 and by text 3/27  for Cheers 4 Careers. Reached out again 3/28 but no response </v>
      </c>
      <c r="AN1641" s="23"/>
      <c r="AO1641" s="23" t="s">
        <v>15073</v>
      </c>
      <c r="AP1641" s="28" t="s">
        <v>5182</v>
      </c>
      <c r="AQ1641" s="28"/>
      <c r="AR1641" s="23"/>
      <c r="AS1641" s="23"/>
      <c r="AT1641" s="23"/>
      <c r="AU1641" s="23"/>
      <c r="AV1641" s="23"/>
    </row>
    <row r="1642">
      <c r="A1642" s="28" t="s">
        <v>5161</v>
      </c>
      <c r="B1642" s="28" t="s">
        <v>5162</v>
      </c>
      <c r="C1642" s="23" t="str">
        <f t="shared" si="39"/>
        <v>Robert Morillo</v>
      </c>
      <c r="D1642" s="28" t="s">
        <v>3553</v>
      </c>
      <c r="E1642" s="28" t="s">
        <v>15074</v>
      </c>
      <c r="F1642" s="23">
        <f t="array" ref="F1642">IFERROR(
    INDEX('Hub Interns 226'!A:A, MATCH(C1642, 'Hub Interns 226'!B:B, 0)),"")</f>
        <v>1031</v>
      </c>
      <c r="G1642" s="23">
        <f t="array" ref="G1642">IFERROR(
    INDEX('Hub Users 226'!A:A, MATCH(C1642, 'Hub Users 226'!B:B, 0)),"")</f>
        <v>1464</v>
      </c>
      <c r="H1642" s="28">
        <v>1438.0</v>
      </c>
      <c r="I1642" s="28" t="s">
        <v>269</v>
      </c>
      <c r="J1642" s="28"/>
      <c r="K1642" s="28"/>
      <c r="L1642" s="28" t="s">
        <v>5165</v>
      </c>
      <c r="M1642" s="56" t="s">
        <v>15075</v>
      </c>
      <c r="N1642" s="59">
        <v>44882.4625</v>
      </c>
      <c r="O1642" s="58">
        <v>38800.0</v>
      </c>
      <c r="P1642" s="28">
        <f t="shared" si="41"/>
        <v>20</v>
      </c>
      <c r="Q1642" s="28" t="s">
        <v>15076</v>
      </c>
      <c r="R1642" s="28" t="s">
        <v>15077</v>
      </c>
      <c r="S1642" s="28">
        <v>13.0</v>
      </c>
      <c r="T1642" s="28">
        <v>31.0</v>
      </c>
      <c r="U1642" s="28">
        <v>72.0</v>
      </c>
      <c r="V1642" s="28">
        <v>10.0</v>
      </c>
      <c r="W1642" s="28" t="s">
        <v>271</v>
      </c>
      <c r="X1642" s="28" t="s">
        <v>272</v>
      </c>
      <c r="Y1642" s="28" t="s">
        <v>15078</v>
      </c>
      <c r="Z1642" s="28" t="s">
        <v>5341</v>
      </c>
      <c r="AA1642" s="28" t="s">
        <v>1085</v>
      </c>
      <c r="AB1642" s="28">
        <v>10.0</v>
      </c>
      <c r="AC1642" s="28" t="s">
        <v>25</v>
      </c>
      <c r="AD1642" s="23"/>
      <c r="AE1642" s="28" t="s">
        <v>15</v>
      </c>
      <c r="AF1642" s="23" t="str">
        <f>IFERROR(__xludf.DUMMYFUNCTION("TEXTJOIN("", "", TRUE,
  FILTER(Champions!C:C,
    ISNUMBER(SEARCH(C1642, Champions!W:W))
  )
)"),"Christa Neu, Frank Guia, Samar Deen")</f>
        <v>Christa Neu, Frank Guia, Samar Deen</v>
      </c>
      <c r="AG1642" s="26" t="s">
        <v>5342</v>
      </c>
      <c r="AH1642" s="23" t="str">
        <f>IFERROR(__xludf.DUMMYFUNCTION("IF(
ISNUMBER(MATCH(
C1642,
IMPORTRANGE(""https://docs.google.com/spreadsheets/d/1yTh1ELC33JHYOeEdgIiEclxPRyh0zOKtlawDltfUay8"",""'Interns'!A:A""),
0
)),
""Outreach Conducted"",
"""")"),"")</f>
        <v/>
      </c>
      <c r="AI1642" s="23"/>
      <c r="AJ1642" s="23"/>
      <c r="AK1642" s="23" t="str">
        <f>IFERROR(__xludf.DUMMYFUNCTION("XLOOKUP(C1642, 
   IMPORTRANGE(""1RdEdgHYrZ33LJ7RUHj_h-qkAFL92bcVjtIdVa-UlsCw"", ""Interns!D:D""), 
   IMPORTRANGE(""1RdEdgHYrZ33LJ7RUHj_h-qkAFL92bcVjtIdVa-UlsCw"", ""Interns!M:M""), 
   ""Not Found"")"),"Contacted")</f>
        <v>Contacted</v>
      </c>
      <c r="AL1642" s="23" t="str">
        <f>IFERROR(__xludf.DUMMYFUNCTION("XLOOKUP(C1642, 
   IMPORTRANGE(""1RdEdgHYrZ33LJ7RUHj_h-qkAFL92bcVjtIdVa-UlsCw"", ""Interns!D:D""), 
   IMPORTRANGE(""1RdEdgHYrZ33LJ7RUHj_h-qkAFL92bcVjtIdVa-UlsCw"", ""Interns!N:N""), 
   ""Not Found"")"),"#Cheers4Careers")</f>
        <v>#Cheers4Careers</v>
      </c>
      <c r="AM1642" s="23" t="str">
        <f>IFERROR(__xludf.DUMMYFUNCTION("XLOOKUP(C1642, 
   IMPORTRANGE(""1RdEdgHYrZ33LJ7RUHj_h-qkAFL92bcVjtIdVa-UlsCw"", ""Interns!D:D""), 
   IMPORTRANGE(""1RdEdgHYrZ33LJ7RUHj_h-qkAFL92bcVjtIdVa-UlsCw"", ""Interns!O:O""), 
   ""Not Found"")"),"Texted on April 14 for #Cheers4Careers event")</f>
        <v>Texted on April 14 for #Cheers4Careers event</v>
      </c>
      <c r="AN1642" s="23"/>
      <c r="AO1642" s="23" t="s">
        <v>15079</v>
      </c>
      <c r="AP1642" s="28" t="s">
        <v>5191</v>
      </c>
      <c r="AQ1642" s="28" t="s">
        <v>15080</v>
      </c>
      <c r="AR1642" s="23" t="s">
        <v>15081</v>
      </c>
      <c r="AS1642" s="23"/>
      <c r="AT1642" s="23"/>
      <c r="AU1642" s="23"/>
      <c r="AV1642" s="23"/>
    </row>
    <row r="1643">
      <c r="A1643" s="28" t="s">
        <v>5161</v>
      </c>
      <c r="B1643" s="28" t="s">
        <v>5162</v>
      </c>
      <c r="C1643" s="23" t="str">
        <f t="shared" si="39"/>
        <v>Britney Peralta</v>
      </c>
      <c r="D1643" s="28" t="s">
        <v>13553</v>
      </c>
      <c r="E1643" s="28" t="s">
        <v>8653</v>
      </c>
      <c r="F1643" s="23">
        <f t="array" ref="F1643">IFERROR(
    INDEX('Hub Interns 226'!A:A, MATCH(C1643, 'Hub Interns 226'!B:B, 0)),"")</f>
        <v>319</v>
      </c>
      <c r="G1643" s="23">
        <f t="array" ref="G1643">IFERROR(
    INDEX('Hub Users 226'!A:A, MATCH(C1643, 'Hub Users 226'!B:B, 0)),"")</f>
        <v>752</v>
      </c>
      <c r="H1643" s="28">
        <v>1568.0</v>
      </c>
      <c r="I1643" s="28"/>
      <c r="J1643" s="28"/>
      <c r="K1643" s="28"/>
      <c r="L1643" s="28" t="s">
        <v>5196</v>
      </c>
      <c r="M1643" s="56" t="s">
        <v>13554</v>
      </c>
      <c r="N1643" s="57">
        <v>45015.461805555555</v>
      </c>
      <c r="O1643" s="58">
        <v>38916.0</v>
      </c>
      <c r="P1643" s="28">
        <f t="shared" si="41"/>
        <v>19</v>
      </c>
      <c r="Q1643" s="28" t="s">
        <v>240</v>
      </c>
      <c r="R1643" s="28" t="s">
        <v>13555</v>
      </c>
      <c r="S1643" s="28">
        <v>13.0</v>
      </c>
      <c r="T1643" s="28">
        <v>31.0</v>
      </c>
      <c r="U1643" s="28">
        <v>72.0</v>
      </c>
      <c r="V1643" s="28">
        <v>10.0</v>
      </c>
      <c r="W1643" s="28" t="s">
        <v>271</v>
      </c>
      <c r="X1643" s="28" t="s">
        <v>272</v>
      </c>
      <c r="Y1643" s="28" t="s">
        <v>13556</v>
      </c>
      <c r="Z1643" s="28" t="s">
        <v>5341</v>
      </c>
      <c r="AA1643" s="28" t="s">
        <v>1085</v>
      </c>
      <c r="AB1643" s="28">
        <v>10.0</v>
      </c>
      <c r="AC1643" s="28" t="s">
        <v>23</v>
      </c>
      <c r="AD1643" s="23"/>
      <c r="AE1643" s="28" t="s">
        <v>15</v>
      </c>
      <c r="AF1643" s="23"/>
      <c r="AG1643" s="26" t="s">
        <v>5342</v>
      </c>
      <c r="AH1643" s="23" t="str">
        <f>IFERROR(__xludf.DUMMYFUNCTION("IF(
ISNUMBER(MATCH(
C1643,
IMPORTRANGE(""https://docs.google.com/spreadsheets/d/1yTh1ELC33JHYOeEdgIiEclxPRyh0zOKtlawDltfUay8"",""'Interns'!A:A""),
0
)),
""Outreach Conducted"",
"""")"),"")</f>
        <v/>
      </c>
      <c r="AI1643" s="23"/>
      <c r="AJ1643" s="23"/>
      <c r="AK1643" s="23" t="str">
        <f>IFERROR(__xludf.DUMMYFUNCTION("XLOOKUP(C1643, 
   IMPORTRANGE(""1RdEdgHYrZ33LJ7RUHj_h-qkAFL92bcVjtIdVa-UlsCw"", ""Interns!D:D""), 
   IMPORTRANGE(""1RdEdgHYrZ33LJ7RUHj_h-qkAFL92bcVjtIdVa-UlsCw"", ""Interns!M:M""), 
   ""Not Found"")"),"")</f>
        <v/>
      </c>
      <c r="AL1643" s="23" t="str">
        <f>IFERROR(__xludf.DUMMYFUNCTION("XLOOKUP(C1643, 
   IMPORTRANGE(""1RdEdgHYrZ33LJ7RUHj_h-qkAFL92bcVjtIdVa-UlsCw"", ""Interns!D:D""), 
   IMPORTRANGE(""1RdEdgHYrZ33LJ7RUHj_h-qkAFL92bcVjtIdVa-UlsCw"", ""Interns!N:N""), 
   ""Not Found"")"),"")</f>
        <v/>
      </c>
      <c r="AM1643" s="23" t="str">
        <f>IFERROR(__xludf.DUMMYFUNCTION("XLOOKUP(C1643, 
   IMPORTRANGE(""1RdEdgHYrZ33LJ7RUHj_h-qkAFL92bcVjtIdVa-UlsCw"", ""Interns!D:D""), 
   IMPORTRANGE(""1RdEdgHYrZ33LJ7RUHj_h-qkAFL92bcVjtIdVa-UlsCw"", ""Interns!O:O""), 
   ""Not Found"")"),"")</f>
        <v/>
      </c>
      <c r="AN1643" s="23"/>
      <c r="AO1643" s="23" t="s">
        <v>13557</v>
      </c>
      <c r="AP1643" s="28" t="s">
        <v>5182</v>
      </c>
      <c r="AQ1643" s="28"/>
      <c r="AR1643" s="23"/>
      <c r="AS1643" s="23"/>
      <c r="AT1643" s="23"/>
      <c r="AU1643" s="23"/>
      <c r="AV1643" s="23"/>
    </row>
    <row r="1644">
      <c r="A1644" s="28" t="s">
        <v>5161</v>
      </c>
      <c r="B1644" s="28" t="s">
        <v>31</v>
      </c>
      <c r="C1644" s="23" t="str">
        <f t="shared" si="39"/>
        <v>Silvana. Tapia</v>
      </c>
      <c r="D1644" s="28" t="s">
        <v>15082</v>
      </c>
      <c r="E1644" s="28" t="s">
        <v>14928</v>
      </c>
      <c r="F1644" s="23">
        <f t="array" ref="F1644">IFERROR(
    INDEX('Hub Interns 226'!A:A, MATCH(C1644, 'Hub Interns 226'!B:B, 0)),"")</f>
        <v>101</v>
      </c>
      <c r="G1644" s="23">
        <f t="array" ref="G1644">IFERROR(
    INDEX('Hub Users 226'!A:A, MATCH(C1644, 'Hub Users 226'!B:B, 0)),"")</f>
        <v>534</v>
      </c>
      <c r="H1644" s="28">
        <v>1544.0</v>
      </c>
      <c r="I1644" s="28" t="s">
        <v>269</v>
      </c>
      <c r="J1644" s="28"/>
      <c r="K1644" s="28"/>
      <c r="L1644" s="28" t="s">
        <v>5196</v>
      </c>
      <c r="M1644" s="56" t="s">
        <v>14929</v>
      </c>
      <c r="N1644" s="57">
        <v>44958.6</v>
      </c>
      <c r="O1644" s="58">
        <v>38297.0</v>
      </c>
      <c r="P1644" s="28">
        <f t="shared" si="41"/>
        <v>21</v>
      </c>
      <c r="Q1644" s="28" t="s">
        <v>240</v>
      </c>
      <c r="R1644" s="28" t="s">
        <v>15083</v>
      </c>
      <c r="S1644" s="28"/>
      <c r="T1644" s="28"/>
      <c r="U1644" s="28"/>
      <c r="V1644" s="28"/>
      <c r="W1644" s="28" t="s">
        <v>271</v>
      </c>
      <c r="X1644" s="28" t="s">
        <v>272</v>
      </c>
      <c r="Y1644" s="28" t="s">
        <v>14931</v>
      </c>
      <c r="Z1644" s="28" t="s">
        <v>5259</v>
      </c>
      <c r="AA1644" s="28" t="s">
        <v>704</v>
      </c>
      <c r="AB1644" s="28">
        <v>2.0</v>
      </c>
      <c r="AC1644" s="28" t="s">
        <v>23</v>
      </c>
      <c r="AD1644" s="23"/>
      <c r="AE1644" s="28" t="s">
        <v>15</v>
      </c>
      <c r="AF1644" s="23"/>
      <c r="AG1644" s="23"/>
      <c r="AH1644" s="23" t="str">
        <f>IFERROR(__xludf.DUMMYFUNCTION("IF(
ISNUMBER(MATCH(
C1644,
IMPORTRANGE(""https://docs.google.com/spreadsheets/d/1yTh1ELC33JHYOeEdgIiEclxPRyh0zOKtlawDltfUay8"",""'Interns'!A:A""),
0
)),
""Outreach Conducted"",
"""")"),"")</f>
        <v/>
      </c>
      <c r="AI1644" s="23"/>
      <c r="AJ1644" s="23"/>
      <c r="AK1644" s="23" t="str">
        <f>IFERROR(__xludf.DUMMYFUNCTION("XLOOKUP(C1644, 
   IMPORTRANGE(""1RdEdgHYrZ33LJ7RUHj_h-qkAFL92bcVjtIdVa-UlsCw"", ""Interns!D:D""), 
   IMPORTRANGE(""1RdEdgHYrZ33LJ7RUHj_h-qkAFL92bcVjtIdVa-UlsCw"", ""Interns!M:M""), 
   ""Not Found"")"),"")</f>
        <v/>
      </c>
      <c r="AL1644" s="23" t="str">
        <f>IFERROR(__xludf.DUMMYFUNCTION("XLOOKUP(C1644, 
   IMPORTRANGE(""1RdEdgHYrZ33LJ7RUHj_h-qkAFL92bcVjtIdVa-UlsCw"", ""Interns!D:D""), 
   IMPORTRANGE(""1RdEdgHYrZ33LJ7RUHj_h-qkAFL92bcVjtIdVa-UlsCw"", ""Interns!N:N""), 
   ""Not Found"")"),"")</f>
        <v/>
      </c>
      <c r="AM1644" s="23" t="str">
        <f>IFERROR(__xludf.DUMMYFUNCTION("XLOOKUP(C1644, 
   IMPORTRANGE(""1RdEdgHYrZ33LJ7RUHj_h-qkAFL92bcVjtIdVa-UlsCw"", ""Interns!D:D""), 
   IMPORTRANGE(""1RdEdgHYrZ33LJ7RUHj_h-qkAFL92bcVjtIdVa-UlsCw"", ""Interns!O:O""), 
   ""Not Found"")"),"")</f>
        <v/>
      </c>
      <c r="AN1644" s="23"/>
      <c r="AO1644" s="23" t="s">
        <v>15084</v>
      </c>
      <c r="AP1644" s="28" t="s">
        <v>5173</v>
      </c>
      <c r="AQ1644" s="28"/>
      <c r="AR1644" s="23"/>
      <c r="AS1644" s="23"/>
      <c r="AT1644" s="23"/>
      <c r="AU1644" s="23"/>
      <c r="AV1644" s="23"/>
    </row>
    <row r="1645">
      <c r="A1645" s="28" t="s">
        <v>5161</v>
      </c>
      <c r="B1645" s="28" t="s">
        <v>31</v>
      </c>
      <c r="C1645" s="23" t="str">
        <f t="shared" si="39"/>
        <v>Ronald. Pujols</v>
      </c>
      <c r="D1645" s="28" t="s">
        <v>15085</v>
      </c>
      <c r="E1645" s="28" t="s">
        <v>8037</v>
      </c>
      <c r="F1645" s="23">
        <f t="array" ref="F1645">IFERROR(
    INDEX('Hub Interns 226'!A:A, MATCH(C1645, 'Hub Interns 226'!B:B, 0)),"")</f>
        <v>1036</v>
      </c>
      <c r="G1645" s="23">
        <f t="array" ref="G1645">IFERROR(
    INDEX('Hub Users 226'!A:A, MATCH(C1645, 'Hub Users 226'!B:B, 0)),"")</f>
        <v>1469</v>
      </c>
      <c r="H1645" s="28">
        <v>1262.0</v>
      </c>
      <c r="I1645" s="28" t="s">
        <v>107</v>
      </c>
      <c r="J1645" s="28"/>
      <c r="K1645" s="28"/>
      <c r="L1645" s="28" t="s">
        <v>5165</v>
      </c>
      <c r="M1645" s="56" t="s">
        <v>8038</v>
      </c>
      <c r="N1645" s="59">
        <v>44845.42569444444</v>
      </c>
      <c r="O1645" s="58">
        <v>38853.0</v>
      </c>
      <c r="P1645" s="28">
        <f t="shared" si="41"/>
        <v>20</v>
      </c>
      <c r="Q1645" s="28" t="s">
        <v>240</v>
      </c>
      <c r="R1645" s="28" t="s">
        <v>15086</v>
      </c>
      <c r="S1645" s="28"/>
      <c r="T1645" s="28"/>
      <c r="U1645" s="28"/>
      <c r="V1645" s="28"/>
      <c r="W1645" s="28" t="s">
        <v>859</v>
      </c>
      <c r="X1645" s="28" t="s">
        <v>272</v>
      </c>
      <c r="Y1645" s="28" t="s">
        <v>8044</v>
      </c>
      <c r="Z1645" s="28" t="s">
        <v>5918</v>
      </c>
      <c r="AA1645" s="28" t="s">
        <v>477</v>
      </c>
      <c r="AB1645" s="28">
        <v>15.0</v>
      </c>
      <c r="AC1645" s="28" t="s">
        <v>23</v>
      </c>
      <c r="AD1645" s="23"/>
      <c r="AE1645" s="28" t="s">
        <v>15</v>
      </c>
      <c r="AF1645" s="23"/>
      <c r="AG1645" s="23"/>
      <c r="AH1645" s="23" t="str">
        <f>IFERROR(__xludf.DUMMYFUNCTION("IF(
ISNUMBER(MATCH(
C1645,
IMPORTRANGE(""https://docs.google.com/spreadsheets/d/1yTh1ELC33JHYOeEdgIiEclxPRyh0zOKtlawDltfUay8"",""'Interns'!A:A""),
0
)),
""Outreach Conducted"",
"""")"),"")</f>
        <v/>
      </c>
      <c r="AI1645" s="23"/>
      <c r="AJ1645" s="23"/>
      <c r="AK1645" s="23" t="str">
        <f>IFERROR(__xludf.DUMMYFUNCTION("XLOOKUP(C1645, 
   IMPORTRANGE(""1RdEdgHYrZ33LJ7RUHj_h-qkAFL92bcVjtIdVa-UlsCw"", ""Interns!D:D""), 
   IMPORTRANGE(""1RdEdgHYrZ33LJ7RUHj_h-qkAFL92bcVjtIdVa-UlsCw"", ""Interns!M:M""), 
   ""Not Found"")"),"")</f>
        <v/>
      </c>
      <c r="AL1645" s="23" t="str">
        <f>IFERROR(__xludf.DUMMYFUNCTION("XLOOKUP(C1645, 
   IMPORTRANGE(""1RdEdgHYrZ33LJ7RUHj_h-qkAFL92bcVjtIdVa-UlsCw"", ""Interns!D:D""), 
   IMPORTRANGE(""1RdEdgHYrZ33LJ7RUHj_h-qkAFL92bcVjtIdVa-UlsCw"", ""Interns!N:N""), 
   ""Not Found"")"),"")</f>
        <v/>
      </c>
      <c r="AM1645" s="23" t="str">
        <f>IFERROR(__xludf.DUMMYFUNCTION("XLOOKUP(C1645, 
   IMPORTRANGE(""1RdEdgHYrZ33LJ7RUHj_h-qkAFL92bcVjtIdVa-UlsCw"", ""Interns!D:D""), 
   IMPORTRANGE(""1RdEdgHYrZ33LJ7RUHj_h-qkAFL92bcVjtIdVa-UlsCw"", ""Interns!O:O""), 
   ""Not Found"")"),"")</f>
        <v/>
      </c>
      <c r="AN1645" s="23"/>
      <c r="AO1645" s="23" t="s">
        <v>15087</v>
      </c>
      <c r="AP1645" s="28" t="s">
        <v>5182</v>
      </c>
      <c r="AQ1645" s="28"/>
      <c r="AR1645" s="23"/>
      <c r="AS1645" s="23"/>
      <c r="AT1645" s="23"/>
      <c r="AU1645" s="23"/>
      <c r="AV1645" s="23"/>
    </row>
    <row r="1646">
      <c r="A1646" s="28" t="s">
        <v>5161</v>
      </c>
      <c r="B1646" s="28" t="s">
        <v>5162</v>
      </c>
      <c r="C1646" s="23" t="str">
        <f t="shared" si="39"/>
        <v>Iyana Rankin</v>
      </c>
      <c r="D1646" s="28" t="s">
        <v>15088</v>
      </c>
      <c r="E1646" s="28" t="s">
        <v>15089</v>
      </c>
      <c r="F1646" s="23">
        <f t="array" ref="F1646">IFERROR(
    INDEX('Hub Interns 226'!A:A, MATCH(C1646, 'Hub Interns 226'!B:B, 0)),"")</f>
        <v>605</v>
      </c>
      <c r="G1646" s="23">
        <f t="array" ref="G1646">IFERROR(
    INDEX('Hub Users 226'!A:A, MATCH(C1646, 'Hub Users 226'!B:B, 0)),"")</f>
        <v>1038</v>
      </c>
      <c r="H1646" s="28">
        <v>393.0</v>
      </c>
      <c r="I1646" s="28" t="s">
        <v>407</v>
      </c>
      <c r="J1646" s="28"/>
      <c r="K1646" s="28"/>
      <c r="L1646" s="28" t="s">
        <v>5196</v>
      </c>
      <c r="M1646" s="56" t="s">
        <v>15090</v>
      </c>
      <c r="N1646" s="57">
        <v>44267.62152777778</v>
      </c>
      <c r="O1646" s="58">
        <v>38118.0</v>
      </c>
      <c r="P1646" s="28">
        <f t="shared" si="41"/>
        <v>22</v>
      </c>
      <c r="Q1646" s="28" t="s">
        <v>240</v>
      </c>
      <c r="R1646" s="28" t="s">
        <v>15091</v>
      </c>
      <c r="S1646" s="28">
        <v>9.0</v>
      </c>
      <c r="T1646" s="28">
        <v>19.0</v>
      </c>
      <c r="U1646" s="28">
        <v>58.0</v>
      </c>
      <c r="V1646" s="28">
        <v>42.0</v>
      </c>
      <c r="W1646" s="28" t="s">
        <v>294</v>
      </c>
      <c r="X1646" s="28" t="s">
        <v>272</v>
      </c>
      <c r="Y1646" s="28" t="s">
        <v>15092</v>
      </c>
      <c r="Z1646" s="28" t="s">
        <v>7813</v>
      </c>
      <c r="AA1646" s="28" t="s">
        <v>2033</v>
      </c>
      <c r="AB1646" s="28">
        <v>37.0</v>
      </c>
      <c r="AC1646" s="28" t="s">
        <v>25</v>
      </c>
      <c r="AD1646" s="23"/>
      <c r="AE1646" s="28" t="s">
        <v>8</v>
      </c>
      <c r="AF1646" s="23" t="str">
        <f>IFERROR(__xludf.DUMMYFUNCTION("TEXTJOIN("", "", TRUE,
  FILTER(Champions!C:C,
    ISNUMBER(SEARCH(C1646, Champions!W:W))
  )
)"),"Kristen Farver, Maria Graciela Burn")</f>
        <v>Kristen Farver, Maria Graciela Burn</v>
      </c>
      <c r="AG1646" s="23"/>
      <c r="AH1646" s="23" t="str">
        <f>IFERROR(__xludf.DUMMYFUNCTION("IF(
ISNUMBER(MATCH(
C1646,
IMPORTRANGE(""https://docs.google.com/spreadsheets/d/1yTh1ELC33JHYOeEdgIiEclxPRyh0zOKtlawDltfUay8"",""'Interns'!A:A""),
0
)),
""Outreach Conducted"",
"""")"),"")</f>
        <v/>
      </c>
      <c r="AI1646" s="23"/>
      <c r="AJ1646" s="23"/>
      <c r="AK1646" s="23" t="str">
        <f>IFERROR(__xludf.DUMMYFUNCTION("XLOOKUP(C1646, 
   IMPORTRANGE(""1RdEdgHYrZ33LJ7RUHj_h-qkAFL92bcVjtIdVa-UlsCw"", ""Interns!D:D""), 
   IMPORTRANGE(""1RdEdgHYrZ33LJ7RUHj_h-qkAFL92bcVjtIdVa-UlsCw"", ""Interns!M:M""), 
   ""Not Found"")"),"")</f>
        <v/>
      </c>
      <c r="AL1646" s="23" t="str">
        <f>IFERROR(__xludf.DUMMYFUNCTION("XLOOKUP(C1646, 
   IMPORTRANGE(""1RdEdgHYrZ33LJ7RUHj_h-qkAFL92bcVjtIdVa-UlsCw"", ""Interns!D:D""), 
   IMPORTRANGE(""1RdEdgHYrZ33LJ7RUHj_h-qkAFL92bcVjtIdVa-UlsCw"", ""Interns!N:N""), 
   ""Not Found"")"),"")</f>
        <v/>
      </c>
      <c r="AM1646" s="23" t="str">
        <f>IFERROR(__xludf.DUMMYFUNCTION("XLOOKUP(C1646, 
   IMPORTRANGE(""1RdEdgHYrZ33LJ7RUHj_h-qkAFL92bcVjtIdVa-UlsCw"", ""Interns!D:D""), 
   IMPORTRANGE(""1RdEdgHYrZ33LJ7RUHj_h-qkAFL92bcVjtIdVa-UlsCw"", ""Interns!O:O""), 
   ""Not Found"")"),"")</f>
        <v/>
      </c>
      <c r="AN1646" s="23"/>
      <c r="AO1646" s="23" t="s">
        <v>15093</v>
      </c>
      <c r="AP1646" s="28" t="s">
        <v>5182</v>
      </c>
      <c r="AQ1646" s="28" t="s">
        <v>15094</v>
      </c>
      <c r="AR1646" s="23" t="s">
        <v>15095</v>
      </c>
      <c r="AS1646" s="28" t="s">
        <v>15096</v>
      </c>
      <c r="AT1646" s="23"/>
      <c r="AU1646" s="23"/>
      <c r="AV1646" s="23"/>
    </row>
    <row r="1647">
      <c r="A1647" s="28" t="s">
        <v>5161</v>
      </c>
      <c r="B1647" s="28" t="s">
        <v>5162</v>
      </c>
      <c r="C1647" s="23" t="str">
        <f t="shared" si="39"/>
        <v>Ronen countryman</v>
      </c>
      <c r="D1647" s="28" t="s">
        <v>15097</v>
      </c>
      <c r="E1647" s="28" t="s">
        <v>15098</v>
      </c>
      <c r="F1647" s="23" t="str">
        <f t="array" ref="F1647">IFERROR(
    INDEX('Hub Interns 226'!A:A, MATCH(C1647, 'Hub Interns 226'!B:B, 0)),"")</f>
        <v/>
      </c>
      <c r="G1647" s="23">
        <f t="array" ref="G1647">IFERROR(
    INDEX('Hub Users 226'!A:A, MATCH(C1647, 'Hub Users 226'!B:B, 0)),"")</f>
        <v>2098</v>
      </c>
      <c r="H1647" s="28">
        <v>1855.0</v>
      </c>
      <c r="I1647" s="28"/>
      <c r="J1647" s="28"/>
      <c r="K1647" s="28"/>
      <c r="L1647" s="28" t="s">
        <v>5165</v>
      </c>
      <c r="M1647" s="56" t="s">
        <v>15099</v>
      </c>
      <c r="N1647" s="59">
        <v>45583.80416666667</v>
      </c>
      <c r="O1647" s="58">
        <v>41833.0</v>
      </c>
      <c r="P1647" s="28">
        <f t="shared" si="41"/>
        <v>11</v>
      </c>
      <c r="Q1647" s="28" t="s">
        <v>240</v>
      </c>
      <c r="R1647" s="28" t="s">
        <v>15100</v>
      </c>
      <c r="S1647" s="28">
        <v>6.0</v>
      </c>
      <c r="T1647" s="28">
        <v>15.0</v>
      </c>
      <c r="U1647" s="28">
        <v>28.0</v>
      </c>
      <c r="V1647" s="28">
        <v>30.0</v>
      </c>
      <c r="W1647" s="28" t="s">
        <v>271</v>
      </c>
      <c r="X1647" s="28" t="s">
        <v>272</v>
      </c>
      <c r="Y1647" s="23"/>
      <c r="Z1647" s="28" t="s">
        <v>6332</v>
      </c>
      <c r="AA1647" s="28" t="s">
        <v>5512</v>
      </c>
      <c r="AB1647" s="28">
        <v>30.0</v>
      </c>
      <c r="AC1647" s="28" t="s">
        <v>23</v>
      </c>
      <c r="AD1647" s="23"/>
      <c r="AE1647" s="28" t="s">
        <v>19</v>
      </c>
      <c r="AF1647" s="23"/>
      <c r="AG1647" s="23"/>
      <c r="AH1647" s="23" t="str">
        <f>IFERROR(__xludf.DUMMYFUNCTION("IF(
ISNUMBER(MATCH(
C1647,
IMPORTRANGE(""https://docs.google.com/spreadsheets/d/1yTh1ELC33JHYOeEdgIiEclxPRyh0zOKtlawDltfUay8"",""'Interns'!A:A""),
0
)),
""Outreach Conducted"",
"""")"),"")</f>
        <v/>
      </c>
      <c r="AI1647" s="23"/>
      <c r="AJ1647" s="23"/>
      <c r="AK1647" s="23" t="str">
        <f>IFERROR(__xludf.DUMMYFUNCTION("XLOOKUP(C1647, 
   IMPORTRANGE(""1RdEdgHYrZ33LJ7RUHj_h-qkAFL92bcVjtIdVa-UlsCw"", ""Interns!D:D""), 
   IMPORTRANGE(""1RdEdgHYrZ33LJ7RUHj_h-qkAFL92bcVjtIdVa-UlsCw"", ""Interns!M:M""), 
   ""Not Found"")"),"Contacted")</f>
        <v>Contacted</v>
      </c>
      <c r="AL1647" s="23" t="str">
        <f>IFERROR(__xludf.DUMMYFUNCTION("XLOOKUP(C1647, 
   IMPORTRANGE(""1RdEdgHYrZ33LJ7RUHj_h-qkAFL92bcVjtIdVa-UlsCw"", ""Interns!D:D""), 
   IMPORTRANGE(""1RdEdgHYrZ33LJ7RUHj_h-qkAFL92bcVjtIdVa-UlsCw"", ""Interns!N:N""), 
   ""Not Found"")"),"#Cheers4Careers")</f>
        <v>#Cheers4Careers</v>
      </c>
      <c r="AM1647" s="23" t="str">
        <f>IFERROR(__xludf.DUMMYFUNCTION("XLOOKUP(C1647,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647" s="23"/>
      <c r="AO1647" s="23" t="s">
        <v>15101</v>
      </c>
      <c r="AP1647" s="28" t="s">
        <v>5182</v>
      </c>
      <c r="AQ1647" s="28" t="s">
        <v>15102</v>
      </c>
      <c r="AR1647" s="23" t="s">
        <v>15103</v>
      </c>
      <c r="AS1647" s="23"/>
      <c r="AT1647" s="23"/>
      <c r="AU1647" s="23"/>
      <c r="AV1647" s="23"/>
    </row>
    <row r="1648">
      <c r="A1648" s="28" t="s">
        <v>5161</v>
      </c>
      <c r="B1648" s="28" t="s">
        <v>5162</v>
      </c>
      <c r="C1648" s="23" t="str">
        <f t="shared" si="39"/>
        <v>Jayden Domingo</v>
      </c>
      <c r="D1648" s="22" t="s">
        <v>13237</v>
      </c>
      <c r="E1648" s="22" t="s">
        <v>15104</v>
      </c>
      <c r="F1648" s="23"/>
      <c r="G1648" s="23"/>
      <c r="H1648" s="22">
        <v>1897.0</v>
      </c>
      <c r="I1648" s="28"/>
      <c r="J1648" s="28"/>
      <c r="K1648" s="28"/>
      <c r="L1648" s="28" t="s">
        <v>5165</v>
      </c>
      <c r="M1648" s="29" t="s">
        <v>15105</v>
      </c>
      <c r="N1648" s="61">
        <v>45845.597916666666</v>
      </c>
      <c r="O1648" s="25">
        <v>39662.0</v>
      </c>
      <c r="P1648" s="28">
        <f t="shared" si="41"/>
        <v>17</v>
      </c>
      <c r="Q1648" s="62" t="s">
        <v>240</v>
      </c>
      <c r="R1648" s="22" t="s">
        <v>15106</v>
      </c>
      <c r="S1648" s="28">
        <v>11.0</v>
      </c>
      <c r="T1648" s="28">
        <v>23.0</v>
      </c>
      <c r="U1648" s="28">
        <v>63.0</v>
      </c>
      <c r="V1648" s="28">
        <v>49.0</v>
      </c>
      <c r="W1648" s="28" t="s">
        <v>9112</v>
      </c>
      <c r="X1648" s="28" t="s">
        <v>272</v>
      </c>
      <c r="Y1648" s="22" t="s">
        <v>15107</v>
      </c>
      <c r="Z1648" s="22" t="s">
        <v>5822</v>
      </c>
      <c r="AA1648" s="28" t="s">
        <v>5822</v>
      </c>
      <c r="AB1648" s="28">
        <v>30.0</v>
      </c>
      <c r="AC1648" s="28" t="s">
        <v>27</v>
      </c>
      <c r="AD1648" s="23"/>
      <c r="AE1648" s="28" t="s">
        <v>20</v>
      </c>
      <c r="AF1648" s="23"/>
      <c r="AG1648" s="23"/>
      <c r="AH1648" s="23" t="str">
        <f>IFERROR(__xludf.DUMMYFUNCTION("IF(
ISNUMBER(MATCH(
C1648,
IMPORTRANGE(""https://docs.google.com/spreadsheets/d/1yTh1ELC33JHYOeEdgIiEclxPRyh0zOKtlawDltfUay8"",""'Interns'!A:A""),
0
)),
""Outreach Conducted"",
"""")"),"")</f>
        <v/>
      </c>
      <c r="AI1648" s="23"/>
      <c r="AJ1648" s="23"/>
      <c r="AK1648" s="23"/>
      <c r="AL1648" s="23" t="str">
        <f>IFERROR(__xludf.DUMMYFUNCTION("XLOOKUP(C1648, 
   IMPORTRANGE(""1RdEdgHYrZ33LJ7RUHj_h-qkAFL92bcVjtIdVa-UlsCw"", ""Interns!D:D""), 
   IMPORTRANGE(""1RdEdgHYrZ33LJ7RUHj_h-qkAFL92bcVjtIdVa-UlsCw"", ""Interns!N:N""), 
   ""Not Found"")"),"#Cheers4Careers")</f>
        <v>#Cheers4Careers</v>
      </c>
      <c r="AM1648" s="23" t="str">
        <f>IFERROR(__xludf.DUMMYFUNCTION("XLOOKUP(C1648, 
   IMPORTRANGE(""1RdEdgHYrZ33LJ7RUHj_h-qkAFL92bcVjtIdVa-UlsCw"", ""Interns!D:D""), 
   IMPORTRANGE(""1RdEdgHYrZ33LJ7RUHj_h-qkAFL92bcVjtIdVa-UlsCw"", ""Interns!O:O""), 
   ""Not Found"")"),"Hetal reached out March 27 for March #Cheers4 Careers ")</f>
        <v>Hetal reached out March 27 for March #Cheers4 Careers </v>
      </c>
      <c r="AN1648" s="23"/>
      <c r="AO1648" s="23" t="s">
        <v>15108</v>
      </c>
      <c r="AP1648" s="28" t="s">
        <v>5182</v>
      </c>
      <c r="AQ1648" s="28" t="s">
        <v>15109</v>
      </c>
      <c r="AR1648" s="23" t="s">
        <v>15110</v>
      </c>
      <c r="AS1648" s="23"/>
      <c r="AT1648" s="23"/>
      <c r="AU1648" s="23"/>
      <c r="AV1648" s="23"/>
    </row>
    <row r="1649">
      <c r="A1649" s="28" t="s">
        <v>5161</v>
      </c>
      <c r="B1649" s="28" t="s">
        <v>5162</v>
      </c>
      <c r="C1649" s="23" t="str">
        <f t="shared" si="39"/>
        <v>Grace Avellino</v>
      </c>
      <c r="D1649" s="28" t="s">
        <v>15111</v>
      </c>
      <c r="E1649" s="28" t="s">
        <v>15112</v>
      </c>
      <c r="F1649" s="23">
        <f t="array" ref="F1649">IFERROR(
    INDEX('Hub Interns 226'!A:A, MATCH(C1649, 'Hub Interns 226'!B:B, 0)),"")</f>
        <v>1471</v>
      </c>
      <c r="G1649" s="23">
        <f t="array" ref="G1649">IFERROR(
    INDEX('Hub Users 226'!A:A, MATCH(C1649, 'Hub Users 226'!B:B, 0)),"")</f>
        <v>2047</v>
      </c>
      <c r="H1649" s="28">
        <v>1834.0</v>
      </c>
      <c r="I1649" s="28" t="s">
        <v>407</v>
      </c>
      <c r="J1649" s="28"/>
      <c r="K1649" s="28"/>
      <c r="L1649" s="28" t="s">
        <v>5196</v>
      </c>
      <c r="M1649" s="56" t="s">
        <v>15113</v>
      </c>
      <c r="N1649" s="57">
        <v>45503.978472222225</v>
      </c>
      <c r="O1649" s="58">
        <v>45481.0</v>
      </c>
      <c r="P1649" s="28">
        <f t="shared" si="41"/>
        <v>1</v>
      </c>
      <c r="Q1649" s="28" t="s">
        <v>240</v>
      </c>
      <c r="R1649" s="28" t="s">
        <v>15114</v>
      </c>
      <c r="S1649" s="28">
        <v>6.0</v>
      </c>
      <c r="T1649" s="28">
        <v>15.0</v>
      </c>
      <c r="U1649" s="28">
        <v>28.0</v>
      </c>
      <c r="V1649" s="28">
        <v>30.0</v>
      </c>
      <c r="W1649" s="28" t="s">
        <v>1173</v>
      </c>
      <c r="X1649" s="28" t="s">
        <v>272</v>
      </c>
      <c r="Y1649" s="28">
        <v>7.183741935E9</v>
      </c>
      <c r="Z1649" s="23"/>
      <c r="AA1649" s="28" t="s">
        <v>5512</v>
      </c>
      <c r="AB1649" s="28">
        <v>30.0</v>
      </c>
      <c r="AC1649" s="28" t="s">
        <v>23</v>
      </c>
      <c r="AD1649" s="28" t="s">
        <v>101</v>
      </c>
      <c r="AE1649" s="28" t="s">
        <v>19</v>
      </c>
      <c r="AF1649" s="23"/>
      <c r="AG1649" s="23"/>
      <c r="AH1649" s="23" t="str">
        <f>IFERROR(__xludf.DUMMYFUNCTION("IF(
ISNUMBER(MATCH(
C1649,
IMPORTRANGE(""https://docs.google.com/spreadsheets/d/1yTh1ELC33JHYOeEdgIiEclxPRyh0zOKtlawDltfUay8"",""'Interns'!A:A""),
0
)),
""Outreach Conducted"",
"""")"),"")</f>
        <v/>
      </c>
      <c r="AI1649" s="23"/>
      <c r="AJ1649" s="28" t="s">
        <v>15115</v>
      </c>
      <c r="AK1649" s="23" t="str">
        <f>IFERROR(__xludf.DUMMYFUNCTION("XLOOKUP(C1649, 
   IMPORTRANGE(""1RdEdgHYrZ33LJ7RUHj_h-qkAFL92bcVjtIdVa-UlsCw"", ""Interns!D:D""), 
   IMPORTRANGE(""1RdEdgHYrZ33LJ7RUHj_h-qkAFL92bcVjtIdVa-UlsCw"", ""Interns!M:M""), 
   ""Not Found"")"),"In Communication")</f>
        <v>In Communication</v>
      </c>
      <c r="AL1649" s="23" t="str">
        <f>IFERROR(__xludf.DUMMYFUNCTION("XLOOKUP(C1649, 
   IMPORTRANGE(""1RdEdgHYrZ33LJ7RUHj_h-qkAFL92bcVjtIdVa-UlsCw"", ""Interns!D:D""), 
   IMPORTRANGE(""1RdEdgHYrZ33LJ7RUHj_h-qkAFL92bcVjtIdVa-UlsCw"", ""Interns!N:N""), 
   ""Not Found"")"),"#Cheers4Careers")</f>
        <v>#Cheers4Careers</v>
      </c>
      <c r="AM1649" s="23" t="str">
        <f>IFERROR(__xludf.DUMMYFUNCTION("XLOOKUP(C1649, 
   IMPORTRANGE(""1RdEdgHYrZ33LJ7RUHj_h-qkAFL92bcVjtIdVa-UlsCw"", ""Interns!D:D""), 
   IMPORTRANGE(""1RdEdgHYrZ33LJ7RUHj_h-qkAFL92bcVjtIdVa-UlsCw"", ""Interns!O:O""), 
   ""Not Found"")"),"Hetal reached out March 27 for March #Cheers4 Careers - email blocked and by whatsapp on 3/28
Hetal reached out on 4/10 by whatsapp and Grace said she got the lead of Anna in her school pain of Frozen so she can't do this one but will check on Soiree")</f>
        <v>Hetal reached out March 27 for March #Cheers4 Careers - email blocked and by whatsapp on 3/28
Hetal reached out on 4/10 by whatsapp and Grace said she got the lead of Anna in her school pain of Frozen so she can't do this one but will check on Soiree</v>
      </c>
      <c r="AN1649" s="23"/>
      <c r="AO1649" s="23" t="s">
        <v>15116</v>
      </c>
      <c r="AP1649" s="28" t="s">
        <v>5191</v>
      </c>
      <c r="AQ1649" s="28" t="s">
        <v>15117</v>
      </c>
      <c r="AR1649" s="23">
        <v>7.189385861E9</v>
      </c>
      <c r="AS1649" s="23"/>
      <c r="AT1649" s="23"/>
      <c r="AU1649" s="23"/>
      <c r="AV1649" s="23"/>
    </row>
    <row r="1650">
      <c r="A1650" s="28" t="s">
        <v>5161</v>
      </c>
      <c r="B1650" s="28" t="s">
        <v>5162</v>
      </c>
      <c r="C1650" s="23" t="str">
        <f t="shared" si="39"/>
        <v>Genevib Diaz</v>
      </c>
      <c r="D1650" s="28" t="s">
        <v>15118</v>
      </c>
      <c r="E1650" s="28" t="s">
        <v>6378</v>
      </c>
      <c r="F1650" s="23">
        <f t="array" ref="F1650">IFERROR(
    INDEX('Hub Interns 226'!A:A, MATCH(C1650, 'Hub Interns 226'!B:B, 0)),"")</f>
        <v>543</v>
      </c>
      <c r="G1650" s="23">
        <f t="array" ref="G1650">IFERROR(
    INDEX('Hub Users 226'!A:A, MATCH(C1650, 'Hub Users 226'!B:B, 0)),"")</f>
        <v>976</v>
      </c>
      <c r="H1650" s="28">
        <v>984.0</v>
      </c>
      <c r="I1650" s="28" t="s">
        <v>425</v>
      </c>
      <c r="J1650" s="28"/>
      <c r="K1650" s="28"/>
      <c r="L1650" s="28" t="s">
        <v>5196</v>
      </c>
      <c r="M1650" s="56" t="s">
        <v>15119</v>
      </c>
      <c r="N1650" s="57">
        <v>44643.552777777775</v>
      </c>
      <c r="O1650" s="58">
        <v>40066.0</v>
      </c>
      <c r="P1650" s="28">
        <f t="shared" si="41"/>
        <v>16</v>
      </c>
      <c r="Q1650" s="28" t="s">
        <v>240</v>
      </c>
      <c r="R1650" s="28" t="s">
        <v>15120</v>
      </c>
      <c r="S1650" s="28">
        <v>7.0</v>
      </c>
      <c r="T1650" s="28">
        <v>12.0</v>
      </c>
      <c r="U1650" s="28">
        <v>28.0</v>
      </c>
      <c r="V1650" s="28">
        <v>30.0</v>
      </c>
      <c r="W1650" s="28" t="s">
        <v>1173</v>
      </c>
      <c r="X1650" s="28" t="s">
        <v>272</v>
      </c>
      <c r="Y1650" s="28" t="s">
        <v>15121</v>
      </c>
      <c r="Z1650" s="28" t="s">
        <v>7427</v>
      </c>
      <c r="AA1650" s="28" t="s">
        <v>7428</v>
      </c>
      <c r="AB1650" s="28">
        <v>34.0</v>
      </c>
      <c r="AC1650" s="28" t="s">
        <v>24</v>
      </c>
      <c r="AD1650" s="23"/>
      <c r="AE1650" s="28" t="s">
        <v>10</v>
      </c>
      <c r="AF1650" s="23"/>
      <c r="AG1650" s="23"/>
      <c r="AH1650" s="23" t="str">
        <f>IFERROR(__xludf.DUMMYFUNCTION("IF(
ISNUMBER(MATCH(
C1650,
IMPORTRANGE(""https://docs.google.com/spreadsheets/d/1yTh1ELC33JHYOeEdgIiEclxPRyh0zOKtlawDltfUay8"",""'Interns'!A:A""),
0
)),
""Outreach Conducted"",
"""")"),"")</f>
        <v/>
      </c>
      <c r="AI1650" s="23"/>
      <c r="AJ1650" s="23"/>
      <c r="AK1650" s="23" t="str">
        <f>IFERROR(__xludf.DUMMYFUNCTION("XLOOKUP(C1650, 
   IMPORTRANGE(""1RdEdgHYrZ33LJ7RUHj_h-qkAFL92bcVjtIdVa-UlsCw"", ""Interns!D:D""), 
   IMPORTRANGE(""1RdEdgHYrZ33LJ7RUHj_h-qkAFL92bcVjtIdVa-UlsCw"", ""Interns!M:M""), 
   ""Not Found"")"),"Contacted")</f>
        <v>Contacted</v>
      </c>
      <c r="AL1650" s="23" t="str">
        <f>IFERROR(__xludf.DUMMYFUNCTION("XLOOKUP(C1650, 
   IMPORTRANGE(""1RdEdgHYrZ33LJ7RUHj_h-qkAFL92bcVjtIdVa-UlsCw"", ""Interns!D:D""), 
   IMPORTRANGE(""1RdEdgHYrZ33LJ7RUHj_h-qkAFL92bcVjtIdVa-UlsCw"", ""Interns!N:N""), 
   ""Not Found"")"),"#Cheers4Careers")</f>
        <v>#Cheers4Careers</v>
      </c>
      <c r="AM1650" s="23" t="str">
        <f>IFERROR(__xludf.DUMMYFUNCTION("XLOOKUP(C1650, 
   IMPORTRANGE(""1RdEdgHYrZ33LJ7RUHj_h-qkAFL92bcVjtIdVa-UlsCw"", ""Interns!D:D""), 
   IMPORTRANGE(""1RdEdgHYrZ33LJ7RUHj_h-qkAFL92bcVjtIdVa-UlsCw"", ""Interns!O:O""), 
   ""Not Found"")"),"Hetal reached out by email 3/27")</f>
        <v>Hetal reached out by email 3/27</v>
      </c>
      <c r="AN1650" s="23"/>
      <c r="AO1650" s="23" t="s">
        <v>15122</v>
      </c>
      <c r="AP1650" s="28" t="s">
        <v>5182</v>
      </c>
      <c r="AQ1650" s="28"/>
      <c r="AR1650" s="23"/>
      <c r="AS1650" s="23"/>
      <c r="AT1650" s="23"/>
      <c r="AU1650" s="23"/>
      <c r="AV1650" s="23"/>
    </row>
    <row r="1651">
      <c r="A1651" s="28" t="s">
        <v>5161</v>
      </c>
      <c r="B1651" s="28" t="s">
        <v>5162</v>
      </c>
      <c r="C1651" s="23" t="str">
        <f t="shared" si="39"/>
        <v>Chynah Adams</v>
      </c>
      <c r="D1651" s="22" t="s">
        <v>15123</v>
      </c>
      <c r="E1651" s="22" t="s">
        <v>869</v>
      </c>
      <c r="F1651" s="23"/>
      <c r="G1651" s="23"/>
      <c r="H1651" s="22">
        <v>1895.0</v>
      </c>
      <c r="I1651" s="28"/>
      <c r="J1651" s="28"/>
      <c r="K1651" s="28"/>
      <c r="L1651" s="28" t="s">
        <v>5196</v>
      </c>
      <c r="M1651" s="29" t="s">
        <v>15124</v>
      </c>
      <c r="N1651" s="22"/>
      <c r="O1651" s="25">
        <v>39683.0</v>
      </c>
      <c r="P1651" s="28">
        <f t="shared" si="41"/>
        <v>17</v>
      </c>
      <c r="Q1651" s="62" t="s">
        <v>15125</v>
      </c>
      <c r="R1651" s="22" t="s">
        <v>15126</v>
      </c>
      <c r="S1651" s="28">
        <v>11.0</v>
      </c>
      <c r="T1651" s="28">
        <v>23.0</v>
      </c>
      <c r="U1651" s="28">
        <v>61.0</v>
      </c>
      <c r="V1651" s="28">
        <v>49.0</v>
      </c>
      <c r="W1651" s="28" t="s">
        <v>9112</v>
      </c>
      <c r="X1651" s="28" t="s">
        <v>272</v>
      </c>
      <c r="Y1651" s="22" t="s">
        <v>15127</v>
      </c>
      <c r="Z1651" s="22" t="s">
        <v>5822</v>
      </c>
      <c r="AA1651" s="28" t="s">
        <v>5822</v>
      </c>
      <c r="AB1651" s="28">
        <v>30.0</v>
      </c>
      <c r="AC1651" s="28" t="s">
        <v>27</v>
      </c>
      <c r="AD1651" s="23"/>
      <c r="AE1651" s="28" t="s">
        <v>20</v>
      </c>
      <c r="AF1651" s="23"/>
      <c r="AG1651" s="23"/>
      <c r="AH1651" s="23" t="str">
        <f>IFERROR(__xludf.DUMMYFUNCTION("IF(
ISNUMBER(MATCH(
C1651,
IMPORTRANGE(""https://docs.google.com/spreadsheets/d/1yTh1ELC33JHYOeEdgIiEclxPRyh0zOKtlawDltfUay8"",""'Interns'!A:A""),
0
)),
""Outreach Conducted"",
"""")"),"")</f>
        <v/>
      </c>
      <c r="AI1651" s="23"/>
      <c r="AJ1651" s="23"/>
      <c r="AK1651" s="23"/>
      <c r="AL1651" s="23" t="str">
        <f>IFERROR(__xludf.DUMMYFUNCTION("XLOOKUP(C1651, 
   IMPORTRANGE(""1RdEdgHYrZ33LJ7RUHj_h-qkAFL92bcVjtIdVa-UlsCw"", ""Interns!D:D""), 
   IMPORTRANGE(""1RdEdgHYrZ33LJ7RUHj_h-qkAFL92bcVjtIdVa-UlsCw"", ""Interns!N:N""), 
   ""Not Found"")"),"#Cheers4Careers")</f>
        <v>#Cheers4Careers</v>
      </c>
      <c r="AM1651" s="23" t="str">
        <f>IFERROR(__xludf.DUMMYFUNCTION("XLOOKUP(C1651, 
   IMPORTRANGE(""1RdEdgHYrZ33LJ7RUHj_h-qkAFL92bcVjtIdVa-UlsCw"", ""Interns!D:D""), 
   IMPORTRANGE(""1RdEdgHYrZ33LJ7RUHj_h-qkAFL92bcVjtIdVa-UlsCw"", ""Interns!O:O""), 
   ""Not Found"")"),"Hetal reached out March 27 for March #Cheers4 Careers ")</f>
        <v>Hetal reached out March 27 for March #Cheers4 Careers </v>
      </c>
      <c r="AN1651" s="23"/>
      <c r="AO1651" s="23" t="s">
        <v>15128</v>
      </c>
      <c r="AP1651" s="28" t="s">
        <v>5182</v>
      </c>
      <c r="AQ1651" s="28" t="s">
        <v>15129</v>
      </c>
      <c r="AR1651" s="23" t="s">
        <v>15130</v>
      </c>
      <c r="AS1651" s="23"/>
      <c r="AT1651" s="23"/>
      <c r="AU1651" s="23"/>
      <c r="AV1651" s="23"/>
    </row>
    <row r="1652">
      <c r="A1652" s="28" t="s">
        <v>5161</v>
      </c>
      <c r="B1652" s="28" t="s">
        <v>5162</v>
      </c>
      <c r="C1652" s="23" t="str">
        <f t="shared" si="39"/>
        <v>Kevin Tenesaca</v>
      </c>
      <c r="D1652" s="22" t="s">
        <v>3690</v>
      </c>
      <c r="E1652" s="22" t="s">
        <v>15131</v>
      </c>
      <c r="F1652" s="23"/>
      <c r="G1652" s="23"/>
      <c r="H1652" s="22">
        <v>1962.0</v>
      </c>
      <c r="I1652" s="28"/>
      <c r="J1652" s="28"/>
      <c r="K1652" s="28"/>
      <c r="L1652" s="28" t="s">
        <v>5165</v>
      </c>
      <c r="M1652" s="29" t="s">
        <v>15132</v>
      </c>
      <c r="N1652" s="61">
        <v>45693.62777777778</v>
      </c>
      <c r="O1652" s="25">
        <v>39776.0</v>
      </c>
      <c r="P1652" s="28">
        <f t="shared" si="41"/>
        <v>17</v>
      </c>
      <c r="Q1652" s="62" t="s">
        <v>15133</v>
      </c>
      <c r="R1652" s="22" t="s">
        <v>15134</v>
      </c>
      <c r="S1652" s="28">
        <v>10.0</v>
      </c>
      <c r="T1652" s="28">
        <v>26.0</v>
      </c>
      <c r="U1652" s="28">
        <v>51.0</v>
      </c>
      <c r="V1652" s="28">
        <v>43.0</v>
      </c>
      <c r="W1652" s="28" t="s">
        <v>294</v>
      </c>
      <c r="X1652" s="28" t="s">
        <v>272</v>
      </c>
      <c r="Y1652" s="22" t="s">
        <v>15135</v>
      </c>
      <c r="Z1652" s="22" t="s">
        <v>11434</v>
      </c>
      <c r="AA1652" s="28" t="s">
        <v>704</v>
      </c>
      <c r="AB1652" s="28">
        <v>2.0</v>
      </c>
      <c r="AC1652" s="28"/>
      <c r="AD1652" s="23"/>
      <c r="AE1652" s="28" t="s">
        <v>19</v>
      </c>
      <c r="AF1652" s="23"/>
      <c r="AG1652" s="23"/>
      <c r="AH1652" s="23" t="str">
        <f>IFERROR(__xludf.DUMMYFUNCTION("IF(
ISNUMBER(MATCH(
C1652,
IMPORTRANGE(""https://docs.google.com/spreadsheets/d/1yTh1ELC33JHYOeEdgIiEclxPRyh0zOKtlawDltfUay8"",""'Interns'!A:A""),
0
)),
""Outreach Conducted"",
"""")"),"")</f>
        <v/>
      </c>
      <c r="AI1652" s="23"/>
      <c r="AJ1652" s="23"/>
      <c r="AK1652" s="23"/>
      <c r="AL1652" s="23" t="str">
        <f>IFERROR(__xludf.DUMMYFUNCTION("XLOOKUP(C1652, 
   IMPORTRANGE(""1RdEdgHYrZ33LJ7RUHj_h-qkAFL92bcVjtIdVa-UlsCw"", ""Interns!D:D""), 
   IMPORTRANGE(""1RdEdgHYrZ33LJ7RUHj_h-qkAFL92bcVjtIdVa-UlsCw"", ""Interns!N:N""), 
   ""Not Found"")"),"Not Found")</f>
        <v>Not Found</v>
      </c>
      <c r="AM1652" s="23" t="str">
        <f>IFERROR(__xludf.DUMMYFUNCTION("XLOOKUP(C1652, 
   IMPORTRANGE(""1RdEdgHYrZ33LJ7RUHj_h-qkAFL92bcVjtIdVa-UlsCw"", ""Interns!D:D""), 
   IMPORTRANGE(""1RdEdgHYrZ33LJ7RUHj_h-qkAFL92bcVjtIdVa-UlsCw"", ""Interns!O:O""), 
   ""Not Found"")"),"Not Found")</f>
        <v>Not Found</v>
      </c>
      <c r="AN1652" s="23"/>
      <c r="AO1652" s="23"/>
      <c r="AP1652" s="28"/>
      <c r="AQ1652" s="28"/>
      <c r="AR1652" s="23"/>
      <c r="AS1652" s="23"/>
      <c r="AT1652" s="23"/>
      <c r="AU1652" s="23"/>
      <c r="AV1652" s="23"/>
    </row>
    <row r="1653">
      <c r="A1653" s="28" t="s">
        <v>5161</v>
      </c>
      <c r="B1653" s="28" t="s">
        <v>5162</v>
      </c>
      <c r="C1653" s="23" t="str">
        <f t="shared" si="39"/>
        <v>Terrence Han</v>
      </c>
      <c r="D1653" s="22" t="s">
        <v>13620</v>
      </c>
      <c r="E1653" s="22" t="s">
        <v>15136</v>
      </c>
      <c r="F1653" s="23"/>
      <c r="G1653" s="23"/>
      <c r="H1653" s="22">
        <v>1965.0</v>
      </c>
      <c r="I1653" s="28"/>
      <c r="J1653" s="28"/>
      <c r="K1653" s="28"/>
      <c r="L1653" s="28" t="s">
        <v>5165</v>
      </c>
      <c r="M1653" s="29" t="s">
        <v>15137</v>
      </c>
      <c r="N1653" s="22"/>
      <c r="O1653" s="25">
        <v>41096.0</v>
      </c>
      <c r="P1653" s="28">
        <f t="shared" si="41"/>
        <v>13</v>
      </c>
      <c r="Q1653" s="62" t="s">
        <v>240</v>
      </c>
      <c r="R1653" s="22" t="s">
        <v>15138</v>
      </c>
      <c r="S1653" s="28">
        <v>6.0</v>
      </c>
      <c r="T1653" s="28">
        <v>12.0</v>
      </c>
      <c r="U1653" s="28">
        <v>30.0</v>
      </c>
      <c r="V1653" s="28">
        <v>30.0</v>
      </c>
      <c r="W1653" s="28" t="s">
        <v>1173</v>
      </c>
      <c r="X1653" s="28" t="s">
        <v>272</v>
      </c>
      <c r="Y1653" s="24"/>
      <c r="Z1653" s="22" t="s">
        <v>6346</v>
      </c>
      <c r="AA1653" s="28" t="s">
        <v>5512</v>
      </c>
      <c r="AB1653" s="28">
        <v>30.0</v>
      </c>
      <c r="AC1653" s="28" t="s">
        <v>23</v>
      </c>
      <c r="AD1653" s="23"/>
      <c r="AE1653" s="28" t="s">
        <v>19</v>
      </c>
      <c r="AF1653" s="23"/>
      <c r="AG1653" s="23"/>
      <c r="AH1653" s="23" t="str">
        <f>IFERROR(__xludf.DUMMYFUNCTION("IF(
ISNUMBER(MATCH(
C1653,
IMPORTRANGE(""https://docs.google.com/spreadsheets/d/1yTh1ELC33JHYOeEdgIiEclxPRyh0zOKtlawDltfUay8"",""'Interns'!A:A""),
0
)),
""Outreach Conducted"",
"""")"),"")</f>
        <v/>
      </c>
      <c r="AI1653" s="23"/>
      <c r="AJ1653" s="23"/>
      <c r="AK1653" s="23"/>
      <c r="AL1653" s="23" t="str">
        <f>IFERROR(__xludf.DUMMYFUNCTION("XLOOKUP(C1653, 
   IMPORTRANGE(""1RdEdgHYrZ33LJ7RUHj_h-qkAFL92bcVjtIdVa-UlsCw"", ""Interns!D:D""), 
   IMPORTRANGE(""1RdEdgHYrZ33LJ7RUHj_h-qkAFL92bcVjtIdVa-UlsCw"", ""Interns!N:N""), 
   ""Not Found"")"),"Not Found")</f>
        <v>Not Found</v>
      </c>
      <c r="AM1653" s="23" t="str">
        <f>IFERROR(__xludf.DUMMYFUNCTION("XLOOKUP(C1653, 
   IMPORTRANGE(""1RdEdgHYrZ33LJ7RUHj_h-qkAFL92bcVjtIdVa-UlsCw"", ""Interns!D:D""), 
   IMPORTRANGE(""1RdEdgHYrZ33LJ7RUHj_h-qkAFL92bcVjtIdVa-UlsCw"", ""Interns!O:O""), 
   ""Not Found"")"),"Not Found")</f>
        <v>Not Found</v>
      </c>
      <c r="AN1653" s="23"/>
      <c r="AO1653" s="23" t="s">
        <v>15139</v>
      </c>
      <c r="AP1653" s="28" t="s">
        <v>5182</v>
      </c>
      <c r="AQ1653" s="28" t="s">
        <v>15137</v>
      </c>
      <c r="AR1653" s="23"/>
      <c r="AS1653" s="23"/>
      <c r="AT1653" s="23"/>
      <c r="AU1653" s="23"/>
      <c r="AV1653" s="23"/>
    </row>
    <row r="1654">
      <c r="A1654" s="28" t="s">
        <v>5161</v>
      </c>
      <c r="B1654" s="28" t="s">
        <v>5162</v>
      </c>
      <c r="C1654" s="23" t="str">
        <f t="shared" si="39"/>
        <v>Amayreli Ortega Garcia</v>
      </c>
      <c r="D1654" s="22" t="s">
        <v>15140</v>
      </c>
      <c r="E1654" s="22" t="s">
        <v>15141</v>
      </c>
      <c r="F1654" s="23"/>
      <c r="G1654" s="23"/>
      <c r="H1654" s="22">
        <v>2024.0</v>
      </c>
      <c r="I1654" s="28"/>
      <c r="J1654" s="28"/>
      <c r="K1654" s="28"/>
      <c r="L1654" s="28" t="s">
        <v>5196</v>
      </c>
      <c r="M1654" s="29" t="s">
        <v>15142</v>
      </c>
      <c r="N1654" s="63">
        <v>45589.663194444445</v>
      </c>
      <c r="O1654" s="25">
        <v>41496.0</v>
      </c>
      <c r="P1654" s="28">
        <f t="shared" si="41"/>
        <v>12</v>
      </c>
      <c r="Q1654" s="62" t="s">
        <v>240</v>
      </c>
      <c r="R1654" s="22" t="s">
        <v>15143</v>
      </c>
      <c r="S1654" s="28">
        <v>6.0</v>
      </c>
      <c r="T1654" s="28">
        <v>12.0</v>
      </c>
      <c r="U1654" s="28">
        <v>30.0</v>
      </c>
      <c r="V1654" s="28">
        <v>30.0</v>
      </c>
      <c r="W1654" s="28" t="s">
        <v>1173</v>
      </c>
      <c r="X1654" s="28" t="s">
        <v>272</v>
      </c>
      <c r="Y1654" s="22" t="s">
        <v>15144</v>
      </c>
      <c r="Z1654" s="22" t="s">
        <v>6346</v>
      </c>
      <c r="AA1654" s="28" t="s">
        <v>5512</v>
      </c>
      <c r="AB1654" s="28">
        <v>30.0</v>
      </c>
      <c r="AC1654" s="28" t="s">
        <v>23</v>
      </c>
      <c r="AD1654" s="23"/>
      <c r="AE1654" s="28" t="s">
        <v>19</v>
      </c>
      <c r="AF1654" s="23"/>
      <c r="AG1654" s="23"/>
      <c r="AH1654" s="23" t="str">
        <f>IFERROR(__xludf.DUMMYFUNCTION("IF(
ISNUMBER(MATCH(
C1654,
IMPORTRANGE(""https://docs.google.com/spreadsheets/d/1yTh1ELC33JHYOeEdgIiEclxPRyh0zOKtlawDltfUay8"",""'Interns'!A:A""),
0
)),
""Outreach Conducted"",
"""")"),"")</f>
        <v/>
      </c>
      <c r="AI1654" s="23"/>
      <c r="AJ1654" s="23"/>
      <c r="AK1654" s="23" t="str">
        <f>IFERROR(__xludf.DUMMYFUNCTION("XLOOKUP(C1654, 
   IMPORTRANGE(""1RdEdgHYrZ33LJ7RUHj_h-qkAFL92bcVjtIdVa-UlsCw"", ""Interns!D:D""), 
   IMPORTRANGE(""1RdEdgHYrZ33LJ7RUHj_h-qkAFL92bcVjtIdVa-UlsCw"", ""Interns!M:M""), 
   ""Not Found"")"),"Not Found")</f>
        <v>Not Found</v>
      </c>
      <c r="AL1654" s="23" t="str">
        <f>IFERROR(__xludf.DUMMYFUNCTION("XLOOKUP(C1654, 
   IMPORTRANGE(""1RdEdgHYrZ33LJ7RUHj_h-qkAFL92bcVjtIdVa-UlsCw"", ""Interns!D:D""), 
   IMPORTRANGE(""1RdEdgHYrZ33LJ7RUHj_h-qkAFL92bcVjtIdVa-UlsCw"", ""Interns!N:N""), 
   ""Not Found"")"),"Not Found")</f>
        <v>Not Found</v>
      </c>
      <c r="AM1654" s="23" t="str">
        <f>IFERROR(__xludf.DUMMYFUNCTION("XLOOKUP(C1654, 
   IMPORTRANGE(""1RdEdgHYrZ33LJ7RUHj_h-qkAFL92bcVjtIdVa-UlsCw"", ""Interns!D:D""), 
   IMPORTRANGE(""1RdEdgHYrZ33LJ7RUHj_h-qkAFL92bcVjtIdVa-UlsCw"", ""Interns!O:O""), 
   ""Not Found"")"),"Not Found")</f>
        <v>Not Found</v>
      </c>
      <c r="AN1654" s="23"/>
      <c r="AO1654" s="23" t="s">
        <v>15145</v>
      </c>
      <c r="AP1654" s="28" t="s">
        <v>5182</v>
      </c>
      <c r="AQ1654" s="28" t="s">
        <v>15142</v>
      </c>
      <c r="AR1654" s="23" t="s">
        <v>12266</v>
      </c>
      <c r="AS1654" s="23"/>
      <c r="AT1654" s="23"/>
      <c r="AU1654" s="23"/>
      <c r="AV1654" s="23"/>
    </row>
    <row r="1655">
      <c r="A1655" s="28" t="s">
        <v>5202</v>
      </c>
      <c r="B1655" s="28" t="s">
        <v>5162</v>
      </c>
      <c r="C1655" s="23" t="str">
        <f t="shared" si="39"/>
        <v>william Robinson</v>
      </c>
      <c r="D1655" s="28" t="s">
        <v>15146</v>
      </c>
      <c r="E1655" s="28" t="s">
        <v>2583</v>
      </c>
      <c r="F1655" s="23">
        <f t="array" ref="F1655">IFERROR(
    INDEX('Hub Interns 226'!A:A, MATCH(C1655, 'Hub Interns 226'!B:B, 0)),"")</f>
        <v>1191</v>
      </c>
      <c r="G1655" s="23">
        <f t="array" ref="G1655">IFERROR(
    INDEX('Hub Users 226'!A:A, MATCH(C1655, 'Hub Users 226'!B:B, 0)),"")</f>
        <v>1624</v>
      </c>
      <c r="H1655" s="28">
        <v>935.0</v>
      </c>
      <c r="I1655" s="28" t="s">
        <v>290</v>
      </c>
      <c r="J1655" s="28"/>
      <c r="K1655" s="28"/>
      <c r="L1655" s="28" t="s">
        <v>5165</v>
      </c>
      <c r="M1655" s="56" t="s">
        <v>15147</v>
      </c>
      <c r="N1655" s="57">
        <v>44603.48402777778</v>
      </c>
      <c r="O1655" s="58">
        <v>38361.0</v>
      </c>
      <c r="P1655" s="28">
        <f t="shared" si="41"/>
        <v>21</v>
      </c>
      <c r="Q1655" s="28" t="s">
        <v>240</v>
      </c>
      <c r="R1655" s="28" t="s">
        <v>15148</v>
      </c>
      <c r="S1655" s="28">
        <v>15.0</v>
      </c>
      <c r="T1655" s="28">
        <v>33.0</v>
      </c>
      <c r="U1655" s="28">
        <v>80.0</v>
      </c>
      <c r="V1655" s="28">
        <v>13.0</v>
      </c>
      <c r="W1655" s="28" t="s">
        <v>859</v>
      </c>
      <c r="X1655" s="28" t="s">
        <v>272</v>
      </c>
      <c r="Y1655" s="28" t="s">
        <v>15149</v>
      </c>
      <c r="Z1655" s="28" t="s">
        <v>5208</v>
      </c>
      <c r="AA1655" s="28" t="s">
        <v>2141</v>
      </c>
      <c r="AB1655" s="28">
        <v>8.0</v>
      </c>
      <c r="AC1655" s="28" t="s">
        <v>24</v>
      </c>
      <c r="AD1655" s="23"/>
      <c r="AE1655" s="28" t="s">
        <v>10</v>
      </c>
      <c r="AF1655" s="23"/>
      <c r="AG1655" s="23"/>
      <c r="AH1655" s="23" t="str">
        <f>IFERROR(__xludf.DUMMYFUNCTION("IF(
ISNUMBER(MATCH(
C1655,
IMPORTRANGE(""https://docs.google.com/spreadsheets/d/1yTh1ELC33JHYOeEdgIiEclxPRyh0zOKtlawDltfUay8"",""'Interns'!A:A""),
0
)),
""Outreach Conducted"",
"""")"),"")</f>
        <v/>
      </c>
      <c r="AI1655" s="23"/>
      <c r="AJ1655" s="23"/>
      <c r="AK1655" s="23" t="str">
        <f>IFERROR(__xludf.DUMMYFUNCTION("XLOOKUP(C1655, 
   IMPORTRANGE(""1RdEdgHYrZ33LJ7RUHj_h-qkAFL92bcVjtIdVa-UlsCw"", ""Interns!D:D""), 
   IMPORTRANGE(""1RdEdgHYrZ33LJ7RUHj_h-qkAFL92bcVjtIdVa-UlsCw"", ""Interns!M:M""), 
   ""Not Found"")"),"")</f>
        <v/>
      </c>
      <c r="AL1655" s="23" t="str">
        <f>IFERROR(__xludf.DUMMYFUNCTION("XLOOKUP(C1655, 
   IMPORTRANGE(""1RdEdgHYrZ33LJ7RUHj_h-qkAFL92bcVjtIdVa-UlsCw"", ""Interns!D:D""), 
   IMPORTRANGE(""1RdEdgHYrZ33LJ7RUHj_h-qkAFL92bcVjtIdVa-UlsCw"", ""Interns!N:N""), 
   ""Not Found"")"),"")</f>
        <v/>
      </c>
      <c r="AM1655" s="23" t="str">
        <f>IFERROR(__xludf.DUMMYFUNCTION("XLOOKUP(C1655, 
   IMPORTRANGE(""1RdEdgHYrZ33LJ7RUHj_h-qkAFL92bcVjtIdVa-UlsCw"", ""Interns!D:D""), 
   IMPORTRANGE(""1RdEdgHYrZ33LJ7RUHj_h-qkAFL92bcVjtIdVa-UlsCw"", ""Interns!O:O""), 
   ""Not Found"")"),"")</f>
        <v/>
      </c>
      <c r="AN1655" s="23"/>
      <c r="AO1655" s="23" t="s">
        <v>15150</v>
      </c>
      <c r="AP1655" s="28" t="s">
        <v>5191</v>
      </c>
      <c r="AQ1655" s="28"/>
      <c r="AR1655" s="23"/>
      <c r="AS1655" s="23"/>
      <c r="AT1655" s="23"/>
      <c r="AU1655" s="23"/>
      <c r="AV1655" s="23"/>
    </row>
    <row r="1656">
      <c r="A1656" s="28" t="s">
        <v>5161</v>
      </c>
      <c r="B1656" s="28" t="s">
        <v>5162</v>
      </c>
      <c r="C1656" s="23" t="str">
        <f t="shared" si="39"/>
        <v>Soraya Roldan</v>
      </c>
      <c r="D1656" s="28" t="s">
        <v>3252</v>
      </c>
      <c r="E1656" s="28" t="s">
        <v>15151</v>
      </c>
      <c r="F1656" s="23">
        <f t="array" ref="F1656">IFERROR(
    INDEX('Hub Interns 226'!A:A, MATCH(C1656, 'Hub Interns 226'!B:B, 0)),"")</f>
        <v>1115</v>
      </c>
      <c r="G1656" s="23">
        <f t="array" ref="G1656">IFERROR(
    INDEX('Hub Users 226'!A:A, MATCH(C1656, 'Hub Users 226'!B:B, 0)),"")</f>
        <v>1548</v>
      </c>
      <c r="H1656" s="28">
        <v>978.0</v>
      </c>
      <c r="I1656" s="28" t="s">
        <v>290</v>
      </c>
      <c r="J1656" s="28"/>
      <c r="K1656" s="28"/>
      <c r="L1656" s="28" t="s">
        <v>5196</v>
      </c>
      <c r="M1656" s="56" t="s">
        <v>15152</v>
      </c>
      <c r="N1656" s="57">
        <v>44643.54722222222</v>
      </c>
      <c r="O1656" s="58">
        <v>39983.0</v>
      </c>
      <c r="P1656" s="28">
        <f t="shared" si="41"/>
        <v>16</v>
      </c>
      <c r="Q1656" s="28" t="s">
        <v>240</v>
      </c>
      <c r="R1656" s="28" t="s">
        <v>15153</v>
      </c>
      <c r="S1656" s="28">
        <v>7.0</v>
      </c>
      <c r="T1656" s="28">
        <v>12.0</v>
      </c>
      <c r="U1656" s="28">
        <v>38.0</v>
      </c>
      <c r="V1656" s="28">
        <v>30.0</v>
      </c>
      <c r="W1656" s="28" t="s">
        <v>1173</v>
      </c>
      <c r="X1656" s="28" t="s">
        <v>272</v>
      </c>
      <c r="Y1656" s="28" t="s">
        <v>15154</v>
      </c>
      <c r="Z1656" s="28" t="s">
        <v>7427</v>
      </c>
      <c r="AA1656" s="28" t="s">
        <v>7428</v>
      </c>
      <c r="AB1656" s="28">
        <v>34.0</v>
      </c>
      <c r="AC1656" s="28" t="s">
        <v>24</v>
      </c>
      <c r="AD1656" s="23"/>
      <c r="AE1656" s="28" t="s">
        <v>10</v>
      </c>
      <c r="AF1656" s="23"/>
      <c r="AG1656" s="23"/>
      <c r="AH1656" s="23" t="str">
        <f>IFERROR(__xludf.DUMMYFUNCTION("IF(
ISNUMBER(MATCH(
C1656,
IMPORTRANGE(""https://docs.google.com/spreadsheets/d/1yTh1ELC33JHYOeEdgIiEclxPRyh0zOKtlawDltfUay8"",""'Interns'!A:A""),
0
)),
""Outreach Conducted"",
"""")"),"")</f>
        <v/>
      </c>
      <c r="AI1656" s="23"/>
      <c r="AJ1656" s="23"/>
      <c r="AK1656" s="23" t="str">
        <f>IFERROR(__xludf.DUMMYFUNCTION("XLOOKUP(C1656, 
   IMPORTRANGE(""1RdEdgHYrZ33LJ7RUHj_h-qkAFL92bcVjtIdVa-UlsCw"", ""Interns!D:D""), 
   IMPORTRANGE(""1RdEdgHYrZ33LJ7RUHj_h-qkAFL92bcVjtIdVa-UlsCw"", ""Interns!M:M""), 
   ""Not Found"")"),"Contacted")</f>
        <v>Contacted</v>
      </c>
      <c r="AL1656" s="23" t="str">
        <f>IFERROR(__xludf.DUMMYFUNCTION("XLOOKUP(C1656, 
   IMPORTRANGE(""1RdEdgHYrZ33LJ7RUHj_h-qkAFL92bcVjtIdVa-UlsCw"", ""Interns!D:D""), 
   IMPORTRANGE(""1RdEdgHYrZ33LJ7RUHj_h-qkAFL92bcVjtIdVa-UlsCw"", ""Interns!N:N""), 
   ""Not Found"")"),"#Cheers4Careers")</f>
        <v>#Cheers4Careers</v>
      </c>
      <c r="AM1656" s="23" t="str">
        <f>IFERROR(__xludf.DUMMYFUNCTION("XLOOKUP(C1656, 
   IMPORTRANGE(""1RdEdgHYrZ33LJ7RUHj_h-qkAFL92bcVjtIdVa-UlsCw"", ""Interns!D:D""), 
   IMPORTRANGE(""1RdEdgHYrZ33LJ7RUHj_h-qkAFL92bcVjtIdVa-UlsCw"", ""Interns!O:O""), 
   ""Not Found"")"),"Hetal reached out by email 3/27")</f>
        <v>Hetal reached out by email 3/27</v>
      </c>
      <c r="AN1656" s="23"/>
      <c r="AO1656" s="23" t="s">
        <v>15155</v>
      </c>
      <c r="AP1656" s="28" t="s">
        <v>5182</v>
      </c>
      <c r="AQ1656" s="28"/>
      <c r="AR1656" s="23"/>
      <c r="AS1656" s="23"/>
      <c r="AT1656" s="23"/>
      <c r="AU1656" s="23"/>
      <c r="AV1656" s="23"/>
    </row>
    <row r="1657">
      <c r="A1657" s="28" t="s">
        <v>5161</v>
      </c>
      <c r="B1657" s="28" t="s">
        <v>5162</v>
      </c>
      <c r="C1657" s="23" t="str">
        <f t="shared" si="39"/>
        <v>Alexandra Szostak</v>
      </c>
      <c r="D1657" s="28" t="s">
        <v>15156</v>
      </c>
      <c r="E1657" s="28" t="s">
        <v>15157</v>
      </c>
      <c r="F1657" s="23">
        <f t="array" ref="F1657">IFERROR(
    INDEX('Hub Interns 226'!A:A, MATCH(C1657, 'Hub Interns 226'!B:B, 0)),"")</f>
        <v>186</v>
      </c>
      <c r="G1657" s="23">
        <f t="array" ref="G1657">IFERROR(
    INDEX('Hub Users 226'!A:A, MATCH(C1657, 'Hub Users 226'!B:B, 0)),"")</f>
        <v>619</v>
      </c>
      <c r="H1657" s="28">
        <v>991.0</v>
      </c>
      <c r="I1657" s="28"/>
      <c r="J1657" s="28"/>
      <c r="K1657" s="28"/>
      <c r="L1657" s="28" t="s">
        <v>5196</v>
      </c>
      <c r="M1657" s="56" t="s">
        <v>15158</v>
      </c>
      <c r="N1657" s="57">
        <v>44644.39513888889</v>
      </c>
      <c r="O1657" s="58">
        <v>40092.0</v>
      </c>
      <c r="P1657" s="28">
        <f t="shared" si="41"/>
        <v>16</v>
      </c>
      <c r="Q1657" s="28" t="s">
        <v>240</v>
      </c>
      <c r="R1657" s="28" t="s">
        <v>15159</v>
      </c>
      <c r="S1657" s="28">
        <v>7.0</v>
      </c>
      <c r="T1657" s="28">
        <v>12.0</v>
      </c>
      <c r="U1657" s="28">
        <v>38.0</v>
      </c>
      <c r="V1657" s="28">
        <v>30.0</v>
      </c>
      <c r="W1657" s="28" t="s">
        <v>1173</v>
      </c>
      <c r="X1657" s="28" t="s">
        <v>272</v>
      </c>
      <c r="Y1657" s="28" t="s">
        <v>15160</v>
      </c>
      <c r="Z1657" s="28" t="s">
        <v>7427</v>
      </c>
      <c r="AA1657" s="28" t="s">
        <v>7428</v>
      </c>
      <c r="AB1657" s="28">
        <v>34.0</v>
      </c>
      <c r="AC1657" s="28" t="s">
        <v>24</v>
      </c>
      <c r="AD1657" s="23"/>
      <c r="AE1657" s="28" t="s">
        <v>10</v>
      </c>
      <c r="AF1657" s="23"/>
      <c r="AG1657" s="23"/>
      <c r="AH1657" s="23" t="str">
        <f>IFERROR(__xludf.DUMMYFUNCTION("IF(
ISNUMBER(MATCH(
C1657,
IMPORTRANGE(""https://docs.google.com/spreadsheets/d/1yTh1ELC33JHYOeEdgIiEclxPRyh0zOKtlawDltfUay8"",""'Interns'!A:A""),
0
)),
""Outreach Conducted"",
"""")"),"")</f>
        <v/>
      </c>
      <c r="AI1657" s="23"/>
      <c r="AJ1657" s="23"/>
      <c r="AK1657" s="23" t="str">
        <f>IFERROR(__xludf.DUMMYFUNCTION("XLOOKUP(C1657, 
   IMPORTRANGE(""1RdEdgHYrZ33LJ7RUHj_h-qkAFL92bcVjtIdVa-UlsCw"", ""Interns!D:D""), 
   IMPORTRANGE(""1RdEdgHYrZ33LJ7RUHj_h-qkAFL92bcVjtIdVa-UlsCw"", ""Interns!M:M""), 
   ""Not Found"")"),"Contacted")</f>
        <v>Contacted</v>
      </c>
      <c r="AL1657" s="23" t="str">
        <f>IFERROR(__xludf.DUMMYFUNCTION("XLOOKUP(C1657, 
   IMPORTRANGE(""1RdEdgHYrZ33LJ7RUHj_h-qkAFL92bcVjtIdVa-UlsCw"", ""Interns!D:D""), 
   IMPORTRANGE(""1RdEdgHYrZ33LJ7RUHj_h-qkAFL92bcVjtIdVa-UlsCw"", ""Interns!N:N""), 
   ""Not Found"")"),"#Cheers4Careers")</f>
        <v>#Cheers4Careers</v>
      </c>
      <c r="AM1657" s="23" t="str">
        <f>IFERROR(__xludf.DUMMYFUNCTION("XLOOKUP(C1657, 
   IMPORTRANGE(""1RdEdgHYrZ33LJ7RUHj_h-qkAFL92bcVjtIdVa-UlsCw"", ""Interns!D:D""), 
   IMPORTRANGE(""1RdEdgHYrZ33LJ7RUHj_h-qkAFL92bcVjtIdVa-UlsCw"", ""Interns!O:O""), 
   ""Not Found"")"),"Hetal reached out by email 3/27")</f>
        <v>Hetal reached out by email 3/27</v>
      </c>
      <c r="AN1657" s="23"/>
      <c r="AO1657" s="23" t="s">
        <v>15161</v>
      </c>
      <c r="AP1657" s="28" t="s">
        <v>5182</v>
      </c>
      <c r="AQ1657" s="28"/>
      <c r="AR1657" s="23"/>
      <c r="AS1657" s="23"/>
      <c r="AT1657" s="23"/>
      <c r="AU1657" s="23"/>
      <c r="AV1657" s="23"/>
    </row>
    <row r="1658">
      <c r="A1658" s="28" t="s">
        <v>5161</v>
      </c>
      <c r="B1658" s="28" t="s">
        <v>5162</v>
      </c>
      <c r="C1658" s="23" t="str">
        <f t="shared" si="39"/>
        <v>Bradley Edwards</v>
      </c>
      <c r="D1658" s="28" t="s">
        <v>15162</v>
      </c>
      <c r="E1658" s="28" t="s">
        <v>15163</v>
      </c>
      <c r="F1658" s="23">
        <f t="array" ref="F1658">IFERROR(
    INDEX('Hub Interns 226'!A:A, MATCH(C1658, 'Hub Interns 226'!B:B, 0)),"")</f>
        <v>309</v>
      </c>
      <c r="G1658" s="23">
        <f t="array" ref="G1658">IFERROR(
    INDEX('Hub Users 226'!A:A, MATCH(C1658, 'Hub Users 226'!B:B, 0)),"")</f>
        <v>742</v>
      </c>
      <c r="H1658" s="28">
        <v>343.0</v>
      </c>
      <c r="I1658" s="28" t="s">
        <v>260</v>
      </c>
      <c r="J1658" s="28"/>
      <c r="K1658" s="28" t="s">
        <v>5186</v>
      </c>
      <c r="L1658" s="28" t="s">
        <v>5165</v>
      </c>
      <c r="M1658" s="56" t="s">
        <v>15164</v>
      </c>
      <c r="N1658" s="57">
        <v>44244.525</v>
      </c>
      <c r="O1658" s="58">
        <v>37994.0</v>
      </c>
      <c r="P1658" s="28">
        <f t="shared" si="41"/>
        <v>22</v>
      </c>
      <c r="Q1658" s="28" t="s">
        <v>240</v>
      </c>
      <c r="R1658" s="28" t="s">
        <v>15165</v>
      </c>
      <c r="S1658" s="28">
        <v>4.0</v>
      </c>
      <c r="T1658" s="28">
        <v>6.0</v>
      </c>
      <c r="U1658" s="28">
        <v>21.0</v>
      </c>
      <c r="V1658" s="28"/>
      <c r="W1658" s="28" t="s">
        <v>1173</v>
      </c>
      <c r="X1658" s="28" t="s">
        <v>272</v>
      </c>
      <c r="Y1658" s="28" t="s">
        <v>15166</v>
      </c>
      <c r="Z1658" s="28" t="s">
        <v>5332</v>
      </c>
      <c r="AA1658" s="28" t="s">
        <v>421</v>
      </c>
      <c r="AB1658" s="28">
        <v>31.0</v>
      </c>
      <c r="AC1658" s="28" t="s">
        <v>25</v>
      </c>
      <c r="AD1658" s="23"/>
      <c r="AE1658" s="28" t="s">
        <v>11</v>
      </c>
      <c r="AF1658" s="23" t="str">
        <f>IFERROR(__xludf.DUMMYFUNCTION("TEXTJOIN("", "", TRUE,
  FILTER(Champions!C:C,
    ISNUMBER(SEARCH(C1658, Champions!W:W))
  )
)"),"Amanda Morgan Mackler, CHRISTINA BROOMES, Mary Anne Maples, Nishika Vidanage-Lulejian, Sumeyya Ashraf Khan")</f>
        <v>Amanda Morgan Mackler, CHRISTINA BROOMES, Mary Anne Maples, Nishika Vidanage-Lulejian, Sumeyya Ashraf Khan</v>
      </c>
      <c r="AG1658" s="23"/>
      <c r="AH1658" s="23" t="str">
        <f>IFERROR(__xludf.DUMMYFUNCTION("IF(
ISNUMBER(MATCH(
C1658,
IMPORTRANGE(""https://docs.google.com/spreadsheets/d/1yTh1ELC33JHYOeEdgIiEclxPRyh0zOKtlawDltfUay8"",""'Interns'!A:A""),
0
)),
""Outreach Conducted"",
"""")"),"")</f>
        <v/>
      </c>
      <c r="AI1658" s="23"/>
      <c r="AJ1658" s="23"/>
      <c r="AK1658" s="23" t="str">
        <f>IFERROR(__xludf.DUMMYFUNCTION("XLOOKUP(C1658, 
   IMPORTRANGE(""1RdEdgHYrZ33LJ7RUHj_h-qkAFL92bcVjtIdVa-UlsCw"", ""Interns!D:D""), 
   IMPORTRANGE(""1RdEdgHYrZ33LJ7RUHj_h-qkAFL92bcVjtIdVa-UlsCw"", ""Interns!M:M""), 
   ""Not Found"")"),"Contacted")</f>
        <v>Contacted</v>
      </c>
      <c r="AL1658" s="23" t="str">
        <f>IFERROR(__xludf.DUMMYFUNCTION("XLOOKUP(C1658, 
   IMPORTRANGE(""1RdEdgHYrZ33LJ7RUHj_h-qkAFL92bcVjtIdVa-UlsCw"", ""Interns!D:D""), 
   IMPORTRANGE(""1RdEdgHYrZ33LJ7RUHj_h-qkAFL92bcVjtIdVa-UlsCw"", ""Interns!N:N""), 
   ""Not Found"")"),"#Cheers4Careers")</f>
        <v>#Cheers4Careers</v>
      </c>
      <c r="AM1658" s="23" t="str">
        <f>IFERROR(__xludf.DUMMYFUNCTION("XLOOKUP(C1658, 
   IMPORTRANGE(""1RdEdgHYrZ33LJ7RUHj_h-qkAFL92bcVjtIdVa-UlsCw"", ""Interns!D:D""), 
   IMPORTRANGE(""1RdEdgHYrZ33LJ7RUHj_h-qkAFL92bcVjtIdVa-UlsCw"", ""Interns!O:O""), 
   ""Not Found"")"),"Hetal reached out March 27 for March #Cheers4 Careers and texted")</f>
        <v>Hetal reached out March 27 for March #Cheers4 Careers and texted</v>
      </c>
      <c r="AN1658" s="23"/>
      <c r="AO1658" s="23" t="s">
        <v>15167</v>
      </c>
      <c r="AP1658" s="28" t="s">
        <v>5182</v>
      </c>
      <c r="AQ1658" s="28" t="s">
        <v>15168</v>
      </c>
      <c r="AR1658" s="23" t="s">
        <v>15169</v>
      </c>
      <c r="AS1658" s="23"/>
      <c r="AT1658" s="23"/>
      <c r="AU1658" s="23"/>
      <c r="AV1658" s="23"/>
    </row>
    <row r="1659">
      <c r="A1659" s="28" t="s">
        <v>5161</v>
      </c>
      <c r="B1659" s="28" t="s">
        <v>5162</v>
      </c>
      <c r="C1659" s="23" t="str">
        <f t="shared" si="39"/>
        <v>Yoanni Baez</v>
      </c>
      <c r="D1659" s="28" t="s">
        <v>13963</v>
      </c>
      <c r="E1659" s="28" t="s">
        <v>13964</v>
      </c>
      <c r="F1659" s="23">
        <f t="array" ref="F1659">IFERROR(
    INDEX('Hub Interns 226'!A:A, MATCH(C1659, 'Hub Interns 226'!B:B, 0)),"")</f>
        <v>1234</v>
      </c>
      <c r="G1659" s="23">
        <f t="array" ref="G1659">IFERROR(
    INDEX('Hub Users 226'!A:A, MATCH(C1659, 'Hub Users 226'!B:B, 0)),"")</f>
        <v>1667</v>
      </c>
      <c r="H1659" s="28">
        <v>1569.0</v>
      </c>
      <c r="I1659" s="28"/>
      <c r="J1659" s="28"/>
      <c r="K1659" s="28"/>
      <c r="L1659" s="28" t="s">
        <v>5196</v>
      </c>
      <c r="M1659" s="56" t="s">
        <v>13965</v>
      </c>
      <c r="N1659" s="57">
        <v>45015.461805555555</v>
      </c>
      <c r="O1659" s="58">
        <v>38934.0</v>
      </c>
      <c r="P1659" s="28">
        <f t="shared" si="41"/>
        <v>19</v>
      </c>
      <c r="Q1659" s="28" t="s">
        <v>240</v>
      </c>
      <c r="R1659" s="28" t="s">
        <v>13966</v>
      </c>
      <c r="S1659" s="28">
        <v>13.0</v>
      </c>
      <c r="T1659" s="28">
        <v>31.0</v>
      </c>
      <c r="U1659" s="28">
        <v>71.0</v>
      </c>
      <c r="V1659" s="28">
        <v>10.0</v>
      </c>
      <c r="W1659" s="28" t="s">
        <v>271</v>
      </c>
      <c r="X1659" s="28" t="s">
        <v>272</v>
      </c>
      <c r="Y1659" s="28" t="s">
        <v>13967</v>
      </c>
      <c r="Z1659" s="28" t="s">
        <v>5341</v>
      </c>
      <c r="AA1659" s="28" t="s">
        <v>1085</v>
      </c>
      <c r="AB1659" s="28">
        <v>10.0</v>
      </c>
      <c r="AC1659" s="28" t="s">
        <v>23</v>
      </c>
      <c r="AD1659" s="28" t="s">
        <v>101</v>
      </c>
      <c r="AE1659" s="28" t="s">
        <v>15</v>
      </c>
      <c r="AF1659" s="23"/>
      <c r="AG1659" s="26" t="s">
        <v>5342</v>
      </c>
      <c r="AH1659" s="23" t="str">
        <f>IFERROR(__xludf.DUMMYFUNCTION("IF(
ISNUMBER(MATCH(
C1659,
IMPORTRANGE(""https://docs.google.com/spreadsheets/d/1yTh1ELC33JHYOeEdgIiEclxPRyh0zOKtlawDltfUay8"",""'Interns'!A:A""),
0
)),
""Outreach Conducted"",
"""")"),"")</f>
        <v/>
      </c>
      <c r="AI1659" s="23"/>
      <c r="AJ1659" s="23"/>
      <c r="AK1659" s="23" t="str">
        <f>IFERROR(__xludf.DUMMYFUNCTION("XLOOKUP(C1659, 
   IMPORTRANGE(""1RdEdgHYrZ33LJ7RUHj_h-qkAFL92bcVjtIdVa-UlsCw"", ""Interns!D:D""), 
   IMPORTRANGE(""1RdEdgHYrZ33LJ7RUHj_h-qkAFL92bcVjtIdVa-UlsCw"", ""Interns!M:M""), 
   ""Not Found"")"),"")</f>
        <v/>
      </c>
      <c r="AL1659" s="23" t="str">
        <f>IFERROR(__xludf.DUMMYFUNCTION("XLOOKUP(C1659, 
   IMPORTRANGE(""1RdEdgHYrZ33LJ7RUHj_h-qkAFL92bcVjtIdVa-UlsCw"", ""Interns!D:D""), 
   IMPORTRANGE(""1RdEdgHYrZ33LJ7RUHj_h-qkAFL92bcVjtIdVa-UlsCw"", ""Interns!N:N""), 
   ""Not Found"")"),"")</f>
        <v/>
      </c>
      <c r="AM1659" s="23" t="str">
        <f>IFERROR(__xludf.DUMMYFUNCTION("XLOOKUP(C1659, 
   IMPORTRANGE(""1RdEdgHYrZ33LJ7RUHj_h-qkAFL92bcVjtIdVa-UlsCw"", ""Interns!D:D""), 
   IMPORTRANGE(""1RdEdgHYrZ33LJ7RUHj_h-qkAFL92bcVjtIdVa-UlsCw"", ""Interns!O:O""), 
   ""Not Found"")"),"")</f>
        <v/>
      </c>
      <c r="AN1659" s="23"/>
      <c r="AO1659" s="23" t="s">
        <v>13968</v>
      </c>
      <c r="AP1659" s="28" t="s">
        <v>5641</v>
      </c>
      <c r="AQ1659" s="28"/>
      <c r="AR1659" s="23"/>
      <c r="AS1659" s="23"/>
      <c r="AT1659" s="23"/>
      <c r="AU1659" s="23"/>
      <c r="AV1659" s="23"/>
    </row>
    <row r="1660">
      <c r="A1660" s="28" t="s">
        <v>5202</v>
      </c>
      <c r="B1660" s="28" t="s">
        <v>5162</v>
      </c>
      <c r="C1660" s="23" t="str">
        <f t="shared" si="39"/>
        <v>Micaias Infante</v>
      </c>
      <c r="D1660" s="28" t="s">
        <v>15170</v>
      </c>
      <c r="E1660" s="28" t="s">
        <v>8554</v>
      </c>
      <c r="F1660" s="23">
        <f t="array" ref="F1660">IFERROR(
    INDEX('Hub Interns 226'!A:A, MATCH(C1660, 'Hub Interns 226'!B:B, 0)),"")</f>
        <v>963</v>
      </c>
      <c r="G1660" s="23">
        <f t="array" ref="G1660">IFERROR(
    INDEX('Hub Users 226'!A:A, MATCH(C1660, 'Hub Users 226'!B:B, 0)),"")</f>
        <v>1396</v>
      </c>
      <c r="H1660" s="28">
        <v>459.0</v>
      </c>
      <c r="I1660" s="28" t="s">
        <v>290</v>
      </c>
      <c r="J1660" s="28"/>
      <c r="K1660" s="28"/>
      <c r="L1660" s="28" t="s">
        <v>5165</v>
      </c>
      <c r="M1660" s="56" t="s">
        <v>15171</v>
      </c>
      <c r="N1660" s="57">
        <v>44356.62777777778</v>
      </c>
      <c r="O1660" s="58">
        <v>37805.0</v>
      </c>
      <c r="P1660" s="28">
        <f t="shared" si="41"/>
        <v>22</v>
      </c>
      <c r="Q1660" s="28" t="s">
        <v>240</v>
      </c>
      <c r="R1660" s="28" t="s">
        <v>15172</v>
      </c>
      <c r="S1660" s="28">
        <v>15.0</v>
      </c>
      <c r="T1660" s="28">
        <v>33.0</v>
      </c>
      <c r="U1660" s="28">
        <v>81.0</v>
      </c>
      <c r="V1660" s="28">
        <v>11.0</v>
      </c>
      <c r="W1660" s="28" t="s">
        <v>271</v>
      </c>
      <c r="X1660" s="28" t="s">
        <v>272</v>
      </c>
      <c r="Y1660" s="28" t="s">
        <v>15173</v>
      </c>
      <c r="Z1660" s="28" t="s">
        <v>5435</v>
      </c>
      <c r="AA1660" s="28" t="s">
        <v>5436</v>
      </c>
      <c r="AB1660" s="28">
        <v>10.0</v>
      </c>
      <c r="AC1660" s="28" t="s">
        <v>25</v>
      </c>
      <c r="AD1660" s="23"/>
      <c r="AE1660" s="28" t="s">
        <v>10</v>
      </c>
      <c r="AF1660" s="23" t="str">
        <f>IFERROR(__xludf.DUMMYFUNCTION("TEXTJOIN("", "", TRUE,
  FILTER(Champions!C:C,
    ISNUMBER(SEARCH(C1660, Champions!W:W))
  )
)"),"Romina Tome")</f>
        <v>Romina Tome</v>
      </c>
      <c r="AG1660" s="23"/>
      <c r="AH1660" s="23" t="str">
        <f>IFERROR(__xludf.DUMMYFUNCTION("IF(
ISNUMBER(MATCH(
C1660,
IMPORTRANGE(""https://docs.google.com/spreadsheets/d/1yTh1ELC33JHYOeEdgIiEclxPRyh0zOKtlawDltfUay8"",""'Interns'!A:A""),
0
)),
""Outreach Conducted"",
"""")"),"")</f>
        <v/>
      </c>
      <c r="AI1660" s="23"/>
      <c r="AJ1660" s="23"/>
      <c r="AK1660" s="23" t="str">
        <f>IFERROR(__xludf.DUMMYFUNCTION("XLOOKUP(C1660, 
   IMPORTRANGE(""1RdEdgHYrZ33LJ7RUHj_h-qkAFL92bcVjtIdVa-UlsCw"", ""Interns!D:D""), 
   IMPORTRANGE(""1RdEdgHYrZ33LJ7RUHj_h-qkAFL92bcVjtIdVa-UlsCw"", ""Interns!M:M""), 
   ""Not Found"")"),"")</f>
        <v/>
      </c>
      <c r="AL1660" s="23" t="str">
        <f>IFERROR(__xludf.DUMMYFUNCTION("XLOOKUP(C1660, 
   IMPORTRANGE(""1RdEdgHYrZ33LJ7RUHj_h-qkAFL92bcVjtIdVa-UlsCw"", ""Interns!D:D""), 
   IMPORTRANGE(""1RdEdgHYrZ33LJ7RUHj_h-qkAFL92bcVjtIdVa-UlsCw"", ""Interns!N:N""), 
   ""Not Found"")"),"")</f>
        <v/>
      </c>
      <c r="AM1660" s="23" t="str">
        <f>IFERROR(__xludf.DUMMYFUNCTION("XLOOKUP(C1660, 
   IMPORTRANGE(""1RdEdgHYrZ33LJ7RUHj_h-qkAFL92bcVjtIdVa-UlsCw"", ""Interns!D:D""), 
   IMPORTRANGE(""1RdEdgHYrZ33LJ7RUHj_h-qkAFL92bcVjtIdVa-UlsCw"", ""Interns!O:O""), 
   ""Not Found"")"),"")</f>
        <v/>
      </c>
      <c r="AN1660" s="23"/>
      <c r="AO1660" s="23" t="s">
        <v>15174</v>
      </c>
      <c r="AP1660" s="28" t="s">
        <v>5182</v>
      </c>
      <c r="AQ1660" s="28" t="s">
        <v>15175</v>
      </c>
      <c r="AR1660" s="23" t="s">
        <v>15176</v>
      </c>
      <c r="AS1660" s="23"/>
      <c r="AT1660" s="23"/>
      <c r="AU1660" s="23"/>
      <c r="AV1660" s="23"/>
    </row>
    <row r="1661">
      <c r="A1661" s="28" t="s">
        <v>5202</v>
      </c>
      <c r="B1661" s="28" t="s">
        <v>5162</v>
      </c>
      <c r="C1661" s="23" t="str">
        <f t="shared" si="39"/>
        <v>wendy carchipulla</v>
      </c>
      <c r="D1661" s="28" t="s">
        <v>15177</v>
      </c>
      <c r="E1661" s="28" t="s">
        <v>15178</v>
      </c>
      <c r="F1661" s="23">
        <f t="array" ref="F1661">IFERROR(
    INDEX('Hub Interns 226'!A:A, MATCH(C1661, 'Hub Interns 226'!B:B, 0)),"")</f>
        <v>1185</v>
      </c>
      <c r="G1661" s="23">
        <f t="array" ref="G1661">IFERROR(
    INDEX('Hub Users 226'!A:A, MATCH(C1661, 'Hub Users 226'!B:B, 0)),"")</f>
        <v>1618</v>
      </c>
      <c r="H1661" s="28">
        <v>1031.0</v>
      </c>
      <c r="I1661" s="28" t="s">
        <v>407</v>
      </c>
      <c r="J1661" s="28"/>
      <c r="K1661" s="28"/>
      <c r="L1661" s="28" t="s">
        <v>5196</v>
      </c>
      <c r="M1661" s="56" t="s">
        <v>15179</v>
      </c>
      <c r="N1661" s="57">
        <v>44663.654861111114</v>
      </c>
      <c r="O1661" s="58">
        <v>39919.0</v>
      </c>
      <c r="P1661" s="28">
        <f t="shared" si="41"/>
        <v>17</v>
      </c>
      <c r="Q1661" s="28" t="s">
        <v>15180</v>
      </c>
      <c r="R1661" s="28" t="s">
        <v>15181</v>
      </c>
      <c r="S1661" s="28">
        <v>14.0</v>
      </c>
      <c r="T1661" s="28">
        <v>13.0</v>
      </c>
      <c r="U1661" s="28">
        <v>35.0</v>
      </c>
      <c r="V1661" s="28">
        <v>21.0</v>
      </c>
      <c r="W1661" s="28" t="s">
        <v>1173</v>
      </c>
      <c r="X1661" s="28" t="s">
        <v>272</v>
      </c>
      <c r="Y1661" s="28" t="s">
        <v>15182</v>
      </c>
      <c r="Z1661" s="28" t="s">
        <v>5403</v>
      </c>
      <c r="AA1661" s="28" t="s">
        <v>5404</v>
      </c>
      <c r="AB1661" s="28">
        <v>21.0</v>
      </c>
      <c r="AC1661" s="28" t="s">
        <v>24</v>
      </c>
      <c r="AD1661" s="23"/>
      <c r="AE1661" s="28" t="s">
        <v>10</v>
      </c>
      <c r="AF1661" s="23"/>
      <c r="AG1661" s="23"/>
      <c r="AH1661" s="23" t="str">
        <f>IFERROR(__xludf.DUMMYFUNCTION("IF(
ISNUMBER(MATCH(
C1661,
IMPORTRANGE(""https://docs.google.com/spreadsheets/d/1yTh1ELC33JHYOeEdgIiEclxPRyh0zOKtlawDltfUay8"",""'Interns'!A:A""),
0
)),
""Outreach Conducted"",
"""")"),"")</f>
        <v/>
      </c>
      <c r="AI1661" s="23"/>
      <c r="AJ1661" s="23"/>
      <c r="AK1661" s="23" t="str">
        <f>IFERROR(__xludf.DUMMYFUNCTION("XLOOKUP(C1661, 
   IMPORTRANGE(""1RdEdgHYrZ33LJ7RUHj_h-qkAFL92bcVjtIdVa-UlsCw"", ""Interns!D:D""), 
   IMPORTRANGE(""1RdEdgHYrZ33LJ7RUHj_h-qkAFL92bcVjtIdVa-UlsCw"", ""Interns!M:M""), 
   ""Not Found"")"),"")</f>
        <v/>
      </c>
      <c r="AL1661" s="23" t="str">
        <f>IFERROR(__xludf.DUMMYFUNCTION("XLOOKUP(C1661, 
   IMPORTRANGE(""1RdEdgHYrZ33LJ7RUHj_h-qkAFL92bcVjtIdVa-UlsCw"", ""Interns!D:D""), 
   IMPORTRANGE(""1RdEdgHYrZ33LJ7RUHj_h-qkAFL92bcVjtIdVa-UlsCw"", ""Interns!N:N""), 
   ""Not Found"")"),"")</f>
        <v/>
      </c>
      <c r="AM1661" s="23" t="str">
        <f>IFERROR(__xludf.DUMMYFUNCTION("XLOOKUP(C1661, 
   IMPORTRANGE(""1RdEdgHYrZ33LJ7RUHj_h-qkAFL92bcVjtIdVa-UlsCw"", ""Interns!D:D""), 
   IMPORTRANGE(""1RdEdgHYrZ33LJ7RUHj_h-qkAFL92bcVjtIdVa-UlsCw"", ""Interns!O:O""), 
   ""Not Found"")"),"")</f>
        <v/>
      </c>
      <c r="AN1661" s="23"/>
      <c r="AO1661" s="23" t="s">
        <v>15183</v>
      </c>
      <c r="AP1661" s="28" t="s">
        <v>5182</v>
      </c>
      <c r="AQ1661" s="28"/>
      <c r="AR1661" s="23"/>
      <c r="AS1661" s="23"/>
      <c r="AT1661" s="23"/>
      <c r="AU1661" s="23"/>
      <c r="AV1661" s="23"/>
    </row>
    <row r="1662">
      <c r="A1662" s="28" t="s">
        <v>5161</v>
      </c>
      <c r="B1662" s="28" t="s">
        <v>5162</v>
      </c>
      <c r="C1662" s="23" t="str">
        <f t="shared" si="39"/>
        <v>Anisa Azad</v>
      </c>
      <c r="D1662" s="28" t="s">
        <v>546</v>
      </c>
      <c r="E1662" s="28" t="s">
        <v>5570</v>
      </c>
      <c r="F1662" s="23">
        <f t="array" ref="F1662">IFERROR(
    INDEX('Hub Interns 226'!A:A, MATCH(C1662, 'Hub Interns 226'!B:B, 0)),"")</f>
        <v>130</v>
      </c>
      <c r="G1662" s="23">
        <f t="array" ref="G1662">IFERROR(
    INDEX('Hub Users 226'!A:A, MATCH(C1662, 'Hub Users 226'!B:B, 0)),"")</f>
        <v>563</v>
      </c>
      <c r="H1662" s="28">
        <v>1086.0</v>
      </c>
      <c r="I1662" s="28"/>
      <c r="J1662" s="28"/>
      <c r="K1662" s="28"/>
      <c r="L1662" s="28" t="s">
        <v>5196</v>
      </c>
      <c r="M1662" s="56" t="s">
        <v>15184</v>
      </c>
      <c r="N1662" s="57">
        <v>44704.51736111111</v>
      </c>
      <c r="O1662" s="58">
        <v>39725.0</v>
      </c>
      <c r="P1662" s="28">
        <f t="shared" si="41"/>
        <v>17</v>
      </c>
      <c r="Q1662" s="28" t="s">
        <v>240</v>
      </c>
      <c r="R1662" s="28" t="s">
        <v>15185</v>
      </c>
      <c r="S1662" s="28">
        <v>6.0</v>
      </c>
      <c r="T1662" s="28">
        <v>12.0</v>
      </c>
      <c r="U1662" s="28">
        <v>30.0</v>
      </c>
      <c r="V1662" s="28">
        <v>25.0</v>
      </c>
      <c r="W1662" s="28" t="s">
        <v>1173</v>
      </c>
      <c r="X1662" s="28" t="s">
        <v>272</v>
      </c>
      <c r="Y1662" s="28" t="s">
        <v>15186</v>
      </c>
      <c r="Z1662" s="28" t="s">
        <v>5352</v>
      </c>
      <c r="AA1662" s="28" t="s">
        <v>5287</v>
      </c>
      <c r="AB1662" s="28">
        <v>26.0</v>
      </c>
      <c r="AC1662" s="28" t="s">
        <v>24</v>
      </c>
      <c r="AD1662" s="23"/>
      <c r="AE1662" s="28" t="s">
        <v>10</v>
      </c>
      <c r="AF1662" s="23"/>
      <c r="AG1662" s="23"/>
      <c r="AH1662" s="23" t="str">
        <f>IFERROR(__xludf.DUMMYFUNCTION("IF(
ISNUMBER(MATCH(
C1662,
IMPORTRANGE(""https://docs.google.com/spreadsheets/d/1yTh1ELC33JHYOeEdgIiEclxPRyh0zOKtlawDltfUay8"",""'Interns'!A:A""),
0
)),
""Outreach Conducted"",
"""")"),"")</f>
        <v/>
      </c>
      <c r="AI1662" s="23"/>
      <c r="AJ1662" s="23"/>
      <c r="AK1662" s="23" t="str">
        <f>IFERROR(__xludf.DUMMYFUNCTION("XLOOKUP(C1662, 
   IMPORTRANGE(""1RdEdgHYrZ33LJ7RUHj_h-qkAFL92bcVjtIdVa-UlsCw"", ""Interns!D:D""), 
   IMPORTRANGE(""1RdEdgHYrZ33LJ7RUHj_h-qkAFL92bcVjtIdVa-UlsCw"", ""Interns!M:M""), 
   ""Not Found"")"),"Contacted")</f>
        <v>Contacted</v>
      </c>
      <c r="AL1662" s="23" t="str">
        <f>IFERROR(__xludf.DUMMYFUNCTION("XLOOKUP(C1662, 
   IMPORTRANGE(""1RdEdgHYrZ33LJ7RUHj_h-qkAFL92bcVjtIdVa-UlsCw"", ""Interns!D:D""), 
   IMPORTRANGE(""1RdEdgHYrZ33LJ7RUHj_h-qkAFL92bcVjtIdVa-UlsCw"", ""Interns!N:N""), 
   ""Not Found"")"),"#Cheers4Careers")</f>
        <v>#Cheers4Careers</v>
      </c>
      <c r="AM1662" s="23" t="str">
        <f>IFERROR(__xludf.DUMMYFUNCTION("XLOOKUP(C1662, 
   IMPORTRANGE(""1RdEdgHYrZ33LJ7RUHj_h-qkAFL92bcVjtIdVa-UlsCw"", ""Interns!D:D""), 
   IMPORTRANGE(""1RdEdgHYrZ33LJ7RUHj_h-qkAFL92bcVjtIdVa-UlsCw"", ""Interns!O:O""), 
   ""Not Found"")"),"Hetal reached out by email 3/27")</f>
        <v>Hetal reached out by email 3/27</v>
      </c>
      <c r="AN1662" s="23"/>
      <c r="AO1662" s="23" t="s">
        <v>15187</v>
      </c>
      <c r="AP1662" s="28" t="s">
        <v>5191</v>
      </c>
      <c r="AQ1662" s="28"/>
      <c r="AR1662" s="23"/>
      <c r="AS1662" s="23"/>
      <c r="AT1662" s="23"/>
      <c r="AU1662" s="23"/>
      <c r="AV1662" s="23"/>
    </row>
    <row r="1663">
      <c r="A1663" s="28" t="s">
        <v>5202</v>
      </c>
      <c r="B1663" s="28" t="s">
        <v>5162</v>
      </c>
      <c r="C1663" s="23" t="str">
        <f t="shared" si="39"/>
        <v>Skarleth Acosta</v>
      </c>
      <c r="D1663" s="28" t="s">
        <v>15188</v>
      </c>
      <c r="E1663" s="28" t="s">
        <v>9178</v>
      </c>
      <c r="F1663" s="23">
        <f t="array" ref="F1663">IFERROR(
    INDEX('Hub Interns 226'!A:A, MATCH(C1663, 'Hub Interns 226'!B:B, 0)),"")</f>
        <v>1108</v>
      </c>
      <c r="G1663" s="23">
        <f t="array" ref="G1663">IFERROR(
    INDEX('Hub Users 226'!A:A, MATCH(C1663, 'Hub Users 226'!B:B, 0)),"")</f>
        <v>1541</v>
      </c>
      <c r="H1663" s="28">
        <v>901.0</v>
      </c>
      <c r="I1663" s="28" t="s">
        <v>608</v>
      </c>
      <c r="J1663" s="28"/>
      <c r="K1663" s="28"/>
      <c r="L1663" s="28" t="s">
        <v>5196</v>
      </c>
      <c r="M1663" s="56" t="s">
        <v>15189</v>
      </c>
      <c r="N1663" s="57">
        <v>44601.53472222222</v>
      </c>
      <c r="O1663" s="58">
        <v>39178.0</v>
      </c>
      <c r="P1663" s="28">
        <f t="shared" si="41"/>
        <v>19</v>
      </c>
      <c r="Q1663" s="28" t="s">
        <v>240</v>
      </c>
      <c r="R1663" s="28" t="s">
        <v>15190</v>
      </c>
      <c r="S1663" s="28">
        <v>14.0</v>
      </c>
      <c r="T1663" s="28">
        <v>13.0</v>
      </c>
      <c r="U1663" s="28">
        <v>34.0</v>
      </c>
      <c r="V1663" s="28">
        <v>21.0</v>
      </c>
      <c r="W1663" s="28" t="s">
        <v>1173</v>
      </c>
      <c r="X1663" s="28" t="s">
        <v>272</v>
      </c>
      <c r="Y1663" s="28" t="s">
        <v>15191</v>
      </c>
      <c r="Z1663" s="28" t="s">
        <v>5189</v>
      </c>
      <c r="AA1663" s="28" t="s">
        <v>619</v>
      </c>
      <c r="AB1663" s="28">
        <v>20.0</v>
      </c>
      <c r="AC1663" s="28" t="s">
        <v>24</v>
      </c>
      <c r="AD1663" s="23"/>
      <c r="AE1663" s="28" t="s">
        <v>10</v>
      </c>
      <c r="AF1663" s="23"/>
      <c r="AG1663" s="23"/>
      <c r="AH1663" s="23" t="str">
        <f>IFERROR(__xludf.DUMMYFUNCTION("IF(
ISNUMBER(MATCH(
C1663,
IMPORTRANGE(""https://docs.google.com/spreadsheets/d/1yTh1ELC33JHYOeEdgIiEclxPRyh0zOKtlawDltfUay8"",""'Interns'!A:A""),
0
)),
""Outreach Conducted"",
"""")"),"")</f>
        <v/>
      </c>
      <c r="AI1663" s="23"/>
      <c r="AJ1663" s="23"/>
      <c r="AK1663" s="23" t="str">
        <f>IFERROR(__xludf.DUMMYFUNCTION("XLOOKUP(C1663, 
   IMPORTRANGE(""1RdEdgHYrZ33LJ7RUHj_h-qkAFL92bcVjtIdVa-UlsCw"", ""Interns!D:D""), 
   IMPORTRANGE(""1RdEdgHYrZ33LJ7RUHj_h-qkAFL92bcVjtIdVa-UlsCw"", ""Interns!M:M""), 
   ""Not Found"")"),"")</f>
        <v/>
      </c>
      <c r="AL1663" s="23" t="str">
        <f>IFERROR(__xludf.DUMMYFUNCTION("XLOOKUP(C1663, 
   IMPORTRANGE(""1RdEdgHYrZ33LJ7RUHj_h-qkAFL92bcVjtIdVa-UlsCw"", ""Interns!D:D""), 
   IMPORTRANGE(""1RdEdgHYrZ33LJ7RUHj_h-qkAFL92bcVjtIdVa-UlsCw"", ""Interns!N:N""), 
   ""Not Found"")"),"")</f>
        <v/>
      </c>
      <c r="AM1663" s="23" t="str">
        <f>IFERROR(__xludf.DUMMYFUNCTION("XLOOKUP(C1663, 
   IMPORTRANGE(""1RdEdgHYrZ33LJ7RUHj_h-qkAFL92bcVjtIdVa-UlsCw"", ""Interns!D:D""), 
   IMPORTRANGE(""1RdEdgHYrZ33LJ7RUHj_h-qkAFL92bcVjtIdVa-UlsCw"", ""Interns!O:O""), 
   ""Not Found"")"),"")</f>
        <v/>
      </c>
      <c r="AN1663" s="23"/>
      <c r="AO1663" s="23" t="s">
        <v>15192</v>
      </c>
      <c r="AP1663" s="28" t="s">
        <v>5191</v>
      </c>
      <c r="AQ1663" s="28"/>
      <c r="AR1663" s="23"/>
      <c r="AS1663" s="23"/>
      <c r="AT1663" s="23"/>
      <c r="AU1663" s="23"/>
      <c r="AV1663" s="23"/>
    </row>
    <row r="1664">
      <c r="A1664" s="28" t="s">
        <v>5161</v>
      </c>
      <c r="B1664" s="28" t="s">
        <v>5162</v>
      </c>
      <c r="C1664" s="23" t="str">
        <f t="shared" si="39"/>
        <v>Jason Diaz</v>
      </c>
      <c r="D1664" s="28" t="s">
        <v>1676</v>
      </c>
      <c r="E1664" s="28" t="s">
        <v>6378</v>
      </c>
      <c r="F1664" s="23" t="str">
        <f t="array" ref="F1664">IFERROR(
    INDEX('Hub Interns 226'!A:A, MATCH(C1664, 'Hub Interns 226'!B:B, 0)),"")</f>
        <v/>
      </c>
      <c r="G1664" s="28">
        <v>1062.0</v>
      </c>
      <c r="H1664" s="28">
        <v>229.0</v>
      </c>
      <c r="I1664" s="28"/>
      <c r="J1664" s="28"/>
      <c r="K1664" s="28"/>
      <c r="L1664" s="28" t="s">
        <v>5165</v>
      </c>
      <c r="M1664" s="56" t="s">
        <v>15193</v>
      </c>
      <c r="N1664" s="59">
        <v>44123.52916666667</v>
      </c>
      <c r="O1664" s="58"/>
      <c r="P1664" s="28">
        <f t="shared" si="41"/>
        <v>126</v>
      </c>
      <c r="Q1664" s="28" t="s">
        <v>240</v>
      </c>
      <c r="R1664" s="28" t="s">
        <v>15194</v>
      </c>
      <c r="S1664" s="28"/>
      <c r="T1664" s="28"/>
      <c r="U1664" s="28"/>
      <c r="V1664" s="28"/>
      <c r="W1664" s="28" t="s">
        <v>12324</v>
      </c>
      <c r="X1664" s="28" t="s">
        <v>465</v>
      </c>
      <c r="Y1664" s="28">
        <v>2.109662925E9</v>
      </c>
      <c r="Z1664" s="28" t="s">
        <v>12326</v>
      </c>
      <c r="AA1664" s="28" t="s">
        <v>12327</v>
      </c>
      <c r="AB1664" s="28" t="s">
        <v>12328</v>
      </c>
      <c r="AC1664" s="28" t="s">
        <v>24</v>
      </c>
      <c r="AD1664" s="23"/>
      <c r="AE1664" s="28" t="s">
        <v>8</v>
      </c>
      <c r="AF1664" s="23"/>
      <c r="AG1664" s="23"/>
      <c r="AH1664" s="23" t="str">
        <f>IFERROR(__xludf.DUMMYFUNCTION("IF(
ISNUMBER(MATCH(
C1664,
IMPORTRANGE(""https://docs.google.com/spreadsheets/d/1yTh1ELC33JHYOeEdgIiEclxPRyh0zOKtlawDltfUay8"",""'Interns'!A:A""),
0
)),
""Outreach Conducted"",
"""")"),"")</f>
        <v/>
      </c>
      <c r="AI1664" s="23"/>
      <c r="AJ1664" s="23"/>
      <c r="AK1664" s="23" t="str">
        <f>IFERROR(__xludf.DUMMYFUNCTION("XLOOKUP(C1664, 
   IMPORTRANGE(""1RdEdgHYrZ33LJ7RUHj_h-qkAFL92bcVjtIdVa-UlsCw"", ""Interns!D:D""), 
   IMPORTRANGE(""1RdEdgHYrZ33LJ7RUHj_h-qkAFL92bcVjtIdVa-UlsCw"", ""Interns!M:M""), 
   ""Not Found"")"),"")</f>
        <v/>
      </c>
      <c r="AL1664" s="23" t="str">
        <f>IFERROR(__xludf.DUMMYFUNCTION("XLOOKUP(C1664, 
   IMPORTRANGE(""1RdEdgHYrZ33LJ7RUHj_h-qkAFL92bcVjtIdVa-UlsCw"", ""Interns!D:D""), 
   IMPORTRANGE(""1RdEdgHYrZ33LJ7RUHj_h-qkAFL92bcVjtIdVa-UlsCw"", ""Interns!N:N""), 
   ""Not Found"")"),"")</f>
        <v/>
      </c>
      <c r="AM1664" s="23" t="str">
        <f>IFERROR(__xludf.DUMMYFUNCTION("XLOOKUP(C1664, 
   IMPORTRANGE(""1RdEdgHYrZ33LJ7RUHj_h-qkAFL92bcVjtIdVa-UlsCw"", ""Interns!D:D""), 
   IMPORTRANGE(""1RdEdgHYrZ33LJ7RUHj_h-qkAFL92bcVjtIdVa-UlsCw"", ""Interns!O:O""), 
   ""Not Found"")"),"")</f>
        <v/>
      </c>
      <c r="AN1664" s="23"/>
      <c r="AO1664" s="23"/>
      <c r="AP1664" s="28"/>
      <c r="AQ1664" s="28"/>
      <c r="AR1664" s="23"/>
      <c r="AS1664" s="23"/>
      <c r="AT1664" s="23"/>
      <c r="AU1664" s="23"/>
      <c r="AV1664" s="23"/>
    </row>
    <row r="1665">
      <c r="A1665" s="28"/>
      <c r="B1665" s="28" t="s">
        <v>5162</v>
      </c>
      <c r="C1665" s="23" t="str">
        <f t="shared" si="39"/>
        <v>Antonio Valdez</v>
      </c>
      <c r="D1665" s="22" t="s">
        <v>15195</v>
      </c>
      <c r="E1665" s="22" t="s">
        <v>14461</v>
      </c>
      <c r="F1665" s="23"/>
      <c r="G1665" s="23"/>
      <c r="H1665" s="22">
        <v>2029.0</v>
      </c>
      <c r="I1665" s="28"/>
      <c r="J1665" s="28"/>
      <c r="K1665" s="28"/>
      <c r="L1665" s="28" t="s">
        <v>5196</v>
      </c>
      <c r="M1665" s="29" t="s">
        <v>15196</v>
      </c>
      <c r="N1665" s="61">
        <v>45405.45416666667</v>
      </c>
      <c r="O1665" s="25">
        <v>40649.0</v>
      </c>
      <c r="P1665" s="28">
        <f t="shared" si="41"/>
        <v>15</v>
      </c>
      <c r="Q1665" s="62" t="s">
        <v>240</v>
      </c>
      <c r="R1665" s="22" t="s">
        <v>15197</v>
      </c>
      <c r="S1665" s="28">
        <v>14.0</v>
      </c>
      <c r="T1665" s="28">
        <v>13.0</v>
      </c>
      <c r="U1665" s="28">
        <v>35.0</v>
      </c>
      <c r="V1665" s="28">
        <v>21.0</v>
      </c>
      <c r="W1665" s="28" t="s">
        <v>1173</v>
      </c>
      <c r="X1665" s="28" t="s">
        <v>272</v>
      </c>
      <c r="Y1665" s="64"/>
      <c r="Z1665" s="22" t="s">
        <v>15198</v>
      </c>
      <c r="AA1665" s="28"/>
      <c r="AB1665" s="23"/>
      <c r="AC1665" s="28"/>
      <c r="AD1665" s="23"/>
      <c r="AE1665" s="28"/>
      <c r="AF1665" s="23"/>
      <c r="AG1665" s="23"/>
      <c r="AH1665" s="23" t="str">
        <f>IFERROR(__xludf.DUMMYFUNCTION("IF(
ISNUMBER(MATCH(
C1665,
IMPORTRANGE(""https://docs.google.com/spreadsheets/d/1yTh1ELC33JHYOeEdgIiEclxPRyh0zOKtlawDltfUay8"",""'Interns'!A:A""),
0
)),
""Outreach Conducted"",
"""")"),"")</f>
        <v/>
      </c>
      <c r="AI1665" s="23"/>
      <c r="AJ1665" s="23"/>
      <c r="AK1665" s="23" t="str">
        <f>IFERROR(__xludf.DUMMYFUNCTION("XLOOKUP(C1665, 
   IMPORTRANGE(""1RdEdgHYrZ33LJ7RUHj_h-qkAFL92bcVjtIdVa-UlsCw"", ""Interns!D:D""), 
   IMPORTRANGE(""1RdEdgHYrZ33LJ7RUHj_h-qkAFL92bcVjtIdVa-UlsCw"", ""Interns!M:M""), 
   ""Not Found"")"),"Not Found")</f>
        <v>Not Found</v>
      </c>
      <c r="AL1665" s="23" t="str">
        <f>IFERROR(__xludf.DUMMYFUNCTION("XLOOKUP(C1665, 
   IMPORTRANGE(""1RdEdgHYrZ33LJ7RUHj_h-qkAFL92bcVjtIdVa-UlsCw"", ""Interns!D:D""), 
   IMPORTRANGE(""1RdEdgHYrZ33LJ7RUHj_h-qkAFL92bcVjtIdVa-UlsCw"", ""Interns!N:N""), 
   ""Not Found"")"),"Not Found")</f>
        <v>Not Found</v>
      </c>
      <c r="AM1665" s="23" t="str">
        <f>IFERROR(__xludf.DUMMYFUNCTION("XLOOKUP(C1665, 
   IMPORTRANGE(""1RdEdgHYrZ33LJ7RUHj_h-qkAFL92bcVjtIdVa-UlsCw"", ""Interns!D:D""), 
   IMPORTRANGE(""1RdEdgHYrZ33LJ7RUHj_h-qkAFL92bcVjtIdVa-UlsCw"", ""Interns!O:O""), 
   ""Not Found"")"),"Not Found")</f>
        <v>Not Found</v>
      </c>
      <c r="AN1665" s="23"/>
      <c r="AO1665" s="23" t="s">
        <v>15199</v>
      </c>
      <c r="AP1665" s="28" t="s">
        <v>5182</v>
      </c>
      <c r="AQ1665" s="28" t="s">
        <v>15200</v>
      </c>
      <c r="AR1665" s="23">
        <v>3.479933019E9</v>
      </c>
      <c r="AS1665" s="23"/>
      <c r="AT1665" s="23"/>
      <c r="AU1665" s="23"/>
      <c r="AV1665" s="23"/>
    </row>
    <row r="1666">
      <c r="A1666" s="28" t="s">
        <v>5161</v>
      </c>
      <c r="B1666" s="28" t="s">
        <v>5162</v>
      </c>
      <c r="C1666" s="23" t="str">
        <f t="shared" si="39"/>
        <v>Lillian Green</v>
      </c>
      <c r="D1666" s="28" t="s">
        <v>15201</v>
      </c>
      <c r="E1666" s="28" t="s">
        <v>15202</v>
      </c>
      <c r="F1666" s="23">
        <f t="array" ref="F1666">IFERROR(
    INDEX('Hub Interns 226'!A:A, MATCH(C1666, 'Hub Interns 226'!B:B, 0)),"")</f>
        <v>629</v>
      </c>
      <c r="G1666" s="23">
        <f t="array" ref="G1666">IFERROR(
    INDEX('Hub Users 226'!A:A, MATCH(C1666, 'Hub Users 226'!B:B, 0)),"")</f>
        <v>1062</v>
      </c>
      <c r="H1666" s="28">
        <v>223.0</v>
      </c>
      <c r="I1666" s="28"/>
      <c r="J1666" s="28"/>
      <c r="K1666" s="28"/>
      <c r="L1666" s="28" t="s">
        <v>5196</v>
      </c>
      <c r="M1666" s="56" t="s">
        <v>15193</v>
      </c>
      <c r="N1666" s="57">
        <v>44106.771527777775</v>
      </c>
      <c r="O1666" s="58"/>
      <c r="P1666" s="28">
        <f t="shared" si="41"/>
        <v>126</v>
      </c>
      <c r="Q1666" s="28" t="s">
        <v>240</v>
      </c>
      <c r="R1666" s="28" t="s">
        <v>15203</v>
      </c>
      <c r="S1666" s="28"/>
      <c r="T1666" s="28"/>
      <c r="U1666" s="28"/>
      <c r="V1666" s="28"/>
      <c r="W1666" s="28" t="s">
        <v>12324</v>
      </c>
      <c r="X1666" s="28" t="s">
        <v>465</v>
      </c>
      <c r="Y1666" s="28">
        <v>1.2109662925E10</v>
      </c>
      <c r="Z1666" s="28" t="s">
        <v>12326</v>
      </c>
      <c r="AA1666" s="28" t="s">
        <v>12327</v>
      </c>
      <c r="AB1666" s="28" t="s">
        <v>12328</v>
      </c>
      <c r="AC1666" s="28" t="s">
        <v>24</v>
      </c>
      <c r="AD1666" s="23"/>
      <c r="AE1666" s="28" t="s">
        <v>8</v>
      </c>
      <c r="AF1666" s="23"/>
      <c r="AG1666" s="23"/>
      <c r="AH1666" s="23" t="str">
        <f>IFERROR(__xludf.DUMMYFUNCTION("IF(
ISNUMBER(MATCH(
C1666,
IMPORTRANGE(""https://docs.google.com/spreadsheets/d/1yTh1ELC33JHYOeEdgIiEclxPRyh0zOKtlawDltfUay8"",""'Interns'!A:A""),
0
)),
""Outreach Conducted"",
"""")"),"")</f>
        <v/>
      </c>
      <c r="AI1666" s="23"/>
      <c r="AJ1666" s="23"/>
      <c r="AK1666" s="23" t="str">
        <f>IFERROR(__xludf.DUMMYFUNCTION("XLOOKUP(C1666, 
   IMPORTRANGE(""1RdEdgHYrZ33LJ7RUHj_h-qkAFL92bcVjtIdVa-UlsCw"", ""Interns!D:D""), 
   IMPORTRANGE(""1RdEdgHYrZ33LJ7RUHj_h-qkAFL92bcVjtIdVa-UlsCw"", ""Interns!M:M""), 
   ""Not Found"")"),"")</f>
        <v/>
      </c>
      <c r="AL1666" s="23" t="str">
        <f>IFERROR(__xludf.DUMMYFUNCTION("XLOOKUP(C1666, 
   IMPORTRANGE(""1RdEdgHYrZ33LJ7RUHj_h-qkAFL92bcVjtIdVa-UlsCw"", ""Interns!D:D""), 
   IMPORTRANGE(""1RdEdgHYrZ33LJ7RUHj_h-qkAFL92bcVjtIdVa-UlsCw"", ""Interns!N:N""), 
   ""Not Found"")"),"")</f>
        <v/>
      </c>
      <c r="AM1666" s="23" t="str">
        <f>IFERROR(__xludf.DUMMYFUNCTION("XLOOKUP(C1666, 
   IMPORTRANGE(""1RdEdgHYrZ33LJ7RUHj_h-qkAFL92bcVjtIdVa-UlsCw"", ""Interns!D:D""), 
   IMPORTRANGE(""1RdEdgHYrZ33LJ7RUHj_h-qkAFL92bcVjtIdVa-UlsCw"", ""Interns!O:O""), 
   ""Not Found"")"),"")</f>
        <v/>
      </c>
      <c r="AN1666" s="23"/>
      <c r="AO1666" s="23"/>
      <c r="AP1666" s="28"/>
      <c r="AQ1666" s="28"/>
      <c r="AR1666" s="23"/>
      <c r="AS1666" s="23"/>
      <c r="AT1666" s="23"/>
      <c r="AU1666" s="23"/>
      <c r="AV1666" s="23"/>
    </row>
    <row r="1667">
      <c r="A1667" s="28" t="s">
        <v>5161</v>
      </c>
      <c r="B1667" s="28" t="s">
        <v>5162</v>
      </c>
      <c r="C1667" s="23" t="str">
        <f t="shared" si="39"/>
        <v>Albert Khyan</v>
      </c>
      <c r="D1667" s="28" t="s">
        <v>404</v>
      </c>
      <c r="E1667" s="28" t="s">
        <v>15204</v>
      </c>
      <c r="F1667" s="23">
        <f t="array" ref="F1667">IFERROR(
    INDEX('Hub Interns 226'!A:A, MATCH(C1667, 'Hub Interns 226'!B:B, 0)),"")</f>
        <v>173</v>
      </c>
      <c r="G1667" s="23">
        <f t="array" ref="G1667">IFERROR(
    INDEX('Hub Users 226'!A:A, MATCH(C1667, 'Hub Users 226'!B:B, 0)),"")</f>
        <v>606</v>
      </c>
      <c r="H1667" s="28">
        <v>1191.0</v>
      </c>
      <c r="I1667" s="28" t="s">
        <v>269</v>
      </c>
      <c r="J1667" s="28"/>
      <c r="K1667" s="28"/>
      <c r="L1667" s="28" t="s">
        <v>5165</v>
      </c>
      <c r="M1667" s="56" t="s">
        <v>15205</v>
      </c>
      <c r="N1667" s="57">
        <v>44833.586805555555</v>
      </c>
      <c r="O1667" s="58">
        <v>40148.0</v>
      </c>
      <c r="P1667" s="28">
        <f t="shared" si="41"/>
        <v>16</v>
      </c>
      <c r="Q1667" s="28" t="s">
        <v>240</v>
      </c>
      <c r="R1667" s="28" t="s">
        <v>15206</v>
      </c>
      <c r="S1667" s="28">
        <v>14.0</v>
      </c>
      <c r="T1667" s="28">
        <v>13.0</v>
      </c>
      <c r="U1667" s="28">
        <v>30.0</v>
      </c>
      <c r="V1667" s="28">
        <v>25.0</v>
      </c>
      <c r="W1667" s="28" t="s">
        <v>1173</v>
      </c>
      <c r="X1667" s="28" t="s">
        <v>272</v>
      </c>
      <c r="Y1667" s="28" t="s">
        <v>15207</v>
      </c>
      <c r="Z1667" s="28" t="s">
        <v>5170</v>
      </c>
      <c r="AA1667" s="28" t="s">
        <v>5171</v>
      </c>
      <c r="AB1667" s="28">
        <v>30.0</v>
      </c>
      <c r="AC1667" s="28" t="s">
        <v>23</v>
      </c>
      <c r="AD1667" s="28" t="s">
        <v>101</v>
      </c>
      <c r="AE1667" s="28" t="s">
        <v>15</v>
      </c>
      <c r="AF1667" s="23"/>
      <c r="AG1667" s="23"/>
      <c r="AH1667" s="23" t="str">
        <f>IFERROR(__xludf.DUMMYFUNCTION("IF(
ISNUMBER(MATCH(
C1667,
IMPORTRANGE(""https://docs.google.com/spreadsheets/d/1yTh1ELC33JHYOeEdgIiEclxPRyh0zOKtlawDltfUay8"",""'Interns'!A:A""),
0
)),
""Outreach Conducted"",
"""")"),"")</f>
        <v/>
      </c>
      <c r="AI1667" s="23"/>
      <c r="AJ1667" s="23"/>
      <c r="AK1667" s="23" t="str">
        <f>IFERROR(__xludf.DUMMYFUNCTION("XLOOKUP(C1667, 
   IMPORTRANGE(""1RdEdgHYrZ33LJ7RUHj_h-qkAFL92bcVjtIdVa-UlsCw"", ""Interns!D:D""), 
   IMPORTRANGE(""1RdEdgHYrZ33LJ7RUHj_h-qkAFL92bcVjtIdVa-UlsCw"", ""Interns!M:M""), 
   ""Not Found"")"),"Contacted")</f>
        <v>Contacted</v>
      </c>
      <c r="AL1667" s="23" t="str">
        <f>IFERROR(__xludf.DUMMYFUNCTION("XLOOKUP(C1667, 
   IMPORTRANGE(""1RdEdgHYrZ33LJ7RUHj_h-qkAFL92bcVjtIdVa-UlsCw"", ""Interns!D:D""), 
   IMPORTRANGE(""1RdEdgHYrZ33LJ7RUHj_h-qkAFL92bcVjtIdVa-UlsCw"", ""Interns!N:N""), 
   ""Not Found"")"),"#Cheers4Careers")</f>
        <v>#Cheers4Careers</v>
      </c>
      <c r="AM1667" s="23" t="str">
        <f>IFERROR(__xludf.DUMMYFUNCTION("XLOOKUP(C1667, 
   IMPORTRANGE(""1RdEdgHYrZ33LJ7RUHj_h-qkAFL92bcVjtIdVa-UlsCw"", ""Interns!D:D""), 
   IMPORTRANGE(""1RdEdgHYrZ33LJ7RUHj_h-qkAFL92bcVjtIdVa-UlsCw"", ""Interns!O:O""), 
   ""Not Found"")"),"Hetal reached out March 27 for March #Cheers4 Careers ")</f>
        <v>Hetal reached out March 27 for March #Cheers4 Careers </v>
      </c>
      <c r="AN1667" s="23"/>
      <c r="AO1667" s="23" t="s">
        <v>15208</v>
      </c>
      <c r="AP1667" s="28" t="s">
        <v>5191</v>
      </c>
      <c r="AQ1667" s="28"/>
      <c r="AR1667" s="23"/>
      <c r="AS1667" s="23"/>
      <c r="AT1667" s="23"/>
      <c r="AU1667" s="23"/>
      <c r="AV1667" s="23"/>
    </row>
    <row r="1668">
      <c r="A1668" s="28" t="s">
        <v>5161</v>
      </c>
      <c r="B1668" s="28" t="s">
        <v>5162</v>
      </c>
      <c r="C1668" s="23" t="str">
        <f t="shared" si="39"/>
        <v>Yobani Gonzalez</v>
      </c>
      <c r="D1668" s="28" t="s">
        <v>15209</v>
      </c>
      <c r="E1668" s="28" t="s">
        <v>1377</v>
      </c>
      <c r="F1668" s="23">
        <f t="array" ref="F1668">IFERROR(
    INDEX('Hub Interns 226'!A:A, MATCH(C1668, 'Hub Interns 226'!B:B, 0)),"")</f>
        <v>1235</v>
      </c>
      <c r="G1668" s="23">
        <f t="array" ref="G1668">IFERROR(
    INDEX('Hub Users 226'!A:A, MATCH(C1668, 'Hub Users 226'!B:B, 0)),"")</f>
        <v>1668</v>
      </c>
      <c r="H1668" s="28">
        <v>1581.0</v>
      </c>
      <c r="I1668" s="28"/>
      <c r="J1668" s="28"/>
      <c r="K1668" s="28"/>
      <c r="L1668" s="28" t="s">
        <v>5165</v>
      </c>
      <c r="M1668" s="56" t="s">
        <v>15210</v>
      </c>
      <c r="N1668" s="57">
        <v>45016.384722222225</v>
      </c>
      <c r="O1668" s="58">
        <v>39821.0</v>
      </c>
      <c r="P1668" s="28">
        <f t="shared" si="41"/>
        <v>17</v>
      </c>
      <c r="Q1668" s="28" t="s">
        <v>15211</v>
      </c>
      <c r="R1668" s="28" t="s">
        <v>15212</v>
      </c>
      <c r="S1668" s="28">
        <v>6.0</v>
      </c>
      <c r="T1668" s="28">
        <v>12.0</v>
      </c>
      <c r="U1668" s="28">
        <v>30.0</v>
      </c>
      <c r="V1668" s="28">
        <v>25.0</v>
      </c>
      <c r="W1668" s="28" t="s">
        <v>1173</v>
      </c>
      <c r="X1668" s="28" t="s">
        <v>272</v>
      </c>
      <c r="Y1668" s="28" t="s">
        <v>5169</v>
      </c>
      <c r="Z1668" s="28" t="s">
        <v>5170</v>
      </c>
      <c r="AA1668" s="28" t="s">
        <v>5171</v>
      </c>
      <c r="AB1668" s="28">
        <v>30.0</v>
      </c>
      <c r="AC1668" s="28" t="s">
        <v>23</v>
      </c>
      <c r="AD1668" s="28" t="s">
        <v>101</v>
      </c>
      <c r="AE1668" s="28" t="s">
        <v>15</v>
      </c>
      <c r="AF1668" s="23"/>
      <c r="AG1668" s="23"/>
      <c r="AH1668" s="23" t="str">
        <f>IFERROR(__xludf.DUMMYFUNCTION("IF(
ISNUMBER(MATCH(
C1668,
IMPORTRANGE(""https://docs.google.com/spreadsheets/d/1yTh1ELC33JHYOeEdgIiEclxPRyh0zOKtlawDltfUay8"",""'Interns'!A:A""),
0
)),
""Outreach Conducted"",
"""")"),"")</f>
        <v/>
      </c>
      <c r="AI1668" s="23"/>
      <c r="AJ1668" s="23"/>
      <c r="AK1668" s="23" t="str">
        <f>IFERROR(__xludf.DUMMYFUNCTION("XLOOKUP(C1668, 
   IMPORTRANGE(""1RdEdgHYrZ33LJ7RUHj_h-qkAFL92bcVjtIdVa-UlsCw"", ""Interns!D:D""), 
   IMPORTRANGE(""1RdEdgHYrZ33LJ7RUHj_h-qkAFL92bcVjtIdVa-UlsCw"", ""Interns!M:M""), 
   ""Not Found"")"),"Contacted")</f>
        <v>Contacted</v>
      </c>
      <c r="AL1668" s="23" t="str">
        <f>IFERROR(__xludf.DUMMYFUNCTION("XLOOKUP(C1668, 
   IMPORTRANGE(""1RdEdgHYrZ33LJ7RUHj_h-qkAFL92bcVjtIdVa-UlsCw"", ""Interns!D:D""), 
   IMPORTRANGE(""1RdEdgHYrZ33LJ7RUHj_h-qkAFL92bcVjtIdVa-UlsCw"", ""Interns!N:N""), 
   ""Not Found"")"),"#Cheers4Careers")</f>
        <v>#Cheers4Careers</v>
      </c>
      <c r="AM1668" s="23" t="str">
        <f>IFERROR(__xludf.DUMMYFUNCTION("XLOOKUP(C1668, 
   IMPORTRANGE(""1RdEdgHYrZ33LJ7RUHj_h-qkAFL92bcVjtIdVa-UlsCw"", ""Interns!D:D""), 
   IMPORTRANGE(""1RdEdgHYrZ33LJ7RUHj_h-qkAFL92bcVjtIdVa-UlsCw"", ""Interns!O:O""), 
   ""Not Found"")"),"Hetal reached out March 27 for March #Cheers4 Careers ")</f>
        <v>Hetal reached out March 27 for March #Cheers4 Careers </v>
      </c>
      <c r="AN1668" s="23"/>
      <c r="AO1668" s="23" t="s">
        <v>15213</v>
      </c>
      <c r="AP1668" s="28" t="s">
        <v>5191</v>
      </c>
      <c r="AQ1668" s="28"/>
      <c r="AR1668" s="23"/>
      <c r="AS1668" s="23"/>
      <c r="AT1668" s="23"/>
      <c r="AU1668" s="23"/>
      <c r="AV1668" s="23"/>
    </row>
    <row r="1669">
      <c r="A1669" s="28" t="s">
        <v>5161</v>
      </c>
      <c r="B1669" s="28" t="s">
        <v>5162</v>
      </c>
      <c r="C1669" s="23" t="str">
        <f t="shared" si="39"/>
        <v>Lesly Guterirez</v>
      </c>
      <c r="D1669" s="28" t="s">
        <v>9794</v>
      </c>
      <c r="E1669" s="28" t="s">
        <v>15214</v>
      </c>
      <c r="F1669" s="23">
        <f t="array" ref="F1669">IFERROR(
    INDEX('Hub Interns 226'!A:A, MATCH(C1669, 'Hub Interns 226'!B:B, 0)),"")</f>
        <v>776</v>
      </c>
      <c r="G1669" s="23">
        <f t="array" ref="G1669">IFERROR(
    INDEX('Hub Users 226'!A:A, MATCH(C1669, 'Hub Users 226'!B:B, 0)),"")</f>
        <v>1209</v>
      </c>
      <c r="H1669" s="28">
        <v>1201.0</v>
      </c>
      <c r="I1669" s="28" t="s">
        <v>407</v>
      </c>
      <c r="J1669" s="28"/>
      <c r="K1669" s="28"/>
      <c r="L1669" s="28" t="s">
        <v>5196</v>
      </c>
      <c r="M1669" s="56" t="s">
        <v>15215</v>
      </c>
      <c r="N1669" s="57">
        <v>44834.49444444444</v>
      </c>
      <c r="O1669" s="58">
        <v>40077.0</v>
      </c>
      <c r="P1669" s="28">
        <f t="shared" si="41"/>
        <v>16</v>
      </c>
      <c r="Q1669" s="28" t="s">
        <v>240</v>
      </c>
      <c r="R1669" s="28" t="s">
        <v>15216</v>
      </c>
      <c r="S1669" s="28">
        <v>6.0</v>
      </c>
      <c r="T1669" s="28">
        <v>12.0</v>
      </c>
      <c r="U1669" s="28">
        <v>30.0</v>
      </c>
      <c r="V1669" s="28">
        <v>25.0</v>
      </c>
      <c r="W1669" s="28" t="s">
        <v>1173</v>
      </c>
      <c r="X1669" s="28" t="s">
        <v>272</v>
      </c>
      <c r="Y1669" s="28" t="s">
        <v>15217</v>
      </c>
      <c r="Z1669" s="28" t="s">
        <v>5170</v>
      </c>
      <c r="AA1669" s="28" t="s">
        <v>5171</v>
      </c>
      <c r="AB1669" s="28">
        <v>30.0</v>
      </c>
      <c r="AC1669" s="28" t="s">
        <v>23</v>
      </c>
      <c r="AD1669" s="28" t="s">
        <v>101</v>
      </c>
      <c r="AE1669" s="28" t="s">
        <v>15</v>
      </c>
      <c r="AF1669" s="23"/>
      <c r="AG1669" s="23"/>
      <c r="AH1669" s="23" t="str">
        <f>IFERROR(__xludf.DUMMYFUNCTION("IF(
ISNUMBER(MATCH(
C1669,
IMPORTRANGE(""https://docs.google.com/spreadsheets/d/1yTh1ELC33JHYOeEdgIiEclxPRyh0zOKtlawDltfUay8"",""'Interns'!A:A""),
0
)),
""Outreach Conducted"",
"""")"),"")</f>
        <v/>
      </c>
      <c r="AI1669" s="23"/>
      <c r="AJ1669" s="23"/>
      <c r="AK1669" s="23" t="str">
        <f>IFERROR(__xludf.DUMMYFUNCTION("XLOOKUP(C1669, 
   IMPORTRANGE(""1RdEdgHYrZ33LJ7RUHj_h-qkAFL92bcVjtIdVa-UlsCw"", ""Interns!D:D""), 
   IMPORTRANGE(""1RdEdgHYrZ33LJ7RUHj_h-qkAFL92bcVjtIdVa-UlsCw"", ""Interns!M:M""), 
   ""Not Found"")"),"Contacted")</f>
        <v>Contacted</v>
      </c>
      <c r="AL1669" s="23" t="str">
        <f>IFERROR(__xludf.DUMMYFUNCTION("XLOOKUP(C1669, 
   IMPORTRANGE(""1RdEdgHYrZ33LJ7RUHj_h-qkAFL92bcVjtIdVa-UlsCw"", ""Interns!D:D""), 
   IMPORTRANGE(""1RdEdgHYrZ33LJ7RUHj_h-qkAFL92bcVjtIdVa-UlsCw"", ""Interns!N:N""), 
   ""Not Found"")"),"#Cheers4Careers")</f>
        <v>#Cheers4Careers</v>
      </c>
      <c r="AM1669" s="23" t="str">
        <f>IFERROR(__xludf.DUMMYFUNCTION("XLOOKUP(C1669, 
   IMPORTRANGE(""1RdEdgHYrZ33LJ7RUHj_h-qkAFL92bcVjtIdVa-UlsCw"", ""Interns!D:D""), 
   IMPORTRANGE(""1RdEdgHYrZ33LJ7RUHj_h-qkAFL92bcVjtIdVa-UlsCw"", ""Interns!O:O""), 
   ""Not Found"")"),"Hetal reached out March 27 for March #Cheers4 Careers and whatsapp on 3/28
Hetal reached out on 4/10 by whatsapp for April 18th #Cheers4Careers")</f>
        <v>Hetal reached out March 27 for March #Cheers4 Careers and whatsapp on 3/28
Hetal reached out on 4/10 by whatsapp for April 18th #Cheers4Careers</v>
      </c>
      <c r="AN1669" s="23"/>
      <c r="AO1669" s="23" t="s">
        <v>15218</v>
      </c>
      <c r="AP1669" s="28" t="s">
        <v>5182</v>
      </c>
      <c r="AQ1669" s="28"/>
      <c r="AR1669" s="23"/>
      <c r="AS1669" s="23"/>
      <c r="AT1669" s="23"/>
      <c r="AU1669" s="23"/>
      <c r="AV1669" s="23"/>
    </row>
    <row r="1670">
      <c r="A1670" s="28" t="s">
        <v>5161</v>
      </c>
      <c r="B1670" s="28" t="s">
        <v>5162</v>
      </c>
      <c r="C1670" s="23" t="str">
        <f t="shared" si="39"/>
        <v>Tylynn Reddick</v>
      </c>
      <c r="D1670" s="22" t="s">
        <v>15219</v>
      </c>
      <c r="E1670" s="22" t="s">
        <v>15220</v>
      </c>
      <c r="F1670" s="23"/>
      <c r="G1670" s="23"/>
      <c r="H1670" s="22">
        <v>1901.0</v>
      </c>
      <c r="I1670" s="28"/>
      <c r="J1670" s="28"/>
      <c r="K1670" s="28"/>
      <c r="L1670" s="28" t="s">
        <v>5196</v>
      </c>
      <c r="M1670" s="29" t="s">
        <v>15221</v>
      </c>
      <c r="N1670" s="61">
        <v>45845.59652777778</v>
      </c>
      <c r="O1670" s="25">
        <v>38679.0</v>
      </c>
      <c r="P1670" s="28">
        <f t="shared" si="41"/>
        <v>20</v>
      </c>
      <c r="Q1670" s="62" t="s">
        <v>15222</v>
      </c>
      <c r="R1670" s="22" t="s">
        <v>15223</v>
      </c>
      <c r="S1670" s="28">
        <v>11.0</v>
      </c>
      <c r="T1670" s="28">
        <v>24.0</v>
      </c>
      <c r="U1670" s="28">
        <v>63.0</v>
      </c>
      <c r="V1670" s="28">
        <v>49.0</v>
      </c>
      <c r="W1670" s="28" t="s">
        <v>9112</v>
      </c>
      <c r="X1670" s="28" t="s">
        <v>272</v>
      </c>
      <c r="Y1670" s="22" t="s">
        <v>15224</v>
      </c>
      <c r="Z1670" s="22" t="s">
        <v>5822</v>
      </c>
      <c r="AA1670" s="28" t="s">
        <v>5822</v>
      </c>
      <c r="AB1670" s="28">
        <v>30.0</v>
      </c>
      <c r="AC1670" s="28" t="s">
        <v>27</v>
      </c>
      <c r="AD1670" s="23"/>
      <c r="AE1670" s="28" t="s">
        <v>20</v>
      </c>
      <c r="AF1670" s="23"/>
      <c r="AG1670" s="23"/>
      <c r="AH1670" s="23" t="str">
        <f>IFERROR(__xludf.DUMMYFUNCTION("IF(
ISNUMBER(MATCH(
C1670,
IMPORTRANGE(""https://docs.google.com/spreadsheets/d/1yTh1ELC33JHYOeEdgIiEclxPRyh0zOKtlawDltfUay8"",""'Interns'!A:A""),
0
)),
""Outreach Conducted"",
"""")"),"")</f>
        <v/>
      </c>
      <c r="AI1670" s="23"/>
      <c r="AJ1670" s="23"/>
      <c r="AK1670" s="23"/>
      <c r="AL1670" s="23" t="str">
        <f>IFERROR(__xludf.DUMMYFUNCTION("XLOOKUP(C1670, 
   IMPORTRANGE(""1RdEdgHYrZ33LJ7RUHj_h-qkAFL92bcVjtIdVa-UlsCw"", ""Interns!D:D""), 
   IMPORTRANGE(""1RdEdgHYrZ33LJ7RUHj_h-qkAFL92bcVjtIdVa-UlsCw"", ""Interns!N:N""), 
   ""Not Found"")"),"#Cheers4Careers")</f>
        <v>#Cheers4Careers</v>
      </c>
      <c r="AM1670" s="23" t="str">
        <f>IFERROR(__xludf.DUMMYFUNCTION("XLOOKUP(C1670, 
   IMPORTRANGE(""1RdEdgHYrZ33LJ7RUHj_h-qkAFL92bcVjtIdVa-UlsCw"", ""Interns!D:D""), 
   IMPORTRANGE(""1RdEdgHYrZ33LJ7RUHj_h-qkAFL92bcVjtIdVa-UlsCw"", ""Interns!O:O""), 
   ""Not Found"")"),"Hetal reached out March 27 for March #Cheers4 Careers ")</f>
        <v>Hetal reached out March 27 for March #Cheers4 Careers </v>
      </c>
      <c r="AN1670" s="23"/>
      <c r="AO1670" s="23" t="s">
        <v>15225</v>
      </c>
      <c r="AP1670" s="28" t="s">
        <v>5182</v>
      </c>
      <c r="AQ1670" s="28" t="s">
        <v>15226</v>
      </c>
      <c r="AR1670" s="23" t="s">
        <v>15227</v>
      </c>
      <c r="AS1670" s="23"/>
      <c r="AT1670" s="23"/>
      <c r="AU1670" s="23"/>
      <c r="AV1670" s="23"/>
    </row>
    <row r="1671">
      <c r="A1671" s="28" t="s">
        <v>5161</v>
      </c>
      <c r="B1671" s="28" t="s">
        <v>5162</v>
      </c>
      <c r="C1671" s="23" t="str">
        <f t="shared" si="39"/>
        <v>Micaela Arana</v>
      </c>
      <c r="D1671" s="28" t="s">
        <v>15228</v>
      </c>
      <c r="E1671" s="28" t="s">
        <v>15229</v>
      </c>
      <c r="F1671" s="23" t="str">
        <f t="array" ref="F1671">IFERROR(
    INDEX('Hub Interns 226'!A:A, MATCH(C1671, 'Hub Interns 226'!B:B, 0)),"")</f>
        <v/>
      </c>
      <c r="G1671" s="23">
        <f t="array" ref="G1671">IFERROR(
    INDEX('Hub Users 226'!A:A, MATCH(C1671, 'Hub Users 226'!B:B, 0)),"")</f>
        <v>2095</v>
      </c>
      <c r="H1671" s="28">
        <v>1856.0</v>
      </c>
      <c r="I1671" s="28" t="s">
        <v>269</v>
      </c>
      <c r="J1671" s="28"/>
      <c r="K1671" s="28"/>
      <c r="L1671" s="28" t="s">
        <v>5196</v>
      </c>
      <c r="M1671" s="56" t="s">
        <v>15230</v>
      </c>
      <c r="N1671" s="59">
        <v>45583.854166666664</v>
      </c>
      <c r="O1671" s="58">
        <v>45575.0</v>
      </c>
      <c r="P1671" s="28">
        <f t="shared" si="41"/>
        <v>1</v>
      </c>
      <c r="Q1671" s="28" t="s">
        <v>240</v>
      </c>
      <c r="R1671" s="28" t="s">
        <v>15231</v>
      </c>
      <c r="S1671" s="28">
        <v>6.0</v>
      </c>
      <c r="T1671" s="28">
        <v>15.0</v>
      </c>
      <c r="U1671" s="28">
        <v>28.0</v>
      </c>
      <c r="V1671" s="28">
        <v>30.0</v>
      </c>
      <c r="W1671" s="28" t="s">
        <v>271</v>
      </c>
      <c r="X1671" s="28" t="s">
        <v>272</v>
      </c>
      <c r="Y1671" s="28">
        <v>9.292872877E9</v>
      </c>
      <c r="Z1671" s="28" t="s">
        <v>6332</v>
      </c>
      <c r="AA1671" s="28" t="s">
        <v>5512</v>
      </c>
      <c r="AB1671" s="28">
        <v>30.0</v>
      </c>
      <c r="AC1671" s="28" t="s">
        <v>23</v>
      </c>
      <c r="AD1671" s="23"/>
      <c r="AE1671" s="28" t="s">
        <v>19</v>
      </c>
      <c r="AF1671" s="23"/>
      <c r="AG1671" s="23"/>
      <c r="AH1671" s="23" t="str">
        <f>IFERROR(__xludf.DUMMYFUNCTION("IF(
ISNUMBER(MATCH(
C1671,
IMPORTRANGE(""https://docs.google.com/spreadsheets/d/1yTh1ELC33JHYOeEdgIiEclxPRyh0zOKtlawDltfUay8"",""'Interns'!A:A""),
0
)),
""Outreach Conducted"",
"""")"),"")</f>
        <v/>
      </c>
      <c r="AI1671" s="23"/>
      <c r="AJ1671" s="23"/>
      <c r="AK1671" s="23" t="str">
        <f>IFERROR(__xludf.DUMMYFUNCTION("XLOOKUP(C1671, 
   IMPORTRANGE(""1RdEdgHYrZ33LJ7RUHj_h-qkAFL92bcVjtIdVa-UlsCw"", ""Interns!D:D""), 
   IMPORTRANGE(""1RdEdgHYrZ33LJ7RUHj_h-qkAFL92bcVjtIdVa-UlsCw"", ""Interns!M:M""), 
   ""Not Found"")"),"Contacted")</f>
        <v>Contacted</v>
      </c>
      <c r="AL1671" s="23" t="str">
        <f>IFERROR(__xludf.DUMMYFUNCTION("XLOOKUP(C1671, 
   IMPORTRANGE(""1RdEdgHYrZ33LJ7RUHj_h-qkAFL92bcVjtIdVa-UlsCw"", ""Interns!D:D""), 
   IMPORTRANGE(""1RdEdgHYrZ33LJ7RUHj_h-qkAFL92bcVjtIdVa-UlsCw"", ""Interns!N:N""), 
   ""Not Found"")"),"#Cheers4Careers")</f>
        <v>#Cheers4Careers</v>
      </c>
      <c r="AM1671" s="23" t="str">
        <f>IFERROR(__xludf.DUMMYFUNCTION("XLOOKUP(C1671,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671" s="23"/>
      <c r="AO1671" s="23" t="s">
        <v>15232</v>
      </c>
      <c r="AP1671" s="28" t="s">
        <v>5182</v>
      </c>
      <c r="AQ1671" s="28" t="s">
        <v>15233</v>
      </c>
      <c r="AR1671" s="23">
        <v>9.292872877E9</v>
      </c>
      <c r="AS1671" s="23"/>
      <c r="AT1671" s="23"/>
      <c r="AU1671" s="23"/>
      <c r="AV1671" s="23"/>
    </row>
    <row r="1672">
      <c r="A1672" s="28" t="s">
        <v>5161</v>
      </c>
      <c r="B1672" s="28" t="s">
        <v>5162</v>
      </c>
      <c r="C1672" s="23" t="str">
        <f t="shared" si="39"/>
        <v>Anonya Barua</v>
      </c>
      <c r="D1672" s="28" t="s">
        <v>15234</v>
      </c>
      <c r="E1672" s="28" t="s">
        <v>15235</v>
      </c>
      <c r="F1672" s="23">
        <f t="array" ref="F1672">IFERROR(
    INDEX('Hub Interns 226'!A:A, MATCH(C1672, 'Hub Interns 226'!B:B, 0)),"")</f>
        <v>1621</v>
      </c>
      <c r="G1672" s="23">
        <f t="array" ref="G1672">IFERROR(
    INDEX('Hub Users 226'!A:A, MATCH(C1672, 'Hub Users 226'!B:B, 0)),"")</f>
        <v>2233</v>
      </c>
      <c r="H1672" s="28">
        <v>1863.0</v>
      </c>
      <c r="I1672" s="28"/>
      <c r="J1672" s="28"/>
      <c r="K1672" s="28"/>
      <c r="L1672" s="28" t="s">
        <v>5196</v>
      </c>
      <c r="M1672" s="56" t="s">
        <v>15236</v>
      </c>
      <c r="N1672" s="57">
        <v>45702.97708333333</v>
      </c>
      <c r="O1672" s="58">
        <v>41137.0</v>
      </c>
      <c r="P1672" s="28">
        <f t="shared" si="41"/>
        <v>13</v>
      </c>
      <c r="Q1672" s="28" t="s">
        <v>240</v>
      </c>
      <c r="R1672" s="28" t="s">
        <v>15237</v>
      </c>
      <c r="S1672" s="28">
        <v>6.0</v>
      </c>
      <c r="T1672" s="28">
        <v>13.0</v>
      </c>
      <c r="U1672" s="28">
        <v>39.0</v>
      </c>
      <c r="V1672" s="28">
        <v>25.0</v>
      </c>
      <c r="W1672" s="28" t="s">
        <v>1173</v>
      </c>
      <c r="X1672" s="28" t="s">
        <v>272</v>
      </c>
      <c r="Y1672" s="28" t="s">
        <v>15238</v>
      </c>
      <c r="Z1672" s="23"/>
      <c r="AA1672" s="28" t="s">
        <v>5287</v>
      </c>
      <c r="AB1672" s="28">
        <v>26.0</v>
      </c>
      <c r="AC1672" s="28" t="s">
        <v>22</v>
      </c>
      <c r="AD1672" s="23"/>
      <c r="AE1672" s="28" t="s">
        <v>19</v>
      </c>
      <c r="AF1672" s="23"/>
      <c r="AG1672" s="23"/>
      <c r="AH1672" s="23" t="str">
        <f>IFERROR(__xludf.DUMMYFUNCTION("IF(
ISNUMBER(MATCH(
C1672,
IMPORTRANGE(""https://docs.google.com/spreadsheets/d/1yTh1ELC33JHYOeEdgIiEclxPRyh0zOKtlawDltfUay8"",""'Interns'!A:A""),
0
)),
""Outreach Conducted"",
"""")"),"")</f>
        <v/>
      </c>
      <c r="AI1672" s="23"/>
      <c r="AJ1672" s="23"/>
      <c r="AK1672" s="23" t="str">
        <f>IFERROR(__xludf.DUMMYFUNCTION("XLOOKUP(C1672, 
   IMPORTRANGE(""1RdEdgHYrZ33LJ7RUHj_h-qkAFL92bcVjtIdVa-UlsCw"", ""Interns!D:D""), 
   IMPORTRANGE(""1RdEdgHYrZ33LJ7RUHj_h-qkAFL92bcVjtIdVa-UlsCw"", ""Interns!M:M""), 
   ""Not Found"")"),"Contacted")</f>
        <v>Contacted</v>
      </c>
      <c r="AL1672" s="23" t="str">
        <f>IFERROR(__xludf.DUMMYFUNCTION("XLOOKUP(C1672, 
   IMPORTRANGE(""1RdEdgHYrZ33LJ7RUHj_h-qkAFL92bcVjtIdVa-UlsCw"", ""Interns!D:D""), 
   IMPORTRANGE(""1RdEdgHYrZ33LJ7RUHj_h-qkAFL92bcVjtIdVa-UlsCw"", ""Interns!N:N""), 
   ""Not Found"")"),"#Cheers4Careers")</f>
        <v>#Cheers4Careers</v>
      </c>
      <c r="AM1672" s="23" t="str">
        <f>IFERROR(__xludf.DUMMYFUNCTION("XLOOKUP(C1672, 
   IMPORTRANGE(""1RdEdgHYrZ33LJ7RUHj_h-qkAFL92bcVjtIdVa-UlsCw"", ""Interns!D:D""), 
   IMPORTRANGE(""1RdEdgHYrZ33LJ7RUHj_h-qkAFL92bcVjtIdVa-UlsCw"", ""Interns!O:O""), 
   ""Not Found"")"),"Hetal reached out by email 3/27")</f>
        <v>Hetal reached out by email 3/27</v>
      </c>
      <c r="AN1672" s="23"/>
      <c r="AO1672" s="23" t="s">
        <v>15239</v>
      </c>
      <c r="AP1672" s="28" t="s">
        <v>5191</v>
      </c>
      <c r="AQ1672" s="28"/>
      <c r="AR1672" s="23"/>
      <c r="AS1672" s="23"/>
      <c r="AT1672" s="23"/>
      <c r="AU1672" s="23"/>
      <c r="AV1672" s="23"/>
    </row>
    <row r="1673">
      <c r="A1673" s="28" t="s">
        <v>5202</v>
      </c>
      <c r="B1673" s="28" t="s">
        <v>5162</v>
      </c>
      <c r="C1673" s="23" t="str">
        <f t="shared" si="39"/>
        <v>Jaliyha Eberhart</v>
      </c>
      <c r="D1673" s="28" t="s">
        <v>15240</v>
      </c>
      <c r="E1673" s="28" t="s">
        <v>15241</v>
      </c>
      <c r="F1673" s="23">
        <f t="array" ref="F1673">IFERROR(
    INDEX('Hub Interns 226'!A:A, MATCH(C1673, 'Hub Interns 226'!B:B, 0)),"")</f>
        <v>621</v>
      </c>
      <c r="G1673" s="23">
        <f t="array" ref="G1673">IFERROR(
    INDEX('Hub Users 226'!A:A, MATCH(C1673, 'Hub Users 226'!B:B, 0)),"")</f>
        <v>1054</v>
      </c>
      <c r="H1673" s="28">
        <v>767.0</v>
      </c>
      <c r="I1673" s="28" t="s">
        <v>417</v>
      </c>
      <c r="J1673" s="28"/>
      <c r="K1673" s="28"/>
      <c r="L1673" s="28" t="s">
        <v>5196</v>
      </c>
      <c r="M1673" s="56" t="s">
        <v>15242</v>
      </c>
      <c r="N1673" s="59">
        <v>44552.489583333336</v>
      </c>
      <c r="O1673" s="58">
        <v>37438.0</v>
      </c>
      <c r="P1673" s="28">
        <f t="shared" si="41"/>
        <v>23</v>
      </c>
      <c r="Q1673" s="28" t="s">
        <v>6867</v>
      </c>
      <c r="R1673" s="28" t="s">
        <v>15243</v>
      </c>
      <c r="S1673" s="28">
        <v>15.0</v>
      </c>
      <c r="T1673" s="28">
        <v>33.0</v>
      </c>
      <c r="U1673" s="28">
        <v>86.0</v>
      </c>
      <c r="V1673" s="28">
        <v>15.0</v>
      </c>
      <c r="W1673" s="28" t="s">
        <v>859</v>
      </c>
      <c r="X1673" s="28" t="s">
        <v>272</v>
      </c>
      <c r="Y1673" s="28" t="s">
        <v>15244</v>
      </c>
      <c r="Z1673" s="28" t="s">
        <v>5779</v>
      </c>
      <c r="AA1673" s="28" t="s">
        <v>3931</v>
      </c>
      <c r="AB1673" s="28">
        <v>2.0</v>
      </c>
      <c r="AC1673" s="28" t="s">
        <v>25</v>
      </c>
      <c r="AD1673" s="23"/>
      <c r="AE1673" s="28" t="s">
        <v>10</v>
      </c>
      <c r="AF1673" s="23" t="str">
        <f>IFERROR(__xludf.DUMMYFUNCTION("TEXTJOIN("", "", TRUE,
  FILTER(Champions!C:C,
    ISNUMBER(SEARCH(C1673, Champions!W:W))
  )
)"),"CHRISTINA BROOMES, Lynda Nwabuobi")</f>
        <v>CHRISTINA BROOMES, Lynda Nwabuobi</v>
      </c>
      <c r="AG1673" s="23"/>
      <c r="AH1673" s="23" t="str">
        <f>IFERROR(__xludf.DUMMYFUNCTION("IF(
ISNUMBER(MATCH(
C1673,
IMPORTRANGE(""https://docs.google.com/spreadsheets/d/1yTh1ELC33JHYOeEdgIiEclxPRyh0zOKtlawDltfUay8"",""'Interns'!A:A""),
0
)),
""Outreach Conducted"",
"""")"),"")</f>
        <v/>
      </c>
      <c r="AI1673" s="23"/>
      <c r="AJ1673" s="23"/>
      <c r="AK1673" s="23" t="str">
        <f>IFERROR(__xludf.DUMMYFUNCTION("XLOOKUP(C1673, 
   IMPORTRANGE(""1RdEdgHYrZ33LJ7RUHj_h-qkAFL92bcVjtIdVa-UlsCw"", ""Interns!D:D""), 
   IMPORTRANGE(""1RdEdgHYrZ33LJ7RUHj_h-qkAFL92bcVjtIdVa-UlsCw"", ""Interns!M:M""), 
   ""Not Found"")"),"")</f>
        <v/>
      </c>
      <c r="AL1673" s="23" t="str">
        <f>IFERROR(__xludf.DUMMYFUNCTION("XLOOKUP(C1673, 
   IMPORTRANGE(""1RdEdgHYrZ33LJ7RUHj_h-qkAFL92bcVjtIdVa-UlsCw"", ""Interns!D:D""), 
   IMPORTRANGE(""1RdEdgHYrZ33LJ7RUHj_h-qkAFL92bcVjtIdVa-UlsCw"", ""Interns!N:N""), 
   ""Not Found"")"),"")</f>
        <v/>
      </c>
      <c r="AM1673" s="23" t="str">
        <f>IFERROR(__xludf.DUMMYFUNCTION("XLOOKUP(C1673, 
   IMPORTRANGE(""1RdEdgHYrZ33LJ7RUHj_h-qkAFL92bcVjtIdVa-UlsCw"", ""Interns!D:D""), 
   IMPORTRANGE(""1RdEdgHYrZ33LJ7RUHj_h-qkAFL92bcVjtIdVa-UlsCw"", ""Interns!O:O""), 
   ""Not Found"")"),"")</f>
        <v/>
      </c>
      <c r="AN1673" s="23"/>
      <c r="AO1673" s="23" t="s">
        <v>15245</v>
      </c>
      <c r="AP1673" s="28" t="s">
        <v>5182</v>
      </c>
      <c r="AQ1673" s="28" t="s">
        <v>15246</v>
      </c>
      <c r="AR1673" s="23" t="s">
        <v>15244</v>
      </c>
      <c r="AS1673" s="23"/>
      <c r="AT1673" s="23"/>
      <c r="AU1673" s="23"/>
      <c r="AV1673" s="23"/>
    </row>
    <row r="1674">
      <c r="A1674" s="28" t="s">
        <v>5161</v>
      </c>
      <c r="B1674" s="28" t="s">
        <v>5162</v>
      </c>
      <c r="C1674" s="23" t="str">
        <f t="shared" si="39"/>
        <v>Leslie Landi</v>
      </c>
      <c r="D1674" s="22" t="s">
        <v>13407</v>
      </c>
      <c r="E1674" s="22" t="s">
        <v>15247</v>
      </c>
      <c r="F1674" s="23"/>
      <c r="G1674" s="23"/>
      <c r="H1674" s="22">
        <v>1982.0</v>
      </c>
      <c r="I1674" s="28"/>
      <c r="J1674" s="28"/>
      <c r="K1674" s="28"/>
      <c r="L1674" s="28" t="s">
        <v>5196</v>
      </c>
      <c r="M1674" s="29" t="s">
        <v>15248</v>
      </c>
      <c r="N1674" s="61">
        <v>45632.39236111111</v>
      </c>
      <c r="O1674" s="70"/>
      <c r="P1674" s="28"/>
      <c r="Q1674" s="62" t="s">
        <v>15249</v>
      </c>
      <c r="R1674" s="22" t="s">
        <v>15250</v>
      </c>
      <c r="S1674" s="28">
        <v>6.0</v>
      </c>
      <c r="T1674" s="28">
        <v>13.0</v>
      </c>
      <c r="U1674" s="28">
        <v>39.0</v>
      </c>
      <c r="V1674" s="28">
        <v>25.0</v>
      </c>
      <c r="W1674" s="28" t="s">
        <v>1173</v>
      </c>
      <c r="X1674" s="28" t="s">
        <v>272</v>
      </c>
      <c r="Y1674" s="22" t="s">
        <v>15251</v>
      </c>
      <c r="Z1674" s="22" t="s">
        <v>5520</v>
      </c>
      <c r="AA1674" s="28" t="s">
        <v>5171</v>
      </c>
      <c r="AB1674" s="28">
        <v>30.0</v>
      </c>
      <c r="AC1674" s="28" t="s">
        <v>23</v>
      </c>
      <c r="AD1674" s="23"/>
      <c r="AE1674" s="28" t="s">
        <v>19</v>
      </c>
      <c r="AF1674" s="23"/>
      <c r="AG1674" s="23"/>
      <c r="AH1674" s="23" t="str">
        <f>IFERROR(__xludf.DUMMYFUNCTION("IF(
ISNUMBER(MATCH(
C1674,
IMPORTRANGE(""https://docs.google.com/spreadsheets/d/1yTh1ELC33JHYOeEdgIiEclxPRyh0zOKtlawDltfUay8"",""'Interns'!A:A""),
0
)),
""Outreach Conducted"",
"""")"),"")</f>
        <v/>
      </c>
      <c r="AI1674" s="23"/>
      <c r="AJ1674" s="23"/>
      <c r="AK1674" s="23"/>
      <c r="AL1674" s="23" t="str">
        <f>IFERROR(__xludf.DUMMYFUNCTION("XLOOKUP(C1674, 
   IMPORTRANGE(""1RdEdgHYrZ33LJ7RUHj_h-qkAFL92bcVjtIdVa-UlsCw"", ""Interns!D:D""), 
   IMPORTRANGE(""1RdEdgHYrZ33LJ7RUHj_h-qkAFL92bcVjtIdVa-UlsCw"", ""Interns!N:N""), 
   ""Not Found"")"),"Not Found")</f>
        <v>Not Found</v>
      </c>
      <c r="AM1674" s="23" t="str">
        <f>IFERROR(__xludf.DUMMYFUNCTION("XLOOKUP(C1674, 
   IMPORTRANGE(""1RdEdgHYrZ33LJ7RUHj_h-qkAFL92bcVjtIdVa-UlsCw"", ""Interns!D:D""), 
   IMPORTRANGE(""1RdEdgHYrZ33LJ7RUHj_h-qkAFL92bcVjtIdVa-UlsCw"", ""Interns!O:O""), 
   ""Not Found"")"),"Not Found")</f>
        <v>Not Found</v>
      </c>
      <c r="AN1674" s="23"/>
      <c r="AO1674" s="23" t="s">
        <v>15252</v>
      </c>
      <c r="AP1674" s="28" t="s">
        <v>5191</v>
      </c>
      <c r="AQ1674" s="28" t="s">
        <v>15253</v>
      </c>
      <c r="AR1674" s="23">
        <v>9.293043857E9</v>
      </c>
      <c r="AS1674" s="23"/>
      <c r="AT1674" s="23"/>
      <c r="AU1674" s="23"/>
      <c r="AV1674" s="23"/>
    </row>
    <row r="1675">
      <c r="A1675" s="28" t="s">
        <v>5161</v>
      </c>
      <c r="B1675" s="28" t="s">
        <v>5162</v>
      </c>
      <c r="C1675" s="23" t="str">
        <f t="shared" si="39"/>
        <v>liam guiffre</v>
      </c>
      <c r="D1675" s="22" t="s">
        <v>15254</v>
      </c>
      <c r="E1675" s="22" t="s">
        <v>15255</v>
      </c>
      <c r="F1675" s="23"/>
      <c r="G1675" s="23"/>
      <c r="H1675" s="22">
        <v>2026.0</v>
      </c>
      <c r="I1675" s="28"/>
      <c r="J1675" s="28"/>
      <c r="K1675" s="28"/>
      <c r="L1675" s="28" t="s">
        <v>5196</v>
      </c>
      <c r="M1675" s="29" t="s">
        <v>15256</v>
      </c>
      <c r="N1675" s="63">
        <v>45582.62569444445</v>
      </c>
      <c r="O1675" s="25">
        <v>40659.0</v>
      </c>
      <c r="P1675" s="28">
        <f t="shared" ref="P1675:P1764" si="42">DATEDIF(O1675, TODAY(), "Y")</f>
        <v>15</v>
      </c>
      <c r="Q1675" s="62" t="s">
        <v>240</v>
      </c>
      <c r="R1675" s="22" t="s">
        <v>15257</v>
      </c>
      <c r="S1675" s="28">
        <v>6.0</v>
      </c>
      <c r="T1675" s="28">
        <v>15.0</v>
      </c>
      <c r="U1675" s="28">
        <v>28.0</v>
      </c>
      <c r="V1675" s="28">
        <v>30.0</v>
      </c>
      <c r="W1675" s="28" t="s">
        <v>271</v>
      </c>
      <c r="X1675" s="28" t="s">
        <v>272</v>
      </c>
      <c r="Y1675" s="64"/>
      <c r="Z1675" s="22" t="s">
        <v>6332</v>
      </c>
      <c r="AA1675" s="28" t="s">
        <v>5512</v>
      </c>
      <c r="AB1675" s="28">
        <v>30.0</v>
      </c>
      <c r="AC1675" s="28" t="s">
        <v>23</v>
      </c>
      <c r="AD1675" s="23"/>
      <c r="AE1675" s="28" t="s">
        <v>19</v>
      </c>
      <c r="AF1675" s="23"/>
      <c r="AG1675" s="23"/>
      <c r="AH1675" s="23" t="str">
        <f>IFERROR(__xludf.DUMMYFUNCTION("IF(
ISNUMBER(MATCH(
C1675,
IMPORTRANGE(""https://docs.google.com/spreadsheets/d/1yTh1ELC33JHYOeEdgIiEclxPRyh0zOKtlawDltfUay8"",""'Interns'!A:A""),
0
)),
""Outreach Conducted"",
"""")"),"")</f>
        <v/>
      </c>
      <c r="AI1675" s="23"/>
      <c r="AJ1675" s="23"/>
      <c r="AK1675" s="23" t="str">
        <f>IFERROR(__xludf.DUMMYFUNCTION("XLOOKUP(C1675, 
   IMPORTRANGE(""1RdEdgHYrZ33LJ7RUHj_h-qkAFL92bcVjtIdVa-UlsCw"", ""Interns!D:D""), 
   IMPORTRANGE(""1RdEdgHYrZ33LJ7RUHj_h-qkAFL92bcVjtIdVa-UlsCw"", ""Interns!M:M""), 
   ""Not Found"")"),"Not Found")</f>
        <v>Not Found</v>
      </c>
      <c r="AL1675" s="23" t="str">
        <f>IFERROR(__xludf.DUMMYFUNCTION("XLOOKUP(C1675, 
   IMPORTRANGE(""1RdEdgHYrZ33LJ7RUHj_h-qkAFL92bcVjtIdVa-UlsCw"", ""Interns!D:D""), 
   IMPORTRANGE(""1RdEdgHYrZ33LJ7RUHj_h-qkAFL92bcVjtIdVa-UlsCw"", ""Interns!N:N""), 
   ""Not Found"")"),"Not Found")</f>
        <v>Not Found</v>
      </c>
      <c r="AM1675" s="23" t="str">
        <f>IFERROR(__xludf.DUMMYFUNCTION("XLOOKUP(C1675, 
   IMPORTRANGE(""1RdEdgHYrZ33LJ7RUHj_h-qkAFL92bcVjtIdVa-UlsCw"", ""Interns!D:D""), 
   IMPORTRANGE(""1RdEdgHYrZ33LJ7RUHj_h-qkAFL92bcVjtIdVa-UlsCw"", ""Interns!O:O""), 
   ""Not Found"")"),"Not Found")</f>
        <v>Not Found</v>
      </c>
      <c r="AN1675" s="23"/>
      <c r="AO1675" s="23" t="s">
        <v>15258</v>
      </c>
      <c r="AP1675" s="28" t="s">
        <v>5182</v>
      </c>
      <c r="AQ1675" s="28"/>
      <c r="AR1675" s="23">
        <v>7.183262111E9</v>
      </c>
      <c r="AS1675" s="23"/>
      <c r="AT1675" s="23"/>
      <c r="AU1675" s="23"/>
      <c r="AV1675" s="23"/>
    </row>
    <row r="1676">
      <c r="A1676" s="28" t="s">
        <v>5202</v>
      </c>
      <c r="B1676" s="28" t="s">
        <v>5162</v>
      </c>
      <c r="C1676" s="23" t="str">
        <f t="shared" si="39"/>
        <v>Leslie Tacuri</v>
      </c>
      <c r="D1676" s="28" t="s">
        <v>13407</v>
      </c>
      <c r="E1676" s="28" t="s">
        <v>15259</v>
      </c>
      <c r="F1676" s="23">
        <f t="array" ref="F1676">IFERROR(
    INDEX('Hub Interns 226'!A:A, MATCH(C1676, 'Hub Interns 226'!B:B, 0)),"")</f>
        <v>775</v>
      </c>
      <c r="G1676" s="23">
        <f t="array" ref="G1676">IFERROR(
    INDEX('Hub Users 226'!A:A, MATCH(C1676, 'Hub Users 226'!B:B, 0)),"")</f>
        <v>1208</v>
      </c>
      <c r="H1676" s="28">
        <v>1553.0</v>
      </c>
      <c r="I1676" s="28"/>
      <c r="J1676" s="28"/>
      <c r="K1676" s="28"/>
      <c r="L1676" s="28" t="s">
        <v>5196</v>
      </c>
      <c r="M1676" s="56" t="s">
        <v>15260</v>
      </c>
      <c r="N1676" s="57">
        <v>44959.35902777778</v>
      </c>
      <c r="O1676" s="58">
        <v>40552.0</v>
      </c>
      <c r="P1676" s="28">
        <f t="shared" si="42"/>
        <v>15</v>
      </c>
      <c r="Q1676" s="28" t="s">
        <v>240</v>
      </c>
      <c r="R1676" s="28" t="s">
        <v>15261</v>
      </c>
      <c r="S1676" s="28">
        <v>14.0</v>
      </c>
      <c r="T1676" s="28">
        <v>13.0</v>
      </c>
      <c r="U1676" s="28">
        <v>34.0</v>
      </c>
      <c r="V1676" s="28">
        <v>21.0</v>
      </c>
      <c r="W1676" s="28" t="s">
        <v>1173</v>
      </c>
      <c r="X1676" s="28" t="s">
        <v>272</v>
      </c>
      <c r="Y1676" s="28" t="s">
        <v>15262</v>
      </c>
      <c r="Z1676" s="28" t="s">
        <v>5403</v>
      </c>
      <c r="AA1676" s="28" t="s">
        <v>5404</v>
      </c>
      <c r="AB1676" s="28">
        <v>21.0</v>
      </c>
      <c r="AC1676" s="28" t="s">
        <v>23</v>
      </c>
      <c r="AD1676" s="23"/>
      <c r="AE1676" s="28" t="s">
        <v>15</v>
      </c>
      <c r="AF1676" s="23"/>
      <c r="AG1676" s="23"/>
      <c r="AH1676" s="23" t="str">
        <f>IFERROR(__xludf.DUMMYFUNCTION("IF(
ISNUMBER(MATCH(
C1676,
IMPORTRANGE(""https://docs.google.com/spreadsheets/d/1yTh1ELC33JHYOeEdgIiEclxPRyh0zOKtlawDltfUay8"",""'Interns'!A:A""),
0
)),
""Outreach Conducted"",
"""")"),"")</f>
        <v/>
      </c>
      <c r="AI1676" s="23"/>
      <c r="AJ1676" s="23"/>
      <c r="AK1676" s="23" t="str">
        <f>IFERROR(__xludf.DUMMYFUNCTION("XLOOKUP(C1676, 
   IMPORTRANGE(""1RdEdgHYrZ33LJ7RUHj_h-qkAFL92bcVjtIdVa-UlsCw"", ""Interns!D:D""), 
   IMPORTRANGE(""1RdEdgHYrZ33LJ7RUHj_h-qkAFL92bcVjtIdVa-UlsCw"", ""Interns!M:M""), 
   ""Not Found"")"),"")</f>
        <v/>
      </c>
      <c r="AL1676" s="23" t="str">
        <f>IFERROR(__xludf.DUMMYFUNCTION("XLOOKUP(C1676, 
   IMPORTRANGE(""1RdEdgHYrZ33LJ7RUHj_h-qkAFL92bcVjtIdVa-UlsCw"", ""Interns!D:D""), 
   IMPORTRANGE(""1RdEdgHYrZ33LJ7RUHj_h-qkAFL92bcVjtIdVa-UlsCw"", ""Interns!N:N""), 
   ""Not Found"")"),"")</f>
        <v/>
      </c>
      <c r="AM1676" s="23" t="str">
        <f>IFERROR(__xludf.DUMMYFUNCTION("XLOOKUP(C1676, 
   IMPORTRANGE(""1RdEdgHYrZ33LJ7RUHj_h-qkAFL92bcVjtIdVa-UlsCw"", ""Interns!D:D""), 
   IMPORTRANGE(""1RdEdgHYrZ33LJ7RUHj_h-qkAFL92bcVjtIdVa-UlsCw"", ""Interns!O:O""), 
   ""Not Found"")"),"")</f>
        <v/>
      </c>
      <c r="AN1676" s="23"/>
      <c r="AO1676" s="23" t="s">
        <v>15263</v>
      </c>
      <c r="AP1676" s="28" t="s">
        <v>5182</v>
      </c>
      <c r="AQ1676" s="28"/>
      <c r="AR1676" s="23"/>
      <c r="AS1676" s="23"/>
      <c r="AT1676" s="23"/>
      <c r="AU1676" s="23"/>
      <c r="AV1676" s="23"/>
    </row>
    <row r="1677">
      <c r="A1677" s="28" t="s">
        <v>5161</v>
      </c>
      <c r="B1677" s="28" t="s">
        <v>5162</v>
      </c>
      <c r="C1677" s="23" t="str">
        <f t="shared" si="39"/>
        <v>Jacob Grover</v>
      </c>
      <c r="D1677" s="28" t="s">
        <v>1593</v>
      </c>
      <c r="E1677" s="28" t="s">
        <v>15264</v>
      </c>
      <c r="F1677" s="23">
        <f t="array" ref="F1677">IFERROR(
    INDEX('Hub Interns 226'!A:A, MATCH(C1677, 'Hub Interns 226'!B:B, 0)),"")</f>
        <v>1522</v>
      </c>
      <c r="G1677" s="23">
        <f t="array" ref="G1677">IFERROR(
    INDEX('Hub Users 226'!A:A, MATCH(C1677, 'Hub Users 226'!B:B, 0)),"")</f>
        <v>2114</v>
      </c>
      <c r="H1677" s="28">
        <v>1853.0</v>
      </c>
      <c r="I1677" s="28" t="s">
        <v>107</v>
      </c>
      <c r="J1677" s="28"/>
      <c r="K1677" s="28"/>
      <c r="L1677" s="28" t="s">
        <v>5165</v>
      </c>
      <c r="M1677" s="56" t="s">
        <v>15265</v>
      </c>
      <c r="N1677" s="59">
        <v>45583.791666666664</v>
      </c>
      <c r="O1677" s="58">
        <v>45575.0</v>
      </c>
      <c r="P1677" s="28">
        <f t="shared" si="42"/>
        <v>1</v>
      </c>
      <c r="Q1677" s="28" t="s">
        <v>240</v>
      </c>
      <c r="R1677" s="28" t="s">
        <v>15266</v>
      </c>
      <c r="S1677" s="28">
        <v>6.0</v>
      </c>
      <c r="T1677" s="28">
        <v>15.0</v>
      </c>
      <c r="U1677" s="28">
        <v>28.0</v>
      </c>
      <c r="V1677" s="28">
        <v>30.0</v>
      </c>
      <c r="W1677" s="28" t="s">
        <v>271</v>
      </c>
      <c r="X1677" s="28" t="s">
        <v>272</v>
      </c>
      <c r="Y1677" s="23"/>
      <c r="Z1677" s="28" t="s">
        <v>6332</v>
      </c>
      <c r="AA1677" s="28" t="s">
        <v>5512</v>
      </c>
      <c r="AB1677" s="28">
        <v>30.0</v>
      </c>
      <c r="AC1677" s="28" t="s">
        <v>23</v>
      </c>
      <c r="AD1677" s="23"/>
      <c r="AE1677" s="28" t="s">
        <v>19</v>
      </c>
      <c r="AF1677" s="23"/>
      <c r="AG1677" s="23"/>
      <c r="AH1677" s="23" t="str">
        <f>IFERROR(__xludf.DUMMYFUNCTION("IF(
ISNUMBER(MATCH(
C1677,
IMPORTRANGE(""https://docs.google.com/spreadsheets/d/1yTh1ELC33JHYOeEdgIiEclxPRyh0zOKtlawDltfUay8"",""'Interns'!A:A""),
0
)),
""Outreach Conducted"",
"""")"),"")</f>
        <v/>
      </c>
      <c r="AI1677" s="23"/>
      <c r="AJ1677" s="23"/>
      <c r="AK1677" s="23" t="str">
        <f>IFERROR(__xludf.DUMMYFUNCTION("XLOOKUP(C1677, 
   IMPORTRANGE(""1RdEdgHYrZ33LJ7RUHj_h-qkAFL92bcVjtIdVa-UlsCw"", ""Interns!D:D""), 
   IMPORTRANGE(""1RdEdgHYrZ33LJ7RUHj_h-qkAFL92bcVjtIdVa-UlsCw"", ""Interns!M:M""), 
   ""Not Found"")"),"Contacted")</f>
        <v>Contacted</v>
      </c>
      <c r="AL1677" s="23" t="str">
        <f>IFERROR(__xludf.DUMMYFUNCTION("XLOOKUP(C1677, 
   IMPORTRANGE(""1RdEdgHYrZ33LJ7RUHj_h-qkAFL92bcVjtIdVa-UlsCw"", ""Interns!D:D""), 
   IMPORTRANGE(""1RdEdgHYrZ33LJ7RUHj_h-qkAFL92bcVjtIdVa-UlsCw"", ""Interns!N:N""), 
   ""Not Found"")"),"#Cheers4Careers")</f>
        <v>#Cheers4Careers</v>
      </c>
      <c r="AM1677" s="23" t="str">
        <f>IFERROR(__xludf.DUMMYFUNCTION("XLOOKUP(C1677, 
   IMPORTRANGE(""1RdEdgHYrZ33LJ7RUHj_h-qkAFL92bcVjtIdVa-UlsCw"", ""Interns!D:D""), 
   IMPORTRANGE(""1RdEdgHYrZ33LJ7RUHj_h-qkAFL92bcVjtIdVa-UlsCw"", ""Interns!O:O""), 
   ""Not Found"")"),"Hetal reached out March 27 for March #Cheers4 Careers ")</f>
        <v>Hetal reached out March 27 for March #Cheers4 Careers </v>
      </c>
      <c r="AN1677" s="23"/>
      <c r="AO1677" s="23" t="s">
        <v>15267</v>
      </c>
      <c r="AP1677" s="28" t="s">
        <v>5182</v>
      </c>
      <c r="AQ1677" s="28" t="s">
        <v>15268</v>
      </c>
      <c r="AR1677" s="23" t="s">
        <v>15269</v>
      </c>
      <c r="AS1677" s="23"/>
      <c r="AT1677" s="23"/>
      <c r="AU1677" s="23"/>
      <c r="AV1677" s="23"/>
    </row>
    <row r="1678">
      <c r="A1678" s="28" t="s">
        <v>5161</v>
      </c>
      <c r="B1678" s="28" t="s">
        <v>5162</v>
      </c>
      <c r="C1678" s="23" t="str">
        <f t="shared" si="39"/>
        <v>Karen Maria Grullon Moronta</v>
      </c>
      <c r="D1678" s="28" t="s">
        <v>15270</v>
      </c>
      <c r="E1678" s="28" t="s">
        <v>15271</v>
      </c>
      <c r="F1678" s="23">
        <f t="array" ref="F1678">IFERROR(
    INDEX('Hub Interns 226'!A:A, MATCH(C1678, 'Hub Interns 226'!B:B, 0)),"")</f>
        <v>723</v>
      </c>
      <c r="G1678" s="23">
        <f t="array" ref="G1678">IFERROR(
    INDEX('Hub Users 226'!A:A, MATCH(C1678, 'Hub Users 226'!B:B, 0)),"")</f>
        <v>1156</v>
      </c>
      <c r="H1678" s="28">
        <v>877.0</v>
      </c>
      <c r="I1678" s="28" t="s">
        <v>1963</v>
      </c>
      <c r="J1678" s="28"/>
      <c r="K1678" s="28"/>
      <c r="L1678" s="28" t="s">
        <v>5196</v>
      </c>
      <c r="M1678" s="56" t="s">
        <v>15272</v>
      </c>
      <c r="N1678" s="57">
        <v>44596.879166666666</v>
      </c>
      <c r="O1678" s="58">
        <v>38422.0</v>
      </c>
      <c r="P1678" s="28">
        <f t="shared" si="42"/>
        <v>21</v>
      </c>
      <c r="Q1678" s="28" t="s">
        <v>240</v>
      </c>
      <c r="R1678" s="28" t="s">
        <v>15273</v>
      </c>
      <c r="S1678" s="28">
        <v>15.0</v>
      </c>
      <c r="T1678" s="28">
        <v>29.0</v>
      </c>
      <c r="U1678" s="28">
        <v>84.0</v>
      </c>
      <c r="V1678" s="28">
        <v>16.0</v>
      </c>
      <c r="W1678" s="28" t="s">
        <v>859</v>
      </c>
      <c r="X1678" s="28" t="s">
        <v>272</v>
      </c>
      <c r="Y1678" s="28" t="s">
        <v>15274</v>
      </c>
      <c r="Z1678" s="28" t="s">
        <v>5208</v>
      </c>
      <c r="AA1678" s="28" t="s">
        <v>2141</v>
      </c>
      <c r="AB1678" s="28">
        <v>8.0</v>
      </c>
      <c r="AC1678" s="28" t="s">
        <v>24</v>
      </c>
      <c r="AD1678" s="23"/>
      <c r="AE1678" s="28" t="s">
        <v>10</v>
      </c>
      <c r="AF1678" s="23"/>
      <c r="AG1678" s="23"/>
      <c r="AH1678" s="23" t="str">
        <f>IFERROR(__xludf.DUMMYFUNCTION("IF(
ISNUMBER(MATCH(
C1678,
IMPORTRANGE(""https://docs.google.com/spreadsheets/d/1yTh1ELC33JHYOeEdgIiEclxPRyh0zOKtlawDltfUay8"",""'Interns'!A:A""),
0
)),
""Outreach Conducted"",
"""")"),"")</f>
        <v/>
      </c>
      <c r="AI1678" s="23"/>
      <c r="AJ1678" s="23"/>
      <c r="AK1678" s="23" t="str">
        <f>IFERROR(__xludf.DUMMYFUNCTION("XLOOKUP(C1678, 
   IMPORTRANGE(""1RdEdgHYrZ33LJ7RUHj_h-qkAFL92bcVjtIdVa-UlsCw"", ""Interns!D:D""), 
   IMPORTRANGE(""1RdEdgHYrZ33LJ7RUHj_h-qkAFL92bcVjtIdVa-UlsCw"", ""Interns!M:M""), 
   ""Not Found"")"),"Contacted")</f>
        <v>Contacted</v>
      </c>
      <c r="AL1678" s="23" t="str">
        <f>IFERROR(__xludf.DUMMYFUNCTION("XLOOKUP(C1678, 
   IMPORTRANGE(""1RdEdgHYrZ33LJ7RUHj_h-qkAFL92bcVjtIdVa-UlsCw"", ""Interns!D:D""), 
   IMPORTRANGE(""1RdEdgHYrZ33LJ7RUHj_h-qkAFL92bcVjtIdVa-UlsCw"", ""Interns!N:N""), 
   ""Not Found"")"),"#Cheers4Careers")</f>
        <v>#Cheers4Careers</v>
      </c>
      <c r="AM1678" s="23" t="str">
        <f>IFERROR(__xludf.DUMMYFUNCTION("XLOOKUP(C1678, 
   IMPORTRANGE(""1RdEdgHYrZ33LJ7RUHj_h-qkAFL92bcVjtIdVa-UlsCw"", ""Interns!D:D""), 
   IMPORTRANGE(""1RdEdgHYrZ33LJ7RUHj_h-qkAFL92bcVjtIdVa-UlsCw"", ""Interns!O:O""), 
   ""Not Found"")"),"Hetal reached out by email 3/27")</f>
        <v>Hetal reached out by email 3/27</v>
      </c>
      <c r="AN1678" s="23"/>
      <c r="AO1678" s="23" t="s">
        <v>8534</v>
      </c>
      <c r="AP1678" s="28" t="s">
        <v>5191</v>
      </c>
      <c r="AQ1678" s="28"/>
      <c r="AR1678" s="23"/>
      <c r="AS1678" s="23"/>
      <c r="AT1678" s="23"/>
      <c r="AU1678" s="23"/>
      <c r="AV1678" s="23"/>
    </row>
    <row r="1679">
      <c r="A1679" s="28" t="s">
        <v>5161</v>
      </c>
      <c r="B1679" s="28" t="s">
        <v>5162</v>
      </c>
      <c r="C1679" s="23" t="str">
        <f t="shared" si="39"/>
        <v>Arpan Dhar</v>
      </c>
      <c r="D1679" s="28" t="s">
        <v>15275</v>
      </c>
      <c r="E1679" s="28" t="s">
        <v>15276</v>
      </c>
      <c r="F1679" s="23">
        <f t="array" ref="F1679">IFERROR(
    INDEX('Hub Interns 226'!A:A, MATCH(C1679, 'Hub Interns 226'!B:B, 0)),"")</f>
        <v>793</v>
      </c>
      <c r="G1679" s="23">
        <f t="array" ref="G1679">IFERROR(
    INDEX('Hub Users 226'!A:A, MATCH(C1679, 'Hub Users 226'!B:B, 0)),"")</f>
        <v>1226</v>
      </c>
      <c r="H1679" s="28">
        <v>1043.0</v>
      </c>
      <c r="I1679" s="28" t="s">
        <v>239</v>
      </c>
      <c r="J1679" s="28"/>
      <c r="K1679" s="28"/>
      <c r="L1679" s="28" t="s">
        <v>5165</v>
      </c>
      <c r="M1679" s="56" t="s">
        <v>15277</v>
      </c>
      <c r="N1679" s="57">
        <v>44684.43125</v>
      </c>
      <c r="O1679" s="58">
        <v>44684.0</v>
      </c>
      <c r="P1679" s="28">
        <f t="shared" si="42"/>
        <v>4</v>
      </c>
      <c r="Q1679" s="28" t="s">
        <v>240</v>
      </c>
      <c r="R1679" s="28" t="s">
        <v>15278</v>
      </c>
      <c r="S1679" s="28"/>
      <c r="T1679" s="28"/>
      <c r="U1679" s="28"/>
      <c r="V1679" s="28"/>
      <c r="W1679" s="28" t="s">
        <v>1173</v>
      </c>
      <c r="X1679" s="28" t="s">
        <v>272</v>
      </c>
      <c r="Y1679" s="28" t="s">
        <v>15279</v>
      </c>
      <c r="Z1679" s="28" t="s">
        <v>5170</v>
      </c>
      <c r="AA1679" s="28" t="s">
        <v>5171</v>
      </c>
      <c r="AB1679" s="28">
        <v>30.0</v>
      </c>
      <c r="AC1679" s="28" t="s">
        <v>24</v>
      </c>
      <c r="AD1679" s="23"/>
      <c r="AE1679" s="28" t="s">
        <v>10</v>
      </c>
      <c r="AF1679" s="23"/>
      <c r="AG1679" s="23"/>
      <c r="AH1679" s="23" t="str">
        <f>IFERROR(__xludf.DUMMYFUNCTION("IF(
ISNUMBER(MATCH(
C1679,
IMPORTRANGE(""https://docs.google.com/spreadsheets/d/1yTh1ELC33JHYOeEdgIiEclxPRyh0zOKtlawDltfUay8"",""'Interns'!A:A""),
0
)),
""Outreach Conducted"",
"""")"),"")</f>
        <v/>
      </c>
      <c r="AI1679" s="23"/>
      <c r="AJ1679" s="23"/>
      <c r="AK1679" s="23" t="str">
        <f>IFERROR(__xludf.DUMMYFUNCTION("XLOOKUP(C1679, 
   IMPORTRANGE(""1RdEdgHYrZ33LJ7RUHj_h-qkAFL92bcVjtIdVa-UlsCw"", ""Interns!D:D""), 
   IMPORTRANGE(""1RdEdgHYrZ33LJ7RUHj_h-qkAFL92bcVjtIdVa-UlsCw"", ""Interns!M:M""), 
   ""Not Found"")"),"Contacted")</f>
        <v>Contacted</v>
      </c>
      <c r="AL1679" s="23" t="str">
        <f>IFERROR(__xludf.DUMMYFUNCTION("XLOOKUP(C1679, 
   IMPORTRANGE(""1RdEdgHYrZ33LJ7RUHj_h-qkAFL92bcVjtIdVa-UlsCw"", ""Interns!D:D""), 
   IMPORTRANGE(""1RdEdgHYrZ33LJ7RUHj_h-qkAFL92bcVjtIdVa-UlsCw"", ""Interns!N:N""), 
   ""Not Found"")"),"#Cheers4Careers")</f>
        <v>#Cheers4Careers</v>
      </c>
      <c r="AM1679" s="23" t="str">
        <f>IFERROR(__xludf.DUMMYFUNCTION("XLOOKUP(C1679, 
   IMPORTRANGE(""1RdEdgHYrZ33LJ7RUHj_h-qkAFL92bcVjtIdVa-UlsCw"", ""Interns!D:D""), 
   IMPORTRANGE(""1RdEdgHYrZ33LJ7RUHj_h-qkAFL92bcVjtIdVa-UlsCw"", ""Interns!O:O""), 
   ""Not Found"")"),"Hetal reached out March 27 for March #Cheers4 Careers ")</f>
        <v>Hetal reached out March 27 for March #Cheers4 Careers </v>
      </c>
      <c r="AN1679" s="23"/>
      <c r="AO1679" s="23" t="s">
        <v>15280</v>
      </c>
      <c r="AP1679" s="28" t="s">
        <v>5191</v>
      </c>
      <c r="AQ1679" s="28"/>
      <c r="AR1679" s="23"/>
      <c r="AS1679" s="23"/>
      <c r="AT1679" s="23"/>
      <c r="AU1679" s="23"/>
      <c r="AV1679" s="23"/>
    </row>
    <row r="1680">
      <c r="A1680" s="28" t="s">
        <v>5161</v>
      </c>
      <c r="B1680" s="28" t="s">
        <v>5162</v>
      </c>
      <c r="C1680" s="23" t="str">
        <f t="shared" si="39"/>
        <v>Brandon Cielo</v>
      </c>
      <c r="D1680" s="28" t="s">
        <v>12684</v>
      </c>
      <c r="E1680" s="28" t="s">
        <v>15281</v>
      </c>
      <c r="F1680" s="23">
        <f t="array" ref="F1680">IFERROR(
    INDEX('Hub Interns 226'!A:A, MATCH(C1680, 'Hub Interns 226'!B:B, 0)),"")</f>
        <v>313</v>
      </c>
      <c r="G1680" s="23">
        <f t="array" ref="G1680">IFERROR(
    INDEX('Hub Users 226'!A:A, MATCH(C1680, 'Hub Users 226'!B:B, 0)),"")</f>
        <v>746</v>
      </c>
      <c r="H1680" s="28">
        <v>1599.0</v>
      </c>
      <c r="I1680" s="28"/>
      <c r="J1680" s="28"/>
      <c r="K1680" s="28"/>
      <c r="L1680" s="28" t="s">
        <v>5165</v>
      </c>
      <c r="M1680" s="56" t="s">
        <v>15282</v>
      </c>
      <c r="N1680" s="57">
        <v>45016.396527777775</v>
      </c>
      <c r="O1680" s="58">
        <v>40482.0</v>
      </c>
      <c r="P1680" s="28">
        <f t="shared" si="42"/>
        <v>15</v>
      </c>
      <c r="Q1680" s="28" t="s">
        <v>240</v>
      </c>
      <c r="R1680" s="28" t="s">
        <v>15283</v>
      </c>
      <c r="S1680" s="28">
        <v>6.0</v>
      </c>
      <c r="T1680" s="28">
        <v>13.0</v>
      </c>
      <c r="U1680" s="28">
        <v>30.0</v>
      </c>
      <c r="V1680" s="28">
        <v>25.0</v>
      </c>
      <c r="W1680" s="28" t="s">
        <v>1173</v>
      </c>
      <c r="X1680" s="28" t="s">
        <v>272</v>
      </c>
      <c r="Y1680" s="28" t="s">
        <v>15284</v>
      </c>
      <c r="Z1680" s="28" t="s">
        <v>5170</v>
      </c>
      <c r="AA1680" s="28" t="s">
        <v>5171</v>
      </c>
      <c r="AB1680" s="28">
        <v>30.0</v>
      </c>
      <c r="AC1680" s="28" t="s">
        <v>23</v>
      </c>
      <c r="AD1680" s="23"/>
      <c r="AE1680" s="28" t="s">
        <v>15</v>
      </c>
      <c r="AF1680" s="23"/>
      <c r="AG1680" s="23"/>
      <c r="AH1680" s="23" t="str">
        <f>IFERROR(__xludf.DUMMYFUNCTION("IF(
ISNUMBER(MATCH(
C1680,
IMPORTRANGE(""https://docs.google.com/spreadsheets/d/1yTh1ELC33JHYOeEdgIiEclxPRyh0zOKtlawDltfUay8"",""'Interns'!A:A""),
0
)),
""Outreach Conducted"",
"""")"),"")</f>
        <v/>
      </c>
      <c r="AI1680" s="23"/>
      <c r="AJ1680" s="23"/>
      <c r="AK1680" s="23" t="str">
        <f>IFERROR(__xludf.DUMMYFUNCTION("XLOOKUP(C1680, 
   IMPORTRANGE(""1RdEdgHYrZ33LJ7RUHj_h-qkAFL92bcVjtIdVa-UlsCw"", ""Interns!D:D""), 
   IMPORTRANGE(""1RdEdgHYrZ33LJ7RUHj_h-qkAFL92bcVjtIdVa-UlsCw"", ""Interns!M:M""), 
   ""Not Found"")"),"Contacted")</f>
        <v>Contacted</v>
      </c>
      <c r="AL1680" s="23" t="str">
        <f>IFERROR(__xludf.DUMMYFUNCTION("XLOOKUP(C1680, 
   IMPORTRANGE(""1RdEdgHYrZ33LJ7RUHj_h-qkAFL92bcVjtIdVa-UlsCw"", ""Interns!D:D""), 
   IMPORTRANGE(""1RdEdgHYrZ33LJ7RUHj_h-qkAFL92bcVjtIdVa-UlsCw"", ""Interns!N:N""), 
   ""Not Found"")"),"#Cheers4Careers")</f>
        <v>#Cheers4Careers</v>
      </c>
      <c r="AM1680" s="23" t="str">
        <f>IFERROR(__xludf.DUMMYFUNCTION("XLOOKUP(C1680, 
   IMPORTRANGE(""1RdEdgHYrZ33LJ7RUHj_h-qkAFL92bcVjtIdVa-UlsCw"", ""Interns!D:D""), 
   IMPORTRANGE(""1RdEdgHYrZ33LJ7RUHj_h-qkAFL92bcVjtIdVa-UlsCw"", ""Interns!O:O""), 
   ""Not Found"")"),"Hetal reached out March 27 for March #Cheers4 Careers ")</f>
        <v>Hetal reached out March 27 for March #Cheers4 Careers </v>
      </c>
      <c r="AN1680" s="23"/>
      <c r="AO1680" s="23" t="s">
        <v>15285</v>
      </c>
      <c r="AP1680" s="28" t="s">
        <v>5191</v>
      </c>
      <c r="AQ1680" s="28"/>
      <c r="AR1680" s="23"/>
      <c r="AS1680" s="23"/>
      <c r="AT1680" s="23"/>
      <c r="AU1680" s="23"/>
      <c r="AV1680" s="23"/>
    </row>
    <row r="1681">
      <c r="A1681" s="28" t="s">
        <v>5161</v>
      </c>
      <c r="B1681" s="28" t="s">
        <v>5162</v>
      </c>
      <c r="C1681" s="23" t="str">
        <f t="shared" si="39"/>
        <v>Kevin Aguayza</v>
      </c>
      <c r="D1681" s="28" t="s">
        <v>3690</v>
      </c>
      <c r="E1681" s="28" t="s">
        <v>9199</v>
      </c>
      <c r="F1681" s="23">
        <f t="array" ref="F1681">IFERROR(
    INDEX('Hub Interns 226'!A:A, MATCH(C1681, 'Hub Interns 226'!B:B, 0)),"")</f>
        <v>741</v>
      </c>
      <c r="G1681" s="23">
        <f t="array" ref="G1681">IFERROR(
    INDEX('Hub Users 226'!A:A, MATCH(C1681, 'Hub Users 226'!B:B, 0)),"")</f>
        <v>1174</v>
      </c>
      <c r="H1681" s="28">
        <v>992.0</v>
      </c>
      <c r="I1681" s="28" t="s">
        <v>1153</v>
      </c>
      <c r="J1681" s="28"/>
      <c r="K1681" s="28"/>
      <c r="L1681" s="28" t="s">
        <v>5165</v>
      </c>
      <c r="M1681" s="56" t="s">
        <v>15286</v>
      </c>
      <c r="N1681" s="57">
        <v>44644.558333333334</v>
      </c>
      <c r="O1681" s="58">
        <v>40176.0</v>
      </c>
      <c r="P1681" s="28">
        <f t="shared" si="42"/>
        <v>16</v>
      </c>
      <c r="Q1681" s="28" t="s">
        <v>240</v>
      </c>
      <c r="R1681" s="28" t="s">
        <v>15287</v>
      </c>
      <c r="S1681" s="28">
        <v>7.0</v>
      </c>
      <c r="T1681" s="28">
        <v>18.0</v>
      </c>
      <c r="U1681" s="28">
        <v>38.0</v>
      </c>
      <c r="V1681" s="28">
        <v>34.0</v>
      </c>
      <c r="W1681" s="28" t="s">
        <v>1173</v>
      </c>
      <c r="X1681" s="28" t="s">
        <v>272</v>
      </c>
      <c r="Y1681" s="28" t="s">
        <v>15288</v>
      </c>
      <c r="Z1681" s="28" t="s">
        <v>7427</v>
      </c>
      <c r="AA1681" s="28" t="s">
        <v>7428</v>
      </c>
      <c r="AB1681" s="28">
        <v>34.0</v>
      </c>
      <c r="AC1681" s="28" t="s">
        <v>24</v>
      </c>
      <c r="AD1681" s="23"/>
      <c r="AE1681" s="28" t="s">
        <v>10</v>
      </c>
      <c r="AF1681" s="23"/>
      <c r="AG1681" s="23"/>
      <c r="AH1681" s="23" t="str">
        <f>IFERROR(__xludf.DUMMYFUNCTION("IF(
ISNUMBER(MATCH(
C1681,
IMPORTRANGE(""https://docs.google.com/spreadsheets/d/1yTh1ELC33JHYOeEdgIiEclxPRyh0zOKtlawDltfUay8"",""'Interns'!A:A""),
0
)),
""Outreach Conducted"",
"""")"),"")</f>
        <v/>
      </c>
      <c r="AI1681" s="23"/>
      <c r="AJ1681" s="23"/>
      <c r="AK1681" s="23" t="str">
        <f>IFERROR(__xludf.DUMMYFUNCTION("XLOOKUP(C1681, 
   IMPORTRANGE(""1RdEdgHYrZ33LJ7RUHj_h-qkAFL92bcVjtIdVa-UlsCw"", ""Interns!D:D""), 
   IMPORTRANGE(""1RdEdgHYrZ33LJ7RUHj_h-qkAFL92bcVjtIdVa-UlsCw"", ""Interns!M:M""), 
   ""Not Found"")"),"Contacted")</f>
        <v>Contacted</v>
      </c>
      <c r="AL1681" s="23" t="str">
        <f>IFERROR(__xludf.DUMMYFUNCTION("XLOOKUP(C1681, 
   IMPORTRANGE(""1RdEdgHYrZ33LJ7RUHj_h-qkAFL92bcVjtIdVa-UlsCw"", ""Interns!D:D""), 
   IMPORTRANGE(""1RdEdgHYrZ33LJ7RUHj_h-qkAFL92bcVjtIdVa-UlsCw"", ""Interns!N:N""), 
   ""Not Found"")"),"#Cheers4Careers")</f>
        <v>#Cheers4Careers</v>
      </c>
      <c r="AM1681" s="23" t="str">
        <f>IFERROR(__xludf.DUMMYFUNCTION("XLOOKUP(C1681, 
   IMPORTRANGE(""1RdEdgHYrZ33LJ7RUHj_h-qkAFL92bcVjtIdVa-UlsCw"", ""Interns!D:D""), 
   IMPORTRANGE(""1RdEdgHYrZ33LJ7RUHj_h-qkAFL92bcVjtIdVa-UlsCw"", ""Interns!O:O""), 
   ""Not Found"")"),"Hetal reached out by email 3/27")</f>
        <v>Hetal reached out by email 3/27</v>
      </c>
      <c r="AN1681" s="23"/>
      <c r="AO1681" s="23" t="s">
        <v>15289</v>
      </c>
      <c r="AP1681" s="28" t="s">
        <v>5182</v>
      </c>
      <c r="AQ1681" s="28"/>
      <c r="AR1681" s="23"/>
      <c r="AS1681" s="23"/>
      <c r="AT1681" s="23"/>
      <c r="AU1681" s="23"/>
      <c r="AV1681" s="23"/>
    </row>
    <row r="1682">
      <c r="A1682" s="28" t="s">
        <v>5161</v>
      </c>
      <c r="B1682" s="28" t="s">
        <v>5162</v>
      </c>
      <c r="C1682" s="23" t="str">
        <f t="shared" si="39"/>
        <v>Jennifer Moreno</v>
      </c>
      <c r="D1682" s="22" t="s">
        <v>925</v>
      </c>
      <c r="E1682" s="22" t="s">
        <v>6759</v>
      </c>
      <c r="F1682" s="23"/>
      <c r="G1682" s="23"/>
      <c r="H1682" s="22">
        <v>1986.0</v>
      </c>
      <c r="I1682" s="28"/>
      <c r="J1682" s="28"/>
      <c r="K1682" s="28"/>
      <c r="L1682" s="28" t="s">
        <v>5196</v>
      </c>
      <c r="M1682" s="29" t="s">
        <v>15290</v>
      </c>
      <c r="N1682" s="61">
        <v>45631.49513888889</v>
      </c>
      <c r="O1682" s="25">
        <v>41110.0</v>
      </c>
      <c r="P1682" s="28">
        <f t="shared" si="42"/>
        <v>13</v>
      </c>
      <c r="Q1682" s="62" t="s">
        <v>240</v>
      </c>
      <c r="R1682" s="22" t="s">
        <v>15291</v>
      </c>
      <c r="S1682" s="28">
        <v>6.0</v>
      </c>
      <c r="T1682" s="28">
        <v>13.0</v>
      </c>
      <c r="U1682" s="28">
        <v>39.0</v>
      </c>
      <c r="V1682" s="28">
        <v>25.0</v>
      </c>
      <c r="W1682" s="28" t="s">
        <v>1173</v>
      </c>
      <c r="X1682" s="28" t="s">
        <v>272</v>
      </c>
      <c r="Y1682" s="22" t="s">
        <v>15292</v>
      </c>
      <c r="Z1682" s="22" t="s">
        <v>5520</v>
      </c>
      <c r="AA1682" s="28" t="s">
        <v>5171</v>
      </c>
      <c r="AB1682" s="28">
        <v>30.0</v>
      </c>
      <c r="AC1682" s="28" t="s">
        <v>23</v>
      </c>
      <c r="AD1682" s="23"/>
      <c r="AE1682" s="28" t="s">
        <v>19</v>
      </c>
      <c r="AF1682" s="23"/>
      <c r="AG1682" s="23"/>
      <c r="AH1682" s="23" t="str">
        <f>IFERROR(__xludf.DUMMYFUNCTION("IF(
ISNUMBER(MATCH(
C1682,
IMPORTRANGE(""https://docs.google.com/spreadsheets/d/1yTh1ELC33JHYOeEdgIiEclxPRyh0zOKtlawDltfUay8"",""'Interns'!A:A""),
0
)),
""Outreach Conducted"",
"""")"),"")</f>
        <v/>
      </c>
      <c r="AI1682" s="23"/>
      <c r="AJ1682" s="23"/>
      <c r="AK1682" s="23"/>
      <c r="AL1682" s="23" t="str">
        <f>IFERROR(__xludf.DUMMYFUNCTION("XLOOKUP(C1682, 
   IMPORTRANGE(""1RdEdgHYrZ33LJ7RUHj_h-qkAFL92bcVjtIdVa-UlsCw"", ""Interns!D:D""), 
   IMPORTRANGE(""1RdEdgHYrZ33LJ7RUHj_h-qkAFL92bcVjtIdVa-UlsCw"", ""Interns!N:N""), 
   ""Not Found"")"),"Not Found")</f>
        <v>Not Found</v>
      </c>
      <c r="AM1682" s="23" t="str">
        <f>IFERROR(__xludf.DUMMYFUNCTION("XLOOKUP(C1682, 
   IMPORTRANGE(""1RdEdgHYrZ33LJ7RUHj_h-qkAFL92bcVjtIdVa-UlsCw"", ""Interns!D:D""), 
   IMPORTRANGE(""1RdEdgHYrZ33LJ7RUHj_h-qkAFL92bcVjtIdVa-UlsCw"", ""Interns!O:O""), 
   ""Not Found"")"),"Not Found")</f>
        <v>Not Found</v>
      </c>
      <c r="AN1682" s="23"/>
      <c r="AO1682" s="23" t="s">
        <v>2308</v>
      </c>
      <c r="AP1682" s="28" t="s">
        <v>5182</v>
      </c>
      <c r="AQ1682" s="28" t="s">
        <v>15293</v>
      </c>
      <c r="AR1682" s="23" t="s">
        <v>15294</v>
      </c>
      <c r="AS1682" s="23"/>
      <c r="AT1682" s="23"/>
      <c r="AU1682" s="23"/>
      <c r="AV1682" s="23"/>
    </row>
    <row r="1683">
      <c r="A1683" s="28" t="s">
        <v>5161</v>
      </c>
      <c r="B1683" s="28" t="s">
        <v>5162</v>
      </c>
      <c r="C1683" s="23" t="str">
        <f t="shared" si="39"/>
        <v>Teji Bains</v>
      </c>
      <c r="D1683" s="22" t="s">
        <v>15295</v>
      </c>
      <c r="E1683" s="22" t="s">
        <v>15296</v>
      </c>
      <c r="F1683" s="23"/>
      <c r="G1683" s="23"/>
      <c r="H1683" s="22">
        <v>1931.0</v>
      </c>
      <c r="I1683" s="28"/>
      <c r="J1683" s="28"/>
      <c r="K1683" s="28"/>
      <c r="L1683" s="28" t="s">
        <v>5165</v>
      </c>
      <c r="M1683" s="29" t="s">
        <v>15297</v>
      </c>
      <c r="N1683" s="61">
        <v>45771.44236111111</v>
      </c>
      <c r="O1683" s="25">
        <v>45771.0</v>
      </c>
      <c r="P1683" s="28">
        <f t="shared" si="42"/>
        <v>1</v>
      </c>
      <c r="Q1683" s="62" t="s">
        <v>240</v>
      </c>
      <c r="R1683" s="22" t="s">
        <v>15298</v>
      </c>
      <c r="S1683" s="28">
        <v>3.0</v>
      </c>
      <c r="T1683" s="28">
        <v>11.0</v>
      </c>
      <c r="U1683" s="28">
        <v>26.0</v>
      </c>
      <c r="V1683" s="28">
        <v>23.0</v>
      </c>
      <c r="W1683" s="65" t="s">
        <v>1173</v>
      </c>
      <c r="X1683" s="65" t="s">
        <v>272</v>
      </c>
      <c r="Y1683" s="22" t="s">
        <v>15299</v>
      </c>
      <c r="Z1683" s="22" t="s">
        <v>7490</v>
      </c>
      <c r="AA1683" s="28" t="s">
        <v>5659</v>
      </c>
      <c r="AB1683" s="28">
        <v>23.0</v>
      </c>
      <c r="AC1683" s="28" t="s">
        <v>23</v>
      </c>
      <c r="AD1683" s="23"/>
      <c r="AE1683" s="28" t="s">
        <v>19</v>
      </c>
      <c r="AF1683" s="23"/>
      <c r="AG1683" s="23"/>
      <c r="AH1683" s="23" t="str">
        <f>IFERROR(__xludf.DUMMYFUNCTION("IF(
ISNUMBER(MATCH(
C1683,
IMPORTRANGE(""https://docs.google.com/spreadsheets/d/1yTh1ELC33JHYOeEdgIiEclxPRyh0zOKtlawDltfUay8"",""'Interns'!A:A""),
0
)),
""Outreach Conducted"",
"""")"),"")</f>
        <v/>
      </c>
      <c r="AI1683" s="23"/>
      <c r="AJ1683" s="23"/>
      <c r="AK1683" s="23"/>
      <c r="AL1683" s="23" t="str">
        <f>IFERROR(__xludf.DUMMYFUNCTION("XLOOKUP(C1683, 
   IMPORTRANGE(""1RdEdgHYrZ33LJ7RUHj_h-qkAFL92bcVjtIdVa-UlsCw"", ""Interns!D:D""), 
   IMPORTRANGE(""1RdEdgHYrZ33LJ7RUHj_h-qkAFL92bcVjtIdVa-UlsCw"", ""Interns!N:N""), 
   ""Not Found"")"),"#Cheers4Careers")</f>
        <v>#Cheers4Careers</v>
      </c>
      <c r="AM1683" s="23" t="str">
        <f>IFERROR(__xludf.DUMMYFUNCTION("XLOOKUP(C1683, 
   IMPORTRANGE(""1RdEdgHYrZ33LJ7RUHj_h-qkAFL92bcVjtIdVa-UlsCw"", ""Interns!D:D""), 
   IMPORTRANGE(""1RdEdgHYrZ33LJ7RUHj_h-qkAFL92bcVjtIdVa-UlsCw"", ""Interns!O:O""), 
   ""Not Found"")"),"Hetal reached out March 27 for March #Cheers4 Careers ")</f>
        <v>Hetal reached out March 27 for March #Cheers4 Careers </v>
      </c>
      <c r="AN1683" s="23"/>
      <c r="AO1683" s="23" t="s">
        <v>15300</v>
      </c>
      <c r="AP1683" s="28" t="s">
        <v>5641</v>
      </c>
      <c r="AQ1683" s="28" t="s">
        <v>15301</v>
      </c>
      <c r="AR1683" s="23" t="s">
        <v>15302</v>
      </c>
      <c r="AS1683" s="23"/>
      <c r="AT1683" s="23"/>
      <c r="AU1683" s="23"/>
      <c r="AV1683" s="23"/>
    </row>
    <row r="1684">
      <c r="A1684" s="28" t="s">
        <v>5161</v>
      </c>
      <c r="B1684" s="28" t="s">
        <v>5162</v>
      </c>
      <c r="C1684" s="23" t="str">
        <f t="shared" si="39"/>
        <v>Fatima Garcia</v>
      </c>
      <c r="D1684" s="28" t="s">
        <v>3045</v>
      </c>
      <c r="E1684" s="28" t="s">
        <v>1484</v>
      </c>
      <c r="F1684" s="23">
        <f t="array" ref="F1684">IFERROR(
    INDEX('Hub Interns 226'!A:A, MATCH(C1684, 'Hub Interns 226'!B:B, 0)),"")</f>
        <v>513</v>
      </c>
      <c r="G1684" s="23">
        <f t="array" ref="G1684">IFERROR(
    INDEX('Hub Users 226'!A:A, MATCH(C1684, 'Hub Users 226'!B:B, 0)),"")</f>
        <v>946</v>
      </c>
      <c r="H1684" s="28">
        <v>1196.0</v>
      </c>
      <c r="I1684" s="28" t="s">
        <v>425</v>
      </c>
      <c r="J1684" s="28"/>
      <c r="K1684" s="28"/>
      <c r="L1684" s="28" t="s">
        <v>5196</v>
      </c>
      <c r="M1684" s="56" t="s">
        <v>15303</v>
      </c>
      <c r="N1684" s="57">
        <v>44833.59097222222</v>
      </c>
      <c r="O1684" s="58">
        <v>40067.0</v>
      </c>
      <c r="P1684" s="28">
        <f t="shared" si="42"/>
        <v>16</v>
      </c>
      <c r="Q1684" s="28" t="s">
        <v>240</v>
      </c>
      <c r="R1684" s="28" t="s">
        <v>15304</v>
      </c>
      <c r="S1684" s="28">
        <v>6.0</v>
      </c>
      <c r="T1684" s="28">
        <v>13.0</v>
      </c>
      <c r="U1684" s="28">
        <v>39.0</v>
      </c>
      <c r="V1684" s="28">
        <v>25.0</v>
      </c>
      <c r="W1684" s="28" t="s">
        <v>1173</v>
      </c>
      <c r="X1684" s="28" t="s">
        <v>272</v>
      </c>
      <c r="Y1684" s="28" t="s">
        <v>15305</v>
      </c>
      <c r="Z1684" s="28" t="s">
        <v>5170</v>
      </c>
      <c r="AA1684" s="28" t="s">
        <v>5171</v>
      </c>
      <c r="AB1684" s="28">
        <v>30.0</v>
      </c>
      <c r="AC1684" s="28" t="s">
        <v>23</v>
      </c>
      <c r="AD1684" s="23"/>
      <c r="AE1684" s="28" t="s">
        <v>15</v>
      </c>
      <c r="AF1684" s="23"/>
      <c r="AG1684" s="23"/>
      <c r="AH1684" s="23" t="str">
        <f>IFERROR(__xludf.DUMMYFUNCTION("IF(
ISNUMBER(MATCH(
C1684,
IMPORTRANGE(""https://docs.google.com/spreadsheets/d/1yTh1ELC33JHYOeEdgIiEclxPRyh0zOKtlawDltfUay8"",""'Interns'!A:A""),
0
)),
""Outreach Conducted"",
"""")"),"")</f>
        <v/>
      </c>
      <c r="AI1684" s="23"/>
      <c r="AJ1684" s="23"/>
      <c r="AK1684" s="23" t="str">
        <f>IFERROR(__xludf.DUMMYFUNCTION("XLOOKUP(C1684, 
   IMPORTRANGE(""1RdEdgHYrZ33LJ7RUHj_h-qkAFL92bcVjtIdVa-UlsCw"", ""Interns!D:D""), 
   IMPORTRANGE(""1RdEdgHYrZ33LJ7RUHj_h-qkAFL92bcVjtIdVa-UlsCw"", ""Interns!M:M""), 
   ""Not Found"")"),"Contacted")</f>
        <v>Contacted</v>
      </c>
      <c r="AL1684" s="23" t="str">
        <f>IFERROR(__xludf.DUMMYFUNCTION("XLOOKUP(C1684, 
   IMPORTRANGE(""1RdEdgHYrZ33LJ7RUHj_h-qkAFL92bcVjtIdVa-UlsCw"", ""Interns!D:D""), 
   IMPORTRANGE(""1RdEdgHYrZ33LJ7RUHj_h-qkAFL92bcVjtIdVa-UlsCw"", ""Interns!N:N""), 
   ""Not Found"")"),"#Cheers4Careers")</f>
        <v>#Cheers4Careers</v>
      </c>
      <c r="AM1684" s="23" t="str">
        <f>IFERROR(__xludf.DUMMYFUNCTION("XLOOKUP(C1684, 
   IMPORTRANGE(""1RdEdgHYrZ33LJ7RUHj_h-qkAFL92bcVjtIdVa-UlsCw"", ""Interns!D:D""), 
   IMPORTRANGE(""1RdEdgHYrZ33LJ7RUHj_h-qkAFL92bcVjtIdVa-UlsCw"", ""Interns!O:O""), 
   ""Not Found"")"),"Hetal reached out March 27 for March #Cheers4 Careers ")</f>
        <v>Hetal reached out March 27 for March #Cheers4 Careers </v>
      </c>
      <c r="AN1684" s="23"/>
      <c r="AO1684" s="23" t="s">
        <v>15306</v>
      </c>
      <c r="AP1684" s="28" t="s">
        <v>5191</v>
      </c>
      <c r="AQ1684" s="28"/>
      <c r="AR1684" s="23"/>
      <c r="AS1684" s="23"/>
      <c r="AT1684" s="23"/>
      <c r="AU1684" s="23"/>
      <c r="AV1684" s="23"/>
    </row>
    <row r="1685">
      <c r="A1685" s="28" t="s">
        <v>5202</v>
      </c>
      <c r="B1685" s="28" t="s">
        <v>5162</v>
      </c>
      <c r="C1685" s="23" t="str">
        <f t="shared" si="39"/>
        <v>Jandiel Pesantez</v>
      </c>
      <c r="D1685" s="28" t="s">
        <v>15307</v>
      </c>
      <c r="E1685" s="28" t="s">
        <v>15308</v>
      </c>
      <c r="F1685" s="23">
        <f t="array" ref="F1685">IFERROR(
    INDEX('Hub Interns 226'!A:A, MATCH(C1685, 'Hub Interns 226'!B:B, 0)),"")</f>
        <v>980</v>
      </c>
      <c r="G1685" s="23">
        <f t="array" ref="G1685">IFERROR(
    INDEX('Hub Users 226'!A:A, MATCH(C1685, 'Hub Users 226'!B:B, 0)),"")</f>
        <v>1413</v>
      </c>
      <c r="H1685" s="28">
        <v>902.0</v>
      </c>
      <c r="I1685" s="28"/>
      <c r="J1685" s="28"/>
      <c r="K1685" s="28"/>
      <c r="L1685" s="28" t="s">
        <v>5165</v>
      </c>
      <c r="M1685" s="56" t="s">
        <v>15309</v>
      </c>
      <c r="N1685" s="57">
        <v>44601.53472222222</v>
      </c>
      <c r="O1685" s="58">
        <v>38936.0</v>
      </c>
      <c r="P1685" s="28">
        <f t="shared" si="42"/>
        <v>19</v>
      </c>
      <c r="Q1685" s="28" t="s">
        <v>15310</v>
      </c>
      <c r="R1685" s="28" t="s">
        <v>15311</v>
      </c>
      <c r="S1685" s="28">
        <v>6.0</v>
      </c>
      <c r="T1685" s="28">
        <v>13.0</v>
      </c>
      <c r="U1685" s="28">
        <v>39.0</v>
      </c>
      <c r="V1685" s="28">
        <v>21.0</v>
      </c>
      <c r="W1685" s="28" t="s">
        <v>1173</v>
      </c>
      <c r="X1685" s="28" t="s">
        <v>272</v>
      </c>
      <c r="Y1685" s="28" t="s">
        <v>15312</v>
      </c>
      <c r="Z1685" s="28" t="s">
        <v>5189</v>
      </c>
      <c r="AA1685" s="28" t="s">
        <v>619</v>
      </c>
      <c r="AB1685" s="28">
        <v>20.0</v>
      </c>
      <c r="AC1685" s="28" t="s">
        <v>24</v>
      </c>
      <c r="AD1685" s="23"/>
      <c r="AE1685" s="28" t="s">
        <v>10</v>
      </c>
      <c r="AF1685" s="23"/>
      <c r="AG1685" s="23"/>
      <c r="AH1685" s="23" t="str">
        <f>IFERROR(__xludf.DUMMYFUNCTION("IF(
ISNUMBER(MATCH(
C1685,
IMPORTRANGE(""https://docs.google.com/spreadsheets/d/1yTh1ELC33JHYOeEdgIiEclxPRyh0zOKtlawDltfUay8"",""'Interns'!A:A""),
0
)),
""Outreach Conducted"",
"""")"),"")</f>
        <v/>
      </c>
      <c r="AI1685" s="23"/>
      <c r="AJ1685" s="23"/>
      <c r="AK1685" s="23" t="str">
        <f>IFERROR(__xludf.DUMMYFUNCTION("XLOOKUP(C1685, 
   IMPORTRANGE(""1RdEdgHYrZ33LJ7RUHj_h-qkAFL92bcVjtIdVa-UlsCw"", ""Interns!D:D""), 
   IMPORTRANGE(""1RdEdgHYrZ33LJ7RUHj_h-qkAFL92bcVjtIdVa-UlsCw"", ""Interns!M:M""), 
   ""Not Found"")"),"")</f>
        <v/>
      </c>
      <c r="AL1685" s="23" t="str">
        <f>IFERROR(__xludf.DUMMYFUNCTION("XLOOKUP(C1685, 
   IMPORTRANGE(""1RdEdgHYrZ33LJ7RUHj_h-qkAFL92bcVjtIdVa-UlsCw"", ""Interns!D:D""), 
   IMPORTRANGE(""1RdEdgHYrZ33LJ7RUHj_h-qkAFL92bcVjtIdVa-UlsCw"", ""Interns!N:N""), 
   ""Not Found"")"),"")</f>
        <v/>
      </c>
      <c r="AM1685" s="23" t="str">
        <f>IFERROR(__xludf.DUMMYFUNCTION("XLOOKUP(C1685, 
   IMPORTRANGE(""1RdEdgHYrZ33LJ7RUHj_h-qkAFL92bcVjtIdVa-UlsCw"", ""Interns!D:D""), 
   IMPORTRANGE(""1RdEdgHYrZ33LJ7RUHj_h-qkAFL92bcVjtIdVa-UlsCw"", ""Interns!O:O""), 
   ""Not Found"")"),"")</f>
        <v/>
      </c>
      <c r="AN1685" s="23"/>
      <c r="AO1685" s="23" t="s">
        <v>15313</v>
      </c>
      <c r="AP1685" s="28" t="s">
        <v>5182</v>
      </c>
      <c r="AQ1685" s="28"/>
      <c r="AR1685" s="23"/>
      <c r="AS1685" s="23"/>
      <c r="AT1685" s="23"/>
      <c r="AU1685" s="23"/>
      <c r="AV1685" s="23"/>
    </row>
    <row r="1686">
      <c r="A1686" s="28" t="s">
        <v>5161</v>
      </c>
      <c r="B1686" s="28" t="s">
        <v>5162</v>
      </c>
      <c r="C1686" s="23" t="str">
        <f t="shared" si="39"/>
        <v>Dontay Mccaskill</v>
      </c>
      <c r="D1686" s="28" t="s">
        <v>15314</v>
      </c>
      <c r="E1686" s="28" t="s">
        <v>15315</v>
      </c>
      <c r="F1686" s="23">
        <f t="array" ref="F1686">IFERROR(
    INDEX('Hub Interns 226'!A:A, MATCH(C1686, 'Hub Interns 226'!B:B, 0)),"")</f>
        <v>19</v>
      </c>
      <c r="G1686" s="23">
        <f t="array" ref="G1686">IFERROR(
    INDEX('Hub Users 226'!A:A, MATCH(C1686, 'Hub Users 226'!B:B, 0)),"")</f>
        <v>452</v>
      </c>
      <c r="H1686" s="28">
        <v>329.0</v>
      </c>
      <c r="I1686" s="28" t="s">
        <v>1153</v>
      </c>
      <c r="J1686" s="28"/>
      <c r="K1686" s="28"/>
      <c r="L1686" s="28" t="s">
        <v>5196</v>
      </c>
      <c r="M1686" s="56" t="s">
        <v>15316</v>
      </c>
      <c r="N1686" s="57">
        <v>44237.76666666667</v>
      </c>
      <c r="O1686" s="58">
        <v>39594.0</v>
      </c>
      <c r="P1686" s="28">
        <f t="shared" si="42"/>
        <v>17</v>
      </c>
      <c r="Q1686" s="28" t="s">
        <v>240</v>
      </c>
      <c r="R1686" s="28" t="s">
        <v>15317</v>
      </c>
      <c r="S1686" s="28"/>
      <c r="T1686" s="28"/>
      <c r="U1686" s="28"/>
      <c r="V1686" s="28">
        <v>25.0</v>
      </c>
      <c r="W1686" s="28" t="s">
        <v>12324</v>
      </c>
      <c r="X1686" s="28" t="s">
        <v>465</v>
      </c>
      <c r="Y1686" s="23"/>
      <c r="Z1686" s="28" t="s">
        <v>12326</v>
      </c>
      <c r="AA1686" s="28" t="s">
        <v>12327</v>
      </c>
      <c r="AB1686" s="28" t="s">
        <v>12328</v>
      </c>
      <c r="AC1686" s="28" t="s">
        <v>24</v>
      </c>
      <c r="AD1686" s="23"/>
      <c r="AE1686" s="28" t="s">
        <v>8</v>
      </c>
      <c r="AF1686" s="23"/>
      <c r="AG1686" s="23"/>
      <c r="AH1686" s="23" t="str">
        <f>IFERROR(__xludf.DUMMYFUNCTION("IF(
ISNUMBER(MATCH(
C1686,
IMPORTRANGE(""https://docs.google.com/spreadsheets/d/1yTh1ELC33JHYOeEdgIiEclxPRyh0zOKtlawDltfUay8"",""'Interns'!A:A""),
0
)),
""Outreach Conducted"",
"""")"),"")</f>
        <v/>
      </c>
      <c r="AI1686" s="23"/>
      <c r="AJ1686" s="23"/>
      <c r="AK1686" s="23" t="str">
        <f>IFERROR(__xludf.DUMMYFUNCTION("XLOOKUP(C1686, 
   IMPORTRANGE(""1RdEdgHYrZ33LJ7RUHj_h-qkAFL92bcVjtIdVa-UlsCw"", ""Interns!D:D""), 
   IMPORTRANGE(""1RdEdgHYrZ33LJ7RUHj_h-qkAFL92bcVjtIdVa-UlsCw"", ""Interns!M:M""), 
   ""Not Found"")"),"")</f>
        <v/>
      </c>
      <c r="AL1686" s="23" t="str">
        <f>IFERROR(__xludf.DUMMYFUNCTION("XLOOKUP(C1686, 
   IMPORTRANGE(""1RdEdgHYrZ33LJ7RUHj_h-qkAFL92bcVjtIdVa-UlsCw"", ""Interns!D:D""), 
   IMPORTRANGE(""1RdEdgHYrZ33LJ7RUHj_h-qkAFL92bcVjtIdVa-UlsCw"", ""Interns!N:N""), 
   ""Not Found"")"),"")</f>
        <v/>
      </c>
      <c r="AM1686" s="23" t="str">
        <f>IFERROR(__xludf.DUMMYFUNCTION("XLOOKUP(C1686, 
   IMPORTRANGE(""1RdEdgHYrZ33LJ7RUHj_h-qkAFL92bcVjtIdVa-UlsCw"", ""Interns!D:D""), 
   IMPORTRANGE(""1RdEdgHYrZ33LJ7RUHj_h-qkAFL92bcVjtIdVa-UlsCw"", ""Interns!O:O""), 
   ""Not Found"")"),"")</f>
        <v/>
      </c>
      <c r="AN1686" s="23"/>
      <c r="AO1686" s="23" t="s">
        <v>15318</v>
      </c>
      <c r="AP1686" s="28" t="s">
        <v>5191</v>
      </c>
      <c r="AQ1686" s="28"/>
      <c r="AR1686" s="23"/>
      <c r="AS1686" s="23"/>
      <c r="AT1686" s="23"/>
      <c r="AU1686" s="23"/>
      <c r="AV1686" s="23"/>
    </row>
    <row r="1687">
      <c r="A1687" s="28" t="s">
        <v>5161</v>
      </c>
      <c r="B1687" s="28" t="s">
        <v>5162</v>
      </c>
      <c r="C1687" s="23" t="str">
        <f t="shared" si="39"/>
        <v>Angel Guaman</v>
      </c>
      <c r="D1687" s="28" t="s">
        <v>6000</v>
      </c>
      <c r="E1687" s="28" t="s">
        <v>8435</v>
      </c>
      <c r="F1687" s="23">
        <f t="array" ref="F1687">IFERROR(
    INDEX('Hub Interns 226'!A:A, MATCH(C1687, 'Hub Interns 226'!B:B, 0)),"")</f>
        <v>235</v>
      </c>
      <c r="G1687" s="23">
        <f t="array" ref="G1687">IFERROR(
    INDEX('Hub Users 226'!A:A, MATCH(C1687, 'Hub Users 226'!B:B, 0)),"")</f>
        <v>668</v>
      </c>
      <c r="H1687" s="28">
        <v>1193.0</v>
      </c>
      <c r="I1687" s="28" t="s">
        <v>407</v>
      </c>
      <c r="J1687" s="28"/>
      <c r="K1687" s="28"/>
      <c r="L1687" s="28" t="s">
        <v>5165</v>
      </c>
      <c r="M1687" s="56" t="s">
        <v>15319</v>
      </c>
      <c r="N1687" s="57">
        <v>44833.59027777778</v>
      </c>
      <c r="O1687" s="58">
        <v>39840.0</v>
      </c>
      <c r="P1687" s="28">
        <f t="shared" si="42"/>
        <v>17</v>
      </c>
      <c r="Q1687" s="28" t="s">
        <v>240</v>
      </c>
      <c r="R1687" s="28" t="s">
        <v>15320</v>
      </c>
      <c r="S1687" s="28">
        <v>6.0</v>
      </c>
      <c r="T1687" s="28">
        <v>12.0</v>
      </c>
      <c r="U1687" s="28">
        <v>30.0</v>
      </c>
      <c r="V1687" s="28">
        <v>25.0</v>
      </c>
      <c r="W1687" s="28" t="s">
        <v>1173</v>
      </c>
      <c r="X1687" s="28" t="s">
        <v>272</v>
      </c>
      <c r="Y1687" s="28" t="s">
        <v>15321</v>
      </c>
      <c r="Z1687" s="28" t="s">
        <v>5170</v>
      </c>
      <c r="AA1687" s="28" t="s">
        <v>5171</v>
      </c>
      <c r="AB1687" s="28">
        <v>30.0</v>
      </c>
      <c r="AC1687" s="28" t="s">
        <v>23</v>
      </c>
      <c r="AD1687" s="23"/>
      <c r="AE1687" s="28" t="s">
        <v>15</v>
      </c>
      <c r="AF1687" s="23"/>
      <c r="AG1687" s="23"/>
      <c r="AH1687" s="23" t="str">
        <f>IFERROR(__xludf.DUMMYFUNCTION("IF(
ISNUMBER(MATCH(
C1687,
IMPORTRANGE(""https://docs.google.com/spreadsheets/d/1yTh1ELC33JHYOeEdgIiEclxPRyh0zOKtlawDltfUay8"",""'Interns'!A:A""),
0
)),
""Outreach Conducted"",
"""")"),"")</f>
        <v/>
      </c>
      <c r="AI1687" s="23"/>
      <c r="AJ1687" s="23"/>
      <c r="AK1687" s="23" t="str">
        <f>IFERROR(__xludf.DUMMYFUNCTION("XLOOKUP(C1687, 
   IMPORTRANGE(""1RdEdgHYrZ33LJ7RUHj_h-qkAFL92bcVjtIdVa-UlsCw"", ""Interns!D:D""), 
   IMPORTRANGE(""1RdEdgHYrZ33LJ7RUHj_h-qkAFL92bcVjtIdVa-UlsCw"", ""Interns!M:M""), 
   ""Not Found"")"),"Contacted")</f>
        <v>Contacted</v>
      </c>
      <c r="AL1687" s="23" t="str">
        <f>IFERROR(__xludf.DUMMYFUNCTION("XLOOKUP(C1687, 
   IMPORTRANGE(""1RdEdgHYrZ33LJ7RUHj_h-qkAFL92bcVjtIdVa-UlsCw"", ""Interns!D:D""), 
   IMPORTRANGE(""1RdEdgHYrZ33LJ7RUHj_h-qkAFL92bcVjtIdVa-UlsCw"", ""Interns!N:N""), 
   ""Not Found"")"),"#Cheers4Careers")</f>
        <v>#Cheers4Careers</v>
      </c>
      <c r="AM1687" s="23" t="str">
        <f>IFERROR(__xludf.DUMMYFUNCTION("XLOOKUP(C1687, 
   IMPORTRANGE(""1RdEdgHYrZ33LJ7RUHj_h-qkAFL92bcVjtIdVa-UlsCw"", ""Interns!D:D""), 
   IMPORTRANGE(""1RdEdgHYrZ33LJ7RUHj_h-qkAFL92bcVjtIdVa-UlsCw"", ""Interns!O:O""), 
   ""Not Found"")"),"Hetal reached out March 27 for March #Cheers4 Careers ")</f>
        <v>Hetal reached out March 27 for March #Cheers4 Careers </v>
      </c>
      <c r="AN1687" s="23"/>
      <c r="AO1687" s="23" t="s">
        <v>15322</v>
      </c>
      <c r="AP1687" s="28" t="s">
        <v>5182</v>
      </c>
      <c r="AQ1687" s="28"/>
      <c r="AR1687" s="23"/>
      <c r="AS1687" s="23"/>
      <c r="AT1687" s="23"/>
      <c r="AU1687" s="23"/>
      <c r="AV1687" s="23"/>
    </row>
    <row r="1688">
      <c r="A1688" s="28" t="s">
        <v>5161</v>
      </c>
      <c r="B1688" s="28" t="s">
        <v>5162</v>
      </c>
      <c r="C1688" s="23" t="str">
        <f t="shared" si="39"/>
        <v>Antonino (Nino) Luciano</v>
      </c>
      <c r="D1688" s="28" t="s">
        <v>15323</v>
      </c>
      <c r="E1688" s="28" t="s">
        <v>7788</v>
      </c>
      <c r="F1688" s="23">
        <f t="array" ref="F1688">IFERROR(
    INDEX('Hub Interns 226'!A:A, MATCH("Nino", 'Hub Interns 226'!B:B, 0)),"")</f>
        <v>1486</v>
      </c>
      <c r="G1688" s="23">
        <f t="array" ref="G1688">IFERROR(
    INDEX('Hub Users 226'!A:A, MATCH("Antonino Luciano", 'Hub Users 226'!B:B, 0)),"")</f>
        <v>2064</v>
      </c>
      <c r="H1688" s="28">
        <v>1833.0</v>
      </c>
      <c r="I1688" s="28" t="s">
        <v>269</v>
      </c>
      <c r="J1688" s="28"/>
      <c r="K1688" s="28"/>
      <c r="L1688" s="28" t="s">
        <v>5165</v>
      </c>
      <c r="M1688" s="56" t="s">
        <v>15324</v>
      </c>
      <c r="N1688" s="57">
        <v>45503.978472222225</v>
      </c>
      <c r="O1688" s="58">
        <v>41201.0</v>
      </c>
      <c r="P1688" s="28">
        <f t="shared" si="42"/>
        <v>13</v>
      </c>
      <c r="Q1688" s="28" t="s">
        <v>15325</v>
      </c>
      <c r="R1688" s="28" t="s">
        <v>15326</v>
      </c>
      <c r="S1688" s="28">
        <v>6.0</v>
      </c>
      <c r="T1688" s="28">
        <v>15.0</v>
      </c>
      <c r="U1688" s="28">
        <v>28.0</v>
      </c>
      <c r="V1688" s="28">
        <v>30.0</v>
      </c>
      <c r="W1688" s="28" t="s">
        <v>1173</v>
      </c>
      <c r="X1688" s="28" t="s">
        <v>272</v>
      </c>
      <c r="Y1688" s="28">
        <v>9.295867436E9</v>
      </c>
      <c r="Z1688" s="23"/>
      <c r="AA1688" s="28" t="s">
        <v>5512</v>
      </c>
      <c r="AB1688" s="28">
        <v>30.0</v>
      </c>
      <c r="AC1688" s="28" t="s">
        <v>23</v>
      </c>
      <c r="AD1688" s="28" t="s">
        <v>101</v>
      </c>
      <c r="AE1688" s="28" t="s">
        <v>19</v>
      </c>
      <c r="AF1688" s="23"/>
      <c r="AG1688" s="23"/>
      <c r="AH1688" s="23" t="str">
        <f>IFERROR(__xludf.DUMMYFUNCTION("IF(
ISNUMBER(MATCH(
C1688,
IMPORTRANGE(""https://docs.google.com/spreadsheets/d/1yTh1ELC33JHYOeEdgIiEclxPRyh0zOKtlawDltfUay8"",""'Interns'!A:A""),
0
)),
""Outreach Conducted"",
"""")"),"")</f>
        <v/>
      </c>
      <c r="AI1688" s="23"/>
      <c r="AJ1688" s="23"/>
      <c r="AK1688" s="23" t="str">
        <f>IFERROR(__xludf.DUMMYFUNCTION("XLOOKUP(C1688, 
   IMPORTRANGE(""1RdEdgHYrZ33LJ7RUHj_h-qkAFL92bcVjtIdVa-UlsCw"", ""Interns!D:D""), 
   IMPORTRANGE(""1RdEdgHYrZ33LJ7RUHj_h-qkAFL92bcVjtIdVa-UlsCw"", ""Interns!M:M""), 
   ""Not Found"")"),"Contacted")</f>
        <v>Contacted</v>
      </c>
      <c r="AL1688" s="23" t="str">
        <f>IFERROR(__xludf.DUMMYFUNCTION("XLOOKUP(C1688, 
   IMPORTRANGE(""1RdEdgHYrZ33LJ7RUHj_h-qkAFL92bcVjtIdVa-UlsCw"", ""Interns!D:D""), 
   IMPORTRANGE(""1RdEdgHYrZ33LJ7RUHj_h-qkAFL92bcVjtIdVa-UlsCw"", ""Interns!N:N""), 
   ""Not Found"")"),"#Cheers4Careers")</f>
        <v>#Cheers4Careers</v>
      </c>
      <c r="AM1688" s="23" t="str">
        <f>IFERROR(__xludf.DUMMYFUNCTION("XLOOKUP(C1688,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688" s="23"/>
      <c r="AO1688" s="23" t="s">
        <v>15327</v>
      </c>
      <c r="AP1688" s="28" t="s">
        <v>5191</v>
      </c>
      <c r="AQ1688" s="28" t="s">
        <v>15328</v>
      </c>
      <c r="AR1688" s="23">
        <v>9.292829103E9</v>
      </c>
      <c r="AS1688" s="23"/>
      <c r="AT1688" s="23"/>
      <c r="AU1688" s="23"/>
      <c r="AV1688" s="23"/>
    </row>
    <row r="1689">
      <c r="A1689" s="28" t="s">
        <v>5161</v>
      </c>
      <c r="B1689" s="28" t="s">
        <v>5162</v>
      </c>
      <c r="C1689" s="23" t="str">
        <f t="shared" si="39"/>
        <v>David Kong</v>
      </c>
      <c r="D1689" s="28" t="s">
        <v>1068</v>
      </c>
      <c r="E1689" s="28" t="s">
        <v>15329</v>
      </c>
      <c r="F1689" s="23">
        <f t="array" ref="F1689">IFERROR(
    INDEX('Hub Interns 226'!A:A, MATCH(C1689, 'Hub Interns 226'!B:B, 0)),"")</f>
        <v>421</v>
      </c>
      <c r="G1689" s="23">
        <f t="array" ref="G1689">IFERROR(
    INDEX('Hub Users 226'!A:A, MATCH(C1689, 'Hub Users 226'!B:B, 0)),"")</f>
        <v>854</v>
      </c>
      <c r="H1689" s="28">
        <v>1058.0</v>
      </c>
      <c r="I1689" s="28"/>
      <c r="J1689" s="28"/>
      <c r="K1689" s="28"/>
      <c r="L1689" s="28" t="s">
        <v>5165</v>
      </c>
      <c r="M1689" s="56" t="s">
        <v>15330</v>
      </c>
      <c r="N1689" s="57">
        <v>44690.73472222222</v>
      </c>
      <c r="O1689" s="58">
        <v>39657.0</v>
      </c>
      <c r="P1689" s="28">
        <f t="shared" si="42"/>
        <v>17</v>
      </c>
      <c r="Q1689" s="28" t="s">
        <v>240</v>
      </c>
      <c r="R1689" s="28" t="s">
        <v>15331</v>
      </c>
      <c r="S1689" s="28"/>
      <c r="T1689" s="28"/>
      <c r="U1689" s="28"/>
      <c r="V1689" s="28"/>
      <c r="W1689" s="28" t="s">
        <v>1173</v>
      </c>
      <c r="X1689" s="28" t="s">
        <v>272</v>
      </c>
      <c r="Y1689" s="28" t="s">
        <v>15332</v>
      </c>
      <c r="Z1689" s="28" t="s">
        <v>5170</v>
      </c>
      <c r="AA1689" s="28" t="s">
        <v>5171</v>
      </c>
      <c r="AB1689" s="28">
        <v>30.0</v>
      </c>
      <c r="AC1689" s="28" t="s">
        <v>24</v>
      </c>
      <c r="AD1689" s="23"/>
      <c r="AE1689" s="28" t="s">
        <v>10</v>
      </c>
      <c r="AF1689" s="23"/>
      <c r="AG1689" s="23"/>
      <c r="AH1689" s="23" t="str">
        <f>IFERROR(__xludf.DUMMYFUNCTION("IF(
ISNUMBER(MATCH(
C1689,
IMPORTRANGE(""https://docs.google.com/spreadsheets/d/1yTh1ELC33JHYOeEdgIiEclxPRyh0zOKtlawDltfUay8"",""'Interns'!A:A""),
0
)),
""Outreach Conducted"",
"""")"),"")</f>
        <v/>
      </c>
      <c r="AI1689" s="23"/>
      <c r="AJ1689" s="23"/>
      <c r="AK1689" s="23" t="str">
        <f>IFERROR(__xludf.DUMMYFUNCTION("XLOOKUP(C1689, 
   IMPORTRANGE(""1RdEdgHYrZ33LJ7RUHj_h-qkAFL92bcVjtIdVa-UlsCw"", ""Interns!D:D""), 
   IMPORTRANGE(""1RdEdgHYrZ33LJ7RUHj_h-qkAFL92bcVjtIdVa-UlsCw"", ""Interns!M:M""), 
   ""Not Found"")"),"Contacted")</f>
        <v>Contacted</v>
      </c>
      <c r="AL1689" s="23" t="str">
        <f>IFERROR(__xludf.DUMMYFUNCTION("XLOOKUP(C1689, 
   IMPORTRANGE(""1RdEdgHYrZ33LJ7RUHj_h-qkAFL92bcVjtIdVa-UlsCw"", ""Interns!D:D""), 
   IMPORTRANGE(""1RdEdgHYrZ33LJ7RUHj_h-qkAFL92bcVjtIdVa-UlsCw"", ""Interns!N:N""), 
   ""Not Found"")"),"#Cheers4Careers")</f>
        <v>#Cheers4Careers</v>
      </c>
      <c r="AM1689" s="23" t="str">
        <f>IFERROR(__xludf.DUMMYFUNCTION("XLOOKUP(C1689, 
   IMPORTRANGE(""1RdEdgHYrZ33LJ7RUHj_h-qkAFL92bcVjtIdVa-UlsCw"", ""Interns!D:D""), 
   IMPORTRANGE(""1RdEdgHYrZ33LJ7RUHj_h-qkAFL92bcVjtIdVa-UlsCw"", ""Interns!O:O""), 
   ""Not Found"")"),"Hetal reached out March 27 for March #Cheers4 Careers ")</f>
        <v>Hetal reached out March 27 for March #Cheers4 Careers </v>
      </c>
      <c r="AN1689" s="23"/>
      <c r="AO1689" s="23" t="s">
        <v>15333</v>
      </c>
      <c r="AP1689" s="28" t="s">
        <v>5182</v>
      </c>
      <c r="AQ1689" s="28"/>
      <c r="AR1689" s="23"/>
      <c r="AS1689" s="23"/>
      <c r="AT1689" s="23"/>
      <c r="AU1689" s="23"/>
      <c r="AV1689" s="23"/>
    </row>
    <row r="1690">
      <c r="A1690" s="28" t="s">
        <v>5202</v>
      </c>
      <c r="B1690" s="28" t="s">
        <v>5162</v>
      </c>
      <c r="C1690" s="23" t="str">
        <f t="shared" si="39"/>
        <v>Nathalie Flores</v>
      </c>
      <c r="D1690" s="28" t="s">
        <v>15334</v>
      </c>
      <c r="E1690" s="28" t="s">
        <v>3101</v>
      </c>
      <c r="F1690" s="23">
        <f t="array" ref="F1690">IFERROR(
    INDEX('Hub Interns 226'!A:A, MATCH(C1690, 'Hub Interns 226'!B:B, 0)),"")</f>
        <v>926</v>
      </c>
      <c r="G1690" s="23">
        <f t="array" ref="G1690">IFERROR(
    INDEX('Hub Users 226'!A:A, MATCH(C1690, 'Hub Users 226'!B:B, 0)),"")</f>
        <v>1359</v>
      </c>
      <c r="H1690" s="28">
        <v>1257.0</v>
      </c>
      <c r="I1690" s="28" t="s">
        <v>260</v>
      </c>
      <c r="J1690" s="28"/>
      <c r="K1690" s="28"/>
      <c r="L1690" s="28" t="s">
        <v>5196</v>
      </c>
      <c r="M1690" s="56" t="s">
        <v>15335</v>
      </c>
      <c r="N1690" s="57">
        <v>44841.80625</v>
      </c>
      <c r="O1690" s="58">
        <v>40356.0</v>
      </c>
      <c r="P1690" s="28">
        <f t="shared" si="42"/>
        <v>15</v>
      </c>
      <c r="Q1690" s="28" t="s">
        <v>240</v>
      </c>
      <c r="R1690" s="28" t="s">
        <v>15336</v>
      </c>
      <c r="S1690" s="28">
        <v>6.0</v>
      </c>
      <c r="T1690" s="28">
        <v>13.0</v>
      </c>
      <c r="U1690" s="28">
        <v>39.0</v>
      </c>
      <c r="V1690" s="28">
        <v>21.0</v>
      </c>
      <c r="W1690" s="28" t="s">
        <v>1173</v>
      </c>
      <c r="X1690" s="28" t="s">
        <v>272</v>
      </c>
      <c r="Y1690" s="28" t="s">
        <v>15337</v>
      </c>
      <c r="Z1690" s="28" t="s">
        <v>5403</v>
      </c>
      <c r="AA1690" s="28" t="s">
        <v>5404</v>
      </c>
      <c r="AB1690" s="28">
        <v>21.0</v>
      </c>
      <c r="AC1690" s="28" t="s">
        <v>23</v>
      </c>
      <c r="AD1690" s="23"/>
      <c r="AE1690" s="28" t="s">
        <v>15</v>
      </c>
      <c r="AF1690" s="23"/>
      <c r="AG1690" s="23"/>
      <c r="AH1690" s="23" t="str">
        <f>IFERROR(__xludf.DUMMYFUNCTION("IF(
ISNUMBER(MATCH(
C1690,
IMPORTRANGE(""https://docs.google.com/spreadsheets/d/1yTh1ELC33JHYOeEdgIiEclxPRyh0zOKtlawDltfUay8"",""'Interns'!A:A""),
0
)),
""Outreach Conducted"",
"""")"),"")</f>
        <v/>
      </c>
      <c r="AI1690" s="23"/>
      <c r="AJ1690" s="23"/>
      <c r="AK1690" s="23" t="str">
        <f>IFERROR(__xludf.DUMMYFUNCTION("XLOOKUP(C1690, 
   IMPORTRANGE(""1RdEdgHYrZ33LJ7RUHj_h-qkAFL92bcVjtIdVa-UlsCw"", ""Interns!D:D""), 
   IMPORTRANGE(""1RdEdgHYrZ33LJ7RUHj_h-qkAFL92bcVjtIdVa-UlsCw"", ""Interns!M:M""), 
   ""Not Found"")"),"")</f>
        <v/>
      </c>
      <c r="AL1690" s="23" t="str">
        <f>IFERROR(__xludf.DUMMYFUNCTION("XLOOKUP(C1690, 
   IMPORTRANGE(""1RdEdgHYrZ33LJ7RUHj_h-qkAFL92bcVjtIdVa-UlsCw"", ""Interns!D:D""), 
   IMPORTRANGE(""1RdEdgHYrZ33LJ7RUHj_h-qkAFL92bcVjtIdVa-UlsCw"", ""Interns!N:N""), 
   ""Not Found"")"),"")</f>
        <v/>
      </c>
      <c r="AM1690" s="23" t="str">
        <f>IFERROR(__xludf.DUMMYFUNCTION("XLOOKUP(C1690, 
   IMPORTRANGE(""1RdEdgHYrZ33LJ7RUHj_h-qkAFL92bcVjtIdVa-UlsCw"", ""Interns!D:D""), 
   IMPORTRANGE(""1RdEdgHYrZ33LJ7RUHj_h-qkAFL92bcVjtIdVa-UlsCw"", ""Interns!O:O""), 
   ""Not Found"")"),"")</f>
        <v/>
      </c>
      <c r="AN1690" s="23"/>
      <c r="AO1690" s="23" t="s">
        <v>15338</v>
      </c>
      <c r="AP1690" s="28" t="s">
        <v>5191</v>
      </c>
      <c r="AQ1690" s="28"/>
      <c r="AR1690" s="23"/>
      <c r="AS1690" s="23"/>
      <c r="AT1690" s="23"/>
      <c r="AU1690" s="23"/>
      <c r="AV1690" s="23"/>
    </row>
    <row r="1691">
      <c r="A1691" s="28" t="s">
        <v>5161</v>
      </c>
      <c r="B1691" s="28" t="s">
        <v>5162</v>
      </c>
      <c r="C1691" s="23" t="str">
        <f t="shared" si="39"/>
        <v>Kaylin (Kay) Newmwn</v>
      </c>
      <c r="D1691" s="22" t="s">
        <v>15339</v>
      </c>
      <c r="E1691" s="22" t="s">
        <v>15340</v>
      </c>
      <c r="F1691" s="23"/>
      <c r="G1691" s="23"/>
      <c r="H1691" s="22">
        <v>1902.0</v>
      </c>
      <c r="I1691" s="28"/>
      <c r="J1691" s="28"/>
      <c r="K1691" s="28"/>
      <c r="L1691" s="28" t="s">
        <v>5196</v>
      </c>
      <c r="M1691" s="29" t="s">
        <v>15341</v>
      </c>
      <c r="N1691" s="61">
        <v>45845.59652777778</v>
      </c>
      <c r="O1691" s="25">
        <v>38421.0</v>
      </c>
      <c r="P1691" s="28">
        <f t="shared" si="42"/>
        <v>21</v>
      </c>
      <c r="Q1691" s="62" t="s">
        <v>15342</v>
      </c>
      <c r="R1691" s="22" t="s">
        <v>15343</v>
      </c>
      <c r="S1691" s="28">
        <v>3.0</v>
      </c>
      <c r="T1691" s="28">
        <v>11.0</v>
      </c>
      <c r="U1691" s="28">
        <v>33.0</v>
      </c>
      <c r="V1691" s="28">
        <v>23.0</v>
      </c>
      <c r="W1691" s="28" t="s">
        <v>1173</v>
      </c>
      <c r="X1691" s="28" t="s">
        <v>272</v>
      </c>
      <c r="Y1691" s="22" t="s">
        <v>15344</v>
      </c>
      <c r="Z1691" s="22" t="s">
        <v>5822</v>
      </c>
      <c r="AA1691" s="28" t="s">
        <v>5822</v>
      </c>
      <c r="AB1691" s="28">
        <v>30.0</v>
      </c>
      <c r="AC1691" s="28" t="s">
        <v>27</v>
      </c>
      <c r="AD1691" s="23"/>
      <c r="AE1691" s="28" t="s">
        <v>20</v>
      </c>
      <c r="AF1691" s="23"/>
      <c r="AG1691" s="23"/>
      <c r="AH1691" s="23" t="str">
        <f>IFERROR(__xludf.DUMMYFUNCTION("IF(
ISNUMBER(MATCH(
C1691,
IMPORTRANGE(""https://docs.google.com/spreadsheets/d/1yTh1ELC33JHYOeEdgIiEclxPRyh0zOKtlawDltfUay8"",""'Interns'!A:A""),
0
)),
""Outreach Conducted"",
"""")"),"")</f>
        <v/>
      </c>
      <c r="AI1691" s="23"/>
      <c r="AJ1691" s="23"/>
      <c r="AK1691" s="23"/>
      <c r="AL1691" s="23" t="str">
        <f>IFERROR(__xludf.DUMMYFUNCTION("XLOOKUP(C1691, 
   IMPORTRANGE(""1RdEdgHYrZ33LJ7RUHj_h-qkAFL92bcVjtIdVa-UlsCw"", ""Interns!D:D""), 
   IMPORTRANGE(""1RdEdgHYrZ33LJ7RUHj_h-qkAFL92bcVjtIdVa-UlsCw"", ""Interns!N:N""), 
   ""Not Found"")"),"Not Found")</f>
        <v>Not Found</v>
      </c>
      <c r="AM1691" s="23" t="str">
        <f>IFERROR(__xludf.DUMMYFUNCTION("XLOOKUP(C1691, 
   IMPORTRANGE(""1RdEdgHYrZ33LJ7RUHj_h-qkAFL92bcVjtIdVa-UlsCw"", ""Interns!D:D""), 
   IMPORTRANGE(""1RdEdgHYrZ33LJ7RUHj_h-qkAFL92bcVjtIdVa-UlsCw"", ""Interns!O:O""), 
   ""Not Found"")"),"Not Found")</f>
        <v>Not Found</v>
      </c>
      <c r="AN1691" s="23"/>
      <c r="AO1691" s="23" t="s">
        <v>15345</v>
      </c>
      <c r="AP1691" s="28" t="s">
        <v>5182</v>
      </c>
      <c r="AQ1691" s="28" t="s">
        <v>15341</v>
      </c>
      <c r="AR1691" s="23" t="s">
        <v>15344</v>
      </c>
      <c r="AS1691" s="23"/>
      <c r="AT1691" s="23"/>
      <c r="AU1691" s="23"/>
      <c r="AV1691" s="23"/>
    </row>
    <row r="1692">
      <c r="A1692" s="28" t="s">
        <v>5202</v>
      </c>
      <c r="B1692" s="28" t="s">
        <v>5162</v>
      </c>
      <c r="C1692" s="23" t="str">
        <f t="shared" si="39"/>
        <v>Mohamed Doukoure</v>
      </c>
      <c r="D1692" s="28" t="s">
        <v>9486</v>
      </c>
      <c r="E1692" s="28" t="s">
        <v>8996</v>
      </c>
      <c r="F1692" s="23">
        <f t="array" ref="F1692">IFERROR(
    INDEX('Hub Interns 226'!A:A, MATCH(C1692, 'Hub Interns 226'!B:B, 0)),"")</f>
        <v>56</v>
      </c>
      <c r="G1692" s="23">
        <f t="array" ref="G1692">IFERROR(
    INDEX('Hub Users 226'!A:A, MATCH(C1692, 'Hub Users 226'!B:B, 0)),"")</f>
        <v>489</v>
      </c>
      <c r="H1692" s="28">
        <v>924.0</v>
      </c>
      <c r="I1692" s="28" t="s">
        <v>239</v>
      </c>
      <c r="J1692" s="28"/>
      <c r="K1692" s="28"/>
      <c r="L1692" s="28" t="s">
        <v>5165</v>
      </c>
      <c r="M1692" s="56" t="s">
        <v>15346</v>
      </c>
      <c r="N1692" s="57">
        <v>44603.45208333333</v>
      </c>
      <c r="O1692" s="58">
        <v>38087.0</v>
      </c>
      <c r="P1692" s="28">
        <f t="shared" si="42"/>
        <v>22</v>
      </c>
      <c r="Q1692" s="28" t="s">
        <v>240</v>
      </c>
      <c r="R1692" s="28" t="s">
        <v>15347</v>
      </c>
      <c r="S1692" s="28">
        <v>15.0</v>
      </c>
      <c r="T1692" s="28">
        <v>32.0</v>
      </c>
      <c r="U1692" s="28">
        <v>79.0</v>
      </c>
      <c r="V1692" s="28">
        <v>17.0</v>
      </c>
      <c r="W1692" s="28" t="s">
        <v>859</v>
      </c>
      <c r="X1692" s="28" t="s">
        <v>272</v>
      </c>
      <c r="Y1692" s="28" t="s">
        <v>15348</v>
      </c>
      <c r="Z1692" s="28" t="s">
        <v>5259</v>
      </c>
      <c r="AA1692" s="28" t="s">
        <v>704</v>
      </c>
      <c r="AB1692" s="28">
        <v>2.0</v>
      </c>
      <c r="AC1692" s="28" t="s">
        <v>24</v>
      </c>
      <c r="AD1692" s="23"/>
      <c r="AE1692" s="28" t="s">
        <v>10</v>
      </c>
      <c r="AF1692" s="23"/>
      <c r="AG1692" s="23"/>
      <c r="AH1692" s="23" t="str">
        <f>IFERROR(__xludf.DUMMYFUNCTION("IF(
ISNUMBER(MATCH(
C1692,
IMPORTRANGE(""https://docs.google.com/spreadsheets/d/1yTh1ELC33JHYOeEdgIiEclxPRyh0zOKtlawDltfUay8"",""'Interns'!A:A""),
0
)),
""Outreach Conducted"",
"""")"),"")</f>
        <v/>
      </c>
      <c r="AI1692" s="23"/>
      <c r="AJ1692" s="23"/>
      <c r="AK1692" s="23" t="str">
        <f>IFERROR(__xludf.DUMMYFUNCTION("XLOOKUP(C1692, 
   IMPORTRANGE(""1RdEdgHYrZ33LJ7RUHj_h-qkAFL92bcVjtIdVa-UlsCw"", ""Interns!D:D""), 
   IMPORTRANGE(""1RdEdgHYrZ33LJ7RUHj_h-qkAFL92bcVjtIdVa-UlsCw"", ""Interns!M:M""), 
   ""Not Found"")"),"")</f>
        <v/>
      </c>
      <c r="AL1692" s="23" t="str">
        <f>IFERROR(__xludf.DUMMYFUNCTION("XLOOKUP(C1692, 
   IMPORTRANGE(""1RdEdgHYrZ33LJ7RUHj_h-qkAFL92bcVjtIdVa-UlsCw"", ""Interns!D:D""), 
   IMPORTRANGE(""1RdEdgHYrZ33LJ7RUHj_h-qkAFL92bcVjtIdVa-UlsCw"", ""Interns!N:N""), 
   ""Not Found"")"),"")</f>
        <v/>
      </c>
      <c r="AM1692" s="23" t="str">
        <f>IFERROR(__xludf.DUMMYFUNCTION("XLOOKUP(C1692, 
   IMPORTRANGE(""1RdEdgHYrZ33LJ7RUHj_h-qkAFL92bcVjtIdVa-UlsCw"", ""Interns!D:D""), 
   IMPORTRANGE(""1RdEdgHYrZ33LJ7RUHj_h-qkAFL92bcVjtIdVa-UlsCw"", ""Interns!O:O""), 
   ""Not Found"")"),"")</f>
        <v/>
      </c>
      <c r="AN1692" s="23"/>
      <c r="AO1692" s="23" t="s">
        <v>15349</v>
      </c>
      <c r="AP1692" s="28" t="s">
        <v>5182</v>
      </c>
      <c r="AQ1692" s="28"/>
      <c r="AR1692" s="23"/>
      <c r="AS1692" s="23"/>
      <c r="AT1692" s="23"/>
      <c r="AU1692" s="23"/>
      <c r="AV1692" s="23"/>
    </row>
    <row r="1693">
      <c r="A1693" s="28" t="s">
        <v>5202</v>
      </c>
      <c r="B1693" s="28" t="s">
        <v>5162</v>
      </c>
      <c r="C1693" s="23" t="str">
        <f t="shared" si="39"/>
        <v>David Li</v>
      </c>
      <c r="D1693" s="28" t="s">
        <v>1068</v>
      </c>
      <c r="E1693" s="28" t="s">
        <v>2714</v>
      </c>
      <c r="F1693" s="23">
        <f t="array" ref="F1693">IFERROR(
    INDEX('Hub Interns 226'!A:A, MATCH(C1693, 'Hub Interns 226'!B:B, 0)),"")</f>
        <v>522</v>
      </c>
      <c r="G1693" s="23">
        <f t="array" ref="G1693">IFERROR(
    INDEX('Hub Users 226'!A:A, MATCH(C1693, 'Hub Users 226'!B:B, 0)),"")</f>
        <v>955</v>
      </c>
      <c r="H1693" s="28">
        <v>1000.0</v>
      </c>
      <c r="I1693" s="28" t="s">
        <v>239</v>
      </c>
      <c r="J1693" s="28"/>
      <c r="K1693" s="28"/>
      <c r="L1693" s="28" t="s">
        <v>5165</v>
      </c>
      <c r="M1693" s="56" t="s">
        <v>15350</v>
      </c>
      <c r="N1693" s="57">
        <v>44648.95972222222</v>
      </c>
      <c r="O1693" s="58">
        <v>40102.0</v>
      </c>
      <c r="P1693" s="28">
        <f t="shared" si="42"/>
        <v>16</v>
      </c>
      <c r="Q1693" s="28" t="s">
        <v>240</v>
      </c>
      <c r="R1693" s="28" t="s">
        <v>15351</v>
      </c>
      <c r="S1693" s="28">
        <v>6.0</v>
      </c>
      <c r="T1693" s="28">
        <v>13.0</v>
      </c>
      <c r="U1693" s="28">
        <v>35.0</v>
      </c>
      <c r="V1693" s="28">
        <v>25.0</v>
      </c>
      <c r="W1693" s="28" t="s">
        <v>1173</v>
      </c>
      <c r="X1693" s="28" t="s">
        <v>272</v>
      </c>
      <c r="Y1693" s="28" t="s">
        <v>15352</v>
      </c>
      <c r="Z1693" s="28" t="s">
        <v>9652</v>
      </c>
      <c r="AA1693" s="28" t="s">
        <v>9653</v>
      </c>
      <c r="AB1693" s="28">
        <v>30.0</v>
      </c>
      <c r="AC1693" s="28" t="s">
        <v>24</v>
      </c>
      <c r="AD1693" s="23"/>
      <c r="AE1693" s="28" t="s">
        <v>10</v>
      </c>
      <c r="AF1693" s="23"/>
      <c r="AG1693" s="23"/>
      <c r="AH1693" s="23" t="str">
        <f>IFERROR(__xludf.DUMMYFUNCTION("IF(
ISNUMBER(MATCH(
C1693,
IMPORTRANGE(""https://docs.google.com/spreadsheets/d/1yTh1ELC33JHYOeEdgIiEclxPRyh0zOKtlawDltfUay8"",""'Interns'!A:A""),
0
)),
""Outreach Conducted"",
"""")"),"")</f>
        <v/>
      </c>
      <c r="AI1693" s="23"/>
      <c r="AJ1693" s="23"/>
      <c r="AK1693" s="23" t="str">
        <f>IFERROR(__xludf.DUMMYFUNCTION("XLOOKUP(C1693, 
   IMPORTRANGE(""1RdEdgHYrZ33LJ7RUHj_h-qkAFL92bcVjtIdVa-UlsCw"", ""Interns!D:D""), 
   IMPORTRANGE(""1RdEdgHYrZ33LJ7RUHj_h-qkAFL92bcVjtIdVa-UlsCw"", ""Interns!M:M""), 
   ""Not Found"")"),"")</f>
        <v/>
      </c>
      <c r="AL1693" s="23" t="str">
        <f>IFERROR(__xludf.DUMMYFUNCTION("XLOOKUP(C1693, 
   IMPORTRANGE(""1RdEdgHYrZ33LJ7RUHj_h-qkAFL92bcVjtIdVa-UlsCw"", ""Interns!D:D""), 
   IMPORTRANGE(""1RdEdgHYrZ33LJ7RUHj_h-qkAFL92bcVjtIdVa-UlsCw"", ""Interns!N:N""), 
   ""Not Found"")"),"")</f>
        <v/>
      </c>
      <c r="AM1693" s="23" t="str">
        <f>IFERROR(__xludf.DUMMYFUNCTION("XLOOKUP(C1693, 
   IMPORTRANGE(""1RdEdgHYrZ33LJ7RUHj_h-qkAFL92bcVjtIdVa-UlsCw"", ""Interns!D:D""), 
   IMPORTRANGE(""1RdEdgHYrZ33LJ7RUHj_h-qkAFL92bcVjtIdVa-UlsCw"", ""Interns!O:O""), 
   ""Not Found"")"),"")</f>
        <v/>
      </c>
      <c r="AN1693" s="23"/>
      <c r="AO1693" s="23" t="s">
        <v>15353</v>
      </c>
      <c r="AP1693" s="28" t="s">
        <v>5182</v>
      </c>
      <c r="AQ1693" s="28"/>
      <c r="AR1693" s="23"/>
      <c r="AS1693" s="23"/>
      <c r="AT1693" s="23"/>
      <c r="AU1693" s="23"/>
      <c r="AV1693" s="23"/>
    </row>
    <row r="1694">
      <c r="A1694" s="28" t="s">
        <v>5161</v>
      </c>
      <c r="B1694" s="28" t="s">
        <v>5162</v>
      </c>
      <c r="C1694" s="23" t="str">
        <f t="shared" si="39"/>
        <v>Luis Romero Reyes</v>
      </c>
      <c r="D1694" s="28" t="s">
        <v>6689</v>
      </c>
      <c r="E1694" s="28" t="s">
        <v>15354</v>
      </c>
      <c r="F1694" s="23">
        <f t="array" ref="F1694">IFERROR(
    INDEX('Hub Interns 226'!A:A, MATCH(C1694, 'Hub Interns 226'!B:B, 0)),"")</f>
        <v>802</v>
      </c>
      <c r="G1694" s="23">
        <f t="array" ref="G1694">IFERROR(
    INDEX('Hub Users 226'!A:A, MATCH(C1694, 'Hub Users 226'!B:B, 0)),"")</f>
        <v>1235</v>
      </c>
      <c r="H1694" s="28">
        <v>988.0</v>
      </c>
      <c r="I1694" s="28" t="s">
        <v>407</v>
      </c>
      <c r="J1694" s="28"/>
      <c r="K1694" s="28"/>
      <c r="L1694" s="28" t="s">
        <v>5165</v>
      </c>
      <c r="M1694" s="56" t="s">
        <v>15355</v>
      </c>
      <c r="N1694" s="57">
        <v>44644.28125</v>
      </c>
      <c r="O1694" s="58">
        <v>40082.0</v>
      </c>
      <c r="P1694" s="28">
        <f t="shared" si="42"/>
        <v>16</v>
      </c>
      <c r="Q1694" s="28" t="s">
        <v>240</v>
      </c>
      <c r="R1694" s="28" t="s">
        <v>15356</v>
      </c>
      <c r="S1694" s="28">
        <v>7.0</v>
      </c>
      <c r="T1694" s="28">
        <v>15.0</v>
      </c>
      <c r="U1694" s="28">
        <v>38.0</v>
      </c>
      <c r="V1694" s="28">
        <v>32.0</v>
      </c>
      <c r="W1694" s="28" t="s">
        <v>1173</v>
      </c>
      <c r="X1694" s="28" t="s">
        <v>272</v>
      </c>
      <c r="Y1694" s="28" t="s">
        <v>15357</v>
      </c>
      <c r="Z1694" s="28" t="s">
        <v>7427</v>
      </c>
      <c r="AA1694" s="28" t="s">
        <v>7428</v>
      </c>
      <c r="AB1694" s="28">
        <v>34.0</v>
      </c>
      <c r="AC1694" s="28" t="s">
        <v>24</v>
      </c>
      <c r="AD1694" s="23"/>
      <c r="AE1694" s="28" t="s">
        <v>10</v>
      </c>
      <c r="AF1694" s="23"/>
      <c r="AG1694" s="23"/>
      <c r="AH1694" s="23" t="str">
        <f>IFERROR(__xludf.DUMMYFUNCTION("IF(
ISNUMBER(MATCH(
C1694,
IMPORTRANGE(""https://docs.google.com/spreadsheets/d/1yTh1ELC33JHYOeEdgIiEclxPRyh0zOKtlawDltfUay8"",""'Interns'!A:A""),
0
)),
""Outreach Conducted"",
"""")"),"")</f>
        <v/>
      </c>
      <c r="AI1694" s="23"/>
      <c r="AJ1694" s="23"/>
      <c r="AK1694" s="23" t="str">
        <f>IFERROR(__xludf.DUMMYFUNCTION("XLOOKUP(C1694, 
   IMPORTRANGE(""1RdEdgHYrZ33LJ7RUHj_h-qkAFL92bcVjtIdVa-UlsCw"", ""Interns!D:D""), 
   IMPORTRANGE(""1RdEdgHYrZ33LJ7RUHj_h-qkAFL92bcVjtIdVa-UlsCw"", ""Interns!M:M""), 
   ""Not Found"")"),"Contacted")</f>
        <v>Contacted</v>
      </c>
      <c r="AL1694" s="23" t="str">
        <f>IFERROR(__xludf.DUMMYFUNCTION("XLOOKUP(C1694, 
   IMPORTRANGE(""1RdEdgHYrZ33LJ7RUHj_h-qkAFL92bcVjtIdVa-UlsCw"", ""Interns!D:D""), 
   IMPORTRANGE(""1RdEdgHYrZ33LJ7RUHj_h-qkAFL92bcVjtIdVa-UlsCw"", ""Interns!N:N""), 
   ""Not Found"")"),"#Cheers4Careers")</f>
        <v>#Cheers4Careers</v>
      </c>
      <c r="AM1694" s="23" t="str">
        <f>IFERROR(__xludf.DUMMYFUNCTION("XLOOKUP(C1694, 
   IMPORTRANGE(""1RdEdgHYrZ33LJ7RUHj_h-qkAFL92bcVjtIdVa-UlsCw"", ""Interns!D:D""), 
   IMPORTRANGE(""1RdEdgHYrZ33LJ7RUHj_h-qkAFL92bcVjtIdVa-UlsCw"", ""Interns!O:O""), 
   ""Not Found"")"),"Hetal reached out by email 3/27")</f>
        <v>Hetal reached out by email 3/27</v>
      </c>
      <c r="AN1694" s="23"/>
      <c r="AO1694" s="23" t="s">
        <v>15358</v>
      </c>
      <c r="AP1694" s="28" t="s">
        <v>5191</v>
      </c>
      <c r="AQ1694" s="28"/>
      <c r="AR1694" s="23"/>
      <c r="AS1694" s="23"/>
      <c r="AT1694" s="23"/>
      <c r="AU1694" s="23"/>
      <c r="AV1694" s="23"/>
    </row>
    <row r="1695">
      <c r="A1695" s="28" t="s">
        <v>5161</v>
      </c>
      <c r="B1695" s="28" t="s">
        <v>5162</v>
      </c>
      <c r="C1695" s="23" t="str">
        <f t="shared" si="39"/>
        <v>Alejandro Teutle</v>
      </c>
      <c r="D1695" s="28" t="s">
        <v>14996</v>
      </c>
      <c r="E1695" s="28" t="s">
        <v>15359</v>
      </c>
      <c r="F1695" s="23">
        <f t="array" ref="F1695">IFERROR(
    INDEX('Hub Interns 226'!A:A, MATCH(C1695, 'Hub Interns 226'!B:B, 0)),"")</f>
        <v>180</v>
      </c>
      <c r="G1695" s="23">
        <f t="array" ref="G1695">IFERROR(
    INDEX('Hub Users 226'!A:A, MATCH(C1695, 'Hub Users 226'!B:B, 0)),"")</f>
        <v>613</v>
      </c>
      <c r="H1695" s="28">
        <v>1200.0</v>
      </c>
      <c r="I1695" s="28"/>
      <c r="J1695" s="28"/>
      <c r="K1695" s="28"/>
      <c r="L1695" s="28" t="s">
        <v>5165</v>
      </c>
      <c r="M1695" s="56" t="s">
        <v>15360</v>
      </c>
      <c r="N1695" s="57">
        <v>44834.49097222222</v>
      </c>
      <c r="O1695" s="58">
        <v>40143.0</v>
      </c>
      <c r="P1695" s="28">
        <f t="shared" si="42"/>
        <v>16</v>
      </c>
      <c r="Q1695" s="28" t="s">
        <v>240</v>
      </c>
      <c r="R1695" s="28" t="s">
        <v>15361</v>
      </c>
      <c r="S1695" s="28">
        <v>6.0</v>
      </c>
      <c r="T1695" s="28">
        <v>12.0</v>
      </c>
      <c r="U1695" s="28">
        <v>30.0</v>
      </c>
      <c r="V1695" s="28">
        <v>25.0</v>
      </c>
      <c r="W1695" s="28" t="s">
        <v>1173</v>
      </c>
      <c r="X1695" s="28" t="s">
        <v>272</v>
      </c>
      <c r="Y1695" s="28" t="s">
        <v>15362</v>
      </c>
      <c r="Z1695" s="28" t="s">
        <v>5170</v>
      </c>
      <c r="AA1695" s="28" t="s">
        <v>5171</v>
      </c>
      <c r="AB1695" s="28">
        <v>30.0</v>
      </c>
      <c r="AC1695" s="28" t="s">
        <v>23</v>
      </c>
      <c r="AD1695" s="28" t="s">
        <v>101</v>
      </c>
      <c r="AE1695" s="28" t="s">
        <v>15</v>
      </c>
      <c r="AF1695" s="23"/>
      <c r="AG1695" s="23"/>
      <c r="AH1695" s="23" t="str">
        <f>IFERROR(__xludf.DUMMYFUNCTION("IF(
ISNUMBER(MATCH(
C1695,
IMPORTRANGE(""https://docs.google.com/spreadsheets/d/1yTh1ELC33JHYOeEdgIiEclxPRyh0zOKtlawDltfUay8"",""'Interns'!A:A""),
0
)),
""Outreach Conducted"",
"""")"),"")</f>
        <v/>
      </c>
      <c r="AI1695" s="23"/>
      <c r="AJ1695" s="23"/>
      <c r="AK1695" s="23" t="str">
        <f>IFERROR(__xludf.DUMMYFUNCTION("XLOOKUP(C1695, 
   IMPORTRANGE(""1RdEdgHYrZ33LJ7RUHj_h-qkAFL92bcVjtIdVa-UlsCw"", ""Interns!D:D""), 
   IMPORTRANGE(""1RdEdgHYrZ33LJ7RUHj_h-qkAFL92bcVjtIdVa-UlsCw"", ""Interns!M:M""), 
   ""Not Found"")"),"Contacted")</f>
        <v>Contacted</v>
      </c>
      <c r="AL1695" s="23" t="str">
        <f>IFERROR(__xludf.DUMMYFUNCTION("XLOOKUP(C1695, 
   IMPORTRANGE(""1RdEdgHYrZ33LJ7RUHj_h-qkAFL92bcVjtIdVa-UlsCw"", ""Interns!D:D""), 
   IMPORTRANGE(""1RdEdgHYrZ33LJ7RUHj_h-qkAFL92bcVjtIdVa-UlsCw"", ""Interns!N:N""), 
   ""Not Found"")"),"#Cheers4Careers")</f>
        <v>#Cheers4Careers</v>
      </c>
      <c r="AM1695" s="23" t="str">
        <f>IFERROR(__xludf.DUMMYFUNCTION("XLOOKUP(C1695,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695" s="23"/>
      <c r="AO1695" s="23" t="s">
        <v>15363</v>
      </c>
      <c r="AP1695" s="28" t="s">
        <v>5182</v>
      </c>
      <c r="AQ1695" s="28"/>
      <c r="AR1695" s="23"/>
      <c r="AS1695" s="23"/>
      <c r="AT1695" s="23"/>
      <c r="AU1695" s="23"/>
      <c r="AV1695" s="23"/>
    </row>
    <row r="1696">
      <c r="A1696" s="28" t="s">
        <v>5161</v>
      </c>
      <c r="B1696" s="28" t="s">
        <v>5162</v>
      </c>
      <c r="C1696" s="23" t="str">
        <f t="shared" si="39"/>
        <v>Jeimery Sosa</v>
      </c>
      <c r="D1696" s="28" t="s">
        <v>15364</v>
      </c>
      <c r="E1696" s="28" t="s">
        <v>7381</v>
      </c>
      <c r="F1696" s="23">
        <f t="array" ref="F1696">IFERROR(
    INDEX('Hub Interns 226'!A:A, MATCH(C1696, 'Hub Interns 226'!B:B, 0)),"")</f>
        <v>702</v>
      </c>
      <c r="G1696" s="23">
        <f t="array" ref="G1696">IFERROR(
    INDEX('Hub Users 226'!A:A, MATCH(C1696, 'Hub Users 226'!B:B, 0)),"")</f>
        <v>1135</v>
      </c>
      <c r="H1696" s="28">
        <v>348.0</v>
      </c>
      <c r="I1696" s="28" t="s">
        <v>260</v>
      </c>
      <c r="J1696" s="28"/>
      <c r="K1696" s="28"/>
      <c r="L1696" s="28" t="s">
        <v>5196</v>
      </c>
      <c r="M1696" s="56" t="s">
        <v>15365</v>
      </c>
      <c r="N1696" s="57">
        <v>44244.73263888889</v>
      </c>
      <c r="O1696" s="58">
        <v>37752.0</v>
      </c>
      <c r="P1696" s="28">
        <f t="shared" si="42"/>
        <v>23</v>
      </c>
      <c r="Q1696" s="28" t="s">
        <v>15366</v>
      </c>
      <c r="R1696" s="28" t="s">
        <v>15367</v>
      </c>
      <c r="S1696" s="28">
        <v>7.0</v>
      </c>
      <c r="T1696" s="28">
        <v>15.0</v>
      </c>
      <c r="U1696" s="28">
        <v>38.0</v>
      </c>
      <c r="V1696" s="28">
        <v>32.0</v>
      </c>
      <c r="W1696" s="28" t="s">
        <v>1173</v>
      </c>
      <c r="X1696" s="28" t="s">
        <v>272</v>
      </c>
      <c r="Y1696" s="28" t="s">
        <v>15368</v>
      </c>
      <c r="Z1696" s="28" t="s">
        <v>7813</v>
      </c>
      <c r="AA1696" s="28" t="s">
        <v>2033</v>
      </c>
      <c r="AB1696" s="28">
        <v>37.0</v>
      </c>
      <c r="AC1696" s="28" t="s">
        <v>25</v>
      </c>
      <c r="AD1696" s="28" t="s">
        <v>101</v>
      </c>
      <c r="AE1696" s="28" t="s">
        <v>8</v>
      </c>
      <c r="AF1696" s="23" t="str">
        <f>IFERROR(__xludf.DUMMYFUNCTION("TEXTJOIN("", "", TRUE,
  FILTER(Champions!C:C,
    ISNUMBER(SEARCH(C1696, Champions!W:W))
  )
)"),"Sara Benavent, Ibtesam Khan")</f>
        <v>Sara Benavent, Ibtesam Khan</v>
      </c>
      <c r="AG1696" s="23"/>
      <c r="AH1696" s="23" t="str">
        <f>IFERROR(__xludf.DUMMYFUNCTION("IF(
ISNUMBER(MATCH(
C1696,
IMPORTRANGE(""https://docs.google.com/spreadsheets/d/1yTh1ELC33JHYOeEdgIiEclxPRyh0zOKtlawDltfUay8"",""'Interns'!A:A""),
0
)),
""Outreach Conducted"",
"""")"),"")</f>
        <v/>
      </c>
      <c r="AI1696" s="23"/>
      <c r="AJ1696" s="23"/>
      <c r="AK1696" s="23" t="str">
        <f>IFERROR(__xludf.DUMMYFUNCTION("XLOOKUP(C1696, 
   IMPORTRANGE(""1RdEdgHYrZ33LJ7RUHj_h-qkAFL92bcVjtIdVa-UlsCw"", ""Interns!D:D""), 
   IMPORTRANGE(""1RdEdgHYrZ33LJ7RUHj_h-qkAFL92bcVjtIdVa-UlsCw"", ""Interns!M:M""), 
   ""Not Found"")"),"")</f>
        <v/>
      </c>
      <c r="AL1696" s="23" t="str">
        <f>IFERROR(__xludf.DUMMYFUNCTION("XLOOKUP(C1696, 
   IMPORTRANGE(""1RdEdgHYrZ33LJ7RUHj_h-qkAFL92bcVjtIdVa-UlsCw"", ""Interns!D:D""), 
   IMPORTRANGE(""1RdEdgHYrZ33LJ7RUHj_h-qkAFL92bcVjtIdVa-UlsCw"", ""Interns!N:N""), 
   ""Not Found"")"),"")</f>
        <v/>
      </c>
      <c r="AM1696" s="23" t="str">
        <f>IFERROR(__xludf.DUMMYFUNCTION("XLOOKUP(C1696, 
   IMPORTRANGE(""1RdEdgHYrZ33LJ7RUHj_h-qkAFL92bcVjtIdVa-UlsCw"", ""Interns!D:D""), 
   IMPORTRANGE(""1RdEdgHYrZ33LJ7RUHj_h-qkAFL92bcVjtIdVa-UlsCw"", ""Interns!O:O""), 
   ""Not Found"")"),"")</f>
        <v/>
      </c>
      <c r="AN1696" s="23"/>
      <c r="AO1696" s="23" t="s">
        <v>15369</v>
      </c>
      <c r="AP1696" s="28" t="s">
        <v>5182</v>
      </c>
      <c r="AQ1696" s="28" t="s">
        <v>15370</v>
      </c>
      <c r="AR1696" s="23" t="s">
        <v>15371</v>
      </c>
      <c r="AS1696" s="28" t="s">
        <v>11090</v>
      </c>
      <c r="AT1696" s="23"/>
      <c r="AU1696" s="23"/>
      <c r="AV1696" s="23"/>
    </row>
    <row r="1697">
      <c r="A1697" s="28" t="s">
        <v>5161</v>
      </c>
      <c r="B1697" s="28" t="s">
        <v>5162</v>
      </c>
      <c r="C1697" s="23" t="str">
        <f t="shared" si="39"/>
        <v>Mishka Martinez</v>
      </c>
      <c r="D1697" s="22" t="s">
        <v>15372</v>
      </c>
      <c r="E1697" s="22" t="s">
        <v>2010</v>
      </c>
      <c r="F1697" s="23"/>
      <c r="G1697" s="23"/>
      <c r="H1697" s="22">
        <v>1964.0</v>
      </c>
      <c r="I1697" s="28"/>
      <c r="J1697" s="28"/>
      <c r="K1697" s="28"/>
      <c r="L1697" s="28" t="s">
        <v>5196</v>
      </c>
      <c r="M1697" s="29" t="s">
        <v>15373</v>
      </c>
      <c r="N1697" s="61">
        <v>45680.62291666667</v>
      </c>
      <c r="O1697" s="25">
        <v>40580.0</v>
      </c>
      <c r="P1697" s="28">
        <f t="shared" si="42"/>
        <v>15</v>
      </c>
      <c r="Q1697" s="62" t="s">
        <v>240</v>
      </c>
      <c r="R1697" s="22" t="s">
        <v>15374</v>
      </c>
      <c r="S1697" s="28"/>
      <c r="T1697" s="28"/>
      <c r="U1697" s="28"/>
      <c r="V1697" s="28"/>
      <c r="W1697" s="28" t="s">
        <v>1173</v>
      </c>
      <c r="X1697" s="28" t="s">
        <v>272</v>
      </c>
      <c r="Y1697" s="24"/>
      <c r="Z1697" s="22" t="s">
        <v>6332</v>
      </c>
      <c r="AA1697" s="28" t="s">
        <v>5512</v>
      </c>
      <c r="AB1697" s="28">
        <v>30.0</v>
      </c>
      <c r="AC1697" s="28" t="s">
        <v>23</v>
      </c>
      <c r="AD1697" s="23"/>
      <c r="AE1697" s="28" t="s">
        <v>19</v>
      </c>
      <c r="AF1697" s="23"/>
      <c r="AG1697" s="23"/>
      <c r="AH1697" s="23" t="str">
        <f>IFERROR(__xludf.DUMMYFUNCTION("IF(
ISNUMBER(MATCH(
C1697,
IMPORTRANGE(""https://docs.google.com/spreadsheets/d/1yTh1ELC33JHYOeEdgIiEclxPRyh0zOKtlawDltfUay8"",""'Interns'!A:A""),
0
)),
""Outreach Conducted"",
"""")"),"")</f>
        <v/>
      </c>
      <c r="AI1697" s="23"/>
      <c r="AJ1697" s="23"/>
      <c r="AK1697" s="23"/>
      <c r="AL1697" s="23" t="str">
        <f>IFERROR(__xludf.DUMMYFUNCTION("XLOOKUP(C1697, 
   IMPORTRANGE(""1RdEdgHYrZ33LJ7RUHj_h-qkAFL92bcVjtIdVa-UlsCw"", ""Interns!D:D""), 
   IMPORTRANGE(""1RdEdgHYrZ33LJ7RUHj_h-qkAFL92bcVjtIdVa-UlsCw"", ""Interns!N:N""), 
   ""Not Found"")"),"Not Found")</f>
        <v>Not Found</v>
      </c>
      <c r="AM1697" s="23" t="str">
        <f>IFERROR(__xludf.DUMMYFUNCTION("XLOOKUP(C1697, 
   IMPORTRANGE(""1RdEdgHYrZ33LJ7RUHj_h-qkAFL92bcVjtIdVa-UlsCw"", ""Interns!D:D""), 
   IMPORTRANGE(""1RdEdgHYrZ33LJ7RUHj_h-qkAFL92bcVjtIdVa-UlsCw"", ""Interns!O:O""), 
   ""Not Found"")"),"Not Found")</f>
        <v>Not Found</v>
      </c>
      <c r="AN1697" s="23"/>
      <c r="AO1697" s="23" t="s">
        <v>15375</v>
      </c>
      <c r="AP1697" s="28" t="s">
        <v>5182</v>
      </c>
      <c r="AQ1697" s="28" t="s">
        <v>15376</v>
      </c>
      <c r="AR1697" s="23" t="s">
        <v>15377</v>
      </c>
      <c r="AS1697" s="23"/>
      <c r="AT1697" s="23"/>
      <c r="AU1697" s="23"/>
      <c r="AV1697" s="23"/>
    </row>
    <row r="1698">
      <c r="A1698" s="28" t="s">
        <v>5161</v>
      </c>
      <c r="B1698" s="28" t="s">
        <v>5162</v>
      </c>
      <c r="C1698" s="23" t="str">
        <f t="shared" si="39"/>
        <v>Omar Aspiroz</v>
      </c>
      <c r="D1698" s="28" t="s">
        <v>3878</v>
      </c>
      <c r="E1698" s="28" t="s">
        <v>15378</v>
      </c>
      <c r="F1698" s="23">
        <f t="array" ref="F1698">IFERROR(
    INDEX('Hub Interns 226'!A:A, MATCH(C1698, 'Hub Interns 226'!B:B, 0)),"")</f>
        <v>968</v>
      </c>
      <c r="G1698" s="23">
        <f t="array" ref="G1698">IFERROR(
    INDEX('Hub Users 226'!A:A, MATCH(C1698, 'Hub Users 226'!B:B, 0)),"")</f>
        <v>1401</v>
      </c>
      <c r="H1698" s="28">
        <v>1123.0</v>
      </c>
      <c r="I1698" s="28" t="s">
        <v>290</v>
      </c>
      <c r="J1698" s="28"/>
      <c r="K1698" s="28"/>
      <c r="L1698" s="28" t="s">
        <v>5165</v>
      </c>
      <c r="M1698" s="56" t="s">
        <v>15379</v>
      </c>
      <c r="N1698" s="57">
        <v>44729.370833333334</v>
      </c>
      <c r="O1698" s="58">
        <v>39517.0</v>
      </c>
      <c r="P1698" s="28">
        <f t="shared" si="42"/>
        <v>18</v>
      </c>
      <c r="Q1698" s="28" t="s">
        <v>240</v>
      </c>
      <c r="R1698" s="28" t="s">
        <v>15380</v>
      </c>
      <c r="S1698" s="28">
        <v>6.0</v>
      </c>
      <c r="T1698" s="28">
        <v>13.0</v>
      </c>
      <c r="U1698" s="28">
        <v>39.0</v>
      </c>
      <c r="V1698" s="28">
        <v>25.0</v>
      </c>
      <c r="W1698" s="28" t="s">
        <v>1173</v>
      </c>
      <c r="X1698" s="28" t="s">
        <v>272</v>
      </c>
      <c r="Y1698" s="28" t="s">
        <v>15381</v>
      </c>
      <c r="Z1698" s="28" t="s">
        <v>5170</v>
      </c>
      <c r="AA1698" s="28" t="s">
        <v>5171</v>
      </c>
      <c r="AB1698" s="28">
        <v>30.0</v>
      </c>
      <c r="AC1698" s="28" t="s">
        <v>24</v>
      </c>
      <c r="AD1698" s="23"/>
      <c r="AE1698" s="28" t="s">
        <v>10</v>
      </c>
      <c r="AF1698" s="23"/>
      <c r="AG1698" s="23"/>
      <c r="AH1698" s="23" t="str">
        <f>IFERROR(__xludf.DUMMYFUNCTION("IF(
ISNUMBER(MATCH(
C1698,
IMPORTRANGE(""https://docs.google.com/spreadsheets/d/1yTh1ELC33JHYOeEdgIiEclxPRyh0zOKtlawDltfUay8"",""'Interns'!A:A""),
0
)),
""Outreach Conducted"",
"""")"),"")</f>
        <v/>
      </c>
      <c r="AI1698" s="23"/>
      <c r="AJ1698" s="23"/>
      <c r="AK1698" s="23" t="str">
        <f>IFERROR(__xludf.DUMMYFUNCTION("XLOOKUP(C1698, 
   IMPORTRANGE(""1RdEdgHYrZ33LJ7RUHj_h-qkAFL92bcVjtIdVa-UlsCw"", ""Interns!D:D""), 
   IMPORTRANGE(""1RdEdgHYrZ33LJ7RUHj_h-qkAFL92bcVjtIdVa-UlsCw"", ""Interns!M:M""), 
   ""Not Found"")"),"Contacted")</f>
        <v>Contacted</v>
      </c>
      <c r="AL1698" s="23" t="str">
        <f>IFERROR(__xludf.DUMMYFUNCTION("XLOOKUP(C1698, 
   IMPORTRANGE(""1RdEdgHYrZ33LJ7RUHj_h-qkAFL92bcVjtIdVa-UlsCw"", ""Interns!D:D""), 
   IMPORTRANGE(""1RdEdgHYrZ33LJ7RUHj_h-qkAFL92bcVjtIdVa-UlsCw"", ""Interns!N:N""), 
   ""Not Found"")"),"#Cheers4Careers")</f>
        <v>#Cheers4Careers</v>
      </c>
      <c r="AM1698" s="23" t="str">
        <f>IFERROR(__xludf.DUMMYFUNCTION("XLOOKUP(C1698, 
   IMPORTRANGE(""1RdEdgHYrZ33LJ7RUHj_h-qkAFL92bcVjtIdVa-UlsCw"", ""Interns!D:D""), 
   IMPORTRANGE(""1RdEdgHYrZ33LJ7RUHj_h-qkAFL92bcVjtIdVa-UlsCw"", ""Interns!O:O""), 
   ""Not Found"")"),"Hetal reached out March 27 for March #Cheers4 Careers ")</f>
        <v>Hetal reached out March 27 for March #Cheers4 Careers </v>
      </c>
      <c r="AN1698" s="23"/>
      <c r="AO1698" s="23" t="s">
        <v>15382</v>
      </c>
      <c r="AP1698" s="28" t="s">
        <v>5182</v>
      </c>
      <c r="AQ1698" s="28"/>
      <c r="AR1698" s="23"/>
      <c r="AS1698" s="23"/>
      <c r="AT1698" s="23"/>
      <c r="AU1698" s="23"/>
      <c r="AV1698" s="23"/>
    </row>
    <row r="1699">
      <c r="A1699" s="28" t="s">
        <v>5161</v>
      </c>
      <c r="B1699" s="28" t="s">
        <v>5162</v>
      </c>
      <c r="C1699" s="23" t="str">
        <f t="shared" si="39"/>
        <v>Aileen Aceituno</v>
      </c>
      <c r="D1699" s="28" t="s">
        <v>15383</v>
      </c>
      <c r="E1699" s="28" t="s">
        <v>15384</v>
      </c>
      <c r="F1699" s="23">
        <f t="array" ref="F1699">IFERROR(
    INDEX('Hub Interns 226'!A:A, MATCH(C1699, 'Hub Interns 226'!B:B, 0)),"")</f>
        <v>141</v>
      </c>
      <c r="G1699" s="23">
        <f t="array" ref="G1699">IFERROR(
    INDEX('Hub Users 226'!A:A, MATCH(C1699, 'Hub Users 226'!B:B, 0)),"")</f>
        <v>574</v>
      </c>
      <c r="H1699" s="28">
        <v>300.0</v>
      </c>
      <c r="I1699" s="28" t="s">
        <v>269</v>
      </c>
      <c r="J1699" s="28"/>
      <c r="K1699" s="28"/>
      <c r="L1699" s="28" t="s">
        <v>7001</v>
      </c>
      <c r="M1699" s="56" t="s">
        <v>15385</v>
      </c>
      <c r="N1699" s="57">
        <v>44230.77847222222</v>
      </c>
      <c r="O1699" s="58">
        <v>38863.0</v>
      </c>
      <c r="P1699" s="28">
        <f t="shared" si="42"/>
        <v>19</v>
      </c>
      <c r="Q1699" s="28" t="s">
        <v>240</v>
      </c>
      <c r="R1699" s="28" t="s">
        <v>15386</v>
      </c>
      <c r="S1699" s="28"/>
      <c r="T1699" s="28"/>
      <c r="U1699" s="28"/>
      <c r="V1699" s="28"/>
      <c r="W1699" s="28" t="s">
        <v>2023</v>
      </c>
      <c r="X1699" s="28" t="s">
        <v>465</v>
      </c>
      <c r="Y1699" s="28" t="s">
        <v>15387</v>
      </c>
      <c r="Z1699" s="28" t="s">
        <v>12326</v>
      </c>
      <c r="AA1699" s="28" t="s">
        <v>12327</v>
      </c>
      <c r="AB1699" s="28" t="s">
        <v>12328</v>
      </c>
      <c r="AC1699" s="28" t="s">
        <v>24</v>
      </c>
      <c r="AD1699" s="23"/>
      <c r="AE1699" s="28" t="s">
        <v>8</v>
      </c>
      <c r="AF1699" s="23"/>
      <c r="AG1699" s="23"/>
      <c r="AH1699" s="23" t="str">
        <f>IFERROR(__xludf.DUMMYFUNCTION("IF(
ISNUMBER(MATCH(
C1699,
IMPORTRANGE(""https://docs.google.com/spreadsheets/d/1yTh1ELC33JHYOeEdgIiEclxPRyh0zOKtlawDltfUay8"",""'Interns'!A:A""),
0
)),
""Outreach Conducted"",
"""")"),"")</f>
        <v/>
      </c>
      <c r="AI1699" s="23"/>
      <c r="AJ1699" s="23"/>
      <c r="AK1699" s="23" t="str">
        <f>IFERROR(__xludf.DUMMYFUNCTION("XLOOKUP(C1699, 
   IMPORTRANGE(""1RdEdgHYrZ33LJ7RUHj_h-qkAFL92bcVjtIdVa-UlsCw"", ""Interns!D:D""), 
   IMPORTRANGE(""1RdEdgHYrZ33LJ7RUHj_h-qkAFL92bcVjtIdVa-UlsCw"", ""Interns!M:M""), 
   ""Not Found"")"),"")</f>
        <v/>
      </c>
      <c r="AL1699" s="23" t="str">
        <f>IFERROR(__xludf.DUMMYFUNCTION("XLOOKUP(C1699, 
   IMPORTRANGE(""1RdEdgHYrZ33LJ7RUHj_h-qkAFL92bcVjtIdVa-UlsCw"", ""Interns!D:D""), 
   IMPORTRANGE(""1RdEdgHYrZ33LJ7RUHj_h-qkAFL92bcVjtIdVa-UlsCw"", ""Interns!N:N""), 
   ""Not Found"")"),"")</f>
        <v/>
      </c>
      <c r="AM1699" s="23" t="str">
        <f>IFERROR(__xludf.DUMMYFUNCTION("XLOOKUP(C1699, 
   IMPORTRANGE(""1RdEdgHYrZ33LJ7RUHj_h-qkAFL92bcVjtIdVa-UlsCw"", ""Interns!D:D""), 
   IMPORTRANGE(""1RdEdgHYrZ33LJ7RUHj_h-qkAFL92bcVjtIdVa-UlsCw"", ""Interns!O:O""), 
   ""Not Found"")"),"")</f>
        <v/>
      </c>
      <c r="AN1699" s="23"/>
      <c r="AO1699" s="23" t="s">
        <v>15388</v>
      </c>
      <c r="AP1699" s="28" t="s">
        <v>5182</v>
      </c>
      <c r="AQ1699" s="28"/>
      <c r="AR1699" s="23"/>
      <c r="AS1699" s="23"/>
      <c r="AT1699" s="23"/>
      <c r="AU1699" s="23"/>
      <c r="AV1699" s="23"/>
    </row>
    <row r="1700">
      <c r="A1700" s="28" t="s">
        <v>5161</v>
      </c>
      <c r="B1700" s="28" t="s">
        <v>5162</v>
      </c>
      <c r="C1700" s="23" t="str">
        <f t="shared" si="39"/>
        <v>Zainab Tunkara</v>
      </c>
      <c r="D1700" s="28" t="s">
        <v>15389</v>
      </c>
      <c r="E1700" s="28" t="s">
        <v>15390</v>
      </c>
      <c r="F1700" s="23">
        <f t="array" ref="F1700">IFERROR(
    INDEX('Hub Interns 226'!A:A, MATCH(C1700, 'Hub Interns 226'!B:B, 0)),"")</f>
        <v>1773</v>
      </c>
      <c r="G1700" s="23">
        <f t="array" ref="G1700">IFERROR(
    INDEX('Hub Users 226'!A:A, MATCH(C1700, 'Hub Users 226'!B:B, 0)),"")</f>
        <v>2603</v>
      </c>
      <c r="H1700" s="28">
        <v>1650.0</v>
      </c>
      <c r="I1700" s="28" t="s">
        <v>290</v>
      </c>
      <c r="J1700" s="28"/>
      <c r="K1700" s="28"/>
      <c r="L1700" s="28" t="s">
        <v>5196</v>
      </c>
      <c r="M1700" s="56" t="s">
        <v>15391</v>
      </c>
      <c r="N1700" s="57">
        <v>45117.58611111111</v>
      </c>
      <c r="O1700" s="58">
        <v>38950.0</v>
      </c>
      <c r="P1700" s="28">
        <f t="shared" si="42"/>
        <v>19</v>
      </c>
      <c r="Q1700" s="28" t="s">
        <v>15392</v>
      </c>
      <c r="R1700" s="28" t="s">
        <v>15393</v>
      </c>
      <c r="S1700" s="28">
        <v>14.0</v>
      </c>
      <c r="T1700" s="28">
        <v>29.0</v>
      </c>
      <c r="U1700" s="28">
        <v>85.0</v>
      </c>
      <c r="V1700" s="28">
        <v>17.0</v>
      </c>
      <c r="W1700" s="28" t="s">
        <v>859</v>
      </c>
      <c r="X1700" s="28" t="s">
        <v>272</v>
      </c>
      <c r="Y1700" s="28">
        <v>1.9293417163E10</v>
      </c>
      <c r="Z1700" s="28" t="s">
        <v>6714</v>
      </c>
      <c r="AA1700" s="28" t="s">
        <v>5639</v>
      </c>
      <c r="AB1700" s="23"/>
      <c r="AC1700" s="28" t="s">
        <v>27</v>
      </c>
      <c r="AD1700" s="23"/>
      <c r="AE1700" s="28" t="s">
        <v>18</v>
      </c>
      <c r="AF1700" s="23"/>
      <c r="AG1700" s="23"/>
      <c r="AH1700" s="23" t="str">
        <f>IFERROR(__xludf.DUMMYFUNCTION("IF(
ISNUMBER(MATCH(
C1700,
IMPORTRANGE(""https://docs.google.com/spreadsheets/d/1yTh1ELC33JHYOeEdgIiEclxPRyh0zOKtlawDltfUay8"",""'Interns'!A:A""),
0
)),
""Outreach Conducted"",
"""")"),"")</f>
        <v/>
      </c>
      <c r="AI1700" s="23"/>
      <c r="AJ1700" s="23"/>
      <c r="AK1700" s="23" t="str">
        <f>IFERROR(__xludf.DUMMYFUNCTION("XLOOKUP(C1700, 
   IMPORTRANGE(""1RdEdgHYrZ33LJ7RUHj_h-qkAFL92bcVjtIdVa-UlsCw"", ""Interns!D:D""), 
   IMPORTRANGE(""1RdEdgHYrZ33LJ7RUHj_h-qkAFL92bcVjtIdVa-UlsCw"", ""Interns!M:M""), 
   ""Not Found"")"),"Contacted")</f>
        <v>Contacted</v>
      </c>
      <c r="AL1700" s="23" t="str">
        <f>IFERROR(__xludf.DUMMYFUNCTION("XLOOKUP(C1700, 
   IMPORTRANGE(""1RdEdgHYrZ33LJ7RUHj_h-qkAFL92bcVjtIdVa-UlsCw"", ""Interns!D:D""), 
   IMPORTRANGE(""1RdEdgHYrZ33LJ7RUHj_h-qkAFL92bcVjtIdVa-UlsCw"", ""Interns!N:N""), 
   ""Not Found"")"),"#Cheers4Careers")</f>
        <v>#Cheers4Careers</v>
      </c>
      <c r="AM1700" s="23" t="str">
        <f>IFERROR(__xludf.DUMMYFUNCTION("XLOOKUP(C1700, 
   IMPORTRANGE(""1RdEdgHYrZ33LJ7RUHj_h-qkAFL92bcVjtIdVa-UlsCw"", ""Interns!D:D""), 
   IMPORTRANGE(""1RdEdgHYrZ33LJ7RUHj_h-qkAFL92bcVjtIdVa-UlsCw"", ""Interns!O:O""), 
   ""Not Found"")"),"Hetal reached out by text 3/27 for #Cheers4Careers and whatsapp on 3/28
Hetal reached out on 4/10 by whatsapp for April 18th #Cheers4Careers")</f>
        <v>Hetal reached out by text 3/27 for #Cheers4Careers and whatsapp on 3/28
Hetal reached out on 4/10 by whatsapp for April 18th #Cheers4Careers</v>
      </c>
      <c r="AN1700" s="23"/>
      <c r="AO1700" s="23" t="s">
        <v>15394</v>
      </c>
      <c r="AP1700" s="28"/>
      <c r="AQ1700" s="28" t="s">
        <v>15395</v>
      </c>
      <c r="AR1700" s="23">
        <v>6.465933072E9</v>
      </c>
      <c r="AS1700" s="23"/>
      <c r="AT1700" s="23"/>
      <c r="AU1700" s="23"/>
      <c r="AV1700" s="23"/>
    </row>
    <row r="1701">
      <c r="A1701" s="28" t="s">
        <v>5202</v>
      </c>
      <c r="B1701" s="28" t="s">
        <v>5162</v>
      </c>
      <c r="C1701" s="23" t="str">
        <f t="shared" si="39"/>
        <v>Grayson Chen</v>
      </c>
      <c r="D1701" s="22" t="s">
        <v>15396</v>
      </c>
      <c r="E1701" s="22" t="s">
        <v>1741</v>
      </c>
      <c r="F1701" s="23"/>
      <c r="G1701" s="23"/>
      <c r="H1701" s="22">
        <v>2019.0</v>
      </c>
      <c r="I1701" s="28"/>
      <c r="J1701" s="28"/>
      <c r="K1701" s="28"/>
      <c r="L1701" s="28" t="s">
        <v>5165</v>
      </c>
      <c r="M1701" s="29" t="s">
        <v>15397</v>
      </c>
      <c r="N1701" s="61">
        <v>45603.81041666667</v>
      </c>
      <c r="O1701" s="25">
        <v>41186.0</v>
      </c>
      <c r="P1701" s="28">
        <f t="shared" si="42"/>
        <v>13</v>
      </c>
      <c r="Q1701" s="62" t="s">
        <v>15398</v>
      </c>
      <c r="R1701" s="22" t="s">
        <v>15399</v>
      </c>
      <c r="S1701" s="28">
        <v>6.0</v>
      </c>
      <c r="T1701" s="28">
        <v>12.0</v>
      </c>
      <c r="U1701" s="28">
        <v>30.0</v>
      </c>
      <c r="V1701" s="28">
        <v>30.0</v>
      </c>
      <c r="W1701" s="28" t="s">
        <v>1173</v>
      </c>
      <c r="X1701" s="28" t="s">
        <v>272</v>
      </c>
      <c r="Y1701" s="64"/>
      <c r="Z1701" s="22" t="s">
        <v>6346</v>
      </c>
      <c r="AA1701" s="28" t="s">
        <v>5512</v>
      </c>
      <c r="AB1701" s="28">
        <v>30.0</v>
      </c>
      <c r="AC1701" s="28" t="s">
        <v>23</v>
      </c>
      <c r="AD1701" s="23"/>
      <c r="AE1701" s="28" t="s">
        <v>19</v>
      </c>
      <c r="AF1701" s="23"/>
      <c r="AG1701" s="23"/>
      <c r="AH1701" s="23" t="str">
        <f>IFERROR(__xludf.DUMMYFUNCTION("IF(
ISNUMBER(MATCH(
C1701,
IMPORTRANGE(""https://docs.google.com/spreadsheets/d/1yTh1ELC33JHYOeEdgIiEclxPRyh0zOKtlawDltfUay8"",""'Interns'!A:A""),
0
)),
""Outreach Conducted"",
"""")"),"")</f>
        <v/>
      </c>
      <c r="AI1701" s="23"/>
      <c r="AJ1701" s="23"/>
      <c r="AK1701" s="23" t="str">
        <f>IFERROR(__xludf.DUMMYFUNCTION("XLOOKUP(C1701, 
   IMPORTRANGE(""1RdEdgHYrZ33LJ7RUHj_h-qkAFL92bcVjtIdVa-UlsCw"", ""Interns!D:D""), 
   IMPORTRANGE(""1RdEdgHYrZ33LJ7RUHj_h-qkAFL92bcVjtIdVa-UlsCw"", ""Interns!M:M""), 
   ""Not Found"")"),"Not Found")</f>
        <v>Not Found</v>
      </c>
      <c r="AL1701" s="23" t="str">
        <f>IFERROR(__xludf.DUMMYFUNCTION("XLOOKUP(C1701, 
   IMPORTRANGE(""1RdEdgHYrZ33LJ7RUHj_h-qkAFL92bcVjtIdVa-UlsCw"", ""Interns!D:D""), 
   IMPORTRANGE(""1RdEdgHYrZ33LJ7RUHj_h-qkAFL92bcVjtIdVa-UlsCw"", ""Interns!N:N""), 
   ""Not Found"")"),"Not Found")</f>
        <v>Not Found</v>
      </c>
      <c r="AM1701" s="23" t="str">
        <f>IFERROR(__xludf.DUMMYFUNCTION("XLOOKUP(C1701, 
   IMPORTRANGE(""1RdEdgHYrZ33LJ7RUHj_h-qkAFL92bcVjtIdVa-UlsCw"", ""Interns!D:D""), 
   IMPORTRANGE(""1RdEdgHYrZ33LJ7RUHj_h-qkAFL92bcVjtIdVa-UlsCw"", ""Interns!O:O""), 
   ""Not Found"")"),"Not Found")</f>
        <v>Not Found</v>
      </c>
      <c r="AN1701" s="23"/>
      <c r="AO1701" s="23" t="s">
        <v>15400</v>
      </c>
      <c r="AP1701" s="28" t="s">
        <v>5191</v>
      </c>
      <c r="AQ1701" s="28" t="s">
        <v>15401</v>
      </c>
      <c r="AR1701" s="23">
        <v>9.179150396E9</v>
      </c>
      <c r="AS1701" s="23"/>
      <c r="AT1701" s="23"/>
      <c r="AU1701" s="23"/>
      <c r="AV1701" s="23"/>
    </row>
    <row r="1702">
      <c r="A1702" s="28" t="s">
        <v>5202</v>
      </c>
      <c r="B1702" s="28" t="s">
        <v>5162</v>
      </c>
      <c r="C1702" s="23" t="str">
        <f t="shared" si="39"/>
        <v>Hazel Perez</v>
      </c>
      <c r="D1702" s="28" t="s">
        <v>14922</v>
      </c>
      <c r="E1702" s="28" t="s">
        <v>5175</v>
      </c>
      <c r="F1702" s="23">
        <f t="array" ref="F1702">IFERROR(
    INDEX('Hub Interns 226'!A:A, MATCH(C1702, 'Hub Interns 226'!B:B, 0)),"")</f>
        <v>571</v>
      </c>
      <c r="G1702" s="23">
        <f t="array" ref="G1702">IFERROR(
    INDEX('Hub Users 226'!A:A, MATCH(C1702, 'Hub Users 226'!B:B, 0)),"")</f>
        <v>1004</v>
      </c>
      <c r="H1702" s="28">
        <v>1054.0</v>
      </c>
      <c r="I1702" s="28" t="s">
        <v>407</v>
      </c>
      <c r="J1702" s="28"/>
      <c r="K1702" s="28"/>
      <c r="L1702" s="28" t="s">
        <v>5196</v>
      </c>
      <c r="M1702" s="56" t="s">
        <v>15402</v>
      </c>
      <c r="N1702" s="57">
        <v>44690.489583333336</v>
      </c>
      <c r="O1702" s="58">
        <v>39171.0</v>
      </c>
      <c r="P1702" s="28">
        <f t="shared" si="42"/>
        <v>19</v>
      </c>
      <c r="Q1702" s="28" t="s">
        <v>240</v>
      </c>
      <c r="R1702" s="28" t="s">
        <v>15403</v>
      </c>
      <c r="S1702" s="28">
        <v>6.0</v>
      </c>
      <c r="T1702" s="28">
        <v>13.0</v>
      </c>
      <c r="U1702" s="28">
        <v>35.0</v>
      </c>
      <c r="V1702" s="28">
        <v>21.0</v>
      </c>
      <c r="W1702" s="28" t="s">
        <v>1173</v>
      </c>
      <c r="X1702" s="28" t="s">
        <v>272</v>
      </c>
      <c r="Y1702" s="28" t="s">
        <v>15404</v>
      </c>
      <c r="Z1702" s="28" t="s">
        <v>15405</v>
      </c>
      <c r="AA1702" s="23"/>
      <c r="AB1702" s="23"/>
      <c r="AC1702" s="23"/>
      <c r="AD1702" s="23"/>
      <c r="AE1702" s="23"/>
      <c r="AF1702" s="23"/>
      <c r="AG1702" s="23"/>
      <c r="AH1702" s="23" t="str">
        <f>IFERROR(__xludf.DUMMYFUNCTION("IF(
ISNUMBER(MATCH(
C1702,
IMPORTRANGE(""https://docs.google.com/spreadsheets/d/1yTh1ELC33JHYOeEdgIiEclxPRyh0zOKtlawDltfUay8"",""'Interns'!A:A""),
0
)),
""Outreach Conducted"",
"""")"),"")</f>
        <v/>
      </c>
      <c r="AI1702" s="23"/>
      <c r="AJ1702" s="23"/>
      <c r="AK1702" s="23" t="str">
        <f>IFERROR(__xludf.DUMMYFUNCTION("XLOOKUP(C1702, 
   IMPORTRANGE(""1RdEdgHYrZ33LJ7RUHj_h-qkAFL92bcVjtIdVa-UlsCw"", ""Interns!D:D""), 
   IMPORTRANGE(""1RdEdgHYrZ33LJ7RUHj_h-qkAFL92bcVjtIdVa-UlsCw"", ""Interns!M:M""), 
   ""Not Found"")"),"Contacted")</f>
        <v>Contacted</v>
      </c>
      <c r="AL1702" s="23" t="str">
        <f>IFERROR(__xludf.DUMMYFUNCTION("XLOOKUP(C1702, 
   IMPORTRANGE(""1RdEdgHYrZ33LJ7RUHj_h-qkAFL92bcVjtIdVa-UlsCw"", ""Interns!D:D""), 
   IMPORTRANGE(""1RdEdgHYrZ33LJ7RUHj_h-qkAFL92bcVjtIdVa-UlsCw"", ""Interns!N:N""), 
   ""Not Found"")"),"#Cheers4Careers")</f>
        <v>#Cheers4Careers</v>
      </c>
      <c r="AM1702" s="23" t="str">
        <f>IFERROR(__xludf.DUMMYFUNCTION("XLOOKUP(C1702, 
   IMPORTRANGE(""1RdEdgHYrZ33LJ7RUHj_h-qkAFL92bcVjtIdVa-UlsCw"", ""Interns!D:D""), 
   IMPORTRANGE(""1RdEdgHYrZ33LJ7RUHj_h-qkAFL92bcVjtIdVa-UlsCw"", ""Interns!O:O""), 
   ""Not Found"")"),"Hetal reached out March 27 for March #Cheers4 Careers ")</f>
        <v>Hetal reached out March 27 for March #Cheers4 Careers </v>
      </c>
      <c r="AN1702" s="23"/>
      <c r="AO1702" s="23" t="s">
        <v>15406</v>
      </c>
      <c r="AP1702" s="28" t="s">
        <v>5182</v>
      </c>
      <c r="AQ1702" s="28"/>
      <c r="AR1702" s="23"/>
      <c r="AS1702" s="23"/>
      <c r="AT1702" s="23"/>
      <c r="AU1702" s="23"/>
      <c r="AV1702" s="23"/>
    </row>
    <row r="1703">
      <c r="A1703" s="28" t="s">
        <v>5202</v>
      </c>
      <c r="B1703" s="28" t="s">
        <v>5162</v>
      </c>
      <c r="C1703" s="23" t="str">
        <f t="shared" si="39"/>
        <v>Jocelyn Leon</v>
      </c>
      <c r="D1703" s="28" t="s">
        <v>13742</v>
      </c>
      <c r="E1703" s="28" t="s">
        <v>3146</v>
      </c>
      <c r="F1703" s="23">
        <f t="array" ref="F1703">IFERROR(
    INDEX('Hub Interns 226'!A:A, MATCH(C1703, 'Hub Interns 226'!B:B, 0)),"")</f>
        <v>607</v>
      </c>
      <c r="G1703" s="23">
        <f t="array" ref="G1703">IFERROR(
    INDEX('Hub Users 226'!A:A, MATCH(C1703, 'Hub Users 226'!B:B, 0)),"")</f>
        <v>1040</v>
      </c>
      <c r="H1703" s="28">
        <v>961.0</v>
      </c>
      <c r="I1703" s="28" t="s">
        <v>290</v>
      </c>
      <c r="J1703" s="28"/>
      <c r="K1703" s="28"/>
      <c r="L1703" s="28" t="s">
        <v>5196</v>
      </c>
      <c r="M1703" s="56" t="s">
        <v>15407</v>
      </c>
      <c r="N1703" s="57">
        <v>44628.55416666667</v>
      </c>
      <c r="O1703" s="58">
        <v>38007.0</v>
      </c>
      <c r="P1703" s="28">
        <f t="shared" si="42"/>
        <v>22</v>
      </c>
      <c r="Q1703" s="28" t="s">
        <v>240</v>
      </c>
      <c r="R1703" s="28" t="s">
        <v>15408</v>
      </c>
      <c r="S1703" s="28">
        <v>9.0</v>
      </c>
      <c r="T1703" s="28">
        <v>21.0</v>
      </c>
      <c r="U1703" s="28">
        <v>42.0</v>
      </c>
      <c r="V1703" s="28">
        <v>40.0</v>
      </c>
      <c r="W1703" s="28" t="s">
        <v>294</v>
      </c>
      <c r="X1703" s="28" t="s">
        <v>272</v>
      </c>
      <c r="Y1703" s="28" t="s">
        <v>15409</v>
      </c>
      <c r="Z1703" s="28" t="s">
        <v>5589</v>
      </c>
      <c r="AA1703" s="28" t="s">
        <v>5590</v>
      </c>
      <c r="AB1703" s="28">
        <v>35.0</v>
      </c>
      <c r="AC1703" s="28" t="s">
        <v>24</v>
      </c>
      <c r="AD1703" s="23"/>
      <c r="AE1703" s="28" t="s">
        <v>10</v>
      </c>
      <c r="AF1703" s="23"/>
      <c r="AG1703" s="23"/>
      <c r="AH1703" s="23" t="str">
        <f>IFERROR(__xludf.DUMMYFUNCTION("IF(
ISNUMBER(MATCH(
C1703,
IMPORTRANGE(""https://docs.google.com/spreadsheets/d/1yTh1ELC33JHYOeEdgIiEclxPRyh0zOKtlawDltfUay8"",""'Interns'!A:A""),
0
)),
""Outreach Conducted"",
"""")"),"")</f>
        <v/>
      </c>
      <c r="AI1703" s="23"/>
      <c r="AJ1703" s="23"/>
      <c r="AK1703" s="23" t="str">
        <f>IFERROR(__xludf.DUMMYFUNCTION("XLOOKUP(C1703, 
   IMPORTRANGE(""1RdEdgHYrZ33LJ7RUHj_h-qkAFL92bcVjtIdVa-UlsCw"", ""Interns!D:D""), 
   IMPORTRANGE(""1RdEdgHYrZ33LJ7RUHj_h-qkAFL92bcVjtIdVa-UlsCw"", ""Interns!M:M""), 
   ""Not Found"")"),"")</f>
        <v/>
      </c>
      <c r="AL1703" s="23" t="str">
        <f>IFERROR(__xludf.DUMMYFUNCTION("XLOOKUP(C1703, 
   IMPORTRANGE(""1RdEdgHYrZ33LJ7RUHj_h-qkAFL92bcVjtIdVa-UlsCw"", ""Interns!D:D""), 
   IMPORTRANGE(""1RdEdgHYrZ33LJ7RUHj_h-qkAFL92bcVjtIdVa-UlsCw"", ""Interns!N:N""), 
   ""Not Found"")"),"")</f>
        <v/>
      </c>
      <c r="AM1703" s="23" t="str">
        <f>IFERROR(__xludf.DUMMYFUNCTION("XLOOKUP(C1703, 
   IMPORTRANGE(""1RdEdgHYrZ33LJ7RUHj_h-qkAFL92bcVjtIdVa-UlsCw"", ""Interns!D:D""), 
   IMPORTRANGE(""1RdEdgHYrZ33LJ7RUHj_h-qkAFL92bcVjtIdVa-UlsCw"", ""Interns!O:O""), 
   ""Not Found"")"),"")</f>
        <v/>
      </c>
      <c r="AN1703" s="23"/>
      <c r="AO1703" s="23" t="s">
        <v>15410</v>
      </c>
      <c r="AP1703" s="28" t="s">
        <v>5173</v>
      </c>
      <c r="AQ1703" s="28"/>
      <c r="AR1703" s="23"/>
      <c r="AS1703" s="23"/>
      <c r="AT1703" s="23"/>
      <c r="AU1703" s="23"/>
      <c r="AV1703" s="23"/>
    </row>
    <row r="1704">
      <c r="A1704" s="28" t="s">
        <v>5161</v>
      </c>
      <c r="B1704" s="28" t="s">
        <v>5162</v>
      </c>
      <c r="C1704" s="23" t="str">
        <f t="shared" si="39"/>
        <v>Melany Ochoa</v>
      </c>
      <c r="D1704" s="28" t="s">
        <v>8984</v>
      </c>
      <c r="E1704" s="28" t="s">
        <v>12243</v>
      </c>
      <c r="F1704" s="23">
        <f t="array" ref="F1704">IFERROR(
    INDEX('Hub Interns 226'!A:A, MATCH(C1704, 'Hub Interns 226'!B:B, 0)),"")</f>
        <v>871</v>
      </c>
      <c r="G1704" s="23">
        <f t="array" ref="G1704">IFERROR(
    INDEX('Hub Users 226'!A:A, MATCH(C1704, 'Hub Users 226'!B:B, 0)),"")</f>
        <v>1304</v>
      </c>
      <c r="H1704" s="28">
        <v>997.0</v>
      </c>
      <c r="I1704" s="28" t="s">
        <v>260</v>
      </c>
      <c r="J1704" s="28"/>
      <c r="K1704" s="28"/>
      <c r="L1704" s="28" t="s">
        <v>5196</v>
      </c>
      <c r="M1704" s="56" t="s">
        <v>15411</v>
      </c>
      <c r="N1704" s="57">
        <v>44647.87152777778</v>
      </c>
      <c r="O1704" s="58">
        <v>40132.0</v>
      </c>
      <c r="P1704" s="28">
        <f t="shared" si="42"/>
        <v>16</v>
      </c>
      <c r="Q1704" s="28" t="s">
        <v>240</v>
      </c>
      <c r="R1704" s="28" t="s">
        <v>15412</v>
      </c>
      <c r="S1704" s="28">
        <v>7.0</v>
      </c>
      <c r="T1704" s="28">
        <v>15.0</v>
      </c>
      <c r="U1704" s="28">
        <v>38.0</v>
      </c>
      <c r="V1704" s="28">
        <v>32.0</v>
      </c>
      <c r="W1704" s="28" t="s">
        <v>1173</v>
      </c>
      <c r="X1704" s="28" t="s">
        <v>272</v>
      </c>
      <c r="Y1704" s="28" t="s">
        <v>15413</v>
      </c>
      <c r="Z1704" s="28" t="s">
        <v>9652</v>
      </c>
      <c r="AA1704" s="28" t="s">
        <v>9653</v>
      </c>
      <c r="AB1704" s="28">
        <v>30.0</v>
      </c>
      <c r="AC1704" s="28" t="s">
        <v>24</v>
      </c>
      <c r="AD1704" s="23"/>
      <c r="AE1704" s="28" t="s">
        <v>10</v>
      </c>
      <c r="AF1704" s="23"/>
      <c r="AG1704" s="23"/>
      <c r="AH1704" s="23" t="str">
        <f>IFERROR(__xludf.DUMMYFUNCTION("IF(
ISNUMBER(MATCH(
C1704,
IMPORTRANGE(""https://docs.google.com/spreadsheets/d/1yTh1ELC33JHYOeEdgIiEclxPRyh0zOKtlawDltfUay8"",""'Interns'!A:A""),
0
)),
""Outreach Conducted"",
"""")"),"")</f>
        <v/>
      </c>
      <c r="AI1704" s="23"/>
      <c r="AJ1704" s="23"/>
      <c r="AK1704" s="23" t="str">
        <f>IFERROR(__xludf.DUMMYFUNCTION("XLOOKUP(C1704, 
   IMPORTRANGE(""1RdEdgHYrZ33LJ7RUHj_h-qkAFL92bcVjtIdVa-UlsCw"", ""Interns!D:D""), 
   IMPORTRANGE(""1RdEdgHYrZ33LJ7RUHj_h-qkAFL92bcVjtIdVa-UlsCw"", ""Interns!M:M""), 
   ""Not Found"")"),"Contacted")</f>
        <v>Contacted</v>
      </c>
      <c r="AL1704" s="23" t="str">
        <f>IFERROR(__xludf.DUMMYFUNCTION("XLOOKUP(C1704, 
   IMPORTRANGE(""1RdEdgHYrZ33LJ7RUHj_h-qkAFL92bcVjtIdVa-UlsCw"", ""Interns!D:D""), 
   IMPORTRANGE(""1RdEdgHYrZ33LJ7RUHj_h-qkAFL92bcVjtIdVa-UlsCw"", ""Interns!N:N""), 
   ""Not Found"")"),"#Cheers4Careers")</f>
        <v>#Cheers4Careers</v>
      </c>
      <c r="AM1704" s="23" t="str">
        <f>IFERROR(__xludf.DUMMYFUNCTION("XLOOKUP(C1704, 
   IMPORTRANGE(""1RdEdgHYrZ33LJ7RUHj_h-qkAFL92bcVjtIdVa-UlsCw"", ""Interns!D:D""), 
   IMPORTRANGE(""1RdEdgHYrZ33LJ7RUHj_h-qkAFL92bcVjtIdVa-UlsCw"", ""Interns!O:O""), 
   ""Not Found"")"),"MENNA: Reached out by email 3/26 and by text 3/27 for Cheers 4 Careers Reached out again 3/28 but no response….. MENNA REACHED OUT FOR THE April 18th")</f>
        <v>MENNA: Reached out by email 3/26 and by text 3/27 for Cheers 4 Careers Reached out again 3/28 but no response….. MENNA REACHED OUT FOR THE April 18th</v>
      </c>
      <c r="AN1704" s="23"/>
      <c r="AO1704" s="23" t="s">
        <v>15414</v>
      </c>
      <c r="AP1704" s="28" t="s">
        <v>5182</v>
      </c>
      <c r="AQ1704" s="28"/>
      <c r="AR1704" s="23"/>
      <c r="AS1704" s="23"/>
      <c r="AT1704" s="23"/>
      <c r="AU1704" s="23"/>
      <c r="AV1704" s="23"/>
    </row>
    <row r="1705">
      <c r="A1705" s="28" t="s">
        <v>5161</v>
      </c>
      <c r="B1705" s="28" t="s">
        <v>5162</v>
      </c>
      <c r="C1705" s="23" t="str">
        <f t="shared" si="39"/>
        <v>Davionn Thomas</v>
      </c>
      <c r="D1705" s="28" t="s">
        <v>15415</v>
      </c>
      <c r="E1705" s="28" t="s">
        <v>3672</v>
      </c>
      <c r="F1705" s="23">
        <f t="array" ref="F1705">IFERROR(
    INDEX('Hub Interns 226'!A:A, MATCH(C1705, 'Hub Interns 226'!B:B, 0)),"")</f>
        <v>417</v>
      </c>
      <c r="G1705" s="23">
        <f t="array" ref="G1705">IFERROR(
    INDEX('Hub Users 226'!A:A, MATCH(C1705, 'Hub Users 226'!B:B, 0)),"")</f>
        <v>850</v>
      </c>
      <c r="H1705" s="28">
        <v>821.0</v>
      </c>
      <c r="I1705" s="28" t="s">
        <v>290</v>
      </c>
      <c r="J1705" s="28"/>
      <c r="K1705" s="28"/>
      <c r="L1705" s="28" t="s">
        <v>5165</v>
      </c>
      <c r="M1705" s="56" t="s">
        <v>15416</v>
      </c>
      <c r="N1705" s="57">
        <v>44572.39861111111</v>
      </c>
      <c r="O1705" s="58">
        <v>38488.0</v>
      </c>
      <c r="P1705" s="28">
        <f t="shared" si="42"/>
        <v>21</v>
      </c>
      <c r="Q1705" s="28" t="s">
        <v>240</v>
      </c>
      <c r="R1705" s="28" t="s">
        <v>15417</v>
      </c>
      <c r="S1705" s="28">
        <v>8.0</v>
      </c>
      <c r="T1705" s="28">
        <v>19.0</v>
      </c>
      <c r="U1705" s="28">
        <v>59.0</v>
      </c>
      <c r="V1705" s="28">
        <v>46.0</v>
      </c>
      <c r="W1705" s="28" t="s">
        <v>294</v>
      </c>
      <c r="X1705" s="28" t="s">
        <v>272</v>
      </c>
      <c r="Y1705" s="28" t="s">
        <v>15418</v>
      </c>
      <c r="Z1705" s="28" t="s">
        <v>5332</v>
      </c>
      <c r="AA1705" s="28" t="s">
        <v>421</v>
      </c>
      <c r="AB1705" s="28">
        <v>31.0</v>
      </c>
      <c r="AC1705" s="28" t="s">
        <v>24</v>
      </c>
      <c r="AD1705" s="23"/>
      <c r="AE1705" s="28" t="s">
        <v>10</v>
      </c>
      <c r="AF1705" s="23"/>
      <c r="AG1705" s="23"/>
      <c r="AH1705" s="23" t="str">
        <f>IFERROR(__xludf.DUMMYFUNCTION("IF(
ISNUMBER(MATCH(
C1705,
IMPORTRANGE(""https://docs.google.com/spreadsheets/d/1yTh1ELC33JHYOeEdgIiEclxPRyh0zOKtlawDltfUay8"",""'Interns'!A:A""),
0
)),
""Outreach Conducted"",
"""")"),"")</f>
        <v/>
      </c>
      <c r="AI1705" s="23"/>
      <c r="AJ1705" s="23"/>
      <c r="AK1705" s="23" t="str">
        <f>IFERROR(__xludf.DUMMYFUNCTION("XLOOKUP(C1705, 
   IMPORTRANGE(""1RdEdgHYrZ33LJ7RUHj_h-qkAFL92bcVjtIdVa-UlsCw"", ""Interns!D:D""), 
   IMPORTRANGE(""1RdEdgHYrZ33LJ7RUHj_h-qkAFL92bcVjtIdVa-UlsCw"", ""Interns!M:M""), 
   ""Not Found"")"),"Contacted")</f>
        <v>Contacted</v>
      </c>
      <c r="AL1705" s="23" t="str">
        <f>IFERROR(__xludf.DUMMYFUNCTION("XLOOKUP(C1705, 
   IMPORTRANGE(""1RdEdgHYrZ33LJ7RUHj_h-qkAFL92bcVjtIdVa-UlsCw"", ""Interns!D:D""), 
   IMPORTRANGE(""1RdEdgHYrZ33LJ7RUHj_h-qkAFL92bcVjtIdVa-UlsCw"", ""Interns!N:N""), 
   ""Not Found"")"),"#Cheers4Careers")</f>
        <v>#Cheers4Careers</v>
      </c>
      <c r="AM1705" s="23" t="str">
        <f>IFERROR(__xludf.DUMMYFUNCTION("XLOOKUP(C1705, 
   IMPORTRANGE(""1RdEdgHYrZ33LJ7RUHj_h-qkAFL92bcVjtIdVa-UlsCw"", ""Interns!D:D""), 
   IMPORTRANGE(""1RdEdgHYrZ33LJ7RUHj_h-qkAFL92bcVjtIdVa-UlsCw"", ""Interns!O:O""), 
   ""Not Found"")"),"Hetal reached out March 27 for March #Cheers4 Careers ")</f>
        <v>Hetal reached out March 27 for March #Cheers4 Careers </v>
      </c>
      <c r="AN1705" s="23"/>
      <c r="AO1705" s="23" t="s">
        <v>15419</v>
      </c>
      <c r="AP1705" s="28" t="s">
        <v>5182</v>
      </c>
      <c r="AQ1705" s="28"/>
      <c r="AR1705" s="23"/>
      <c r="AS1705" s="23"/>
      <c r="AT1705" s="23"/>
      <c r="AU1705" s="23"/>
      <c r="AV1705" s="23"/>
    </row>
    <row r="1706">
      <c r="A1706" s="28" t="s">
        <v>5161</v>
      </c>
      <c r="B1706" s="28" t="s">
        <v>5162</v>
      </c>
      <c r="C1706" s="23" t="str">
        <f t="shared" si="39"/>
        <v>Yasmine Abbas</v>
      </c>
      <c r="D1706" s="28" t="s">
        <v>11853</v>
      </c>
      <c r="E1706" s="28" t="s">
        <v>15420</v>
      </c>
      <c r="F1706" s="23" t="str">
        <f t="array" ref="F1706">IFERROR(
    INDEX('Hub Interns 226'!A:A, MATCH(C1706, 'Hub Interns 226'!B:B, 0)),"")</f>
        <v/>
      </c>
      <c r="G1706" s="23">
        <f t="array" ref="G1706">IFERROR(
    INDEX('Hub Users 226'!A:A, MATCH(C1706, 'Hub Users 226'!B:B, 0)),"")</f>
        <v>1850</v>
      </c>
      <c r="H1706" s="28">
        <v>1719.0</v>
      </c>
      <c r="I1706" s="28" t="s">
        <v>425</v>
      </c>
      <c r="J1706" s="28"/>
      <c r="K1706" s="28"/>
      <c r="L1706" s="28" t="s">
        <v>5196</v>
      </c>
      <c r="M1706" s="56" t="s">
        <v>15421</v>
      </c>
      <c r="N1706" s="57">
        <v>45266.40347222222</v>
      </c>
      <c r="O1706" s="58">
        <v>41135.0</v>
      </c>
      <c r="P1706" s="28">
        <f t="shared" si="42"/>
        <v>13</v>
      </c>
      <c r="Q1706" s="28" t="s">
        <v>240</v>
      </c>
      <c r="R1706" s="28" t="s">
        <v>15422</v>
      </c>
      <c r="S1706" s="28">
        <v>6.0</v>
      </c>
      <c r="T1706" s="28">
        <v>13.0</v>
      </c>
      <c r="U1706" s="28">
        <v>39.0</v>
      </c>
      <c r="V1706" s="28">
        <v>25.0</v>
      </c>
      <c r="W1706" s="28" t="s">
        <v>1173</v>
      </c>
      <c r="X1706" s="28" t="s">
        <v>272</v>
      </c>
      <c r="Y1706" s="28" t="s">
        <v>15423</v>
      </c>
      <c r="Z1706" s="28" t="s">
        <v>5170</v>
      </c>
      <c r="AA1706" s="28" t="s">
        <v>5171</v>
      </c>
      <c r="AB1706" s="28">
        <v>30.0</v>
      </c>
      <c r="AC1706" s="28" t="s">
        <v>23</v>
      </c>
      <c r="AD1706" s="23"/>
      <c r="AE1706" s="28" t="s">
        <v>18</v>
      </c>
      <c r="AF1706" s="23"/>
      <c r="AG1706" s="23"/>
      <c r="AH1706" s="23" t="str">
        <f>IFERROR(__xludf.DUMMYFUNCTION("IF(
ISNUMBER(MATCH(
C1706,
IMPORTRANGE(""https://docs.google.com/spreadsheets/d/1yTh1ELC33JHYOeEdgIiEclxPRyh0zOKtlawDltfUay8"",""'Interns'!A:A""),
0
)),
""Outreach Conducted"",
"""")"),"")</f>
        <v/>
      </c>
      <c r="AI1706" s="23"/>
      <c r="AJ1706" s="23"/>
      <c r="AK1706" s="23" t="str">
        <f>IFERROR(__xludf.DUMMYFUNCTION("XLOOKUP(C1706, 
   IMPORTRANGE(""1RdEdgHYrZ33LJ7RUHj_h-qkAFL92bcVjtIdVa-UlsCw"", ""Interns!D:D""), 
   IMPORTRANGE(""1RdEdgHYrZ33LJ7RUHj_h-qkAFL92bcVjtIdVa-UlsCw"", ""Interns!M:M""), 
   ""Not Found"")"),"Contacted")</f>
        <v>Contacted</v>
      </c>
      <c r="AL1706" s="23" t="str">
        <f>IFERROR(__xludf.DUMMYFUNCTION("XLOOKUP(C1706, 
   IMPORTRANGE(""1RdEdgHYrZ33LJ7RUHj_h-qkAFL92bcVjtIdVa-UlsCw"", ""Interns!D:D""), 
   IMPORTRANGE(""1RdEdgHYrZ33LJ7RUHj_h-qkAFL92bcVjtIdVa-UlsCw"", ""Interns!N:N""), 
   ""Not Found"")"),"#Cheers4Careers")</f>
        <v>#Cheers4Careers</v>
      </c>
      <c r="AM1706" s="23" t="str">
        <f>IFERROR(__xludf.DUMMYFUNCTION("XLOOKUP(C1706, 
   IMPORTRANGE(""1RdEdgHYrZ33LJ7RUHj_h-qkAFL92bcVjtIdVa-UlsCw"", ""Interns!D:D""), 
   IMPORTRANGE(""1RdEdgHYrZ33LJ7RUHj_h-qkAFL92bcVjtIdVa-UlsCw"", ""Interns!O:O""), 
   ""Not Found"")"),"Hetal reached out March 27 for March #Cheers4 Careers ")</f>
        <v>Hetal reached out March 27 for March #Cheers4 Careers </v>
      </c>
      <c r="AN1706" s="23"/>
      <c r="AO1706" s="23" t="s">
        <v>15424</v>
      </c>
      <c r="AP1706" s="28" t="s">
        <v>5182</v>
      </c>
      <c r="AQ1706" s="28"/>
      <c r="AR1706" s="23"/>
      <c r="AS1706" s="23"/>
      <c r="AT1706" s="23"/>
      <c r="AU1706" s="23"/>
      <c r="AV1706" s="23"/>
    </row>
    <row r="1707">
      <c r="A1707" s="28" t="s">
        <v>5161</v>
      </c>
      <c r="B1707" s="28" t="s">
        <v>5162</v>
      </c>
      <c r="C1707" s="23" t="str">
        <f t="shared" si="39"/>
        <v>Eduardo Garcia</v>
      </c>
      <c r="D1707" s="28" t="s">
        <v>15425</v>
      </c>
      <c r="E1707" s="28" t="s">
        <v>1484</v>
      </c>
      <c r="F1707" s="23">
        <f t="array" ref="F1707">IFERROR(
    INDEX('Hub Interns 226'!A:A, MATCH(C1707, 'Hub Interns 226'!B:B, 0)),"")</f>
        <v>470</v>
      </c>
      <c r="G1707" s="23">
        <f t="array" ref="G1707">IFERROR(
    INDEX('Hub Users 226'!A:A, MATCH(C1707, 'Hub Users 226'!B:B, 0)),"")</f>
        <v>903</v>
      </c>
      <c r="H1707" s="28">
        <v>1021.0</v>
      </c>
      <c r="I1707" s="28" t="s">
        <v>407</v>
      </c>
      <c r="J1707" s="28"/>
      <c r="K1707" s="28"/>
      <c r="L1707" s="28" t="s">
        <v>5165</v>
      </c>
      <c r="M1707" s="56" t="s">
        <v>15426</v>
      </c>
      <c r="N1707" s="57">
        <v>44658.42291666667</v>
      </c>
      <c r="O1707" s="58">
        <v>40076.0</v>
      </c>
      <c r="P1707" s="28">
        <f t="shared" si="42"/>
        <v>16</v>
      </c>
      <c r="Q1707" s="28" t="s">
        <v>240</v>
      </c>
      <c r="R1707" s="28" t="s">
        <v>15427</v>
      </c>
      <c r="S1707" s="28">
        <v>6.0</v>
      </c>
      <c r="T1707" s="28">
        <v>13.0</v>
      </c>
      <c r="U1707" s="28">
        <v>39.0</v>
      </c>
      <c r="V1707" s="28">
        <v>25.0</v>
      </c>
      <c r="W1707" s="28" t="s">
        <v>1173</v>
      </c>
      <c r="X1707" s="28" t="s">
        <v>272</v>
      </c>
      <c r="Y1707" s="28" t="s">
        <v>15428</v>
      </c>
      <c r="Z1707" s="28" t="s">
        <v>7427</v>
      </c>
      <c r="AA1707" s="28" t="s">
        <v>7428</v>
      </c>
      <c r="AB1707" s="28">
        <v>34.0</v>
      </c>
      <c r="AC1707" s="28" t="s">
        <v>24</v>
      </c>
      <c r="AD1707" s="23"/>
      <c r="AE1707" s="28" t="s">
        <v>10</v>
      </c>
      <c r="AF1707" s="23"/>
      <c r="AG1707" s="23"/>
      <c r="AH1707" s="23" t="str">
        <f>IFERROR(__xludf.DUMMYFUNCTION("IF(
ISNUMBER(MATCH(
C1707,
IMPORTRANGE(""https://docs.google.com/spreadsheets/d/1yTh1ELC33JHYOeEdgIiEclxPRyh0zOKtlawDltfUay8"",""'Interns'!A:A""),
0
)),
""Outreach Conducted"",
"""")"),"")</f>
        <v/>
      </c>
      <c r="AI1707" s="23"/>
      <c r="AJ1707" s="23"/>
      <c r="AK1707" s="23" t="str">
        <f>IFERROR(__xludf.DUMMYFUNCTION("XLOOKUP(C1707, 
   IMPORTRANGE(""1RdEdgHYrZ33LJ7RUHj_h-qkAFL92bcVjtIdVa-UlsCw"", ""Interns!D:D""), 
   IMPORTRANGE(""1RdEdgHYrZ33LJ7RUHj_h-qkAFL92bcVjtIdVa-UlsCw"", ""Interns!M:M""), 
   ""Not Found"")"),"Contacted")</f>
        <v>Contacted</v>
      </c>
      <c r="AL1707" s="23" t="str">
        <f>IFERROR(__xludf.DUMMYFUNCTION("XLOOKUP(C1707, 
   IMPORTRANGE(""1RdEdgHYrZ33LJ7RUHj_h-qkAFL92bcVjtIdVa-UlsCw"", ""Interns!D:D""), 
   IMPORTRANGE(""1RdEdgHYrZ33LJ7RUHj_h-qkAFL92bcVjtIdVa-UlsCw"", ""Interns!N:N""), 
   ""Not Found"")"),"#Cheers4Careers")</f>
        <v>#Cheers4Careers</v>
      </c>
      <c r="AM1707" s="23" t="str">
        <f>IFERROR(__xludf.DUMMYFUNCTION("XLOOKUP(C1707, 
   IMPORTRANGE(""1RdEdgHYrZ33LJ7RUHj_h-qkAFL92bcVjtIdVa-UlsCw"", ""Interns!D:D""), 
   IMPORTRANGE(""1RdEdgHYrZ33LJ7RUHj_h-qkAFL92bcVjtIdVa-UlsCw"", ""Interns!O:O""), 
   ""Not Found"")"),"Hetal reached out by email 3/27")</f>
        <v>Hetal reached out by email 3/27</v>
      </c>
      <c r="AN1707" s="23"/>
      <c r="AO1707" s="23" t="s">
        <v>1484</v>
      </c>
      <c r="AP1707" s="28" t="s">
        <v>5182</v>
      </c>
      <c r="AQ1707" s="28"/>
      <c r="AR1707" s="23"/>
      <c r="AS1707" s="23"/>
      <c r="AT1707" s="23"/>
      <c r="AU1707" s="23"/>
      <c r="AV1707" s="23"/>
    </row>
    <row r="1708">
      <c r="A1708" s="28"/>
      <c r="B1708" s="28" t="s">
        <v>5162</v>
      </c>
      <c r="C1708" s="23" t="str">
        <f t="shared" si="39"/>
        <v>Thomas (Alejandro) Roman</v>
      </c>
      <c r="D1708" s="22" t="s">
        <v>15429</v>
      </c>
      <c r="E1708" s="22" t="s">
        <v>6872</v>
      </c>
      <c r="F1708" s="23"/>
      <c r="G1708" s="23"/>
      <c r="H1708" s="22">
        <v>2017.0</v>
      </c>
      <c r="I1708" s="28"/>
      <c r="J1708" s="28"/>
      <c r="K1708" s="28"/>
      <c r="L1708" s="28" t="s">
        <v>5165</v>
      </c>
      <c r="M1708" s="29" t="s">
        <v>15430</v>
      </c>
      <c r="N1708" s="61">
        <v>45604.506944444445</v>
      </c>
      <c r="O1708" s="25">
        <v>40299.0</v>
      </c>
      <c r="P1708" s="28">
        <f t="shared" si="42"/>
        <v>16</v>
      </c>
      <c r="Q1708" s="62" t="s">
        <v>240</v>
      </c>
      <c r="R1708" s="22" t="s">
        <v>15431</v>
      </c>
      <c r="S1708" s="28">
        <v>13.0</v>
      </c>
      <c r="T1708" s="28">
        <v>30.0</v>
      </c>
      <c r="U1708" s="28">
        <v>70.0</v>
      </c>
      <c r="V1708" s="28">
        <v>9.0</v>
      </c>
      <c r="W1708" s="28" t="s">
        <v>271</v>
      </c>
      <c r="X1708" s="28" t="s">
        <v>272</v>
      </c>
      <c r="Y1708" s="22">
        <v>9.296697327E9</v>
      </c>
      <c r="Z1708" s="64"/>
      <c r="AA1708" s="28"/>
      <c r="AB1708" s="23"/>
      <c r="AC1708" s="28"/>
      <c r="AD1708" s="23"/>
      <c r="AE1708" s="28"/>
      <c r="AF1708" s="23"/>
      <c r="AG1708" s="23"/>
      <c r="AH1708" s="23" t="str">
        <f>IFERROR(__xludf.DUMMYFUNCTION("IF(
ISNUMBER(MATCH(
C1708,
IMPORTRANGE(""https://docs.google.com/spreadsheets/d/1yTh1ELC33JHYOeEdgIiEclxPRyh0zOKtlawDltfUay8"",""'Interns'!A:A""),
0
)),
""Outreach Conducted"",
"""")"),"")</f>
        <v/>
      </c>
      <c r="AI1708" s="23"/>
      <c r="AJ1708" s="23"/>
      <c r="AK1708" s="23" t="str">
        <f>IFERROR(__xludf.DUMMYFUNCTION("XLOOKUP(C1708, 
   IMPORTRANGE(""1RdEdgHYrZ33LJ7RUHj_h-qkAFL92bcVjtIdVa-UlsCw"", ""Interns!D:D""), 
   IMPORTRANGE(""1RdEdgHYrZ33LJ7RUHj_h-qkAFL92bcVjtIdVa-UlsCw"", ""Interns!M:M""), 
   ""Not Found"")"),"Not Found")</f>
        <v>Not Found</v>
      </c>
      <c r="AL1708" s="23" t="str">
        <f>IFERROR(__xludf.DUMMYFUNCTION("XLOOKUP(C1708, 
   IMPORTRANGE(""1RdEdgHYrZ33LJ7RUHj_h-qkAFL92bcVjtIdVa-UlsCw"", ""Interns!D:D""), 
   IMPORTRANGE(""1RdEdgHYrZ33LJ7RUHj_h-qkAFL92bcVjtIdVa-UlsCw"", ""Interns!N:N""), 
   ""Not Found"")"),"Not Found")</f>
        <v>Not Found</v>
      </c>
      <c r="AM1708" s="23" t="str">
        <f>IFERROR(__xludf.DUMMYFUNCTION("XLOOKUP(C1708, 
   IMPORTRANGE(""1RdEdgHYrZ33LJ7RUHj_h-qkAFL92bcVjtIdVa-UlsCw"", ""Interns!D:D""), 
   IMPORTRANGE(""1RdEdgHYrZ33LJ7RUHj_h-qkAFL92bcVjtIdVa-UlsCw"", ""Interns!O:O""), 
   ""Not Found"")"),"Not Found")</f>
        <v>Not Found</v>
      </c>
      <c r="AN1708" s="23"/>
      <c r="AO1708" s="23"/>
      <c r="AP1708" s="28"/>
      <c r="AQ1708" s="28"/>
      <c r="AR1708" s="23"/>
      <c r="AS1708" s="23"/>
      <c r="AT1708" s="23"/>
      <c r="AU1708" s="23"/>
      <c r="AV1708" s="23"/>
    </row>
    <row r="1709">
      <c r="A1709" s="28" t="s">
        <v>5161</v>
      </c>
      <c r="B1709" s="28" t="s">
        <v>5162</v>
      </c>
      <c r="C1709" s="23" t="str">
        <f t="shared" si="39"/>
        <v>Melissa Ortega</v>
      </c>
      <c r="D1709" s="28" t="s">
        <v>2397</v>
      </c>
      <c r="E1709" s="28" t="s">
        <v>8681</v>
      </c>
      <c r="F1709" s="23">
        <f t="array" ref="F1709">IFERROR(
    INDEX('Hub Interns 226'!A:A, MATCH(C1709, 'Hub Interns 226'!B:B, 0)),"")</f>
        <v>872</v>
      </c>
      <c r="G1709" s="23">
        <f t="array" ref="G1709">IFERROR(
    INDEX('Hub Users 226'!A:A, MATCH(C1709, 'Hub Users 226'!B:B, 0)),"")</f>
        <v>1305</v>
      </c>
      <c r="H1709" s="28">
        <v>980.0</v>
      </c>
      <c r="I1709" s="28"/>
      <c r="J1709" s="28"/>
      <c r="K1709" s="28"/>
      <c r="L1709" s="28" t="s">
        <v>5196</v>
      </c>
      <c r="M1709" s="56" t="s">
        <v>15432</v>
      </c>
      <c r="N1709" s="57">
        <v>44643.55</v>
      </c>
      <c r="O1709" s="58">
        <v>39946.0</v>
      </c>
      <c r="P1709" s="28">
        <f t="shared" si="42"/>
        <v>17</v>
      </c>
      <c r="Q1709" s="28" t="s">
        <v>240</v>
      </c>
      <c r="R1709" s="28" t="s">
        <v>15433</v>
      </c>
      <c r="S1709" s="28">
        <v>6.0</v>
      </c>
      <c r="T1709" s="28">
        <v>13.0</v>
      </c>
      <c r="U1709" s="28">
        <v>39.0</v>
      </c>
      <c r="V1709" s="28">
        <v>25.0</v>
      </c>
      <c r="W1709" s="28" t="s">
        <v>1173</v>
      </c>
      <c r="X1709" s="28" t="s">
        <v>272</v>
      </c>
      <c r="Y1709" s="28" t="s">
        <v>15434</v>
      </c>
      <c r="Z1709" s="28" t="s">
        <v>7427</v>
      </c>
      <c r="AA1709" s="28" t="s">
        <v>7428</v>
      </c>
      <c r="AB1709" s="28">
        <v>34.0</v>
      </c>
      <c r="AC1709" s="28" t="s">
        <v>24</v>
      </c>
      <c r="AD1709" s="23"/>
      <c r="AE1709" s="28" t="s">
        <v>10</v>
      </c>
      <c r="AF1709" s="23"/>
      <c r="AG1709" s="23"/>
      <c r="AH1709" s="23" t="str">
        <f>IFERROR(__xludf.DUMMYFUNCTION("IF(
ISNUMBER(MATCH(
C1709,
IMPORTRANGE(""https://docs.google.com/spreadsheets/d/1yTh1ELC33JHYOeEdgIiEclxPRyh0zOKtlawDltfUay8"",""'Interns'!A:A""),
0
)),
""Outreach Conducted"",
"""")"),"")</f>
        <v/>
      </c>
      <c r="AI1709" s="23"/>
      <c r="AJ1709" s="23"/>
      <c r="AK1709" s="23" t="str">
        <f>IFERROR(__xludf.DUMMYFUNCTION("XLOOKUP(C1709, 
   IMPORTRANGE(""1RdEdgHYrZ33LJ7RUHj_h-qkAFL92bcVjtIdVa-UlsCw"", ""Interns!D:D""), 
   IMPORTRANGE(""1RdEdgHYrZ33LJ7RUHj_h-qkAFL92bcVjtIdVa-UlsCw"", ""Interns!M:M""), 
   ""Not Found"")"),"Contacted")</f>
        <v>Contacted</v>
      </c>
      <c r="AL1709" s="23" t="str">
        <f>IFERROR(__xludf.DUMMYFUNCTION("XLOOKUP(C1709, 
   IMPORTRANGE(""1RdEdgHYrZ33LJ7RUHj_h-qkAFL92bcVjtIdVa-UlsCw"", ""Interns!D:D""), 
   IMPORTRANGE(""1RdEdgHYrZ33LJ7RUHj_h-qkAFL92bcVjtIdVa-UlsCw"", ""Interns!N:N""), 
   ""Not Found"")"),"#Cheers4Careers")</f>
        <v>#Cheers4Careers</v>
      </c>
      <c r="AM1709" s="23" t="str">
        <f>IFERROR(__xludf.DUMMYFUNCTION("XLOOKUP(C1709, 
   IMPORTRANGE(""1RdEdgHYrZ33LJ7RUHj_h-qkAFL92bcVjtIdVa-UlsCw"", ""Interns!D:D""), 
   IMPORTRANGE(""1RdEdgHYrZ33LJ7RUHj_h-qkAFL92bcVjtIdVa-UlsCw"", ""Interns!O:O""), 
   ""Not Found"")"),"Hetal reached out by email 3/27")</f>
        <v>Hetal reached out by email 3/27</v>
      </c>
      <c r="AN1709" s="23"/>
      <c r="AO1709" s="23" t="s">
        <v>15435</v>
      </c>
      <c r="AP1709" s="28" t="s">
        <v>5182</v>
      </c>
      <c r="AQ1709" s="28"/>
      <c r="AR1709" s="23"/>
      <c r="AS1709" s="23"/>
      <c r="AT1709" s="23"/>
      <c r="AU1709" s="23"/>
      <c r="AV1709" s="23"/>
    </row>
    <row r="1710">
      <c r="A1710" s="28" t="s">
        <v>5161</v>
      </c>
      <c r="B1710" s="28" t="s">
        <v>5162</v>
      </c>
      <c r="C1710" s="23" t="str">
        <f t="shared" si="39"/>
        <v>Suri Smatkitboriharn</v>
      </c>
      <c r="D1710" s="28" t="s">
        <v>15436</v>
      </c>
      <c r="E1710" s="28" t="s">
        <v>15437</v>
      </c>
      <c r="F1710" s="23">
        <f t="array" ref="F1710">IFERROR(
    INDEX('Hub Interns 226'!A:A, MATCH(C1710, 'Hub Interns 226'!B:B, 0)),"")</f>
        <v>1133</v>
      </c>
      <c r="G1710" s="23">
        <f t="array" ref="G1710">IFERROR(
    INDEX('Hub Users 226'!A:A, MATCH(C1710, 'Hub Users 226'!B:B, 0)),"")</f>
        <v>1566</v>
      </c>
      <c r="H1710" s="28">
        <v>990.0</v>
      </c>
      <c r="I1710" s="28"/>
      <c r="J1710" s="28"/>
      <c r="K1710" s="28"/>
      <c r="L1710" s="28" t="s">
        <v>5196</v>
      </c>
      <c r="M1710" s="56" t="s">
        <v>15438</v>
      </c>
      <c r="N1710" s="57">
        <v>44644.39166666667</v>
      </c>
      <c r="O1710" s="58">
        <v>40127.0</v>
      </c>
      <c r="P1710" s="28">
        <f t="shared" si="42"/>
        <v>16</v>
      </c>
      <c r="Q1710" s="28" t="s">
        <v>240</v>
      </c>
      <c r="R1710" s="28" t="s">
        <v>15439</v>
      </c>
      <c r="S1710" s="28">
        <v>6.0</v>
      </c>
      <c r="T1710" s="28">
        <v>13.0</v>
      </c>
      <c r="U1710" s="28">
        <v>39.0</v>
      </c>
      <c r="V1710" s="28">
        <v>25.0</v>
      </c>
      <c r="W1710" s="28" t="s">
        <v>1173</v>
      </c>
      <c r="X1710" s="28" t="s">
        <v>272</v>
      </c>
      <c r="Y1710" s="28" t="s">
        <v>15440</v>
      </c>
      <c r="Z1710" s="28" t="s">
        <v>7427</v>
      </c>
      <c r="AA1710" s="28" t="s">
        <v>7428</v>
      </c>
      <c r="AB1710" s="28">
        <v>34.0</v>
      </c>
      <c r="AC1710" s="28" t="s">
        <v>24</v>
      </c>
      <c r="AD1710" s="23"/>
      <c r="AE1710" s="28" t="s">
        <v>10</v>
      </c>
      <c r="AF1710" s="23"/>
      <c r="AG1710" s="23"/>
      <c r="AH1710" s="23" t="str">
        <f>IFERROR(__xludf.DUMMYFUNCTION("IF(
ISNUMBER(MATCH(
C1710,
IMPORTRANGE(""https://docs.google.com/spreadsheets/d/1yTh1ELC33JHYOeEdgIiEclxPRyh0zOKtlawDltfUay8"",""'Interns'!A:A""),
0
)),
""Outreach Conducted"",
"""")"),"")</f>
        <v/>
      </c>
      <c r="AI1710" s="23"/>
      <c r="AJ1710" s="23"/>
      <c r="AK1710" s="23" t="str">
        <f>IFERROR(__xludf.DUMMYFUNCTION("XLOOKUP(C1710, 
   IMPORTRANGE(""1RdEdgHYrZ33LJ7RUHj_h-qkAFL92bcVjtIdVa-UlsCw"", ""Interns!D:D""), 
   IMPORTRANGE(""1RdEdgHYrZ33LJ7RUHj_h-qkAFL92bcVjtIdVa-UlsCw"", ""Interns!M:M""), 
   ""Not Found"")"),"Contacted")</f>
        <v>Contacted</v>
      </c>
      <c r="AL1710" s="23" t="str">
        <f>IFERROR(__xludf.DUMMYFUNCTION("XLOOKUP(C1710, 
   IMPORTRANGE(""1RdEdgHYrZ33LJ7RUHj_h-qkAFL92bcVjtIdVa-UlsCw"", ""Interns!D:D""), 
   IMPORTRANGE(""1RdEdgHYrZ33LJ7RUHj_h-qkAFL92bcVjtIdVa-UlsCw"", ""Interns!N:N""), 
   ""Not Found"")"),"#Cheers4Careers")</f>
        <v>#Cheers4Careers</v>
      </c>
      <c r="AM1710" s="23" t="str">
        <f>IFERROR(__xludf.DUMMYFUNCTION("XLOOKUP(C1710, 
   IMPORTRANGE(""1RdEdgHYrZ33LJ7RUHj_h-qkAFL92bcVjtIdVa-UlsCw"", ""Interns!D:D""), 
   IMPORTRANGE(""1RdEdgHYrZ33LJ7RUHj_h-qkAFL92bcVjtIdVa-UlsCw"", ""Interns!O:O""), 
   ""Not Found"")"),"Hetal reached out by email 3/27")</f>
        <v>Hetal reached out by email 3/27</v>
      </c>
      <c r="AN1710" s="23"/>
      <c r="AO1710" s="23" t="s">
        <v>15441</v>
      </c>
      <c r="AP1710" s="28" t="s">
        <v>5191</v>
      </c>
      <c r="AQ1710" s="28"/>
      <c r="AR1710" s="23"/>
      <c r="AS1710" s="23"/>
      <c r="AT1710" s="23"/>
      <c r="AU1710" s="23"/>
      <c r="AV1710" s="23"/>
    </row>
    <row r="1711">
      <c r="A1711" s="28" t="s">
        <v>5161</v>
      </c>
      <c r="B1711" s="28" t="s">
        <v>5162</v>
      </c>
      <c r="C1711" s="23" t="str">
        <f t="shared" si="39"/>
        <v>Tomai Nelson</v>
      </c>
      <c r="D1711" s="22" t="s">
        <v>15442</v>
      </c>
      <c r="E1711" s="22" t="s">
        <v>9255</v>
      </c>
      <c r="F1711" s="23"/>
      <c r="G1711" s="23"/>
      <c r="H1711" s="22">
        <v>1884.0</v>
      </c>
      <c r="I1711" s="28"/>
      <c r="J1711" s="28"/>
      <c r="K1711" s="28"/>
      <c r="L1711" s="28" t="s">
        <v>5196</v>
      </c>
      <c r="M1711" s="29" t="s">
        <v>15443</v>
      </c>
      <c r="N1711" s="61"/>
      <c r="O1711" s="25">
        <v>38700.0</v>
      </c>
      <c r="P1711" s="28">
        <f t="shared" si="42"/>
        <v>20</v>
      </c>
      <c r="Q1711" s="62" t="s">
        <v>15444</v>
      </c>
      <c r="R1711" s="22" t="s">
        <v>15445</v>
      </c>
      <c r="S1711" s="28">
        <v>8.0</v>
      </c>
      <c r="T1711" s="28">
        <v>19.0</v>
      </c>
      <c r="U1711" s="28">
        <v>55.0</v>
      </c>
      <c r="V1711" s="28">
        <v>42.0</v>
      </c>
      <c r="W1711" s="28" t="s">
        <v>294</v>
      </c>
      <c r="X1711" s="28" t="s">
        <v>272</v>
      </c>
      <c r="Y1711" s="22" t="s">
        <v>15446</v>
      </c>
      <c r="Z1711" s="22" t="s">
        <v>5822</v>
      </c>
      <c r="AA1711" s="28" t="s">
        <v>5822</v>
      </c>
      <c r="AB1711" s="28">
        <v>30.0</v>
      </c>
      <c r="AC1711" s="28" t="s">
        <v>27</v>
      </c>
      <c r="AD1711" s="23"/>
      <c r="AE1711" s="28" t="s">
        <v>20</v>
      </c>
      <c r="AF1711" s="23"/>
      <c r="AG1711" s="23"/>
      <c r="AH1711" s="23" t="str">
        <f>IFERROR(__xludf.DUMMYFUNCTION("IF(
ISNUMBER(MATCH(
C1711,
IMPORTRANGE(""https://docs.google.com/spreadsheets/d/1yTh1ELC33JHYOeEdgIiEclxPRyh0zOKtlawDltfUay8"",""'Interns'!A:A""),
0
)),
""Outreach Conducted"",
"""")"),"")</f>
        <v/>
      </c>
      <c r="AI1711" s="23"/>
      <c r="AJ1711" s="23"/>
      <c r="AK1711" s="23"/>
      <c r="AL1711" s="23" t="str">
        <f>IFERROR(__xludf.DUMMYFUNCTION("XLOOKUP(C1711, 
   IMPORTRANGE(""1RdEdgHYrZ33LJ7RUHj_h-qkAFL92bcVjtIdVa-UlsCw"", ""Interns!D:D""), 
   IMPORTRANGE(""1RdEdgHYrZ33LJ7RUHj_h-qkAFL92bcVjtIdVa-UlsCw"", ""Interns!N:N""), 
   ""Not Found"")"),"#Cheers4Careers")</f>
        <v>#Cheers4Careers</v>
      </c>
      <c r="AM1711" s="23" t="str">
        <f>IFERROR(__xludf.DUMMYFUNCTION("XLOOKUP(C1711, 
   IMPORTRANGE(""1RdEdgHYrZ33LJ7RUHj_h-qkAFL92bcVjtIdVa-UlsCw"", ""Interns!D:D""), 
   IMPORTRANGE(""1RdEdgHYrZ33LJ7RUHj_h-qkAFL92bcVjtIdVa-UlsCw"", ""Interns!O:O""), 
   ""Not Found"")"),"Hetal reached out March 27 for March #Cheers4 Careers ")</f>
        <v>Hetal reached out March 27 for March #Cheers4 Careers </v>
      </c>
      <c r="AN1711" s="23"/>
      <c r="AO1711" s="23" t="s">
        <v>15447</v>
      </c>
      <c r="AP1711" s="28" t="s">
        <v>5182</v>
      </c>
      <c r="AQ1711" s="28" t="s">
        <v>15448</v>
      </c>
      <c r="AR1711" s="23" t="s">
        <v>15449</v>
      </c>
      <c r="AS1711" s="23"/>
      <c r="AT1711" s="23"/>
      <c r="AU1711" s="23"/>
      <c r="AV1711" s="23"/>
    </row>
    <row r="1712">
      <c r="A1712" s="28" t="s">
        <v>5202</v>
      </c>
      <c r="B1712" s="28" t="s">
        <v>5162</v>
      </c>
      <c r="C1712" s="23" t="str">
        <f t="shared" si="39"/>
        <v>Alexa Barrueco</v>
      </c>
      <c r="D1712" s="28" t="s">
        <v>7348</v>
      </c>
      <c r="E1712" s="28" t="s">
        <v>15450</v>
      </c>
      <c r="F1712" s="23" t="str">
        <f t="array" ref="F1712">IFERROR(
    INDEX('Hub Interns 226'!A:A, MATCH(C1712, 'Hub Interns 226'!B:B, 0)),"")</f>
        <v/>
      </c>
      <c r="G1712" s="23">
        <f t="array" ref="G1712">IFERROR(
    INDEX('Hub Users 226'!A:A, MATCH(C1712, 'Hub Users 226'!B:B, 0)),"")</f>
        <v>617</v>
      </c>
      <c r="H1712" s="28">
        <v>1442.0</v>
      </c>
      <c r="I1712" s="28" t="s">
        <v>608</v>
      </c>
      <c r="J1712" s="28"/>
      <c r="K1712" s="28"/>
      <c r="L1712" s="28" t="s">
        <v>5196</v>
      </c>
      <c r="M1712" s="56" t="s">
        <v>15451</v>
      </c>
      <c r="N1712" s="59">
        <v>44882.96111111111</v>
      </c>
      <c r="O1712" s="58">
        <v>38769.0</v>
      </c>
      <c r="P1712" s="28">
        <f t="shared" si="42"/>
        <v>20</v>
      </c>
      <c r="Q1712" s="28" t="s">
        <v>15452</v>
      </c>
      <c r="R1712" s="28" t="s">
        <v>15453</v>
      </c>
      <c r="S1712" s="28">
        <v>13.0</v>
      </c>
      <c r="T1712" s="28">
        <v>31.0</v>
      </c>
      <c r="U1712" s="28">
        <v>71.0</v>
      </c>
      <c r="V1712" s="28">
        <v>10.0</v>
      </c>
      <c r="W1712" s="28" t="s">
        <v>271</v>
      </c>
      <c r="X1712" s="28" t="s">
        <v>272</v>
      </c>
      <c r="Y1712" s="28">
        <v>9.294539063E9</v>
      </c>
      <c r="Z1712" s="28" t="s">
        <v>5341</v>
      </c>
      <c r="AA1712" s="28" t="s">
        <v>1085</v>
      </c>
      <c r="AB1712" s="28">
        <v>10.0</v>
      </c>
      <c r="AC1712" s="28" t="s">
        <v>25</v>
      </c>
      <c r="AD1712" s="23"/>
      <c r="AE1712" s="28" t="s">
        <v>15</v>
      </c>
      <c r="AF1712" s="23" t="str">
        <f>IFERROR(__xludf.DUMMYFUNCTION("TEXTJOIN("", "", TRUE,
  FILTER(Champions!C:C,
    ISNUMBER(SEARCH(C1712, Champions!W:W))
  )
)"),"CHRISTINA BROOMES, Min Jung Park, Jimena Montane Azpiri, Jimena Montane Azpiri (D)")</f>
        <v>CHRISTINA BROOMES, Min Jung Park, Jimena Montane Azpiri, Jimena Montane Azpiri (D)</v>
      </c>
      <c r="AG1712" s="26" t="s">
        <v>5342</v>
      </c>
      <c r="AH1712" s="23" t="str">
        <f>IFERROR(__xludf.DUMMYFUNCTION("IF(
ISNUMBER(MATCH(
C1712,
IMPORTRANGE(""https://docs.google.com/spreadsheets/d/1yTh1ELC33JHYOeEdgIiEclxPRyh0zOKtlawDltfUay8"",""'Interns'!A:A""),
0
)),
""Outreach Conducted"",
"""")"),"")</f>
        <v/>
      </c>
      <c r="AI1712" s="23"/>
      <c r="AJ1712" s="23"/>
      <c r="AK1712" s="23" t="str">
        <f>IFERROR(__xludf.DUMMYFUNCTION("XLOOKUP(C1712, 
   IMPORTRANGE(""1RdEdgHYrZ33LJ7RUHj_h-qkAFL92bcVjtIdVa-UlsCw"", ""Interns!D:D""), 
   IMPORTRANGE(""1RdEdgHYrZ33LJ7RUHj_h-qkAFL92bcVjtIdVa-UlsCw"", ""Interns!M:M""), 
   ""Not Found"")"),"")</f>
        <v/>
      </c>
      <c r="AL1712" s="23" t="str">
        <f>IFERROR(__xludf.DUMMYFUNCTION("XLOOKUP(C1712, 
   IMPORTRANGE(""1RdEdgHYrZ33LJ7RUHj_h-qkAFL92bcVjtIdVa-UlsCw"", ""Interns!D:D""), 
   IMPORTRANGE(""1RdEdgHYrZ33LJ7RUHj_h-qkAFL92bcVjtIdVa-UlsCw"", ""Interns!N:N""), 
   ""Not Found"")"),"")</f>
        <v/>
      </c>
      <c r="AM1712" s="23" t="str">
        <f>IFERROR(__xludf.DUMMYFUNCTION("XLOOKUP(C1712, 
   IMPORTRANGE(""1RdEdgHYrZ33LJ7RUHj_h-qkAFL92bcVjtIdVa-UlsCw"", ""Interns!D:D""), 
   IMPORTRANGE(""1RdEdgHYrZ33LJ7RUHj_h-qkAFL92bcVjtIdVa-UlsCw"", ""Interns!O:O""), 
   ""Not Found"")"),"")</f>
        <v/>
      </c>
      <c r="AN1712" s="23"/>
      <c r="AO1712" s="23" t="s">
        <v>15454</v>
      </c>
      <c r="AP1712" s="28" t="s">
        <v>5182</v>
      </c>
      <c r="AQ1712" s="28" t="s">
        <v>15455</v>
      </c>
      <c r="AR1712" s="23">
        <v>6.467852709E9</v>
      </c>
      <c r="AS1712" s="28" t="s">
        <v>15456</v>
      </c>
      <c r="AT1712" s="23"/>
      <c r="AU1712" s="23"/>
      <c r="AV1712" s="23"/>
    </row>
    <row r="1713">
      <c r="A1713" s="28" t="s">
        <v>5161</v>
      </c>
      <c r="B1713" s="28" t="s">
        <v>5162</v>
      </c>
      <c r="C1713" s="23" t="str">
        <f t="shared" si="39"/>
        <v>Steveen Rocafuerte</v>
      </c>
      <c r="D1713" s="28" t="s">
        <v>15457</v>
      </c>
      <c r="E1713" s="28" t="s">
        <v>15458</v>
      </c>
      <c r="F1713" s="23">
        <f t="array" ref="F1713">IFERROR(
    INDEX('Hub Interns 226'!A:A, MATCH(C1713, 'Hub Interns 226'!B:B, 0)),"")</f>
        <v>1129</v>
      </c>
      <c r="G1713" s="23">
        <f t="array" ref="G1713">IFERROR(
    INDEX('Hub Users 226'!A:A, MATCH(C1713, 'Hub Users 226'!B:B, 0)),"")</f>
        <v>1562</v>
      </c>
      <c r="H1713" s="28">
        <v>1548.0</v>
      </c>
      <c r="I1713" s="28"/>
      <c r="J1713" s="28" t="s">
        <v>2388</v>
      </c>
      <c r="K1713" s="28" t="s">
        <v>5463</v>
      </c>
      <c r="L1713" s="28" t="s">
        <v>5165</v>
      </c>
      <c r="M1713" s="56" t="s">
        <v>15459</v>
      </c>
      <c r="N1713" s="57">
        <v>44958.61111111111</v>
      </c>
      <c r="O1713" s="58">
        <v>38643.0</v>
      </c>
      <c r="P1713" s="28">
        <f t="shared" si="42"/>
        <v>20</v>
      </c>
      <c r="Q1713" s="28" t="s">
        <v>240</v>
      </c>
      <c r="R1713" s="28" t="s">
        <v>15460</v>
      </c>
      <c r="S1713" s="28">
        <v>7.0</v>
      </c>
      <c r="T1713" s="28">
        <v>18.0</v>
      </c>
      <c r="U1713" s="28">
        <v>53.0</v>
      </c>
      <c r="V1713" s="28">
        <v>34.0</v>
      </c>
      <c r="W1713" s="28" t="s">
        <v>271</v>
      </c>
      <c r="X1713" s="28" t="s">
        <v>272</v>
      </c>
      <c r="Y1713" s="28" t="s">
        <v>15461</v>
      </c>
      <c r="Z1713" s="28" t="s">
        <v>5259</v>
      </c>
      <c r="AA1713" s="28" t="s">
        <v>704</v>
      </c>
      <c r="AB1713" s="28">
        <v>2.0</v>
      </c>
      <c r="AC1713" s="28" t="s">
        <v>23</v>
      </c>
      <c r="AD1713" s="23"/>
      <c r="AE1713" s="28" t="s">
        <v>15</v>
      </c>
      <c r="AF1713" s="23"/>
      <c r="AG1713" s="23"/>
      <c r="AH1713" s="23" t="str">
        <f>IFERROR(__xludf.DUMMYFUNCTION("IF(
ISNUMBER(MATCH(
C1713,
IMPORTRANGE(""https://docs.google.com/spreadsheets/d/1yTh1ELC33JHYOeEdgIiEclxPRyh0zOKtlawDltfUay8"",""'Interns'!A:A""),
0
)),
""Outreach Conducted"",
"""")"),"")</f>
        <v/>
      </c>
      <c r="AI1713" s="23"/>
      <c r="AJ1713" s="23"/>
      <c r="AK1713" s="23" t="str">
        <f>IFERROR(__xludf.DUMMYFUNCTION("XLOOKUP(C1713, 
   IMPORTRANGE(""1RdEdgHYrZ33LJ7RUHj_h-qkAFL92bcVjtIdVa-UlsCw"", ""Interns!D:D""), 
   IMPORTRANGE(""1RdEdgHYrZ33LJ7RUHj_h-qkAFL92bcVjtIdVa-UlsCw"", ""Interns!M:M""), 
   ""Not Found"")"),"Contacted")</f>
        <v>Contacted</v>
      </c>
      <c r="AL1713" s="23" t="str">
        <f>IFERROR(__xludf.DUMMYFUNCTION("XLOOKUP(C1713, 
   IMPORTRANGE(""1RdEdgHYrZ33LJ7RUHj_h-qkAFL92bcVjtIdVa-UlsCw"", ""Interns!D:D""), 
   IMPORTRANGE(""1RdEdgHYrZ33LJ7RUHj_h-qkAFL92bcVjtIdVa-UlsCw"", ""Interns!N:N""), 
   ""Not Found"")"),"#Cheers4Careers")</f>
        <v>#Cheers4Careers</v>
      </c>
      <c r="AM1713" s="23" t="str">
        <f>IFERROR(__xludf.DUMMYFUNCTION("XLOOKUP(C1713, 
   IMPORTRANGE(""1RdEdgHYrZ33LJ7RUHj_h-qkAFL92bcVjtIdVa-UlsCw"", ""Interns!D:D""), 
   IMPORTRANGE(""1RdEdgHYrZ33LJ7RUHj_h-qkAFL92bcVjtIdVa-UlsCw"", ""Interns!O:O""), 
   ""Not Found"")"),"Ousmane reached out by email 3/26 ")</f>
        <v>Ousmane reached out by email 3/26 </v>
      </c>
      <c r="AN1713" s="23"/>
      <c r="AO1713" s="23" t="s">
        <v>10435</v>
      </c>
      <c r="AP1713" s="28" t="s">
        <v>5182</v>
      </c>
      <c r="AQ1713" s="28"/>
      <c r="AR1713" s="23"/>
      <c r="AS1713" s="23"/>
      <c r="AT1713" s="23"/>
      <c r="AU1713" s="23"/>
      <c r="AV1713" s="23"/>
    </row>
    <row r="1714">
      <c r="A1714" s="28"/>
      <c r="B1714" s="28" t="s">
        <v>5162</v>
      </c>
      <c r="C1714" s="23" t="str">
        <f t="shared" si="39"/>
        <v>Byron Avelar Paredes</v>
      </c>
      <c r="D1714" s="28" t="s">
        <v>15462</v>
      </c>
      <c r="E1714" s="28" t="s">
        <v>15463</v>
      </c>
      <c r="F1714" s="23" t="str">
        <f t="array" ref="F1714">IFERROR(
    INDEX('Hub Interns 226'!A:A, MATCH(C1714, 'Hub Interns 226'!B:B, 0)),"")</f>
        <v/>
      </c>
      <c r="G1714" s="23">
        <f t="array" ref="G1714">IFERROR(
    INDEX('Hub Users 226'!A:A, MATCH(C1714, 'Hub Users 226'!B:B, 0)),"")</f>
        <v>723</v>
      </c>
      <c r="H1714" s="28">
        <v>1176.0</v>
      </c>
      <c r="I1714" s="28"/>
      <c r="J1714" s="28"/>
      <c r="K1714" s="28"/>
      <c r="L1714" s="28" t="s">
        <v>5196</v>
      </c>
      <c r="M1714" s="56" t="s">
        <v>15464</v>
      </c>
      <c r="N1714" s="57">
        <v>44774.81180555555</v>
      </c>
      <c r="O1714" s="58"/>
      <c r="P1714" s="28">
        <f t="shared" si="42"/>
        <v>126</v>
      </c>
      <c r="Q1714" s="28" t="s">
        <v>15465</v>
      </c>
      <c r="R1714" s="28" t="s">
        <v>15466</v>
      </c>
      <c r="S1714" s="28">
        <v>6.0</v>
      </c>
      <c r="T1714" s="28">
        <v>12.0</v>
      </c>
      <c r="U1714" s="28">
        <v>30.0</v>
      </c>
      <c r="V1714" s="28">
        <v>26.0</v>
      </c>
      <c r="W1714" s="28" t="s">
        <v>1173</v>
      </c>
      <c r="X1714" s="28" t="s">
        <v>272</v>
      </c>
      <c r="Y1714" s="23"/>
      <c r="Z1714" s="28" t="s">
        <v>5352</v>
      </c>
      <c r="AA1714" s="28" t="s">
        <v>5287</v>
      </c>
      <c r="AB1714" s="28">
        <v>26.0</v>
      </c>
      <c r="AC1714" s="28" t="s">
        <v>15467</v>
      </c>
      <c r="AD1714" s="23"/>
      <c r="AE1714" s="28" t="s">
        <v>15</v>
      </c>
      <c r="AF1714" s="28"/>
      <c r="AG1714" s="23"/>
      <c r="AH1714" s="23" t="str">
        <f>IFERROR(__xludf.DUMMYFUNCTION("IF(
ISNUMBER(MATCH(
C1714,
IMPORTRANGE(""https://docs.google.com/spreadsheets/d/1yTh1ELC33JHYOeEdgIiEclxPRyh0zOKtlawDltfUay8"",""'Interns'!A:A""),
0
)),
""Outreach Conducted"",
"""")"),"")</f>
        <v/>
      </c>
      <c r="AI1714" s="23"/>
      <c r="AJ1714" s="23"/>
      <c r="AK1714" s="23" t="str">
        <f>IFERROR(__xludf.DUMMYFUNCTION("XLOOKUP(C1714, 
   IMPORTRANGE(""1RdEdgHYrZ33LJ7RUHj_h-qkAFL92bcVjtIdVa-UlsCw"", ""Interns!D:D""), 
   IMPORTRANGE(""1RdEdgHYrZ33LJ7RUHj_h-qkAFL92bcVjtIdVa-UlsCw"", ""Interns!M:M""), 
   ""Not Found"")"),"")</f>
        <v/>
      </c>
      <c r="AL1714" s="23" t="str">
        <f>IFERROR(__xludf.DUMMYFUNCTION("XLOOKUP(C1714, 
   IMPORTRANGE(""1RdEdgHYrZ33LJ7RUHj_h-qkAFL92bcVjtIdVa-UlsCw"", ""Interns!D:D""), 
   IMPORTRANGE(""1RdEdgHYrZ33LJ7RUHj_h-qkAFL92bcVjtIdVa-UlsCw"", ""Interns!N:N""), 
   ""Not Found"")"),"")</f>
        <v/>
      </c>
      <c r="AM1714" s="23" t="str">
        <f>IFERROR(__xludf.DUMMYFUNCTION("XLOOKUP(C1714, 
   IMPORTRANGE(""1RdEdgHYrZ33LJ7RUHj_h-qkAFL92bcVjtIdVa-UlsCw"", ""Interns!D:D""), 
   IMPORTRANGE(""1RdEdgHYrZ33LJ7RUHj_h-qkAFL92bcVjtIdVa-UlsCw"", ""Interns!O:O""), 
   ""Not Found"")"),"")</f>
        <v/>
      </c>
      <c r="AN1714" s="23"/>
      <c r="AO1714" s="23" t="s">
        <v>15468</v>
      </c>
      <c r="AP1714" s="28" t="s">
        <v>15469</v>
      </c>
      <c r="AQ1714" s="28" t="s">
        <v>15470</v>
      </c>
      <c r="AR1714" s="23"/>
      <c r="AS1714" s="23"/>
      <c r="AT1714" s="23"/>
      <c r="AU1714" s="23"/>
      <c r="AV1714" s="23"/>
    </row>
    <row r="1715">
      <c r="A1715" s="28" t="s">
        <v>5161</v>
      </c>
      <c r="B1715" s="28" t="s">
        <v>5162</v>
      </c>
      <c r="C1715" s="23" t="str">
        <f t="shared" si="39"/>
        <v>Amar Persaud</v>
      </c>
      <c r="D1715" s="22" t="s">
        <v>15471</v>
      </c>
      <c r="E1715" s="22" t="s">
        <v>15472</v>
      </c>
      <c r="F1715" s="23"/>
      <c r="G1715" s="23"/>
      <c r="H1715" s="22">
        <v>1925.0</v>
      </c>
      <c r="I1715" s="28"/>
      <c r="J1715" s="28"/>
      <c r="K1715" s="28"/>
      <c r="L1715" s="28" t="s">
        <v>5165</v>
      </c>
      <c r="M1715" s="29" t="s">
        <v>15473</v>
      </c>
      <c r="N1715" s="61">
        <v>45771.447222222225</v>
      </c>
      <c r="O1715" s="25">
        <v>45771.0</v>
      </c>
      <c r="P1715" s="28">
        <f t="shared" si="42"/>
        <v>1</v>
      </c>
      <c r="Q1715" s="62" t="s">
        <v>15474</v>
      </c>
      <c r="R1715" s="22" t="s">
        <v>15475</v>
      </c>
      <c r="S1715" s="28"/>
      <c r="T1715" s="28"/>
      <c r="U1715" s="28"/>
      <c r="V1715" s="28"/>
      <c r="W1715" s="23"/>
      <c r="X1715" s="28" t="s">
        <v>272</v>
      </c>
      <c r="Y1715" s="24"/>
      <c r="Z1715" s="22" t="s">
        <v>7490</v>
      </c>
      <c r="AA1715" s="28" t="s">
        <v>5659</v>
      </c>
      <c r="AB1715" s="28">
        <v>23.0</v>
      </c>
      <c r="AC1715" s="28" t="s">
        <v>23</v>
      </c>
      <c r="AD1715" s="23"/>
      <c r="AE1715" s="28" t="s">
        <v>19</v>
      </c>
      <c r="AF1715" s="23"/>
      <c r="AG1715" s="23"/>
      <c r="AH1715" s="23" t="str">
        <f>IFERROR(__xludf.DUMMYFUNCTION("IF(
ISNUMBER(MATCH(
C1715,
IMPORTRANGE(""https://docs.google.com/spreadsheets/d/1yTh1ELC33JHYOeEdgIiEclxPRyh0zOKtlawDltfUay8"",""'Interns'!A:A""),
0
)),
""Outreach Conducted"",
"""")"),"")</f>
        <v/>
      </c>
      <c r="AI1715" s="23"/>
      <c r="AJ1715" s="23"/>
      <c r="AK1715" s="23"/>
      <c r="AL1715" s="23" t="str">
        <f>IFERROR(__xludf.DUMMYFUNCTION("XLOOKUP(C1715, 
   IMPORTRANGE(""1RdEdgHYrZ33LJ7RUHj_h-qkAFL92bcVjtIdVa-UlsCw"", ""Interns!D:D""), 
   IMPORTRANGE(""1RdEdgHYrZ33LJ7RUHj_h-qkAFL92bcVjtIdVa-UlsCw"", ""Interns!N:N""), 
   ""Not Found"")"),"#Cheers4Careers")</f>
        <v>#Cheers4Careers</v>
      </c>
      <c r="AM1715" s="23" t="str">
        <f>IFERROR(__xludf.DUMMYFUNCTION("XLOOKUP(C1715, 
   IMPORTRANGE(""1RdEdgHYrZ33LJ7RUHj_h-qkAFL92bcVjtIdVa-UlsCw"", ""Interns!D:D""), 
   IMPORTRANGE(""1RdEdgHYrZ33LJ7RUHj_h-qkAFL92bcVjtIdVa-UlsCw"", ""Interns!O:O""), 
   ""Not Found"")"),"Hetal reached out March 27 for March #Cheers4 Careers ")</f>
        <v>Hetal reached out March 27 for March #Cheers4 Careers </v>
      </c>
      <c r="AN1715" s="23"/>
      <c r="AO1715" s="23"/>
      <c r="AP1715" s="28"/>
      <c r="AQ1715" s="28"/>
      <c r="AR1715" s="23"/>
      <c r="AS1715" s="23"/>
      <c r="AT1715" s="23"/>
      <c r="AU1715" s="23"/>
      <c r="AV1715" s="23"/>
    </row>
    <row r="1716">
      <c r="A1716" s="28" t="s">
        <v>5202</v>
      </c>
      <c r="B1716" s="28" t="s">
        <v>5162</v>
      </c>
      <c r="C1716" s="23" t="str">
        <f t="shared" si="39"/>
        <v>Victor Czajka</v>
      </c>
      <c r="D1716" s="28" t="s">
        <v>1322</v>
      </c>
      <c r="E1716" s="28" t="s">
        <v>15476</v>
      </c>
      <c r="F1716" s="23">
        <f t="array" ref="F1716">IFERROR(
    INDEX('Hub Interns 226'!A:A, MATCH(C1716, 'Hub Interns 226'!B:B, 0)),"")</f>
        <v>1176</v>
      </c>
      <c r="G1716" s="23">
        <f t="array" ref="G1716">IFERROR(
    INDEX('Hub Users 226'!A:A, MATCH(C1716, 'Hub Users 226'!B:B, 0)),"")</f>
        <v>1609</v>
      </c>
      <c r="H1716" s="28">
        <v>1026.0</v>
      </c>
      <c r="I1716" s="28" t="s">
        <v>290</v>
      </c>
      <c r="J1716" s="28"/>
      <c r="K1716" s="28"/>
      <c r="L1716" s="28" t="s">
        <v>5165</v>
      </c>
      <c r="M1716" s="56" t="s">
        <v>15477</v>
      </c>
      <c r="N1716" s="57">
        <v>44658.970138888886</v>
      </c>
      <c r="O1716" s="58">
        <v>39904.0</v>
      </c>
      <c r="P1716" s="28">
        <f t="shared" si="42"/>
        <v>17</v>
      </c>
      <c r="Q1716" s="28" t="s">
        <v>240</v>
      </c>
      <c r="R1716" s="28" t="s">
        <v>15478</v>
      </c>
      <c r="S1716" s="28">
        <v>7.0</v>
      </c>
      <c r="T1716" s="28">
        <v>12.0</v>
      </c>
      <c r="U1716" s="28">
        <v>37.0</v>
      </c>
      <c r="V1716" s="28">
        <v>30.0</v>
      </c>
      <c r="W1716" s="28" t="s">
        <v>1173</v>
      </c>
      <c r="X1716" s="28" t="s">
        <v>272</v>
      </c>
      <c r="Y1716" s="28" t="s">
        <v>15479</v>
      </c>
      <c r="Z1716" s="28" t="s">
        <v>9652</v>
      </c>
      <c r="AA1716" s="28" t="s">
        <v>9653</v>
      </c>
      <c r="AB1716" s="28">
        <v>30.0</v>
      </c>
      <c r="AC1716" s="28" t="s">
        <v>24</v>
      </c>
      <c r="AD1716" s="23"/>
      <c r="AE1716" s="28" t="s">
        <v>10</v>
      </c>
      <c r="AF1716" s="23"/>
      <c r="AG1716" s="23"/>
      <c r="AH1716" s="23" t="str">
        <f>IFERROR(__xludf.DUMMYFUNCTION("IF(
ISNUMBER(MATCH(
C1716,
IMPORTRANGE(""https://docs.google.com/spreadsheets/d/1yTh1ELC33JHYOeEdgIiEclxPRyh0zOKtlawDltfUay8"",""'Interns'!A:A""),
0
)),
""Outreach Conducted"",
"""")"),"")</f>
        <v/>
      </c>
      <c r="AI1716" s="23"/>
      <c r="AJ1716" s="23"/>
      <c r="AK1716" s="23" t="str">
        <f>IFERROR(__xludf.DUMMYFUNCTION("XLOOKUP(C1716, 
   IMPORTRANGE(""1RdEdgHYrZ33LJ7RUHj_h-qkAFL92bcVjtIdVa-UlsCw"", ""Interns!D:D""), 
   IMPORTRANGE(""1RdEdgHYrZ33LJ7RUHj_h-qkAFL92bcVjtIdVa-UlsCw"", ""Interns!M:M""), 
   ""Not Found"")"),"")</f>
        <v/>
      </c>
      <c r="AL1716" s="23" t="str">
        <f>IFERROR(__xludf.DUMMYFUNCTION("XLOOKUP(C1716, 
   IMPORTRANGE(""1RdEdgHYrZ33LJ7RUHj_h-qkAFL92bcVjtIdVa-UlsCw"", ""Interns!D:D""), 
   IMPORTRANGE(""1RdEdgHYrZ33LJ7RUHj_h-qkAFL92bcVjtIdVa-UlsCw"", ""Interns!N:N""), 
   ""Not Found"")"),"")</f>
        <v/>
      </c>
      <c r="AM1716" s="23" t="str">
        <f>IFERROR(__xludf.DUMMYFUNCTION("XLOOKUP(C1716, 
   IMPORTRANGE(""1RdEdgHYrZ33LJ7RUHj_h-qkAFL92bcVjtIdVa-UlsCw"", ""Interns!D:D""), 
   IMPORTRANGE(""1RdEdgHYrZ33LJ7RUHj_h-qkAFL92bcVjtIdVa-UlsCw"", ""Interns!O:O""), 
   ""Not Found"")"),"")</f>
        <v/>
      </c>
      <c r="AN1716" s="23"/>
      <c r="AO1716" s="23" t="s">
        <v>15480</v>
      </c>
      <c r="AP1716" s="28" t="s">
        <v>5182</v>
      </c>
      <c r="AQ1716" s="28"/>
      <c r="AR1716" s="23"/>
      <c r="AS1716" s="23"/>
      <c r="AT1716" s="23"/>
      <c r="AU1716" s="23"/>
      <c r="AV1716" s="23"/>
    </row>
    <row r="1717">
      <c r="A1717" s="28" t="s">
        <v>5161</v>
      </c>
      <c r="B1717" s="28" t="s">
        <v>5162</v>
      </c>
      <c r="C1717" s="23" t="str">
        <f t="shared" si="39"/>
        <v>Noah Ramos</v>
      </c>
      <c r="D1717" s="28" t="s">
        <v>15481</v>
      </c>
      <c r="E1717" s="28" t="s">
        <v>7937</v>
      </c>
      <c r="F1717" s="23">
        <f t="array" ref="F1717">IFERROR(
    INDEX('Hub Interns 226'!A:A, MATCH(C1717, 'Hub Interns 226'!B:B, 0)),"")</f>
        <v>943</v>
      </c>
      <c r="G1717" s="23">
        <f t="array" ref="G1717">IFERROR(
    INDEX('Hub Users 226'!A:A, MATCH(C1717, 'Hub Users 226'!B:B, 0)),"")</f>
        <v>1376</v>
      </c>
      <c r="H1717" s="28">
        <v>1188.0</v>
      </c>
      <c r="I1717" s="28" t="s">
        <v>407</v>
      </c>
      <c r="J1717" s="28"/>
      <c r="K1717" s="28"/>
      <c r="L1717" s="28" t="s">
        <v>5165</v>
      </c>
      <c r="M1717" s="56" t="s">
        <v>15482</v>
      </c>
      <c r="N1717" s="57">
        <v>44833.58611111111</v>
      </c>
      <c r="O1717" s="58">
        <v>39999.0</v>
      </c>
      <c r="P1717" s="28">
        <f t="shared" si="42"/>
        <v>16</v>
      </c>
      <c r="Q1717" s="28" t="s">
        <v>240</v>
      </c>
      <c r="R1717" s="28" t="s">
        <v>15483</v>
      </c>
      <c r="S1717" s="28"/>
      <c r="T1717" s="28"/>
      <c r="U1717" s="28"/>
      <c r="V1717" s="28"/>
      <c r="W1717" s="28" t="s">
        <v>1173</v>
      </c>
      <c r="X1717" s="28" t="s">
        <v>272</v>
      </c>
      <c r="Y1717" s="28" t="s">
        <v>15484</v>
      </c>
      <c r="Z1717" s="28" t="s">
        <v>5170</v>
      </c>
      <c r="AA1717" s="28" t="s">
        <v>5171</v>
      </c>
      <c r="AB1717" s="28">
        <v>30.0</v>
      </c>
      <c r="AC1717" s="28" t="s">
        <v>23</v>
      </c>
      <c r="AD1717" s="28" t="s">
        <v>101</v>
      </c>
      <c r="AE1717" s="28" t="s">
        <v>15</v>
      </c>
      <c r="AF1717" s="23"/>
      <c r="AG1717" s="23"/>
      <c r="AH1717" s="23" t="str">
        <f>IFERROR(__xludf.DUMMYFUNCTION("IF(
ISNUMBER(MATCH(
C1717,
IMPORTRANGE(""https://docs.google.com/spreadsheets/d/1yTh1ELC33JHYOeEdgIiEclxPRyh0zOKtlawDltfUay8"",""'Interns'!A:A""),
0
)),
""Outreach Conducted"",
"""")"),"")</f>
        <v/>
      </c>
      <c r="AI1717" s="23"/>
      <c r="AJ1717" s="23"/>
      <c r="AK1717" s="23" t="str">
        <f>IFERROR(__xludf.DUMMYFUNCTION("XLOOKUP(C1717, 
   IMPORTRANGE(""1RdEdgHYrZ33LJ7RUHj_h-qkAFL92bcVjtIdVa-UlsCw"", ""Interns!D:D""), 
   IMPORTRANGE(""1RdEdgHYrZ33LJ7RUHj_h-qkAFL92bcVjtIdVa-UlsCw"", ""Interns!M:M""), 
   ""Not Found"")"),"Contacted")</f>
        <v>Contacted</v>
      </c>
      <c r="AL1717" s="23" t="str">
        <f>IFERROR(__xludf.DUMMYFUNCTION("XLOOKUP(C1717, 
   IMPORTRANGE(""1RdEdgHYrZ33LJ7RUHj_h-qkAFL92bcVjtIdVa-UlsCw"", ""Interns!D:D""), 
   IMPORTRANGE(""1RdEdgHYrZ33LJ7RUHj_h-qkAFL92bcVjtIdVa-UlsCw"", ""Interns!N:N""), 
   ""Not Found"")"),"#Cheers4Careers")</f>
        <v>#Cheers4Careers</v>
      </c>
      <c r="AM1717" s="23" t="str">
        <f>IFERROR(__xludf.DUMMYFUNCTION("XLOOKUP(C1717, 
   IMPORTRANGE(""1RdEdgHYrZ33LJ7RUHj_h-qkAFL92bcVjtIdVa-UlsCw"", ""Interns!D:D""), 
   IMPORTRANGE(""1RdEdgHYrZ33LJ7RUHj_h-qkAFL92bcVjtIdVa-UlsCw"", ""Interns!O:O""), 
   ""Not Found"")"),"Hetal reached out March 27 for March #Cheers4 Careers ")</f>
        <v>Hetal reached out March 27 for March #Cheers4 Careers </v>
      </c>
      <c r="AN1717" s="23"/>
      <c r="AO1717" s="23" t="s">
        <v>15485</v>
      </c>
      <c r="AP1717" s="28" t="s">
        <v>5908</v>
      </c>
      <c r="AQ1717" s="28"/>
      <c r="AR1717" s="23"/>
      <c r="AS1717" s="23"/>
      <c r="AT1717" s="23"/>
      <c r="AU1717" s="23"/>
      <c r="AV1717" s="23"/>
    </row>
    <row r="1718">
      <c r="A1718" s="28" t="s">
        <v>5161</v>
      </c>
      <c r="B1718" s="28" t="s">
        <v>5162</v>
      </c>
      <c r="C1718" s="23" t="str">
        <f t="shared" si="39"/>
        <v>Angel Ramirez</v>
      </c>
      <c r="D1718" s="28" t="s">
        <v>6000</v>
      </c>
      <c r="E1718" s="28" t="s">
        <v>2127</v>
      </c>
      <c r="F1718" s="23">
        <f t="array" ref="F1718">IFERROR(
    INDEX('Hub Interns 226'!A:A, MATCH(C1718, 'Hub Interns 226'!B:B, 0)),"")</f>
        <v>239</v>
      </c>
      <c r="G1718" s="23">
        <f t="array" ref="G1718">IFERROR(
    INDEX('Hub Users 226'!A:A, MATCH(C1718, 'Hub Users 226'!B:B, 0)),"")</f>
        <v>672</v>
      </c>
      <c r="H1718" s="28">
        <v>1122.0</v>
      </c>
      <c r="I1718" s="28" t="s">
        <v>407</v>
      </c>
      <c r="J1718" s="28"/>
      <c r="K1718" s="28"/>
      <c r="L1718" s="28" t="s">
        <v>5165</v>
      </c>
      <c r="M1718" s="56" t="s">
        <v>15486</v>
      </c>
      <c r="N1718" s="57">
        <v>44729.364583333336</v>
      </c>
      <c r="O1718" s="58">
        <v>39540.0</v>
      </c>
      <c r="P1718" s="28">
        <f t="shared" si="42"/>
        <v>18</v>
      </c>
      <c r="Q1718" s="28" t="s">
        <v>240</v>
      </c>
      <c r="R1718" s="28" t="s">
        <v>15487</v>
      </c>
      <c r="S1718" s="28">
        <v>6.0</v>
      </c>
      <c r="T1718" s="28">
        <v>13.0</v>
      </c>
      <c r="U1718" s="28">
        <v>39.0</v>
      </c>
      <c r="V1718" s="28">
        <v>21.0</v>
      </c>
      <c r="W1718" s="28" t="s">
        <v>1173</v>
      </c>
      <c r="X1718" s="28" t="s">
        <v>272</v>
      </c>
      <c r="Y1718" s="28" t="s">
        <v>15488</v>
      </c>
      <c r="Z1718" s="28" t="s">
        <v>5170</v>
      </c>
      <c r="AA1718" s="28" t="s">
        <v>5171</v>
      </c>
      <c r="AB1718" s="28">
        <v>30.0</v>
      </c>
      <c r="AC1718" s="28" t="s">
        <v>24</v>
      </c>
      <c r="AD1718" s="23"/>
      <c r="AE1718" s="28" t="s">
        <v>10</v>
      </c>
      <c r="AF1718" s="23"/>
      <c r="AG1718" s="23"/>
      <c r="AH1718" s="23" t="str">
        <f>IFERROR(__xludf.DUMMYFUNCTION("IF(
ISNUMBER(MATCH(
C1718,
IMPORTRANGE(""https://docs.google.com/spreadsheets/d/1yTh1ELC33JHYOeEdgIiEclxPRyh0zOKtlawDltfUay8"",""'Interns'!A:A""),
0
)),
""Outreach Conducted"",
"""")"),"")</f>
        <v/>
      </c>
      <c r="AI1718" s="23"/>
      <c r="AJ1718" s="23"/>
      <c r="AK1718" s="23" t="str">
        <f>IFERROR(__xludf.DUMMYFUNCTION("XLOOKUP(C1718, 
   IMPORTRANGE(""1RdEdgHYrZ33LJ7RUHj_h-qkAFL92bcVjtIdVa-UlsCw"", ""Interns!D:D""), 
   IMPORTRANGE(""1RdEdgHYrZ33LJ7RUHj_h-qkAFL92bcVjtIdVa-UlsCw"", ""Interns!M:M""), 
   ""Not Found"")"),"Contacted")</f>
        <v>Contacted</v>
      </c>
      <c r="AL1718" s="23" t="str">
        <f>IFERROR(__xludf.DUMMYFUNCTION("XLOOKUP(C1718, 
   IMPORTRANGE(""1RdEdgHYrZ33LJ7RUHj_h-qkAFL92bcVjtIdVa-UlsCw"", ""Interns!D:D""), 
   IMPORTRANGE(""1RdEdgHYrZ33LJ7RUHj_h-qkAFL92bcVjtIdVa-UlsCw"", ""Interns!N:N""), 
   ""Not Found"")"),"#Cheers4Careers")</f>
        <v>#Cheers4Careers</v>
      </c>
      <c r="AM1718" s="23" t="str">
        <f>IFERROR(__xludf.DUMMYFUNCTION("XLOOKUP(C1718, 
   IMPORTRANGE(""1RdEdgHYrZ33LJ7RUHj_h-qkAFL92bcVjtIdVa-UlsCw"", ""Interns!D:D""), 
   IMPORTRANGE(""1RdEdgHYrZ33LJ7RUHj_h-qkAFL92bcVjtIdVa-UlsCw"", ""Interns!O:O""), 
   ""Not Found"")"),"Hetal reached out March 27 for March #Cheers4 Careers ")</f>
        <v>Hetal reached out March 27 for March #Cheers4 Careers </v>
      </c>
      <c r="AN1718" s="23"/>
      <c r="AO1718" s="23" t="s">
        <v>15489</v>
      </c>
      <c r="AP1718" s="28" t="s">
        <v>5182</v>
      </c>
      <c r="AQ1718" s="28"/>
      <c r="AR1718" s="23"/>
      <c r="AS1718" s="23"/>
      <c r="AT1718" s="23"/>
      <c r="AU1718" s="23"/>
      <c r="AV1718" s="23"/>
    </row>
    <row r="1719">
      <c r="A1719" s="28" t="s">
        <v>5161</v>
      </c>
      <c r="B1719" s="28" t="s">
        <v>5162</v>
      </c>
      <c r="C1719" s="23" t="str">
        <f t="shared" si="39"/>
        <v>Sebastian Antonio</v>
      </c>
      <c r="D1719" s="22" t="s">
        <v>6733</v>
      </c>
      <c r="E1719" s="22" t="s">
        <v>15195</v>
      </c>
      <c r="F1719" s="23"/>
      <c r="G1719" s="23"/>
      <c r="H1719" s="22">
        <v>2016.0</v>
      </c>
      <c r="I1719" s="28"/>
      <c r="J1719" s="28"/>
      <c r="K1719" s="28"/>
      <c r="L1719" s="28" t="s">
        <v>5165</v>
      </c>
      <c r="M1719" s="29" t="s">
        <v>15490</v>
      </c>
      <c r="N1719" s="63">
        <v>45615.50763888889</v>
      </c>
      <c r="O1719" s="25">
        <v>41326.0</v>
      </c>
      <c r="P1719" s="28">
        <f t="shared" si="42"/>
        <v>13</v>
      </c>
      <c r="Q1719" s="62" t="s">
        <v>15491</v>
      </c>
      <c r="R1719" s="22" t="s">
        <v>15492</v>
      </c>
      <c r="S1719" s="28">
        <v>14.0</v>
      </c>
      <c r="T1719" s="28">
        <v>13.0</v>
      </c>
      <c r="U1719" s="28">
        <v>39.0</v>
      </c>
      <c r="V1719" s="28">
        <v>21.0</v>
      </c>
      <c r="W1719" s="28" t="s">
        <v>1173</v>
      </c>
      <c r="X1719" s="28" t="s">
        <v>272</v>
      </c>
      <c r="Y1719" s="22" t="s">
        <v>15493</v>
      </c>
      <c r="Z1719" s="22" t="s">
        <v>5536</v>
      </c>
      <c r="AA1719" s="28" t="s">
        <v>5287</v>
      </c>
      <c r="AB1719" s="28">
        <v>26.0</v>
      </c>
      <c r="AC1719" s="28" t="s">
        <v>27</v>
      </c>
      <c r="AD1719" s="23"/>
      <c r="AE1719" s="28" t="s">
        <v>19</v>
      </c>
      <c r="AF1719" s="23"/>
      <c r="AG1719" s="23"/>
      <c r="AH1719" s="23" t="str">
        <f>IFERROR(__xludf.DUMMYFUNCTION("IF(
ISNUMBER(MATCH(
C1719,
IMPORTRANGE(""https://docs.google.com/spreadsheets/d/1yTh1ELC33JHYOeEdgIiEclxPRyh0zOKtlawDltfUay8"",""'Interns'!A:A""),
0
)),
""Outreach Conducted"",
"""")"),"")</f>
        <v/>
      </c>
      <c r="AI1719" s="23"/>
      <c r="AJ1719" s="23"/>
      <c r="AK1719" s="23" t="str">
        <f>IFERROR(__xludf.DUMMYFUNCTION("XLOOKUP(C1719, 
   IMPORTRANGE(""1RdEdgHYrZ33LJ7RUHj_h-qkAFL92bcVjtIdVa-UlsCw"", ""Interns!D:D""), 
   IMPORTRANGE(""1RdEdgHYrZ33LJ7RUHj_h-qkAFL92bcVjtIdVa-UlsCw"", ""Interns!M:M""), 
   ""Not Found"")"),"Not Found")</f>
        <v>Not Found</v>
      </c>
      <c r="AL1719" s="23" t="str">
        <f>IFERROR(__xludf.DUMMYFUNCTION("XLOOKUP(C1719, 
   IMPORTRANGE(""1RdEdgHYrZ33LJ7RUHj_h-qkAFL92bcVjtIdVa-UlsCw"", ""Interns!D:D""), 
   IMPORTRANGE(""1RdEdgHYrZ33LJ7RUHj_h-qkAFL92bcVjtIdVa-UlsCw"", ""Interns!N:N""), 
   ""Not Found"")"),"Not Found")</f>
        <v>Not Found</v>
      </c>
      <c r="AM1719" s="23" t="str">
        <f>IFERROR(__xludf.DUMMYFUNCTION("XLOOKUP(C1719, 
   IMPORTRANGE(""1RdEdgHYrZ33LJ7RUHj_h-qkAFL92bcVjtIdVa-UlsCw"", ""Interns!D:D""), 
   IMPORTRANGE(""1RdEdgHYrZ33LJ7RUHj_h-qkAFL92bcVjtIdVa-UlsCw"", ""Interns!O:O""), 
   ""Not Found"")"),"Not Found")</f>
        <v>Not Found</v>
      </c>
      <c r="AN1719" s="23"/>
      <c r="AO1719" s="23" t="s">
        <v>2308</v>
      </c>
      <c r="AP1719" s="28" t="s">
        <v>5182</v>
      </c>
      <c r="AQ1719" s="28" t="s">
        <v>15494</v>
      </c>
      <c r="AR1719" s="23" t="s">
        <v>15493</v>
      </c>
      <c r="AS1719" s="23"/>
      <c r="AT1719" s="23"/>
      <c r="AU1719" s="23"/>
      <c r="AV1719" s="23"/>
    </row>
    <row r="1720">
      <c r="A1720" s="28" t="s">
        <v>5161</v>
      </c>
      <c r="B1720" s="28" t="s">
        <v>5162</v>
      </c>
      <c r="C1720" s="23" t="str">
        <f t="shared" si="39"/>
        <v>Arturo Barrios</v>
      </c>
      <c r="D1720" s="28" t="s">
        <v>612</v>
      </c>
      <c r="E1720" s="28" t="s">
        <v>6806</v>
      </c>
      <c r="F1720" s="23">
        <f t="array" ref="F1720">IFERROR(
    INDEX('Hub Interns 226'!A:A, MATCH(C1720, 'Hub Interns 226'!B:B, 0)),"")</f>
        <v>264</v>
      </c>
      <c r="G1720" s="23">
        <f t="array" ref="G1720">IFERROR(
    INDEX('Hub Users 226'!A:A, MATCH(C1720, 'Hub Users 226'!B:B, 0)),"")</f>
        <v>697</v>
      </c>
      <c r="H1720" s="28">
        <v>1199.0</v>
      </c>
      <c r="I1720" s="28"/>
      <c r="J1720" s="28"/>
      <c r="K1720" s="28"/>
      <c r="L1720" s="28" t="s">
        <v>8087</v>
      </c>
      <c r="M1720" s="56" t="s">
        <v>15495</v>
      </c>
      <c r="N1720" s="57">
        <v>44834.48472222222</v>
      </c>
      <c r="O1720" s="58">
        <v>39899.0</v>
      </c>
      <c r="P1720" s="28">
        <f t="shared" si="42"/>
        <v>17</v>
      </c>
      <c r="Q1720" s="28" t="s">
        <v>240</v>
      </c>
      <c r="R1720" s="28" t="s">
        <v>15496</v>
      </c>
      <c r="S1720" s="28">
        <v>6.0</v>
      </c>
      <c r="T1720" s="28">
        <v>13.0</v>
      </c>
      <c r="U1720" s="28">
        <v>35.0</v>
      </c>
      <c r="V1720" s="28">
        <v>21.0</v>
      </c>
      <c r="W1720" s="28" t="s">
        <v>1173</v>
      </c>
      <c r="X1720" s="28" t="s">
        <v>272</v>
      </c>
      <c r="Y1720" s="28" t="s">
        <v>5169</v>
      </c>
      <c r="Z1720" s="28" t="s">
        <v>5170</v>
      </c>
      <c r="AA1720" s="28" t="s">
        <v>5171</v>
      </c>
      <c r="AB1720" s="28">
        <v>30.0</v>
      </c>
      <c r="AC1720" s="28" t="s">
        <v>23</v>
      </c>
      <c r="AD1720" s="23"/>
      <c r="AE1720" s="28" t="s">
        <v>15</v>
      </c>
      <c r="AF1720" s="23"/>
      <c r="AG1720" s="23"/>
      <c r="AH1720" s="23" t="str">
        <f>IFERROR(__xludf.DUMMYFUNCTION("IF(
ISNUMBER(MATCH(
C1720,
IMPORTRANGE(""https://docs.google.com/spreadsheets/d/1yTh1ELC33JHYOeEdgIiEclxPRyh0zOKtlawDltfUay8"",""'Interns'!A:A""),
0
)),
""Outreach Conducted"",
"""")"),"")</f>
        <v/>
      </c>
      <c r="AI1720" s="23"/>
      <c r="AJ1720" s="23"/>
      <c r="AK1720" s="23" t="str">
        <f>IFERROR(__xludf.DUMMYFUNCTION("XLOOKUP(C1720, 
   IMPORTRANGE(""1RdEdgHYrZ33LJ7RUHj_h-qkAFL92bcVjtIdVa-UlsCw"", ""Interns!D:D""), 
   IMPORTRANGE(""1RdEdgHYrZ33LJ7RUHj_h-qkAFL92bcVjtIdVa-UlsCw"", ""Interns!M:M""), 
   ""Not Found"")"),"Contacted")</f>
        <v>Contacted</v>
      </c>
      <c r="AL1720" s="23" t="str">
        <f>IFERROR(__xludf.DUMMYFUNCTION("XLOOKUP(C1720, 
   IMPORTRANGE(""1RdEdgHYrZ33LJ7RUHj_h-qkAFL92bcVjtIdVa-UlsCw"", ""Interns!D:D""), 
   IMPORTRANGE(""1RdEdgHYrZ33LJ7RUHj_h-qkAFL92bcVjtIdVa-UlsCw"", ""Interns!N:N""), 
   ""Not Found"")"),"#Cheers4Careers")</f>
        <v>#Cheers4Careers</v>
      </c>
      <c r="AM1720" s="23" t="str">
        <f>IFERROR(__xludf.DUMMYFUNCTION("XLOOKUP(C1720, 
   IMPORTRANGE(""1RdEdgHYrZ33LJ7RUHj_h-qkAFL92bcVjtIdVa-UlsCw"", ""Interns!D:D""), 
   IMPORTRANGE(""1RdEdgHYrZ33LJ7RUHj_h-qkAFL92bcVjtIdVa-UlsCw"", ""Interns!O:O""), 
   ""Not Found"")"),"Hetal reached out March 27 for March #Cheers4 Careers ")</f>
        <v>Hetal reached out March 27 for March #Cheers4 Careers </v>
      </c>
      <c r="AN1720" s="23"/>
      <c r="AO1720" s="23" t="s">
        <v>15497</v>
      </c>
      <c r="AP1720" s="28" t="s">
        <v>5182</v>
      </c>
      <c r="AQ1720" s="28"/>
      <c r="AR1720" s="23"/>
      <c r="AS1720" s="23"/>
      <c r="AT1720" s="23"/>
      <c r="AU1720" s="23"/>
      <c r="AV1720" s="23"/>
    </row>
    <row r="1721">
      <c r="A1721" s="28" t="s">
        <v>5161</v>
      </c>
      <c r="B1721" s="28" t="s">
        <v>5162</v>
      </c>
      <c r="C1721" s="23" t="str">
        <f t="shared" si="39"/>
        <v>Brandon Salazar</v>
      </c>
      <c r="D1721" s="28" t="s">
        <v>12684</v>
      </c>
      <c r="E1721" s="28" t="s">
        <v>6541</v>
      </c>
      <c r="F1721" s="23">
        <f t="array" ref="F1721">IFERROR(
    INDEX('Hub Interns 226'!A:A, MATCH(C1721, 'Hub Interns 226'!B:B, 0)),"")</f>
        <v>314</v>
      </c>
      <c r="G1721" s="23">
        <f t="array" ref="G1721">IFERROR(
    INDEX('Hub Users 226'!A:A, MATCH(C1721, 'Hub Users 226'!B:B, 0)),"")</f>
        <v>747</v>
      </c>
      <c r="H1721" s="28">
        <v>1515.0</v>
      </c>
      <c r="I1721" s="28" t="s">
        <v>107</v>
      </c>
      <c r="J1721" s="28"/>
      <c r="K1721" s="28"/>
      <c r="L1721" s="28" t="s">
        <v>5165</v>
      </c>
      <c r="M1721" s="56" t="s">
        <v>15498</v>
      </c>
      <c r="N1721" s="57">
        <v>44953.368055555555</v>
      </c>
      <c r="O1721" s="58">
        <v>39984.0</v>
      </c>
      <c r="P1721" s="28">
        <f t="shared" si="42"/>
        <v>16</v>
      </c>
      <c r="Q1721" s="28" t="s">
        <v>240</v>
      </c>
      <c r="R1721" s="28" t="s">
        <v>15499</v>
      </c>
      <c r="S1721" s="28">
        <v>6.0</v>
      </c>
      <c r="T1721" s="28">
        <v>13.0</v>
      </c>
      <c r="U1721" s="28">
        <v>39.0</v>
      </c>
      <c r="V1721" s="28">
        <v>21.0</v>
      </c>
      <c r="W1721" s="28" t="s">
        <v>1173</v>
      </c>
      <c r="X1721" s="28" t="s">
        <v>272</v>
      </c>
      <c r="Y1721" s="28" t="s">
        <v>15500</v>
      </c>
      <c r="Z1721" s="28" t="s">
        <v>5403</v>
      </c>
      <c r="AA1721" s="28" t="s">
        <v>5404</v>
      </c>
      <c r="AB1721" s="28">
        <v>21.0</v>
      </c>
      <c r="AC1721" s="28" t="s">
        <v>23</v>
      </c>
      <c r="AD1721" s="23"/>
      <c r="AE1721" s="28" t="s">
        <v>15</v>
      </c>
      <c r="AF1721" s="23"/>
      <c r="AG1721" s="23"/>
      <c r="AH1721" s="23" t="str">
        <f>IFERROR(__xludf.DUMMYFUNCTION("IF(
ISNUMBER(MATCH(
C1721,
IMPORTRANGE(""https://docs.google.com/spreadsheets/d/1yTh1ELC33JHYOeEdgIiEclxPRyh0zOKtlawDltfUay8"",""'Interns'!A:A""),
0
)),
""Outreach Conducted"",
"""")"),"")</f>
        <v/>
      </c>
      <c r="AI1721" s="23"/>
      <c r="AJ1721" s="23"/>
      <c r="AK1721" s="23" t="str">
        <f>IFERROR(__xludf.DUMMYFUNCTION("XLOOKUP(C1721, 
   IMPORTRANGE(""1RdEdgHYrZ33LJ7RUHj_h-qkAFL92bcVjtIdVa-UlsCw"", ""Interns!D:D""), 
   IMPORTRANGE(""1RdEdgHYrZ33LJ7RUHj_h-qkAFL92bcVjtIdVa-UlsCw"", ""Interns!M:M""), 
   ""Not Found"")"),"Contacted")</f>
        <v>Contacted</v>
      </c>
      <c r="AL1721" s="23" t="str">
        <f>IFERROR(__xludf.DUMMYFUNCTION("XLOOKUP(C1721, 
   IMPORTRANGE(""1RdEdgHYrZ33LJ7RUHj_h-qkAFL92bcVjtIdVa-UlsCw"", ""Interns!D:D""), 
   IMPORTRANGE(""1RdEdgHYrZ33LJ7RUHj_h-qkAFL92bcVjtIdVa-UlsCw"", ""Interns!N:N""), 
   ""Not Found"")"),"#Cheers4Careers")</f>
        <v>#Cheers4Careers</v>
      </c>
      <c r="AM1721" s="23" t="str">
        <f>IFERROR(__xludf.DUMMYFUNCTION("XLOOKUP(C1721, 
   IMPORTRANGE(""1RdEdgHYrZ33LJ7RUHj_h-qkAFL92bcVjtIdVa-UlsCw"", ""Interns!D:D""), 
   IMPORTRANGE(""1RdEdgHYrZ33LJ7RUHj_h-qkAFL92bcVjtIdVa-UlsCw"", ""Interns!O:O""), 
   ""Not Found"")"),"Reached out by text 3/26-3/28 followed up by email 3/27 by Jackie")</f>
        <v>Reached out by text 3/26-3/28 followed up by email 3/27 by Jackie</v>
      </c>
      <c r="AN1721" s="23"/>
      <c r="AO1721" s="23" t="s">
        <v>15501</v>
      </c>
      <c r="AP1721" s="28" t="s">
        <v>5182</v>
      </c>
      <c r="AQ1721" s="28"/>
      <c r="AR1721" s="23"/>
      <c r="AS1721" s="23"/>
      <c r="AT1721" s="23"/>
      <c r="AU1721" s="23"/>
      <c r="AV1721" s="23"/>
    </row>
    <row r="1722">
      <c r="A1722" s="28" t="s">
        <v>5161</v>
      </c>
      <c r="B1722" s="28" t="s">
        <v>5162</v>
      </c>
      <c r="C1722" s="23" t="str">
        <f t="shared" si="39"/>
        <v>Thuy Trinh</v>
      </c>
      <c r="D1722" s="28" t="s">
        <v>15502</v>
      </c>
      <c r="E1722" s="28" t="s">
        <v>15503</v>
      </c>
      <c r="F1722" s="23">
        <f t="array" ref="F1722">IFERROR(
    INDEX('Hub Interns 226'!A:A, MATCH(C1722, 'Hub Interns 226'!B:B, 0)),"")</f>
        <v>31</v>
      </c>
      <c r="G1722" s="23">
        <f t="array" ref="G1722">IFERROR(
    INDEX('Hub Users 226'!A:A, MATCH(C1722, 'Hub Users 226'!B:B, 0)),"")</f>
        <v>464</v>
      </c>
      <c r="H1722" s="28">
        <v>1159.0</v>
      </c>
      <c r="I1722" s="28" t="s">
        <v>260</v>
      </c>
      <c r="J1722" s="28" t="s">
        <v>13089</v>
      </c>
      <c r="K1722" s="28" t="s">
        <v>5186</v>
      </c>
      <c r="L1722" s="28" t="s">
        <v>5196</v>
      </c>
      <c r="M1722" s="56" t="s">
        <v>15504</v>
      </c>
      <c r="N1722" s="57">
        <v>44752.40138888889</v>
      </c>
      <c r="O1722" s="58">
        <v>38242.0</v>
      </c>
      <c r="P1722" s="28">
        <f t="shared" si="42"/>
        <v>21</v>
      </c>
      <c r="Q1722" s="28" t="s">
        <v>240</v>
      </c>
      <c r="R1722" s="28" t="s">
        <v>15505</v>
      </c>
      <c r="S1722" s="28">
        <v>12.0</v>
      </c>
      <c r="T1722" s="28">
        <v>28.0</v>
      </c>
      <c r="U1722" s="28">
        <v>76.0</v>
      </c>
      <c r="V1722" s="28">
        <v>5.0</v>
      </c>
      <c r="W1722" s="28" t="s">
        <v>271</v>
      </c>
      <c r="X1722" s="28" t="s">
        <v>272</v>
      </c>
      <c r="Y1722" s="28" t="s">
        <v>15506</v>
      </c>
      <c r="Z1722" s="28" t="s">
        <v>5259</v>
      </c>
      <c r="AA1722" s="28" t="s">
        <v>704</v>
      </c>
      <c r="AB1722" s="28">
        <v>2.0</v>
      </c>
      <c r="AC1722" s="28" t="s">
        <v>23</v>
      </c>
      <c r="AD1722" s="28" t="s">
        <v>101</v>
      </c>
      <c r="AE1722" s="28" t="s">
        <v>15</v>
      </c>
      <c r="AF1722" s="23"/>
      <c r="AG1722" s="23"/>
      <c r="AH1722" s="23" t="str">
        <f>IFERROR(__xludf.DUMMYFUNCTION("IF(
ISNUMBER(MATCH(
C1722,
IMPORTRANGE(""https://docs.google.com/spreadsheets/d/1yTh1ELC33JHYOeEdgIiEclxPRyh0zOKtlawDltfUay8"",""'Interns'!A:A""),
0
)),
""Outreach Conducted"",
"""")"),"")</f>
        <v/>
      </c>
      <c r="AI1722" s="23"/>
      <c r="AJ1722" s="23"/>
      <c r="AK1722" s="23" t="str">
        <f>IFERROR(__xludf.DUMMYFUNCTION("XLOOKUP(C1722, 
   IMPORTRANGE(""1RdEdgHYrZ33LJ7RUHj_h-qkAFL92bcVjtIdVa-UlsCw"", ""Interns!D:D""), 
   IMPORTRANGE(""1RdEdgHYrZ33LJ7RUHj_h-qkAFL92bcVjtIdVa-UlsCw"", ""Interns!M:M""), 
   ""Not Found"")"),"Contacted")</f>
        <v>Contacted</v>
      </c>
      <c r="AL1722" s="23" t="str">
        <f>IFERROR(__xludf.DUMMYFUNCTION("XLOOKUP(C1722, 
   IMPORTRANGE(""1RdEdgHYrZ33LJ7RUHj_h-qkAFL92bcVjtIdVa-UlsCw"", ""Interns!D:D""), 
   IMPORTRANGE(""1RdEdgHYrZ33LJ7RUHj_h-qkAFL92bcVjtIdVa-UlsCw"", ""Interns!N:N""), 
   ""Not Found"")"),"#Cheers4Careers")</f>
        <v>#Cheers4Careers</v>
      </c>
      <c r="AM1722" s="23" t="str">
        <f>IFERROR(__xludf.DUMMYFUNCTION("XLOOKUP(C1722, 
   IMPORTRANGE(""1RdEdgHYrZ33LJ7RUHj_h-qkAFL92bcVjtIdVa-UlsCw"", ""Interns!D:D""), 
   IMPORTRANGE(""1RdEdgHYrZ33LJ7RUHj_h-qkAFL92bcVjtIdVa-UlsCw"", ""Interns!O:O""), 
   ""Not Found"")"),"Ousmane reached out by email 3/26 and reach out by text 3/28")</f>
        <v>Ousmane reached out by email 3/26 and reach out by text 3/28</v>
      </c>
      <c r="AN1722" s="23"/>
      <c r="AO1722" s="23" t="s">
        <v>15507</v>
      </c>
      <c r="AP1722" s="28" t="s">
        <v>5191</v>
      </c>
      <c r="AQ1722" s="28"/>
      <c r="AR1722" s="23"/>
      <c r="AS1722" s="23"/>
      <c r="AT1722" s="23"/>
      <c r="AU1722" s="23"/>
      <c r="AV1722" s="23"/>
    </row>
    <row r="1723">
      <c r="A1723" s="28" t="s">
        <v>5161</v>
      </c>
      <c r="B1723" s="28" t="s">
        <v>5162</v>
      </c>
      <c r="C1723" s="23" t="str">
        <f t="shared" si="39"/>
        <v>Kayla Astudillo</v>
      </c>
      <c r="D1723" s="28" t="s">
        <v>15508</v>
      </c>
      <c r="E1723" s="28" t="s">
        <v>9056</v>
      </c>
      <c r="F1723" s="23">
        <f t="array" ref="F1723">IFERROR(
    INDEX('Hub Interns 226'!A:A, MATCH(C1723, 'Hub Interns 226'!B:B, 0)),"")</f>
        <v>733</v>
      </c>
      <c r="G1723" s="23">
        <f t="array" ref="G1723">IFERROR(
    INDEX('Hub Users 226'!A:A, MATCH(C1723, 'Hub Users 226'!B:B, 0)),"")</f>
        <v>1166</v>
      </c>
      <c r="H1723" s="28">
        <v>1332.0</v>
      </c>
      <c r="I1723" s="28" t="s">
        <v>407</v>
      </c>
      <c r="J1723" s="28"/>
      <c r="K1723" s="28"/>
      <c r="L1723" s="28" t="s">
        <v>8087</v>
      </c>
      <c r="M1723" s="56" t="s">
        <v>15509</v>
      </c>
      <c r="N1723" s="59">
        <v>44852.82986111111</v>
      </c>
      <c r="O1723" s="58">
        <v>40340.0</v>
      </c>
      <c r="P1723" s="28">
        <f t="shared" si="42"/>
        <v>15</v>
      </c>
      <c r="Q1723" s="28" t="s">
        <v>240</v>
      </c>
      <c r="R1723" s="28" t="s">
        <v>15510</v>
      </c>
      <c r="S1723" s="28">
        <v>14.0</v>
      </c>
      <c r="T1723" s="28">
        <v>13.0</v>
      </c>
      <c r="U1723" s="28">
        <v>34.0</v>
      </c>
      <c r="V1723" s="28">
        <v>21.0</v>
      </c>
      <c r="W1723" s="28" t="s">
        <v>1173</v>
      </c>
      <c r="X1723" s="28" t="s">
        <v>272</v>
      </c>
      <c r="Y1723" s="28" t="s">
        <v>15511</v>
      </c>
      <c r="Z1723" s="28" t="s">
        <v>5403</v>
      </c>
      <c r="AA1723" s="28" t="s">
        <v>5404</v>
      </c>
      <c r="AB1723" s="28">
        <v>21.0</v>
      </c>
      <c r="AC1723" s="28" t="s">
        <v>23</v>
      </c>
      <c r="AD1723" s="23"/>
      <c r="AE1723" s="28" t="s">
        <v>15</v>
      </c>
      <c r="AF1723" s="23"/>
      <c r="AG1723" s="23"/>
      <c r="AH1723" s="23" t="str">
        <f>IFERROR(__xludf.DUMMYFUNCTION("IF(
ISNUMBER(MATCH(
C1723,
IMPORTRANGE(""https://docs.google.com/spreadsheets/d/1yTh1ELC33JHYOeEdgIiEclxPRyh0zOKtlawDltfUay8"",""'Interns'!A:A""),
0
)),
""Outreach Conducted"",
"""")"),"")</f>
        <v/>
      </c>
      <c r="AI1723" s="23"/>
      <c r="AJ1723" s="23"/>
      <c r="AK1723" s="23" t="str">
        <f>IFERROR(__xludf.DUMMYFUNCTION("XLOOKUP(C1723, 
   IMPORTRANGE(""1RdEdgHYrZ33LJ7RUHj_h-qkAFL92bcVjtIdVa-UlsCw"", ""Interns!D:D""), 
   IMPORTRANGE(""1RdEdgHYrZ33LJ7RUHj_h-qkAFL92bcVjtIdVa-UlsCw"", ""Interns!M:M""), 
   ""Not Found"")"),"Contacted")</f>
        <v>Contacted</v>
      </c>
      <c r="AL1723" s="23" t="str">
        <f>IFERROR(__xludf.DUMMYFUNCTION("XLOOKUP(C1723, 
   IMPORTRANGE(""1RdEdgHYrZ33LJ7RUHj_h-qkAFL92bcVjtIdVa-UlsCw"", ""Interns!D:D""), 
   IMPORTRANGE(""1RdEdgHYrZ33LJ7RUHj_h-qkAFL92bcVjtIdVa-UlsCw"", ""Interns!N:N""), 
   ""Not Found"")"),"#Cheers4Careers")</f>
        <v>#Cheers4Careers</v>
      </c>
      <c r="AM1723" s="23" t="str">
        <f>IFERROR(__xludf.DUMMYFUNCTION("XLOOKUP(C1723,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723" s="23"/>
      <c r="AO1723" s="23" t="s">
        <v>15512</v>
      </c>
      <c r="AP1723" s="28" t="s">
        <v>5182</v>
      </c>
      <c r="AQ1723" s="28"/>
      <c r="AR1723" s="23"/>
      <c r="AS1723" s="23"/>
      <c r="AT1723" s="23"/>
      <c r="AU1723" s="23"/>
      <c r="AV1723" s="23"/>
    </row>
    <row r="1724">
      <c r="A1724" s="28" t="s">
        <v>5161</v>
      </c>
      <c r="B1724" s="28" t="s">
        <v>5162</v>
      </c>
      <c r="C1724" s="23" t="str">
        <f t="shared" si="39"/>
        <v>Azul Santiago</v>
      </c>
      <c r="D1724" s="28" t="s">
        <v>15513</v>
      </c>
      <c r="E1724" s="28" t="s">
        <v>6377</v>
      </c>
      <c r="F1724" s="23">
        <f t="array" ref="F1724">IFERROR(
    INDEX('Hub Interns 226'!A:A, MATCH(C1724, 'Hub Interns 226'!B:B, 0)),"")</f>
        <v>283</v>
      </c>
      <c r="G1724" s="23">
        <f t="array" ref="G1724">IFERROR(
    INDEX('Hub Users 226'!A:A, MATCH(C1724, 'Hub Users 226'!B:B, 0)),"")</f>
        <v>716</v>
      </c>
      <c r="H1724" s="28">
        <v>1187.0</v>
      </c>
      <c r="I1724" s="28"/>
      <c r="J1724" s="28"/>
      <c r="K1724" s="28"/>
      <c r="L1724" s="28" t="s">
        <v>5196</v>
      </c>
      <c r="M1724" s="56" t="s">
        <v>15514</v>
      </c>
      <c r="N1724" s="57">
        <v>44833.58472222222</v>
      </c>
      <c r="O1724" s="58">
        <v>39504.0</v>
      </c>
      <c r="P1724" s="28">
        <f t="shared" si="42"/>
        <v>18</v>
      </c>
      <c r="Q1724" s="28" t="s">
        <v>240</v>
      </c>
      <c r="R1724" s="28" t="s">
        <v>15515</v>
      </c>
      <c r="S1724" s="28">
        <v>6.0</v>
      </c>
      <c r="T1724" s="28">
        <v>13.0</v>
      </c>
      <c r="U1724" s="28">
        <v>35.0</v>
      </c>
      <c r="V1724" s="28">
        <v>21.0</v>
      </c>
      <c r="W1724" s="28" t="s">
        <v>1173</v>
      </c>
      <c r="X1724" s="28" t="s">
        <v>272</v>
      </c>
      <c r="Y1724" s="28" t="s">
        <v>15516</v>
      </c>
      <c r="Z1724" s="28" t="s">
        <v>5170</v>
      </c>
      <c r="AA1724" s="28" t="s">
        <v>5171</v>
      </c>
      <c r="AB1724" s="28">
        <v>30.0</v>
      </c>
      <c r="AC1724" s="28" t="s">
        <v>23</v>
      </c>
      <c r="AD1724" s="28" t="s">
        <v>101</v>
      </c>
      <c r="AE1724" s="28" t="s">
        <v>15</v>
      </c>
      <c r="AF1724" s="23"/>
      <c r="AG1724" s="23"/>
      <c r="AH1724" s="23" t="str">
        <f>IFERROR(__xludf.DUMMYFUNCTION("IF(
ISNUMBER(MATCH(
C1724,
IMPORTRANGE(""https://docs.google.com/spreadsheets/d/1yTh1ELC33JHYOeEdgIiEclxPRyh0zOKtlawDltfUay8"",""'Interns'!A:A""),
0
)),
""Outreach Conducted"",
"""")"),"")</f>
        <v/>
      </c>
      <c r="AI1724" s="23"/>
      <c r="AJ1724" s="23"/>
      <c r="AK1724" s="23" t="str">
        <f>IFERROR(__xludf.DUMMYFUNCTION("XLOOKUP(C1724, 
   IMPORTRANGE(""1RdEdgHYrZ33LJ7RUHj_h-qkAFL92bcVjtIdVa-UlsCw"", ""Interns!D:D""), 
   IMPORTRANGE(""1RdEdgHYrZ33LJ7RUHj_h-qkAFL92bcVjtIdVa-UlsCw"", ""Interns!M:M""), 
   ""Not Found"")"),"Contacted")</f>
        <v>Contacted</v>
      </c>
      <c r="AL1724" s="23" t="str">
        <f>IFERROR(__xludf.DUMMYFUNCTION("XLOOKUP(C1724, 
   IMPORTRANGE(""1RdEdgHYrZ33LJ7RUHj_h-qkAFL92bcVjtIdVa-UlsCw"", ""Interns!D:D""), 
   IMPORTRANGE(""1RdEdgHYrZ33LJ7RUHj_h-qkAFL92bcVjtIdVa-UlsCw"", ""Interns!N:N""), 
   ""Not Found"")"),"#Cheers4Careers")</f>
        <v>#Cheers4Careers</v>
      </c>
      <c r="AM1724" s="23" t="str">
        <f>IFERROR(__xludf.DUMMYFUNCTION("XLOOKUP(C1724, 
   IMPORTRANGE(""1RdEdgHYrZ33LJ7RUHj_h-qkAFL92bcVjtIdVa-UlsCw"", ""Interns!D:D""), 
   IMPORTRANGE(""1RdEdgHYrZ33LJ7RUHj_h-qkAFL92bcVjtIdVa-UlsCw"", ""Interns!O:O""), 
   ""Not Found"")"),"Hetal reached out March 27 for March #Cheers4 Careers ")</f>
        <v>Hetal reached out March 27 for March #Cheers4 Careers </v>
      </c>
      <c r="AN1724" s="23"/>
      <c r="AO1724" s="23" t="s">
        <v>15517</v>
      </c>
      <c r="AP1724" s="28" t="s">
        <v>5182</v>
      </c>
      <c r="AQ1724" s="28"/>
      <c r="AR1724" s="23"/>
      <c r="AS1724" s="23"/>
      <c r="AT1724" s="23"/>
      <c r="AU1724" s="23"/>
      <c r="AV1724" s="23"/>
    </row>
    <row r="1725">
      <c r="A1725" s="28" t="s">
        <v>5161</v>
      </c>
      <c r="B1725" s="28" t="s">
        <v>5162</v>
      </c>
      <c r="C1725" s="23" t="str">
        <f t="shared" si="39"/>
        <v>John Fajardo</v>
      </c>
      <c r="D1725" s="28" t="s">
        <v>1788</v>
      </c>
      <c r="E1725" s="28" t="s">
        <v>15518</v>
      </c>
      <c r="F1725" s="23">
        <f t="array" ref="F1725">IFERROR(
    INDEX('Hub Interns 226'!A:A, MATCH(C1725, 'Hub Interns 226'!B:B, 0)),"")</f>
        <v>677</v>
      </c>
      <c r="G1725" s="23">
        <f t="array" ref="G1725">IFERROR(
    INDEX('Hub Users 226'!A:A, MATCH(C1725, 'Hub Users 226'!B:B, 0)),"")</f>
        <v>1110</v>
      </c>
      <c r="H1725" s="28">
        <v>1331.0</v>
      </c>
      <c r="I1725" s="28" t="s">
        <v>407</v>
      </c>
      <c r="J1725" s="28"/>
      <c r="K1725" s="28"/>
      <c r="L1725" s="28" t="s">
        <v>5165</v>
      </c>
      <c r="M1725" s="56" t="s">
        <v>15519</v>
      </c>
      <c r="N1725" s="59">
        <v>44852.660416666666</v>
      </c>
      <c r="O1725" s="58">
        <v>40288.0</v>
      </c>
      <c r="P1725" s="28">
        <f t="shared" si="42"/>
        <v>16</v>
      </c>
      <c r="Q1725" s="28" t="s">
        <v>240</v>
      </c>
      <c r="R1725" s="28" t="s">
        <v>15520</v>
      </c>
      <c r="S1725" s="28">
        <v>14.0</v>
      </c>
      <c r="T1725" s="28">
        <v>13.0</v>
      </c>
      <c r="U1725" s="28">
        <v>39.0</v>
      </c>
      <c r="V1725" s="28">
        <v>21.0</v>
      </c>
      <c r="W1725" s="28" t="s">
        <v>1173</v>
      </c>
      <c r="X1725" s="28" t="s">
        <v>272</v>
      </c>
      <c r="Y1725" s="28" t="s">
        <v>15521</v>
      </c>
      <c r="Z1725" s="28" t="s">
        <v>5403</v>
      </c>
      <c r="AA1725" s="28" t="s">
        <v>5404</v>
      </c>
      <c r="AB1725" s="28">
        <v>21.0</v>
      </c>
      <c r="AC1725" s="28" t="s">
        <v>23</v>
      </c>
      <c r="AD1725" s="23"/>
      <c r="AE1725" s="28" t="s">
        <v>15</v>
      </c>
      <c r="AF1725" s="23"/>
      <c r="AG1725" s="23"/>
      <c r="AH1725" s="23" t="str">
        <f>IFERROR(__xludf.DUMMYFUNCTION("IF(
ISNUMBER(MATCH(
C1725,
IMPORTRANGE(""https://docs.google.com/spreadsheets/d/1yTh1ELC33JHYOeEdgIiEclxPRyh0zOKtlawDltfUay8"",""'Interns'!A:A""),
0
)),
""Outreach Conducted"",
"""")"),"")</f>
        <v/>
      </c>
      <c r="AI1725" s="23"/>
      <c r="AJ1725" s="23"/>
      <c r="AK1725" s="23" t="str">
        <f>IFERROR(__xludf.DUMMYFUNCTION("XLOOKUP(C1725, 
   IMPORTRANGE(""1RdEdgHYrZ33LJ7RUHj_h-qkAFL92bcVjtIdVa-UlsCw"", ""Interns!D:D""), 
   IMPORTRANGE(""1RdEdgHYrZ33LJ7RUHj_h-qkAFL92bcVjtIdVa-UlsCw"", ""Interns!M:M""), 
   ""Not Found"")"),"Contacted")</f>
        <v>Contacted</v>
      </c>
      <c r="AL1725" s="23" t="str">
        <f>IFERROR(__xludf.DUMMYFUNCTION("XLOOKUP(C1725, 
   IMPORTRANGE(""1RdEdgHYrZ33LJ7RUHj_h-qkAFL92bcVjtIdVa-UlsCw"", ""Interns!D:D""), 
   IMPORTRANGE(""1RdEdgHYrZ33LJ7RUHj_h-qkAFL92bcVjtIdVa-UlsCw"", ""Interns!N:N""), 
   ""Not Found"")"),"#Cheers4Careers")</f>
        <v>#Cheers4Careers</v>
      </c>
      <c r="AM1725" s="23" t="str">
        <f>IFERROR(__xludf.DUMMYFUNCTION("XLOOKUP(C1725, 
   IMPORTRANGE(""1RdEdgHYrZ33LJ7RUHj_h-qkAFL92bcVjtIdVa-UlsCw"", ""Interns!D:D""), 
   IMPORTRANGE(""1RdEdgHYrZ33LJ7RUHj_h-qkAFL92bcVjtIdVa-UlsCw"", ""Interns!O:O""), 
   ""Not Found"")"),"reached out by email 3/27 by Menna -- &gt; email blocked")</f>
        <v>reached out by email 3/27 by Menna -- &gt; email blocked</v>
      </c>
      <c r="AN1725" s="23"/>
      <c r="AO1725" s="23" t="s">
        <v>15522</v>
      </c>
      <c r="AP1725" s="28" t="s">
        <v>5182</v>
      </c>
      <c r="AQ1725" s="28"/>
      <c r="AR1725" s="23"/>
      <c r="AS1725" s="23"/>
      <c r="AT1725" s="23"/>
      <c r="AU1725" s="23"/>
      <c r="AV1725" s="23"/>
    </row>
    <row r="1726">
      <c r="A1726" s="28" t="s">
        <v>5161</v>
      </c>
      <c r="B1726" s="28" t="s">
        <v>31</v>
      </c>
      <c r="C1726" s="23" t="str">
        <f t="shared" si="39"/>
        <v>John Fajardo</v>
      </c>
      <c r="D1726" s="28" t="s">
        <v>1788</v>
      </c>
      <c r="E1726" s="28" t="s">
        <v>15518</v>
      </c>
      <c r="F1726" s="23">
        <f t="array" ref="F1726">IFERROR(
    INDEX('Hub Interns 226'!A:A, MATCH(C1726, 'Hub Interns 226'!B:B, 0)),"")</f>
        <v>677</v>
      </c>
      <c r="G1726" s="23">
        <f t="array" ref="G1726">IFERROR(
    INDEX('Hub Users 226'!A:A, MATCH(C1726, 'Hub Users 226'!B:B, 0)),"")</f>
        <v>1110</v>
      </c>
      <c r="H1726" s="28">
        <v>1507.0</v>
      </c>
      <c r="I1726" s="28"/>
      <c r="J1726" s="28"/>
      <c r="K1726" s="28"/>
      <c r="L1726" s="28" t="s">
        <v>5165</v>
      </c>
      <c r="M1726" s="56" t="s">
        <v>15519</v>
      </c>
      <c r="N1726" s="57">
        <v>44953.3625</v>
      </c>
      <c r="O1726" s="58">
        <v>40288.0</v>
      </c>
      <c r="P1726" s="28">
        <f t="shared" si="42"/>
        <v>16</v>
      </c>
      <c r="Q1726" s="28" t="s">
        <v>240</v>
      </c>
      <c r="R1726" s="28" t="s">
        <v>15523</v>
      </c>
      <c r="S1726" s="28">
        <v>14.0</v>
      </c>
      <c r="T1726" s="28">
        <v>13.0</v>
      </c>
      <c r="U1726" s="28">
        <v>39.0</v>
      </c>
      <c r="V1726" s="28">
        <v>21.0</v>
      </c>
      <c r="W1726" s="28" t="s">
        <v>1173</v>
      </c>
      <c r="X1726" s="28" t="s">
        <v>272</v>
      </c>
      <c r="Y1726" s="28" t="s">
        <v>15521</v>
      </c>
      <c r="Z1726" s="28" t="s">
        <v>5403</v>
      </c>
      <c r="AA1726" s="28" t="s">
        <v>5404</v>
      </c>
      <c r="AB1726" s="28">
        <v>21.0</v>
      </c>
      <c r="AC1726" s="28" t="s">
        <v>8982</v>
      </c>
      <c r="AD1726" s="23"/>
      <c r="AE1726" s="28" t="s">
        <v>15</v>
      </c>
      <c r="AF1726" s="23"/>
      <c r="AG1726" s="23"/>
      <c r="AH1726" s="23" t="str">
        <f>IFERROR(__xludf.DUMMYFUNCTION("IF(
ISNUMBER(MATCH(
C1726,
IMPORTRANGE(""https://docs.google.com/spreadsheets/d/1yTh1ELC33JHYOeEdgIiEclxPRyh0zOKtlawDltfUay8"",""'Interns'!A:A""),
0
)),
""Outreach Conducted"",
"""")"),"")</f>
        <v/>
      </c>
      <c r="AI1726" s="23"/>
      <c r="AJ1726" s="23"/>
      <c r="AK1726" s="23" t="str">
        <f>IFERROR(__xludf.DUMMYFUNCTION("XLOOKUP(C1726, 
   IMPORTRANGE(""1RdEdgHYrZ33LJ7RUHj_h-qkAFL92bcVjtIdVa-UlsCw"", ""Interns!D:D""), 
   IMPORTRANGE(""1RdEdgHYrZ33LJ7RUHj_h-qkAFL92bcVjtIdVa-UlsCw"", ""Interns!M:M""), 
   ""Not Found"")"),"Contacted")</f>
        <v>Contacted</v>
      </c>
      <c r="AL1726" s="23" t="str">
        <f>IFERROR(__xludf.DUMMYFUNCTION("XLOOKUP(C1726, 
   IMPORTRANGE(""1RdEdgHYrZ33LJ7RUHj_h-qkAFL92bcVjtIdVa-UlsCw"", ""Interns!D:D""), 
   IMPORTRANGE(""1RdEdgHYrZ33LJ7RUHj_h-qkAFL92bcVjtIdVa-UlsCw"", ""Interns!N:N""), 
   ""Not Found"")"),"#Cheers4Careers")</f>
        <v>#Cheers4Careers</v>
      </c>
      <c r="AM1726" s="23" t="str">
        <f>IFERROR(__xludf.DUMMYFUNCTION("XLOOKUP(C1726, 
   IMPORTRANGE(""1RdEdgHYrZ33LJ7RUHj_h-qkAFL92bcVjtIdVa-UlsCw"", ""Interns!D:D""), 
   IMPORTRANGE(""1RdEdgHYrZ33LJ7RUHj_h-qkAFL92bcVjtIdVa-UlsCw"", ""Interns!O:O""), 
   ""Not Found"")"),"reached out by email 3/27 by Menna -- &gt; email blocked")</f>
        <v>reached out by email 3/27 by Menna -- &gt; email blocked</v>
      </c>
      <c r="AN1726" s="23"/>
      <c r="AO1726" s="23" t="s">
        <v>2308</v>
      </c>
      <c r="AP1726" s="28" t="s">
        <v>5182</v>
      </c>
      <c r="AQ1726" s="28"/>
      <c r="AR1726" s="23"/>
      <c r="AS1726" s="23"/>
      <c r="AT1726" s="23"/>
      <c r="AU1726" s="23"/>
      <c r="AV1726" s="23"/>
    </row>
    <row r="1727">
      <c r="A1727" s="28" t="s">
        <v>5202</v>
      </c>
      <c r="B1727" s="28" t="s">
        <v>5162</v>
      </c>
      <c r="C1727" s="23" t="str">
        <f t="shared" si="39"/>
        <v>Amir Saunders</v>
      </c>
      <c r="D1727" s="28" t="s">
        <v>11668</v>
      </c>
      <c r="E1727" s="28" t="s">
        <v>14027</v>
      </c>
      <c r="F1727" s="23">
        <f t="array" ref="F1727">IFERROR(
    INDEX('Hub Interns 226'!A:A, MATCH(C1727, 'Hub Interns 226'!B:B, 0)),"")</f>
        <v>209</v>
      </c>
      <c r="G1727" s="23">
        <f t="array" ref="G1727">IFERROR(
    INDEX('Hub Users 226'!A:A, MATCH(C1727, 'Hub Users 226'!B:B, 0)),"")</f>
        <v>642</v>
      </c>
      <c r="H1727" s="28">
        <v>664.0</v>
      </c>
      <c r="I1727" s="28" t="s">
        <v>538</v>
      </c>
      <c r="J1727" s="28"/>
      <c r="K1727" s="28"/>
      <c r="L1727" s="28" t="s">
        <v>5165</v>
      </c>
      <c r="M1727" s="56" t="s">
        <v>15524</v>
      </c>
      <c r="N1727" s="59">
        <v>44540.49444444444</v>
      </c>
      <c r="O1727" s="58">
        <v>38304.0</v>
      </c>
      <c r="P1727" s="28">
        <f t="shared" si="42"/>
        <v>21</v>
      </c>
      <c r="Q1727" s="28" t="s">
        <v>15525</v>
      </c>
      <c r="R1727" s="28" t="s">
        <v>15526</v>
      </c>
      <c r="S1727" s="28"/>
      <c r="T1727" s="28"/>
      <c r="U1727" s="28"/>
      <c r="V1727" s="28"/>
      <c r="W1727" s="28" t="s">
        <v>380</v>
      </c>
      <c r="X1727" s="28" t="s">
        <v>381</v>
      </c>
      <c r="Y1727" s="28" t="s">
        <v>15527</v>
      </c>
      <c r="Z1727" s="28" t="s">
        <v>5272</v>
      </c>
      <c r="AA1727" s="28" t="s">
        <v>629</v>
      </c>
      <c r="AB1727" s="28" t="s">
        <v>5221</v>
      </c>
      <c r="AC1727" s="28" t="s">
        <v>25</v>
      </c>
      <c r="AD1727" s="23"/>
      <c r="AE1727" s="28" t="s">
        <v>10</v>
      </c>
      <c r="AF1727" s="23" t="str">
        <f>IFERROR(__xludf.DUMMYFUNCTION("TEXTJOIN("", "", TRUE,
  FILTER(Champions!C:C,
    ISNUMBER(SEARCH(C1727, Champions!W:W))
  )
)"),"David Temple")</f>
        <v>David Temple</v>
      </c>
      <c r="AG1727" s="23"/>
      <c r="AH1727" s="23" t="str">
        <f>IFERROR(__xludf.DUMMYFUNCTION("IF(
ISNUMBER(MATCH(
C1727,
IMPORTRANGE(""https://docs.google.com/spreadsheets/d/1yTh1ELC33JHYOeEdgIiEclxPRyh0zOKtlawDltfUay8"",""'Interns'!A:A""),
0
)),
""Outreach Conducted"",
"""")"),"")</f>
        <v/>
      </c>
      <c r="AI1727" s="23"/>
      <c r="AJ1727" s="23"/>
      <c r="AK1727" s="23" t="str">
        <f>IFERROR(__xludf.DUMMYFUNCTION("XLOOKUP(C1727, 
   IMPORTRANGE(""1RdEdgHYrZ33LJ7RUHj_h-qkAFL92bcVjtIdVa-UlsCw"", ""Interns!D:D""), 
   IMPORTRANGE(""1RdEdgHYrZ33LJ7RUHj_h-qkAFL92bcVjtIdVa-UlsCw"", ""Interns!M:M""), 
   ""Not Found"")"),"")</f>
        <v/>
      </c>
      <c r="AL1727" s="23" t="str">
        <f>IFERROR(__xludf.DUMMYFUNCTION("XLOOKUP(C1727, 
   IMPORTRANGE(""1RdEdgHYrZ33LJ7RUHj_h-qkAFL92bcVjtIdVa-UlsCw"", ""Interns!D:D""), 
   IMPORTRANGE(""1RdEdgHYrZ33LJ7RUHj_h-qkAFL92bcVjtIdVa-UlsCw"", ""Interns!N:N""), 
   ""Not Found"")"),"")</f>
        <v/>
      </c>
      <c r="AM1727" s="23" t="str">
        <f>IFERROR(__xludf.DUMMYFUNCTION("XLOOKUP(C1727, 
   IMPORTRANGE(""1RdEdgHYrZ33LJ7RUHj_h-qkAFL92bcVjtIdVa-UlsCw"", ""Interns!D:D""), 
   IMPORTRANGE(""1RdEdgHYrZ33LJ7RUHj_h-qkAFL92bcVjtIdVa-UlsCw"", ""Interns!O:O""), 
   ""Not Found"")"),"")</f>
        <v/>
      </c>
      <c r="AN1727" s="23"/>
      <c r="AO1727" s="23" t="s">
        <v>15528</v>
      </c>
      <c r="AP1727" s="28" t="s">
        <v>5182</v>
      </c>
      <c r="AQ1727" s="28" t="s">
        <v>15529</v>
      </c>
      <c r="AR1727" s="23" t="s">
        <v>15530</v>
      </c>
      <c r="AS1727" s="23"/>
      <c r="AT1727" s="23"/>
      <c r="AU1727" s="23"/>
      <c r="AV1727" s="23"/>
    </row>
    <row r="1728">
      <c r="A1728" s="28" t="s">
        <v>5161</v>
      </c>
      <c r="B1728" s="28" t="s">
        <v>5162</v>
      </c>
      <c r="C1728" s="23" t="str">
        <f t="shared" si="39"/>
        <v>Leyli Hernandez</v>
      </c>
      <c r="D1728" s="28" t="s">
        <v>13417</v>
      </c>
      <c r="E1728" s="28" t="s">
        <v>2168</v>
      </c>
      <c r="F1728" s="23">
        <f t="array" ref="F1728">IFERROR(
    INDEX('Hub Interns 226'!A:A, MATCH(C1728, 'Hub Interns 226'!B:B, 0)),"")</f>
        <v>778</v>
      </c>
      <c r="G1728" s="23">
        <f t="array" ref="G1728">IFERROR(
    INDEX('Hub Users 226'!A:A, MATCH(C1728, 'Hub Users 226'!B:B, 0)),"")</f>
        <v>2017</v>
      </c>
      <c r="H1728" s="28">
        <v>1028.0</v>
      </c>
      <c r="I1728" s="28" t="s">
        <v>269</v>
      </c>
      <c r="J1728" s="28"/>
      <c r="K1728" s="28"/>
      <c r="L1728" s="28" t="s">
        <v>5196</v>
      </c>
      <c r="M1728" s="56" t="s">
        <v>15531</v>
      </c>
      <c r="N1728" s="57">
        <v>44662.79791666667</v>
      </c>
      <c r="O1728" s="58">
        <v>39957.0</v>
      </c>
      <c r="P1728" s="28">
        <f t="shared" si="42"/>
        <v>16</v>
      </c>
      <c r="Q1728" s="28" t="s">
        <v>240</v>
      </c>
      <c r="R1728" s="28" t="s">
        <v>15532</v>
      </c>
      <c r="S1728" s="28">
        <v>14.0</v>
      </c>
      <c r="T1728" s="28">
        <v>13.0</v>
      </c>
      <c r="U1728" s="28">
        <v>39.0</v>
      </c>
      <c r="V1728" s="28">
        <v>21.0</v>
      </c>
      <c r="W1728" s="28" t="s">
        <v>1173</v>
      </c>
      <c r="X1728" s="28" t="s">
        <v>272</v>
      </c>
      <c r="Y1728" s="28" t="s">
        <v>13420</v>
      </c>
      <c r="Z1728" s="28" t="s">
        <v>5403</v>
      </c>
      <c r="AA1728" s="28" t="s">
        <v>5404</v>
      </c>
      <c r="AB1728" s="28">
        <v>21.0</v>
      </c>
      <c r="AC1728" s="28" t="s">
        <v>24</v>
      </c>
      <c r="AD1728" s="23"/>
      <c r="AE1728" s="28" t="s">
        <v>10</v>
      </c>
      <c r="AF1728" s="23"/>
      <c r="AG1728" s="26" t="s">
        <v>15533</v>
      </c>
      <c r="AH1728" s="23" t="str">
        <f>IFERROR(__xludf.DUMMYFUNCTION("IF(
ISNUMBER(MATCH(
C1728,
IMPORTRANGE(""https://docs.google.com/spreadsheets/d/1yTh1ELC33JHYOeEdgIiEclxPRyh0zOKtlawDltfUay8"",""'Interns'!A:A""),
0
)),
""Outreach Conducted"",
"""")"),"Outreach Conducted")</f>
        <v>Outreach Conducted</v>
      </c>
      <c r="AI1728" s="23"/>
      <c r="AJ1728" s="23"/>
      <c r="AK1728" s="23" t="str">
        <f>IFERROR(__xludf.DUMMYFUNCTION("XLOOKUP(C1728, 
   IMPORTRANGE(""1RdEdgHYrZ33LJ7RUHj_h-qkAFL92bcVjtIdVa-UlsCw"", ""Interns!D:D""), 
   IMPORTRANGE(""1RdEdgHYrZ33LJ7RUHj_h-qkAFL92bcVjtIdVa-UlsCw"", ""Interns!M:M""), 
   ""Not Found"")"),"Contacted")</f>
        <v>Contacted</v>
      </c>
      <c r="AL1728" s="23" t="str">
        <f>IFERROR(__xludf.DUMMYFUNCTION("XLOOKUP(C1728, 
   IMPORTRANGE(""1RdEdgHYrZ33LJ7RUHj_h-qkAFL92bcVjtIdVa-UlsCw"", ""Interns!D:D""), 
   IMPORTRANGE(""1RdEdgHYrZ33LJ7RUHj_h-qkAFL92bcVjtIdVa-UlsCw"", ""Interns!N:N""), 
   ""Not Found"")"),"#Cheers4Careers")</f>
        <v>#Cheers4Careers</v>
      </c>
      <c r="AM1728" s="23" t="str">
        <f>IFERROR(__xludf.DUMMYFUNCTION("XLOOKUP(C1728, 
   IMPORTRANGE(""1RdEdgHYrZ33LJ7RUHj_h-qkAFL92bcVjtIdVa-UlsCw"", ""Interns!D:D""), 
   IMPORTRANGE(""1RdEdgHYrZ33LJ7RUHj_h-qkAFL92bcVjtIdVa-UlsCw"", ""Interns!O:O""), 
   ""Not Found"")"),"reached out by email 3/27 by Menna
Leyli reached out on 4/10 by email for April 18th #Cheers4Careers")</f>
        <v>reached out by email 3/27 by Menna
Leyli reached out on 4/10 by email for April 18th #Cheers4Careers</v>
      </c>
      <c r="AN1728" s="23"/>
      <c r="AO1728" s="23" t="s">
        <v>13421</v>
      </c>
      <c r="AP1728" s="28" t="s">
        <v>5182</v>
      </c>
      <c r="AQ1728" s="28"/>
      <c r="AR1728" s="23"/>
      <c r="AS1728" s="23"/>
      <c r="AT1728" s="23"/>
      <c r="AU1728" s="23"/>
      <c r="AV1728" s="23"/>
    </row>
    <row r="1729">
      <c r="A1729" s="28" t="s">
        <v>5202</v>
      </c>
      <c r="B1729" s="28" t="s">
        <v>5162</v>
      </c>
      <c r="C1729" s="23" t="str">
        <f t="shared" si="39"/>
        <v>Justin Pinero</v>
      </c>
      <c r="D1729" s="28" t="s">
        <v>6724</v>
      </c>
      <c r="E1729" s="28" t="s">
        <v>15534</v>
      </c>
      <c r="F1729" s="23">
        <f t="array" ref="F1729">IFERROR(
    INDEX('Hub Interns 226'!A:A, MATCH(C1729, 'Hub Interns 226'!B:B, 0)),"")</f>
        <v>957</v>
      </c>
      <c r="G1729" s="23">
        <f t="array" ref="G1729">IFERROR(
    INDEX('Hub Users 226'!A:A, MATCH(C1729, 'Hub Users 226'!B:B, 0)),"")</f>
        <v>1390</v>
      </c>
      <c r="H1729" s="28">
        <v>793.0</v>
      </c>
      <c r="I1729" s="28" t="s">
        <v>239</v>
      </c>
      <c r="J1729" s="28"/>
      <c r="K1729" s="28"/>
      <c r="L1729" s="28" t="s">
        <v>5165</v>
      </c>
      <c r="M1729" s="56" t="s">
        <v>15535</v>
      </c>
      <c r="N1729" s="57">
        <v>44565.4875</v>
      </c>
      <c r="O1729" s="58">
        <v>37867.0</v>
      </c>
      <c r="P1729" s="28">
        <f t="shared" si="42"/>
        <v>22</v>
      </c>
      <c r="Q1729" s="28" t="s">
        <v>240</v>
      </c>
      <c r="R1729" s="28" t="s">
        <v>15536</v>
      </c>
      <c r="S1729" s="28">
        <v>14.0</v>
      </c>
      <c r="T1729" s="28">
        <v>34.0</v>
      </c>
      <c r="U1729" s="28">
        <v>82.0</v>
      </c>
      <c r="V1729" s="28">
        <v>13.0</v>
      </c>
      <c r="W1729" s="28" t="s">
        <v>859</v>
      </c>
      <c r="X1729" s="28" t="s">
        <v>272</v>
      </c>
      <c r="Y1729" s="28" t="s">
        <v>15537</v>
      </c>
      <c r="Z1729" s="28" t="s">
        <v>5779</v>
      </c>
      <c r="AA1729" s="28" t="s">
        <v>3931</v>
      </c>
      <c r="AB1729" s="28">
        <v>2.0</v>
      </c>
      <c r="AC1729" s="28" t="s">
        <v>25</v>
      </c>
      <c r="AD1729" s="23"/>
      <c r="AE1729" s="28" t="s">
        <v>10</v>
      </c>
      <c r="AF1729" s="23" t="str">
        <f>IFERROR(__xludf.DUMMYFUNCTION("TEXTJOIN("", "", TRUE,
  FILTER(Champions!C:C,
    ISNUMBER(SEARCH(C1729, Champions!W:W))
  )
)"),"CHRISTINA BROOMES, Lynda Nwabuobi")</f>
        <v>CHRISTINA BROOMES, Lynda Nwabuobi</v>
      </c>
      <c r="AG1729" s="23"/>
      <c r="AH1729" s="23" t="str">
        <f>IFERROR(__xludf.DUMMYFUNCTION("IF(
ISNUMBER(MATCH(
C1729,
IMPORTRANGE(""https://docs.google.com/spreadsheets/d/1yTh1ELC33JHYOeEdgIiEclxPRyh0zOKtlawDltfUay8"",""'Interns'!A:A""),
0
)),
""Outreach Conducted"",
"""")"),"")</f>
        <v/>
      </c>
      <c r="AI1729" s="23"/>
      <c r="AJ1729" s="23"/>
      <c r="AK1729" s="23" t="str">
        <f>IFERROR(__xludf.DUMMYFUNCTION("XLOOKUP(C1729, 
   IMPORTRANGE(""1RdEdgHYrZ33LJ7RUHj_h-qkAFL92bcVjtIdVa-UlsCw"", ""Interns!D:D""), 
   IMPORTRANGE(""1RdEdgHYrZ33LJ7RUHj_h-qkAFL92bcVjtIdVa-UlsCw"", ""Interns!M:M""), 
   ""Not Found"")"),"")</f>
        <v/>
      </c>
      <c r="AL1729" s="23" t="str">
        <f>IFERROR(__xludf.DUMMYFUNCTION("XLOOKUP(C1729, 
   IMPORTRANGE(""1RdEdgHYrZ33LJ7RUHj_h-qkAFL92bcVjtIdVa-UlsCw"", ""Interns!D:D""), 
   IMPORTRANGE(""1RdEdgHYrZ33LJ7RUHj_h-qkAFL92bcVjtIdVa-UlsCw"", ""Interns!N:N""), 
   ""Not Found"")"),"")</f>
        <v/>
      </c>
      <c r="AM1729" s="23" t="str">
        <f>IFERROR(__xludf.DUMMYFUNCTION("XLOOKUP(C1729, 
   IMPORTRANGE(""1RdEdgHYrZ33LJ7RUHj_h-qkAFL92bcVjtIdVa-UlsCw"", ""Interns!D:D""), 
   IMPORTRANGE(""1RdEdgHYrZ33LJ7RUHj_h-qkAFL92bcVjtIdVa-UlsCw"", ""Interns!O:O""), 
   ""Not Found"")"),"")</f>
        <v/>
      </c>
      <c r="AN1729" s="23"/>
      <c r="AO1729" s="23" t="s">
        <v>15538</v>
      </c>
      <c r="AP1729" s="28" t="s">
        <v>5191</v>
      </c>
      <c r="AQ1729" s="28" t="s">
        <v>15539</v>
      </c>
      <c r="AR1729" s="23" t="s">
        <v>15540</v>
      </c>
      <c r="AS1729" s="23"/>
      <c r="AT1729" s="23"/>
      <c r="AU1729" s="23"/>
      <c r="AV1729" s="23"/>
    </row>
    <row r="1730">
      <c r="A1730" s="28" t="s">
        <v>5202</v>
      </c>
      <c r="B1730" s="28" t="s">
        <v>5162</v>
      </c>
      <c r="C1730" s="23" t="str">
        <f t="shared" si="39"/>
        <v>Rhonda (She/Her) Cox</v>
      </c>
      <c r="D1730" s="28" t="s">
        <v>15541</v>
      </c>
      <c r="E1730" s="28" t="s">
        <v>15542</v>
      </c>
      <c r="F1730" s="23">
        <f t="array" ref="F1730">IFERROR(
    INDEX('Hub Interns 226'!A:A, MATCH(C1730, 'Hub Interns 226'!B:B, 0)),"")</f>
        <v>1025</v>
      </c>
      <c r="G1730" s="23">
        <f t="array" ref="G1730">IFERROR(
    INDEX('Hub Users 226'!A:A, MATCH(C1730, 'Hub Users 226'!B:B, 0)),"")</f>
        <v>1458</v>
      </c>
      <c r="H1730" s="28">
        <v>299.0</v>
      </c>
      <c r="I1730" s="28" t="s">
        <v>260</v>
      </c>
      <c r="J1730" s="28"/>
      <c r="K1730" s="28"/>
      <c r="L1730" s="28" t="s">
        <v>5196</v>
      </c>
      <c r="M1730" s="56" t="s">
        <v>15543</v>
      </c>
      <c r="N1730" s="57">
        <v>44230.77638888889</v>
      </c>
      <c r="O1730" s="58">
        <v>38289.0</v>
      </c>
      <c r="P1730" s="28">
        <f t="shared" si="42"/>
        <v>21</v>
      </c>
      <c r="Q1730" s="28" t="s">
        <v>240</v>
      </c>
      <c r="R1730" s="28" t="s">
        <v>15544</v>
      </c>
      <c r="S1730" s="28"/>
      <c r="T1730" s="28"/>
      <c r="U1730" s="28"/>
      <c r="V1730" s="28"/>
      <c r="W1730" s="28" t="s">
        <v>12324</v>
      </c>
      <c r="X1730" s="28" t="s">
        <v>465</v>
      </c>
      <c r="Y1730" s="28" t="s">
        <v>15545</v>
      </c>
      <c r="Z1730" s="28" t="s">
        <v>12326</v>
      </c>
      <c r="AA1730" s="28" t="s">
        <v>12327</v>
      </c>
      <c r="AB1730" s="28" t="s">
        <v>12328</v>
      </c>
      <c r="AC1730" s="28" t="s">
        <v>24</v>
      </c>
      <c r="AD1730" s="23"/>
      <c r="AE1730" s="28" t="s">
        <v>8</v>
      </c>
      <c r="AF1730" s="23"/>
      <c r="AG1730" s="23"/>
      <c r="AH1730" s="23" t="str">
        <f>IFERROR(__xludf.DUMMYFUNCTION("IF(
ISNUMBER(MATCH(
C1730,
IMPORTRANGE(""https://docs.google.com/spreadsheets/d/1yTh1ELC33JHYOeEdgIiEclxPRyh0zOKtlawDltfUay8"",""'Interns'!A:A""),
0
)),
""Outreach Conducted"",
"""")"),"")</f>
        <v/>
      </c>
      <c r="AI1730" s="23"/>
      <c r="AJ1730" s="23"/>
      <c r="AK1730" s="23" t="str">
        <f>IFERROR(__xludf.DUMMYFUNCTION("XLOOKUP(C1730, 
   IMPORTRANGE(""1RdEdgHYrZ33LJ7RUHj_h-qkAFL92bcVjtIdVa-UlsCw"", ""Interns!D:D""), 
   IMPORTRANGE(""1RdEdgHYrZ33LJ7RUHj_h-qkAFL92bcVjtIdVa-UlsCw"", ""Interns!M:M""), 
   ""Not Found"")"),"")</f>
        <v/>
      </c>
      <c r="AL1730" s="23" t="str">
        <f>IFERROR(__xludf.DUMMYFUNCTION("XLOOKUP(C1730, 
   IMPORTRANGE(""1RdEdgHYrZ33LJ7RUHj_h-qkAFL92bcVjtIdVa-UlsCw"", ""Interns!D:D""), 
   IMPORTRANGE(""1RdEdgHYrZ33LJ7RUHj_h-qkAFL92bcVjtIdVa-UlsCw"", ""Interns!N:N""), 
   ""Not Found"")"),"")</f>
        <v/>
      </c>
      <c r="AM1730" s="23" t="str">
        <f>IFERROR(__xludf.DUMMYFUNCTION("XLOOKUP(C1730, 
   IMPORTRANGE(""1RdEdgHYrZ33LJ7RUHj_h-qkAFL92bcVjtIdVa-UlsCw"", ""Interns!D:D""), 
   IMPORTRANGE(""1RdEdgHYrZ33LJ7RUHj_h-qkAFL92bcVjtIdVa-UlsCw"", ""Interns!O:O""), 
   ""Not Found"")"),"")</f>
        <v/>
      </c>
      <c r="AN1730" s="23"/>
      <c r="AO1730" s="23" t="s">
        <v>15546</v>
      </c>
      <c r="AP1730" s="28" t="s">
        <v>5182</v>
      </c>
      <c r="AQ1730" s="28"/>
      <c r="AR1730" s="23"/>
      <c r="AS1730" s="23"/>
      <c r="AT1730" s="23"/>
      <c r="AU1730" s="23"/>
      <c r="AV1730" s="23"/>
    </row>
    <row r="1731">
      <c r="A1731" s="28" t="s">
        <v>5202</v>
      </c>
      <c r="B1731" s="28" t="s">
        <v>5162</v>
      </c>
      <c r="C1731" s="23" t="str">
        <f t="shared" si="39"/>
        <v>Jonathan Oo</v>
      </c>
      <c r="D1731" s="28" t="s">
        <v>3728</v>
      </c>
      <c r="E1731" s="28" t="s">
        <v>15547</v>
      </c>
      <c r="F1731" s="23">
        <f t="array" ref="F1731">IFERROR(
    INDEX('Hub Interns 226'!A:A, MATCH(C1731, 'Hub Interns 226'!B:B, 0)),"")</f>
        <v>1480</v>
      </c>
      <c r="G1731" s="23">
        <f t="array" ref="G1731">IFERROR(
    INDEX('Hub Users 226'!A:A, MATCH(C1731, 'Hub Users 226'!B:B, 0)),"")</f>
        <v>2056</v>
      </c>
      <c r="H1731" s="28">
        <v>1848.0</v>
      </c>
      <c r="I1731" s="28" t="s">
        <v>239</v>
      </c>
      <c r="J1731" s="28"/>
      <c r="K1731" s="28"/>
      <c r="L1731" s="28" t="s">
        <v>5165</v>
      </c>
      <c r="M1731" s="56" t="s">
        <v>15548</v>
      </c>
      <c r="N1731" s="57">
        <v>45503.98472222222</v>
      </c>
      <c r="O1731" s="58">
        <v>45481.0</v>
      </c>
      <c r="P1731" s="28">
        <f t="shared" si="42"/>
        <v>1</v>
      </c>
      <c r="Q1731" s="28" t="s">
        <v>240</v>
      </c>
      <c r="R1731" s="28" t="s">
        <v>15549</v>
      </c>
      <c r="S1731" s="28">
        <v>6.0</v>
      </c>
      <c r="T1731" s="28">
        <v>12.0</v>
      </c>
      <c r="U1731" s="28">
        <v>30.0</v>
      </c>
      <c r="V1731" s="28">
        <v>25.0</v>
      </c>
      <c r="W1731" s="28" t="s">
        <v>271</v>
      </c>
      <c r="X1731" s="28" t="s">
        <v>272</v>
      </c>
      <c r="Y1731" s="23"/>
      <c r="Z1731" s="23"/>
      <c r="AA1731" s="28" t="s">
        <v>5512</v>
      </c>
      <c r="AB1731" s="28">
        <v>30.0</v>
      </c>
      <c r="AC1731" s="28" t="s">
        <v>23</v>
      </c>
      <c r="AD1731" s="23"/>
      <c r="AE1731" s="28" t="s">
        <v>19</v>
      </c>
      <c r="AF1731" s="23"/>
      <c r="AG1731" s="23"/>
      <c r="AH1731" s="23" t="str">
        <f>IFERROR(__xludf.DUMMYFUNCTION("IF(
ISNUMBER(MATCH(
C1731,
IMPORTRANGE(""https://docs.google.com/spreadsheets/d/1yTh1ELC33JHYOeEdgIiEclxPRyh0zOKtlawDltfUay8"",""'Interns'!A:A""),
0
)),
""Outreach Conducted"",
"""")"),"")</f>
        <v/>
      </c>
      <c r="AI1731" s="23"/>
      <c r="AJ1731" s="23"/>
      <c r="AK1731" s="23" t="str">
        <f>IFERROR(__xludf.DUMMYFUNCTION("XLOOKUP(C1731, 
   IMPORTRANGE(""1RdEdgHYrZ33LJ7RUHj_h-qkAFL92bcVjtIdVa-UlsCw"", ""Interns!D:D""), 
   IMPORTRANGE(""1RdEdgHYrZ33LJ7RUHj_h-qkAFL92bcVjtIdVa-UlsCw"", ""Interns!M:M""), 
   ""Not Found"")"),"")</f>
        <v/>
      </c>
      <c r="AL1731" s="23" t="str">
        <f>IFERROR(__xludf.DUMMYFUNCTION("XLOOKUP(C1731, 
   IMPORTRANGE(""1RdEdgHYrZ33LJ7RUHj_h-qkAFL92bcVjtIdVa-UlsCw"", ""Interns!D:D""), 
   IMPORTRANGE(""1RdEdgHYrZ33LJ7RUHj_h-qkAFL92bcVjtIdVa-UlsCw"", ""Interns!N:N""), 
   ""Not Found"")"),"")</f>
        <v/>
      </c>
      <c r="AM1731" s="23" t="str">
        <f>IFERROR(__xludf.DUMMYFUNCTION("XLOOKUP(C1731, 
   IMPORTRANGE(""1RdEdgHYrZ33LJ7RUHj_h-qkAFL92bcVjtIdVa-UlsCw"", ""Interns!D:D""), 
   IMPORTRANGE(""1RdEdgHYrZ33LJ7RUHj_h-qkAFL92bcVjtIdVa-UlsCw"", ""Interns!O:O""), 
   ""Not Found"")"),"")</f>
        <v/>
      </c>
      <c r="AN1731" s="23"/>
      <c r="AO1731" s="23"/>
      <c r="AP1731" s="28"/>
      <c r="AQ1731" s="28"/>
      <c r="AR1731" s="23"/>
      <c r="AS1731" s="23"/>
      <c r="AT1731" s="23"/>
      <c r="AU1731" s="23"/>
      <c r="AV1731" s="23"/>
    </row>
    <row r="1732">
      <c r="A1732" s="28" t="s">
        <v>5161</v>
      </c>
      <c r="B1732" s="28" t="s">
        <v>5162</v>
      </c>
      <c r="C1732" s="23" t="str">
        <f t="shared" si="39"/>
        <v>Jonnel Estevez</v>
      </c>
      <c r="D1732" s="28" t="s">
        <v>15550</v>
      </c>
      <c r="E1732" s="28" t="s">
        <v>15551</v>
      </c>
      <c r="F1732" s="23">
        <f t="array" ref="F1732">IFERROR(
    INDEX('Hub Interns 226'!A:A, MATCH(C1732, 'Hub Interns 226'!B:B, 0)),"")</f>
        <v>682</v>
      </c>
      <c r="G1732" s="23">
        <f t="array" ref="G1732">IFERROR(
    INDEX('Hub Users 226'!A:A, MATCH(C1732, 'Hub Users 226'!B:B, 0)),"")</f>
        <v>1115</v>
      </c>
      <c r="H1732" s="28">
        <v>1133.0</v>
      </c>
      <c r="I1732" s="28" t="s">
        <v>407</v>
      </c>
      <c r="J1732" s="28"/>
      <c r="K1732" s="28"/>
      <c r="L1732" s="28" t="s">
        <v>5165</v>
      </c>
      <c r="M1732" s="56" t="s">
        <v>15552</v>
      </c>
      <c r="N1732" s="57">
        <v>44735.90069444444</v>
      </c>
      <c r="O1732" s="58">
        <v>40025.0</v>
      </c>
      <c r="P1732" s="28">
        <f t="shared" si="42"/>
        <v>16</v>
      </c>
      <c r="Q1732" s="28" t="s">
        <v>240</v>
      </c>
      <c r="R1732" s="28" t="s">
        <v>15553</v>
      </c>
      <c r="S1732" s="28">
        <v>7.0</v>
      </c>
      <c r="T1732" s="28">
        <v>12.0</v>
      </c>
      <c r="U1732" s="28">
        <v>37.0</v>
      </c>
      <c r="V1732" s="28">
        <v>30.0</v>
      </c>
      <c r="W1732" s="28" t="s">
        <v>1173</v>
      </c>
      <c r="X1732" s="28" t="s">
        <v>272</v>
      </c>
      <c r="Y1732" s="28" t="s">
        <v>15554</v>
      </c>
      <c r="Z1732" s="28" t="s">
        <v>9652</v>
      </c>
      <c r="AA1732" s="28" t="s">
        <v>9653</v>
      </c>
      <c r="AB1732" s="28">
        <v>30.0</v>
      </c>
      <c r="AC1732" s="28" t="s">
        <v>24</v>
      </c>
      <c r="AD1732" s="23"/>
      <c r="AE1732" s="28" t="s">
        <v>10</v>
      </c>
      <c r="AF1732" s="23"/>
      <c r="AG1732" s="23"/>
      <c r="AH1732" s="23" t="str">
        <f>IFERROR(__xludf.DUMMYFUNCTION("IF(
ISNUMBER(MATCH(
C1732,
IMPORTRANGE(""https://docs.google.com/spreadsheets/d/1yTh1ELC33JHYOeEdgIiEclxPRyh0zOKtlawDltfUay8"",""'Interns'!A:A""),
0
)),
""Outreach Conducted"",
"""")"),"")</f>
        <v/>
      </c>
      <c r="AI1732" s="23"/>
      <c r="AJ1732" s="23"/>
      <c r="AK1732" s="23" t="str">
        <f>IFERROR(__xludf.DUMMYFUNCTION("XLOOKUP(C1732, 
   IMPORTRANGE(""1RdEdgHYrZ33LJ7RUHj_h-qkAFL92bcVjtIdVa-UlsCw"", ""Interns!D:D""), 
   IMPORTRANGE(""1RdEdgHYrZ33LJ7RUHj_h-qkAFL92bcVjtIdVa-UlsCw"", ""Interns!M:M""), 
   ""Not Found"")"),"Contacted")</f>
        <v>Contacted</v>
      </c>
      <c r="AL1732" s="23" t="str">
        <f>IFERROR(__xludf.DUMMYFUNCTION("XLOOKUP(C1732, 
   IMPORTRANGE(""1RdEdgHYrZ33LJ7RUHj_h-qkAFL92bcVjtIdVa-UlsCw"", ""Interns!D:D""), 
   IMPORTRANGE(""1RdEdgHYrZ33LJ7RUHj_h-qkAFL92bcVjtIdVa-UlsCw"", ""Interns!N:N""), 
   ""Not Found"")"),"#Cheers4Careers")</f>
        <v>#Cheers4Careers</v>
      </c>
      <c r="AM1732" s="23" t="str">
        <f>IFERROR(__xludf.DUMMYFUNCTION("XLOOKUP(C1732, 
   IMPORTRANGE(""1RdEdgHYrZ33LJ7RUHj_h-qkAFL92bcVjtIdVa-UlsCw"", ""Interns!D:D""), 
   IMPORTRANGE(""1RdEdgHYrZ33LJ7RUHj_h-qkAFL92bcVjtIdVa-UlsCw"", ""Interns!O:O""), 
   ""Not Found"")"),"Reached out by email 3/26 and by text 3/27 for Cheers 4 Careers Reached out again 3/28 but no response ")</f>
        <v>Reached out by email 3/26 and by text 3/27 for Cheers 4 Careers Reached out again 3/28 but no response </v>
      </c>
      <c r="AN1732" s="23"/>
      <c r="AO1732" s="23" t="s">
        <v>15555</v>
      </c>
      <c r="AP1732" s="28" t="s">
        <v>5182</v>
      </c>
      <c r="AQ1732" s="28" t="s">
        <v>15556</v>
      </c>
      <c r="AR1732" s="23"/>
      <c r="AS1732" s="23"/>
      <c r="AT1732" s="23"/>
      <c r="AU1732" s="23"/>
      <c r="AV1732" s="23"/>
    </row>
    <row r="1733">
      <c r="A1733" s="28" t="s">
        <v>5161</v>
      </c>
      <c r="B1733" s="28" t="s">
        <v>5162</v>
      </c>
      <c r="C1733" s="23" t="str">
        <f t="shared" si="39"/>
        <v>Gisselle Funez</v>
      </c>
      <c r="D1733" s="28" t="s">
        <v>15557</v>
      </c>
      <c r="E1733" s="28" t="s">
        <v>15558</v>
      </c>
      <c r="F1733" s="23">
        <f t="array" ref="F1733">IFERROR(
    INDEX('Hub Interns 226'!A:A, MATCH(C1733, 'Hub Interns 226'!B:B, 0)),"")</f>
        <v>549</v>
      </c>
      <c r="G1733" s="23">
        <f t="array" ref="G1733">IFERROR(
    INDEX('Hub Users 226'!A:A, MATCH(C1733, 'Hub Users 226'!B:B, 0)),"")</f>
        <v>982</v>
      </c>
      <c r="H1733" s="28">
        <v>418.0</v>
      </c>
      <c r="I1733" s="28" t="s">
        <v>269</v>
      </c>
      <c r="J1733" s="28"/>
      <c r="K1733" s="28"/>
      <c r="L1733" s="28" t="s">
        <v>5196</v>
      </c>
      <c r="M1733" s="56" t="s">
        <v>15559</v>
      </c>
      <c r="N1733" s="57">
        <v>44313.62847222222</v>
      </c>
      <c r="O1733" s="58">
        <v>38192.0</v>
      </c>
      <c r="P1733" s="28">
        <f t="shared" si="42"/>
        <v>21</v>
      </c>
      <c r="Q1733" s="28" t="s">
        <v>240</v>
      </c>
      <c r="R1733" s="28" t="s">
        <v>15560</v>
      </c>
      <c r="S1733" s="28">
        <v>13.0</v>
      </c>
      <c r="T1733" s="28">
        <v>33.0</v>
      </c>
      <c r="U1733" s="28">
        <v>86.0</v>
      </c>
      <c r="V1733" s="28">
        <v>15.0</v>
      </c>
      <c r="W1733" s="28" t="s">
        <v>859</v>
      </c>
      <c r="X1733" s="28" t="s">
        <v>272</v>
      </c>
      <c r="Y1733" s="28">
        <v>6.463866404E9</v>
      </c>
      <c r="Z1733" s="28" t="s">
        <v>5558</v>
      </c>
      <c r="AA1733" s="28" t="s">
        <v>5559</v>
      </c>
      <c r="AB1733" s="28">
        <v>10.0</v>
      </c>
      <c r="AC1733" s="28" t="s">
        <v>24</v>
      </c>
      <c r="AD1733" s="23"/>
      <c r="AE1733" s="28" t="s">
        <v>8</v>
      </c>
      <c r="AF1733" s="23"/>
      <c r="AG1733" s="23"/>
      <c r="AH1733" s="23" t="str">
        <f>IFERROR(__xludf.DUMMYFUNCTION("IF(
ISNUMBER(MATCH(
C1733,
IMPORTRANGE(""https://docs.google.com/spreadsheets/d/1yTh1ELC33JHYOeEdgIiEclxPRyh0zOKtlawDltfUay8"",""'Interns'!A:A""),
0
)),
""Outreach Conducted"",
"""")"),"")</f>
        <v/>
      </c>
      <c r="AI1733" s="23"/>
      <c r="AJ1733" s="23"/>
      <c r="AK1733" s="23" t="str">
        <f>IFERROR(__xludf.DUMMYFUNCTION("XLOOKUP(C1733, 
   IMPORTRANGE(""1RdEdgHYrZ33LJ7RUHj_h-qkAFL92bcVjtIdVa-UlsCw"", ""Interns!D:D""), 
   IMPORTRANGE(""1RdEdgHYrZ33LJ7RUHj_h-qkAFL92bcVjtIdVa-UlsCw"", ""Interns!M:M""), 
   ""Not Found"")"),"Contacted")</f>
        <v>Contacted</v>
      </c>
      <c r="AL1733" s="23" t="str">
        <f>IFERROR(__xludf.DUMMYFUNCTION("XLOOKUP(C1733, 
   IMPORTRANGE(""1RdEdgHYrZ33LJ7RUHj_h-qkAFL92bcVjtIdVa-UlsCw"", ""Interns!D:D""), 
   IMPORTRANGE(""1RdEdgHYrZ33LJ7RUHj_h-qkAFL92bcVjtIdVa-UlsCw"", ""Interns!N:N""), 
   ""Not Found"")"),"#Cheers4Careers")</f>
        <v>#Cheers4Careers</v>
      </c>
      <c r="AM1733" s="23" t="str">
        <f>IFERROR(__xludf.DUMMYFUNCTION("XLOOKUP(C1733, 
   IMPORTRANGE(""1RdEdgHYrZ33LJ7RUHj_h-qkAFL92bcVjtIdVa-UlsCw"", ""Interns!D:D""), 
   IMPORTRANGE(""1RdEdgHYrZ33LJ7RUHj_h-qkAFL92bcVjtIdVa-UlsCw"", ""Interns!O:O""), 
   ""Not Found"")"),"Hetal reached out by email 3/27")</f>
        <v>Hetal reached out by email 3/27</v>
      </c>
      <c r="AN1733" s="23"/>
      <c r="AO1733" s="23" t="s">
        <v>15561</v>
      </c>
      <c r="AP1733" s="28" t="s">
        <v>5173</v>
      </c>
      <c r="AQ1733" s="28"/>
      <c r="AR1733" s="23"/>
      <c r="AS1733" s="23"/>
      <c r="AT1733" s="23"/>
      <c r="AU1733" s="23"/>
      <c r="AV1733" s="23"/>
    </row>
    <row r="1734">
      <c r="A1734" s="28"/>
      <c r="B1734" s="28" t="s">
        <v>5162</v>
      </c>
      <c r="C1734" s="23" t="str">
        <f t="shared" si="39"/>
        <v>Cassidie Jackson</v>
      </c>
      <c r="D1734" s="22" t="s">
        <v>15562</v>
      </c>
      <c r="E1734" s="22" t="s">
        <v>1312</v>
      </c>
      <c r="F1734" s="23"/>
      <c r="G1734" s="23"/>
      <c r="H1734" s="22">
        <v>1913.0</v>
      </c>
      <c r="I1734" s="28"/>
      <c r="J1734" s="28"/>
      <c r="K1734" s="28"/>
      <c r="L1734" s="28" t="s">
        <v>5196</v>
      </c>
      <c r="M1734" s="29" t="s">
        <v>15563</v>
      </c>
      <c r="N1734" s="61">
        <v>45789.44305555556</v>
      </c>
      <c r="O1734" s="25">
        <v>45789.0</v>
      </c>
      <c r="P1734" s="28">
        <f t="shared" si="42"/>
        <v>1</v>
      </c>
      <c r="Q1734" s="62" t="s">
        <v>15564</v>
      </c>
      <c r="R1734" s="22" t="s">
        <v>15565</v>
      </c>
      <c r="S1734" s="28">
        <v>5.0</v>
      </c>
      <c r="T1734" s="28">
        <v>11.0</v>
      </c>
      <c r="U1734" s="28">
        <v>33.0</v>
      </c>
      <c r="V1734" s="28">
        <v>23.0</v>
      </c>
      <c r="W1734" s="28" t="s">
        <v>1173</v>
      </c>
      <c r="X1734" s="28" t="s">
        <v>272</v>
      </c>
      <c r="Y1734" s="22" t="s">
        <v>15566</v>
      </c>
      <c r="Z1734" s="24"/>
      <c r="AA1734" s="28"/>
      <c r="AB1734" s="23"/>
      <c r="AC1734" s="28" t="s">
        <v>23</v>
      </c>
      <c r="AD1734" s="23"/>
      <c r="AE1734" s="28" t="s">
        <v>19</v>
      </c>
      <c r="AF1734" s="23"/>
      <c r="AG1734" s="23"/>
      <c r="AH1734" s="23" t="str">
        <f>IFERROR(__xludf.DUMMYFUNCTION("IF(
ISNUMBER(MATCH(
C1734,
IMPORTRANGE(""https://docs.google.com/spreadsheets/d/1yTh1ELC33JHYOeEdgIiEclxPRyh0zOKtlawDltfUay8"",""'Interns'!A:A""),
0
)),
""Outreach Conducted"",
"""")"),"")</f>
        <v/>
      </c>
      <c r="AI1734" s="23"/>
      <c r="AJ1734" s="23"/>
      <c r="AK1734" s="23"/>
      <c r="AL1734" s="23" t="str">
        <f>IFERROR(__xludf.DUMMYFUNCTION("XLOOKUP(C1734, 
   IMPORTRANGE(""1RdEdgHYrZ33LJ7RUHj_h-qkAFL92bcVjtIdVa-UlsCw"", ""Interns!D:D""), 
   IMPORTRANGE(""1RdEdgHYrZ33LJ7RUHj_h-qkAFL92bcVjtIdVa-UlsCw"", ""Interns!N:N""), 
   ""Not Found"")"),"#Cheers4Careers")</f>
        <v>#Cheers4Careers</v>
      </c>
      <c r="AM1734" s="23" t="str">
        <f>IFERROR(__xludf.DUMMYFUNCTION("XLOOKUP(C1734, 
   IMPORTRANGE(""1RdEdgHYrZ33LJ7RUHj_h-qkAFL92bcVjtIdVa-UlsCw"", ""Interns!D:D""), 
   IMPORTRANGE(""1RdEdgHYrZ33LJ7RUHj_h-qkAFL92bcVjtIdVa-UlsCw"", ""Interns!O:O""), 
   ""Not Found"")"),"Hetal reached out March 27 for March #Cheers4 Careers ")</f>
        <v>Hetal reached out March 27 for March #Cheers4 Careers </v>
      </c>
      <c r="AN1734" s="23"/>
      <c r="AO1734" s="23" t="s">
        <v>5658</v>
      </c>
      <c r="AP1734" s="28"/>
      <c r="AQ1734" s="28"/>
      <c r="AR1734" s="23"/>
      <c r="AS1734" s="23"/>
      <c r="AT1734" s="23"/>
      <c r="AU1734" s="23"/>
      <c r="AV1734" s="23"/>
    </row>
    <row r="1735">
      <c r="A1735" s="28" t="s">
        <v>5161</v>
      </c>
      <c r="B1735" s="28" t="s">
        <v>5162</v>
      </c>
      <c r="C1735" s="23" t="str">
        <f t="shared" si="39"/>
        <v>Trinity Cole</v>
      </c>
      <c r="D1735" s="28" t="s">
        <v>15567</v>
      </c>
      <c r="E1735" s="28" t="s">
        <v>15568</v>
      </c>
      <c r="F1735" s="23">
        <f t="array" ref="F1735">IFERROR(
    INDEX('Hub Interns 226'!A:A, MATCH(C1735, 'Hub Interns 226'!B:B, 0)),"")</f>
        <v>1153</v>
      </c>
      <c r="G1735" s="23">
        <f t="array" ref="G1735">IFERROR(
    INDEX('Hub Users 226'!A:A, MATCH(C1735, 'Hub Users 226'!B:B, 0)),"")</f>
        <v>1586</v>
      </c>
      <c r="H1735" s="28">
        <v>1450.0</v>
      </c>
      <c r="I1735" s="28" t="s">
        <v>608</v>
      </c>
      <c r="J1735" s="28"/>
      <c r="K1735" s="28"/>
      <c r="L1735" s="28" t="s">
        <v>5196</v>
      </c>
      <c r="M1735" s="56" t="s">
        <v>15569</v>
      </c>
      <c r="N1735" s="57">
        <v>44931.524305555555</v>
      </c>
      <c r="O1735" s="58">
        <v>38422.0</v>
      </c>
      <c r="P1735" s="28">
        <f t="shared" si="42"/>
        <v>21</v>
      </c>
      <c r="Q1735" s="28" t="s">
        <v>15570</v>
      </c>
      <c r="R1735" s="28" t="s">
        <v>15571</v>
      </c>
      <c r="S1735" s="28">
        <v>13.0</v>
      </c>
      <c r="T1735" s="28">
        <v>31.0</v>
      </c>
      <c r="U1735" s="28">
        <v>78.0</v>
      </c>
      <c r="V1735" s="28">
        <v>14.0</v>
      </c>
      <c r="W1735" s="28" t="s">
        <v>859</v>
      </c>
      <c r="X1735" s="28" t="s">
        <v>272</v>
      </c>
      <c r="Y1735" s="28" t="s">
        <v>15572</v>
      </c>
      <c r="Z1735" s="28" t="s">
        <v>13843</v>
      </c>
      <c r="AA1735" s="28" t="s">
        <v>5871</v>
      </c>
      <c r="AB1735" s="28">
        <v>31.0</v>
      </c>
      <c r="AC1735" s="28" t="s">
        <v>23</v>
      </c>
      <c r="AD1735" s="23"/>
      <c r="AE1735" s="28" t="s">
        <v>15</v>
      </c>
      <c r="AF1735" s="23"/>
      <c r="AG1735" s="23"/>
      <c r="AH1735" s="23" t="str">
        <f>IFERROR(__xludf.DUMMYFUNCTION("IF(
ISNUMBER(MATCH(
C1735,
IMPORTRANGE(""https://docs.google.com/spreadsheets/d/1yTh1ELC33JHYOeEdgIiEclxPRyh0zOKtlawDltfUay8"",""'Interns'!A:A""),
0
)),
""Outreach Conducted"",
"""")"),"")</f>
        <v/>
      </c>
      <c r="AI1735" s="23"/>
      <c r="AJ1735" s="23"/>
      <c r="AK1735" s="23" t="str">
        <f>IFERROR(__xludf.DUMMYFUNCTION("XLOOKUP(C1735, 
   IMPORTRANGE(""1RdEdgHYrZ33LJ7RUHj_h-qkAFL92bcVjtIdVa-UlsCw"", ""Interns!D:D""), 
   IMPORTRANGE(""1RdEdgHYrZ33LJ7RUHj_h-qkAFL92bcVjtIdVa-UlsCw"", ""Interns!M:M""), 
   ""Not Found"")"),"Contacted")</f>
        <v>Contacted</v>
      </c>
      <c r="AL1735" s="23" t="str">
        <f>IFERROR(__xludf.DUMMYFUNCTION("XLOOKUP(C1735, 
   IMPORTRANGE(""1RdEdgHYrZ33LJ7RUHj_h-qkAFL92bcVjtIdVa-UlsCw"", ""Interns!D:D""), 
   IMPORTRANGE(""1RdEdgHYrZ33LJ7RUHj_h-qkAFL92bcVjtIdVa-UlsCw"", ""Interns!N:N""), 
   ""Not Found"")"),"#Cheers4Careers")</f>
        <v>#Cheers4Careers</v>
      </c>
      <c r="AM1735" s="23" t="str">
        <f>IFERROR(__xludf.DUMMYFUNCTION("XLOOKUP(C1735, 
   IMPORTRANGE(""1RdEdgHYrZ33LJ7RUHj_h-qkAFL92bcVjtIdVa-UlsCw"", ""Interns!D:D""), 
   IMPORTRANGE(""1RdEdgHYrZ33LJ7RUHj_h-qkAFL92bcVjtIdVa-UlsCw"", ""Interns!O:O""), 
   ""Not Found"")"),"Hetal reached out March 27 for March #Cheers4 Careers ")</f>
        <v>Hetal reached out March 27 for March #Cheers4 Careers </v>
      </c>
      <c r="AN1735" s="23"/>
      <c r="AO1735" s="23" t="s">
        <v>15573</v>
      </c>
      <c r="AP1735" s="28" t="s">
        <v>5182</v>
      </c>
      <c r="AQ1735" s="28"/>
      <c r="AR1735" s="23"/>
      <c r="AS1735" s="23"/>
      <c r="AT1735" s="23"/>
      <c r="AU1735" s="23"/>
      <c r="AV1735" s="23"/>
    </row>
    <row r="1736">
      <c r="A1736" s="28" t="s">
        <v>5161</v>
      </c>
      <c r="B1736" s="28" t="s">
        <v>5162</v>
      </c>
      <c r="C1736" s="23" t="str">
        <f t="shared" si="39"/>
        <v>Christopher Urgiles</v>
      </c>
      <c r="D1736" s="28" t="s">
        <v>976</v>
      </c>
      <c r="E1736" s="28" t="s">
        <v>15574</v>
      </c>
      <c r="F1736" s="23">
        <f t="array" ref="F1736">IFERROR(
    INDEX('Hub Interns 226'!A:A, MATCH(C1736, 'Hub Interns 226'!B:B, 0)),"")</f>
        <v>369</v>
      </c>
      <c r="G1736" s="23">
        <f t="array" ref="G1736">IFERROR(
    INDEX('Hub Users 226'!A:A, MATCH(C1736, 'Hub Users 226'!B:B, 0)),"")</f>
        <v>802</v>
      </c>
      <c r="H1736" s="28">
        <v>1192.0</v>
      </c>
      <c r="I1736" s="28" t="s">
        <v>290</v>
      </c>
      <c r="J1736" s="28"/>
      <c r="K1736" s="28"/>
      <c r="L1736" s="28" t="s">
        <v>5165</v>
      </c>
      <c r="M1736" s="56" t="s">
        <v>15575</v>
      </c>
      <c r="N1736" s="57">
        <v>44833.58888888889</v>
      </c>
      <c r="O1736" s="58">
        <v>40071.0</v>
      </c>
      <c r="P1736" s="28">
        <f t="shared" si="42"/>
        <v>16</v>
      </c>
      <c r="Q1736" s="28" t="s">
        <v>240</v>
      </c>
      <c r="R1736" s="28" t="s">
        <v>15576</v>
      </c>
      <c r="S1736" s="28"/>
      <c r="T1736" s="28"/>
      <c r="U1736" s="28"/>
      <c r="V1736" s="28"/>
      <c r="W1736" s="28" t="s">
        <v>1173</v>
      </c>
      <c r="X1736" s="28" t="s">
        <v>272</v>
      </c>
      <c r="Y1736" s="28" t="s">
        <v>15577</v>
      </c>
      <c r="Z1736" s="28" t="s">
        <v>5170</v>
      </c>
      <c r="AA1736" s="28" t="s">
        <v>5171</v>
      </c>
      <c r="AB1736" s="28">
        <v>30.0</v>
      </c>
      <c r="AC1736" s="28" t="s">
        <v>23</v>
      </c>
      <c r="AD1736" s="23"/>
      <c r="AE1736" s="28" t="s">
        <v>15</v>
      </c>
      <c r="AF1736" s="23"/>
      <c r="AG1736" s="23"/>
      <c r="AH1736" s="23" t="str">
        <f>IFERROR(__xludf.DUMMYFUNCTION("IF(
ISNUMBER(MATCH(
C1736,
IMPORTRANGE(""https://docs.google.com/spreadsheets/d/1yTh1ELC33JHYOeEdgIiEclxPRyh0zOKtlawDltfUay8"",""'Interns'!A:A""),
0
)),
""Outreach Conducted"",
"""")"),"")</f>
        <v/>
      </c>
      <c r="AI1736" s="23"/>
      <c r="AJ1736" s="23"/>
      <c r="AK1736" s="23" t="str">
        <f>IFERROR(__xludf.DUMMYFUNCTION("XLOOKUP(C1736, 
   IMPORTRANGE(""1RdEdgHYrZ33LJ7RUHj_h-qkAFL92bcVjtIdVa-UlsCw"", ""Interns!D:D""), 
   IMPORTRANGE(""1RdEdgHYrZ33LJ7RUHj_h-qkAFL92bcVjtIdVa-UlsCw"", ""Interns!M:M""), 
   ""Not Found"")"),"Contacted")</f>
        <v>Contacted</v>
      </c>
      <c r="AL1736" s="23" t="str">
        <f>IFERROR(__xludf.DUMMYFUNCTION("XLOOKUP(C1736, 
   IMPORTRANGE(""1RdEdgHYrZ33LJ7RUHj_h-qkAFL92bcVjtIdVa-UlsCw"", ""Interns!D:D""), 
   IMPORTRANGE(""1RdEdgHYrZ33LJ7RUHj_h-qkAFL92bcVjtIdVa-UlsCw"", ""Interns!N:N""), 
   ""Not Found"")"),"#Cheers4Careers")</f>
        <v>#Cheers4Careers</v>
      </c>
      <c r="AM1736" s="23" t="str">
        <f>IFERROR(__xludf.DUMMYFUNCTION("XLOOKUP(C1736, 
   IMPORTRANGE(""1RdEdgHYrZ33LJ7RUHj_h-qkAFL92bcVjtIdVa-UlsCw"", ""Interns!D:D""), 
   IMPORTRANGE(""1RdEdgHYrZ33LJ7RUHj_h-qkAFL92bcVjtIdVa-UlsCw"", ""Interns!O:O""), 
   ""Not Found"")"),"Hetal reached out March 27 for March #Cheers4 Careers ")</f>
        <v>Hetal reached out March 27 for March #Cheers4 Careers </v>
      </c>
      <c r="AN1736" s="23"/>
      <c r="AO1736" s="23" t="s">
        <v>15578</v>
      </c>
      <c r="AP1736" s="28" t="s">
        <v>5191</v>
      </c>
      <c r="AQ1736" s="28"/>
      <c r="AR1736" s="23"/>
      <c r="AS1736" s="23"/>
      <c r="AT1736" s="23"/>
      <c r="AU1736" s="23"/>
      <c r="AV1736" s="23"/>
    </row>
    <row r="1737">
      <c r="A1737" s="28" t="s">
        <v>5202</v>
      </c>
      <c r="B1737" s="28" t="s">
        <v>5162</v>
      </c>
      <c r="C1737" s="23" t="str">
        <f t="shared" si="39"/>
        <v>Bryan Carranza</v>
      </c>
      <c r="D1737" s="28" t="s">
        <v>742</v>
      </c>
      <c r="E1737" s="28" t="s">
        <v>15579</v>
      </c>
      <c r="F1737" s="23">
        <f t="array" ref="F1737">IFERROR(
    INDEX('Hub Interns 226'!A:A, MATCH(C1737, 'Hub Interns 226'!B:B, 0)),"")</f>
        <v>321</v>
      </c>
      <c r="G1737" s="23">
        <f t="array" ref="G1737">IFERROR(
    INDEX('Hub Users 226'!A:A, MATCH(C1737, 'Hub Users 226'!B:B, 0)),"")</f>
        <v>754</v>
      </c>
      <c r="H1737" s="28">
        <v>1520.0</v>
      </c>
      <c r="I1737" s="28" t="s">
        <v>269</v>
      </c>
      <c r="J1737" s="28"/>
      <c r="K1737" s="28"/>
      <c r="L1737" s="28" t="s">
        <v>5165</v>
      </c>
      <c r="M1737" s="56" t="s">
        <v>15580</v>
      </c>
      <c r="N1737" s="57">
        <v>44953.37152777778</v>
      </c>
      <c r="O1737" s="58">
        <v>39934.0</v>
      </c>
      <c r="P1737" s="28">
        <f t="shared" si="42"/>
        <v>17</v>
      </c>
      <c r="Q1737" s="28" t="s">
        <v>240</v>
      </c>
      <c r="R1737" s="28" t="s">
        <v>15581</v>
      </c>
      <c r="S1737" s="28">
        <v>14.0</v>
      </c>
      <c r="T1737" s="28">
        <v>13.0</v>
      </c>
      <c r="U1737" s="28">
        <v>39.0</v>
      </c>
      <c r="V1737" s="28">
        <v>21.0</v>
      </c>
      <c r="W1737" s="28" t="s">
        <v>1173</v>
      </c>
      <c r="X1737" s="28" t="s">
        <v>272</v>
      </c>
      <c r="Y1737" s="28" t="s">
        <v>15582</v>
      </c>
      <c r="Z1737" s="28" t="s">
        <v>5403</v>
      </c>
      <c r="AA1737" s="28" t="s">
        <v>5404</v>
      </c>
      <c r="AB1737" s="28">
        <v>21.0</v>
      </c>
      <c r="AC1737" s="28" t="s">
        <v>23</v>
      </c>
      <c r="AD1737" s="23"/>
      <c r="AE1737" s="28" t="s">
        <v>15</v>
      </c>
      <c r="AF1737" s="23"/>
      <c r="AG1737" s="23"/>
      <c r="AH1737" s="23" t="str">
        <f>IFERROR(__xludf.DUMMYFUNCTION("IF(
ISNUMBER(MATCH(
C1737,
IMPORTRANGE(""https://docs.google.com/spreadsheets/d/1yTh1ELC33JHYOeEdgIiEclxPRyh0zOKtlawDltfUay8"",""'Interns'!A:A""),
0
)),
""Outreach Conducted"",
"""")"),"")</f>
        <v/>
      </c>
      <c r="AI1737" s="23"/>
      <c r="AJ1737" s="23"/>
      <c r="AK1737" s="23" t="str">
        <f>IFERROR(__xludf.DUMMYFUNCTION("XLOOKUP(C1737, 
   IMPORTRANGE(""1RdEdgHYrZ33LJ7RUHj_h-qkAFL92bcVjtIdVa-UlsCw"", ""Interns!D:D""), 
   IMPORTRANGE(""1RdEdgHYrZ33LJ7RUHj_h-qkAFL92bcVjtIdVa-UlsCw"", ""Interns!M:M""), 
   ""Not Found"")"),"")</f>
        <v/>
      </c>
      <c r="AL1737" s="23" t="str">
        <f>IFERROR(__xludf.DUMMYFUNCTION("XLOOKUP(C1737, 
   IMPORTRANGE(""1RdEdgHYrZ33LJ7RUHj_h-qkAFL92bcVjtIdVa-UlsCw"", ""Interns!D:D""), 
   IMPORTRANGE(""1RdEdgHYrZ33LJ7RUHj_h-qkAFL92bcVjtIdVa-UlsCw"", ""Interns!N:N""), 
   ""Not Found"")"),"")</f>
        <v/>
      </c>
      <c r="AM1737" s="23" t="str">
        <f>IFERROR(__xludf.DUMMYFUNCTION("XLOOKUP(C1737, 
   IMPORTRANGE(""1RdEdgHYrZ33LJ7RUHj_h-qkAFL92bcVjtIdVa-UlsCw"", ""Interns!D:D""), 
   IMPORTRANGE(""1RdEdgHYrZ33LJ7RUHj_h-qkAFL92bcVjtIdVa-UlsCw"", ""Interns!O:O""), 
   ""Not Found"")"),"")</f>
        <v/>
      </c>
      <c r="AN1737" s="23"/>
      <c r="AO1737" s="23" t="s">
        <v>15583</v>
      </c>
      <c r="AP1737" s="28" t="s">
        <v>5182</v>
      </c>
      <c r="AQ1737" s="28"/>
      <c r="AR1737" s="23"/>
      <c r="AS1737" s="23"/>
      <c r="AT1737" s="23"/>
      <c r="AU1737" s="23"/>
      <c r="AV1737" s="23"/>
    </row>
    <row r="1738">
      <c r="A1738" s="28" t="s">
        <v>5202</v>
      </c>
      <c r="B1738" s="28" t="s">
        <v>5162</v>
      </c>
      <c r="C1738" s="23" t="str">
        <f t="shared" si="39"/>
        <v>Guadalupe Orea</v>
      </c>
      <c r="D1738" s="28" t="s">
        <v>15584</v>
      </c>
      <c r="E1738" s="28" t="s">
        <v>15585</v>
      </c>
      <c r="F1738" s="23">
        <f t="array" ref="F1738">IFERROR(
    INDEX('Hub Interns 226'!A:A, MATCH(C1738, 'Hub Interns 226'!B:B, 0)),"")</f>
        <v>557</v>
      </c>
      <c r="G1738" s="23">
        <f t="array" ref="G1738">IFERROR(
    INDEX('Hub Users 226'!A:A, MATCH(C1738, 'Hub Users 226'!B:B, 0)),"")</f>
        <v>990</v>
      </c>
      <c r="H1738" s="28">
        <v>1009.0</v>
      </c>
      <c r="I1738" s="28"/>
      <c r="J1738" s="28"/>
      <c r="K1738" s="28"/>
      <c r="L1738" s="28" t="s">
        <v>5196</v>
      </c>
      <c r="M1738" s="56" t="s">
        <v>15586</v>
      </c>
      <c r="N1738" s="57">
        <v>44655.96944444445</v>
      </c>
      <c r="O1738" s="58">
        <v>44655.0</v>
      </c>
      <c r="P1738" s="28">
        <f t="shared" si="42"/>
        <v>4</v>
      </c>
      <c r="Q1738" s="28" t="s">
        <v>240</v>
      </c>
      <c r="R1738" s="28" t="s">
        <v>15587</v>
      </c>
      <c r="S1738" s="28">
        <v>14.0</v>
      </c>
      <c r="T1738" s="28">
        <v>13.0</v>
      </c>
      <c r="U1738" s="28">
        <v>39.0</v>
      </c>
      <c r="V1738" s="28">
        <v>21.0</v>
      </c>
      <c r="W1738" s="28" t="s">
        <v>1173</v>
      </c>
      <c r="X1738" s="28" t="s">
        <v>272</v>
      </c>
      <c r="Y1738" s="28" t="s">
        <v>15588</v>
      </c>
      <c r="Z1738" s="28" t="s">
        <v>5403</v>
      </c>
      <c r="AA1738" s="28" t="s">
        <v>5404</v>
      </c>
      <c r="AB1738" s="28">
        <v>21.0</v>
      </c>
      <c r="AC1738" s="28" t="s">
        <v>24</v>
      </c>
      <c r="AD1738" s="23"/>
      <c r="AE1738" s="28" t="s">
        <v>10</v>
      </c>
      <c r="AF1738" s="23"/>
      <c r="AG1738" s="23"/>
      <c r="AH1738" s="23" t="str">
        <f>IFERROR(__xludf.DUMMYFUNCTION("IF(
ISNUMBER(MATCH(
C1738,
IMPORTRANGE(""https://docs.google.com/spreadsheets/d/1yTh1ELC33JHYOeEdgIiEclxPRyh0zOKtlawDltfUay8"",""'Interns'!A:A""),
0
)),
""Outreach Conducted"",
"""")"),"")</f>
        <v/>
      </c>
      <c r="AI1738" s="23"/>
      <c r="AJ1738" s="23"/>
      <c r="AK1738" s="23" t="str">
        <f>IFERROR(__xludf.DUMMYFUNCTION("XLOOKUP(C1738, 
   IMPORTRANGE(""1RdEdgHYrZ33LJ7RUHj_h-qkAFL92bcVjtIdVa-UlsCw"", ""Interns!D:D""), 
   IMPORTRANGE(""1RdEdgHYrZ33LJ7RUHj_h-qkAFL92bcVjtIdVa-UlsCw"", ""Interns!M:M""), 
   ""Not Found"")"),"")</f>
        <v/>
      </c>
      <c r="AL1738" s="23" t="str">
        <f>IFERROR(__xludf.DUMMYFUNCTION("XLOOKUP(C1738, 
   IMPORTRANGE(""1RdEdgHYrZ33LJ7RUHj_h-qkAFL92bcVjtIdVa-UlsCw"", ""Interns!D:D""), 
   IMPORTRANGE(""1RdEdgHYrZ33LJ7RUHj_h-qkAFL92bcVjtIdVa-UlsCw"", ""Interns!N:N""), 
   ""Not Found"")"),"")</f>
        <v/>
      </c>
      <c r="AM1738" s="23" t="str">
        <f>IFERROR(__xludf.DUMMYFUNCTION("XLOOKUP(C1738, 
   IMPORTRANGE(""1RdEdgHYrZ33LJ7RUHj_h-qkAFL92bcVjtIdVa-UlsCw"", ""Interns!D:D""), 
   IMPORTRANGE(""1RdEdgHYrZ33LJ7RUHj_h-qkAFL92bcVjtIdVa-UlsCw"", ""Interns!O:O""), 
   ""Not Found"")"),"")</f>
        <v/>
      </c>
      <c r="AN1738" s="23"/>
      <c r="AO1738" s="23" t="s">
        <v>15589</v>
      </c>
      <c r="AP1738" s="28" t="s">
        <v>5182</v>
      </c>
      <c r="AQ1738" s="28"/>
      <c r="AR1738" s="23"/>
      <c r="AS1738" s="23"/>
      <c r="AT1738" s="23"/>
      <c r="AU1738" s="23"/>
      <c r="AV1738" s="23"/>
    </row>
    <row r="1739">
      <c r="A1739" s="28" t="s">
        <v>5202</v>
      </c>
      <c r="B1739" s="28" t="s">
        <v>5162</v>
      </c>
      <c r="C1739" s="23" t="str">
        <f t="shared" si="39"/>
        <v>Jaylenn Ortega</v>
      </c>
      <c r="D1739" s="28" t="s">
        <v>15590</v>
      </c>
      <c r="E1739" s="28" t="s">
        <v>8681</v>
      </c>
      <c r="F1739" s="23">
        <f t="array" ref="F1739">IFERROR(
    INDEX('Hub Interns 226'!A:A, MATCH(C1739, 'Hub Interns 226'!B:B, 0)),"")</f>
        <v>634</v>
      </c>
      <c r="G1739" s="23">
        <f t="array" ref="G1739">IFERROR(
    INDEX('Hub Users 226'!A:A, MATCH(C1739, 'Hub Users 226'!B:B, 0)),"")</f>
        <v>1067</v>
      </c>
      <c r="H1739" s="28">
        <v>1239.0</v>
      </c>
      <c r="I1739" s="28" t="s">
        <v>107</v>
      </c>
      <c r="J1739" s="28"/>
      <c r="K1739" s="28"/>
      <c r="L1739" s="28" t="s">
        <v>5196</v>
      </c>
      <c r="M1739" s="56" t="s">
        <v>15591</v>
      </c>
      <c r="N1739" s="57">
        <v>44838.46388888889</v>
      </c>
      <c r="O1739" s="58">
        <v>38968.0</v>
      </c>
      <c r="P1739" s="28">
        <f t="shared" si="42"/>
        <v>19</v>
      </c>
      <c r="Q1739" s="28" t="s">
        <v>15592</v>
      </c>
      <c r="R1739" s="28" t="s">
        <v>15593</v>
      </c>
      <c r="S1739" s="28">
        <v>8.0</v>
      </c>
      <c r="T1739" s="28">
        <v>25.0</v>
      </c>
      <c r="U1739" s="28">
        <v>56.0</v>
      </c>
      <c r="V1739" s="28">
        <v>36.0</v>
      </c>
      <c r="W1739" s="28" t="s">
        <v>294</v>
      </c>
      <c r="X1739" s="28" t="s">
        <v>272</v>
      </c>
      <c r="Y1739" s="28" t="s">
        <v>15594</v>
      </c>
      <c r="Z1739" s="28" t="s">
        <v>5341</v>
      </c>
      <c r="AA1739" s="28" t="s">
        <v>1085</v>
      </c>
      <c r="AB1739" s="28">
        <v>10.0</v>
      </c>
      <c r="AC1739" s="28" t="s">
        <v>25</v>
      </c>
      <c r="AD1739" s="23"/>
      <c r="AE1739" s="28" t="s">
        <v>15</v>
      </c>
      <c r="AF1739" s="23" t="str">
        <f>IFERROR(__xludf.DUMMYFUNCTION("TEXTJOIN("", "", TRUE,
  FILTER(Champions!C:C,
    ISNUMBER(SEARCH(C1739, Champions!W:W))
  )
)"),"Bhavna Mohan Agnihotri, Dwayne Taylor, Jason Alafgani")</f>
        <v>Bhavna Mohan Agnihotri, Dwayne Taylor, Jason Alafgani</v>
      </c>
      <c r="AG1739" s="23"/>
      <c r="AH1739" s="23" t="str">
        <f>IFERROR(__xludf.DUMMYFUNCTION("IF(
ISNUMBER(MATCH(
C1739,
IMPORTRANGE(""https://docs.google.com/spreadsheets/d/1yTh1ELC33JHYOeEdgIiEclxPRyh0zOKtlawDltfUay8"",""'Interns'!A:A""),
0
)),
""Outreach Conducted"",
"""")"),"")</f>
        <v/>
      </c>
      <c r="AI1739" s="23"/>
      <c r="AJ1739" s="23"/>
      <c r="AK1739" s="23" t="str">
        <f>IFERROR(__xludf.DUMMYFUNCTION("XLOOKUP(C1739, 
   IMPORTRANGE(""1RdEdgHYrZ33LJ7RUHj_h-qkAFL92bcVjtIdVa-UlsCw"", ""Interns!D:D""), 
   IMPORTRANGE(""1RdEdgHYrZ33LJ7RUHj_h-qkAFL92bcVjtIdVa-UlsCw"", ""Interns!M:M""), 
   ""Not Found"")"),"")</f>
        <v/>
      </c>
      <c r="AL1739" s="23" t="str">
        <f>IFERROR(__xludf.DUMMYFUNCTION("XLOOKUP(C1739, 
   IMPORTRANGE(""1RdEdgHYrZ33LJ7RUHj_h-qkAFL92bcVjtIdVa-UlsCw"", ""Interns!D:D""), 
   IMPORTRANGE(""1RdEdgHYrZ33LJ7RUHj_h-qkAFL92bcVjtIdVa-UlsCw"", ""Interns!N:N""), 
   ""Not Found"")"),"")</f>
        <v/>
      </c>
      <c r="AM1739" s="23" t="str">
        <f>IFERROR(__xludf.DUMMYFUNCTION("XLOOKUP(C1739, 
   IMPORTRANGE(""1RdEdgHYrZ33LJ7RUHj_h-qkAFL92bcVjtIdVa-UlsCw"", ""Interns!D:D""), 
   IMPORTRANGE(""1RdEdgHYrZ33LJ7RUHj_h-qkAFL92bcVjtIdVa-UlsCw"", ""Interns!O:O""), 
   ""Not Found"")"),"")</f>
        <v/>
      </c>
      <c r="AN1739" s="23"/>
      <c r="AO1739" s="23" t="s">
        <v>15595</v>
      </c>
      <c r="AP1739" s="28" t="s">
        <v>5182</v>
      </c>
      <c r="AQ1739" s="28"/>
      <c r="AR1739" s="23"/>
      <c r="AS1739" s="23"/>
      <c r="AT1739" s="23"/>
      <c r="AU1739" s="23"/>
      <c r="AV1739" s="23"/>
    </row>
    <row r="1740">
      <c r="A1740" s="28"/>
      <c r="B1740" s="28" t="s">
        <v>5162</v>
      </c>
      <c r="C1740" s="23" t="str">
        <f t="shared" si="39"/>
        <v>Tamema Jahan</v>
      </c>
      <c r="D1740" s="28" t="s">
        <v>15596</v>
      </c>
      <c r="E1740" s="28" t="s">
        <v>5424</v>
      </c>
      <c r="F1740" s="23">
        <f t="array" ref="F1740">IFERROR(
    INDEX('Hub Interns 226'!A:A, MATCH(C1740, 'Hub Interns 226'!B:B, 0)),"")</f>
        <v>1150</v>
      </c>
      <c r="G1740" s="23">
        <f t="array" ref="G1740">IFERROR(
    INDEX('Hub Users 226'!A:A, MATCH(C1740, 'Hub Users 226'!B:B, 0)),"")</f>
        <v>1583</v>
      </c>
      <c r="H1740" s="28">
        <v>446.0</v>
      </c>
      <c r="I1740" s="28" t="s">
        <v>260</v>
      </c>
      <c r="J1740" s="28"/>
      <c r="K1740" s="28" t="s">
        <v>5186</v>
      </c>
      <c r="L1740" s="28" t="s">
        <v>5196</v>
      </c>
      <c r="M1740" s="56" t="s">
        <v>15597</v>
      </c>
      <c r="N1740" s="57">
        <v>44341.799305555556</v>
      </c>
      <c r="O1740" s="58">
        <v>39032.0</v>
      </c>
      <c r="P1740" s="28">
        <f t="shared" si="42"/>
        <v>19</v>
      </c>
      <c r="Q1740" s="28" t="s">
        <v>15598</v>
      </c>
      <c r="R1740" s="28" t="s">
        <v>15599</v>
      </c>
      <c r="S1740" s="28"/>
      <c r="T1740" s="28"/>
      <c r="U1740" s="28"/>
      <c r="V1740" s="28"/>
      <c r="W1740" s="28" t="s">
        <v>859</v>
      </c>
      <c r="X1740" s="28" t="s">
        <v>272</v>
      </c>
      <c r="Y1740" s="28">
        <v>1.9293040071E10</v>
      </c>
      <c r="Z1740" s="28" t="s">
        <v>15600</v>
      </c>
      <c r="AA1740" s="28" t="s">
        <v>15600</v>
      </c>
      <c r="AB1740" s="23"/>
      <c r="AC1740" s="28" t="s">
        <v>15601</v>
      </c>
      <c r="AD1740" s="23"/>
      <c r="AE1740" s="28" t="s">
        <v>8</v>
      </c>
      <c r="AF1740" s="23"/>
      <c r="AG1740" s="23"/>
      <c r="AH1740" s="23" t="str">
        <f>IFERROR(__xludf.DUMMYFUNCTION("IF(
ISNUMBER(MATCH(
C1740,
IMPORTRANGE(""https://docs.google.com/spreadsheets/d/1yTh1ELC33JHYOeEdgIiEclxPRyh0zOKtlawDltfUay8"",""'Interns'!A:A""),
0
)),
""Outreach Conducted"",
"""")"),"")</f>
        <v/>
      </c>
      <c r="AI1740" s="23"/>
      <c r="AJ1740" s="23"/>
      <c r="AK1740" s="23" t="str">
        <f>IFERROR(__xludf.DUMMYFUNCTION("XLOOKUP(C1740, 
   IMPORTRANGE(""1RdEdgHYrZ33LJ7RUHj_h-qkAFL92bcVjtIdVa-UlsCw"", ""Interns!D:D""), 
   IMPORTRANGE(""1RdEdgHYrZ33LJ7RUHj_h-qkAFL92bcVjtIdVa-UlsCw"", ""Interns!M:M""), 
   ""Not Found"")"),"Not Found")</f>
        <v>Not Found</v>
      </c>
      <c r="AL1740" s="23" t="str">
        <f>IFERROR(__xludf.DUMMYFUNCTION("XLOOKUP(C1740, 
   IMPORTRANGE(""1RdEdgHYrZ33LJ7RUHj_h-qkAFL92bcVjtIdVa-UlsCw"", ""Interns!D:D""), 
   IMPORTRANGE(""1RdEdgHYrZ33LJ7RUHj_h-qkAFL92bcVjtIdVa-UlsCw"", ""Interns!N:N""), 
   ""Not Found"")"),"Not Found")</f>
        <v>Not Found</v>
      </c>
      <c r="AM1740" s="23" t="str">
        <f>IFERROR(__xludf.DUMMYFUNCTION("XLOOKUP(C1740, 
   IMPORTRANGE(""1RdEdgHYrZ33LJ7RUHj_h-qkAFL92bcVjtIdVa-UlsCw"", ""Interns!D:D""), 
   IMPORTRANGE(""1RdEdgHYrZ33LJ7RUHj_h-qkAFL92bcVjtIdVa-UlsCw"", ""Interns!O:O""), 
   ""Not Found"")"),"Not Found")</f>
        <v>Not Found</v>
      </c>
      <c r="AN1740" s="23"/>
      <c r="AO1740" s="23" t="s">
        <v>15602</v>
      </c>
      <c r="AP1740" s="28" t="s">
        <v>5191</v>
      </c>
      <c r="AQ1740" s="28" t="s">
        <v>15603</v>
      </c>
      <c r="AR1740" s="23" t="s">
        <v>15604</v>
      </c>
      <c r="AS1740" s="23"/>
      <c r="AT1740" s="23"/>
      <c r="AU1740" s="23"/>
      <c r="AV1740" s="23"/>
    </row>
    <row r="1741">
      <c r="A1741" s="28" t="s">
        <v>5161</v>
      </c>
      <c r="B1741" s="28" t="s">
        <v>5162</v>
      </c>
      <c r="C1741" s="23" t="str">
        <f t="shared" si="39"/>
        <v>megan echaverry</v>
      </c>
      <c r="D1741" s="28" t="s">
        <v>15605</v>
      </c>
      <c r="E1741" s="28" t="s">
        <v>15606</v>
      </c>
      <c r="F1741" s="23">
        <f t="array" ref="F1741">IFERROR(
    INDEX('Hub Interns 226'!A:A, MATCH(C1741, 'Hub Interns 226'!B:B, 0)),"")</f>
        <v>869</v>
      </c>
      <c r="G1741" s="23">
        <f t="array" ref="G1741">IFERROR(
    INDEX('Hub Users 226'!A:A, MATCH(C1741, 'Hub Users 226'!B:B, 0)),"")</f>
        <v>1302</v>
      </c>
      <c r="H1741" s="28">
        <v>986.0</v>
      </c>
      <c r="I1741" s="28" t="s">
        <v>269</v>
      </c>
      <c r="J1741" s="28"/>
      <c r="K1741" s="28"/>
      <c r="L1741" s="28" t="s">
        <v>5196</v>
      </c>
      <c r="M1741" s="56" t="s">
        <v>15607</v>
      </c>
      <c r="N1741" s="57">
        <v>44643.6125</v>
      </c>
      <c r="O1741" s="58">
        <v>39825.0</v>
      </c>
      <c r="P1741" s="28">
        <f t="shared" si="42"/>
        <v>17</v>
      </c>
      <c r="Q1741" s="28" t="s">
        <v>240</v>
      </c>
      <c r="R1741" s="28" t="s">
        <v>15608</v>
      </c>
      <c r="S1741" s="28">
        <v>7.0</v>
      </c>
      <c r="T1741" s="28">
        <v>12.0</v>
      </c>
      <c r="U1741" s="28">
        <v>38.0</v>
      </c>
      <c r="V1741" s="28">
        <v>30.0</v>
      </c>
      <c r="W1741" s="28" t="s">
        <v>1173</v>
      </c>
      <c r="X1741" s="28" t="s">
        <v>272</v>
      </c>
      <c r="Y1741" s="28" t="s">
        <v>15609</v>
      </c>
      <c r="Z1741" s="28" t="s">
        <v>7427</v>
      </c>
      <c r="AA1741" s="28" t="s">
        <v>7428</v>
      </c>
      <c r="AB1741" s="28">
        <v>34.0</v>
      </c>
      <c r="AC1741" s="28" t="s">
        <v>24</v>
      </c>
      <c r="AD1741" s="23"/>
      <c r="AE1741" s="28" t="s">
        <v>10</v>
      </c>
      <c r="AF1741" s="23"/>
      <c r="AG1741" s="23"/>
      <c r="AH1741" s="23" t="str">
        <f>IFERROR(__xludf.DUMMYFUNCTION("IF(
ISNUMBER(MATCH(
C1741,
IMPORTRANGE(""https://docs.google.com/spreadsheets/d/1yTh1ELC33JHYOeEdgIiEclxPRyh0zOKtlawDltfUay8"",""'Interns'!A:A""),
0
)),
""Outreach Conducted"",
"""")"),"")</f>
        <v/>
      </c>
      <c r="AI1741" s="23"/>
      <c r="AJ1741" s="23"/>
      <c r="AK1741" s="23" t="str">
        <f>IFERROR(__xludf.DUMMYFUNCTION("XLOOKUP(C1741, 
   IMPORTRANGE(""1RdEdgHYrZ33LJ7RUHj_h-qkAFL92bcVjtIdVa-UlsCw"", ""Interns!D:D""), 
   IMPORTRANGE(""1RdEdgHYrZ33LJ7RUHj_h-qkAFL92bcVjtIdVa-UlsCw"", ""Interns!M:M""), 
   ""Not Found"")"),"Contacted")</f>
        <v>Contacted</v>
      </c>
      <c r="AL1741" s="23" t="str">
        <f>IFERROR(__xludf.DUMMYFUNCTION("XLOOKUP(C1741, 
   IMPORTRANGE(""1RdEdgHYrZ33LJ7RUHj_h-qkAFL92bcVjtIdVa-UlsCw"", ""Interns!D:D""), 
   IMPORTRANGE(""1RdEdgHYrZ33LJ7RUHj_h-qkAFL92bcVjtIdVa-UlsCw"", ""Interns!N:N""), 
   ""Not Found"")"),"#Cheers4Careers")</f>
        <v>#Cheers4Careers</v>
      </c>
      <c r="AM1741" s="23" t="str">
        <f>IFERROR(__xludf.DUMMYFUNCTION("XLOOKUP(C1741, 
   IMPORTRANGE(""1RdEdgHYrZ33LJ7RUHj_h-qkAFL92bcVjtIdVa-UlsCw"", ""Interns!D:D""), 
   IMPORTRANGE(""1RdEdgHYrZ33LJ7RUHj_h-qkAFL92bcVjtIdVa-UlsCw"", ""Interns!O:O""), 
   ""Not Found"")"),"Hetal reached out by email 3/27")</f>
        <v>Hetal reached out by email 3/27</v>
      </c>
      <c r="AN1741" s="23"/>
      <c r="AO1741" s="23" t="s">
        <v>15610</v>
      </c>
      <c r="AP1741" s="28" t="s">
        <v>5182</v>
      </c>
      <c r="AQ1741" s="28"/>
      <c r="AR1741" s="23"/>
      <c r="AS1741" s="23"/>
      <c r="AT1741" s="23"/>
      <c r="AU1741" s="23"/>
      <c r="AV1741" s="23"/>
    </row>
    <row r="1742">
      <c r="A1742" s="28" t="s">
        <v>5161</v>
      </c>
      <c r="B1742" s="28" t="s">
        <v>5162</v>
      </c>
      <c r="C1742" s="23" t="str">
        <f t="shared" si="39"/>
        <v>Quincy Golden</v>
      </c>
      <c r="D1742" s="28" t="s">
        <v>15611</v>
      </c>
      <c r="E1742" s="28" t="s">
        <v>15612</v>
      </c>
      <c r="F1742" s="23">
        <f t="array" ref="F1742">IFERROR(
    INDEX('Hub Interns 226'!A:A, MATCH(C1742, 'Hub Interns 226'!B:B, 0)),"")</f>
        <v>1003</v>
      </c>
      <c r="G1742" s="23">
        <f t="array" ref="G1742">IFERROR(
    INDEX('Hub Users 226'!A:A, MATCH(C1742, 'Hub Users 226'!B:B, 0)),"")</f>
        <v>1436</v>
      </c>
      <c r="H1742" s="28">
        <v>1205.0</v>
      </c>
      <c r="I1742" s="28" t="s">
        <v>269</v>
      </c>
      <c r="J1742" s="28"/>
      <c r="K1742" s="28"/>
      <c r="L1742" s="28" t="s">
        <v>5165</v>
      </c>
      <c r="M1742" s="56" t="s">
        <v>15613</v>
      </c>
      <c r="N1742" s="57">
        <v>44834.520833333336</v>
      </c>
      <c r="O1742" s="58">
        <v>39480.0</v>
      </c>
      <c r="P1742" s="28">
        <f t="shared" si="42"/>
        <v>18</v>
      </c>
      <c r="Q1742" s="28" t="s">
        <v>240</v>
      </c>
      <c r="R1742" s="28" t="s">
        <v>15614</v>
      </c>
      <c r="S1742" s="28">
        <v>6.0</v>
      </c>
      <c r="T1742" s="28">
        <v>13.0</v>
      </c>
      <c r="U1742" s="28">
        <v>39.0</v>
      </c>
      <c r="V1742" s="28">
        <v>25.0</v>
      </c>
      <c r="W1742" s="28" t="s">
        <v>1173</v>
      </c>
      <c r="X1742" s="28" t="s">
        <v>272</v>
      </c>
      <c r="Y1742" s="28" t="s">
        <v>15615</v>
      </c>
      <c r="Z1742" s="28" t="s">
        <v>5170</v>
      </c>
      <c r="AA1742" s="28" t="s">
        <v>5171</v>
      </c>
      <c r="AB1742" s="28">
        <v>30.0</v>
      </c>
      <c r="AC1742" s="28" t="s">
        <v>23</v>
      </c>
      <c r="AD1742" s="23"/>
      <c r="AE1742" s="28" t="s">
        <v>15</v>
      </c>
      <c r="AF1742" s="23"/>
      <c r="AG1742" s="23"/>
      <c r="AH1742" s="23" t="str">
        <f>IFERROR(__xludf.DUMMYFUNCTION("IF(
ISNUMBER(MATCH(
C1742,
IMPORTRANGE(""https://docs.google.com/spreadsheets/d/1yTh1ELC33JHYOeEdgIiEclxPRyh0zOKtlawDltfUay8"",""'Interns'!A:A""),
0
)),
""Outreach Conducted"",
"""")"),"")</f>
        <v/>
      </c>
      <c r="AI1742" s="23"/>
      <c r="AJ1742" s="23"/>
      <c r="AK1742" s="23" t="str">
        <f>IFERROR(__xludf.DUMMYFUNCTION("XLOOKUP(C1742, 
   IMPORTRANGE(""1RdEdgHYrZ33LJ7RUHj_h-qkAFL92bcVjtIdVa-UlsCw"", ""Interns!D:D""), 
   IMPORTRANGE(""1RdEdgHYrZ33LJ7RUHj_h-qkAFL92bcVjtIdVa-UlsCw"", ""Interns!M:M""), 
   ""Not Found"")"),"Contacted")</f>
        <v>Contacted</v>
      </c>
      <c r="AL1742" s="23" t="str">
        <f>IFERROR(__xludf.DUMMYFUNCTION("XLOOKUP(C1742, 
   IMPORTRANGE(""1RdEdgHYrZ33LJ7RUHj_h-qkAFL92bcVjtIdVa-UlsCw"", ""Interns!D:D""), 
   IMPORTRANGE(""1RdEdgHYrZ33LJ7RUHj_h-qkAFL92bcVjtIdVa-UlsCw"", ""Interns!N:N""), 
   ""Not Found"")"),"#Cheers4Careers")</f>
        <v>#Cheers4Careers</v>
      </c>
      <c r="AM1742" s="23" t="str">
        <f>IFERROR(__xludf.DUMMYFUNCTION("XLOOKUP(C1742, 
   IMPORTRANGE(""1RdEdgHYrZ33LJ7RUHj_h-qkAFL92bcVjtIdVa-UlsCw"", ""Interns!D:D""), 
   IMPORTRANGE(""1RdEdgHYrZ33LJ7RUHj_h-qkAFL92bcVjtIdVa-UlsCw"", ""Interns!O:O""), 
   ""Not Found"")"),"Hetal reached out March 27 for March #Cheers4 Careers ")</f>
        <v>Hetal reached out March 27 for March #Cheers4 Careers </v>
      </c>
      <c r="AN1742" s="23"/>
      <c r="AO1742" s="23" t="s">
        <v>15616</v>
      </c>
      <c r="AP1742" s="28" t="s">
        <v>5182</v>
      </c>
      <c r="AQ1742" s="28"/>
      <c r="AR1742" s="23"/>
      <c r="AS1742" s="23"/>
      <c r="AT1742" s="23"/>
      <c r="AU1742" s="23"/>
      <c r="AV1742" s="23"/>
    </row>
    <row r="1743">
      <c r="A1743" s="28" t="s">
        <v>5202</v>
      </c>
      <c r="B1743" s="28" t="s">
        <v>5162</v>
      </c>
      <c r="C1743" s="23" t="str">
        <f t="shared" si="39"/>
        <v>Assa Diambou</v>
      </c>
      <c r="D1743" s="28" t="s">
        <v>15617</v>
      </c>
      <c r="E1743" s="28" t="s">
        <v>15618</v>
      </c>
      <c r="F1743" s="23">
        <f t="array" ref="F1743">IFERROR(
    INDEX('Hub Interns 226'!A:A, MATCH(C1743, 'Hub Interns 226'!B:B, 0)),"")</f>
        <v>120</v>
      </c>
      <c r="G1743" s="23">
        <f t="array" ref="G1743">IFERROR(
    INDEX('Hub Users 226'!A:A, MATCH(C1743, 'Hub Users 226'!B:B, 0)),"")</f>
        <v>553</v>
      </c>
      <c r="H1743" s="28">
        <v>960.0</v>
      </c>
      <c r="I1743" s="28" t="s">
        <v>260</v>
      </c>
      <c r="J1743" s="28"/>
      <c r="K1743" s="28"/>
      <c r="L1743" s="28" t="s">
        <v>5196</v>
      </c>
      <c r="M1743" s="56" t="s">
        <v>15619</v>
      </c>
      <c r="N1743" s="57">
        <v>44628.552777777775</v>
      </c>
      <c r="O1743" s="58">
        <v>38203.0</v>
      </c>
      <c r="P1743" s="28">
        <f t="shared" si="42"/>
        <v>21</v>
      </c>
      <c r="Q1743" s="28" t="s">
        <v>240</v>
      </c>
      <c r="R1743" s="28" t="s">
        <v>15620</v>
      </c>
      <c r="S1743" s="28">
        <v>8.0</v>
      </c>
      <c r="T1743" s="28">
        <v>25.0</v>
      </c>
      <c r="U1743" s="28">
        <v>56.0</v>
      </c>
      <c r="V1743" s="28">
        <v>36.0</v>
      </c>
      <c r="W1743" s="28" t="s">
        <v>294</v>
      </c>
      <c r="X1743" s="28" t="s">
        <v>272</v>
      </c>
      <c r="Y1743" s="28" t="s">
        <v>15621</v>
      </c>
      <c r="Z1743" s="28" t="s">
        <v>5589</v>
      </c>
      <c r="AA1743" s="28" t="s">
        <v>5590</v>
      </c>
      <c r="AB1743" s="28">
        <v>35.0</v>
      </c>
      <c r="AC1743" s="28" t="s">
        <v>24</v>
      </c>
      <c r="AD1743" s="23"/>
      <c r="AE1743" s="28" t="s">
        <v>10</v>
      </c>
      <c r="AF1743" s="23"/>
      <c r="AG1743" s="23"/>
      <c r="AH1743" s="23" t="str">
        <f>IFERROR(__xludf.DUMMYFUNCTION("IF(
ISNUMBER(MATCH(
C1743,
IMPORTRANGE(""https://docs.google.com/spreadsheets/d/1yTh1ELC33JHYOeEdgIiEclxPRyh0zOKtlawDltfUay8"",""'Interns'!A:A""),
0
)),
""Outreach Conducted"",
"""")"),"")</f>
        <v/>
      </c>
      <c r="AI1743" s="23"/>
      <c r="AJ1743" s="23"/>
      <c r="AK1743" s="23" t="str">
        <f>IFERROR(__xludf.DUMMYFUNCTION("XLOOKUP(C1743, 
   IMPORTRANGE(""1RdEdgHYrZ33LJ7RUHj_h-qkAFL92bcVjtIdVa-UlsCw"", ""Interns!D:D""), 
   IMPORTRANGE(""1RdEdgHYrZ33LJ7RUHj_h-qkAFL92bcVjtIdVa-UlsCw"", ""Interns!M:M""), 
   ""Not Found"")"),"")</f>
        <v/>
      </c>
      <c r="AL1743" s="23" t="str">
        <f>IFERROR(__xludf.DUMMYFUNCTION("XLOOKUP(C1743, 
   IMPORTRANGE(""1RdEdgHYrZ33LJ7RUHj_h-qkAFL92bcVjtIdVa-UlsCw"", ""Interns!D:D""), 
   IMPORTRANGE(""1RdEdgHYrZ33LJ7RUHj_h-qkAFL92bcVjtIdVa-UlsCw"", ""Interns!N:N""), 
   ""Not Found"")"),"")</f>
        <v/>
      </c>
      <c r="AM1743" s="23" t="str">
        <f>IFERROR(__xludf.DUMMYFUNCTION("XLOOKUP(C1743, 
   IMPORTRANGE(""1RdEdgHYrZ33LJ7RUHj_h-qkAFL92bcVjtIdVa-UlsCw"", ""Interns!D:D""), 
   IMPORTRANGE(""1RdEdgHYrZ33LJ7RUHj_h-qkAFL92bcVjtIdVa-UlsCw"", ""Interns!O:O""), 
   ""Not Found"")"),"")</f>
        <v/>
      </c>
      <c r="AN1743" s="23"/>
      <c r="AO1743" s="23" t="s">
        <v>15622</v>
      </c>
      <c r="AP1743" s="28" t="s">
        <v>5182</v>
      </c>
      <c r="AQ1743" s="28"/>
      <c r="AR1743" s="23"/>
      <c r="AS1743" s="23"/>
      <c r="AT1743" s="23"/>
      <c r="AU1743" s="23"/>
      <c r="AV1743" s="23"/>
    </row>
    <row r="1744">
      <c r="A1744" s="28" t="s">
        <v>5161</v>
      </c>
      <c r="B1744" s="28" t="s">
        <v>5162</v>
      </c>
      <c r="C1744" s="23" t="str">
        <f t="shared" si="39"/>
        <v>Axel permana</v>
      </c>
      <c r="D1744" s="28" t="s">
        <v>8240</v>
      </c>
      <c r="E1744" s="28" t="s">
        <v>15623</v>
      </c>
      <c r="F1744" s="23">
        <f t="array" ref="F1744">IFERROR(
    INDEX('Hub Interns 226'!A:A, MATCH(C1744, 'Hub Interns 226'!B:B, 0)),"")</f>
        <v>280</v>
      </c>
      <c r="G1744" s="23">
        <f t="array" ref="G1744">IFERROR(
    INDEX('Hub Users 226'!A:A, MATCH(C1744, 'Hub Users 226'!B:B, 0)),"")</f>
        <v>713</v>
      </c>
      <c r="H1744" s="28">
        <v>1044.0</v>
      </c>
      <c r="I1744" s="28"/>
      <c r="J1744" s="28"/>
      <c r="K1744" s="28"/>
      <c r="L1744" s="28" t="s">
        <v>5165</v>
      </c>
      <c r="M1744" s="56" t="s">
        <v>15624</v>
      </c>
      <c r="N1744" s="57">
        <v>44684.43194444444</v>
      </c>
      <c r="O1744" s="58">
        <v>39521.0</v>
      </c>
      <c r="P1744" s="28">
        <f t="shared" si="42"/>
        <v>18</v>
      </c>
      <c r="Q1744" s="28" t="s">
        <v>240</v>
      </c>
      <c r="R1744" s="28" t="s">
        <v>15625</v>
      </c>
      <c r="S1744" s="28"/>
      <c r="T1744" s="28"/>
      <c r="U1744" s="28"/>
      <c r="V1744" s="28"/>
      <c r="W1744" s="28" t="s">
        <v>1173</v>
      </c>
      <c r="X1744" s="28" t="s">
        <v>272</v>
      </c>
      <c r="Y1744" s="28" t="s">
        <v>15626</v>
      </c>
      <c r="Z1744" s="28" t="s">
        <v>5170</v>
      </c>
      <c r="AA1744" s="28" t="s">
        <v>5171</v>
      </c>
      <c r="AB1744" s="28">
        <v>30.0</v>
      </c>
      <c r="AC1744" s="28" t="s">
        <v>24</v>
      </c>
      <c r="AD1744" s="23"/>
      <c r="AE1744" s="28" t="s">
        <v>10</v>
      </c>
      <c r="AF1744" s="23"/>
      <c r="AG1744" s="23"/>
      <c r="AH1744" s="23" t="str">
        <f>IFERROR(__xludf.DUMMYFUNCTION("IF(
ISNUMBER(MATCH(
C1744,
IMPORTRANGE(""https://docs.google.com/spreadsheets/d/1yTh1ELC33JHYOeEdgIiEclxPRyh0zOKtlawDltfUay8"",""'Interns'!A:A""),
0
)),
""Outreach Conducted"",
"""")"),"")</f>
        <v/>
      </c>
      <c r="AI1744" s="23"/>
      <c r="AJ1744" s="23"/>
      <c r="AK1744" s="23" t="str">
        <f>IFERROR(__xludf.DUMMYFUNCTION("XLOOKUP(C1744, 
   IMPORTRANGE(""1RdEdgHYrZ33LJ7RUHj_h-qkAFL92bcVjtIdVa-UlsCw"", ""Interns!D:D""), 
   IMPORTRANGE(""1RdEdgHYrZ33LJ7RUHj_h-qkAFL92bcVjtIdVa-UlsCw"", ""Interns!M:M""), 
   ""Not Found"")"),"Contacted")</f>
        <v>Contacted</v>
      </c>
      <c r="AL1744" s="23" t="str">
        <f>IFERROR(__xludf.DUMMYFUNCTION("XLOOKUP(C1744, 
   IMPORTRANGE(""1RdEdgHYrZ33LJ7RUHj_h-qkAFL92bcVjtIdVa-UlsCw"", ""Interns!D:D""), 
   IMPORTRANGE(""1RdEdgHYrZ33LJ7RUHj_h-qkAFL92bcVjtIdVa-UlsCw"", ""Interns!N:N""), 
   ""Not Found"")"),"#Cheers4Careers")</f>
        <v>#Cheers4Careers</v>
      </c>
      <c r="AM1744" s="23" t="str">
        <f>IFERROR(__xludf.DUMMYFUNCTION("XLOOKUP(C1744, 
   IMPORTRANGE(""1RdEdgHYrZ33LJ7RUHj_h-qkAFL92bcVjtIdVa-UlsCw"", ""Interns!D:D""), 
   IMPORTRANGE(""1RdEdgHYrZ33LJ7RUHj_h-qkAFL92bcVjtIdVa-UlsCw"", ""Interns!O:O""), 
   ""Not Found"")"),"Hetal reached out March 27 for March #Cheers4 Careers and whatsapp on 3/28
Hetal reached out on 4/10 by whatsapp for April 18th #Cheers4Careers")</f>
        <v>Hetal reached out March 27 for March #Cheers4 Careers and whatsapp on 3/28
Hetal reached out on 4/10 by whatsapp for April 18th #Cheers4Careers</v>
      </c>
      <c r="AN1744" s="23"/>
      <c r="AO1744" s="23" t="s">
        <v>15627</v>
      </c>
      <c r="AP1744" s="28" t="s">
        <v>5182</v>
      </c>
      <c r="AQ1744" s="28"/>
      <c r="AR1744" s="23"/>
      <c r="AS1744" s="23"/>
      <c r="AT1744" s="23"/>
      <c r="AU1744" s="23"/>
      <c r="AV1744" s="23"/>
    </row>
    <row r="1745">
      <c r="A1745" s="28" t="s">
        <v>5161</v>
      </c>
      <c r="B1745" s="28" t="s">
        <v>5162</v>
      </c>
      <c r="C1745" s="23" t="str">
        <f t="shared" si="39"/>
        <v>Hillary Barros</v>
      </c>
      <c r="D1745" s="28" t="s">
        <v>15628</v>
      </c>
      <c r="E1745" s="28" t="s">
        <v>15629</v>
      </c>
      <c r="F1745" s="23">
        <f t="array" ref="F1745">IFERROR(
    INDEX('Hub Interns 226'!A:A, MATCH(C1745, 'Hub Interns 226'!B:B, 0)),"")</f>
        <v>579</v>
      </c>
      <c r="G1745" s="23">
        <f t="array" ref="G1745">IFERROR(
    INDEX('Hub Users 226'!A:A, MATCH(C1745, 'Hub Users 226'!B:B, 0)),"")</f>
        <v>1012</v>
      </c>
      <c r="H1745" s="28">
        <v>1206.0</v>
      </c>
      <c r="I1745" s="28" t="s">
        <v>260</v>
      </c>
      <c r="J1745" s="28"/>
      <c r="K1745" s="28"/>
      <c r="L1745" s="28" t="s">
        <v>5196</v>
      </c>
      <c r="M1745" s="56" t="s">
        <v>15630</v>
      </c>
      <c r="N1745" s="57">
        <v>44834.52847222222</v>
      </c>
      <c r="O1745" s="58">
        <v>39679.0</v>
      </c>
      <c r="P1745" s="28">
        <f t="shared" si="42"/>
        <v>17</v>
      </c>
      <c r="Q1745" s="28" t="s">
        <v>240</v>
      </c>
      <c r="R1745" s="28" t="s">
        <v>15631</v>
      </c>
      <c r="S1745" s="28"/>
      <c r="T1745" s="28"/>
      <c r="U1745" s="28"/>
      <c r="V1745" s="28"/>
      <c r="W1745" s="28" t="s">
        <v>1173</v>
      </c>
      <c r="X1745" s="28" t="s">
        <v>272</v>
      </c>
      <c r="Y1745" s="28" t="s">
        <v>15632</v>
      </c>
      <c r="Z1745" s="28" t="s">
        <v>5170</v>
      </c>
      <c r="AA1745" s="28" t="s">
        <v>5171</v>
      </c>
      <c r="AB1745" s="28">
        <v>30.0</v>
      </c>
      <c r="AC1745" s="28" t="s">
        <v>23</v>
      </c>
      <c r="AD1745" s="23"/>
      <c r="AE1745" s="28" t="s">
        <v>15</v>
      </c>
      <c r="AF1745" s="23"/>
      <c r="AG1745" s="23"/>
      <c r="AH1745" s="23" t="str">
        <f>IFERROR(__xludf.DUMMYFUNCTION("IF(
ISNUMBER(MATCH(
C1745,
IMPORTRANGE(""https://docs.google.com/spreadsheets/d/1yTh1ELC33JHYOeEdgIiEclxPRyh0zOKtlawDltfUay8"",""'Interns'!A:A""),
0
)),
""Outreach Conducted"",
"""")"),"")</f>
        <v/>
      </c>
      <c r="AI1745" s="23"/>
      <c r="AJ1745" s="23"/>
      <c r="AK1745" s="23" t="str">
        <f>IFERROR(__xludf.DUMMYFUNCTION("XLOOKUP(C1745, 
   IMPORTRANGE(""1RdEdgHYrZ33LJ7RUHj_h-qkAFL92bcVjtIdVa-UlsCw"", ""Interns!D:D""), 
   IMPORTRANGE(""1RdEdgHYrZ33LJ7RUHj_h-qkAFL92bcVjtIdVa-UlsCw"", ""Interns!M:M""), 
   ""Not Found"")"),"Contacted")</f>
        <v>Contacted</v>
      </c>
      <c r="AL1745" s="23" t="str">
        <f>IFERROR(__xludf.DUMMYFUNCTION("XLOOKUP(C1745, 
   IMPORTRANGE(""1RdEdgHYrZ33LJ7RUHj_h-qkAFL92bcVjtIdVa-UlsCw"", ""Interns!D:D""), 
   IMPORTRANGE(""1RdEdgHYrZ33LJ7RUHj_h-qkAFL92bcVjtIdVa-UlsCw"", ""Interns!N:N""), 
   ""Not Found"")"),"#Cheers4Careers")</f>
        <v>#Cheers4Careers</v>
      </c>
      <c r="AM1745" s="23" t="str">
        <f>IFERROR(__xludf.DUMMYFUNCTION("XLOOKUP(C1745, 
   IMPORTRANGE(""1RdEdgHYrZ33LJ7RUHj_h-qkAFL92bcVjtIdVa-UlsCw"", ""Interns!D:D""), 
   IMPORTRANGE(""1RdEdgHYrZ33LJ7RUHj_h-qkAFL92bcVjtIdVa-UlsCw"", ""Interns!O:O""), 
   ""Not Found"")"),"Hetal reached out March 27 for March #Cheers4 Careers ")</f>
        <v>Hetal reached out March 27 for March #Cheers4 Careers </v>
      </c>
      <c r="AN1745" s="23"/>
      <c r="AO1745" s="23" t="s">
        <v>15633</v>
      </c>
      <c r="AP1745" s="28" t="s">
        <v>5182</v>
      </c>
      <c r="AQ1745" s="28"/>
      <c r="AR1745" s="23"/>
      <c r="AS1745" s="23"/>
      <c r="AT1745" s="23"/>
      <c r="AU1745" s="23"/>
      <c r="AV1745" s="23"/>
    </row>
    <row r="1746">
      <c r="A1746" s="28" t="s">
        <v>5161</v>
      </c>
      <c r="B1746" s="28" t="s">
        <v>5162</v>
      </c>
      <c r="C1746" s="23" t="str">
        <f t="shared" si="39"/>
        <v>Leanna Lin</v>
      </c>
      <c r="D1746" s="28" t="s">
        <v>2149</v>
      </c>
      <c r="E1746" s="28" t="s">
        <v>5976</v>
      </c>
      <c r="F1746" s="23">
        <f t="array" ref="F1746">IFERROR(
    INDEX('Hub Interns 226'!A:A, MATCH(C1746, 'Hub Interns 226'!B:B, 0)),"")</f>
        <v>769</v>
      </c>
      <c r="G1746" s="23">
        <f t="array" ref="G1746">IFERROR(
    INDEX('Hub Users 226'!A:A, MATCH(C1746, 'Hub Users 226'!B:B, 0)),"")</f>
        <v>1202</v>
      </c>
      <c r="H1746" s="28">
        <v>1583.0</v>
      </c>
      <c r="I1746" s="28"/>
      <c r="J1746" s="28"/>
      <c r="K1746" s="28"/>
      <c r="L1746" s="28" t="s">
        <v>5196</v>
      </c>
      <c r="M1746" s="56" t="s">
        <v>15634</v>
      </c>
      <c r="N1746" s="57">
        <v>45016.385416666664</v>
      </c>
      <c r="O1746" s="58">
        <v>40407.0</v>
      </c>
      <c r="P1746" s="28">
        <f t="shared" si="42"/>
        <v>15</v>
      </c>
      <c r="Q1746" s="28" t="s">
        <v>240</v>
      </c>
      <c r="R1746" s="28" t="s">
        <v>15635</v>
      </c>
      <c r="S1746" s="28">
        <v>6.0</v>
      </c>
      <c r="T1746" s="28">
        <v>12.0</v>
      </c>
      <c r="U1746" s="28">
        <v>39.0</v>
      </c>
      <c r="V1746" s="28">
        <v>25.0</v>
      </c>
      <c r="W1746" s="28" t="s">
        <v>1173</v>
      </c>
      <c r="X1746" s="28" t="s">
        <v>272</v>
      </c>
      <c r="Y1746" s="28" t="s">
        <v>15636</v>
      </c>
      <c r="Z1746" s="28" t="s">
        <v>5170</v>
      </c>
      <c r="AA1746" s="28" t="s">
        <v>5171</v>
      </c>
      <c r="AB1746" s="28">
        <v>30.0</v>
      </c>
      <c r="AC1746" s="28" t="s">
        <v>23</v>
      </c>
      <c r="AD1746" s="23"/>
      <c r="AE1746" s="28" t="s">
        <v>15</v>
      </c>
      <c r="AF1746" s="23"/>
      <c r="AG1746" s="23"/>
      <c r="AH1746" s="23" t="str">
        <f>IFERROR(__xludf.DUMMYFUNCTION("IF(
ISNUMBER(MATCH(
C1746,
IMPORTRANGE(""https://docs.google.com/spreadsheets/d/1yTh1ELC33JHYOeEdgIiEclxPRyh0zOKtlawDltfUay8"",""'Interns'!A:A""),
0
)),
""Outreach Conducted"",
"""")"),"")</f>
        <v/>
      </c>
      <c r="AI1746" s="23"/>
      <c r="AJ1746" s="23"/>
      <c r="AK1746" s="23" t="str">
        <f>IFERROR(__xludf.DUMMYFUNCTION("XLOOKUP(C1746, 
   IMPORTRANGE(""1RdEdgHYrZ33LJ7RUHj_h-qkAFL92bcVjtIdVa-UlsCw"", ""Interns!D:D""), 
   IMPORTRANGE(""1RdEdgHYrZ33LJ7RUHj_h-qkAFL92bcVjtIdVa-UlsCw"", ""Interns!M:M""), 
   ""Not Found"")"),"Contacted")</f>
        <v>Contacted</v>
      </c>
      <c r="AL1746" s="23" t="str">
        <f>IFERROR(__xludf.DUMMYFUNCTION("XLOOKUP(C1746, 
   IMPORTRANGE(""1RdEdgHYrZ33LJ7RUHj_h-qkAFL92bcVjtIdVa-UlsCw"", ""Interns!D:D""), 
   IMPORTRANGE(""1RdEdgHYrZ33LJ7RUHj_h-qkAFL92bcVjtIdVa-UlsCw"", ""Interns!N:N""), 
   ""Not Found"")"),"#Cheers4Careers")</f>
        <v>#Cheers4Careers</v>
      </c>
      <c r="AM1746" s="23" t="str">
        <f>IFERROR(__xludf.DUMMYFUNCTION("XLOOKUP(C1746, 
   IMPORTRANGE(""1RdEdgHYrZ33LJ7RUHj_h-qkAFL92bcVjtIdVa-UlsCw"", ""Interns!D:D""), 
   IMPORTRANGE(""1RdEdgHYrZ33LJ7RUHj_h-qkAFL92bcVjtIdVa-UlsCw"", ""Interns!O:O""), 
   ""Not Found"")"),"Hetal reached out March 27 for March #Cheers4 Careers ")</f>
        <v>Hetal reached out March 27 for March #Cheers4 Careers </v>
      </c>
      <c r="AN1746" s="23"/>
      <c r="AO1746" s="23" t="s">
        <v>15637</v>
      </c>
      <c r="AP1746" s="28" t="s">
        <v>5641</v>
      </c>
      <c r="AQ1746" s="28"/>
      <c r="AR1746" s="23"/>
      <c r="AS1746" s="23"/>
      <c r="AT1746" s="23"/>
      <c r="AU1746" s="23"/>
      <c r="AV1746" s="23"/>
    </row>
    <row r="1747">
      <c r="A1747" s="28" t="s">
        <v>5161</v>
      </c>
      <c r="B1747" s="28" t="s">
        <v>5162</v>
      </c>
      <c r="C1747" s="23" t="str">
        <f t="shared" si="39"/>
        <v>Eshaun Singh</v>
      </c>
      <c r="D1747" s="22" t="s">
        <v>15638</v>
      </c>
      <c r="E1747" s="22" t="s">
        <v>15639</v>
      </c>
      <c r="F1747" s="23"/>
      <c r="G1747" s="23"/>
      <c r="H1747" s="22">
        <v>1917.0</v>
      </c>
      <c r="I1747" s="28"/>
      <c r="J1747" s="28"/>
      <c r="K1747" s="28"/>
      <c r="L1747" s="28" t="s">
        <v>5165</v>
      </c>
      <c r="M1747" s="29" t="s">
        <v>15640</v>
      </c>
      <c r="N1747" s="61">
        <v>45779.44375</v>
      </c>
      <c r="O1747" s="25">
        <v>39858.0</v>
      </c>
      <c r="P1747" s="28">
        <f t="shared" si="42"/>
        <v>17</v>
      </c>
      <c r="Q1747" s="62" t="s">
        <v>240</v>
      </c>
      <c r="R1747" s="22" t="s">
        <v>15641</v>
      </c>
      <c r="S1747" s="28"/>
      <c r="T1747" s="28"/>
      <c r="U1747" s="28"/>
      <c r="V1747" s="28"/>
      <c r="W1747" s="28" t="s">
        <v>1173</v>
      </c>
      <c r="X1747" s="28" t="s">
        <v>272</v>
      </c>
      <c r="Y1747" s="22" t="s">
        <v>15642</v>
      </c>
      <c r="Z1747" s="22" t="s">
        <v>5658</v>
      </c>
      <c r="AA1747" s="28" t="s">
        <v>5659</v>
      </c>
      <c r="AB1747" s="28">
        <v>23.0</v>
      </c>
      <c r="AC1747" s="28" t="s">
        <v>23</v>
      </c>
      <c r="AD1747" s="23"/>
      <c r="AE1747" s="28" t="s">
        <v>19</v>
      </c>
      <c r="AF1747" s="23"/>
      <c r="AG1747" s="23"/>
      <c r="AH1747" s="23" t="str">
        <f>IFERROR(__xludf.DUMMYFUNCTION("IF(
ISNUMBER(MATCH(
C1747,
IMPORTRANGE(""https://docs.google.com/spreadsheets/d/1yTh1ELC33JHYOeEdgIiEclxPRyh0zOKtlawDltfUay8"",""'Interns'!A:A""),
0
)),
""Outreach Conducted"",
"""")"),"")</f>
        <v/>
      </c>
      <c r="AI1747" s="23"/>
      <c r="AJ1747" s="23"/>
      <c r="AK1747" s="23"/>
      <c r="AL1747" s="23" t="str">
        <f>IFERROR(__xludf.DUMMYFUNCTION("XLOOKUP(C1747, 
   IMPORTRANGE(""1RdEdgHYrZ33LJ7RUHj_h-qkAFL92bcVjtIdVa-UlsCw"", ""Interns!D:D""), 
   IMPORTRANGE(""1RdEdgHYrZ33LJ7RUHj_h-qkAFL92bcVjtIdVa-UlsCw"", ""Interns!N:N""), 
   ""Not Found"")"),"#Cheers4Careers")</f>
        <v>#Cheers4Careers</v>
      </c>
      <c r="AM1747" s="23" t="str">
        <f>IFERROR(__xludf.DUMMYFUNCTION("XLOOKUP(C1747, 
   IMPORTRANGE(""1RdEdgHYrZ33LJ7RUHj_h-qkAFL92bcVjtIdVa-UlsCw"", ""Interns!D:D""), 
   IMPORTRANGE(""1RdEdgHYrZ33LJ7RUHj_h-qkAFL92bcVjtIdVa-UlsCw"", ""Interns!O:O""), 
   ""Not Found"")"),"Hetal reached out March 27 for March #Cheers4 Careers ")</f>
        <v>Hetal reached out March 27 for March #Cheers4 Careers </v>
      </c>
      <c r="AN1747" s="23"/>
      <c r="AO1747" s="23" t="s">
        <v>15643</v>
      </c>
      <c r="AP1747" s="28" t="s">
        <v>5182</v>
      </c>
      <c r="AQ1747" s="28" t="s">
        <v>15644</v>
      </c>
      <c r="AR1747" s="23" t="s">
        <v>15645</v>
      </c>
      <c r="AS1747" s="23"/>
      <c r="AT1747" s="23"/>
      <c r="AU1747" s="23"/>
      <c r="AV1747" s="23"/>
    </row>
    <row r="1748">
      <c r="A1748" s="28" t="s">
        <v>5161</v>
      </c>
      <c r="B1748" s="28" t="s">
        <v>5162</v>
      </c>
      <c r="C1748" s="23" t="str">
        <f t="shared" si="39"/>
        <v>Brailyn Ramirez</v>
      </c>
      <c r="D1748" s="28" t="s">
        <v>13537</v>
      </c>
      <c r="E1748" s="28" t="s">
        <v>2127</v>
      </c>
      <c r="F1748" s="23">
        <f t="array" ref="F1748">IFERROR(
    INDEX('Hub Interns 226'!A:A, MATCH(C1748, 'Hub Interns 226'!B:B, 0)),"")</f>
        <v>310</v>
      </c>
      <c r="G1748" s="23">
        <f t="array" ref="G1748">IFERROR(
    INDEX('Hub Users 226'!A:A, MATCH(C1748, 'Hub Users 226'!B:B, 0)),"")</f>
        <v>743</v>
      </c>
      <c r="H1748" s="28">
        <v>1180.0</v>
      </c>
      <c r="I1748" s="28" t="s">
        <v>269</v>
      </c>
      <c r="J1748" s="28"/>
      <c r="K1748" s="28"/>
      <c r="L1748" s="28" t="s">
        <v>5165</v>
      </c>
      <c r="M1748" s="56" t="s">
        <v>13538</v>
      </c>
      <c r="N1748" s="57">
        <v>44833.44861111111</v>
      </c>
      <c r="O1748" s="58">
        <v>39005.0</v>
      </c>
      <c r="P1748" s="28">
        <f t="shared" si="42"/>
        <v>19</v>
      </c>
      <c r="Q1748" s="28" t="s">
        <v>240</v>
      </c>
      <c r="R1748" s="28" t="s">
        <v>13539</v>
      </c>
      <c r="S1748" s="28"/>
      <c r="T1748" s="28"/>
      <c r="U1748" s="28"/>
      <c r="V1748" s="28"/>
      <c r="W1748" s="28" t="s">
        <v>271</v>
      </c>
      <c r="X1748" s="28" t="s">
        <v>272</v>
      </c>
      <c r="Y1748" s="28" t="s">
        <v>13540</v>
      </c>
      <c r="Z1748" s="28" t="s">
        <v>5341</v>
      </c>
      <c r="AA1748" s="28" t="s">
        <v>1085</v>
      </c>
      <c r="AB1748" s="28">
        <v>10.0</v>
      </c>
      <c r="AC1748" s="28" t="s">
        <v>23</v>
      </c>
      <c r="AD1748" s="28" t="s">
        <v>101</v>
      </c>
      <c r="AE1748" s="28" t="s">
        <v>15</v>
      </c>
      <c r="AF1748" s="23"/>
      <c r="AG1748" s="23"/>
      <c r="AH1748" s="23" t="str">
        <f>IFERROR(__xludf.DUMMYFUNCTION("IF(
ISNUMBER(MATCH(
C1748,
IMPORTRANGE(""https://docs.google.com/spreadsheets/d/1yTh1ELC33JHYOeEdgIiEclxPRyh0zOKtlawDltfUay8"",""'Interns'!A:A""),
0
)),
""Outreach Conducted"",
"""")"),"")</f>
        <v/>
      </c>
      <c r="AI1748" s="23"/>
      <c r="AJ1748" s="23"/>
      <c r="AK1748" s="23" t="str">
        <f>IFERROR(__xludf.DUMMYFUNCTION("XLOOKUP(C1748, 
   IMPORTRANGE(""1RdEdgHYrZ33LJ7RUHj_h-qkAFL92bcVjtIdVa-UlsCw"", ""Interns!D:D""), 
   IMPORTRANGE(""1RdEdgHYrZ33LJ7RUHj_h-qkAFL92bcVjtIdVa-UlsCw"", ""Interns!M:M""), 
   ""Not Found"")"),"")</f>
        <v/>
      </c>
      <c r="AL1748" s="23" t="str">
        <f>IFERROR(__xludf.DUMMYFUNCTION("XLOOKUP(C1748, 
   IMPORTRANGE(""1RdEdgHYrZ33LJ7RUHj_h-qkAFL92bcVjtIdVa-UlsCw"", ""Interns!D:D""), 
   IMPORTRANGE(""1RdEdgHYrZ33LJ7RUHj_h-qkAFL92bcVjtIdVa-UlsCw"", ""Interns!N:N""), 
   ""Not Found"")"),"")</f>
        <v/>
      </c>
      <c r="AM1748" s="23" t="str">
        <f>IFERROR(__xludf.DUMMYFUNCTION("XLOOKUP(C1748, 
   IMPORTRANGE(""1RdEdgHYrZ33LJ7RUHj_h-qkAFL92bcVjtIdVa-UlsCw"", ""Interns!D:D""), 
   IMPORTRANGE(""1RdEdgHYrZ33LJ7RUHj_h-qkAFL92bcVjtIdVa-UlsCw"", ""Interns!O:O""), 
   ""Not Found"")"),"")</f>
        <v/>
      </c>
      <c r="AN1748" s="23"/>
      <c r="AO1748" s="23" t="s">
        <v>13541</v>
      </c>
      <c r="AP1748" s="28" t="s">
        <v>5182</v>
      </c>
      <c r="AQ1748" s="28"/>
      <c r="AR1748" s="23"/>
      <c r="AS1748" s="23"/>
      <c r="AT1748" s="23"/>
      <c r="AU1748" s="23"/>
      <c r="AV1748" s="23"/>
    </row>
    <row r="1749">
      <c r="A1749" s="28" t="s">
        <v>5161</v>
      </c>
      <c r="B1749" s="28" t="s">
        <v>5162</v>
      </c>
      <c r="C1749" s="23" t="str">
        <f t="shared" si="39"/>
        <v>mia Altamirano</v>
      </c>
      <c r="D1749" s="28" t="s">
        <v>15646</v>
      </c>
      <c r="E1749" s="28" t="s">
        <v>9531</v>
      </c>
      <c r="F1749" s="23">
        <f t="array" ref="F1749">IFERROR(
    INDEX('Hub Interns 226'!A:A, MATCH(C1749, 'Hub Interns 226'!B:B, 0)),"")</f>
        <v>880</v>
      </c>
      <c r="G1749" s="23">
        <f t="array" ref="G1749">IFERROR(
    INDEX('Hub Users 226'!A:A, MATCH(C1749, 'Hub Users 226'!B:B, 0)),"")</f>
        <v>1313</v>
      </c>
      <c r="H1749" s="28">
        <v>1059.0</v>
      </c>
      <c r="I1749" s="28" t="s">
        <v>407</v>
      </c>
      <c r="J1749" s="28"/>
      <c r="K1749" s="28"/>
      <c r="L1749" s="28" t="s">
        <v>5196</v>
      </c>
      <c r="M1749" s="56" t="s">
        <v>15647</v>
      </c>
      <c r="N1749" s="57">
        <v>44690.927777777775</v>
      </c>
      <c r="O1749" s="58">
        <v>39841.0</v>
      </c>
      <c r="P1749" s="28">
        <f t="shared" si="42"/>
        <v>17</v>
      </c>
      <c r="Q1749" s="28" t="s">
        <v>240</v>
      </c>
      <c r="R1749" s="28" t="s">
        <v>15648</v>
      </c>
      <c r="S1749" s="28">
        <v>14.0</v>
      </c>
      <c r="T1749" s="28">
        <v>13.0</v>
      </c>
      <c r="U1749" s="28">
        <v>35.0</v>
      </c>
      <c r="V1749" s="28">
        <v>21.0</v>
      </c>
      <c r="W1749" s="28" t="s">
        <v>1173</v>
      </c>
      <c r="X1749" s="28" t="s">
        <v>272</v>
      </c>
      <c r="Y1749" s="28" t="s">
        <v>15649</v>
      </c>
      <c r="Z1749" s="28" t="s">
        <v>5403</v>
      </c>
      <c r="AA1749" s="28" t="s">
        <v>5404</v>
      </c>
      <c r="AB1749" s="28">
        <v>21.0</v>
      </c>
      <c r="AC1749" s="28" t="s">
        <v>24</v>
      </c>
      <c r="AD1749" s="23"/>
      <c r="AE1749" s="28" t="s">
        <v>10</v>
      </c>
      <c r="AF1749" s="23"/>
      <c r="AG1749" s="23"/>
      <c r="AH1749" s="23" t="str">
        <f>IFERROR(__xludf.DUMMYFUNCTION("IF(
ISNUMBER(MATCH(
C1749,
IMPORTRANGE(""https://docs.google.com/spreadsheets/d/1yTh1ELC33JHYOeEdgIiEclxPRyh0zOKtlawDltfUay8"",""'Interns'!A:A""),
0
)),
""Outreach Conducted"",
"""")"),"")</f>
        <v/>
      </c>
      <c r="AI1749" s="23"/>
      <c r="AJ1749" s="23"/>
      <c r="AK1749" s="23" t="str">
        <f>IFERROR(__xludf.DUMMYFUNCTION("XLOOKUP(C1749, 
   IMPORTRANGE(""1RdEdgHYrZ33LJ7RUHj_h-qkAFL92bcVjtIdVa-UlsCw"", ""Interns!D:D""), 
   IMPORTRANGE(""1RdEdgHYrZ33LJ7RUHj_h-qkAFL92bcVjtIdVa-UlsCw"", ""Interns!M:M""), 
   ""Not Found"")"),"Contacted")</f>
        <v>Contacted</v>
      </c>
      <c r="AL1749" s="23" t="str">
        <f>IFERROR(__xludf.DUMMYFUNCTION("XLOOKUP(C1749, 
   IMPORTRANGE(""1RdEdgHYrZ33LJ7RUHj_h-qkAFL92bcVjtIdVa-UlsCw"", ""Interns!D:D""), 
   IMPORTRANGE(""1RdEdgHYrZ33LJ7RUHj_h-qkAFL92bcVjtIdVa-UlsCw"", ""Interns!N:N""), 
   ""Not Found"")"),"#Cheers4Careers")</f>
        <v>#Cheers4Careers</v>
      </c>
      <c r="AM1749" s="23" t="str">
        <f>IFERROR(__xludf.DUMMYFUNCTION("XLOOKUP(C1749, 
   IMPORTRANGE(""1RdEdgHYrZ33LJ7RUHj_h-qkAFL92bcVjtIdVa-UlsCw"", ""Interns!D:D""), 
   IMPORTRANGE(""1RdEdgHYrZ33LJ7RUHj_h-qkAFL92bcVjtIdVa-UlsCw"", ""Interns!O:O""), 
   ""Not Found"")"),"reached out by text 3/28 by Jackie
Leyli reached out on 4/10 by email for April 18th #Cheers4Careers")</f>
        <v>reached out by text 3/28 by Jackie
Leyli reached out on 4/10 by email for April 18th #Cheers4Careers</v>
      </c>
      <c r="AN1749" s="23"/>
      <c r="AO1749" s="23" t="s">
        <v>15650</v>
      </c>
      <c r="AP1749" s="28" t="s">
        <v>5182</v>
      </c>
      <c r="AQ1749" s="28"/>
      <c r="AR1749" s="23"/>
      <c r="AS1749" s="23"/>
      <c r="AT1749" s="23"/>
      <c r="AU1749" s="23"/>
      <c r="AV1749" s="23"/>
    </row>
    <row r="1750">
      <c r="A1750" s="28" t="s">
        <v>5161</v>
      </c>
      <c r="B1750" s="28" t="s">
        <v>5162</v>
      </c>
      <c r="C1750" s="23" t="str">
        <f t="shared" si="39"/>
        <v>Brandon Evans</v>
      </c>
      <c r="D1750" s="28" t="s">
        <v>12684</v>
      </c>
      <c r="E1750" s="28" t="s">
        <v>1323</v>
      </c>
      <c r="F1750" s="23">
        <f t="array" ref="F1750">IFERROR(
    INDEX('Hub Interns 226'!A:A, MATCH(C1750, 'Hub Interns 226'!B:B, 0)),"")</f>
        <v>302</v>
      </c>
      <c r="G1750" s="23">
        <f t="array" ref="G1750">IFERROR(
    INDEX('Hub Users 226'!A:A, MATCH(C1750, 'Hub Users 226'!B:B, 0)),"")</f>
        <v>735</v>
      </c>
      <c r="H1750" s="28">
        <v>447.0</v>
      </c>
      <c r="I1750" s="28" t="s">
        <v>269</v>
      </c>
      <c r="J1750" s="28"/>
      <c r="K1750" s="28"/>
      <c r="L1750" s="28" t="s">
        <v>5165</v>
      </c>
      <c r="M1750" s="56" t="s">
        <v>15651</v>
      </c>
      <c r="N1750" s="57">
        <v>44355.52916666667</v>
      </c>
      <c r="O1750" s="58">
        <v>38817.0</v>
      </c>
      <c r="P1750" s="28">
        <f t="shared" si="42"/>
        <v>20</v>
      </c>
      <c r="Q1750" s="28" t="s">
        <v>240</v>
      </c>
      <c r="R1750" s="28" t="s">
        <v>15652</v>
      </c>
      <c r="S1750" s="28"/>
      <c r="T1750" s="28"/>
      <c r="U1750" s="28"/>
      <c r="V1750" s="28"/>
      <c r="W1750" s="28" t="s">
        <v>12324</v>
      </c>
      <c r="X1750" s="28" t="s">
        <v>465</v>
      </c>
      <c r="Y1750" s="28" t="s">
        <v>15653</v>
      </c>
      <c r="Z1750" s="28" t="s">
        <v>12326</v>
      </c>
      <c r="AA1750" s="28" t="s">
        <v>12327</v>
      </c>
      <c r="AB1750" s="28" t="s">
        <v>12328</v>
      </c>
      <c r="AC1750" s="28" t="s">
        <v>24</v>
      </c>
      <c r="AD1750" s="23"/>
      <c r="AE1750" s="28" t="s">
        <v>10</v>
      </c>
      <c r="AF1750" s="23"/>
      <c r="AG1750" s="23"/>
      <c r="AH1750" s="23" t="str">
        <f>IFERROR(__xludf.DUMMYFUNCTION("IF(
ISNUMBER(MATCH(
C1750,
IMPORTRANGE(""https://docs.google.com/spreadsheets/d/1yTh1ELC33JHYOeEdgIiEclxPRyh0zOKtlawDltfUay8"",""'Interns'!A:A""),
0
)),
""Outreach Conducted"",
"""")"),"")</f>
        <v/>
      </c>
      <c r="AI1750" s="23"/>
      <c r="AJ1750" s="23"/>
      <c r="AK1750" s="23" t="str">
        <f>IFERROR(__xludf.DUMMYFUNCTION("XLOOKUP(C1750, 
   IMPORTRANGE(""1RdEdgHYrZ33LJ7RUHj_h-qkAFL92bcVjtIdVa-UlsCw"", ""Interns!D:D""), 
   IMPORTRANGE(""1RdEdgHYrZ33LJ7RUHj_h-qkAFL92bcVjtIdVa-UlsCw"", ""Interns!M:M""), 
   ""Not Found"")"),"")</f>
        <v/>
      </c>
      <c r="AL1750" s="23" t="str">
        <f>IFERROR(__xludf.DUMMYFUNCTION("XLOOKUP(C1750, 
   IMPORTRANGE(""1RdEdgHYrZ33LJ7RUHj_h-qkAFL92bcVjtIdVa-UlsCw"", ""Interns!D:D""), 
   IMPORTRANGE(""1RdEdgHYrZ33LJ7RUHj_h-qkAFL92bcVjtIdVa-UlsCw"", ""Interns!N:N""), 
   ""Not Found"")"),"")</f>
        <v/>
      </c>
      <c r="AM1750" s="23" t="str">
        <f>IFERROR(__xludf.DUMMYFUNCTION("XLOOKUP(C1750, 
   IMPORTRANGE(""1RdEdgHYrZ33LJ7RUHj_h-qkAFL92bcVjtIdVa-UlsCw"", ""Interns!D:D""), 
   IMPORTRANGE(""1RdEdgHYrZ33LJ7RUHj_h-qkAFL92bcVjtIdVa-UlsCw"", ""Interns!O:O""), 
   ""Not Found"")"),"")</f>
        <v/>
      </c>
      <c r="AN1750" s="23"/>
      <c r="AO1750" s="23" t="s">
        <v>15654</v>
      </c>
      <c r="AP1750" s="28" t="s">
        <v>5182</v>
      </c>
      <c r="AQ1750" s="28"/>
      <c r="AR1750" s="23"/>
      <c r="AS1750" s="23"/>
      <c r="AT1750" s="23"/>
      <c r="AU1750" s="23"/>
      <c r="AV1750" s="23"/>
    </row>
    <row r="1751">
      <c r="A1751" s="28" t="s">
        <v>5161</v>
      </c>
      <c r="B1751" s="28" t="s">
        <v>5162</v>
      </c>
      <c r="C1751" s="23" t="str">
        <f t="shared" si="39"/>
        <v>Izabella Marin</v>
      </c>
      <c r="D1751" s="28" t="s">
        <v>15655</v>
      </c>
      <c r="E1751" s="28" t="s">
        <v>15656</v>
      </c>
      <c r="F1751" s="23">
        <f t="array" ref="F1751">IFERROR(
    INDEX('Hub Interns 226'!A:A, MATCH(C1751, 'Hub Interns 226'!B:B, 0)),"")</f>
        <v>1767</v>
      </c>
      <c r="G1751" s="23">
        <f t="array" ref="G1751">IFERROR(
    INDEX('Hub Users 226'!A:A, MATCH(C1751, 'Hub Users 226'!B:B, 0)),"")</f>
        <v>2597</v>
      </c>
      <c r="H1751" s="28">
        <v>1669.0</v>
      </c>
      <c r="I1751" s="28" t="s">
        <v>239</v>
      </c>
      <c r="J1751" s="28"/>
      <c r="K1751" s="28"/>
      <c r="L1751" s="28" t="s">
        <v>5196</v>
      </c>
      <c r="M1751" s="56" t="s">
        <v>15657</v>
      </c>
      <c r="N1751" s="59">
        <v>45223.63263888889</v>
      </c>
      <c r="O1751" s="58">
        <v>41005.0</v>
      </c>
      <c r="P1751" s="28">
        <f t="shared" si="42"/>
        <v>14</v>
      </c>
      <c r="Q1751" s="28" t="s">
        <v>240</v>
      </c>
      <c r="R1751" s="28" t="s">
        <v>15658</v>
      </c>
      <c r="S1751" s="28"/>
      <c r="T1751" s="28"/>
      <c r="U1751" s="28"/>
      <c r="V1751" s="28"/>
      <c r="W1751" s="23"/>
      <c r="X1751" s="23"/>
      <c r="Y1751" s="28" t="s">
        <v>15659</v>
      </c>
      <c r="Z1751" s="28" t="s">
        <v>5170</v>
      </c>
      <c r="AA1751" s="28" t="s">
        <v>5171</v>
      </c>
      <c r="AB1751" s="28">
        <v>30.0</v>
      </c>
      <c r="AC1751" s="28" t="s">
        <v>23</v>
      </c>
      <c r="AD1751" s="23"/>
      <c r="AE1751" s="28" t="s">
        <v>18</v>
      </c>
      <c r="AF1751" s="23"/>
      <c r="AG1751" s="23"/>
      <c r="AH1751" s="23" t="str">
        <f>IFERROR(__xludf.DUMMYFUNCTION("IF(
ISNUMBER(MATCH(
C1751,
IMPORTRANGE(""https://docs.google.com/spreadsheets/d/1yTh1ELC33JHYOeEdgIiEclxPRyh0zOKtlawDltfUay8"",""'Interns'!A:A""),
0
)),
""Outreach Conducted"",
"""")"),"")</f>
        <v/>
      </c>
      <c r="AI1751" s="23"/>
      <c r="AJ1751" s="23"/>
      <c r="AK1751" s="23" t="str">
        <f>IFERROR(__xludf.DUMMYFUNCTION("XLOOKUP(C1751, 
   IMPORTRANGE(""1RdEdgHYrZ33LJ7RUHj_h-qkAFL92bcVjtIdVa-UlsCw"", ""Interns!D:D""), 
   IMPORTRANGE(""1RdEdgHYrZ33LJ7RUHj_h-qkAFL92bcVjtIdVa-UlsCw"", ""Interns!M:M""), 
   ""Not Found"")"),"Contacted")</f>
        <v>Contacted</v>
      </c>
      <c r="AL1751" s="23" t="str">
        <f>IFERROR(__xludf.DUMMYFUNCTION("XLOOKUP(C1751, 
   IMPORTRANGE(""1RdEdgHYrZ33LJ7RUHj_h-qkAFL92bcVjtIdVa-UlsCw"", ""Interns!D:D""), 
   IMPORTRANGE(""1RdEdgHYrZ33LJ7RUHj_h-qkAFL92bcVjtIdVa-UlsCw"", ""Interns!N:N""), 
   ""Not Found"")"),"#Cheers4Careers")</f>
        <v>#Cheers4Careers</v>
      </c>
      <c r="AM1751" s="23" t="str">
        <f>IFERROR(__xludf.DUMMYFUNCTION("XLOOKUP(C1751, 
   IMPORTRANGE(""1RdEdgHYrZ33LJ7RUHj_h-qkAFL92bcVjtIdVa-UlsCw"", ""Interns!D:D""), 
   IMPORTRANGE(""1RdEdgHYrZ33LJ7RUHj_h-qkAFL92bcVjtIdVa-UlsCw"", ""Interns!O:O""), 
   ""Not Found"")"),"Hetal reached out March 27 for March #Cheers4 Careers ")</f>
        <v>Hetal reached out March 27 for March #Cheers4 Careers </v>
      </c>
      <c r="AN1751" s="23"/>
      <c r="AO1751" s="23" t="s">
        <v>15660</v>
      </c>
      <c r="AP1751" s="28" t="s">
        <v>5182</v>
      </c>
      <c r="AQ1751" s="28"/>
      <c r="AR1751" s="23"/>
      <c r="AS1751" s="23"/>
      <c r="AT1751" s="23"/>
      <c r="AU1751" s="23"/>
      <c r="AV1751" s="23"/>
    </row>
    <row r="1752">
      <c r="A1752" s="28" t="s">
        <v>5161</v>
      </c>
      <c r="B1752" s="28" t="s">
        <v>5162</v>
      </c>
      <c r="C1752" s="23" t="str">
        <f t="shared" si="39"/>
        <v>Larry Josey</v>
      </c>
      <c r="D1752" s="28" t="s">
        <v>2058</v>
      </c>
      <c r="E1752" s="28" t="s">
        <v>15661</v>
      </c>
      <c r="F1752" s="23">
        <f t="array" ref="F1752">IFERROR(
    INDEX('Hub Interns 226'!A:A, MATCH(C1752, 'Hub Interns 226'!B:B, 0)),"")</f>
        <v>631</v>
      </c>
      <c r="G1752" s="23">
        <f t="array" ref="G1752">IFERROR(
    INDEX('Hub Users 226'!A:A, MATCH(C1752, 'Hub Users 226'!B:B, 0)),"")</f>
        <v>1064</v>
      </c>
      <c r="H1752" s="28">
        <v>1429.0</v>
      </c>
      <c r="I1752" s="28" t="s">
        <v>269</v>
      </c>
      <c r="J1752" s="28"/>
      <c r="K1752" s="28"/>
      <c r="L1752" s="28" t="s">
        <v>5165</v>
      </c>
      <c r="M1752" s="56" t="s">
        <v>15662</v>
      </c>
      <c r="N1752" s="57">
        <v>44869.47222222222</v>
      </c>
      <c r="O1752" s="58">
        <v>39410.0</v>
      </c>
      <c r="P1752" s="28">
        <f t="shared" si="42"/>
        <v>18</v>
      </c>
      <c r="Q1752" s="28" t="s">
        <v>240</v>
      </c>
      <c r="R1752" s="28" t="s">
        <v>15663</v>
      </c>
      <c r="S1752" s="28"/>
      <c r="T1752" s="28"/>
      <c r="U1752" s="28"/>
      <c r="V1752" s="28"/>
      <c r="W1752" s="23"/>
      <c r="X1752" s="23"/>
      <c r="Y1752" s="28" t="s">
        <v>15664</v>
      </c>
      <c r="Z1752" s="28" t="s">
        <v>5332</v>
      </c>
      <c r="AA1752" s="28" t="s">
        <v>421</v>
      </c>
      <c r="AB1752" s="28">
        <v>31.0</v>
      </c>
      <c r="AC1752" s="28" t="s">
        <v>23</v>
      </c>
      <c r="AD1752" s="23"/>
      <c r="AE1752" s="28" t="s">
        <v>15</v>
      </c>
      <c r="AF1752" s="23"/>
      <c r="AG1752" s="23"/>
      <c r="AH1752" s="23" t="str">
        <f>IFERROR(__xludf.DUMMYFUNCTION("IF(
ISNUMBER(MATCH(
C1752,
IMPORTRANGE(""https://docs.google.com/spreadsheets/d/1yTh1ELC33JHYOeEdgIiEclxPRyh0zOKtlawDltfUay8"",""'Interns'!A:A""),
0
)),
""Outreach Conducted"",
"""")"),"")</f>
        <v/>
      </c>
      <c r="AI1752" s="23"/>
      <c r="AJ1752" s="23"/>
      <c r="AK1752" s="23" t="str">
        <f>IFERROR(__xludf.DUMMYFUNCTION("XLOOKUP(C1752, 
   IMPORTRANGE(""1RdEdgHYrZ33LJ7RUHj_h-qkAFL92bcVjtIdVa-UlsCw"", ""Interns!D:D""), 
   IMPORTRANGE(""1RdEdgHYrZ33LJ7RUHj_h-qkAFL92bcVjtIdVa-UlsCw"", ""Interns!M:M""), 
   ""Not Found"")"),"Contacted")</f>
        <v>Contacted</v>
      </c>
      <c r="AL1752" s="23" t="str">
        <f>IFERROR(__xludf.DUMMYFUNCTION("XLOOKUP(C1752, 
   IMPORTRANGE(""1RdEdgHYrZ33LJ7RUHj_h-qkAFL92bcVjtIdVa-UlsCw"", ""Interns!D:D""), 
   IMPORTRANGE(""1RdEdgHYrZ33LJ7RUHj_h-qkAFL92bcVjtIdVa-UlsCw"", ""Interns!N:N""), 
   ""Not Found"")"),"#Cheers4Careers")</f>
        <v>#Cheers4Careers</v>
      </c>
      <c r="AM1752" s="23" t="str">
        <f>IFERROR(__xludf.DUMMYFUNCTION("XLOOKUP(C1752, 
   IMPORTRANGE(""1RdEdgHYrZ33LJ7RUHj_h-qkAFL92bcVjtIdVa-UlsCw"", ""Interns!D:D""), 
   IMPORTRANGE(""1RdEdgHYrZ33LJ7RUHj_h-qkAFL92bcVjtIdVa-UlsCw"", ""Interns!O:O""), 
   ""Not Found"")"),"Hetal reached out March 27 for March #Cheers4 Careers ")</f>
        <v>Hetal reached out March 27 for March #Cheers4 Careers </v>
      </c>
      <c r="AN1752" s="23"/>
      <c r="AO1752" s="23" t="s">
        <v>15665</v>
      </c>
      <c r="AP1752" s="28" t="s">
        <v>5182</v>
      </c>
      <c r="AQ1752" s="28"/>
      <c r="AR1752" s="23"/>
      <c r="AS1752" s="23"/>
      <c r="AT1752" s="23"/>
      <c r="AU1752" s="23"/>
      <c r="AV1752" s="23"/>
    </row>
    <row r="1753">
      <c r="A1753" s="28" t="s">
        <v>5161</v>
      </c>
      <c r="B1753" s="28" t="s">
        <v>5162</v>
      </c>
      <c r="C1753" s="23" t="str">
        <f t="shared" si="39"/>
        <v>Karma Tsering</v>
      </c>
      <c r="D1753" s="28" t="s">
        <v>15666</v>
      </c>
      <c r="E1753" s="28" t="s">
        <v>15667</v>
      </c>
      <c r="F1753" s="23" t="str">
        <f t="array" ref="F1753">IFERROR(
    INDEX('Hub Interns 226'!A:A, MATCH(C1753, 'Hub Interns 226'!B:B, 0)),"")</f>
        <v/>
      </c>
      <c r="G1753" s="28">
        <v>1858.0</v>
      </c>
      <c r="H1753" s="28">
        <v>1682.0</v>
      </c>
      <c r="I1753" s="28" t="s">
        <v>269</v>
      </c>
      <c r="J1753" s="28"/>
      <c r="K1753" s="28"/>
      <c r="L1753" s="28" t="s">
        <v>5165</v>
      </c>
      <c r="M1753" s="56" t="s">
        <v>15668</v>
      </c>
      <c r="N1753" s="59">
        <v>45245.4125</v>
      </c>
      <c r="O1753" s="58">
        <v>41003.0</v>
      </c>
      <c r="P1753" s="28">
        <f t="shared" si="42"/>
        <v>14</v>
      </c>
      <c r="Q1753" s="28" t="s">
        <v>240</v>
      </c>
      <c r="R1753" s="28" t="s">
        <v>15669</v>
      </c>
      <c r="S1753" s="28"/>
      <c r="T1753" s="28"/>
      <c r="U1753" s="28"/>
      <c r="V1753" s="28"/>
      <c r="W1753" s="23"/>
      <c r="X1753" s="23"/>
      <c r="Y1753" s="28" t="s">
        <v>15670</v>
      </c>
      <c r="Z1753" s="28" t="s">
        <v>5170</v>
      </c>
      <c r="AA1753" s="28" t="s">
        <v>5171</v>
      </c>
      <c r="AB1753" s="28">
        <v>30.0</v>
      </c>
      <c r="AC1753" s="28" t="s">
        <v>23</v>
      </c>
      <c r="AD1753" s="23"/>
      <c r="AE1753" s="28" t="s">
        <v>18</v>
      </c>
      <c r="AF1753" s="23"/>
      <c r="AG1753" s="23"/>
      <c r="AH1753" s="23" t="str">
        <f>IFERROR(__xludf.DUMMYFUNCTION("IF(
ISNUMBER(MATCH(
C1753,
IMPORTRANGE(""https://docs.google.com/spreadsheets/d/1yTh1ELC33JHYOeEdgIiEclxPRyh0zOKtlawDltfUay8"",""'Interns'!A:A""),
0
)),
""Outreach Conducted"",
"""")"),"")</f>
        <v/>
      </c>
      <c r="AI1753" s="23"/>
      <c r="AJ1753" s="23"/>
      <c r="AK1753" s="23" t="str">
        <f>IFERROR(__xludf.DUMMYFUNCTION("XLOOKUP(C1753, 
   IMPORTRANGE(""1RdEdgHYrZ33LJ7RUHj_h-qkAFL92bcVjtIdVa-UlsCw"", ""Interns!D:D""), 
   IMPORTRANGE(""1RdEdgHYrZ33LJ7RUHj_h-qkAFL92bcVjtIdVa-UlsCw"", ""Interns!M:M""), 
   ""Not Found"")"),"Contacted")</f>
        <v>Contacted</v>
      </c>
      <c r="AL1753" s="23" t="str">
        <f>IFERROR(__xludf.DUMMYFUNCTION("XLOOKUP(C1753, 
   IMPORTRANGE(""1RdEdgHYrZ33LJ7RUHj_h-qkAFL92bcVjtIdVa-UlsCw"", ""Interns!D:D""), 
   IMPORTRANGE(""1RdEdgHYrZ33LJ7RUHj_h-qkAFL92bcVjtIdVa-UlsCw"", ""Interns!N:N""), 
   ""Not Found"")"),"#Cheers4Careers")</f>
        <v>#Cheers4Careers</v>
      </c>
      <c r="AM1753" s="23" t="str">
        <f>IFERROR(__xludf.DUMMYFUNCTION("XLOOKUP(C1753,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753" s="23"/>
      <c r="AO1753" s="23" t="s">
        <v>15671</v>
      </c>
      <c r="AP1753" s="28" t="s">
        <v>5182</v>
      </c>
      <c r="AQ1753" s="28"/>
      <c r="AR1753" s="23"/>
      <c r="AS1753" s="23"/>
      <c r="AT1753" s="23"/>
      <c r="AU1753" s="23"/>
      <c r="AV1753" s="23"/>
    </row>
    <row r="1754">
      <c r="A1754" s="28" t="s">
        <v>5161</v>
      </c>
      <c r="B1754" s="28" t="s">
        <v>5162</v>
      </c>
      <c r="C1754" s="23" t="str">
        <f t="shared" si="39"/>
        <v>Jaden Cuatianquiz</v>
      </c>
      <c r="D1754" s="28" t="s">
        <v>15672</v>
      </c>
      <c r="E1754" s="28" t="s">
        <v>15673</v>
      </c>
      <c r="F1754" s="23">
        <f t="array" ref="F1754">IFERROR(
    INDEX('Hub Interns 226'!A:A, MATCH(C1754, 'Hub Interns 226'!B:B, 0)),"")</f>
        <v>618</v>
      </c>
      <c r="G1754" s="23">
        <f t="array" ref="G1754">IFERROR(
    INDEX('Hub Users 226'!A:A, MATCH(C1754, 'Hub Users 226'!B:B, 0)),"")</f>
        <v>1051</v>
      </c>
      <c r="H1754" s="28">
        <v>1046.0</v>
      </c>
      <c r="I1754" s="28" t="s">
        <v>239</v>
      </c>
      <c r="J1754" s="28"/>
      <c r="K1754" s="28"/>
      <c r="L1754" s="28" t="s">
        <v>5165</v>
      </c>
      <c r="M1754" s="56" t="s">
        <v>15674</v>
      </c>
      <c r="N1754" s="57">
        <v>44684.441666666666</v>
      </c>
      <c r="O1754" s="58">
        <v>39545.0</v>
      </c>
      <c r="P1754" s="28">
        <f t="shared" si="42"/>
        <v>18</v>
      </c>
      <c r="Q1754" s="28" t="s">
        <v>240</v>
      </c>
      <c r="R1754" s="28" t="s">
        <v>15675</v>
      </c>
      <c r="S1754" s="28"/>
      <c r="T1754" s="28"/>
      <c r="U1754" s="28"/>
      <c r="V1754" s="28"/>
      <c r="W1754" s="28" t="s">
        <v>1173</v>
      </c>
      <c r="X1754" s="28" t="s">
        <v>272</v>
      </c>
      <c r="Y1754" s="28" t="s">
        <v>15676</v>
      </c>
      <c r="Z1754" s="28" t="s">
        <v>5170</v>
      </c>
      <c r="AA1754" s="28" t="s">
        <v>5171</v>
      </c>
      <c r="AB1754" s="28">
        <v>30.0</v>
      </c>
      <c r="AC1754" s="28" t="s">
        <v>24</v>
      </c>
      <c r="AD1754" s="23"/>
      <c r="AE1754" s="28" t="s">
        <v>10</v>
      </c>
      <c r="AF1754" s="23"/>
      <c r="AG1754" s="23"/>
      <c r="AH1754" s="23" t="str">
        <f>IFERROR(__xludf.DUMMYFUNCTION("IF(
ISNUMBER(MATCH(
C1754,
IMPORTRANGE(""https://docs.google.com/spreadsheets/d/1yTh1ELC33JHYOeEdgIiEclxPRyh0zOKtlawDltfUay8"",""'Interns'!A:A""),
0
)),
""Outreach Conducted"",
"""")"),"")</f>
        <v/>
      </c>
      <c r="AI1754" s="23"/>
      <c r="AJ1754" s="23"/>
      <c r="AK1754" s="23" t="str">
        <f>IFERROR(__xludf.DUMMYFUNCTION("XLOOKUP(C1754, 
   IMPORTRANGE(""1RdEdgHYrZ33LJ7RUHj_h-qkAFL92bcVjtIdVa-UlsCw"", ""Interns!D:D""), 
   IMPORTRANGE(""1RdEdgHYrZ33LJ7RUHj_h-qkAFL92bcVjtIdVa-UlsCw"", ""Interns!M:M""), 
   ""Not Found"")"),"Contacted")</f>
        <v>Contacted</v>
      </c>
      <c r="AL1754" s="23" t="str">
        <f>IFERROR(__xludf.DUMMYFUNCTION("XLOOKUP(C1754, 
   IMPORTRANGE(""1RdEdgHYrZ33LJ7RUHj_h-qkAFL92bcVjtIdVa-UlsCw"", ""Interns!D:D""), 
   IMPORTRANGE(""1RdEdgHYrZ33LJ7RUHj_h-qkAFL92bcVjtIdVa-UlsCw"", ""Interns!N:N""), 
   ""Not Found"")"),"#Cheers4Careers")</f>
        <v>#Cheers4Careers</v>
      </c>
      <c r="AM1754" s="23" t="str">
        <f>IFERROR(__xludf.DUMMYFUNCTION("XLOOKUP(C1754, 
   IMPORTRANGE(""1RdEdgHYrZ33LJ7RUHj_h-qkAFL92bcVjtIdVa-UlsCw"", ""Interns!D:D""), 
   IMPORTRANGE(""1RdEdgHYrZ33LJ7RUHj_h-qkAFL92bcVjtIdVa-UlsCw"", ""Interns!O:O""), 
   ""Not Found"")"),"Hetal reached out March 27 for March #Cheers4 Careers ")</f>
        <v>Hetal reached out March 27 for March #Cheers4 Careers </v>
      </c>
      <c r="AN1754" s="23"/>
      <c r="AO1754" s="23" t="s">
        <v>15677</v>
      </c>
      <c r="AP1754" s="28" t="s">
        <v>5182</v>
      </c>
      <c r="AQ1754" s="28"/>
      <c r="AR1754" s="23"/>
      <c r="AS1754" s="23"/>
      <c r="AT1754" s="23"/>
      <c r="AU1754" s="23"/>
      <c r="AV1754" s="23"/>
    </row>
    <row r="1755">
      <c r="A1755" s="28" t="s">
        <v>5202</v>
      </c>
      <c r="B1755" s="28" t="s">
        <v>5162</v>
      </c>
      <c r="C1755" s="23" t="str">
        <f t="shared" si="39"/>
        <v>Devon Burgos</v>
      </c>
      <c r="D1755" s="28" t="s">
        <v>15678</v>
      </c>
      <c r="E1755" s="28" t="s">
        <v>15679</v>
      </c>
      <c r="F1755" s="23">
        <f t="array" ref="F1755">IFERROR(
    INDEX('Hub Interns 226'!A:A, MATCH(C1755, 'Hub Interns 226'!B:B, 0)),"")</f>
        <v>427</v>
      </c>
      <c r="G1755" s="23">
        <f t="array" ref="G1755">IFERROR(
    INDEX('Hub Users 226'!A:A, MATCH(C1755, 'Hub Users 226'!B:B, 0)),"")</f>
        <v>860</v>
      </c>
      <c r="H1755" s="28">
        <v>774.0</v>
      </c>
      <c r="I1755" s="28" t="s">
        <v>417</v>
      </c>
      <c r="J1755" s="28"/>
      <c r="K1755" s="28"/>
      <c r="L1755" s="28" t="s">
        <v>5165</v>
      </c>
      <c r="M1755" s="56" t="s">
        <v>15680</v>
      </c>
      <c r="N1755" s="59">
        <v>44553.384722222225</v>
      </c>
      <c r="O1755" s="58">
        <v>38660.0</v>
      </c>
      <c r="P1755" s="28">
        <f t="shared" si="42"/>
        <v>20</v>
      </c>
      <c r="Q1755" s="28" t="s">
        <v>240</v>
      </c>
      <c r="R1755" s="28" t="s">
        <v>15681</v>
      </c>
      <c r="S1755" s="28">
        <v>5.0</v>
      </c>
      <c r="T1755" s="28">
        <v>14.0</v>
      </c>
      <c r="U1755" s="28">
        <v>33.0</v>
      </c>
      <c r="V1755" s="28">
        <v>27.0</v>
      </c>
      <c r="W1755" s="28" t="s">
        <v>1173</v>
      </c>
      <c r="X1755" s="28" t="s">
        <v>272</v>
      </c>
      <c r="Y1755" s="28" t="s">
        <v>15682</v>
      </c>
      <c r="Z1755" s="28" t="s">
        <v>5332</v>
      </c>
      <c r="AA1755" s="28" t="s">
        <v>421</v>
      </c>
      <c r="AB1755" s="28">
        <v>31.0</v>
      </c>
      <c r="AC1755" s="28" t="s">
        <v>24</v>
      </c>
      <c r="AD1755" s="23"/>
      <c r="AE1755" s="28" t="s">
        <v>10</v>
      </c>
      <c r="AF1755" s="23"/>
      <c r="AG1755" s="23"/>
      <c r="AH1755" s="23" t="str">
        <f>IFERROR(__xludf.DUMMYFUNCTION("IF(
ISNUMBER(MATCH(
C1755,
IMPORTRANGE(""https://docs.google.com/spreadsheets/d/1yTh1ELC33JHYOeEdgIiEclxPRyh0zOKtlawDltfUay8"",""'Interns'!A:A""),
0
)),
""Outreach Conducted"",
"""")"),"")</f>
        <v/>
      </c>
      <c r="AI1755" s="23"/>
      <c r="AJ1755" s="23"/>
      <c r="AK1755" s="23" t="str">
        <f>IFERROR(__xludf.DUMMYFUNCTION("XLOOKUP(C1755, 
   IMPORTRANGE(""1RdEdgHYrZ33LJ7RUHj_h-qkAFL92bcVjtIdVa-UlsCw"", ""Interns!D:D""), 
   IMPORTRANGE(""1RdEdgHYrZ33LJ7RUHj_h-qkAFL92bcVjtIdVa-UlsCw"", ""Interns!M:M""), 
   ""Not Found"")"),"")</f>
        <v/>
      </c>
      <c r="AL1755" s="23" t="str">
        <f>IFERROR(__xludf.DUMMYFUNCTION("XLOOKUP(C1755, 
   IMPORTRANGE(""1RdEdgHYrZ33LJ7RUHj_h-qkAFL92bcVjtIdVa-UlsCw"", ""Interns!D:D""), 
   IMPORTRANGE(""1RdEdgHYrZ33LJ7RUHj_h-qkAFL92bcVjtIdVa-UlsCw"", ""Interns!N:N""), 
   ""Not Found"")"),"")</f>
        <v/>
      </c>
      <c r="AM1755" s="23" t="str">
        <f>IFERROR(__xludf.DUMMYFUNCTION("XLOOKUP(C1755, 
   IMPORTRANGE(""1RdEdgHYrZ33LJ7RUHj_h-qkAFL92bcVjtIdVa-UlsCw"", ""Interns!D:D""), 
   IMPORTRANGE(""1RdEdgHYrZ33LJ7RUHj_h-qkAFL92bcVjtIdVa-UlsCw"", ""Interns!O:O""), 
   ""Not Found"")"),"")</f>
        <v/>
      </c>
      <c r="AN1755" s="23"/>
      <c r="AO1755" s="23" t="s">
        <v>15683</v>
      </c>
      <c r="AP1755" s="28" t="s">
        <v>5182</v>
      </c>
      <c r="AQ1755" s="28"/>
      <c r="AR1755" s="23"/>
      <c r="AS1755" s="23"/>
      <c r="AT1755" s="23"/>
      <c r="AU1755" s="23"/>
      <c r="AV1755" s="23"/>
    </row>
    <row r="1756">
      <c r="A1756" s="28" t="s">
        <v>5161</v>
      </c>
      <c r="B1756" s="28" t="s">
        <v>31</v>
      </c>
      <c r="C1756" s="23" t="str">
        <f t="shared" si="39"/>
        <v>Toure. Drame</v>
      </c>
      <c r="D1756" s="28" t="s">
        <v>15684</v>
      </c>
      <c r="E1756" s="28" t="s">
        <v>10501</v>
      </c>
      <c r="F1756" s="23">
        <f t="array" ref="F1756">IFERROR(
    INDEX('Hub Interns 226'!A:A, MATCH("Toure Drame", 'Hub Interns 226'!B:B, 0)),"")</f>
        <v>1152</v>
      </c>
      <c r="G1756" s="23">
        <f t="array" ref="G1756">IFERROR(
    INDEX('Hub Users 226'!A:A, MATCH("Toure Drame", 'Hub Users 226'!B:B, 0)),"")</f>
        <v>1585</v>
      </c>
      <c r="H1756" s="28">
        <v>403.0</v>
      </c>
      <c r="I1756" s="28" t="s">
        <v>260</v>
      </c>
      <c r="J1756" s="28"/>
      <c r="K1756" s="28"/>
      <c r="L1756" s="28" t="s">
        <v>5196</v>
      </c>
      <c r="M1756" s="56" t="s">
        <v>13632</v>
      </c>
      <c r="N1756" s="57">
        <v>44299.79791666667</v>
      </c>
      <c r="O1756" s="58">
        <v>37600.0</v>
      </c>
      <c r="P1756" s="28">
        <f t="shared" si="42"/>
        <v>23</v>
      </c>
      <c r="Q1756" s="28" t="s">
        <v>240</v>
      </c>
      <c r="R1756" s="28" t="s">
        <v>15685</v>
      </c>
      <c r="S1756" s="28"/>
      <c r="T1756" s="28"/>
      <c r="U1756" s="28"/>
      <c r="V1756" s="28"/>
      <c r="W1756" s="28" t="s">
        <v>859</v>
      </c>
      <c r="X1756" s="28" t="s">
        <v>272</v>
      </c>
      <c r="Y1756" s="28" t="s">
        <v>15686</v>
      </c>
      <c r="Z1756" s="28" t="s">
        <v>5435</v>
      </c>
      <c r="AA1756" s="28" t="s">
        <v>7761</v>
      </c>
      <c r="AB1756" s="28">
        <v>10.0</v>
      </c>
      <c r="AC1756" s="28" t="s">
        <v>24</v>
      </c>
      <c r="AD1756" s="23"/>
      <c r="AE1756" s="28" t="s">
        <v>8</v>
      </c>
      <c r="AF1756" s="23"/>
      <c r="AG1756" s="23"/>
      <c r="AH1756" s="23" t="str">
        <f>IFERROR(__xludf.DUMMYFUNCTION("IF(
ISNUMBER(MATCH(
C1756,
IMPORTRANGE(""https://docs.google.com/spreadsheets/d/1yTh1ELC33JHYOeEdgIiEclxPRyh0zOKtlawDltfUay8"",""'Interns'!A:A""),
0
)),
""Outreach Conducted"",
"""")"),"")</f>
        <v/>
      </c>
      <c r="AI1756" s="23"/>
      <c r="AJ1756" s="23"/>
      <c r="AK1756" s="23" t="str">
        <f>IFERROR(__xludf.DUMMYFUNCTION("XLOOKUP(C1756, 
   IMPORTRANGE(""1RdEdgHYrZ33LJ7RUHj_h-qkAFL92bcVjtIdVa-UlsCw"", ""Interns!D:D""), 
   IMPORTRANGE(""1RdEdgHYrZ33LJ7RUHj_h-qkAFL92bcVjtIdVa-UlsCw"", ""Interns!M:M""), 
   ""Not Found"")"),"")</f>
        <v/>
      </c>
      <c r="AL1756" s="23" t="str">
        <f>IFERROR(__xludf.DUMMYFUNCTION("XLOOKUP(C1756, 
   IMPORTRANGE(""1RdEdgHYrZ33LJ7RUHj_h-qkAFL92bcVjtIdVa-UlsCw"", ""Interns!D:D""), 
   IMPORTRANGE(""1RdEdgHYrZ33LJ7RUHj_h-qkAFL92bcVjtIdVa-UlsCw"", ""Interns!N:N""), 
   ""Not Found"")"),"")</f>
        <v/>
      </c>
      <c r="AM1756" s="23" t="str">
        <f>IFERROR(__xludf.DUMMYFUNCTION("XLOOKUP(C1756, 
   IMPORTRANGE(""1RdEdgHYrZ33LJ7RUHj_h-qkAFL92bcVjtIdVa-UlsCw"", ""Interns!D:D""), 
   IMPORTRANGE(""1RdEdgHYrZ33LJ7RUHj_h-qkAFL92bcVjtIdVa-UlsCw"", ""Interns!O:O""), 
   ""Not Found"")"),"")</f>
        <v/>
      </c>
      <c r="AN1756" s="23"/>
      <c r="AO1756" s="23" t="s">
        <v>15687</v>
      </c>
      <c r="AP1756" s="28" t="s">
        <v>5182</v>
      </c>
      <c r="AQ1756" s="28"/>
      <c r="AR1756" s="23"/>
      <c r="AS1756" s="23"/>
      <c r="AT1756" s="23"/>
      <c r="AU1756" s="23"/>
      <c r="AV1756" s="23"/>
    </row>
    <row r="1757">
      <c r="A1757" s="28" t="s">
        <v>5202</v>
      </c>
      <c r="B1757" s="28" t="s">
        <v>5162</v>
      </c>
      <c r="C1757" s="23" t="str">
        <f t="shared" si="39"/>
        <v>Hannah </v>
      </c>
      <c r="D1757" s="28" t="s">
        <v>11178</v>
      </c>
      <c r="E1757" s="23"/>
      <c r="F1757" s="28">
        <v>563.0</v>
      </c>
      <c r="G1757" s="28">
        <v>996.0</v>
      </c>
      <c r="H1757" s="28">
        <v>227.0</v>
      </c>
      <c r="I1757" s="28" t="s">
        <v>407</v>
      </c>
      <c r="J1757" s="28"/>
      <c r="K1757" s="28"/>
      <c r="L1757" s="28" t="s">
        <v>5196</v>
      </c>
      <c r="M1757" s="56" t="s">
        <v>15688</v>
      </c>
      <c r="N1757" s="59">
        <v>44123.51736111111</v>
      </c>
      <c r="O1757" s="58"/>
      <c r="P1757" s="28">
        <f t="shared" si="42"/>
        <v>126</v>
      </c>
      <c r="Q1757" s="28" t="s">
        <v>240</v>
      </c>
      <c r="R1757" s="28" t="s">
        <v>15689</v>
      </c>
      <c r="S1757" s="28"/>
      <c r="T1757" s="28"/>
      <c r="U1757" s="28"/>
      <c r="V1757" s="28"/>
      <c r="W1757" s="28" t="s">
        <v>12324</v>
      </c>
      <c r="X1757" s="28" t="s">
        <v>465</v>
      </c>
      <c r="Y1757" s="28">
        <v>2.109529072E9</v>
      </c>
      <c r="Z1757" s="28" t="s">
        <v>12326</v>
      </c>
      <c r="AA1757" s="28" t="s">
        <v>12327</v>
      </c>
      <c r="AB1757" s="28" t="s">
        <v>12328</v>
      </c>
      <c r="AC1757" s="28" t="s">
        <v>24</v>
      </c>
      <c r="AD1757" s="23"/>
      <c r="AE1757" s="28" t="s">
        <v>8</v>
      </c>
      <c r="AF1757" s="23"/>
      <c r="AG1757" s="23"/>
      <c r="AH1757" s="23" t="str">
        <f>IFERROR(__xludf.DUMMYFUNCTION("IF(
ISNUMBER(MATCH(
C1757,
IMPORTRANGE(""https://docs.google.com/spreadsheets/d/1yTh1ELC33JHYOeEdgIiEclxPRyh0zOKtlawDltfUay8"",""'Interns'!A:A""),
0
)),
""Outreach Conducted"",
"""")"),"")</f>
        <v/>
      </c>
      <c r="AI1757" s="23"/>
      <c r="AJ1757" s="23"/>
      <c r="AK1757" s="23" t="str">
        <f>IFERROR(__xludf.DUMMYFUNCTION("XLOOKUP(C1757, 
   IMPORTRANGE(""1RdEdgHYrZ33LJ7RUHj_h-qkAFL92bcVjtIdVa-UlsCw"", ""Interns!D:D""), 
   IMPORTRANGE(""1RdEdgHYrZ33LJ7RUHj_h-qkAFL92bcVjtIdVa-UlsCw"", ""Interns!M:M""), 
   ""Not Found"")"),"")</f>
        <v/>
      </c>
      <c r="AL1757" s="23" t="str">
        <f>IFERROR(__xludf.DUMMYFUNCTION("XLOOKUP(C1757, 
   IMPORTRANGE(""1RdEdgHYrZ33LJ7RUHj_h-qkAFL92bcVjtIdVa-UlsCw"", ""Interns!D:D""), 
   IMPORTRANGE(""1RdEdgHYrZ33LJ7RUHj_h-qkAFL92bcVjtIdVa-UlsCw"", ""Interns!N:N""), 
   ""Not Found"")"),"")</f>
        <v/>
      </c>
      <c r="AM1757" s="23" t="str">
        <f>IFERROR(__xludf.DUMMYFUNCTION("XLOOKUP(C1757, 
   IMPORTRANGE(""1RdEdgHYrZ33LJ7RUHj_h-qkAFL92bcVjtIdVa-UlsCw"", ""Interns!D:D""), 
   IMPORTRANGE(""1RdEdgHYrZ33LJ7RUHj_h-qkAFL92bcVjtIdVa-UlsCw"", ""Interns!O:O""), 
   ""Not Found"")"),"")</f>
        <v/>
      </c>
      <c r="AN1757" s="23"/>
      <c r="AO1757" s="23"/>
      <c r="AP1757" s="28"/>
      <c r="AQ1757" s="28"/>
      <c r="AR1757" s="23"/>
      <c r="AS1757" s="23"/>
      <c r="AT1757" s="23"/>
      <c r="AU1757" s="23"/>
      <c r="AV1757" s="23"/>
    </row>
    <row r="1758">
      <c r="A1758" s="28" t="s">
        <v>5202</v>
      </c>
      <c r="B1758" s="28" t="s">
        <v>5162</v>
      </c>
      <c r="C1758" s="23" t="str">
        <f t="shared" si="39"/>
        <v>Kaylin Sotelo</v>
      </c>
      <c r="D1758" s="28" t="s">
        <v>15345</v>
      </c>
      <c r="E1758" s="28" t="s">
        <v>15690</v>
      </c>
      <c r="F1758" s="23" t="str">
        <f t="array" ref="F1758">IFERROR(
    INDEX('Hub Interns 226'!A:A, MATCH(C1758, 'Hub Interns 226'!B:B, 0)),"")</f>
        <v/>
      </c>
      <c r="G1758" s="23" t="str">
        <f t="array" ref="G1758">IFERROR(
    INDEX('Hub Users 226'!A:A, MATCH(C1758, 'Hub Users 226'!B:B, 0)),"")</f>
        <v/>
      </c>
      <c r="H1758" s="28">
        <v>404.0</v>
      </c>
      <c r="I1758" s="28" t="s">
        <v>407</v>
      </c>
      <c r="J1758" s="28"/>
      <c r="K1758" s="28"/>
      <c r="L1758" s="28" t="s">
        <v>5196</v>
      </c>
      <c r="M1758" s="56" t="s">
        <v>15688</v>
      </c>
      <c r="N1758" s="57">
        <v>44299.86319444444</v>
      </c>
      <c r="O1758" s="58"/>
      <c r="P1758" s="28">
        <f t="shared" si="42"/>
        <v>126</v>
      </c>
      <c r="Q1758" s="28" t="s">
        <v>240</v>
      </c>
      <c r="R1758" s="28" t="s">
        <v>15689</v>
      </c>
      <c r="S1758" s="28"/>
      <c r="T1758" s="28"/>
      <c r="U1758" s="28"/>
      <c r="V1758" s="28"/>
      <c r="W1758" s="28" t="s">
        <v>12324</v>
      </c>
      <c r="X1758" s="28" t="s">
        <v>465</v>
      </c>
      <c r="Y1758" s="28" t="s">
        <v>15691</v>
      </c>
      <c r="Z1758" s="28" t="s">
        <v>12326</v>
      </c>
      <c r="AA1758" s="28" t="s">
        <v>12327</v>
      </c>
      <c r="AB1758" s="28" t="s">
        <v>12328</v>
      </c>
      <c r="AC1758" s="28" t="s">
        <v>24</v>
      </c>
      <c r="AD1758" s="23"/>
      <c r="AE1758" s="28" t="s">
        <v>8</v>
      </c>
      <c r="AF1758" s="23"/>
      <c r="AG1758" s="23"/>
      <c r="AH1758" s="23" t="str">
        <f>IFERROR(__xludf.DUMMYFUNCTION("IF(
ISNUMBER(MATCH(
C1758,
IMPORTRANGE(""https://docs.google.com/spreadsheets/d/1yTh1ELC33JHYOeEdgIiEclxPRyh0zOKtlawDltfUay8"",""'Interns'!A:A""),
0
)),
""Outreach Conducted"",
"""")"),"")</f>
        <v/>
      </c>
      <c r="AI1758" s="23"/>
      <c r="AJ1758" s="23"/>
      <c r="AK1758" s="23" t="str">
        <f>IFERROR(__xludf.DUMMYFUNCTION("XLOOKUP(C1758, 
   IMPORTRANGE(""1RdEdgHYrZ33LJ7RUHj_h-qkAFL92bcVjtIdVa-UlsCw"", ""Interns!D:D""), 
   IMPORTRANGE(""1RdEdgHYrZ33LJ7RUHj_h-qkAFL92bcVjtIdVa-UlsCw"", ""Interns!M:M""), 
   ""Not Found"")"),"")</f>
        <v/>
      </c>
      <c r="AL1758" s="23" t="str">
        <f>IFERROR(__xludf.DUMMYFUNCTION("XLOOKUP(C1758, 
   IMPORTRANGE(""1RdEdgHYrZ33LJ7RUHj_h-qkAFL92bcVjtIdVa-UlsCw"", ""Interns!D:D""), 
   IMPORTRANGE(""1RdEdgHYrZ33LJ7RUHj_h-qkAFL92bcVjtIdVa-UlsCw"", ""Interns!N:N""), 
   ""Not Found"")"),"")</f>
        <v/>
      </c>
      <c r="AM1758" s="23" t="str">
        <f>IFERROR(__xludf.DUMMYFUNCTION("XLOOKUP(C1758, 
   IMPORTRANGE(""1RdEdgHYrZ33LJ7RUHj_h-qkAFL92bcVjtIdVa-UlsCw"", ""Interns!D:D""), 
   IMPORTRANGE(""1RdEdgHYrZ33LJ7RUHj_h-qkAFL92bcVjtIdVa-UlsCw"", ""Interns!O:O""), 
   ""Not Found"")"),"")</f>
        <v/>
      </c>
      <c r="AN1758" s="23"/>
      <c r="AO1758" s="23"/>
      <c r="AP1758" s="28"/>
      <c r="AQ1758" s="28"/>
      <c r="AR1758" s="23"/>
      <c r="AS1758" s="23"/>
      <c r="AT1758" s="23"/>
      <c r="AU1758" s="23"/>
      <c r="AV1758" s="23"/>
    </row>
    <row r="1759">
      <c r="A1759" s="28" t="s">
        <v>5202</v>
      </c>
      <c r="B1759" s="28" t="s">
        <v>5162</v>
      </c>
      <c r="C1759" s="23" t="str">
        <f t="shared" si="39"/>
        <v>Raymound Sanchez</v>
      </c>
      <c r="D1759" s="28" t="s">
        <v>15022</v>
      </c>
      <c r="E1759" s="28" t="s">
        <v>6853</v>
      </c>
      <c r="F1759" s="23">
        <f t="array" ref="F1759">IFERROR(
    INDEX('Hub Interns 226'!A:A, MATCH(C1759, 'Hub Interns 226'!B:B, 0)),"")</f>
        <v>1021</v>
      </c>
      <c r="G1759" s="23">
        <f t="array" ref="G1759">IFERROR(
    INDEX('Hub Users 226'!A:A, MATCH(C1759, 'Hub Users 226'!B:B, 0)),"")</f>
        <v>1454</v>
      </c>
      <c r="H1759" s="28">
        <v>1091.0</v>
      </c>
      <c r="I1759" s="28"/>
      <c r="J1759" s="28"/>
      <c r="K1759" s="28"/>
      <c r="L1759" s="28" t="s">
        <v>5165</v>
      </c>
      <c r="M1759" s="56" t="s">
        <v>15023</v>
      </c>
      <c r="N1759" s="57">
        <v>44705.64375</v>
      </c>
      <c r="O1759" s="58">
        <v>40039.0</v>
      </c>
      <c r="P1759" s="28">
        <f t="shared" si="42"/>
        <v>16</v>
      </c>
      <c r="Q1759" s="28" t="s">
        <v>240</v>
      </c>
      <c r="R1759" s="28" t="s">
        <v>15024</v>
      </c>
      <c r="S1759" s="28"/>
      <c r="T1759" s="28"/>
      <c r="U1759" s="28"/>
      <c r="V1759" s="28"/>
      <c r="W1759" s="28" t="s">
        <v>1173</v>
      </c>
      <c r="X1759" s="28" t="s">
        <v>272</v>
      </c>
      <c r="Y1759" s="28" t="s">
        <v>15025</v>
      </c>
      <c r="Z1759" s="28" t="s">
        <v>5403</v>
      </c>
      <c r="AA1759" s="28" t="s">
        <v>5404</v>
      </c>
      <c r="AB1759" s="28">
        <v>21.0</v>
      </c>
      <c r="AC1759" s="28" t="s">
        <v>24</v>
      </c>
      <c r="AD1759" s="23"/>
      <c r="AE1759" s="28" t="s">
        <v>10</v>
      </c>
      <c r="AF1759" s="23"/>
      <c r="AG1759" s="23"/>
      <c r="AH1759" s="23" t="str">
        <f>IFERROR(__xludf.DUMMYFUNCTION("IF(
ISNUMBER(MATCH(
C1759,
IMPORTRANGE(""https://docs.google.com/spreadsheets/d/1yTh1ELC33JHYOeEdgIiEclxPRyh0zOKtlawDltfUay8"",""'Interns'!A:A""),
0
)),
""Outreach Conducted"",
"""")"),"")</f>
        <v/>
      </c>
      <c r="AI1759" s="23"/>
      <c r="AJ1759" s="23"/>
      <c r="AK1759" s="23" t="str">
        <f>IFERROR(__xludf.DUMMYFUNCTION("XLOOKUP(C1759, 
   IMPORTRANGE(""1RdEdgHYrZ33LJ7RUHj_h-qkAFL92bcVjtIdVa-UlsCw"", ""Interns!D:D""), 
   IMPORTRANGE(""1RdEdgHYrZ33LJ7RUHj_h-qkAFL92bcVjtIdVa-UlsCw"", ""Interns!M:M""), 
   ""Not Found"")"),"")</f>
        <v/>
      </c>
      <c r="AL1759" s="23" t="str">
        <f>IFERROR(__xludf.DUMMYFUNCTION("XLOOKUP(C1759, 
   IMPORTRANGE(""1RdEdgHYrZ33LJ7RUHj_h-qkAFL92bcVjtIdVa-UlsCw"", ""Interns!D:D""), 
   IMPORTRANGE(""1RdEdgHYrZ33LJ7RUHj_h-qkAFL92bcVjtIdVa-UlsCw"", ""Interns!N:N""), 
   ""Not Found"")"),"")</f>
        <v/>
      </c>
      <c r="AM1759" s="23" t="str">
        <f>IFERROR(__xludf.DUMMYFUNCTION("XLOOKUP(C1759, 
   IMPORTRANGE(""1RdEdgHYrZ33LJ7RUHj_h-qkAFL92bcVjtIdVa-UlsCw"", ""Interns!D:D""), 
   IMPORTRANGE(""1RdEdgHYrZ33LJ7RUHj_h-qkAFL92bcVjtIdVa-UlsCw"", ""Interns!O:O""), 
   ""Not Found"")"),"")</f>
        <v/>
      </c>
      <c r="AN1759" s="23"/>
      <c r="AO1759" s="23" t="s">
        <v>15026</v>
      </c>
      <c r="AP1759" s="28" t="s">
        <v>5182</v>
      </c>
      <c r="AQ1759" s="28"/>
      <c r="AR1759" s="23"/>
      <c r="AS1759" s="23"/>
      <c r="AT1759" s="23"/>
      <c r="AU1759" s="23"/>
      <c r="AV1759" s="23"/>
    </row>
    <row r="1760">
      <c r="A1760" s="28" t="s">
        <v>5202</v>
      </c>
      <c r="B1760" s="28" t="s">
        <v>5162</v>
      </c>
      <c r="C1760" s="23" t="str">
        <f t="shared" si="39"/>
        <v>Bionca Felipe</v>
      </c>
      <c r="D1760" s="28" t="s">
        <v>15692</v>
      </c>
      <c r="E1760" s="28" t="s">
        <v>8344</v>
      </c>
      <c r="F1760" s="23">
        <f t="array" ref="F1760">IFERROR(
    INDEX('Hub Interns 226'!A:A, MATCH(C1760, 'Hub Interns 226'!B:B, 0)),"")</f>
        <v>431</v>
      </c>
      <c r="G1760" s="23">
        <f t="array" ref="G1760">IFERROR(
    INDEX('Hub Users 226'!A:A, MATCH(C1760, 'Hub Users 226'!B:B, 0)),"")</f>
        <v>864</v>
      </c>
      <c r="H1760" s="28">
        <v>1113.0</v>
      </c>
      <c r="I1760" s="28"/>
      <c r="J1760" s="28"/>
      <c r="K1760" s="28"/>
      <c r="L1760" s="28" t="s">
        <v>6647</v>
      </c>
      <c r="M1760" s="56" t="s">
        <v>15693</v>
      </c>
      <c r="N1760" s="57">
        <v>44721.59375</v>
      </c>
      <c r="O1760" s="58">
        <v>40153.0</v>
      </c>
      <c r="P1760" s="28">
        <f t="shared" si="42"/>
        <v>16</v>
      </c>
      <c r="Q1760" s="28" t="s">
        <v>240</v>
      </c>
      <c r="R1760" s="28" t="s">
        <v>9653</v>
      </c>
      <c r="S1760" s="28"/>
      <c r="T1760" s="28"/>
      <c r="U1760" s="28"/>
      <c r="V1760" s="28"/>
      <c r="W1760" s="28" t="s">
        <v>1173</v>
      </c>
      <c r="X1760" s="28" t="s">
        <v>272</v>
      </c>
      <c r="Y1760" s="28" t="s">
        <v>15694</v>
      </c>
      <c r="Z1760" s="28" t="s">
        <v>9652</v>
      </c>
      <c r="AA1760" s="28" t="s">
        <v>9653</v>
      </c>
      <c r="AB1760" s="28">
        <v>30.0</v>
      </c>
      <c r="AC1760" s="28" t="s">
        <v>24</v>
      </c>
      <c r="AD1760" s="23"/>
      <c r="AE1760" s="28" t="s">
        <v>10</v>
      </c>
      <c r="AF1760" s="23"/>
      <c r="AG1760" s="23"/>
      <c r="AH1760" s="23" t="str">
        <f>IFERROR(__xludf.DUMMYFUNCTION("IF(
ISNUMBER(MATCH(
C1760,
IMPORTRANGE(""https://docs.google.com/spreadsheets/d/1yTh1ELC33JHYOeEdgIiEclxPRyh0zOKtlawDltfUay8"",""'Interns'!A:A""),
0
)),
""Outreach Conducted"",
"""")"),"")</f>
        <v/>
      </c>
      <c r="AI1760" s="23"/>
      <c r="AJ1760" s="23"/>
      <c r="AK1760" s="23" t="str">
        <f>IFERROR(__xludf.DUMMYFUNCTION("XLOOKUP(C1760, 
   IMPORTRANGE(""1RdEdgHYrZ33LJ7RUHj_h-qkAFL92bcVjtIdVa-UlsCw"", ""Interns!D:D""), 
   IMPORTRANGE(""1RdEdgHYrZ33LJ7RUHj_h-qkAFL92bcVjtIdVa-UlsCw"", ""Interns!M:M""), 
   ""Not Found"")"),"")</f>
        <v/>
      </c>
      <c r="AL1760" s="23" t="str">
        <f>IFERROR(__xludf.DUMMYFUNCTION("XLOOKUP(C1760, 
   IMPORTRANGE(""1RdEdgHYrZ33LJ7RUHj_h-qkAFL92bcVjtIdVa-UlsCw"", ""Interns!D:D""), 
   IMPORTRANGE(""1RdEdgHYrZ33LJ7RUHj_h-qkAFL92bcVjtIdVa-UlsCw"", ""Interns!N:N""), 
   ""Not Found"")"),"")</f>
        <v/>
      </c>
      <c r="AM1760" s="23" t="str">
        <f>IFERROR(__xludf.DUMMYFUNCTION("XLOOKUP(C1760, 
   IMPORTRANGE(""1RdEdgHYrZ33LJ7RUHj_h-qkAFL92bcVjtIdVa-UlsCw"", ""Interns!D:D""), 
   IMPORTRANGE(""1RdEdgHYrZ33LJ7RUHj_h-qkAFL92bcVjtIdVa-UlsCw"", ""Interns!O:O""), 
   ""Not Found"")"),"")</f>
        <v/>
      </c>
      <c r="AN1760" s="23"/>
      <c r="AO1760" s="23" t="s">
        <v>15695</v>
      </c>
      <c r="AP1760" s="28" t="s">
        <v>5182</v>
      </c>
      <c r="AQ1760" s="28"/>
      <c r="AR1760" s="23"/>
      <c r="AS1760" s="23"/>
      <c r="AT1760" s="23"/>
      <c r="AU1760" s="23"/>
      <c r="AV1760" s="23"/>
    </row>
    <row r="1761">
      <c r="A1761" s="28" t="s">
        <v>5202</v>
      </c>
      <c r="B1761" s="28" t="s">
        <v>5162</v>
      </c>
      <c r="C1761" s="23" t="str">
        <f t="shared" si="39"/>
        <v>Devin O'Grady</v>
      </c>
      <c r="D1761" s="28" t="s">
        <v>14071</v>
      </c>
      <c r="E1761" s="28" t="s">
        <v>15696</v>
      </c>
      <c r="F1761" s="23">
        <f t="array" ref="F1761">IFERROR(
    INDEX('Hub Interns 226'!A:A, MATCH(C1761, 'Hub Interns 226'!B:B, 0)),"")</f>
        <v>438</v>
      </c>
      <c r="G1761" s="23">
        <f t="array" ref="G1761">IFERROR(
    INDEX('Hub Users 226'!A:A, MATCH(C1761, 'Hub Users 226'!B:B, 0)),"")</f>
        <v>871</v>
      </c>
      <c r="H1761" s="28">
        <v>1112.0</v>
      </c>
      <c r="I1761" s="28"/>
      <c r="J1761" s="28"/>
      <c r="K1761" s="28"/>
      <c r="L1761" s="28" t="s">
        <v>5165</v>
      </c>
      <c r="M1761" s="56" t="s">
        <v>15697</v>
      </c>
      <c r="N1761" s="57">
        <v>44721.58819444444</v>
      </c>
      <c r="O1761" s="58">
        <v>39953.0</v>
      </c>
      <c r="P1761" s="28">
        <f t="shared" si="42"/>
        <v>16</v>
      </c>
      <c r="Q1761" s="28" t="s">
        <v>240</v>
      </c>
      <c r="R1761" s="28" t="s">
        <v>9653</v>
      </c>
      <c r="S1761" s="28"/>
      <c r="T1761" s="28"/>
      <c r="U1761" s="28"/>
      <c r="V1761" s="28"/>
      <c r="W1761" s="28" t="s">
        <v>1173</v>
      </c>
      <c r="X1761" s="28" t="s">
        <v>272</v>
      </c>
      <c r="Y1761" s="28" t="s">
        <v>15698</v>
      </c>
      <c r="Z1761" s="28" t="s">
        <v>9652</v>
      </c>
      <c r="AA1761" s="28" t="s">
        <v>9653</v>
      </c>
      <c r="AB1761" s="28">
        <v>30.0</v>
      </c>
      <c r="AC1761" s="28" t="s">
        <v>24</v>
      </c>
      <c r="AD1761" s="23"/>
      <c r="AE1761" s="28" t="s">
        <v>10</v>
      </c>
      <c r="AF1761" s="23"/>
      <c r="AG1761" s="23"/>
      <c r="AH1761" s="23" t="str">
        <f>IFERROR(__xludf.DUMMYFUNCTION("IF(
ISNUMBER(MATCH(
C1761,
IMPORTRANGE(""https://docs.google.com/spreadsheets/d/1yTh1ELC33JHYOeEdgIiEclxPRyh0zOKtlawDltfUay8"",""'Interns'!A:A""),
0
)),
""Outreach Conducted"",
"""")"),"")</f>
        <v/>
      </c>
      <c r="AI1761" s="23"/>
      <c r="AJ1761" s="23"/>
      <c r="AK1761" s="23" t="str">
        <f>IFERROR(__xludf.DUMMYFUNCTION("XLOOKUP(C1761, 
   IMPORTRANGE(""1RdEdgHYrZ33LJ7RUHj_h-qkAFL92bcVjtIdVa-UlsCw"", ""Interns!D:D""), 
   IMPORTRANGE(""1RdEdgHYrZ33LJ7RUHj_h-qkAFL92bcVjtIdVa-UlsCw"", ""Interns!M:M""), 
   ""Not Found"")"),"")</f>
        <v/>
      </c>
      <c r="AL1761" s="23" t="str">
        <f>IFERROR(__xludf.DUMMYFUNCTION("XLOOKUP(C1761, 
   IMPORTRANGE(""1RdEdgHYrZ33LJ7RUHj_h-qkAFL92bcVjtIdVa-UlsCw"", ""Interns!D:D""), 
   IMPORTRANGE(""1RdEdgHYrZ33LJ7RUHj_h-qkAFL92bcVjtIdVa-UlsCw"", ""Interns!N:N""), 
   ""Not Found"")"),"")</f>
        <v/>
      </c>
      <c r="AM1761" s="23" t="str">
        <f>IFERROR(__xludf.DUMMYFUNCTION("XLOOKUP(C1761, 
   IMPORTRANGE(""1RdEdgHYrZ33LJ7RUHj_h-qkAFL92bcVjtIdVa-UlsCw"", ""Interns!D:D""), 
   IMPORTRANGE(""1RdEdgHYrZ33LJ7RUHj_h-qkAFL92bcVjtIdVa-UlsCw"", ""Interns!O:O""), 
   ""Not Found"")"),"")</f>
        <v/>
      </c>
      <c r="AN1761" s="23"/>
      <c r="AO1761" s="23" t="s">
        <v>15699</v>
      </c>
      <c r="AP1761" s="28" t="s">
        <v>5191</v>
      </c>
      <c r="AQ1761" s="28"/>
      <c r="AR1761" s="23"/>
      <c r="AS1761" s="23"/>
      <c r="AT1761" s="23"/>
      <c r="AU1761" s="23"/>
      <c r="AV1761" s="23"/>
    </row>
    <row r="1762">
      <c r="A1762" s="28" t="s">
        <v>5202</v>
      </c>
      <c r="B1762" s="28" t="s">
        <v>5162</v>
      </c>
      <c r="C1762" s="23" t="str">
        <f t="shared" si="39"/>
        <v>Alex Guaillas</v>
      </c>
      <c r="D1762" s="28" t="s">
        <v>11724</v>
      </c>
      <c r="E1762" s="28" t="s">
        <v>15700</v>
      </c>
      <c r="F1762" s="23">
        <f t="array" ref="F1762">IFERROR(
    INDEX('Hub Interns 226'!A:A, MATCH(C1762, 'Hub Interns 226'!B:B, 0)),"")</f>
        <v>183</v>
      </c>
      <c r="G1762" s="23">
        <f t="array" ref="G1762">IFERROR(
    INDEX('Hub Users 226'!A:A, MATCH(C1762, 'Hub Users 226'!B:B, 0)),"")</f>
        <v>616</v>
      </c>
      <c r="H1762" s="28">
        <v>948.0</v>
      </c>
      <c r="I1762" s="28" t="s">
        <v>407</v>
      </c>
      <c r="J1762" s="28"/>
      <c r="K1762" s="28"/>
      <c r="L1762" s="28" t="s">
        <v>5165</v>
      </c>
      <c r="M1762" s="56" t="s">
        <v>15701</v>
      </c>
      <c r="N1762" s="57">
        <v>44610.85625</v>
      </c>
      <c r="O1762" s="58">
        <v>38383.0</v>
      </c>
      <c r="P1762" s="28">
        <f t="shared" si="42"/>
        <v>21</v>
      </c>
      <c r="Q1762" s="28" t="s">
        <v>15702</v>
      </c>
      <c r="R1762" s="28" t="s">
        <v>15703</v>
      </c>
      <c r="S1762" s="28">
        <v>5.0</v>
      </c>
      <c r="T1762" s="28">
        <v>11.0</v>
      </c>
      <c r="U1762" s="28">
        <v>29.0</v>
      </c>
      <c r="V1762" s="28">
        <v>24.0</v>
      </c>
      <c r="W1762" s="28" t="s">
        <v>1173</v>
      </c>
      <c r="X1762" s="28" t="s">
        <v>272</v>
      </c>
      <c r="Y1762" s="28">
        <v>9.292685566E9</v>
      </c>
      <c r="Z1762" s="28" t="s">
        <v>5189</v>
      </c>
      <c r="AA1762" s="28" t="s">
        <v>619</v>
      </c>
      <c r="AB1762" s="28">
        <v>20.0</v>
      </c>
      <c r="AC1762" s="28" t="s">
        <v>25</v>
      </c>
      <c r="AD1762" s="23"/>
      <c r="AE1762" s="28" t="s">
        <v>10</v>
      </c>
      <c r="AF1762" s="23" t="str">
        <f>IFERROR(__xludf.DUMMYFUNCTION("TEXTJOIN("", "", TRUE,
  FILTER(Champions!C:C,
    ISNUMBER(SEARCH(C1762, Champions!W:W))
  )
)"),"#N/A")</f>
        <v>#N/A</v>
      </c>
      <c r="AG1762" s="23"/>
      <c r="AH1762" s="23" t="str">
        <f>IFERROR(__xludf.DUMMYFUNCTION("IF(
ISNUMBER(MATCH(
C1762,
IMPORTRANGE(""https://docs.google.com/spreadsheets/d/1yTh1ELC33JHYOeEdgIiEclxPRyh0zOKtlawDltfUay8"",""'Interns'!A:A""),
0
)),
""Outreach Conducted"",
"""")"),"")</f>
        <v/>
      </c>
      <c r="AI1762" s="23"/>
      <c r="AJ1762" s="23"/>
      <c r="AK1762" s="23" t="str">
        <f>IFERROR(__xludf.DUMMYFUNCTION("XLOOKUP(C1762, 
   IMPORTRANGE(""1RdEdgHYrZ33LJ7RUHj_h-qkAFL92bcVjtIdVa-UlsCw"", ""Interns!D:D""), 
   IMPORTRANGE(""1RdEdgHYrZ33LJ7RUHj_h-qkAFL92bcVjtIdVa-UlsCw"", ""Interns!M:M""), 
   ""Not Found"")"),"")</f>
        <v/>
      </c>
      <c r="AL1762" s="23" t="str">
        <f>IFERROR(__xludf.DUMMYFUNCTION("XLOOKUP(C1762, 
   IMPORTRANGE(""1RdEdgHYrZ33LJ7RUHj_h-qkAFL92bcVjtIdVa-UlsCw"", ""Interns!D:D""), 
   IMPORTRANGE(""1RdEdgHYrZ33LJ7RUHj_h-qkAFL92bcVjtIdVa-UlsCw"", ""Interns!N:N""), 
   ""Not Found"")"),"")</f>
        <v/>
      </c>
      <c r="AM1762" s="23" t="str">
        <f>IFERROR(__xludf.DUMMYFUNCTION("XLOOKUP(C1762, 
   IMPORTRANGE(""1RdEdgHYrZ33LJ7RUHj_h-qkAFL92bcVjtIdVa-UlsCw"", ""Interns!D:D""), 
   IMPORTRANGE(""1RdEdgHYrZ33LJ7RUHj_h-qkAFL92bcVjtIdVa-UlsCw"", ""Interns!O:O""), 
   ""Not Found"")"),"")</f>
        <v/>
      </c>
      <c r="AN1762" s="23"/>
      <c r="AO1762" s="23" t="s">
        <v>6709</v>
      </c>
      <c r="AP1762" s="28" t="s">
        <v>5182</v>
      </c>
      <c r="AQ1762" s="28" t="s">
        <v>15704</v>
      </c>
      <c r="AR1762" s="23" t="s">
        <v>15705</v>
      </c>
      <c r="AS1762" s="23"/>
      <c r="AT1762" s="23"/>
      <c r="AU1762" s="23"/>
      <c r="AV1762" s="23"/>
    </row>
    <row r="1763">
      <c r="A1763" s="28" t="s">
        <v>5202</v>
      </c>
      <c r="B1763" s="28" t="s">
        <v>5162</v>
      </c>
      <c r="C1763" s="23" t="str">
        <f t="shared" si="39"/>
        <v>Ajahni Richards</v>
      </c>
      <c r="D1763" s="28" t="s">
        <v>15706</v>
      </c>
      <c r="E1763" s="28" t="s">
        <v>15707</v>
      </c>
      <c r="F1763" s="23">
        <f t="array" ref="F1763">IFERROR(
    INDEX('Hub Interns 226'!A:A, MATCH(C1763, 'Hub Interns 226'!B:B, 0)),"")</f>
        <v>166</v>
      </c>
      <c r="G1763" s="23">
        <f t="array" ref="G1763">IFERROR(
    INDEX('Hub Users 226'!A:A, MATCH(C1763, 'Hub Users 226'!B:B, 0)),"")</f>
        <v>599</v>
      </c>
      <c r="H1763" s="28">
        <v>368.0</v>
      </c>
      <c r="I1763" s="28" t="s">
        <v>239</v>
      </c>
      <c r="J1763" s="28"/>
      <c r="K1763" s="28" t="s">
        <v>5186</v>
      </c>
      <c r="L1763" s="28" t="s">
        <v>5165</v>
      </c>
      <c r="M1763" s="56" t="s">
        <v>15708</v>
      </c>
      <c r="N1763" s="57">
        <v>44252.657638888886</v>
      </c>
      <c r="O1763" s="58">
        <v>37889.0</v>
      </c>
      <c r="P1763" s="28">
        <f t="shared" si="42"/>
        <v>22</v>
      </c>
      <c r="Q1763" s="28" t="s">
        <v>15709</v>
      </c>
      <c r="R1763" s="28" t="s">
        <v>15710</v>
      </c>
      <c r="S1763" s="28"/>
      <c r="T1763" s="28"/>
      <c r="U1763" s="28"/>
      <c r="V1763" s="28"/>
      <c r="W1763" s="28" t="s">
        <v>1173</v>
      </c>
      <c r="X1763" s="28" t="s">
        <v>272</v>
      </c>
      <c r="Y1763" s="28" t="s">
        <v>15711</v>
      </c>
      <c r="Z1763" s="28" t="s">
        <v>5332</v>
      </c>
      <c r="AA1763" s="28" t="s">
        <v>421</v>
      </c>
      <c r="AB1763" s="28">
        <v>31.0</v>
      </c>
      <c r="AC1763" s="28" t="s">
        <v>25</v>
      </c>
      <c r="AD1763" s="23"/>
      <c r="AE1763" s="28" t="s">
        <v>8</v>
      </c>
      <c r="AF1763" s="23" t="str">
        <f>IFERROR(__xludf.DUMMYFUNCTION("TEXTJOIN("", "", TRUE,
  FILTER(Champions!C:C,
    ISNUMBER(SEARCH(C1763, Champions!W:W))
  )
)"),"Joan Marie Cadenhead, Benazir Fateh")</f>
        <v>Joan Marie Cadenhead, Benazir Fateh</v>
      </c>
      <c r="AG1763" s="23"/>
      <c r="AH1763" s="23" t="str">
        <f>IFERROR(__xludf.DUMMYFUNCTION("IF(
ISNUMBER(MATCH(
C1763,
IMPORTRANGE(""https://docs.google.com/spreadsheets/d/1yTh1ELC33JHYOeEdgIiEclxPRyh0zOKtlawDltfUay8"",""'Interns'!A:A""),
0
)),
""Outreach Conducted"",
"""")"),"")</f>
        <v/>
      </c>
      <c r="AI1763" s="23"/>
      <c r="AJ1763" s="23"/>
      <c r="AK1763" s="23" t="str">
        <f>IFERROR(__xludf.DUMMYFUNCTION("XLOOKUP(C1763, 
   IMPORTRANGE(""1RdEdgHYrZ33LJ7RUHj_h-qkAFL92bcVjtIdVa-UlsCw"", ""Interns!D:D""), 
   IMPORTRANGE(""1RdEdgHYrZ33LJ7RUHj_h-qkAFL92bcVjtIdVa-UlsCw"", ""Interns!M:M""), 
   ""Not Found"")"),"")</f>
        <v/>
      </c>
      <c r="AL1763" s="23" t="str">
        <f>IFERROR(__xludf.DUMMYFUNCTION("XLOOKUP(C1763, 
   IMPORTRANGE(""1RdEdgHYrZ33LJ7RUHj_h-qkAFL92bcVjtIdVa-UlsCw"", ""Interns!D:D""), 
   IMPORTRANGE(""1RdEdgHYrZ33LJ7RUHj_h-qkAFL92bcVjtIdVa-UlsCw"", ""Interns!N:N""), 
   ""Not Found"")"),"")</f>
        <v/>
      </c>
      <c r="AM1763" s="23" t="str">
        <f>IFERROR(__xludf.DUMMYFUNCTION("XLOOKUP(C1763, 
   IMPORTRANGE(""1RdEdgHYrZ33LJ7RUHj_h-qkAFL92bcVjtIdVa-UlsCw"", ""Interns!D:D""), 
   IMPORTRANGE(""1RdEdgHYrZ33LJ7RUHj_h-qkAFL92bcVjtIdVa-UlsCw"", ""Interns!O:O""), 
   ""Not Found"")"),"")</f>
        <v/>
      </c>
      <c r="AN1763" s="23"/>
      <c r="AO1763" s="23" t="s">
        <v>15712</v>
      </c>
      <c r="AP1763" s="28" t="s">
        <v>5989</v>
      </c>
      <c r="AQ1763" s="28" t="s">
        <v>15713</v>
      </c>
      <c r="AR1763" s="23" t="s">
        <v>15714</v>
      </c>
      <c r="AS1763" s="23"/>
      <c r="AT1763" s="23"/>
      <c r="AU1763" s="23"/>
      <c r="AV1763" s="23"/>
    </row>
    <row r="1764">
      <c r="A1764" s="28" t="s">
        <v>5202</v>
      </c>
      <c r="B1764" s="28" t="s">
        <v>5162</v>
      </c>
      <c r="C1764" s="23" t="str">
        <f t="shared" si="39"/>
        <v>Jared Gonzalez</v>
      </c>
      <c r="D1764" s="28" t="s">
        <v>4222</v>
      </c>
      <c r="E1764" s="28" t="s">
        <v>1377</v>
      </c>
      <c r="F1764" s="23">
        <f t="array" ref="F1764">IFERROR(
    INDEX('Hub Interns 226'!A:A, MATCH(C1764, 'Hub Interns 226'!B:B, 0)),"")</f>
        <v>646</v>
      </c>
      <c r="G1764" s="23">
        <f t="array" ref="G1764">IFERROR(
    INDEX('Hub Users 226'!A:A, MATCH(C1764, 'Hub Users 226'!B:B, 0)),"")</f>
        <v>1079</v>
      </c>
      <c r="H1764" s="28">
        <v>1089.0</v>
      </c>
      <c r="I1764" s="28"/>
      <c r="J1764" s="28"/>
      <c r="K1764" s="28"/>
      <c r="L1764" s="28" t="s">
        <v>5165</v>
      </c>
      <c r="M1764" s="56" t="s">
        <v>15715</v>
      </c>
      <c r="N1764" s="57">
        <v>44704.520833333336</v>
      </c>
      <c r="O1764" s="58">
        <v>39717.0</v>
      </c>
      <c r="P1764" s="28">
        <f t="shared" si="42"/>
        <v>17</v>
      </c>
      <c r="Q1764" s="28" t="s">
        <v>240</v>
      </c>
      <c r="R1764" s="28" t="s">
        <v>15716</v>
      </c>
      <c r="S1764" s="28"/>
      <c r="T1764" s="28"/>
      <c r="U1764" s="28"/>
      <c r="V1764" s="28"/>
      <c r="W1764" s="23"/>
      <c r="X1764" s="23"/>
      <c r="Y1764" s="28" t="s">
        <v>15717</v>
      </c>
      <c r="Z1764" s="23"/>
      <c r="AA1764" s="23"/>
      <c r="AB1764" s="23"/>
      <c r="AC1764" s="23"/>
      <c r="AD1764" s="23"/>
      <c r="AE1764" s="23"/>
      <c r="AF1764" s="23"/>
      <c r="AG1764" s="23"/>
      <c r="AH1764" s="23" t="str">
        <f>IFERROR(__xludf.DUMMYFUNCTION("IF(
ISNUMBER(MATCH(
C1764,
IMPORTRANGE(""https://docs.google.com/spreadsheets/d/1yTh1ELC33JHYOeEdgIiEclxPRyh0zOKtlawDltfUay8"",""'Interns'!A:A""),
0
)),
""Outreach Conducted"",
"""")"),"")</f>
        <v/>
      </c>
      <c r="AI1764" s="23"/>
      <c r="AJ1764" s="23"/>
      <c r="AK1764" s="23" t="str">
        <f>IFERROR(__xludf.DUMMYFUNCTION("XLOOKUP(C1764, 
   IMPORTRANGE(""1RdEdgHYrZ33LJ7RUHj_h-qkAFL92bcVjtIdVa-UlsCw"", ""Interns!D:D""), 
   IMPORTRANGE(""1RdEdgHYrZ33LJ7RUHj_h-qkAFL92bcVjtIdVa-UlsCw"", ""Interns!M:M""), 
   ""Not Found"")"),"")</f>
        <v/>
      </c>
      <c r="AL1764" s="23" t="str">
        <f>IFERROR(__xludf.DUMMYFUNCTION("XLOOKUP(C1764, 
   IMPORTRANGE(""1RdEdgHYrZ33LJ7RUHj_h-qkAFL92bcVjtIdVa-UlsCw"", ""Interns!D:D""), 
   IMPORTRANGE(""1RdEdgHYrZ33LJ7RUHj_h-qkAFL92bcVjtIdVa-UlsCw"", ""Interns!N:N""), 
   ""Not Found"")"),"")</f>
        <v/>
      </c>
      <c r="AM1764" s="23" t="str">
        <f>IFERROR(__xludf.DUMMYFUNCTION("XLOOKUP(C1764, 
   IMPORTRANGE(""1RdEdgHYrZ33LJ7RUHj_h-qkAFL92bcVjtIdVa-UlsCw"", ""Interns!D:D""), 
   IMPORTRANGE(""1RdEdgHYrZ33LJ7RUHj_h-qkAFL92bcVjtIdVa-UlsCw"", ""Interns!O:O""), 
   ""Not Found"")"),"")</f>
        <v/>
      </c>
      <c r="AN1764" s="23"/>
      <c r="AO1764" s="23" t="s">
        <v>159</v>
      </c>
      <c r="AP1764" s="28" t="s">
        <v>5641</v>
      </c>
      <c r="AQ1764" s="28"/>
      <c r="AR1764" s="23"/>
      <c r="AS1764" s="23"/>
      <c r="AT1764" s="23"/>
      <c r="AU1764" s="23"/>
      <c r="AV1764" s="23"/>
    </row>
    <row r="1765">
      <c r="A1765" s="28" t="s">
        <v>5202</v>
      </c>
      <c r="B1765" s="28" t="s">
        <v>5162</v>
      </c>
      <c r="C1765" s="23" t="str">
        <f t="shared" si="39"/>
        <v>Adriana Mitchell</v>
      </c>
      <c r="D1765" s="28" t="s">
        <v>14206</v>
      </c>
      <c r="E1765" s="28" t="s">
        <v>15718</v>
      </c>
      <c r="F1765" s="23" t="str">
        <f t="array" ref="F1765">IFERROR(
    INDEX('Hub Interns 226'!A:A, MATCH(C1765, 'Hub Interns 226'!B:B, 0)),"")</f>
        <v/>
      </c>
      <c r="G1765" s="23" t="str">
        <f t="array" ref="G1765">IFERROR(
    INDEX('Hub Users 226'!A:A, MATCH(C1765, 'Hub Users 226'!B:B, 0)),"")</f>
        <v/>
      </c>
      <c r="H1765" s="28">
        <v>40.0</v>
      </c>
      <c r="I1765" s="28" t="s">
        <v>407</v>
      </c>
      <c r="J1765" s="28"/>
      <c r="K1765" s="28"/>
      <c r="L1765" s="28"/>
      <c r="M1765" s="23"/>
      <c r="N1765" s="57">
        <v>43741.63055555556</v>
      </c>
      <c r="O1765" s="58"/>
      <c r="P1765" s="28"/>
      <c r="Q1765" s="28" t="s">
        <v>240</v>
      </c>
      <c r="R1765" s="23"/>
      <c r="S1765" s="28"/>
      <c r="T1765" s="28"/>
      <c r="U1765" s="28"/>
      <c r="V1765" s="28"/>
      <c r="W1765" s="28" t="s">
        <v>2633</v>
      </c>
      <c r="X1765" s="28" t="s">
        <v>241</v>
      </c>
      <c r="Y1765" s="28" t="s">
        <v>15719</v>
      </c>
      <c r="Z1765" s="28" t="s">
        <v>5294</v>
      </c>
      <c r="AA1765" s="28" t="s">
        <v>5294</v>
      </c>
      <c r="AB1765" s="28" t="s">
        <v>5295</v>
      </c>
      <c r="AC1765" s="28" t="s">
        <v>25</v>
      </c>
      <c r="AD1765" s="23"/>
      <c r="AE1765" s="28" t="s">
        <v>4</v>
      </c>
      <c r="AF1765" s="23" t="str">
        <f>IFERROR(__xludf.DUMMYFUNCTION("TEXTJOIN("", "", TRUE,
  FILTER(Champions!C:C,
    ISNUMBER(SEARCH(C1765, Champions!W:W))
  )
)"),"#N/A")</f>
        <v>#N/A</v>
      </c>
      <c r="AG1765" s="23"/>
      <c r="AH1765" s="23" t="str">
        <f>IFERROR(__xludf.DUMMYFUNCTION("IF(
ISNUMBER(MATCH(
C1765,
IMPORTRANGE(""https://docs.google.com/spreadsheets/d/1yTh1ELC33JHYOeEdgIiEclxPRyh0zOKtlawDltfUay8"",""'Interns'!A:A""),
0
)),
""Outreach Conducted"",
"""")"),"")</f>
        <v/>
      </c>
      <c r="AI1765" s="23"/>
      <c r="AJ1765" s="23"/>
      <c r="AK1765" s="23" t="str">
        <f>IFERROR(__xludf.DUMMYFUNCTION("XLOOKUP(C1765, 
   IMPORTRANGE(""1RdEdgHYrZ33LJ7RUHj_h-qkAFL92bcVjtIdVa-UlsCw"", ""Interns!D:D""), 
   IMPORTRANGE(""1RdEdgHYrZ33LJ7RUHj_h-qkAFL92bcVjtIdVa-UlsCw"", ""Interns!M:M""), 
   ""Not Found"")"),"")</f>
        <v/>
      </c>
      <c r="AL1765" s="23" t="str">
        <f>IFERROR(__xludf.DUMMYFUNCTION("XLOOKUP(C1765, 
   IMPORTRANGE(""1RdEdgHYrZ33LJ7RUHj_h-qkAFL92bcVjtIdVa-UlsCw"", ""Interns!D:D""), 
   IMPORTRANGE(""1RdEdgHYrZ33LJ7RUHj_h-qkAFL92bcVjtIdVa-UlsCw"", ""Interns!N:N""), 
   ""Not Found"")"),"")</f>
        <v/>
      </c>
      <c r="AM1765" s="23" t="str">
        <f>IFERROR(__xludf.DUMMYFUNCTION("XLOOKUP(C1765, 
   IMPORTRANGE(""1RdEdgHYrZ33LJ7RUHj_h-qkAFL92bcVjtIdVa-UlsCw"", ""Interns!D:D""), 
   IMPORTRANGE(""1RdEdgHYrZ33LJ7RUHj_h-qkAFL92bcVjtIdVa-UlsCw"", ""Interns!O:O""), 
   ""Not Found"")"),"")</f>
        <v/>
      </c>
      <c r="AN1765" s="23"/>
      <c r="AO1765" s="23" t="s">
        <v>15720</v>
      </c>
      <c r="AP1765" s="28" t="s">
        <v>5182</v>
      </c>
      <c r="AQ1765" s="28" t="s">
        <v>15720</v>
      </c>
      <c r="AR1765" s="23" t="s">
        <v>15721</v>
      </c>
      <c r="AS1765" s="23"/>
      <c r="AT1765" s="23"/>
      <c r="AU1765" s="23"/>
      <c r="AV1765" s="23"/>
    </row>
    <row r="1766">
      <c r="A1766" s="28" t="s">
        <v>5202</v>
      </c>
      <c r="B1766" s="28" t="s">
        <v>5162</v>
      </c>
      <c r="C1766" s="23" t="str">
        <f t="shared" si="39"/>
        <v>Christine Matias</v>
      </c>
      <c r="D1766" s="28" t="s">
        <v>960</v>
      </c>
      <c r="E1766" s="28" t="s">
        <v>12406</v>
      </c>
      <c r="F1766" s="23" t="str">
        <f t="array" ref="F1766">IFERROR(
    INDEX('Hub Interns 226'!A:A, MATCH(C1766, 'Hub Interns 226'!B:B, 0)),"")</f>
        <v/>
      </c>
      <c r="G1766" s="23" t="str">
        <f t="array" ref="G1766">IFERROR(
    INDEX('Hub Users 226'!A:A, MATCH(C1766, 'Hub Users 226'!B:B, 0)),"")</f>
        <v/>
      </c>
      <c r="H1766" s="28">
        <v>55.0</v>
      </c>
      <c r="I1766" s="28" t="s">
        <v>302</v>
      </c>
      <c r="J1766" s="28"/>
      <c r="K1766" s="28"/>
      <c r="L1766" s="28"/>
      <c r="M1766" s="23"/>
      <c r="N1766" s="57">
        <v>43741.63125</v>
      </c>
      <c r="O1766" s="58"/>
      <c r="P1766" s="28"/>
      <c r="Q1766" s="28" t="s">
        <v>240</v>
      </c>
      <c r="R1766" s="23"/>
      <c r="S1766" s="28"/>
      <c r="T1766" s="28"/>
      <c r="U1766" s="28"/>
      <c r="V1766" s="28"/>
      <c r="W1766" s="28" t="s">
        <v>2633</v>
      </c>
      <c r="X1766" s="28" t="s">
        <v>241</v>
      </c>
      <c r="Y1766" s="28" t="s">
        <v>15722</v>
      </c>
      <c r="Z1766" s="28" t="s">
        <v>5294</v>
      </c>
      <c r="AA1766" s="28" t="s">
        <v>5294</v>
      </c>
      <c r="AB1766" s="28" t="s">
        <v>5295</v>
      </c>
      <c r="AC1766" s="28" t="s">
        <v>25</v>
      </c>
      <c r="AD1766" s="23"/>
      <c r="AE1766" s="28" t="s">
        <v>4</v>
      </c>
      <c r="AF1766" s="23" t="str">
        <f>IFERROR(__xludf.DUMMYFUNCTION("TEXTJOIN("", "", TRUE,
  FILTER(Champions!C:C,
    ISNUMBER(SEARCH(C1766, Champions!W:W))
  )
)"),"#N/A")</f>
        <v>#N/A</v>
      </c>
      <c r="AG1766" s="23"/>
      <c r="AH1766" s="23" t="str">
        <f>IFERROR(__xludf.DUMMYFUNCTION("IF(
ISNUMBER(MATCH(
C1766,
IMPORTRANGE(""https://docs.google.com/spreadsheets/d/1yTh1ELC33JHYOeEdgIiEclxPRyh0zOKtlawDltfUay8"",""'Interns'!A:A""),
0
)),
""Outreach Conducted"",
"""")"),"")</f>
        <v/>
      </c>
      <c r="AI1766" s="23"/>
      <c r="AJ1766" s="23"/>
      <c r="AK1766" s="23" t="str">
        <f>IFERROR(__xludf.DUMMYFUNCTION("XLOOKUP(C1766, 
   IMPORTRANGE(""1RdEdgHYrZ33LJ7RUHj_h-qkAFL92bcVjtIdVa-UlsCw"", ""Interns!D:D""), 
   IMPORTRANGE(""1RdEdgHYrZ33LJ7RUHj_h-qkAFL92bcVjtIdVa-UlsCw"", ""Interns!M:M""), 
   ""Not Found"")"),"")</f>
        <v/>
      </c>
      <c r="AL1766" s="23" t="str">
        <f>IFERROR(__xludf.DUMMYFUNCTION("XLOOKUP(C1766, 
   IMPORTRANGE(""1RdEdgHYrZ33LJ7RUHj_h-qkAFL92bcVjtIdVa-UlsCw"", ""Interns!D:D""), 
   IMPORTRANGE(""1RdEdgHYrZ33LJ7RUHj_h-qkAFL92bcVjtIdVa-UlsCw"", ""Interns!N:N""), 
   ""Not Found"")"),"")</f>
        <v/>
      </c>
      <c r="AM1766" s="23" t="str">
        <f>IFERROR(__xludf.DUMMYFUNCTION("XLOOKUP(C1766, 
   IMPORTRANGE(""1RdEdgHYrZ33LJ7RUHj_h-qkAFL92bcVjtIdVa-UlsCw"", ""Interns!D:D""), 
   IMPORTRANGE(""1RdEdgHYrZ33LJ7RUHj_h-qkAFL92bcVjtIdVa-UlsCw"", ""Interns!O:O""), 
   ""Not Found"")"),"")</f>
        <v/>
      </c>
      <c r="AN1766" s="23"/>
      <c r="AO1766" s="23" t="s">
        <v>15723</v>
      </c>
      <c r="AP1766" s="28" t="s">
        <v>5182</v>
      </c>
      <c r="AQ1766" s="28" t="s">
        <v>15723</v>
      </c>
      <c r="AR1766" s="23" t="s">
        <v>15724</v>
      </c>
      <c r="AS1766" s="23"/>
      <c r="AT1766" s="23"/>
      <c r="AU1766" s="23"/>
      <c r="AV1766" s="23"/>
    </row>
    <row r="1767">
      <c r="A1767" s="28" t="s">
        <v>5202</v>
      </c>
      <c r="B1767" s="28" t="s">
        <v>5162</v>
      </c>
      <c r="C1767" s="23" t="str">
        <f t="shared" si="39"/>
        <v>Daniela Brito</v>
      </c>
      <c r="D1767" s="28" t="s">
        <v>1003</v>
      </c>
      <c r="E1767" s="28" t="s">
        <v>7997</v>
      </c>
      <c r="F1767" s="23" t="str">
        <f t="array" ref="F1767">IFERROR(
    INDEX('Hub Interns 226'!A:A, MATCH(C1767, 'Hub Interns 226'!B:B, 0)),"")</f>
        <v/>
      </c>
      <c r="G1767" s="23" t="str">
        <f t="array" ref="G1767">IFERROR(
    INDEX('Hub Users 226'!A:A, MATCH(C1767, 'Hub Users 226'!B:B, 0)),"")</f>
        <v/>
      </c>
      <c r="H1767" s="28">
        <v>48.0</v>
      </c>
      <c r="I1767" s="28" t="s">
        <v>260</v>
      </c>
      <c r="J1767" s="28"/>
      <c r="K1767" s="28"/>
      <c r="L1767" s="28"/>
      <c r="M1767" s="23"/>
      <c r="N1767" s="57">
        <v>43741.63125</v>
      </c>
      <c r="O1767" s="58"/>
      <c r="P1767" s="28"/>
      <c r="Q1767" s="28" t="s">
        <v>240</v>
      </c>
      <c r="R1767" s="23"/>
      <c r="S1767" s="28"/>
      <c r="T1767" s="28"/>
      <c r="U1767" s="28"/>
      <c r="V1767" s="28"/>
      <c r="W1767" s="28" t="s">
        <v>2633</v>
      </c>
      <c r="X1767" s="28" t="s">
        <v>241</v>
      </c>
      <c r="Y1767" s="28" t="s">
        <v>15725</v>
      </c>
      <c r="Z1767" s="28" t="s">
        <v>5294</v>
      </c>
      <c r="AA1767" s="28" t="s">
        <v>5294</v>
      </c>
      <c r="AB1767" s="28" t="s">
        <v>5295</v>
      </c>
      <c r="AC1767" s="28" t="s">
        <v>25</v>
      </c>
      <c r="AD1767" s="23"/>
      <c r="AE1767" s="28" t="s">
        <v>4</v>
      </c>
      <c r="AF1767" s="23" t="str">
        <f>IFERROR(__xludf.DUMMYFUNCTION("TEXTJOIN("", "", TRUE,
  FILTER(Champions!C:C,
    ISNUMBER(SEARCH(C1767, Champions!W:W))
  )
)"),"Malene Ginete Carr")</f>
        <v>Malene Ginete Carr</v>
      </c>
      <c r="AG1767" s="23"/>
      <c r="AH1767" s="23" t="str">
        <f>IFERROR(__xludf.DUMMYFUNCTION("IF(
ISNUMBER(MATCH(
C1767,
IMPORTRANGE(""https://docs.google.com/spreadsheets/d/1yTh1ELC33JHYOeEdgIiEclxPRyh0zOKtlawDltfUay8"",""'Interns'!A:A""),
0
)),
""Outreach Conducted"",
"""")"),"")</f>
        <v/>
      </c>
      <c r="AI1767" s="23"/>
      <c r="AJ1767" s="23"/>
      <c r="AK1767" s="23" t="str">
        <f>IFERROR(__xludf.DUMMYFUNCTION("XLOOKUP(C1767, 
   IMPORTRANGE(""1RdEdgHYrZ33LJ7RUHj_h-qkAFL92bcVjtIdVa-UlsCw"", ""Interns!D:D""), 
   IMPORTRANGE(""1RdEdgHYrZ33LJ7RUHj_h-qkAFL92bcVjtIdVa-UlsCw"", ""Interns!M:M""), 
   ""Not Found"")"),"")</f>
        <v/>
      </c>
      <c r="AL1767" s="23" t="str">
        <f>IFERROR(__xludf.DUMMYFUNCTION("XLOOKUP(C1767, 
   IMPORTRANGE(""1RdEdgHYrZ33LJ7RUHj_h-qkAFL92bcVjtIdVa-UlsCw"", ""Interns!D:D""), 
   IMPORTRANGE(""1RdEdgHYrZ33LJ7RUHj_h-qkAFL92bcVjtIdVa-UlsCw"", ""Interns!N:N""), 
   ""Not Found"")"),"")</f>
        <v/>
      </c>
      <c r="AM1767" s="23" t="str">
        <f>IFERROR(__xludf.DUMMYFUNCTION("XLOOKUP(C1767, 
   IMPORTRANGE(""1RdEdgHYrZ33LJ7RUHj_h-qkAFL92bcVjtIdVa-UlsCw"", ""Interns!D:D""), 
   IMPORTRANGE(""1RdEdgHYrZ33LJ7RUHj_h-qkAFL92bcVjtIdVa-UlsCw"", ""Interns!O:O""), 
   ""Not Found"")"),"")</f>
        <v/>
      </c>
      <c r="AN1767" s="23"/>
      <c r="AO1767" s="23" t="s">
        <v>15726</v>
      </c>
      <c r="AP1767" s="28" t="s">
        <v>5182</v>
      </c>
      <c r="AQ1767" s="28" t="s">
        <v>15726</v>
      </c>
      <c r="AR1767" s="23" t="s">
        <v>15727</v>
      </c>
      <c r="AS1767" s="23"/>
      <c r="AT1767" s="23"/>
      <c r="AU1767" s="23"/>
      <c r="AV1767" s="23"/>
    </row>
    <row r="1768">
      <c r="A1768" s="28" t="s">
        <v>5202</v>
      </c>
      <c r="B1768" s="28" t="s">
        <v>5162</v>
      </c>
      <c r="C1768" s="23" t="str">
        <f t="shared" si="39"/>
        <v>Donna Campos</v>
      </c>
      <c r="D1768" s="28" t="s">
        <v>15728</v>
      </c>
      <c r="E1768" s="28" t="s">
        <v>1771</v>
      </c>
      <c r="F1768" s="23" t="str">
        <f t="array" ref="F1768">IFERROR(
    INDEX('Hub Interns 226'!A:A, MATCH(C1768, 'Hub Interns 226'!B:B, 0)),"")</f>
        <v/>
      </c>
      <c r="G1768" s="23" t="str">
        <f t="array" ref="G1768">IFERROR(
    INDEX('Hub Users 226'!A:A, MATCH(C1768, 'Hub Users 226'!B:B, 0)),"")</f>
        <v/>
      </c>
      <c r="H1768" s="28">
        <v>56.0</v>
      </c>
      <c r="I1768" s="28" t="s">
        <v>290</v>
      </c>
      <c r="J1768" s="28"/>
      <c r="K1768" s="28"/>
      <c r="L1768" s="28"/>
      <c r="M1768" s="23"/>
      <c r="N1768" s="57">
        <v>43741.63125</v>
      </c>
      <c r="O1768" s="58"/>
      <c r="P1768" s="28"/>
      <c r="Q1768" s="28" t="s">
        <v>240</v>
      </c>
      <c r="R1768" s="23"/>
      <c r="S1768" s="28"/>
      <c r="T1768" s="28"/>
      <c r="U1768" s="28"/>
      <c r="V1768" s="28"/>
      <c r="W1768" s="28" t="s">
        <v>2633</v>
      </c>
      <c r="X1768" s="28" t="s">
        <v>241</v>
      </c>
      <c r="Y1768" s="28" t="s">
        <v>15729</v>
      </c>
      <c r="Z1768" s="28" t="s">
        <v>5294</v>
      </c>
      <c r="AA1768" s="28" t="s">
        <v>5294</v>
      </c>
      <c r="AB1768" s="28" t="s">
        <v>5295</v>
      </c>
      <c r="AC1768" s="28" t="s">
        <v>25</v>
      </c>
      <c r="AD1768" s="23"/>
      <c r="AE1768" s="28" t="s">
        <v>4</v>
      </c>
      <c r="AF1768" s="23" t="str">
        <f>IFERROR(__xludf.DUMMYFUNCTION("TEXTJOIN("", "", TRUE,
  FILTER(Champions!C:C,
    ISNUMBER(SEARCH(C1768, Champions!W:W))
  )
)"),"#N/A")</f>
        <v>#N/A</v>
      </c>
      <c r="AG1768" s="23"/>
      <c r="AH1768" s="23" t="str">
        <f>IFERROR(__xludf.DUMMYFUNCTION("IF(
ISNUMBER(MATCH(
C1768,
IMPORTRANGE(""https://docs.google.com/spreadsheets/d/1yTh1ELC33JHYOeEdgIiEclxPRyh0zOKtlawDltfUay8"",""'Interns'!A:A""),
0
)),
""Outreach Conducted"",
"""")"),"")</f>
        <v/>
      </c>
      <c r="AI1768" s="23"/>
      <c r="AJ1768" s="23"/>
      <c r="AK1768" s="23" t="str">
        <f>IFERROR(__xludf.DUMMYFUNCTION("XLOOKUP(C1768, 
   IMPORTRANGE(""1RdEdgHYrZ33LJ7RUHj_h-qkAFL92bcVjtIdVa-UlsCw"", ""Interns!D:D""), 
   IMPORTRANGE(""1RdEdgHYrZ33LJ7RUHj_h-qkAFL92bcVjtIdVa-UlsCw"", ""Interns!M:M""), 
   ""Not Found"")"),"")</f>
        <v/>
      </c>
      <c r="AL1768" s="23" t="str">
        <f>IFERROR(__xludf.DUMMYFUNCTION("XLOOKUP(C1768, 
   IMPORTRANGE(""1RdEdgHYrZ33LJ7RUHj_h-qkAFL92bcVjtIdVa-UlsCw"", ""Interns!D:D""), 
   IMPORTRANGE(""1RdEdgHYrZ33LJ7RUHj_h-qkAFL92bcVjtIdVa-UlsCw"", ""Interns!N:N""), 
   ""Not Found"")"),"")</f>
        <v/>
      </c>
      <c r="AM1768" s="23" t="str">
        <f>IFERROR(__xludf.DUMMYFUNCTION("XLOOKUP(C1768, 
   IMPORTRANGE(""1RdEdgHYrZ33LJ7RUHj_h-qkAFL92bcVjtIdVa-UlsCw"", ""Interns!D:D""), 
   IMPORTRANGE(""1RdEdgHYrZ33LJ7RUHj_h-qkAFL92bcVjtIdVa-UlsCw"", ""Interns!O:O""), 
   ""Not Found"")"),"")</f>
        <v/>
      </c>
      <c r="AN1768" s="23"/>
      <c r="AO1768" s="23" t="s">
        <v>15730</v>
      </c>
      <c r="AP1768" s="28" t="s">
        <v>5182</v>
      </c>
      <c r="AQ1768" s="28" t="s">
        <v>15730</v>
      </c>
      <c r="AR1768" s="23" t="s">
        <v>15731</v>
      </c>
      <c r="AS1768" s="23"/>
      <c r="AT1768" s="23"/>
      <c r="AU1768" s="23"/>
      <c r="AV1768" s="23"/>
    </row>
    <row r="1769">
      <c r="A1769" s="28" t="s">
        <v>5161</v>
      </c>
      <c r="B1769" s="28" t="s">
        <v>5162</v>
      </c>
      <c r="C1769" s="23" t="str">
        <f t="shared" si="39"/>
        <v>Jason Jiang</v>
      </c>
      <c r="D1769" s="28" t="s">
        <v>1676</v>
      </c>
      <c r="E1769" s="28" t="s">
        <v>6231</v>
      </c>
      <c r="F1769" s="23">
        <f t="array" ref="F1769">IFERROR(
    INDEX('Hub Interns 226'!A:A, MATCH(C1769, 'Hub Interns 226'!B:B, 0)),"")</f>
        <v>1563</v>
      </c>
      <c r="G1769" s="23">
        <f t="array" ref="G1769">IFERROR(
    INDEX('Hub Users 226'!A:A, MATCH(C1769, 'Hub Users 226'!B:B, 0)),"")</f>
        <v>2168</v>
      </c>
      <c r="H1769" s="28">
        <v>1862.0</v>
      </c>
      <c r="I1769" s="28" t="s">
        <v>239</v>
      </c>
      <c r="J1769" s="28"/>
      <c r="K1769" s="28"/>
      <c r="L1769" s="28" t="s">
        <v>5165</v>
      </c>
      <c r="M1769" s="56" t="s">
        <v>15732</v>
      </c>
      <c r="N1769" s="57">
        <v>45628.40138888889</v>
      </c>
      <c r="O1769" s="58">
        <v>40457.0</v>
      </c>
      <c r="P1769" s="28">
        <f>DATEDIF(O1769, TODAY(), "Y")</f>
        <v>15</v>
      </c>
      <c r="Q1769" s="28" t="s">
        <v>240</v>
      </c>
      <c r="R1769" s="28" t="s">
        <v>50</v>
      </c>
      <c r="S1769" s="28"/>
      <c r="T1769" s="28"/>
      <c r="U1769" s="28"/>
      <c r="V1769" s="28"/>
      <c r="W1769" s="23"/>
      <c r="X1769" s="23"/>
      <c r="Y1769" s="28" t="s">
        <v>15733</v>
      </c>
      <c r="Z1769" s="28" t="s">
        <v>5170</v>
      </c>
      <c r="AA1769" s="28" t="s">
        <v>5171</v>
      </c>
      <c r="AB1769" s="28">
        <v>30.0</v>
      </c>
      <c r="AC1769" s="26" t="s">
        <v>23</v>
      </c>
      <c r="AD1769" s="23"/>
      <c r="AE1769" s="28" t="s">
        <v>19</v>
      </c>
      <c r="AF1769" s="23"/>
      <c r="AG1769" s="23"/>
      <c r="AH1769" s="23" t="str">
        <f>IFERROR(__xludf.DUMMYFUNCTION("IF(
ISNUMBER(MATCH(
C1769,
IMPORTRANGE(""https://docs.google.com/spreadsheets/d/1yTh1ELC33JHYOeEdgIiEclxPRyh0zOKtlawDltfUay8"",""'Interns'!A:A""),
0
)),
""Outreach Conducted"",
"""")"),"")</f>
        <v/>
      </c>
      <c r="AI1769" s="23"/>
      <c r="AJ1769" s="23"/>
      <c r="AK1769" s="23" t="str">
        <f>IFERROR(__xludf.DUMMYFUNCTION("XLOOKUP(C1769, 
   IMPORTRANGE(""1RdEdgHYrZ33LJ7RUHj_h-qkAFL92bcVjtIdVa-UlsCw"", ""Interns!D:D""), 
   IMPORTRANGE(""1RdEdgHYrZ33LJ7RUHj_h-qkAFL92bcVjtIdVa-UlsCw"", ""Interns!M:M""), 
   ""Not Found"")"),"Contacted")</f>
        <v>Contacted</v>
      </c>
      <c r="AL1769" s="23" t="str">
        <f>IFERROR(__xludf.DUMMYFUNCTION("XLOOKUP(C1769, 
   IMPORTRANGE(""1RdEdgHYrZ33LJ7RUHj_h-qkAFL92bcVjtIdVa-UlsCw"", ""Interns!D:D""), 
   IMPORTRANGE(""1RdEdgHYrZ33LJ7RUHj_h-qkAFL92bcVjtIdVa-UlsCw"", ""Interns!N:N""), 
   ""Not Found"")"),"#Cheers4Careers")</f>
        <v>#Cheers4Careers</v>
      </c>
      <c r="AM1769" s="23" t="str">
        <f>IFERROR(__xludf.DUMMYFUNCTION("XLOOKUP(C1769, 
   IMPORTRANGE(""1RdEdgHYrZ33LJ7RUHj_h-qkAFL92bcVjtIdVa-UlsCw"", ""Interns!D:D""), 
   IMPORTRANGE(""1RdEdgHYrZ33LJ7RUHj_h-qkAFL92bcVjtIdVa-UlsCw"", ""Interns!O:O""), 
   ""Not Found"")"),"Hetal reached out March 27 for March #Cheers4 Careers ")</f>
        <v>Hetal reached out March 27 for March #Cheers4 Careers </v>
      </c>
      <c r="AN1769" s="23"/>
      <c r="AO1769" s="23" t="s">
        <v>15734</v>
      </c>
      <c r="AP1769" s="28" t="s">
        <v>5182</v>
      </c>
      <c r="AQ1769" s="28"/>
      <c r="AR1769" s="23"/>
      <c r="AS1769" s="23"/>
      <c r="AT1769" s="23"/>
      <c r="AU1769" s="23"/>
      <c r="AV1769" s="23"/>
    </row>
    <row r="1770">
      <c r="A1770" s="28" t="s">
        <v>5202</v>
      </c>
      <c r="B1770" s="28" t="s">
        <v>5162</v>
      </c>
      <c r="C1770" s="23" t="str">
        <f t="shared" si="39"/>
        <v>Jaileen Estevez</v>
      </c>
      <c r="D1770" s="28" t="s">
        <v>15735</v>
      </c>
      <c r="E1770" s="28" t="s">
        <v>15551</v>
      </c>
      <c r="F1770" s="23" t="str">
        <f t="array" ref="F1770">IFERROR(
    INDEX('Hub Interns 226'!A:A, MATCH(C1770, 'Hub Interns 226'!B:B, 0)),"")</f>
        <v/>
      </c>
      <c r="G1770" s="23" t="str">
        <f t="array" ref="G1770">IFERROR(
    INDEX('Hub Users 226'!A:A, MATCH(C1770, 'Hub Users 226'!B:B, 0)),"")</f>
        <v/>
      </c>
      <c r="H1770" s="28">
        <v>51.0</v>
      </c>
      <c r="I1770" s="28" t="s">
        <v>290</v>
      </c>
      <c r="J1770" s="28"/>
      <c r="K1770" s="28"/>
      <c r="L1770" s="28"/>
      <c r="M1770" s="28"/>
      <c r="N1770" s="57">
        <v>43741.63125</v>
      </c>
      <c r="O1770" s="58"/>
      <c r="P1770" s="28"/>
      <c r="Q1770" s="28" t="s">
        <v>240</v>
      </c>
      <c r="R1770" s="23"/>
      <c r="S1770" s="28"/>
      <c r="T1770" s="28"/>
      <c r="U1770" s="28"/>
      <c r="V1770" s="28"/>
      <c r="W1770" s="28" t="s">
        <v>2633</v>
      </c>
      <c r="X1770" s="28" t="s">
        <v>241</v>
      </c>
      <c r="Y1770" s="28" t="s">
        <v>15736</v>
      </c>
      <c r="Z1770" s="28" t="s">
        <v>5294</v>
      </c>
      <c r="AA1770" s="28" t="s">
        <v>5294</v>
      </c>
      <c r="AB1770" s="28" t="s">
        <v>5295</v>
      </c>
      <c r="AC1770" s="28" t="s">
        <v>25</v>
      </c>
      <c r="AD1770" s="23"/>
      <c r="AE1770" s="28" t="s">
        <v>4</v>
      </c>
      <c r="AF1770" s="23" t="str">
        <f>IFERROR(__xludf.DUMMYFUNCTION("TEXTJOIN("", "", TRUE,
  FILTER(Champions!C:C,
    ISNUMBER(SEARCH(C1770, Champions!W:W))
  )
)"),"Tiffany Suarez")</f>
        <v>Tiffany Suarez</v>
      </c>
      <c r="AG1770" s="23"/>
      <c r="AH1770" s="23" t="str">
        <f>IFERROR(__xludf.DUMMYFUNCTION("IF(
ISNUMBER(MATCH(
C1770,
IMPORTRANGE(""https://docs.google.com/spreadsheets/d/1yTh1ELC33JHYOeEdgIiEclxPRyh0zOKtlawDltfUay8"",""'Interns'!A:A""),
0
)),
""Outreach Conducted"",
"""")"),"")</f>
        <v/>
      </c>
      <c r="AI1770" s="23"/>
      <c r="AJ1770" s="23"/>
      <c r="AK1770" s="23" t="str">
        <f>IFERROR(__xludf.DUMMYFUNCTION("XLOOKUP(C1770, 
   IMPORTRANGE(""1RdEdgHYrZ33LJ7RUHj_h-qkAFL92bcVjtIdVa-UlsCw"", ""Interns!D:D""), 
   IMPORTRANGE(""1RdEdgHYrZ33LJ7RUHj_h-qkAFL92bcVjtIdVa-UlsCw"", ""Interns!M:M""), 
   ""Not Found"")"),"")</f>
        <v/>
      </c>
      <c r="AL1770" s="23" t="str">
        <f>IFERROR(__xludf.DUMMYFUNCTION("XLOOKUP(C1770, 
   IMPORTRANGE(""1RdEdgHYrZ33LJ7RUHj_h-qkAFL92bcVjtIdVa-UlsCw"", ""Interns!D:D""), 
   IMPORTRANGE(""1RdEdgHYrZ33LJ7RUHj_h-qkAFL92bcVjtIdVa-UlsCw"", ""Interns!N:N""), 
   ""Not Found"")"),"")</f>
        <v/>
      </c>
      <c r="AM1770" s="23" t="str">
        <f>IFERROR(__xludf.DUMMYFUNCTION("XLOOKUP(C1770, 
   IMPORTRANGE(""1RdEdgHYrZ33LJ7RUHj_h-qkAFL92bcVjtIdVa-UlsCw"", ""Interns!D:D""), 
   IMPORTRANGE(""1RdEdgHYrZ33LJ7RUHj_h-qkAFL92bcVjtIdVa-UlsCw"", ""Interns!O:O""), 
   ""Not Found"")"),"")</f>
        <v/>
      </c>
      <c r="AN1770" s="23"/>
      <c r="AO1770" s="23" t="s">
        <v>15737</v>
      </c>
      <c r="AP1770" s="28" t="s">
        <v>5182</v>
      </c>
      <c r="AQ1770" s="28" t="s">
        <v>15737</v>
      </c>
      <c r="AR1770" s="23" t="s">
        <v>15738</v>
      </c>
      <c r="AS1770" s="23"/>
      <c r="AT1770" s="23"/>
      <c r="AU1770" s="23"/>
      <c r="AV1770" s="23"/>
    </row>
    <row r="1771">
      <c r="A1771" s="28" t="s">
        <v>5161</v>
      </c>
      <c r="B1771" s="28" t="s">
        <v>5162</v>
      </c>
      <c r="C1771" s="23" t="str">
        <f t="shared" si="39"/>
        <v>Jean Paul Guzman</v>
      </c>
      <c r="D1771" s="28" t="s">
        <v>15739</v>
      </c>
      <c r="E1771" s="28" t="s">
        <v>847</v>
      </c>
      <c r="F1771" s="23">
        <f t="array" ref="F1771">IFERROR(
    INDEX('Hub Interns 226'!A:A, MATCH(C1771, 'Hub Interns 226'!B:B, 0)),"")</f>
        <v>1742</v>
      </c>
      <c r="G1771" s="23">
        <f t="array" ref="G1771">IFERROR(
    INDEX('Hub Users 226'!A:A, MATCH(C1771, 'Hub Users 226'!B:B, 0)),"")</f>
        <v>2572</v>
      </c>
      <c r="H1771" s="28">
        <v>1860.0</v>
      </c>
      <c r="I1771" s="28" t="s">
        <v>239</v>
      </c>
      <c r="J1771" s="28"/>
      <c r="K1771" s="28"/>
      <c r="L1771" s="28" t="s">
        <v>5165</v>
      </c>
      <c r="M1771" s="56" t="s">
        <v>15740</v>
      </c>
      <c r="N1771" s="57">
        <v>45628.40069444444</v>
      </c>
      <c r="O1771" s="58">
        <v>40889.0</v>
      </c>
      <c r="P1771" s="28">
        <f t="shared" ref="P1771:P1774" si="43">DATEDIF(O1771, TODAY(), "Y")</f>
        <v>14</v>
      </c>
      <c r="Q1771" s="28" t="s">
        <v>240</v>
      </c>
      <c r="R1771" s="28" t="s">
        <v>50</v>
      </c>
      <c r="S1771" s="28"/>
      <c r="T1771" s="28"/>
      <c r="U1771" s="28"/>
      <c r="V1771" s="28"/>
      <c r="W1771" s="23"/>
      <c r="X1771" s="23"/>
      <c r="Y1771" s="28" t="s">
        <v>15741</v>
      </c>
      <c r="Z1771" s="28" t="s">
        <v>5170</v>
      </c>
      <c r="AA1771" s="28" t="s">
        <v>5171</v>
      </c>
      <c r="AB1771" s="28">
        <v>30.0</v>
      </c>
      <c r="AC1771" s="26" t="s">
        <v>23</v>
      </c>
      <c r="AD1771" s="23"/>
      <c r="AE1771" s="28" t="s">
        <v>19</v>
      </c>
      <c r="AF1771" s="23"/>
      <c r="AG1771" s="23"/>
      <c r="AH1771" s="23" t="str">
        <f>IFERROR(__xludf.DUMMYFUNCTION("IF(
ISNUMBER(MATCH(
C1771,
IMPORTRANGE(""https://docs.google.com/spreadsheets/d/1yTh1ELC33JHYOeEdgIiEclxPRyh0zOKtlawDltfUay8"",""'Interns'!A:A""),
0
)),
""Outreach Conducted"",
"""")"),"")</f>
        <v/>
      </c>
      <c r="AI1771" s="23"/>
      <c r="AJ1771" s="23"/>
      <c r="AK1771" s="23" t="str">
        <f>IFERROR(__xludf.DUMMYFUNCTION("XLOOKUP(C1771, 
   IMPORTRANGE(""1RdEdgHYrZ33LJ7RUHj_h-qkAFL92bcVjtIdVa-UlsCw"", ""Interns!D:D""), 
   IMPORTRANGE(""1RdEdgHYrZ33LJ7RUHj_h-qkAFL92bcVjtIdVa-UlsCw"", ""Interns!M:M""), 
   ""Not Found"")"),"Contacted")</f>
        <v>Contacted</v>
      </c>
      <c r="AL1771" s="23" t="str">
        <f>IFERROR(__xludf.DUMMYFUNCTION("XLOOKUP(C1771, 
   IMPORTRANGE(""1RdEdgHYrZ33LJ7RUHj_h-qkAFL92bcVjtIdVa-UlsCw"", ""Interns!D:D""), 
   IMPORTRANGE(""1RdEdgHYrZ33LJ7RUHj_h-qkAFL92bcVjtIdVa-UlsCw"", ""Interns!N:N""), 
   ""Not Found"")"),"#Cheers4Careers")</f>
        <v>#Cheers4Careers</v>
      </c>
      <c r="AM1771" s="23" t="str">
        <f>IFERROR(__xludf.DUMMYFUNCTION("XLOOKUP(C1771, 
   IMPORTRANGE(""1RdEdgHYrZ33LJ7RUHj_h-qkAFL92bcVjtIdVa-UlsCw"", ""Interns!D:D""), 
   IMPORTRANGE(""1RdEdgHYrZ33LJ7RUHj_h-qkAFL92bcVjtIdVa-UlsCw"", ""Interns!O:O""), 
   ""Not Found"")"),"Hetal reached out March 27 for March #Cheers4 Careers ")</f>
        <v>Hetal reached out March 27 for March #Cheers4 Careers </v>
      </c>
      <c r="AN1771" s="23"/>
      <c r="AO1771" s="23" t="s">
        <v>15742</v>
      </c>
      <c r="AP1771" s="28" t="s">
        <v>5182</v>
      </c>
      <c r="AQ1771" s="28"/>
      <c r="AR1771" s="23"/>
      <c r="AS1771" s="23"/>
      <c r="AT1771" s="23"/>
      <c r="AU1771" s="23"/>
      <c r="AV1771" s="23"/>
    </row>
    <row r="1772">
      <c r="A1772" s="28" t="s">
        <v>5161</v>
      </c>
      <c r="B1772" s="28" t="s">
        <v>5162</v>
      </c>
      <c r="C1772" s="23" t="str">
        <f t="shared" si="39"/>
        <v>Joshua Vargas</v>
      </c>
      <c r="D1772" s="28" t="s">
        <v>1797</v>
      </c>
      <c r="E1772" s="28" t="s">
        <v>1111</v>
      </c>
      <c r="F1772" s="28">
        <v>692.0</v>
      </c>
      <c r="G1772" s="28">
        <v>1125.0</v>
      </c>
      <c r="H1772" s="28">
        <v>1570.0</v>
      </c>
      <c r="I1772" s="28"/>
      <c r="J1772" s="28"/>
      <c r="K1772" s="28"/>
      <c r="L1772" s="28" t="s">
        <v>5165</v>
      </c>
      <c r="M1772" s="56" t="s">
        <v>15743</v>
      </c>
      <c r="N1772" s="57">
        <v>45015.4625</v>
      </c>
      <c r="O1772" s="58">
        <v>38885.0</v>
      </c>
      <c r="P1772" s="28">
        <f t="shared" si="43"/>
        <v>19</v>
      </c>
      <c r="Q1772" s="28" t="s">
        <v>240</v>
      </c>
      <c r="R1772" s="28" t="s">
        <v>1568</v>
      </c>
      <c r="S1772" s="28"/>
      <c r="T1772" s="28"/>
      <c r="U1772" s="28"/>
      <c r="V1772" s="28"/>
      <c r="W1772" s="23"/>
      <c r="X1772" s="23"/>
      <c r="Y1772" s="28" t="s">
        <v>15744</v>
      </c>
      <c r="Z1772" s="28" t="s">
        <v>5341</v>
      </c>
      <c r="AA1772" s="28" t="s">
        <v>1085</v>
      </c>
      <c r="AB1772" s="28">
        <v>10.0</v>
      </c>
      <c r="AC1772" s="28" t="s">
        <v>23</v>
      </c>
      <c r="AD1772" s="23"/>
      <c r="AE1772" s="28" t="s">
        <v>15</v>
      </c>
      <c r="AF1772" s="23"/>
      <c r="AG1772" s="23"/>
      <c r="AH1772" s="23" t="str">
        <f>IFERROR(__xludf.DUMMYFUNCTION("IF(
ISNUMBER(MATCH(
C1772,
IMPORTRANGE(""https://docs.google.com/spreadsheets/d/1yTh1ELC33JHYOeEdgIiEclxPRyh0zOKtlawDltfUay8"",""'Interns'!A:A""),
0
)),
""Outreach Conducted"",
"""")"),"")</f>
        <v/>
      </c>
      <c r="AI1772" s="23"/>
      <c r="AJ1772" s="23"/>
      <c r="AK1772" s="23" t="str">
        <f>IFERROR(__xludf.DUMMYFUNCTION("XLOOKUP(C1772, 
   IMPORTRANGE(""1RdEdgHYrZ33LJ7RUHj_h-qkAFL92bcVjtIdVa-UlsCw"", ""Interns!D:D""), 
   IMPORTRANGE(""1RdEdgHYrZ33LJ7RUHj_h-qkAFL92bcVjtIdVa-UlsCw"", ""Interns!M:M""), 
   ""Not Found"")"),"Contacted")</f>
        <v>Contacted</v>
      </c>
      <c r="AL1772" s="23" t="str">
        <f>IFERROR(__xludf.DUMMYFUNCTION("XLOOKUP(C1772, 
   IMPORTRANGE(""1RdEdgHYrZ33LJ7RUHj_h-qkAFL92bcVjtIdVa-UlsCw"", ""Interns!D:D""), 
   IMPORTRANGE(""1RdEdgHYrZ33LJ7RUHj_h-qkAFL92bcVjtIdVa-UlsCw"", ""Interns!N:N""), 
   ""Not Found"")"),"#Cheers4Careers")</f>
        <v>#Cheers4Careers</v>
      </c>
      <c r="AM1772" s="23" t="str">
        <f>IFERROR(__xludf.DUMMYFUNCTION("XLOOKUP(C1772, 
   IMPORTRANGE(""1RdEdgHYrZ33LJ7RUHj_h-qkAFL92bcVjtIdVa-UlsCw"", ""Interns!D:D""), 
   IMPORTRANGE(""1RdEdgHYrZ33LJ7RUHj_h-qkAFL92bcVjtIdVa-UlsCw"", ""Interns!O:O""), 
   ""Not Found"")"),"Texted on April 14 for #Cheers4Careers event")</f>
        <v>Texted on April 14 for #Cheers4Careers event</v>
      </c>
      <c r="AN1772" s="23"/>
      <c r="AO1772" s="23" t="s">
        <v>15745</v>
      </c>
      <c r="AP1772" s="28" t="s">
        <v>5182</v>
      </c>
      <c r="AQ1772" s="28"/>
      <c r="AR1772" s="23"/>
      <c r="AS1772" s="23"/>
      <c r="AT1772" s="23"/>
      <c r="AU1772" s="23"/>
      <c r="AV1772" s="23"/>
    </row>
    <row r="1773">
      <c r="A1773" s="28" t="s">
        <v>5161</v>
      </c>
      <c r="B1773" s="28" t="s">
        <v>5162</v>
      </c>
      <c r="C1773" s="23" t="str">
        <f t="shared" si="39"/>
        <v>Zarrian Stewart</v>
      </c>
      <c r="D1773" s="28" t="s">
        <v>15746</v>
      </c>
      <c r="E1773" s="28" t="s">
        <v>15747</v>
      </c>
      <c r="F1773" s="23">
        <f t="array" ref="F1773">IFERROR(
    INDEX('Hub Interns 226'!A:A, MATCH(C1773, 'Hub Interns 226'!B:B, 0)),"")</f>
        <v>1126</v>
      </c>
      <c r="G1773" s="23">
        <f t="array" ref="G1773">IFERROR(
    INDEX('Hub Users 226'!A:A, MATCH(C1773, 'Hub Users 226'!B:B, 0)),"")</f>
        <v>1559</v>
      </c>
      <c r="H1773" s="28">
        <v>448.0</v>
      </c>
      <c r="I1773" s="28"/>
      <c r="J1773" s="28"/>
      <c r="K1773" s="28"/>
      <c r="L1773" s="28" t="s">
        <v>5165</v>
      </c>
      <c r="M1773" s="56" t="s">
        <v>15748</v>
      </c>
      <c r="N1773" s="57">
        <v>44355.5375</v>
      </c>
      <c r="O1773" s="58">
        <v>37891.0</v>
      </c>
      <c r="P1773" s="28">
        <f t="shared" si="43"/>
        <v>22</v>
      </c>
      <c r="Q1773" s="28" t="s">
        <v>240</v>
      </c>
      <c r="R1773" s="28" t="s">
        <v>15749</v>
      </c>
      <c r="S1773" s="28"/>
      <c r="T1773" s="28"/>
      <c r="U1773" s="28"/>
      <c r="V1773" s="28"/>
      <c r="W1773" s="28" t="s">
        <v>12324</v>
      </c>
      <c r="X1773" s="28" t="s">
        <v>465</v>
      </c>
      <c r="Y1773" s="28" t="s">
        <v>15750</v>
      </c>
      <c r="Z1773" s="28" t="s">
        <v>12326</v>
      </c>
      <c r="AA1773" s="28" t="s">
        <v>12327</v>
      </c>
      <c r="AB1773" s="28" t="s">
        <v>12328</v>
      </c>
      <c r="AC1773" s="28" t="s">
        <v>24</v>
      </c>
      <c r="AD1773" s="23"/>
      <c r="AE1773" s="28" t="s">
        <v>10</v>
      </c>
      <c r="AF1773" s="23"/>
      <c r="AG1773" s="23"/>
      <c r="AH1773" s="23" t="str">
        <f>IFERROR(__xludf.DUMMYFUNCTION("IF(
ISNUMBER(MATCH(
C1773,
IMPORTRANGE(""https://docs.google.com/spreadsheets/d/1yTh1ELC33JHYOeEdgIiEclxPRyh0zOKtlawDltfUay8"",""'Interns'!A:A""),
0
)),
""Outreach Conducted"",
"""")"),"")</f>
        <v/>
      </c>
      <c r="AI1773" s="23"/>
      <c r="AJ1773" s="23"/>
      <c r="AK1773" s="23" t="str">
        <f>IFERROR(__xludf.DUMMYFUNCTION("XLOOKUP(C1773, 
   IMPORTRANGE(""1RdEdgHYrZ33LJ7RUHj_h-qkAFL92bcVjtIdVa-UlsCw"", ""Interns!D:D""), 
   IMPORTRANGE(""1RdEdgHYrZ33LJ7RUHj_h-qkAFL92bcVjtIdVa-UlsCw"", ""Interns!M:M""), 
   ""Not Found"")"),"")</f>
        <v/>
      </c>
      <c r="AL1773" s="23" t="str">
        <f>IFERROR(__xludf.DUMMYFUNCTION("XLOOKUP(C1773, 
   IMPORTRANGE(""1RdEdgHYrZ33LJ7RUHj_h-qkAFL92bcVjtIdVa-UlsCw"", ""Interns!D:D""), 
   IMPORTRANGE(""1RdEdgHYrZ33LJ7RUHj_h-qkAFL92bcVjtIdVa-UlsCw"", ""Interns!N:N""), 
   ""Not Found"")"),"")</f>
        <v/>
      </c>
      <c r="AM1773" s="23" t="str">
        <f>IFERROR(__xludf.DUMMYFUNCTION("XLOOKUP(C1773, 
   IMPORTRANGE(""1RdEdgHYrZ33LJ7RUHj_h-qkAFL92bcVjtIdVa-UlsCw"", ""Interns!D:D""), 
   IMPORTRANGE(""1RdEdgHYrZ33LJ7RUHj_h-qkAFL92bcVjtIdVa-UlsCw"", ""Interns!O:O""), 
   ""Not Found"")"),"")</f>
        <v/>
      </c>
      <c r="AN1773" s="23"/>
      <c r="AO1773" s="23" t="s">
        <v>15751</v>
      </c>
      <c r="AP1773" s="28" t="s">
        <v>5182</v>
      </c>
      <c r="AQ1773" s="28"/>
      <c r="AR1773" s="23"/>
      <c r="AS1773" s="23"/>
      <c r="AT1773" s="23"/>
      <c r="AU1773" s="23"/>
      <c r="AV1773" s="23"/>
    </row>
    <row r="1774">
      <c r="A1774" s="28" t="s">
        <v>5161</v>
      </c>
      <c r="B1774" s="28" t="s">
        <v>5162</v>
      </c>
      <c r="C1774" s="23" t="str">
        <f t="shared" si="39"/>
        <v>Sergio Rojas</v>
      </c>
      <c r="D1774" s="28" t="s">
        <v>11744</v>
      </c>
      <c r="E1774" s="28" t="s">
        <v>6566</v>
      </c>
      <c r="F1774" s="23">
        <f t="array" ref="F1774">IFERROR(
    INDEX('Hub Interns 226'!A:A, MATCH(C1774, 'Hub Interns 226'!B:B, 0)),"")</f>
        <v>1596</v>
      </c>
      <c r="G1774" s="23">
        <f t="array" ref="G1774">IFERROR(
    INDEX('Hub Users 226'!A:A, MATCH(C1774, 'Hub Users 226'!B:B, 0)),"")</f>
        <v>2202</v>
      </c>
      <c r="H1774" s="28">
        <v>1724.0</v>
      </c>
      <c r="I1774" s="28"/>
      <c r="J1774" s="28"/>
      <c r="K1774" s="28"/>
      <c r="L1774" s="28" t="s">
        <v>5165</v>
      </c>
      <c r="M1774" s="56" t="s">
        <v>15752</v>
      </c>
      <c r="N1774" s="57">
        <v>45266.584027777775</v>
      </c>
      <c r="O1774" s="58">
        <v>44901.0</v>
      </c>
      <c r="P1774" s="28">
        <f t="shared" si="43"/>
        <v>3</v>
      </c>
      <c r="Q1774" s="28" t="s">
        <v>240</v>
      </c>
      <c r="R1774" s="28" t="s">
        <v>271</v>
      </c>
      <c r="S1774" s="28"/>
      <c r="T1774" s="28"/>
      <c r="U1774" s="28"/>
      <c r="V1774" s="28"/>
      <c r="W1774" s="23"/>
      <c r="X1774" s="28" t="s">
        <v>272</v>
      </c>
      <c r="Y1774" s="28" t="s">
        <v>15753</v>
      </c>
      <c r="Z1774" s="28" t="s">
        <v>5352</v>
      </c>
      <c r="AA1774" s="28" t="s">
        <v>5287</v>
      </c>
      <c r="AB1774" s="28">
        <v>26.0</v>
      </c>
      <c r="AC1774" s="28" t="s">
        <v>27</v>
      </c>
      <c r="AD1774" s="23"/>
      <c r="AE1774" s="28" t="s">
        <v>18</v>
      </c>
      <c r="AF1774" s="23"/>
      <c r="AG1774" s="23"/>
      <c r="AH1774" s="23" t="str">
        <f>IFERROR(__xludf.DUMMYFUNCTION("IF(
ISNUMBER(MATCH(
C1774,
IMPORTRANGE(""https://docs.google.com/spreadsheets/d/1yTh1ELC33JHYOeEdgIiEclxPRyh0zOKtlawDltfUay8"",""'Interns'!A:A""),
0
)),
""Outreach Conducted"",
"""")"),"")</f>
        <v/>
      </c>
      <c r="AI1774" s="23"/>
      <c r="AJ1774" s="23"/>
      <c r="AK1774" s="23" t="str">
        <f>IFERROR(__xludf.DUMMYFUNCTION("XLOOKUP(C1774, 
   IMPORTRANGE(""1RdEdgHYrZ33LJ7RUHj_h-qkAFL92bcVjtIdVa-UlsCw"", ""Interns!D:D""), 
   IMPORTRANGE(""1RdEdgHYrZ33LJ7RUHj_h-qkAFL92bcVjtIdVa-UlsCw"", ""Interns!M:M""), 
   ""Not Found"")"),"Contacted")</f>
        <v>Contacted</v>
      </c>
      <c r="AL1774" s="23" t="str">
        <f>IFERROR(__xludf.DUMMYFUNCTION("XLOOKUP(C1774, 
   IMPORTRANGE(""1RdEdgHYrZ33LJ7RUHj_h-qkAFL92bcVjtIdVa-UlsCw"", ""Interns!D:D""), 
   IMPORTRANGE(""1RdEdgHYrZ33LJ7RUHj_h-qkAFL92bcVjtIdVa-UlsCw"", ""Interns!N:N""), 
   ""Not Found"")"),"#Cheers4Careers")</f>
        <v>#Cheers4Careers</v>
      </c>
      <c r="AM1774" s="23" t="str">
        <f>IFERROR(__xludf.DUMMYFUNCTION("XLOOKUP(C1774, 
   IMPORTRANGE(""1RdEdgHYrZ33LJ7RUHj_h-qkAFL92bcVjtIdVa-UlsCw"", ""Interns!D:D""), 
   IMPORTRANGE(""1RdEdgHYrZ33LJ7RUHj_h-qkAFL92bcVjtIdVa-UlsCw"", ""Interns!O:O""), 
   ""Not Found"")"),"Hetal reached out by email 3/27")</f>
        <v>Hetal reached out by email 3/27</v>
      </c>
      <c r="AN1774" s="23"/>
      <c r="AO1774" s="23" t="s">
        <v>15754</v>
      </c>
      <c r="AP1774" s="28" t="s">
        <v>5182</v>
      </c>
      <c r="AQ1774" s="28"/>
      <c r="AR1774" s="23"/>
      <c r="AS1774" s="23"/>
      <c r="AT1774" s="23"/>
      <c r="AU1774" s="23"/>
      <c r="AV1774" s="23"/>
    </row>
    <row r="1775">
      <c r="A1775" s="28" t="s">
        <v>5202</v>
      </c>
      <c r="B1775" s="28" t="s">
        <v>5162</v>
      </c>
      <c r="C1775" s="23" t="str">
        <f t="shared" si="39"/>
        <v>Naomi Areizaga</v>
      </c>
      <c r="D1775" s="28" t="s">
        <v>8635</v>
      </c>
      <c r="E1775" s="28" t="s">
        <v>15755</v>
      </c>
      <c r="F1775" s="23" t="str">
        <f t="array" ref="F1775">IFERROR(
    INDEX('Hub Interns 226'!A:A, MATCH(C1775, 'Hub Interns 226'!B:B, 0)),"")</f>
        <v/>
      </c>
      <c r="G1775" s="23" t="str">
        <f t="array" ref="G1775">IFERROR(
    INDEX('Hub Users 226'!A:A, MATCH(C1775, 'Hub Users 226'!B:B, 0)),"")</f>
        <v/>
      </c>
      <c r="H1775" s="28">
        <v>68.0</v>
      </c>
      <c r="I1775" s="28" t="s">
        <v>290</v>
      </c>
      <c r="J1775" s="28"/>
      <c r="K1775" s="28"/>
      <c r="L1775" s="28"/>
      <c r="M1775" s="28"/>
      <c r="N1775" s="57">
        <v>43741.63125</v>
      </c>
      <c r="O1775" s="58"/>
      <c r="P1775" s="28"/>
      <c r="Q1775" s="28" t="s">
        <v>240</v>
      </c>
      <c r="R1775" s="23"/>
      <c r="S1775" s="28"/>
      <c r="T1775" s="28"/>
      <c r="U1775" s="28"/>
      <c r="V1775" s="28"/>
      <c r="W1775" s="28" t="s">
        <v>2633</v>
      </c>
      <c r="X1775" s="28" t="s">
        <v>241</v>
      </c>
      <c r="Y1775" s="28" t="s">
        <v>15756</v>
      </c>
      <c r="Z1775" s="28" t="s">
        <v>5294</v>
      </c>
      <c r="AA1775" s="28" t="s">
        <v>5294</v>
      </c>
      <c r="AB1775" s="28" t="s">
        <v>5295</v>
      </c>
      <c r="AC1775" s="28" t="s">
        <v>25</v>
      </c>
      <c r="AD1775" s="23"/>
      <c r="AE1775" s="28" t="s">
        <v>4</v>
      </c>
      <c r="AF1775" s="23" t="str">
        <f>IFERROR(__xludf.DUMMYFUNCTION("TEXTJOIN("", "", TRUE,
  FILTER(Champions!C:C,
    ISNUMBER(SEARCH(C1775, Champions!W:W))
  )
)"),"#N/A")</f>
        <v>#N/A</v>
      </c>
      <c r="AG1775" s="23"/>
      <c r="AH1775" s="23" t="str">
        <f>IFERROR(__xludf.DUMMYFUNCTION("IF(
ISNUMBER(MATCH(
C1775,
IMPORTRANGE(""https://docs.google.com/spreadsheets/d/1yTh1ELC33JHYOeEdgIiEclxPRyh0zOKtlawDltfUay8"",""'Interns'!A:A""),
0
)),
""Outreach Conducted"",
"""")"),"")</f>
        <v/>
      </c>
      <c r="AI1775" s="23"/>
      <c r="AJ1775" s="23"/>
      <c r="AK1775" s="23" t="str">
        <f>IFERROR(__xludf.DUMMYFUNCTION("XLOOKUP(C1775, 
   IMPORTRANGE(""1RdEdgHYrZ33LJ7RUHj_h-qkAFL92bcVjtIdVa-UlsCw"", ""Interns!D:D""), 
   IMPORTRANGE(""1RdEdgHYrZ33LJ7RUHj_h-qkAFL92bcVjtIdVa-UlsCw"", ""Interns!M:M""), 
   ""Not Found"")"),"")</f>
        <v/>
      </c>
      <c r="AL1775" s="23" t="str">
        <f>IFERROR(__xludf.DUMMYFUNCTION("XLOOKUP(C1775, 
   IMPORTRANGE(""1RdEdgHYrZ33LJ7RUHj_h-qkAFL92bcVjtIdVa-UlsCw"", ""Interns!D:D""), 
   IMPORTRANGE(""1RdEdgHYrZ33LJ7RUHj_h-qkAFL92bcVjtIdVa-UlsCw"", ""Interns!N:N""), 
   ""Not Found"")"),"")</f>
        <v/>
      </c>
      <c r="AM1775" s="23" t="str">
        <f>IFERROR(__xludf.DUMMYFUNCTION("XLOOKUP(C1775, 
   IMPORTRANGE(""1RdEdgHYrZ33LJ7RUHj_h-qkAFL92bcVjtIdVa-UlsCw"", ""Interns!D:D""), 
   IMPORTRANGE(""1RdEdgHYrZ33LJ7RUHj_h-qkAFL92bcVjtIdVa-UlsCw"", ""Interns!O:O""), 
   ""Not Found"")"),"")</f>
        <v/>
      </c>
      <c r="AN1775" s="23"/>
      <c r="AO1775" s="23" t="s">
        <v>15757</v>
      </c>
      <c r="AP1775" s="28" t="s">
        <v>5191</v>
      </c>
      <c r="AQ1775" s="28" t="s">
        <v>15757</v>
      </c>
      <c r="AR1775" s="23" t="s">
        <v>15758</v>
      </c>
      <c r="AS1775" s="23"/>
      <c r="AT1775" s="23"/>
      <c r="AU1775" s="23"/>
      <c r="AV1775" s="23"/>
    </row>
    <row r="1776">
      <c r="A1776" s="28" t="s">
        <v>5202</v>
      </c>
      <c r="B1776" s="28" t="s">
        <v>5162</v>
      </c>
      <c r="C1776" s="23" t="str">
        <f t="shared" si="39"/>
        <v>Natalie Navarette</v>
      </c>
      <c r="D1776" s="28" t="s">
        <v>2587</v>
      </c>
      <c r="E1776" s="28" t="s">
        <v>15759</v>
      </c>
      <c r="F1776" s="23" t="str">
        <f t="array" ref="F1776">IFERROR(
    INDEX('Hub Interns 226'!A:A, MATCH(C1776, 'Hub Interns 226'!B:B, 0)),"")</f>
        <v/>
      </c>
      <c r="G1776" s="23" t="str">
        <f t="array" ref="G1776">IFERROR(
    INDEX('Hub Users 226'!A:A, MATCH(C1776, 'Hub Users 226'!B:B, 0)),"")</f>
        <v/>
      </c>
      <c r="H1776" s="28">
        <v>44.0</v>
      </c>
      <c r="I1776" s="28"/>
      <c r="J1776" s="28"/>
      <c r="K1776" s="28"/>
      <c r="L1776" s="28"/>
      <c r="M1776" s="23"/>
      <c r="N1776" s="57">
        <v>43741.63055555556</v>
      </c>
      <c r="O1776" s="58"/>
      <c r="P1776" s="28"/>
      <c r="Q1776" s="28" t="s">
        <v>240</v>
      </c>
      <c r="R1776" s="23"/>
      <c r="S1776" s="28"/>
      <c r="T1776" s="28"/>
      <c r="U1776" s="28"/>
      <c r="V1776" s="28"/>
      <c r="W1776" s="28" t="s">
        <v>2633</v>
      </c>
      <c r="X1776" s="28" t="s">
        <v>241</v>
      </c>
      <c r="Y1776" s="28" t="s">
        <v>15760</v>
      </c>
      <c r="Z1776" s="28" t="s">
        <v>5294</v>
      </c>
      <c r="AA1776" s="28" t="s">
        <v>5294</v>
      </c>
      <c r="AB1776" s="28" t="s">
        <v>5295</v>
      </c>
      <c r="AC1776" s="28" t="s">
        <v>25</v>
      </c>
      <c r="AD1776" s="23"/>
      <c r="AE1776" s="28" t="s">
        <v>4</v>
      </c>
      <c r="AF1776" s="23" t="str">
        <f>IFERROR(__xludf.DUMMYFUNCTION("TEXTJOIN("", "", TRUE,
  FILTER(Champions!C:C,
    ISNUMBER(SEARCH(C1776, Champions!W:W))
  )
)"),"Lauren Amelia Varga")</f>
        <v>Lauren Amelia Varga</v>
      </c>
      <c r="AG1776" s="23"/>
      <c r="AH1776" s="23" t="str">
        <f>IFERROR(__xludf.DUMMYFUNCTION("IF(
ISNUMBER(MATCH(
C1776,
IMPORTRANGE(""https://docs.google.com/spreadsheets/d/1yTh1ELC33JHYOeEdgIiEclxPRyh0zOKtlawDltfUay8"",""'Interns'!A:A""),
0
)),
""Outreach Conducted"",
"""")"),"")</f>
        <v/>
      </c>
      <c r="AI1776" s="23"/>
      <c r="AJ1776" s="23"/>
      <c r="AK1776" s="23" t="str">
        <f>IFERROR(__xludf.DUMMYFUNCTION("XLOOKUP(C1776, 
   IMPORTRANGE(""1RdEdgHYrZ33LJ7RUHj_h-qkAFL92bcVjtIdVa-UlsCw"", ""Interns!D:D""), 
   IMPORTRANGE(""1RdEdgHYrZ33LJ7RUHj_h-qkAFL92bcVjtIdVa-UlsCw"", ""Interns!M:M""), 
   ""Not Found"")"),"")</f>
        <v/>
      </c>
      <c r="AL1776" s="23" t="str">
        <f>IFERROR(__xludf.DUMMYFUNCTION("XLOOKUP(C1776, 
   IMPORTRANGE(""1RdEdgHYrZ33LJ7RUHj_h-qkAFL92bcVjtIdVa-UlsCw"", ""Interns!D:D""), 
   IMPORTRANGE(""1RdEdgHYrZ33LJ7RUHj_h-qkAFL92bcVjtIdVa-UlsCw"", ""Interns!N:N""), 
   ""Not Found"")"),"")</f>
        <v/>
      </c>
      <c r="AM1776" s="23" t="str">
        <f>IFERROR(__xludf.DUMMYFUNCTION("XLOOKUP(C1776, 
   IMPORTRANGE(""1RdEdgHYrZ33LJ7RUHj_h-qkAFL92bcVjtIdVa-UlsCw"", ""Interns!D:D""), 
   IMPORTRANGE(""1RdEdgHYrZ33LJ7RUHj_h-qkAFL92bcVjtIdVa-UlsCw"", ""Interns!O:O""), 
   ""Not Found"")"),"")</f>
        <v/>
      </c>
      <c r="AN1776" s="23"/>
      <c r="AO1776" s="23" t="s">
        <v>15761</v>
      </c>
      <c r="AP1776" s="28" t="s">
        <v>5182</v>
      </c>
      <c r="AQ1776" s="28" t="s">
        <v>15761</v>
      </c>
      <c r="AR1776" s="23" t="s">
        <v>15762</v>
      </c>
      <c r="AS1776" s="23"/>
      <c r="AT1776" s="23"/>
      <c r="AU1776" s="23"/>
      <c r="AV1776" s="23"/>
    </row>
    <row r="1777">
      <c r="A1777" s="28" t="s">
        <v>5202</v>
      </c>
      <c r="B1777" s="28" t="s">
        <v>5162</v>
      </c>
      <c r="C1777" s="23" t="str">
        <f t="shared" si="39"/>
        <v>Nayely Jimenez</v>
      </c>
      <c r="D1777" s="28" t="s">
        <v>15763</v>
      </c>
      <c r="E1777" s="28" t="s">
        <v>6785</v>
      </c>
      <c r="F1777" s="23" t="str">
        <f t="array" ref="F1777">IFERROR(
    INDEX('Hub Interns 226'!A:A, MATCH(C1777, 'Hub Interns 226'!B:B, 0)),"")</f>
        <v/>
      </c>
      <c r="G1777" s="23" t="str">
        <f t="array" ref="G1777">IFERROR(
    INDEX('Hub Users 226'!A:A, MATCH(C1777, 'Hub Users 226'!B:B, 0)),"")</f>
        <v/>
      </c>
      <c r="H1777" s="28">
        <v>69.0</v>
      </c>
      <c r="I1777" s="28" t="s">
        <v>608</v>
      </c>
      <c r="J1777" s="28"/>
      <c r="K1777" s="28"/>
      <c r="L1777" s="28"/>
      <c r="M1777" s="28"/>
      <c r="N1777" s="57">
        <v>43741.63125</v>
      </c>
      <c r="O1777" s="58"/>
      <c r="P1777" s="28"/>
      <c r="Q1777" s="28" t="s">
        <v>240</v>
      </c>
      <c r="R1777" s="23"/>
      <c r="S1777" s="28"/>
      <c r="T1777" s="28"/>
      <c r="U1777" s="28"/>
      <c r="V1777" s="28"/>
      <c r="W1777" s="28" t="s">
        <v>2633</v>
      </c>
      <c r="X1777" s="28" t="s">
        <v>241</v>
      </c>
      <c r="Y1777" s="28" t="s">
        <v>15764</v>
      </c>
      <c r="Z1777" s="28" t="s">
        <v>5294</v>
      </c>
      <c r="AA1777" s="28" t="s">
        <v>5294</v>
      </c>
      <c r="AB1777" s="28" t="s">
        <v>5295</v>
      </c>
      <c r="AC1777" s="28" t="s">
        <v>25</v>
      </c>
      <c r="AD1777" s="23"/>
      <c r="AE1777" s="28" t="s">
        <v>4</v>
      </c>
      <c r="AF1777" s="23" t="str">
        <f>IFERROR(__xludf.DUMMYFUNCTION("TEXTJOIN("", "", TRUE,
  FILTER(Champions!C:C,
    ISNUMBER(SEARCH(C1777, Champions!W:W))
  )
)"),"#N/A")</f>
        <v>#N/A</v>
      </c>
      <c r="AG1777" s="23"/>
      <c r="AH1777" s="23" t="str">
        <f>IFERROR(__xludf.DUMMYFUNCTION("IF(
ISNUMBER(MATCH(
C1777,
IMPORTRANGE(""https://docs.google.com/spreadsheets/d/1yTh1ELC33JHYOeEdgIiEclxPRyh0zOKtlawDltfUay8"",""'Interns'!A:A""),
0
)),
""Outreach Conducted"",
"""")"),"")</f>
        <v/>
      </c>
      <c r="AI1777" s="23"/>
      <c r="AJ1777" s="23"/>
      <c r="AK1777" s="23" t="str">
        <f>IFERROR(__xludf.DUMMYFUNCTION("XLOOKUP(C1777, 
   IMPORTRANGE(""1RdEdgHYrZ33LJ7RUHj_h-qkAFL92bcVjtIdVa-UlsCw"", ""Interns!D:D""), 
   IMPORTRANGE(""1RdEdgHYrZ33LJ7RUHj_h-qkAFL92bcVjtIdVa-UlsCw"", ""Interns!M:M""), 
   ""Not Found"")"),"")</f>
        <v/>
      </c>
      <c r="AL1777" s="23" t="str">
        <f>IFERROR(__xludf.DUMMYFUNCTION("XLOOKUP(C1777, 
   IMPORTRANGE(""1RdEdgHYrZ33LJ7RUHj_h-qkAFL92bcVjtIdVa-UlsCw"", ""Interns!D:D""), 
   IMPORTRANGE(""1RdEdgHYrZ33LJ7RUHj_h-qkAFL92bcVjtIdVa-UlsCw"", ""Interns!N:N""), 
   ""Not Found"")"),"")</f>
        <v/>
      </c>
      <c r="AM1777" s="23" t="str">
        <f>IFERROR(__xludf.DUMMYFUNCTION("XLOOKUP(C1777, 
   IMPORTRANGE(""1RdEdgHYrZ33LJ7RUHj_h-qkAFL92bcVjtIdVa-UlsCw"", ""Interns!D:D""), 
   IMPORTRANGE(""1RdEdgHYrZ33LJ7RUHj_h-qkAFL92bcVjtIdVa-UlsCw"", ""Interns!O:O""), 
   ""Not Found"")"),"")</f>
        <v/>
      </c>
      <c r="AN1777" s="23"/>
      <c r="AO1777" s="23" t="s">
        <v>15765</v>
      </c>
      <c r="AP1777" s="28" t="s">
        <v>5182</v>
      </c>
      <c r="AQ1777" s="28" t="s">
        <v>15765</v>
      </c>
      <c r="AR1777" s="23" t="s">
        <v>15764</v>
      </c>
      <c r="AS1777" s="23"/>
      <c r="AT1777" s="23"/>
      <c r="AU1777" s="23"/>
      <c r="AV1777" s="23"/>
    </row>
    <row r="1778">
      <c r="A1778" s="28" t="s">
        <v>5202</v>
      </c>
      <c r="B1778" s="28" t="s">
        <v>5162</v>
      </c>
      <c r="C1778" s="23" t="str">
        <f t="shared" si="39"/>
        <v>Onyebuchi Okafor</v>
      </c>
      <c r="D1778" s="28" t="s">
        <v>15766</v>
      </c>
      <c r="E1778" s="28" t="s">
        <v>15767</v>
      </c>
      <c r="F1778" s="23" t="str">
        <f t="array" ref="F1778">IFERROR(
    INDEX('Hub Interns 226'!A:A, MATCH(C1778, 'Hub Interns 226'!B:B, 0)),"")</f>
        <v/>
      </c>
      <c r="G1778" s="23" t="str">
        <f t="array" ref="G1778">IFERROR(
    INDEX('Hub Users 226'!A:A, MATCH(C1778, 'Hub Users 226'!B:B, 0)),"")</f>
        <v/>
      </c>
      <c r="H1778" s="28">
        <v>70.0</v>
      </c>
      <c r="I1778" s="28" t="s">
        <v>260</v>
      </c>
      <c r="J1778" s="28"/>
      <c r="K1778" s="28"/>
      <c r="L1778" s="28"/>
      <c r="M1778" s="28"/>
      <c r="N1778" s="57">
        <v>43741.63125</v>
      </c>
      <c r="O1778" s="58"/>
      <c r="P1778" s="28"/>
      <c r="Q1778" s="28" t="s">
        <v>240</v>
      </c>
      <c r="R1778" s="23"/>
      <c r="S1778" s="28"/>
      <c r="T1778" s="28"/>
      <c r="U1778" s="28"/>
      <c r="V1778" s="28"/>
      <c r="W1778" s="28" t="s">
        <v>2633</v>
      </c>
      <c r="X1778" s="28" t="s">
        <v>241</v>
      </c>
      <c r="Y1778" s="28" t="s">
        <v>15768</v>
      </c>
      <c r="Z1778" s="28" t="s">
        <v>5294</v>
      </c>
      <c r="AA1778" s="28" t="s">
        <v>5294</v>
      </c>
      <c r="AB1778" s="28" t="s">
        <v>5295</v>
      </c>
      <c r="AC1778" s="28" t="s">
        <v>25</v>
      </c>
      <c r="AD1778" s="23"/>
      <c r="AE1778" s="28" t="s">
        <v>4</v>
      </c>
      <c r="AF1778" s="23" t="str">
        <f>IFERROR(__xludf.DUMMYFUNCTION("TEXTJOIN("", "", TRUE,
  FILTER(Champions!C:C,
    ISNUMBER(SEARCH(C1778, Champions!W:W))
  )
)"),"#N/A")</f>
        <v>#N/A</v>
      </c>
      <c r="AG1778" s="23"/>
      <c r="AH1778" s="23" t="str">
        <f>IFERROR(__xludf.DUMMYFUNCTION("IF(
ISNUMBER(MATCH(
C1778,
IMPORTRANGE(""https://docs.google.com/spreadsheets/d/1yTh1ELC33JHYOeEdgIiEclxPRyh0zOKtlawDltfUay8"",""'Interns'!A:A""),
0
)),
""Outreach Conducted"",
"""")"),"")</f>
        <v/>
      </c>
      <c r="AI1778" s="23"/>
      <c r="AJ1778" s="23"/>
      <c r="AK1778" s="23" t="str">
        <f>IFERROR(__xludf.DUMMYFUNCTION("XLOOKUP(C1778, 
   IMPORTRANGE(""1RdEdgHYrZ33LJ7RUHj_h-qkAFL92bcVjtIdVa-UlsCw"", ""Interns!D:D""), 
   IMPORTRANGE(""1RdEdgHYrZ33LJ7RUHj_h-qkAFL92bcVjtIdVa-UlsCw"", ""Interns!M:M""), 
   ""Not Found"")"),"")</f>
        <v/>
      </c>
      <c r="AL1778" s="23" t="str">
        <f>IFERROR(__xludf.DUMMYFUNCTION("XLOOKUP(C1778, 
   IMPORTRANGE(""1RdEdgHYrZ33LJ7RUHj_h-qkAFL92bcVjtIdVa-UlsCw"", ""Interns!D:D""), 
   IMPORTRANGE(""1RdEdgHYrZ33LJ7RUHj_h-qkAFL92bcVjtIdVa-UlsCw"", ""Interns!N:N""), 
   ""Not Found"")"),"")</f>
        <v/>
      </c>
      <c r="AM1778" s="23" t="str">
        <f>IFERROR(__xludf.DUMMYFUNCTION("XLOOKUP(C1778, 
   IMPORTRANGE(""1RdEdgHYrZ33LJ7RUHj_h-qkAFL92bcVjtIdVa-UlsCw"", ""Interns!D:D""), 
   IMPORTRANGE(""1RdEdgHYrZ33LJ7RUHj_h-qkAFL92bcVjtIdVa-UlsCw"", ""Interns!O:O""), 
   ""Not Found"")"),"")</f>
        <v/>
      </c>
      <c r="AN1778" s="23"/>
      <c r="AO1778" s="23" t="s">
        <v>15769</v>
      </c>
      <c r="AP1778" s="28" t="s">
        <v>5191</v>
      </c>
      <c r="AQ1778" s="28" t="s">
        <v>15769</v>
      </c>
      <c r="AR1778" s="23" t="s">
        <v>50</v>
      </c>
      <c r="AS1778" s="23"/>
      <c r="AT1778" s="23"/>
      <c r="AU1778" s="23"/>
      <c r="AV1778" s="23"/>
    </row>
    <row r="1779">
      <c r="A1779" s="28" t="s">
        <v>5161</v>
      </c>
      <c r="B1779" s="28" t="s">
        <v>5162</v>
      </c>
      <c r="C1779" s="23" t="str">
        <f t="shared" si="39"/>
        <v>william calix</v>
      </c>
      <c r="D1779" s="28" t="s">
        <v>15146</v>
      </c>
      <c r="E1779" s="28" t="s">
        <v>15770</v>
      </c>
      <c r="F1779" s="23">
        <f t="array" ref="F1779">IFERROR(
    INDEX('Hub Interns 226'!A:A, MATCH(C1779, 'Hub Interns 226'!B:B, 0)),"")</f>
        <v>330</v>
      </c>
      <c r="G1779" s="23">
        <f t="array" ref="G1779">IFERROR(
    INDEX('Hub Users 226'!A:A, MATCH(C1779, 'Hub Users 226'!B:B, 0)),"")</f>
        <v>763</v>
      </c>
      <c r="H1779" s="28">
        <v>463.0</v>
      </c>
      <c r="I1779" s="28" t="s">
        <v>239</v>
      </c>
      <c r="J1779" s="28"/>
      <c r="K1779" s="28"/>
      <c r="L1779" s="28" t="s">
        <v>5165</v>
      </c>
      <c r="M1779" s="56" t="s">
        <v>15771</v>
      </c>
      <c r="N1779" s="57">
        <v>44357.51458333333</v>
      </c>
      <c r="O1779" s="58">
        <v>38453.0</v>
      </c>
      <c r="P1779" s="28">
        <f t="shared" ref="P1779:P1780" si="44">DATEDIF(O1779, TODAY(), "Y")</f>
        <v>21</v>
      </c>
      <c r="Q1779" s="28" t="s">
        <v>240</v>
      </c>
      <c r="R1779" s="28" t="s">
        <v>15772</v>
      </c>
      <c r="S1779" s="28"/>
      <c r="T1779" s="28"/>
      <c r="U1779" s="28"/>
      <c r="V1779" s="28"/>
      <c r="W1779" s="28" t="s">
        <v>12324</v>
      </c>
      <c r="X1779" s="28" t="s">
        <v>465</v>
      </c>
      <c r="Y1779" s="28" t="s">
        <v>15773</v>
      </c>
      <c r="Z1779" s="28" t="s">
        <v>12326</v>
      </c>
      <c r="AA1779" s="28" t="s">
        <v>12327</v>
      </c>
      <c r="AB1779" s="28" t="s">
        <v>12328</v>
      </c>
      <c r="AC1779" s="28" t="s">
        <v>24</v>
      </c>
      <c r="AD1779" s="23"/>
      <c r="AE1779" s="28" t="s">
        <v>10</v>
      </c>
      <c r="AF1779" s="23"/>
      <c r="AG1779" s="23"/>
      <c r="AH1779" s="23" t="str">
        <f>IFERROR(__xludf.DUMMYFUNCTION("IF(
ISNUMBER(MATCH(
C1779,
IMPORTRANGE(""https://docs.google.com/spreadsheets/d/1yTh1ELC33JHYOeEdgIiEclxPRyh0zOKtlawDltfUay8"",""'Interns'!A:A""),
0
)),
""Outreach Conducted"",
"""")"),"")</f>
        <v/>
      </c>
      <c r="AI1779" s="23"/>
      <c r="AJ1779" s="23"/>
      <c r="AK1779" s="23" t="str">
        <f>IFERROR(__xludf.DUMMYFUNCTION("XLOOKUP(C1779, 
   IMPORTRANGE(""1RdEdgHYrZ33LJ7RUHj_h-qkAFL92bcVjtIdVa-UlsCw"", ""Interns!D:D""), 
   IMPORTRANGE(""1RdEdgHYrZ33LJ7RUHj_h-qkAFL92bcVjtIdVa-UlsCw"", ""Interns!M:M""), 
   ""Not Found"")"),"")</f>
        <v/>
      </c>
      <c r="AL1779" s="23" t="str">
        <f>IFERROR(__xludf.DUMMYFUNCTION("XLOOKUP(C1779, 
   IMPORTRANGE(""1RdEdgHYrZ33LJ7RUHj_h-qkAFL92bcVjtIdVa-UlsCw"", ""Interns!D:D""), 
   IMPORTRANGE(""1RdEdgHYrZ33LJ7RUHj_h-qkAFL92bcVjtIdVa-UlsCw"", ""Interns!N:N""), 
   ""Not Found"")"),"")</f>
        <v/>
      </c>
      <c r="AM1779" s="23" t="str">
        <f>IFERROR(__xludf.DUMMYFUNCTION("XLOOKUP(C1779, 
   IMPORTRANGE(""1RdEdgHYrZ33LJ7RUHj_h-qkAFL92bcVjtIdVa-UlsCw"", ""Interns!D:D""), 
   IMPORTRANGE(""1RdEdgHYrZ33LJ7RUHj_h-qkAFL92bcVjtIdVa-UlsCw"", ""Interns!O:O""), 
   ""Not Found"")"),"")</f>
        <v/>
      </c>
      <c r="AN1779" s="23"/>
      <c r="AO1779" s="23" t="s">
        <v>15774</v>
      </c>
      <c r="AP1779" s="28" t="s">
        <v>5173</v>
      </c>
      <c r="AQ1779" s="28"/>
      <c r="AR1779" s="23"/>
      <c r="AS1779" s="23"/>
      <c r="AT1779" s="23"/>
      <c r="AU1779" s="23"/>
      <c r="AV1779" s="23"/>
    </row>
    <row r="1780">
      <c r="A1780" s="28" t="s">
        <v>5161</v>
      </c>
      <c r="B1780" s="28" t="s">
        <v>5162</v>
      </c>
      <c r="C1780" s="23" t="str">
        <f t="shared" si="39"/>
        <v>Aboubacar Sidiki Djoumande</v>
      </c>
      <c r="D1780" s="28" t="s">
        <v>7323</v>
      </c>
      <c r="E1780" s="28" t="s">
        <v>15775</v>
      </c>
      <c r="F1780" s="23">
        <f t="array" ref="F1780">IFERROR(
    INDEX('Hub Interns 226'!A:A, MATCH(C1780, 'Hub Interns 226'!B:B, 0)),"")</f>
        <v>137</v>
      </c>
      <c r="G1780" s="23">
        <f t="array" ref="G1780">IFERROR(
    INDEX('Hub Users 226'!A:A, MATCH(C1780, 'Hub Users 226'!B:B, 0)),"")</f>
        <v>570</v>
      </c>
      <c r="H1780" s="28">
        <v>422.0</v>
      </c>
      <c r="I1780" s="28" t="s">
        <v>302</v>
      </c>
      <c r="J1780" s="28"/>
      <c r="K1780" s="28" t="s">
        <v>5245</v>
      </c>
      <c r="L1780" s="28" t="s">
        <v>5165</v>
      </c>
      <c r="M1780" s="56" t="s">
        <v>7325</v>
      </c>
      <c r="N1780" s="57">
        <v>44314.541666666664</v>
      </c>
      <c r="O1780" s="58">
        <v>37800.0</v>
      </c>
      <c r="P1780" s="28">
        <f t="shared" si="44"/>
        <v>22</v>
      </c>
      <c r="Q1780" s="28" t="s">
        <v>240</v>
      </c>
      <c r="R1780" s="28" t="s">
        <v>15776</v>
      </c>
      <c r="S1780" s="28">
        <v>14.0</v>
      </c>
      <c r="T1780" s="28">
        <v>29.0</v>
      </c>
      <c r="U1780" s="28">
        <v>84.0</v>
      </c>
      <c r="V1780" s="28">
        <v>17.0</v>
      </c>
      <c r="W1780" s="28" t="s">
        <v>859</v>
      </c>
      <c r="X1780" s="28" t="s">
        <v>272</v>
      </c>
      <c r="Y1780" s="28" t="s">
        <v>15777</v>
      </c>
      <c r="Z1780" s="28" t="s">
        <v>5310</v>
      </c>
      <c r="AA1780" s="28" t="s">
        <v>362</v>
      </c>
      <c r="AB1780" s="28">
        <v>16.0</v>
      </c>
      <c r="AC1780" s="28" t="s">
        <v>24</v>
      </c>
      <c r="AD1780" s="23"/>
      <c r="AE1780" s="28" t="s">
        <v>8</v>
      </c>
      <c r="AF1780" s="23" t="str">
        <f>IFERROR(__xludf.DUMMYFUNCTION("TEXTJOIN("", "", TRUE,
  FILTER(Champions!C:C,
    ISNUMBER(SEARCH(C1780, Champions!W:W))
  )
)"),"Tara Shajan")</f>
        <v>Tara Shajan</v>
      </c>
      <c r="AG1780" s="23"/>
      <c r="AH1780" s="23" t="str">
        <f>IFERROR(__xludf.DUMMYFUNCTION("IF(
ISNUMBER(MATCH(
C1780,
IMPORTRANGE(""https://docs.google.com/spreadsheets/d/1yTh1ELC33JHYOeEdgIiEclxPRyh0zOKtlawDltfUay8"",""'Interns'!A:A""),
0
)),
""Outreach Conducted"",
"""")"),"")</f>
        <v/>
      </c>
      <c r="AI1780" s="23"/>
      <c r="AJ1780" s="23"/>
      <c r="AK1780" s="23" t="str">
        <f>IFERROR(__xludf.DUMMYFUNCTION("XLOOKUP(C1780, 
   IMPORTRANGE(""1RdEdgHYrZ33LJ7RUHj_h-qkAFL92bcVjtIdVa-UlsCw"", ""Interns!D:D""), 
   IMPORTRANGE(""1RdEdgHYrZ33LJ7RUHj_h-qkAFL92bcVjtIdVa-UlsCw"", ""Interns!M:M""), 
   ""Not Found"")"),"")</f>
        <v/>
      </c>
      <c r="AL1780" s="23" t="str">
        <f>IFERROR(__xludf.DUMMYFUNCTION("XLOOKUP(C1780, 
   IMPORTRANGE(""1RdEdgHYrZ33LJ7RUHj_h-qkAFL92bcVjtIdVa-UlsCw"", ""Interns!D:D""), 
   IMPORTRANGE(""1RdEdgHYrZ33LJ7RUHj_h-qkAFL92bcVjtIdVa-UlsCw"", ""Interns!N:N""), 
   ""Not Found"")"),"#Cheers4Careers, #SpeakingMyName")</f>
        <v>#Cheers4Careers, #SpeakingMyName</v>
      </c>
      <c r="AM1780" s="23" t="str">
        <f>IFERROR(__xludf.DUMMYFUNCTION("XLOOKUP(C1780, 
   IMPORTRANGE(""1RdEdgHYrZ33LJ7RUHj_h-qkAFL92bcVjtIdVa-UlsCw"", ""Interns!D:D""), 
   IMPORTRANGE(""1RdEdgHYrZ33LJ7RUHj_h-qkAFL92bcVjtIdVa-UlsCw"", ""Interns!O:O""), 
   ""Not Found"")"),"Ousmane reached out on 04/28 by text about the Cheers4careers May 24th.
Alicia reached out by email on 5/15 for #SpeakingMyName")</f>
        <v>Ousmane reached out on 04/28 by text about the Cheers4careers May 24th.
Alicia reached out by email on 5/15 for #SpeakingMyName</v>
      </c>
      <c r="AN1780" s="23"/>
      <c r="AO1780" s="23" t="s">
        <v>15775</v>
      </c>
      <c r="AP1780" s="28" t="s">
        <v>5191</v>
      </c>
      <c r="AQ1780" s="28"/>
      <c r="AR1780" s="23"/>
      <c r="AS1780" s="23"/>
      <c r="AT1780" s="23"/>
      <c r="AU1780" s="23"/>
      <c r="AV1780" s="23"/>
    </row>
    <row r="1781">
      <c r="A1781" s="28" t="s">
        <v>5202</v>
      </c>
      <c r="B1781" s="28" t="s">
        <v>5162</v>
      </c>
      <c r="C1781" s="23" t="str">
        <f t="shared" si="39"/>
        <v>Raissa Toure</v>
      </c>
      <c r="D1781" s="28" t="s">
        <v>12439</v>
      </c>
      <c r="E1781" s="28" t="s">
        <v>12554</v>
      </c>
      <c r="F1781" s="23" t="str">
        <f t="array" ref="F1781">IFERROR(
    INDEX('Hub Interns 226'!A:A, MATCH(C1781, 'Hub Interns 226'!B:B, 0)),"")</f>
        <v/>
      </c>
      <c r="G1781" s="23" t="str">
        <f t="array" ref="G1781">IFERROR(
    INDEX('Hub Users 226'!A:A, MATCH(C1781, 'Hub Users 226'!B:B, 0)),"")</f>
        <v/>
      </c>
      <c r="H1781" s="28">
        <v>45.0</v>
      </c>
      <c r="I1781" s="28" t="s">
        <v>260</v>
      </c>
      <c r="J1781" s="28"/>
      <c r="K1781" s="28"/>
      <c r="L1781" s="28"/>
      <c r="M1781" s="23"/>
      <c r="N1781" s="57">
        <v>43741.63055555556</v>
      </c>
      <c r="O1781" s="58"/>
      <c r="P1781" s="28"/>
      <c r="Q1781" s="28" t="s">
        <v>240</v>
      </c>
      <c r="R1781" s="23"/>
      <c r="S1781" s="28"/>
      <c r="T1781" s="28"/>
      <c r="U1781" s="28"/>
      <c r="V1781" s="28"/>
      <c r="W1781" s="28" t="s">
        <v>2633</v>
      </c>
      <c r="X1781" s="28" t="s">
        <v>241</v>
      </c>
      <c r="Y1781" s="28" t="s">
        <v>15778</v>
      </c>
      <c r="Z1781" s="28" t="s">
        <v>5294</v>
      </c>
      <c r="AA1781" s="28" t="s">
        <v>5294</v>
      </c>
      <c r="AB1781" s="28" t="s">
        <v>5295</v>
      </c>
      <c r="AC1781" s="28" t="s">
        <v>25</v>
      </c>
      <c r="AD1781" s="23"/>
      <c r="AE1781" s="28" t="s">
        <v>4</v>
      </c>
      <c r="AF1781" s="23" t="str">
        <f>IFERROR(__xludf.DUMMYFUNCTION("TEXTJOIN("", "", TRUE,
  FILTER(Champions!C:C,
    ISNUMBER(SEARCH(C1781, Champions!W:W))
  )
)"),"#N/A")</f>
        <v>#N/A</v>
      </c>
      <c r="AG1781" s="23"/>
      <c r="AH1781" s="23" t="str">
        <f>IFERROR(__xludf.DUMMYFUNCTION("IF(
ISNUMBER(MATCH(
C1781,
IMPORTRANGE(""https://docs.google.com/spreadsheets/d/1yTh1ELC33JHYOeEdgIiEclxPRyh0zOKtlawDltfUay8"",""'Interns'!A:A""),
0
)),
""Outreach Conducted"",
"""")"),"")</f>
        <v/>
      </c>
      <c r="AI1781" s="23"/>
      <c r="AJ1781" s="23"/>
      <c r="AK1781" s="23" t="str">
        <f>IFERROR(__xludf.DUMMYFUNCTION("XLOOKUP(C1781, 
   IMPORTRANGE(""1RdEdgHYrZ33LJ7RUHj_h-qkAFL92bcVjtIdVa-UlsCw"", ""Interns!D:D""), 
   IMPORTRANGE(""1RdEdgHYrZ33LJ7RUHj_h-qkAFL92bcVjtIdVa-UlsCw"", ""Interns!M:M""), 
   ""Not Found"")"),"")</f>
        <v/>
      </c>
      <c r="AL1781" s="23" t="str">
        <f>IFERROR(__xludf.DUMMYFUNCTION("XLOOKUP(C1781, 
   IMPORTRANGE(""1RdEdgHYrZ33LJ7RUHj_h-qkAFL92bcVjtIdVa-UlsCw"", ""Interns!D:D""), 
   IMPORTRANGE(""1RdEdgHYrZ33LJ7RUHj_h-qkAFL92bcVjtIdVa-UlsCw"", ""Interns!N:N""), 
   ""Not Found"")"),"")</f>
        <v/>
      </c>
      <c r="AM1781" s="23" t="str">
        <f>IFERROR(__xludf.DUMMYFUNCTION("XLOOKUP(C1781, 
   IMPORTRANGE(""1RdEdgHYrZ33LJ7RUHj_h-qkAFL92bcVjtIdVa-UlsCw"", ""Interns!D:D""), 
   IMPORTRANGE(""1RdEdgHYrZ33LJ7RUHj_h-qkAFL92bcVjtIdVa-UlsCw"", ""Interns!O:O""), 
   ""Not Found"")"),"")</f>
        <v/>
      </c>
      <c r="AN1781" s="23"/>
      <c r="AO1781" s="23" t="s">
        <v>15779</v>
      </c>
      <c r="AP1781" s="28" t="s">
        <v>5191</v>
      </c>
      <c r="AQ1781" s="28" t="s">
        <v>15779</v>
      </c>
      <c r="AR1781" s="23" t="s">
        <v>15780</v>
      </c>
      <c r="AS1781" s="23"/>
      <c r="AT1781" s="23"/>
      <c r="AU1781" s="23"/>
      <c r="AV1781" s="23"/>
    </row>
    <row r="1782">
      <c r="A1782" s="28" t="s">
        <v>5202</v>
      </c>
      <c r="B1782" s="28" t="s">
        <v>5162</v>
      </c>
      <c r="C1782" s="23" t="str">
        <f t="shared" si="39"/>
        <v>Reinalis Ayala</v>
      </c>
      <c r="D1782" s="28" t="s">
        <v>15781</v>
      </c>
      <c r="E1782" s="28" t="s">
        <v>12062</v>
      </c>
      <c r="F1782" s="23" t="str">
        <f t="array" ref="F1782">IFERROR(
    INDEX('Hub Interns 226'!A:A, MATCH(C1782, 'Hub Interns 226'!B:B, 0)),"")</f>
        <v/>
      </c>
      <c r="G1782" s="23" t="str">
        <f t="array" ref="G1782">IFERROR(
    INDEX('Hub Users 226'!A:A, MATCH(C1782, 'Hub Users 226'!B:B, 0)),"")</f>
        <v/>
      </c>
      <c r="H1782" s="28">
        <v>54.0</v>
      </c>
      <c r="I1782" s="28" t="s">
        <v>107</v>
      </c>
      <c r="J1782" s="28"/>
      <c r="K1782" s="28"/>
      <c r="L1782" s="28"/>
      <c r="M1782" s="28"/>
      <c r="N1782" s="57">
        <v>43741.63125</v>
      </c>
      <c r="O1782" s="58"/>
      <c r="P1782" s="28"/>
      <c r="Q1782" s="28" t="s">
        <v>240</v>
      </c>
      <c r="R1782" s="23"/>
      <c r="S1782" s="28"/>
      <c r="T1782" s="28"/>
      <c r="U1782" s="28"/>
      <c r="V1782" s="28"/>
      <c r="W1782" s="28" t="s">
        <v>2633</v>
      </c>
      <c r="X1782" s="28" t="s">
        <v>241</v>
      </c>
      <c r="Y1782" s="28" t="s">
        <v>15782</v>
      </c>
      <c r="Z1782" s="28" t="s">
        <v>5294</v>
      </c>
      <c r="AA1782" s="28" t="s">
        <v>5294</v>
      </c>
      <c r="AB1782" s="28" t="s">
        <v>5295</v>
      </c>
      <c r="AC1782" s="28" t="s">
        <v>25</v>
      </c>
      <c r="AD1782" s="23"/>
      <c r="AE1782" s="28" t="s">
        <v>4</v>
      </c>
      <c r="AF1782" s="23" t="str">
        <f>IFERROR(__xludf.DUMMYFUNCTION("TEXTJOIN("", "", TRUE,
  FILTER(Champions!C:C,
    ISNUMBER(SEARCH(C1782, Champions!W:W))
  )
)"),"Bhavna Mohan Agnihotri")</f>
        <v>Bhavna Mohan Agnihotri</v>
      </c>
      <c r="AG1782" s="23"/>
      <c r="AH1782" s="23" t="str">
        <f>IFERROR(__xludf.DUMMYFUNCTION("IF(
ISNUMBER(MATCH(
C1782,
IMPORTRANGE(""https://docs.google.com/spreadsheets/d/1yTh1ELC33JHYOeEdgIiEclxPRyh0zOKtlawDltfUay8"",""'Interns'!A:A""),
0
)),
""Outreach Conducted"",
"""")"),"")</f>
        <v/>
      </c>
      <c r="AI1782" s="23"/>
      <c r="AJ1782" s="23"/>
      <c r="AK1782" s="23" t="str">
        <f>IFERROR(__xludf.DUMMYFUNCTION("XLOOKUP(C1782, 
   IMPORTRANGE(""1RdEdgHYrZ33LJ7RUHj_h-qkAFL92bcVjtIdVa-UlsCw"", ""Interns!D:D""), 
   IMPORTRANGE(""1RdEdgHYrZ33LJ7RUHj_h-qkAFL92bcVjtIdVa-UlsCw"", ""Interns!M:M""), 
   ""Not Found"")"),"")</f>
        <v/>
      </c>
      <c r="AL1782" s="23" t="str">
        <f>IFERROR(__xludf.DUMMYFUNCTION("XLOOKUP(C1782, 
   IMPORTRANGE(""1RdEdgHYrZ33LJ7RUHj_h-qkAFL92bcVjtIdVa-UlsCw"", ""Interns!D:D""), 
   IMPORTRANGE(""1RdEdgHYrZ33LJ7RUHj_h-qkAFL92bcVjtIdVa-UlsCw"", ""Interns!N:N""), 
   ""Not Found"")"),"")</f>
        <v/>
      </c>
      <c r="AM1782" s="23" t="str">
        <f>IFERROR(__xludf.DUMMYFUNCTION("XLOOKUP(C1782, 
   IMPORTRANGE(""1RdEdgHYrZ33LJ7RUHj_h-qkAFL92bcVjtIdVa-UlsCw"", ""Interns!D:D""), 
   IMPORTRANGE(""1RdEdgHYrZ33LJ7RUHj_h-qkAFL92bcVjtIdVa-UlsCw"", ""Interns!O:O""), 
   ""Not Found"")"),"")</f>
        <v/>
      </c>
      <c r="AN1782" s="23"/>
      <c r="AO1782" s="23" t="s">
        <v>15783</v>
      </c>
      <c r="AP1782" s="28" t="s">
        <v>5182</v>
      </c>
      <c r="AQ1782" s="28" t="s">
        <v>15783</v>
      </c>
      <c r="AR1782" s="23" t="s">
        <v>15784</v>
      </c>
      <c r="AS1782" s="23"/>
      <c r="AT1782" s="23"/>
      <c r="AU1782" s="23"/>
      <c r="AV1782" s="23"/>
    </row>
    <row r="1783">
      <c r="A1783" s="28" t="s">
        <v>5161</v>
      </c>
      <c r="B1783" s="28" t="s">
        <v>5162</v>
      </c>
      <c r="C1783" s="23" t="str">
        <f t="shared" si="39"/>
        <v>Kejahnie Fagan</v>
      </c>
      <c r="D1783" s="28" t="s">
        <v>15785</v>
      </c>
      <c r="E1783" s="28" t="s">
        <v>15786</v>
      </c>
      <c r="F1783" s="23">
        <f t="array" ref="F1783">IFERROR(
    INDEX('Hub Interns 226'!A:A, MATCH(C1783, 'Hub Interns 226'!B:B, 0)),"")</f>
        <v>736</v>
      </c>
      <c r="G1783" s="23">
        <f t="array" ref="G1783">IFERROR(
    INDEX('Hub Users 226'!A:A, MATCH(C1783, 'Hub Users 226'!B:B, 0)),"")</f>
        <v>1169</v>
      </c>
      <c r="H1783" s="28">
        <v>1353.0</v>
      </c>
      <c r="I1783" s="28" t="s">
        <v>260</v>
      </c>
      <c r="J1783" s="28"/>
      <c r="K1783" s="28"/>
      <c r="L1783" s="28" t="s">
        <v>5165</v>
      </c>
      <c r="M1783" s="56" t="s">
        <v>15787</v>
      </c>
      <c r="N1783" s="59">
        <v>44859.490277777775</v>
      </c>
      <c r="O1783" s="58">
        <v>39784.0</v>
      </c>
      <c r="P1783" s="28">
        <f>DATEDIF(O1783, TODAY(), "Y")</f>
        <v>17</v>
      </c>
      <c r="Q1783" s="28" t="s">
        <v>240</v>
      </c>
      <c r="R1783" s="28" t="s">
        <v>15788</v>
      </c>
      <c r="S1783" s="28">
        <v>5.0</v>
      </c>
      <c r="T1783" s="28">
        <v>14.0</v>
      </c>
      <c r="U1783" s="28">
        <v>33.0</v>
      </c>
      <c r="V1783" s="28">
        <v>27.0</v>
      </c>
      <c r="W1783" s="28" t="s">
        <v>1173</v>
      </c>
      <c r="X1783" s="28" t="s">
        <v>272</v>
      </c>
      <c r="Y1783" s="28" t="s">
        <v>15789</v>
      </c>
      <c r="Z1783" s="28" t="s">
        <v>5332</v>
      </c>
      <c r="AA1783" s="28" t="s">
        <v>421</v>
      </c>
      <c r="AB1783" s="28">
        <v>31.0</v>
      </c>
      <c r="AC1783" s="28" t="s">
        <v>23</v>
      </c>
      <c r="AD1783" s="23"/>
      <c r="AE1783" s="28" t="s">
        <v>15</v>
      </c>
      <c r="AF1783" s="23"/>
      <c r="AG1783" s="23"/>
      <c r="AH1783" s="23" t="str">
        <f>IFERROR(__xludf.DUMMYFUNCTION("IF(
ISNUMBER(MATCH(
C1783,
IMPORTRANGE(""https://docs.google.com/spreadsheets/d/1yTh1ELC33JHYOeEdgIiEclxPRyh0zOKtlawDltfUay8"",""'Interns'!A:A""),
0
)),
""Outreach Conducted"",
"""")"),"")</f>
        <v/>
      </c>
      <c r="AI1783" s="23"/>
      <c r="AJ1783" s="23"/>
      <c r="AK1783" s="23" t="str">
        <f>IFERROR(__xludf.DUMMYFUNCTION("XLOOKUP(C1783, 
   IMPORTRANGE(""1RdEdgHYrZ33LJ7RUHj_h-qkAFL92bcVjtIdVa-UlsCw"", ""Interns!D:D""), 
   IMPORTRANGE(""1RdEdgHYrZ33LJ7RUHj_h-qkAFL92bcVjtIdVa-UlsCw"", ""Interns!M:M""), 
   ""Not Found"")"),"Contacted")</f>
        <v>Contacted</v>
      </c>
      <c r="AL1783" s="23" t="str">
        <f>IFERROR(__xludf.DUMMYFUNCTION("XLOOKUP(C1783, 
   IMPORTRANGE(""1RdEdgHYrZ33LJ7RUHj_h-qkAFL92bcVjtIdVa-UlsCw"", ""Interns!D:D""), 
   IMPORTRANGE(""1RdEdgHYrZ33LJ7RUHj_h-qkAFL92bcVjtIdVa-UlsCw"", ""Interns!N:N""), 
   ""Not Found"")"),"#Cheers4Careers")</f>
        <v>#Cheers4Careers</v>
      </c>
      <c r="AM1783" s="23" t="str">
        <f>IFERROR(__xludf.DUMMYFUNCTION("XLOOKUP(C1783, 
   IMPORTRANGE(""1RdEdgHYrZ33LJ7RUHj_h-qkAFL92bcVjtIdVa-UlsCw"", ""Interns!D:D""), 
   IMPORTRANGE(""1RdEdgHYrZ33LJ7RUHj_h-qkAFL92bcVjtIdVa-UlsCw"", ""Interns!O:O""), 
   ""Not Found"")"),"Hetal reached out March 27 for March #Cheers4 Careers ")</f>
        <v>Hetal reached out March 27 for March #Cheers4 Careers </v>
      </c>
      <c r="AN1783" s="23"/>
      <c r="AO1783" s="23" t="s">
        <v>15790</v>
      </c>
      <c r="AP1783" s="28" t="s">
        <v>5182</v>
      </c>
      <c r="AQ1783" s="28"/>
      <c r="AR1783" s="23"/>
      <c r="AS1783" s="23"/>
      <c r="AT1783" s="23"/>
      <c r="AU1783" s="23"/>
      <c r="AV1783" s="23"/>
    </row>
    <row r="1784">
      <c r="A1784" s="28" t="s">
        <v>5202</v>
      </c>
      <c r="B1784" s="28" t="s">
        <v>5162</v>
      </c>
      <c r="C1784" s="23" t="str">
        <f t="shared" si="39"/>
        <v>Ruth Penzo</v>
      </c>
      <c r="D1784" s="28" t="s">
        <v>9019</v>
      </c>
      <c r="E1784" s="28" t="s">
        <v>15791</v>
      </c>
      <c r="F1784" s="23" t="str">
        <f t="array" ref="F1784">IFERROR(
    INDEX('Hub Interns 226'!A:A, MATCH(C1784, 'Hub Interns 226'!B:B, 0)),"")</f>
        <v/>
      </c>
      <c r="G1784" s="23" t="str">
        <f t="array" ref="G1784">IFERROR(
    INDEX('Hub Users 226'!A:A, MATCH(C1784, 'Hub Users 226'!B:B, 0)),"")</f>
        <v/>
      </c>
      <c r="H1784" s="28">
        <v>73.0</v>
      </c>
      <c r="I1784" s="28" t="s">
        <v>269</v>
      </c>
      <c r="J1784" s="28"/>
      <c r="K1784" s="28"/>
      <c r="L1784" s="28"/>
      <c r="M1784" s="28"/>
      <c r="N1784" s="57">
        <v>43741.63125</v>
      </c>
      <c r="O1784" s="58"/>
      <c r="P1784" s="28"/>
      <c r="Q1784" s="28" t="s">
        <v>240</v>
      </c>
      <c r="R1784" s="23"/>
      <c r="S1784" s="28"/>
      <c r="T1784" s="28"/>
      <c r="U1784" s="28"/>
      <c r="V1784" s="28"/>
      <c r="W1784" s="28" t="s">
        <v>2633</v>
      </c>
      <c r="X1784" s="28" t="s">
        <v>241</v>
      </c>
      <c r="Y1784" s="28" t="s">
        <v>15792</v>
      </c>
      <c r="Z1784" s="28" t="s">
        <v>5294</v>
      </c>
      <c r="AA1784" s="28" t="s">
        <v>5294</v>
      </c>
      <c r="AB1784" s="28" t="s">
        <v>5295</v>
      </c>
      <c r="AC1784" s="28" t="s">
        <v>25</v>
      </c>
      <c r="AD1784" s="23"/>
      <c r="AE1784" s="28" t="s">
        <v>4</v>
      </c>
      <c r="AF1784" s="23" t="str">
        <f>IFERROR(__xludf.DUMMYFUNCTION("TEXTJOIN("", "", TRUE,
  FILTER(Champions!C:C,
    ISNUMBER(SEARCH(C1784, Champions!W:W))
  )
)"),"#N/A")</f>
        <v>#N/A</v>
      </c>
      <c r="AG1784" s="23"/>
      <c r="AH1784" s="23" t="str">
        <f>IFERROR(__xludf.DUMMYFUNCTION("IF(
ISNUMBER(MATCH(
C1784,
IMPORTRANGE(""https://docs.google.com/spreadsheets/d/1yTh1ELC33JHYOeEdgIiEclxPRyh0zOKtlawDltfUay8"",""'Interns'!A:A""),
0
)),
""Outreach Conducted"",
"""")"),"")</f>
        <v/>
      </c>
      <c r="AI1784" s="23"/>
      <c r="AJ1784" s="23"/>
      <c r="AK1784" s="23" t="str">
        <f>IFERROR(__xludf.DUMMYFUNCTION("XLOOKUP(C1784, 
   IMPORTRANGE(""1RdEdgHYrZ33LJ7RUHj_h-qkAFL92bcVjtIdVa-UlsCw"", ""Interns!D:D""), 
   IMPORTRANGE(""1RdEdgHYrZ33LJ7RUHj_h-qkAFL92bcVjtIdVa-UlsCw"", ""Interns!M:M""), 
   ""Not Found"")"),"")</f>
        <v/>
      </c>
      <c r="AL1784" s="23" t="str">
        <f>IFERROR(__xludf.DUMMYFUNCTION("XLOOKUP(C1784, 
   IMPORTRANGE(""1RdEdgHYrZ33LJ7RUHj_h-qkAFL92bcVjtIdVa-UlsCw"", ""Interns!D:D""), 
   IMPORTRANGE(""1RdEdgHYrZ33LJ7RUHj_h-qkAFL92bcVjtIdVa-UlsCw"", ""Interns!N:N""), 
   ""Not Found"")"),"")</f>
        <v/>
      </c>
      <c r="AM1784" s="23" t="str">
        <f>IFERROR(__xludf.DUMMYFUNCTION("XLOOKUP(C1784, 
   IMPORTRANGE(""1RdEdgHYrZ33LJ7RUHj_h-qkAFL92bcVjtIdVa-UlsCw"", ""Interns!D:D""), 
   IMPORTRANGE(""1RdEdgHYrZ33LJ7RUHj_h-qkAFL92bcVjtIdVa-UlsCw"", ""Interns!O:O""), 
   ""Not Found"")"),"")</f>
        <v/>
      </c>
      <c r="AN1784" s="23"/>
      <c r="AO1784" s="23" t="s">
        <v>15793</v>
      </c>
      <c r="AP1784" s="28" t="s">
        <v>5182</v>
      </c>
      <c r="AQ1784" s="28" t="s">
        <v>15793</v>
      </c>
      <c r="AR1784" s="23" t="s">
        <v>15794</v>
      </c>
      <c r="AS1784" s="23"/>
      <c r="AT1784" s="23"/>
      <c r="AU1784" s="23"/>
      <c r="AV1784" s="23"/>
    </row>
    <row r="1785">
      <c r="A1785" s="28" t="s">
        <v>5202</v>
      </c>
      <c r="B1785" s="28" t="s">
        <v>5162</v>
      </c>
      <c r="C1785" s="23" t="str">
        <f t="shared" si="39"/>
        <v>Tayshamarie Ramos</v>
      </c>
      <c r="D1785" s="28" t="s">
        <v>15795</v>
      </c>
      <c r="E1785" s="28" t="s">
        <v>7937</v>
      </c>
      <c r="F1785" s="23" t="str">
        <f t="array" ref="F1785">IFERROR(
    INDEX('Hub Interns 226'!A:A, MATCH(C1785, 'Hub Interns 226'!B:B, 0)),"")</f>
        <v/>
      </c>
      <c r="G1785" s="23" t="str">
        <f t="array" ref="G1785">IFERROR(
    INDEX('Hub Users 226'!A:A, MATCH(C1785, 'Hub Users 226'!B:B, 0)),"")</f>
        <v/>
      </c>
      <c r="H1785" s="28">
        <v>76.0</v>
      </c>
      <c r="I1785" s="28" t="s">
        <v>407</v>
      </c>
      <c r="J1785" s="28"/>
      <c r="K1785" s="28"/>
      <c r="L1785" s="28" t="s">
        <v>5196</v>
      </c>
      <c r="M1785" s="28"/>
      <c r="N1785" s="57">
        <v>43741.63125</v>
      </c>
      <c r="O1785" s="58"/>
      <c r="P1785" s="28"/>
      <c r="Q1785" s="28" t="s">
        <v>240</v>
      </c>
      <c r="R1785" s="23"/>
      <c r="S1785" s="28"/>
      <c r="T1785" s="28"/>
      <c r="U1785" s="28"/>
      <c r="V1785" s="28"/>
      <c r="W1785" s="28" t="s">
        <v>2633</v>
      </c>
      <c r="X1785" s="28" t="s">
        <v>241</v>
      </c>
      <c r="Y1785" s="28">
        <v>9.732733504E9</v>
      </c>
      <c r="Z1785" s="28" t="s">
        <v>5294</v>
      </c>
      <c r="AA1785" s="28" t="s">
        <v>5294</v>
      </c>
      <c r="AB1785" s="28" t="s">
        <v>5295</v>
      </c>
      <c r="AC1785" s="28" t="s">
        <v>25</v>
      </c>
      <c r="AD1785" s="23"/>
      <c r="AE1785" s="28" t="s">
        <v>4</v>
      </c>
      <c r="AF1785" s="23" t="str">
        <f>IFERROR(__xludf.DUMMYFUNCTION("TEXTJOIN("", "", TRUE,
  FILTER(Champions!C:C,
    ISNUMBER(SEARCH(C1785, Champions!W:W))
  )
)"),"#N/A")</f>
        <v>#N/A</v>
      </c>
      <c r="AG1785" s="23"/>
      <c r="AH1785" s="23" t="str">
        <f>IFERROR(__xludf.DUMMYFUNCTION("IF(
ISNUMBER(MATCH(
C1785,
IMPORTRANGE(""https://docs.google.com/spreadsheets/d/1yTh1ELC33JHYOeEdgIiEclxPRyh0zOKtlawDltfUay8"",""'Interns'!A:A""),
0
)),
""Outreach Conducted"",
"""")"),"")</f>
        <v/>
      </c>
      <c r="AI1785" s="23"/>
      <c r="AJ1785" s="23"/>
      <c r="AK1785" s="23" t="str">
        <f>IFERROR(__xludf.DUMMYFUNCTION("XLOOKUP(C1785, 
   IMPORTRANGE(""1RdEdgHYrZ33LJ7RUHj_h-qkAFL92bcVjtIdVa-UlsCw"", ""Interns!D:D""), 
   IMPORTRANGE(""1RdEdgHYrZ33LJ7RUHj_h-qkAFL92bcVjtIdVa-UlsCw"", ""Interns!M:M""), 
   ""Not Found"")"),"")</f>
        <v/>
      </c>
      <c r="AL1785" s="23" t="str">
        <f>IFERROR(__xludf.DUMMYFUNCTION("XLOOKUP(C1785, 
   IMPORTRANGE(""1RdEdgHYrZ33LJ7RUHj_h-qkAFL92bcVjtIdVa-UlsCw"", ""Interns!D:D""), 
   IMPORTRANGE(""1RdEdgHYrZ33LJ7RUHj_h-qkAFL92bcVjtIdVa-UlsCw"", ""Interns!N:N""), 
   ""Not Found"")"),"")</f>
        <v/>
      </c>
      <c r="AM1785" s="23" t="str">
        <f>IFERROR(__xludf.DUMMYFUNCTION("XLOOKUP(C1785, 
   IMPORTRANGE(""1RdEdgHYrZ33LJ7RUHj_h-qkAFL92bcVjtIdVa-UlsCw"", ""Interns!D:D""), 
   IMPORTRANGE(""1RdEdgHYrZ33LJ7RUHj_h-qkAFL92bcVjtIdVa-UlsCw"", ""Interns!O:O""), 
   ""Not Found"")"),"")</f>
        <v/>
      </c>
      <c r="AN1785" s="23"/>
      <c r="AO1785" s="23" t="s">
        <v>15796</v>
      </c>
      <c r="AP1785" s="28" t="s">
        <v>5182</v>
      </c>
      <c r="AQ1785" s="28" t="s">
        <v>15796</v>
      </c>
      <c r="AR1785" s="23" t="s">
        <v>15797</v>
      </c>
      <c r="AS1785" s="23"/>
      <c r="AT1785" s="23"/>
      <c r="AU1785" s="23"/>
      <c r="AV1785" s="23"/>
    </row>
    <row r="1786">
      <c r="A1786" s="28" t="s">
        <v>5161</v>
      </c>
      <c r="B1786" s="28" t="s">
        <v>5162</v>
      </c>
      <c r="C1786" s="23" t="str">
        <f t="shared" si="39"/>
        <v>Zion Logan</v>
      </c>
      <c r="D1786" s="28" t="s">
        <v>15798</v>
      </c>
      <c r="E1786" s="28" t="s">
        <v>1992</v>
      </c>
      <c r="F1786" s="23">
        <f t="array" ref="F1786">IFERROR(
    INDEX('Hub Interns 226'!A:A, MATCH(C1786, 'Hub Interns 226'!B:B, 0)),"")</f>
        <v>1260</v>
      </c>
      <c r="G1786" s="23">
        <f t="array" ref="G1786">IFERROR(
    INDEX('Hub Users 226'!A:A, MATCH(C1786, 'Hub Users 226'!B:B, 0)),"")</f>
        <v>1693</v>
      </c>
      <c r="H1786" s="28">
        <v>1413.0</v>
      </c>
      <c r="I1786" s="28" t="s">
        <v>269</v>
      </c>
      <c r="J1786" s="28"/>
      <c r="K1786" s="28"/>
      <c r="L1786" s="28" t="s">
        <v>5165</v>
      </c>
      <c r="M1786" s="56" t="s">
        <v>15799</v>
      </c>
      <c r="N1786" s="59">
        <v>44865.59652777778</v>
      </c>
      <c r="O1786" s="58">
        <v>39517.0</v>
      </c>
      <c r="P1786" s="28">
        <f>DATEDIF(O1786, TODAY(), "Y")</f>
        <v>18</v>
      </c>
      <c r="Q1786" s="28" t="s">
        <v>240</v>
      </c>
      <c r="R1786" s="28" t="s">
        <v>15800</v>
      </c>
      <c r="S1786" s="28">
        <v>5.0</v>
      </c>
      <c r="T1786" s="28">
        <v>14.0</v>
      </c>
      <c r="U1786" s="28">
        <v>33.0</v>
      </c>
      <c r="V1786" s="28">
        <v>27.0</v>
      </c>
      <c r="W1786" s="28" t="s">
        <v>1173</v>
      </c>
      <c r="X1786" s="28" t="s">
        <v>272</v>
      </c>
      <c r="Y1786" s="28" t="s">
        <v>15801</v>
      </c>
      <c r="Z1786" s="28" t="s">
        <v>5332</v>
      </c>
      <c r="AA1786" s="28" t="s">
        <v>421</v>
      </c>
      <c r="AB1786" s="28">
        <v>31.0</v>
      </c>
      <c r="AC1786" s="28" t="s">
        <v>23</v>
      </c>
      <c r="AD1786" s="28" t="s">
        <v>101</v>
      </c>
      <c r="AE1786" s="28" t="s">
        <v>15</v>
      </c>
      <c r="AF1786" s="23"/>
      <c r="AG1786" s="23"/>
      <c r="AH1786" s="23" t="str">
        <f>IFERROR(__xludf.DUMMYFUNCTION("IF(
ISNUMBER(MATCH(
C1786,
IMPORTRANGE(""https://docs.google.com/spreadsheets/d/1yTh1ELC33JHYOeEdgIiEclxPRyh0zOKtlawDltfUay8"",""'Interns'!A:A""),
0
)),
""Outreach Conducted"",
"""")"),"")</f>
        <v/>
      </c>
      <c r="AI1786" s="23"/>
      <c r="AJ1786" s="23"/>
      <c r="AK1786" s="23" t="str">
        <f>IFERROR(__xludf.DUMMYFUNCTION("XLOOKUP(C1786, 
   IMPORTRANGE(""1RdEdgHYrZ33LJ7RUHj_h-qkAFL92bcVjtIdVa-UlsCw"", ""Interns!D:D""), 
   IMPORTRANGE(""1RdEdgHYrZ33LJ7RUHj_h-qkAFL92bcVjtIdVa-UlsCw"", ""Interns!M:M""), 
   ""Not Found"")"),"Contacted")</f>
        <v>Contacted</v>
      </c>
      <c r="AL1786" s="23" t="str">
        <f>IFERROR(__xludf.DUMMYFUNCTION("XLOOKUP(C1786, 
   IMPORTRANGE(""1RdEdgHYrZ33LJ7RUHj_h-qkAFL92bcVjtIdVa-UlsCw"", ""Interns!D:D""), 
   IMPORTRANGE(""1RdEdgHYrZ33LJ7RUHj_h-qkAFL92bcVjtIdVa-UlsCw"", ""Interns!N:N""), 
   ""Not Found"")"),"#Cheers4Careers")</f>
        <v>#Cheers4Careers</v>
      </c>
      <c r="AM1786" s="23" t="str">
        <f>IFERROR(__xludf.DUMMYFUNCTION("XLOOKUP(C1786, 
   IMPORTRANGE(""1RdEdgHYrZ33LJ7RUHj_h-qkAFL92bcVjtIdVa-UlsCw"", ""Interns!D:D""), 
   IMPORTRANGE(""1RdEdgHYrZ33LJ7RUHj_h-qkAFL92bcVjtIdVa-UlsCw"", ""Interns!O:O""), 
   ""Not Found"")"),"Hetal reached out March 27 for March #Cheers4 Careers and texted")</f>
        <v>Hetal reached out March 27 for March #Cheers4 Careers and texted</v>
      </c>
      <c r="AN1786" s="23"/>
      <c r="AO1786" s="23" t="s">
        <v>15802</v>
      </c>
      <c r="AP1786" s="28" t="s">
        <v>5182</v>
      </c>
      <c r="AQ1786" s="28"/>
      <c r="AR1786" s="23"/>
      <c r="AS1786" s="23"/>
      <c r="AT1786" s="23"/>
      <c r="AU1786" s="23"/>
      <c r="AV1786" s="23"/>
    </row>
    <row r="1787">
      <c r="A1787" s="28" t="s">
        <v>5202</v>
      </c>
      <c r="B1787" s="28" t="s">
        <v>5162</v>
      </c>
      <c r="C1787" s="23" t="str">
        <f t="shared" si="39"/>
        <v>Shantae Brown</v>
      </c>
      <c r="D1787" s="28" t="s">
        <v>15803</v>
      </c>
      <c r="E1787" s="28" t="s">
        <v>13685</v>
      </c>
      <c r="F1787" s="23" t="str">
        <f t="array" ref="F1787">IFERROR(
    INDEX('Hub Interns 226'!A:A, MATCH(C1787, 'Hub Interns 226'!B:B, 0)),"")</f>
        <v/>
      </c>
      <c r="G1787" s="23" t="str">
        <f t="array" ref="G1787">IFERROR(
    INDEX('Hub Users 226'!A:A, MATCH(C1787, 'Hub Users 226'!B:B, 0)),"")</f>
        <v/>
      </c>
      <c r="H1787" s="28">
        <v>74.0</v>
      </c>
      <c r="I1787" s="28" t="s">
        <v>407</v>
      </c>
      <c r="J1787" s="28"/>
      <c r="K1787" s="28"/>
      <c r="L1787" s="28"/>
      <c r="M1787" s="28"/>
      <c r="N1787" s="57">
        <v>43741.63125</v>
      </c>
      <c r="O1787" s="58"/>
      <c r="P1787" s="28"/>
      <c r="Q1787" s="28" t="s">
        <v>240</v>
      </c>
      <c r="R1787" s="23"/>
      <c r="S1787" s="28"/>
      <c r="T1787" s="28"/>
      <c r="U1787" s="28"/>
      <c r="V1787" s="28"/>
      <c r="W1787" s="28" t="s">
        <v>294</v>
      </c>
      <c r="X1787" s="28" t="s">
        <v>272</v>
      </c>
      <c r="Y1787" s="28" t="s">
        <v>15804</v>
      </c>
      <c r="Z1787" s="28" t="s">
        <v>10736</v>
      </c>
      <c r="AA1787" s="28" t="s">
        <v>10736</v>
      </c>
      <c r="AB1787" s="28">
        <v>35.0</v>
      </c>
      <c r="AC1787" s="28" t="s">
        <v>25</v>
      </c>
      <c r="AD1787" s="23"/>
      <c r="AE1787" s="28" t="s">
        <v>4</v>
      </c>
      <c r="AF1787" s="23" t="str">
        <f>IFERROR(__xludf.DUMMYFUNCTION("TEXTJOIN("", "", TRUE,
  FILTER(Champions!C:C,
    ISNUMBER(SEARCH(C1787, Champions!W:W))
  )
)"),"#N/A")</f>
        <v>#N/A</v>
      </c>
      <c r="AG1787" s="23"/>
      <c r="AH1787" s="23" t="str">
        <f>IFERROR(__xludf.DUMMYFUNCTION("IF(
ISNUMBER(MATCH(
C1787,
IMPORTRANGE(""https://docs.google.com/spreadsheets/d/1yTh1ELC33JHYOeEdgIiEclxPRyh0zOKtlawDltfUay8"",""'Interns'!A:A""),
0
)),
""Outreach Conducted"",
"""")"),"")</f>
        <v/>
      </c>
      <c r="AI1787" s="23"/>
      <c r="AJ1787" s="23"/>
      <c r="AK1787" s="23" t="str">
        <f>IFERROR(__xludf.DUMMYFUNCTION("XLOOKUP(C1787, 
   IMPORTRANGE(""1RdEdgHYrZ33LJ7RUHj_h-qkAFL92bcVjtIdVa-UlsCw"", ""Interns!D:D""), 
   IMPORTRANGE(""1RdEdgHYrZ33LJ7RUHj_h-qkAFL92bcVjtIdVa-UlsCw"", ""Interns!M:M""), 
   ""Not Found"")"),"")</f>
        <v/>
      </c>
      <c r="AL1787" s="23" t="str">
        <f>IFERROR(__xludf.DUMMYFUNCTION("XLOOKUP(C1787, 
   IMPORTRANGE(""1RdEdgHYrZ33LJ7RUHj_h-qkAFL92bcVjtIdVa-UlsCw"", ""Interns!D:D""), 
   IMPORTRANGE(""1RdEdgHYrZ33LJ7RUHj_h-qkAFL92bcVjtIdVa-UlsCw"", ""Interns!N:N""), 
   ""Not Found"")"),"")</f>
        <v/>
      </c>
      <c r="AM1787" s="23" t="str">
        <f>IFERROR(__xludf.DUMMYFUNCTION("XLOOKUP(C1787, 
   IMPORTRANGE(""1RdEdgHYrZ33LJ7RUHj_h-qkAFL92bcVjtIdVa-UlsCw"", ""Interns!D:D""), 
   IMPORTRANGE(""1RdEdgHYrZ33LJ7RUHj_h-qkAFL92bcVjtIdVa-UlsCw"", ""Interns!O:O""), 
   ""Not Found"")"),"")</f>
        <v/>
      </c>
      <c r="AN1787" s="23"/>
      <c r="AO1787" s="23" t="s">
        <v>15805</v>
      </c>
      <c r="AP1787" s="28" t="s">
        <v>5191</v>
      </c>
      <c r="AQ1787" s="28" t="s">
        <v>15805</v>
      </c>
      <c r="AR1787" s="23" t="s">
        <v>15804</v>
      </c>
      <c r="AS1787" s="23"/>
      <c r="AT1787" s="23"/>
      <c r="AU1787" s="23"/>
      <c r="AV1787" s="23"/>
    </row>
    <row r="1788">
      <c r="A1788" s="28" t="s">
        <v>5161</v>
      </c>
      <c r="B1788" s="28" t="s">
        <v>5162</v>
      </c>
      <c r="C1788" s="23" t="str">
        <f t="shared" si="39"/>
        <v>Abdoulaye Kaba</v>
      </c>
      <c r="D1788" s="28" t="s">
        <v>15806</v>
      </c>
      <c r="E1788" s="28" t="s">
        <v>15807</v>
      </c>
      <c r="F1788" s="23">
        <f t="array" ref="F1788">IFERROR(
    INDEX('Hub Interns 226'!A:A, MATCH(C1788, 'Hub Interns 226'!B:B, 0)),"")</f>
        <v>131</v>
      </c>
      <c r="G1788" s="23">
        <f t="array" ref="G1788">IFERROR(
    INDEX('Hub Users 226'!A:A, MATCH(C1788, 'Hub Users 226'!B:B, 0)),"")</f>
        <v>564</v>
      </c>
      <c r="H1788" s="28">
        <v>1564.0</v>
      </c>
      <c r="I1788" s="28" t="s">
        <v>239</v>
      </c>
      <c r="J1788" s="28"/>
      <c r="K1788" s="28"/>
      <c r="L1788" s="28" t="s">
        <v>5165</v>
      </c>
      <c r="M1788" s="56" t="s">
        <v>15808</v>
      </c>
      <c r="N1788" s="57">
        <v>45006.58819444444</v>
      </c>
      <c r="O1788" s="58">
        <v>39043.0</v>
      </c>
      <c r="P1788" s="28">
        <f>DATEDIF(O1788, TODAY(), "Y")</f>
        <v>19</v>
      </c>
      <c r="Q1788" s="28" t="s">
        <v>240</v>
      </c>
      <c r="R1788" s="28" t="s">
        <v>15809</v>
      </c>
      <c r="S1788" s="28"/>
      <c r="T1788" s="28"/>
      <c r="U1788" s="28"/>
      <c r="V1788" s="28"/>
      <c r="W1788" s="28" t="s">
        <v>1173</v>
      </c>
      <c r="X1788" s="28" t="s">
        <v>272</v>
      </c>
      <c r="Y1788" s="28" t="s">
        <v>15810</v>
      </c>
      <c r="Z1788" s="28" t="s">
        <v>5332</v>
      </c>
      <c r="AA1788" s="28" t="s">
        <v>421</v>
      </c>
      <c r="AB1788" s="28">
        <v>31.0</v>
      </c>
      <c r="AC1788" s="28" t="s">
        <v>23</v>
      </c>
      <c r="AD1788" s="23"/>
      <c r="AE1788" s="28" t="s">
        <v>15</v>
      </c>
      <c r="AF1788" s="23"/>
      <c r="AG1788" s="23"/>
      <c r="AH1788" s="23" t="str">
        <f>IFERROR(__xludf.DUMMYFUNCTION("IF(
ISNUMBER(MATCH(
C1788,
IMPORTRANGE(""https://docs.google.com/spreadsheets/d/1yTh1ELC33JHYOeEdgIiEclxPRyh0zOKtlawDltfUay8"",""'Interns'!A:A""),
0
)),
""Outreach Conducted"",
"""")"),"")</f>
        <v/>
      </c>
      <c r="AI1788" s="23"/>
      <c r="AJ1788" s="23"/>
      <c r="AK1788" s="23" t="str">
        <f>IFERROR(__xludf.DUMMYFUNCTION("XLOOKUP(C1788, 
   IMPORTRANGE(""1RdEdgHYrZ33LJ7RUHj_h-qkAFL92bcVjtIdVa-UlsCw"", ""Interns!D:D""), 
   IMPORTRANGE(""1RdEdgHYrZ33LJ7RUHj_h-qkAFL92bcVjtIdVa-UlsCw"", ""Interns!M:M""), 
   ""Not Found"")"),"Contacted")</f>
        <v>Contacted</v>
      </c>
      <c r="AL1788" s="23" t="str">
        <f>IFERROR(__xludf.DUMMYFUNCTION("XLOOKUP(C1788, 
   IMPORTRANGE(""1RdEdgHYrZ33LJ7RUHj_h-qkAFL92bcVjtIdVa-UlsCw"", ""Interns!D:D""), 
   IMPORTRANGE(""1RdEdgHYrZ33LJ7RUHj_h-qkAFL92bcVjtIdVa-UlsCw"", ""Interns!N:N""), 
   ""Not Found"")"),"#Cheers4Careers")</f>
        <v>#Cheers4Careers</v>
      </c>
      <c r="AM1788" s="23" t="str">
        <f>IFERROR(__xludf.DUMMYFUNCTION("XLOOKUP(C1788, 
   IMPORTRANGE(""1RdEdgHYrZ33LJ7RUHj_h-qkAFL92bcVjtIdVa-UlsCw"", ""Interns!D:D""), 
   IMPORTRANGE(""1RdEdgHYrZ33LJ7RUHj_h-qkAFL92bcVjtIdVa-UlsCw"", ""Interns!O:O""), 
   ""Not Found"")"),"Hetal reached out March 27 for March #Cheers4 Careers - email blocked and texted")</f>
        <v>Hetal reached out March 27 for March #Cheers4 Careers - email blocked and texted</v>
      </c>
      <c r="AN1788" s="23"/>
      <c r="AO1788" s="23" t="s">
        <v>15811</v>
      </c>
      <c r="AP1788" s="28" t="s">
        <v>5191</v>
      </c>
      <c r="AQ1788" s="28"/>
      <c r="AR1788" s="23"/>
      <c r="AS1788" s="23"/>
      <c r="AT1788" s="23"/>
      <c r="AU1788" s="23"/>
      <c r="AV1788" s="23"/>
    </row>
    <row r="1789">
      <c r="A1789" s="28" t="s">
        <v>5202</v>
      </c>
      <c r="B1789" s="28" t="s">
        <v>5162</v>
      </c>
      <c r="C1789" s="23" t="str">
        <f t="shared" si="39"/>
        <v>Vanessa Ramirez Tapia</v>
      </c>
      <c r="D1789" s="28" t="s">
        <v>2909</v>
      </c>
      <c r="E1789" s="28" t="s">
        <v>15812</v>
      </c>
      <c r="F1789" s="23" t="str">
        <f t="array" ref="F1789">IFERROR(
    INDEX('Hub Interns 226'!A:A, MATCH(C1789, 'Hub Interns 226'!B:B, 0)),"")</f>
        <v/>
      </c>
      <c r="G1789" s="23" t="str">
        <f t="array" ref="G1789">IFERROR(
    INDEX('Hub Users 226'!A:A, MATCH(C1789, 'Hub Users 226'!B:B, 0)),"")</f>
        <v/>
      </c>
      <c r="H1789" s="28">
        <v>77.0</v>
      </c>
      <c r="I1789" s="28" t="s">
        <v>407</v>
      </c>
      <c r="J1789" s="28"/>
      <c r="K1789" s="28"/>
      <c r="L1789" s="28" t="s">
        <v>5196</v>
      </c>
      <c r="M1789" s="28"/>
      <c r="N1789" s="57">
        <v>43741.63125</v>
      </c>
      <c r="O1789" s="58"/>
      <c r="P1789" s="28"/>
      <c r="Q1789" s="28" t="s">
        <v>240</v>
      </c>
      <c r="R1789" s="23"/>
      <c r="S1789" s="28"/>
      <c r="T1789" s="28"/>
      <c r="U1789" s="28"/>
      <c r="V1789" s="28"/>
      <c r="W1789" s="28" t="s">
        <v>294</v>
      </c>
      <c r="X1789" s="28" t="s">
        <v>272</v>
      </c>
      <c r="Y1789" s="28" t="s">
        <v>15813</v>
      </c>
      <c r="Z1789" s="28" t="s">
        <v>10736</v>
      </c>
      <c r="AA1789" s="28" t="s">
        <v>10736</v>
      </c>
      <c r="AB1789" s="28">
        <v>35.0</v>
      </c>
      <c r="AC1789" s="28" t="s">
        <v>25</v>
      </c>
      <c r="AD1789" s="23"/>
      <c r="AE1789" s="28" t="s">
        <v>4</v>
      </c>
      <c r="AF1789" s="23" t="str">
        <f>IFERROR(__xludf.DUMMYFUNCTION("TEXTJOIN("", "", TRUE,
  FILTER(Champions!C:C,
    ISNUMBER(SEARCH(C1789, Champions!W:W))
  )
)"),"Weina Chen")</f>
        <v>Weina Chen</v>
      </c>
      <c r="AG1789" s="23"/>
      <c r="AH1789" s="23" t="str">
        <f>IFERROR(__xludf.DUMMYFUNCTION("IF(
ISNUMBER(MATCH(
C1789,
IMPORTRANGE(""https://docs.google.com/spreadsheets/d/1yTh1ELC33JHYOeEdgIiEclxPRyh0zOKtlawDltfUay8"",""'Interns'!A:A""),
0
)),
""Outreach Conducted"",
"""")"),"")</f>
        <v/>
      </c>
      <c r="AI1789" s="23"/>
      <c r="AJ1789" s="23"/>
      <c r="AK1789" s="23" t="str">
        <f>IFERROR(__xludf.DUMMYFUNCTION("XLOOKUP(C1789, 
   IMPORTRANGE(""1RdEdgHYrZ33LJ7RUHj_h-qkAFL92bcVjtIdVa-UlsCw"", ""Interns!D:D""), 
   IMPORTRANGE(""1RdEdgHYrZ33LJ7RUHj_h-qkAFL92bcVjtIdVa-UlsCw"", ""Interns!M:M""), 
   ""Not Found"")"),"")</f>
        <v/>
      </c>
      <c r="AL1789" s="23" t="str">
        <f>IFERROR(__xludf.DUMMYFUNCTION("XLOOKUP(C1789, 
   IMPORTRANGE(""1RdEdgHYrZ33LJ7RUHj_h-qkAFL92bcVjtIdVa-UlsCw"", ""Interns!D:D""), 
   IMPORTRANGE(""1RdEdgHYrZ33LJ7RUHj_h-qkAFL92bcVjtIdVa-UlsCw"", ""Interns!N:N""), 
   ""Not Found"")"),"")</f>
        <v/>
      </c>
      <c r="AM1789" s="23" t="str">
        <f>IFERROR(__xludf.DUMMYFUNCTION("XLOOKUP(C1789, 
   IMPORTRANGE(""1RdEdgHYrZ33LJ7RUHj_h-qkAFL92bcVjtIdVa-UlsCw"", ""Interns!D:D""), 
   IMPORTRANGE(""1RdEdgHYrZ33LJ7RUHj_h-qkAFL92bcVjtIdVa-UlsCw"", ""Interns!O:O""), 
   ""Not Found"")"),"")</f>
        <v/>
      </c>
      <c r="AN1789" s="23"/>
      <c r="AO1789" s="23" t="s">
        <v>15814</v>
      </c>
      <c r="AP1789" s="28" t="s">
        <v>5182</v>
      </c>
      <c r="AQ1789" s="28" t="s">
        <v>15814</v>
      </c>
      <c r="AR1789" s="23" t="s">
        <v>15815</v>
      </c>
      <c r="AS1789" s="23"/>
      <c r="AT1789" s="23"/>
      <c r="AU1789" s="23"/>
      <c r="AV1789" s="23"/>
    </row>
    <row r="1790">
      <c r="A1790" s="28" t="s">
        <v>5202</v>
      </c>
      <c r="B1790" s="28" t="s">
        <v>5162</v>
      </c>
      <c r="C1790" s="23" t="str">
        <f t="shared" si="39"/>
        <v>Arianna Francisco</v>
      </c>
      <c r="D1790" s="28" t="s">
        <v>15816</v>
      </c>
      <c r="E1790" s="28" t="s">
        <v>7582</v>
      </c>
      <c r="F1790" s="23">
        <f t="array" ref="F1790">IFERROR(
    INDEX('Hub Interns 226'!A:A, MATCH(C1790, 'Hub Interns 226'!B:B, 0)),"")</f>
        <v>257</v>
      </c>
      <c r="G1790" s="23">
        <f t="array" ref="G1790">IFERROR(
    INDEX('Hub Users 226'!A:A, MATCH(C1790, 'Hub Users 226'!B:B, 0)),"")</f>
        <v>690</v>
      </c>
      <c r="H1790" s="28">
        <v>144.0</v>
      </c>
      <c r="I1790" s="28" t="s">
        <v>269</v>
      </c>
      <c r="J1790" s="28"/>
      <c r="K1790" s="28"/>
      <c r="L1790" s="28" t="s">
        <v>5196</v>
      </c>
      <c r="M1790" s="56" t="s">
        <v>15817</v>
      </c>
      <c r="N1790" s="59">
        <v>43781.44236111111</v>
      </c>
      <c r="O1790" s="58">
        <v>38082.0</v>
      </c>
      <c r="P1790" s="28">
        <f t="shared" ref="P1790:P1794" si="45">DATEDIF(O1790, TODAY(), "Y")</f>
        <v>22</v>
      </c>
      <c r="Q1790" s="28" t="s">
        <v>240</v>
      </c>
      <c r="R1790" s="23"/>
      <c r="S1790" s="28"/>
      <c r="T1790" s="28"/>
      <c r="U1790" s="28"/>
      <c r="V1790" s="28"/>
      <c r="W1790" s="28" t="s">
        <v>1173</v>
      </c>
      <c r="X1790" s="28" t="s">
        <v>272</v>
      </c>
      <c r="Y1790" s="28">
        <v>6.467322564E9</v>
      </c>
      <c r="Z1790" s="28" t="s">
        <v>5319</v>
      </c>
      <c r="AA1790" s="28" t="s">
        <v>781</v>
      </c>
      <c r="AB1790" s="28">
        <v>31.0</v>
      </c>
      <c r="AC1790" s="28" t="s">
        <v>25</v>
      </c>
      <c r="AD1790" s="23"/>
      <c r="AE1790" s="28" t="s">
        <v>6</v>
      </c>
      <c r="AF1790" s="23" t="str">
        <f>IFERROR(__xludf.DUMMYFUNCTION("TEXTJOIN("", "", TRUE,
  FILTER(Champions!C:C,
    ISNUMBER(SEARCH(C1790, Champions!W:W))
  )
)"),"Casey Burry, Quynh Giao Thi Tran")</f>
        <v>Casey Burry, Quynh Giao Thi Tran</v>
      </c>
      <c r="AG1790" s="23"/>
      <c r="AH1790" s="23" t="str">
        <f>IFERROR(__xludf.DUMMYFUNCTION("IF(
ISNUMBER(MATCH(
C1790,
IMPORTRANGE(""https://docs.google.com/spreadsheets/d/1yTh1ELC33JHYOeEdgIiEclxPRyh0zOKtlawDltfUay8"",""'Interns'!A:A""),
0
)),
""Outreach Conducted"",
"""")"),"")</f>
        <v/>
      </c>
      <c r="AI1790" s="23"/>
      <c r="AJ1790" s="23"/>
      <c r="AK1790" s="23" t="str">
        <f>IFERROR(__xludf.DUMMYFUNCTION("XLOOKUP(C1790, 
   IMPORTRANGE(""1RdEdgHYrZ33LJ7RUHj_h-qkAFL92bcVjtIdVa-UlsCw"", ""Interns!D:D""), 
   IMPORTRANGE(""1RdEdgHYrZ33LJ7RUHj_h-qkAFL92bcVjtIdVa-UlsCw"", ""Interns!M:M""), 
   ""Not Found"")"),"")</f>
        <v/>
      </c>
      <c r="AL1790" s="23" t="str">
        <f>IFERROR(__xludf.DUMMYFUNCTION("XLOOKUP(C1790, 
   IMPORTRANGE(""1RdEdgHYrZ33LJ7RUHj_h-qkAFL92bcVjtIdVa-UlsCw"", ""Interns!D:D""), 
   IMPORTRANGE(""1RdEdgHYrZ33LJ7RUHj_h-qkAFL92bcVjtIdVa-UlsCw"", ""Interns!N:N""), 
   ""Not Found"")"),"")</f>
        <v/>
      </c>
      <c r="AM1790" s="23" t="str">
        <f>IFERROR(__xludf.DUMMYFUNCTION("XLOOKUP(C1790, 
   IMPORTRANGE(""1RdEdgHYrZ33LJ7RUHj_h-qkAFL92bcVjtIdVa-UlsCw"", ""Interns!D:D""), 
   IMPORTRANGE(""1RdEdgHYrZ33LJ7RUHj_h-qkAFL92bcVjtIdVa-UlsCw"", ""Interns!O:O""), 
   ""Not Found"")"),"")</f>
        <v/>
      </c>
      <c r="AN1790" s="23"/>
      <c r="AO1790" s="23" t="s">
        <v>15818</v>
      </c>
      <c r="AP1790" s="28" t="s">
        <v>5182</v>
      </c>
      <c r="AQ1790" s="28" t="s">
        <v>15819</v>
      </c>
      <c r="AR1790" s="23">
        <v>6.462806113E9</v>
      </c>
      <c r="AS1790" s="23"/>
      <c r="AT1790" s="23"/>
      <c r="AU1790" s="23"/>
      <c r="AV1790" s="23"/>
    </row>
    <row r="1791">
      <c r="A1791" s="28" t="s">
        <v>5161</v>
      </c>
      <c r="B1791" s="28" t="s">
        <v>5162</v>
      </c>
      <c r="C1791" s="23" t="str">
        <f t="shared" si="39"/>
        <v>Juan Trevino</v>
      </c>
      <c r="D1791" s="28" t="s">
        <v>5764</v>
      </c>
      <c r="E1791" s="28" t="s">
        <v>15820</v>
      </c>
      <c r="F1791" s="23">
        <f t="array" ref="F1791">IFERROR(
    INDEX('Hub Interns 226'!A:A, MATCH(C1791, 'Hub Interns 226'!B:B, 0)),"")</f>
        <v>24</v>
      </c>
      <c r="G1791" s="23">
        <f t="array" ref="G1791">IFERROR(
    INDEX('Hub Users 226'!A:A, MATCH(C1791, 'Hub Users 226'!B:B, 0)),"")</f>
        <v>457</v>
      </c>
      <c r="H1791" s="28">
        <v>449.0</v>
      </c>
      <c r="I1791" s="28"/>
      <c r="J1791" s="28"/>
      <c r="K1791" s="28"/>
      <c r="L1791" s="28" t="s">
        <v>5165</v>
      </c>
      <c r="M1791" s="56" t="s">
        <v>15821</v>
      </c>
      <c r="N1791" s="57">
        <v>44355.5375</v>
      </c>
      <c r="O1791" s="58">
        <v>38377.0</v>
      </c>
      <c r="P1791" s="28">
        <f t="shared" si="45"/>
        <v>21</v>
      </c>
      <c r="Q1791" s="28" t="s">
        <v>240</v>
      </c>
      <c r="R1791" s="28" t="s">
        <v>15822</v>
      </c>
      <c r="S1791" s="28"/>
      <c r="T1791" s="28"/>
      <c r="U1791" s="28"/>
      <c r="V1791" s="28"/>
      <c r="W1791" s="28" t="s">
        <v>12324</v>
      </c>
      <c r="X1791" s="28" t="s">
        <v>465</v>
      </c>
      <c r="Y1791" s="28" t="s">
        <v>15823</v>
      </c>
      <c r="Z1791" s="28" t="s">
        <v>12326</v>
      </c>
      <c r="AA1791" s="28" t="s">
        <v>12327</v>
      </c>
      <c r="AB1791" s="28" t="s">
        <v>12328</v>
      </c>
      <c r="AC1791" s="28" t="s">
        <v>24</v>
      </c>
      <c r="AD1791" s="23"/>
      <c r="AE1791" s="28" t="s">
        <v>10</v>
      </c>
      <c r="AF1791" s="23"/>
      <c r="AG1791" s="23"/>
      <c r="AH1791" s="23" t="str">
        <f>IFERROR(__xludf.DUMMYFUNCTION("IF(
ISNUMBER(MATCH(
C1791,
IMPORTRANGE(""https://docs.google.com/spreadsheets/d/1yTh1ELC33JHYOeEdgIiEclxPRyh0zOKtlawDltfUay8"",""'Interns'!A:A""),
0
)),
""Outreach Conducted"",
"""")"),"")</f>
        <v/>
      </c>
      <c r="AI1791" s="23"/>
      <c r="AJ1791" s="23"/>
      <c r="AK1791" s="23" t="str">
        <f>IFERROR(__xludf.DUMMYFUNCTION("XLOOKUP(C1791, 
   IMPORTRANGE(""1RdEdgHYrZ33LJ7RUHj_h-qkAFL92bcVjtIdVa-UlsCw"", ""Interns!D:D""), 
   IMPORTRANGE(""1RdEdgHYrZ33LJ7RUHj_h-qkAFL92bcVjtIdVa-UlsCw"", ""Interns!M:M""), 
   ""Not Found"")"),"")</f>
        <v/>
      </c>
      <c r="AL1791" s="23" t="str">
        <f>IFERROR(__xludf.DUMMYFUNCTION("XLOOKUP(C1791, 
   IMPORTRANGE(""1RdEdgHYrZ33LJ7RUHj_h-qkAFL92bcVjtIdVa-UlsCw"", ""Interns!D:D""), 
   IMPORTRANGE(""1RdEdgHYrZ33LJ7RUHj_h-qkAFL92bcVjtIdVa-UlsCw"", ""Interns!N:N""), 
   ""Not Found"")"),"")</f>
        <v/>
      </c>
      <c r="AM1791" s="23" t="str">
        <f>IFERROR(__xludf.DUMMYFUNCTION("XLOOKUP(C1791, 
   IMPORTRANGE(""1RdEdgHYrZ33LJ7RUHj_h-qkAFL92bcVjtIdVa-UlsCw"", ""Interns!D:D""), 
   IMPORTRANGE(""1RdEdgHYrZ33LJ7RUHj_h-qkAFL92bcVjtIdVa-UlsCw"", ""Interns!O:O""), 
   ""Not Found"")"),"")</f>
        <v/>
      </c>
      <c r="AN1791" s="23"/>
      <c r="AO1791" s="23" t="s">
        <v>15824</v>
      </c>
      <c r="AP1791" s="28" t="s">
        <v>5182</v>
      </c>
      <c r="AQ1791" s="28"/>
      <c r="AR1791" s="23"/>
      <c r="AS1791" s="23"/>
      <c r="AT1791" s="23"/>
      <c r="AU1791" s="23"/>
      <c r="AV1791" s="23"/>
    </row>
    <row r="1792">
      <c r="A1792" s="28" t="s">
        <v>5161</v>
      </c>
      <c r="B1792" s="28" t="s">
        <v>5162</v>
      </c>
      <c r="C1792" s="23" t="str">
        <f t="shared" si="39"/>
        <v>Anna Luisa Gomez</v>
      </c>
      <c r="D1792" s="28" t="s">
        <v>567</v>
      </c>
      <c r="E1792" s="28" t="s">
        <v>15825</v>
      </c>
      <c r="F1792" s="23">
        <f t="array" ref="F1792">IFERROR(
    INDEX('Hub Interns 226'!A:A, MATCH(C1792, 'Hub Interns 226'!B:B, 0)),"")</f>
        <v>25</v>
      </c>
      <c r="G1792" s="23">
        <f t="array" ref="G1792">IFERROR(
    INDEX('Hub Users 226'!A:A, MATCH(C1792, 'Hub Users 226'!B:B, 0)),"")</f>
        <v>458</v>
      </c>
      <c r="H1792" s="28">
        <v>456.0</v>
      </c>
      <c r="I1792" s="28" t="s">
        <v>302</v>
      </c>
      <c r="J1792" s="28"/>
      <c r="K1792" s="28" t="s">
        <v>5245</v>
      </c>
      <c r="L1792" s="28" t="s">
        <v>8087</v>
      </c>
      <c r="M1792" s="56" t="s">
        <v>15826</v>
      </c>
      <c r="N1792" s="57">
        <v>44355.779861111114</v>
      </c>
      <c r="O1792" s="58">
        <v>39772.0</v>
      </c>
      <c r="P1792" s="28">
        <f t="shared" si="45"/>
        <v>17</v>
      </c>
      <c r="Q1792" s="28" t="s">
        <v>15827</v>
      </c>
      <c r="R1792" s="28" t="s">
        <v>12324</v>
      </c>
      <c r="S1792" s="28"/>
      <c r="T1792" s="28"/>
      <c r="U1792" s="28"/>
      <c r="V1792" s="28"/>
      <c r="W1792" s="28" t="s">
        <v>12324</v>
      </c>
      <c r="X1792" s="28" t="s">
        <v>465</v>
      </c>
      <c r="Y1792" s="28">
        <v>2.015550123E9</v>
      </c>
      <c r="Z1792" s="28" t="s">
        <v>12326</v>
      </c>
      <c r="AA1792" s="28" t="s">
        <v>12327</v>
      </c>
      <c r="AB1792" s="28" t="s">
        <v>12328</v>
      </c>
      <c r="AC1792" s="28" t="s">
        <v>24</v>
      </c>
      <c r="AD1792" s="23"/>
      <c r="AE1792" s="28" t="s">
        <v>10</v>
      </c>
      <c r="AF1792" s="23"/>
      <c r="AG1792" s="23"/>
      <c r="AH1792" s="23" t="str">
        <f>IFERROR(__xludf.DUMMYFUNCTION("IF(
ISNUMBER(MATCH(
C1792,
IMPORTRANGE(""https://docs.google.com/spreadsheets/d/1yTh1ELC33JHYOeEdgIiEclxPRyh0zOKtlawDltfUay8"",""'Interns'!A:A""),
0
)),
""Outreach Conducted"",
"""")"),"")</f>
        <v/>
      </c>
      <c r="AI1792" s="23"/>
      <c r="AJ1792" s="23"/>
      <c r="AK1792" s="23" t="str">
        <f>IFERROR(__xludf.DUMMYFUNCTION("XLOOKUP(C1792, 
   IMPORTRANGE(""1RdEdgHYrZ33LJ7RUHj_h-qkAFL92bcVjtIdVa-UlsCw"", ""Interns!D:D""), 
   IMPORTRANGE(""1RdEdgHYrZ33LJ7RUHj_h-qkAFL92bcVjtIdVa-UlsCw"", ""Interns!M:M""), 
   ""Not Found"")"),"")</f>
        <v/>
      </c>
      <c r="AL1792" s="23" t="str">
        <f>IFERROR(__xludf.DUMMYFUNCTION("XLOOKUP(C1792, 
   IMPORTRANGE(""1RdEdgHYrZ33LJ7RUHj_h-qkAFL92bcVjtIdVa-UlsCw"", ""Interns!D:D""), 
   IMPORTRANGE(""1RdEdgHYrZ33LJ7RUHj_h-qkAFL92bcVjtIdVa-UlsCw"", ""Interns!N:N""), 
   ""Not Found"")"),"")</f>
        <v/>
      </c>
      <c r="AM1792" s="23" t="str">
        <f>IFERROR(__xludf.DUMMYFUNCTION("XLOOKUP(C1792, 
   IMPORTRANGE(""1RdEdgHYrZ33LJ7RUHj_h-qkAFL92bcVjtIdVa-UlsCw"", ""Interns!D:D""), 
   IMPORTRANGE(""1RdEdgHYrZ33LJ7RUHj_h-qkAFL92bcVjtIdVa-UlsCw"", ""Interns!O:O""), 
   ""Not Found"")"),"")</f>
        <v/>
      </c>
      <c r="AN1792" s="23"/>
      <c r="AO1792" s="23" t="s">
        <v>15828</v>
      </c>
      <c r="AP1792" s="28" t="s">
        <v>5182</v>
      </c>
      <c r="AQ1792" s="28"/>
      <c r="AR1792" s="23"/>
      <c r="AS1792" s="23"/>
      <c r="AT1792" s="23"/>
      <c r="AU1792" s="23"/>
      <c r="AV1792" s="23"/>
    </row>
    <row r="1793">
      <c r="A1793" s="28" t="s">
        <v>5202</v>
      </c>
      <c r="B1793" s="28" t="s">
        <v>5162</v>
      </c>
      <c r="C1793" s="23" t="str">
        <f t="shared" si="39"/>
        <v>Cilicia Cummings</v>
      </c>
      <c r="D1793" s="28" t="s">
        <v>15829</v>
      </c>
      <c r="E1793" s="28" t="s">
        <v>15830</v>
      </c>
      <c r="F1793" s="23">
        <f t="array" ref="F1793">IFERROR(
    INDEX('Hub Interns 226'!A:A, MATCH(C1793, 'Hub Interns 226'!B:B, 0)),"")</f>
        <v>375</v>
      </c>
      <c r="G1793" s="23">
        <f t="array" ref="G1793">IFERROR(
    INDEX('Hub Users 226'!A:A, MATCH(C1793, 'Hub Users 226'!B:B, 0)),"")</f>
        <v>808</v>
      </c>
      <c r="H1793" s="28">
        <v>143.0</v>
      </c>
      <c r="I1793" s="28" t="s">
        <v>302</v>
      </c>
      <c r="J1793" s="28"/>
      <c r="K1793" s="28"/>
      <c r="L1793" s="28"/>
      <c r="M1793" s="56" t="s">
        <v>15831</v>
      </c>
      <c r="N1793" s="59">
        <v>43781.44236111111</v>
      </c>
      <c r="O1793" s="58">
        <v>38085.0</v>
      </c>
      <c r="P1793" s="28">
        <f t="shared" si="45"/>
        <v>22</v>
      </c>
      <c r="Q1793" s="28" t="s">
        <v>240</v>
      </c>
      <c r="R1793" s="23"/>
      <c r="S1793" s="28"/>
      <c r="T1793" s="28"/>
      <c r="U1793" s="28"/>
      <c r="V1793" s="28"/>
      <c r="W1793" s="28" t="s">
        <v>1173</v>
      </c>
      <c r="X1793" s="28" t="s">
        <v>272</v>
      </c>
      <c r="Y1793" s="28">
        <v>9.292382813E9</v>
      </c>
      <c r="Z1793" s="28" t="s">
        <v>5319</v>
      </c>
      <c r="AA1793" s="28" t="s">
        <v>781</v>
      </c>
      <c r="AB1793" s="28">
        <v>31.0</v>
      </c>
      <c r="AC1793" s="28" t="s">
        <v>25</v>
      </c>
      <c r="AD1793" s="23"/>
      <c r="AE1793" s="28" t="s">
        <v>6</v>
      </c>
      <c r="AF1793" s="23" t="str">
        <f>IFERROR(__xludf.DUMMYFUNCTION("TEXTJOIN("", "", TRUE,
  FILTER(Champions!C:C,
    ISNUMBER(SEARCH(C1793, Champions!W:W))
  )
)"),"Carly Elaine Grunwald, Oluwatomisin (Tomi) Adesokan")</f>
        <v>Carly Elaine Grunwald, Oluwatomisin (Tomi) Adesokan</v>
      </c>
      <c r="AG1793" s="23"/>
      <c r="AH1793" s="23" t="str">
        <f>IFERROR(__xludf.DUMMYFUNCTION("IF(
ISNUMBER(MATCH(
C1793,
IMPORTRANGE(""https://docs.google.com/spreadsheets/d/1yTh1ELC33JHYOeEdgIiEclxPRyh0zOKtlawDltfUay8"",""'Interns'!A:A""),
0
)),
""Outreach Conducted"",
"""")"),"")</f>
        <v/>
      </c>
      <c r="AI1793" s="23"/>
      <c r="AJ1793" s="23"/>
      <c r="AK1793" s="23" t="str">
        <f>IFERROR(__xludf.DUMMYFUNCTION("XLOOKUP(C1793, 
   IMPORTRANGE(""1RdEdgHYrZ33LJ7RUHj_h-qkAFL92bcVjtIdVa-UlsCw"", ""Interns!D:D""), 
   IMPORTRANGE(""1RdEdgHYrZ33LJ7RUHj_h-qkAFL92bcVjtIdVa-UlsCw"", ""Interns!M:M""), 
   ""Not Found"")"),"")</f>
        <v/>
      </c>
      <c r="AL1793" s="23" t="str">
        <f>IFERROR(__xludf.DUMMYFUNCTION("XLOOKUP(C1793, 
   IMPORTRANGE(""1RdEdgHYrZ33LJ7RUHj_h-qkAFL92bcVjtIdVa-UlsCw"", ""Interns!D:D""), 
   IMPORTRANGE(""1RdEdgHYrZ33LJ7RUHj_h-qkAFL92bcVjtIdVa-UlsCw"", ""Interns!N:N""), 
   ""Not Found"")"),"")</f>
        <v/>
      </c>
      <c r="AM1793" s="23" t="str">
        <f>IFERROR(__xludf.DUMMYFUNCTION("XLOOKUP(C1793, 
   IMPORTRANGE(""1RdEdgHYrZ33LJ7RUHj_h-qkAFL92bcVjtIdVa-UlsCw"", ""Interns!D:D""), 
   IMPORTRANGE(""1RdEdgHYrZ33LJ7RUHj_h-qkAFL92bcVjtIdVa-UlsCw"", ""Interns!O:O""), 
   ""Not Found"")"),"")</f>
        <v/>
      </c>
      <c r="AN1793" s="23"/>
      <c r="AO1793" s="23" t="s">
        <v>15832</v>
      </c>
      <c r="AP1793" s="28" t="s">
        <v>5191</v>
      </c>
      <c r="AQ1793" s="28" t="s">
        <v>15831</v>
      </c>
      <c r="AR1793" s="23">
        <v>3.476664577E9</v>
      </c>
      <c r="AS1793" s="23"/>
      <c r="AT1793" s="23"/>
      <c r="AU1793" s="23"/>
      <c r="AV1793" s="23"/>
    </row>
    <row r="1794">
      <c r="A1794" s="28" t="s">
        <v>5202</v>
      </c>
      <c r="B1794" s="28" t="s">
        <v>5162</v>
      </c>
      <c r="C1794" s="23" t="str">
        <f t="shared" si="39"/>
        <v>Destiny Perry</v>
      </c>
      <c r="D1794" s="28" t="s">
        <v>14359</v>
      </c>
      <c r="E1794" s="28" t="s">
        <v>15833</v>
      </c>
      <c r="F1794" s="23">
        <f t="array" ref="F1794">IFERROR(
    INDEX('Hub Interns 226'!A:A, MATCH(C1794, 'Hub Interns 226'!B:B, 0)),"")</f>
        <v>437</v>
      </c>
      <c r="G1794" s="23">
        <f t="array" ref="G1794">IFERROR(
    INDEX('Hub Users 226'!A:A, MATCH(C1794, 'Hub Users 226'!B:B, 0)),"")</f>
        <v>870</v>
      </c>
      <c r="H1794" s="28">
        <v>129.0</v>
      </c>
      <c r="I1794" s="28" t="s">
        <v>107</v>
      </c>
      <c r="J1794" s="28"/>
      <c r="K1794" s="28"/>
      <c r="L1794" s="28" t="s">
        <v>5196</v>
      </c>
      <c r="M1794" s="56" t="s">
        <v>15834</v>
      </c>
      <c r="N1794" s="57">
        <v>43774.39861111111</v>
      </c>
      <c r="O1794" s="58">
        <v>37697.0</v>
      </c>
      <c r="P1794" s="28">
        <f t="shared" si="45"/>
        <v>23</v>
      </c>
      <c r="Q1794" s="28" t="s">
        <v>15835</v>
      </c>
      <c r="R1794" s="23"/>
      <c r="S1794" s="28"/>
      <c r="T1794" s="28"/>
      <c r="U1794" s="28"/>
      <c r="V1794" s="28"/>
      <c r="W1794" s="28" t="s">
        <v>1173</v>
      </c>
      <c r="X1794" s="28" t="s">
        <v>272</v>
      </c>
      <c r="Y1794" s="28">
        <v>9.29406471E9</v>
      </c>
      <c r="Z1794" s="28" t="s">
        <v>5319</v>
      </c>
      <c r="AA1794" s="28" t="s">
        <v>781</v>
      </c>
      <c r="AB1794" s="28">
        <v>31.0</v>
      </c>
      <c r="AC1794" s="28" t="s">
        <v>25</v>
      </c>
      <c r="AD1794" s="23"/>
      <c r="AE1794" s="28" t="s">
        <v>6</v>
      </c>
      <c r="AF1794" s="23" t="str">
        <f>IFERROR(__xludf.DUMMYFUNCTION("TEXTJOIN("", "", TRUE,
  FILTER(Champions!C:C,
    ISNUMBER(SEARCH(C1794, Champions!W:W))
  )
)"),"Carly Elaine Grunwald, Oluwatomisin (Tomi) Adesokan")</f>
        <v>Carly Elaine Grunwald, Oluwatomisin (Tomi) Adesokan</v>
      </c>
      <c r="AG1794" s="23"/>
      <c r="AH1794" s="23" t="str">
        <f>IFERROR(__xludf.DUMMYFUNCTION("IF(
ISNUMBER(MATCH(
C1794,
IMPORTRANGE(""https://docs.google.com/spreadsheets/d/1yTh1ELC33JHYOeEdgIiEclxPRyh0zOKtlawDltfUay8"",""'Interns'!A:A""),
0
)),
""Outreach Conducted"",
"""")"),"")</f>
        <v/>
      </c>
      <c r="AI1794" s="23"/>
      <c r="AJ1794" s="23"/>
      <c r="AK1794" s="23" t="str">
        <f>IFERROR(__xludf.DUMMYFUNCTION("XLOOKUP(C1794, 
   IMPORTRANGE(""1RdEdgHYrZ33LJ7RUHj_h-qkAFL92bcVjtIdVa-UlsCw"", ""Interns!D:D""), 
   IMPORTRANGE(""1RdEdgHYrZ33LJ7RUHj_h-qkAFL92bcVjtIdVa-UlsCw"", ""Interns!M:M""), 
   ""Not Found"")"),"")</f>
        <v/>
      </c>
      <c r="AL1794" s="23" t="str">
        <f>IFERROR(__xludf.DUMMYFUNCTION("XLOOKUP(C1794, 
   IMPORTRANGE(""1RdEdgHYrZ33LJ7RUHj_h-qkAFL92bcVjtIdVa-UlsCw"", ""Interns!D:D""), 
   IMPORTRANGE(""1RdEdgHYrZ33LJ7RUHj_h-qkAFL92bcVjtIdVa-UlsCw"", ""Interns!N:N""), 
   ""Not Found"")"),"")</f>
        <v/>
      </c>
      <c r="AM1794" s="23" t="str">
        <f>IFERROR(__xludf.DUMMYFUNCTION("XLOOKUP(C1794, 
   IMPORTRANGE(""1RdEdgHYrZ33LJ7RUHj_h-qkAFL92bcVjtIdVa-UlsCw"", ""Interns!D:D""), 
   IMPORTRANGE(""1RdEdgHYrZ33LJ7RUHj_h-qkAFL92bcVjtIdVa-UlsCw"", ""Interns!O:O""), 
   ""Not Found"")"),"")</f>
        <v/>
      </c>
      <c r="AN1794" s="23"/>
      <c r="AO1794" s="23" t="s">
        <v>15836</v>
      </c>
      <c r="AP1794" s="28" t="s">
        <v>5182</v>
      </c>
      <c r="AQ1794" s="28" t="s">
        <v>15837</v>
      </c>
      <c r="AR1794" s="23">
        <v>3.473503505E9</v>
      </c>
      <c r="AS1794" s="23"/>
      <c r="AT1794" s="23"/>
      <c r="AU1794" s="23"/>
      <c r="AV1794" s="23"/>
    </row>
    <row r="1795">
      <c r="A1795" s="28" t="s">
        <v>5202</v>
      </c>
      <c r="B1795" s="28" t="s">
        <v>5162</v>
      </c>
      <c r="C1795" s="23" t="str">
        <f t="shared" si="39"/>
        <v>Lenee Goggins</v>
      </c>
      <c r="D1795" s="28" t="s">
        <v>15838</v>
      </c>
      <c r="E1795" s="28" t="s">
        <v>15839</v>
      </c>
      <c r="F1795" s="23">
        <f t="array" ref="F1795">IFERROR(
    INDEX('Hub Interns 226'!A:A, MATCH(C1795, 'Hub Interns 226'!B:B, 0)),"")</f>
        <v>772</v>
      </c>
      <c r="G1795" s="23">
        <f t="array" ref="G1795">IFERROR(
    INDEX('Hub Users 226'!A:A, MATCH(C1795, 'Hub Users 226'!B:B, 0)),"")</f>
        <v>1205</v>
      </c>
      <c r="H1795" s="28">
        <v>114.0</v>
      </c>
      <c r="I1795" s="28" t="s">
        <v>269</v>
      </c>
      <c r="J1795" s="28"/>
      <c r="K1795" s="28"/>
      <c r="L1795" s="28" t="s">
        <v>5196</v>
      </c>
      <c r="M1795" s="56" t="s">
        <v>15840</v>
      </c>
      <c r="N1795" s="59">
        <v>43763.83263888889</v>
      </c>
      <c r="O1795" s="58"/>
      <c r="P1795" s="28"/>
      <c r="Q1795" s="28" t="s">
        <v>15841</v>
      </c>
      <c r="R1795" s="23"/>
      <c r="S1795" s="28"/>
      <c r="T1795" s="28"/>
      <c r="U1795" s="28"/>
      <c r="V1795" s="28"/>
      <c r="W1795" s="28" t="s">
        <v>1173</v>
      </c>
      <c r="X1795" s="28" t="s">
        <v>272</v>
      </c>
      <c r="Y1795" s="28">
        <v>9.176841569E9</v>
      </c>
      <c r="Z1795" s="28" t="s">
        <v>5319</v>
      </c>
      <c r="AA1795" s="28" t="s">
        <v>781</v>
      </c>
      <c r="AB1795" s="28">
        <v>31.0</v>
      </c>
      <c r="AC1795" s="28" t="s">
        <v>25</v>
      </c>
      <c r="AD1795" s="23"/>
      <c r="AE1795" s="28" t="s">
        <v>6</v>
      </c>
      <c r="AF1795" s="23" t="str">
        <f>IFERROR(__xludf.DUMMYFUNCTION("TEXTJOIN("", "", TRUE,
  FILTER(Champions!C:C,
    ISNUMBER(SEARCH(C1795, Champions!W:W))
  )
)"),"Casey Burry, Quynh Giao Thi Tran")</f>
        <v>Casey Burry, Quynh Giao Thi Tran</v>
      </c>
      <c r="AG1795" s="23"/>
      <c r="AH1795" s="23" t="str">
        <f>IFERROR(__xludf.DUMMYFUNCTION("IF(
ISNUMBER(MATCH(
C1795,
IMPORTRANGE(""https://docs.google.com/spreadsheets/d/1yTh1ELC33JHYOeEdgIiEclxPRyh0zOKtlawDltfUay8"",""'Interns'!A:A""),
0
)),
""Outreach Conducted"",
"""")"),"")</f>
        <v/>
      </c>
      <c r="AI1795" s="23"/>
      <c r="AJ1795" s="23"/>
      <c r="AK1795" s="23" t="str">
        <f>IFERROR(__xludf.DUMMYFUNCTION("XLOOKUP(C1795, 
   IMPORTRANGE(""1RdEdgHYrZ33LJ7RUHj_h-qkAFL92bcVjtIdVa-UlsCw"", ""Interns!D:D""), 
   IMPORTRANGE(""1RdEdgHYrZ33LJ7RUHj_h-qkAFL92bcVjtIdVa-UlsCw"", ""Interns!M:M""), 
   ""Not Found"")"),"")</f>
        <v/>
      </c>
      <c r="AL1795" s="23" t="str">
        <f>IFERROR(__xludf.DUMMYFUNCTION("XLOOKUP(C1795, 
   IMPORTRANGE(""1RdEdgHYrZ33LJ7RUHj_h-qkAFL92bcVjtIdVa-UlsCw"", ""Interns!D:D""), 
   IMPORTRANGE(""1RdEdgHYrZ33LJ7RUHj_h-qkAFL92bcVjtIdVa-UlsCw"", ""Interns!N:N""), 
   ""Not Found"")"),"")</f>
        <v/>
      </c>
      <c r="AM1795" s="23" t="str">
        <f>IFERROR(__xludf.DUMMYFUNCTION("XLOOKUP(C1795, 
   IMPORTRANGE(""1RdEdgHYrZ33LJ7RUHj_h-qkAFL92bcVjtIdVa-UlsCw"", ""Interns!D:D""), 
   IMPORTRANGE(""1RdEdgHYrZ33LJ7RUHj_h-qkAFL92bcVjtIdVa-UlsCw"", ""Interns!O:O""), 
   ""Not Found"")"),"")</f>
        <v/>
      </c>
      <c r="AN1795" s="23"/>
      <c r="AO1795" s="23" t="s">
        <v>15842</v>
      </c>
      <c r="AP1795" s="28" t="s">
        <v>5182</v>
      </c>
      <c r="AQ1795" s="28" t="s">
        <v>15843</v>
      </c>
      <c r="AR1795" s="23">
        <v>7.183607459E9</v>
      </c>
      <c r="AS1795" s="23"/>
      <c r="AT1795" s="23"/>
      <c r="AU1795" s="23"/>
      <c r="AV1795" s="23"/>
    </row>
    <row r="1796">
      <c r="A1796" s="28" t="s">
        <v>5202</v>
      </c>
      <c r="B1796" s="28" t="s">
        <v>5162</v>
      </c>
      <c r="C1796" s="23" t="str">
        <f t="shared" si="39"/>
        <v>Kasarah Windley</v>
      </c>
      <c r="D1796" s="28" t="s">
        <v>15844</v>
      </c>
      <c r="E1796" s="28" t="s">
        <v>15845</v>
      </c>
      <c r="F1796" s="23">
        <f t="array" ref="F1796">IFERROR(
    INDEX('Hub Interns 226'!A:A, MATCH(C1796, 'Hub Interns 226'!B:B, 0)),"")</f>
        <v>1195</v>
      </c>
      <c r="G1796" s="23">
        <f t="array" ref="G1796">IFERROR(
    INDEX('Hub Users 226'!A:A, MATCH(C1796, 'Hub Users 226'!B:B, 0)),"")</f>
        <v>1628</v>
      </c>
      <c r="H1796" s="28">
        <v>146.0</v>
      </c>
      <c r="I1796" s="28" t="s">
        <v>260</v>
      </c>
      <c r="J1796" s="28"/>
      <c r="K1796" s="28"/>
      <c r="L1796" s="28"/>
      <c r="M1796" s="56" t="s">
        <v>15846</v>
      </c>
      <c r="N1796" s="59">
        <v>43782.447916666664</v>
      </c>
      <c r="O1796" s="58">
        <v>38112.0</v>
      </c>
      <c r="P1796" s="28">
        <f>DATEDIF(O1796, TODAY(), "Y")</f>
        <v>22</v>
      </c>
      <c r="Q1796" s="28" t="s">
        <v>240</v>
      </c>
      <c r="R1796" s="23"/>
      <c r="S1796" s="28"/>
      <c r="T1796" s="28"/>
      <c r="U1796" s="28"/>
      <c r="V1796" s="28"/>
      <c r="W1796" s="28" t="s">
        <v>1173</v>
      </c>
      <c r="X1796" s="28" t="s">
        <v>272</v>
      </c>
      <c r="Y1796" s="28">
        <v>9.174367001E9</v>
      </c>
      <c r="Z1796" s="28" t="s">
        <v>5319</v>
      </c>
      <c r="AA1796" s="28" t="s">
        <v>781</v>
      </c>
      <c r="AB1796" s="28">
        <v>31.0</v>
      </c>
      <c r="AC1796" s="28" t="s">
        <v>25</v>
      </c>
      <c r="AD1796" s="23"/>
      <c r="AE1796" s="28" t="s">
        <v>6</v>
      </c>
      <c r="AF1796" s="23" t="str">
        <f>IFERROR(__xludf.DUMMYFUNCTION("TEXTJOIN("", "", TRUE,
  FILTER(Champions!C:C,
    ISNUMBER(SEARCH(C1796, Champions!W:W))
  )
)"),"Missie Miranda, Lizbeth Álvarez")</f>
        <v>Missie Miranda, Lizbeth Álvarez</v>
      </c>
      <c r="AG1796" s="23"/>
      <c r="AH1796" s="23" t="str">
        <f>IFERROR(__xludf.DUMMYFUNCTION("IF(
ISNUMBER(MATCH(
C1796,
IMPORTRANGE(""https://docs.google.com/spreadsheets/d/1yTh1ELC33JHYOeEdgIiEclxPRyh0zOKtlawDltfUay8"",""'Interns'!A:A""),
0
)),
""Outreach Conducted"",
"""")"),"")</f>
        <v/>
      </c>
      <c r="AI1796" s="23"/>
      <c r="AJ1796" s="23"/>
      <c r="AK1796" s="23" t="str">
        <f>IFERROR(__xludf.DUMMYFUNCTION("XLOOKUP(C1796, 
   IMPORTRANGE(""1RdEdgHYrZ33LJ7RUHj_h-qkAFL92bcVjtIdVa-UlsCw"", ""Interns!D:D""), 
   IMPORTRANGE(""1RdEdgHYrZ33LJ7RUHj_h-qkAFL92bcVjtIdVa-UlsCw"", ""Interns!M:M""), 
   ""Not Found"")"),"")</f>
        <v/>
      </c>
      <c r="AL1796" s="23" t="str">
        <f>IFERROR(__xludf.DUMMYFUNCTION("XLOOKUP(C1796, 
   IMPORTRANGE(""1RdEdgHYrZ33LJ7RUHj_h-qkAFL92bcVjtIdVa-UlsCw"", ""Interns!D:D""), 
   IMPORTRANGE(""1RdEdgHYrZ33LJ7RUHj_h-qkAFL92bcVjtIdVa-UlsCw"", ""Interns!N:N""), 
   ""Not Found"")"),"")</f>
        <v/>
      </c>
      <c r="AM1796" s="23" t="str">
        <f>IFERROR(__xludf.DUMMYFUNCTION("XLOOKUP(C1796, 
   IMPORTRANGE(""1RdEdgHYrZ33LJ7RUHj_h-qkAFL92bcVjtIdVa-UlsCw"", ""Interns!D:D""), 
   IMPORTRANGE(""1RdEdgHYrZ33LJ7RUHj_h-qkAFL92bcVjtIdVa-UlsCw"", ""Interns!O:O""), 
   ""Not Found"")"),"")</f>
        <v/>
      </c>
      <c r="AN1796" s="23"/>
      <c r="AO1796" s="23" t="s">
        <v>15847</v>
      </c>
      <c r="AP1796" s="28" t="s">
        <v>5182</v>
      </c>
      <c r="AQ1796" s="28" t="s">
        <v>15848</v>
      </c>
      <c r="AR1796" s="23">
        <v>3.47433038E9</v>
      </c>
      <c r="AS1796" s="23"/>
      <c r="AT1796" s="23"/>
      <c r="AU1796" s="23"/>
      <c r="AV1796" s="23"/>
    </row>
    <row r="1797">
      <c r="A1797" s="28" t="s">
        <v>5202</v>
      </c>
      <c r="B1797" s="28" t="s">
        <v>5162</v>
      </c>
      <c r="C1797" s="23" t="str">
        <f t="shared" si="39"/>
        <v>Mamdiara Ndiaye</v>
      </c>
      <c r="D1797" s="28" t="s">
        <v>15849</v>
      </c>
      <c r="E1797" s="28" t="s">
        <v>11880</v>
      </c>
      <c r="F1797" s="23">
        <f t="array" ref="F1797">IFERROR(
    INDEX('Hub Interns 226'!A:A, MATCH(C1797, 'Hub Interns 226'!B:B, 0)),"")</f>
        <v>829</v>
      </c>
      <c r="G1797" s="23">
        <f t="array" ref="G1797">IFERROR(
    INDEX('Hub Users 226'!A:A, MATCH(C1797, 'Hub Users 226'!B:B, 0)),"")</f>
        <v>1262</v>
      </c>
      <c r="H1797" s="28">
        <v>13.0</v>
      </c>
      <c r="I1797" s="28" t="s">
        <v>1153</v>
      </c>
      <c r="J1797" s="28"/>
      <c r="K1797" s="28" t="s">
        <v>5245</v>
      </c>
      <c r="L1797" s="28"/>
      <c r="M1797" s="56" t="s">
        <v>15850</v>
      </c>
      <c r="N1797" s="57">
        <v>43738.81736111111</v>
      </c>
      <c r="O1797" s="58"/>
      <c r="P1797" s="28"/>
      <c r="Q1797" s="28" t="s">
        <v>240</v>
      </c>
      <c r="R1797" s="23"/>
      <c r="S1797" s="28"/>
      <c r="T1797" s="28"/>
      <c r="U1797" s="28"/>
      <c r="V1797" s="28"/>
      <c r="W1797" s="28" t="s">
        <v>859</v>
      </c>
      <c r="X1797" s="28" t="s">
        <v>272</v>
      </c>
      <c r="Y1797" s="28">
        <v>9.173258823E9</v>
      </c>
      <c r="Z1797" s="28" t="s">
        <v>5435</v>
      </c>
      <c r="AA1797" s="28" t="s">
        <v>5436</v>
      </c>
      <c r="AB1797" s="28">
        <v>10.0</v>
      </c>
      <c r="AC1797" s="28" t="s">
        <v>25</v>
      </c>
      <c r="AD1797" s="23"/>
      <c r="AE1797" s="28" t="s">
        <v>6</v>
      </c>
      <c r="AF1797" s="23" t="str">
        <f>IFERROR(__xludf.DUMMYFUNCTION("TEXTJOIN("", "", TRUE,
  FILTER(Champions!C:C,
    ISNUMBER(SEARCH(C1797, Champions!W:W))
  )
)"),"Anastasia Maria Savelyeva, Lynda Nwabuobi")</f>
        <v>Anastasia Maria Savelyeva, Lynda Nwabuobi</v>
      </c>
      <c r="AG1797" s="23"/>
      <c r="AH1797" s="23" t="str">
        <f>IFERROR(__xludf.DUMMYFUNCTION("IF(
ISNUMBER(MATCH(
C1797,
IMPORTRANGE(""https://docs.google.com/spreadsheets/d/1yTh1ELC33JHYOeEdgIiEclxPRyh0zOKtlawDltfUay8"",""'Interns'!A:A""),
0
)),
""Outreach Conducted"",
"""")"),"")</f>
        <v/>
      </c>
      <c r="AI1797" s="23"/>
      <c r="AJ1797" s="23"/>
      <c r="AK1797" s="23" t="str">
        <f>IFERROR(__xludf.DUMMYFUNCTION("XLOOKUP(C1797, 
   IMPORTRANGE(""1RdEdgHYrZ33LJ7RUHj_h-qkAFL92bcVjtIdVa-UlsCw"", ""Interns!D:D""), 
   IMPORTRANGE(""1RdEdgHYrZ33LJ7RUHj_h-qkAFL92bcVjtIdVa-UlsCw"", ""Interns!M:M""), 
   ""Not Found"")"),"")</f>
        <v/>
      </c>
      <c r="AL1797" s="23" t="str">
        <f>IFERROR(__xludf.DUMMYFUNCTION("XLOOKUP(C1797, 
   IMPORTRANGE(""1RdEdgHYrZ33LJ7RUHj_h-qkAFL92bcVjtIdVa-UlsCw"", ""Interns!D:D""), 
   IMPORTRANGE(""1RdEdgHYrZ33LJ7RUHj_h-qkAFL92bcVjtIdVa-UlsCw"", ""Interns!N:N""), 
   ""Not Found"")"),"")</f>
        <v/>
      </c>
      <c r="AM1797" s="23" t="str">
        <f>IFERROR(__xludf.DUMMYFUNCTION("XLOOKUP(C1797, 
   IMPORTRANGE(""1RdEdgHYrZ33LJ7RUHj_h-qkAFL92bcVjtIdVa-UlsCw"", ""Interns!D:D""), 
   IMPORTRANGE(""1RdEdgHYrZ33LJ7RUHj_h-qkAFL92bcVjtIdVa-UlsCw"", ""Interns!O:O""), 
   ""Not Found"")"),"")</f>
        <v/>
      </c>
      <c r="AN1797" s="23"/>
      <c r="AO1797" s="23" t="s">
        <v>15851</v>
      </c>
      <c r="AP1797" s="28" t="s">
        <v>5182</v>
      </c>
      <c r="AQ1797" s="28" t="s">
        <v>15852</v>
      </c>
      <c r="AR1797" s="23">
        <v>9.173258823E9</v>
      </c>
      <c r="AS1797" s="23"/>
      <c r="AT1797" s="23"/>
      <c r="AU1797" s="23"/>
      <c r="AV1797" s="23"/>
    </row>
    <row r="1798">
      <c r="A1798" s="28" t="s">
        <v>5202</v>
      </c>
      <c r="B1798" s="28" t="s">
        <v>5162</v>
      </c>
      <c r="C1798" s="23" t="str">
        <f t="shared" si="39"/>
        <v>Sabrin Haque</v>
      </c>
      <c r="D1798" s="28" t="s">
        <v>15853</v>
      </c>
      <c r="E1798" s="28" t="s">
        <v>15854</v>
      </c>
      <c r="F1798" s="23">
        <f t="array" ref="F1798">IFERROR(
    INDEX('Hub Interns 226'!A:A, MATCH(C1798, 'Hub Interns 226'!B:B, 0)),"")</f>
        <v>282</v>
      </c>
      <c r="G1798" s="23">
        <f t="array" ref="G1798">IFERROR(
    INDEX('Hub Users 226'!A:A, MATCH(C1798, 'Hub Users 226'!B:B, 0)),"")</f>
        <v>715</v>
      </c>
      <c r="H1798" s="28">
        <v>134.0</v>
      </c>
      <c r="I1798" s="28" t="s">
        <v>417</v>
      </c>
      <c r="J1798" s="28"/>
      <c r="K1798" s="28" t="s">
        <v>5186</v>
      </c>
      <c r="L1798" s="28" t="s">
        <v>5196</v>
      </c>
      <c r="M1798" s="56" t="s">
        <v>15855</v>
      </c>
      <c r="N1798" s="57">
        <v>43778.70208333333</v>
      </c>
      <c r="O1798" s="58">
        <v>38246.0</v>
      </c>
      <c r="P1798" s="28">
        <f t="shared" ref="P1798:P1810" si="46">DATEDIF(O1798, TODAY(), "Y")</f>
        <v>21</v>
      </c>
      <c r="Q1798" s="28" t="s">
        <v>240</v>
      </c>
      <c r="R1798" s="23"/>
      <c r="S1798" s="28"/>
      <c r="T1798" s="28"/>
      <c r="U1798" s="28"/>
      <c r="V1798" s="28"/>
      <c r="W1798" s="28" t="s">
        <v>1173</v>
      </c>
      <c r="X1798" s="28" t="s">
        <v>272</v>
      </c>
      <c r="Y1798" s="28">
        <v>9.29435873E9</v>
      </c>
      <c r="Z1798" s="28" t="s">
        <v>5303</v>
      </c>
      <c r="AA1798" s="28" t="s">
        <v>395</v>
      </c>
      <c r="AB1798" s="28">
        <v>20.0</v>
      </c>
      <c r="AC1798" s="28" t="s">
        <v>25</v>
      </c>
      <c r="AD1798" s="23"/>
      <c r="AE1798" s="28" t="s">
        <v>6</v>
      </c>
      <c r="AF1798" s="23" t="str">
        <f>IFERROR(__xludf.DUMMYFUNCTION("TEXTJOIN("", "", TRUE,
  FILTER(Champions!C:C,
    ISNUMBER(SEARCH(C1798, Champions!W:W))
  )
)"),"Alpa Lachhman Rajai")</f>
        <v>Alpa Lachhman Rajai</v>
      </c>
      <c r="AG1798" s="23"/>
      <c r="AH1798" s="23" t="str">
        <f>IFERROR(__xludf.DUMMYFUNCTION("IF(
ISNUMBER(MATCH(
C1798,
IMPORTRANGE(""https://docs.google.com/spreadsheets/d/1yTh1ELC33JHYOeEdgIiEclxPRyh0zOKtlawDltfUay8"",""'Interns'!A:A""),
0
)),
""Outreach Conducted"",
"""")"),"")</f>
        <v/>
      </c>
      <c r="AI1798" s="23"/>
      <c r="AJ1798" s="23"/>
      <c r="AK1798" s="23" t="str">
        <f>IFERROR(__xludf.DUMMYFUNCTION("XLOOKUP(C1798, 
   IMPORTRANGE(""1RdEdgHYrZ33LJ7RUHj_h-qkAFL92bcVjtIdVa-UlsCw"", ""Interns!D:D""), 
   IMPORTRANGE(""1RdEdgHYrZ33LJ7RUHj_h-qkAFL92bcVjtIdVa-UlsCw"", ""Interns!M:M""), 
   ""Not Found"")"),"")</f>
        <v/>
      </c>
      <c r="AL1798" s="23" t="str">
        <f>IFERROR(__xludf.DUMMYFUNCTION("XLOOKUP(C1798, 
   IMPORTRANGE(""1RdEdgHYrZ33LJ7RUHj_h-qkAFL92bcVjtIdVa-UlsCw"", ""Interns!D:D""), 
   IMPORTRANGE(""1RdEdgHYrZ33LJ7RUHj_h-qkAFL92bcVjtIdVa-UlsCw"", ""Interns!N:N""), 
   ""Not Found"")"),"")</f>
        <v/>
      </c>
      <c r="AM1798" s="23" t="str">
        <f>IFERROR(__xludf.DUMMYFUNCTION("XLOOKUP(C1798, 
   IMPORTRANGE(""1RdEdgHYrZ33LJ7RUHj_h-qkAFL92bcVjtIdVa-UlsCw"", ""Interns!D:D""), 
   IMPORTRANGE(""1RdEdgHYrZ33LJ7RUHj_h-qkAFL92bcVjtIdVa-UlsCw"", ""Interns!O:O""), 
   ""Not Found"")"),"")</f>
        <v/>
      </c>
      <c r="AN1798" s="23"/>
      <c r="AO1798" s="23" t="s">
        <v>15856</v>
      </c>
      <c r="AP1798" s="28" t="s">
        <v>5191</v>
      </c>
      <c r="AQ1798" s="28" t="s">
        <v>15857</v>
      </c>
      <c r="AR1798" s="23" t="s">
        <v>15858</v>
      </c>
      <c r="AS1798" s="23"/>
      <c r="AT1798" s="23"/>
      <c r="AU1798" s="23"/>
      <c r="AV1798" s="23"/>
    </row>
    <row r="1799">
      <c r="A1799" s="28" t="s">
        <v>5202</v>
      </c>
      <c r="B1799" s="28" t="s">
        <v>5162</v>
      </c>
      <c r="C1799" s="23" t="str">
        <f t="shared" si="39"/>
        <v>Xin Xi Li</v>
      </c>
      <c r="D1799" s="28" t="s">
        <v>15859</v>
      </c>
      <c r="E1799" s="28" t="s">
        <v>2714</v>
      </c>
      <c r="F1799" s="23" t="str">
        <f t="array" ref="F1799">IFERROR(
    INDEX('Hub Interns 226'!A:A, MATCH(C1799, 'Hub Interns 226'!B:B, 0)),"")</f>
        <v/>
      </c>
      <c r="G1799" s="23">
        <f t="array" ref="G1799">IFERROR(
    INDEX('Hub Users 226'!A:A, MATCH(C1799, 'Hub Users 226'!B:B, 0)),"")</f>
        <v>734</v>
      </c>
      <c r="H1799" s="28">
        <v>132.0</v>
      </c>
      <c r="I1799" s="28" t="s">
        <v>239</v>
      </c>
      <c r="J1799" s="28"/>
      <c r="K1799" s="28" t="s">
        <v>5186</v>
      </c>
      <c r="L1799" s="28"/>
      <c r="M1799" s="56" t="s">
        <v>15860</v>
      </c>
      <c r="N1799" s="57">
        <v>43778.697222222225</v>
      </c>
      <c r="O1799" s="58">
        <v>38345.0</v>
      </c>
      <c r="P1799" s="28">
        <f t="shared" si="46"/>
        <v>21</v>
      </c>
      <c r="Q1799" s="28" t="s">
        <v>240</v>
      </c>
      <c r="R1799" s="23"/>
      <c r="S1799" s="28"/>
      <c r="T1799" s="28"/>
      <c r="U1799" s="28"/>
      <c r="V1799" s="28"/>
      <c r="W1799" s="28" t="s">
        <v>271</v>
      </c>
      <c r="X1799" s="28" t="s">
        <v>272</v>
      </c>
      <c r="Y1799" s="28">
        <v>6.465935144E9</v>
      </c>
      <c r="Z1799" s="28" t="s">
        <v>5303</v>
      </c>
      <c r="AA1799" s="28" t="s">
        <v>395</v>
      </c>
      <c r="AB1799" s="28">
        <v>20.0</v>
      </c>
      <c r="AC1799" s="28" t="s">
        <v>25</v>
      </c>
      <c r="AD1799" s="23"/>
      <c r="AE1799" s="28" t="s">
        <v>6</v>
      </c>
      <c r="AF1799" s="23" t="str">
        <f>IFERROR(__xludf.DUMMYFUNCTION("TEXTJOIN("", "", TRUE,
  FILTER(Champions!C:C,
    ISNUMBER(SEARCH(C1799, Champions!W:W))
  )
)"),"#N/A")</f>
        <v>#N/A</v>
      </c>
      <c r="AG1799" s="23"/>
      <c r="AH1799" s="23" t="str">
        <f>IFERROR(__xludf.DUMMYFUNCTION("IF(
ISNUMBER(MATCH(
C1799,
IMPORTRANGE(""https://docs.google.com/spreadsheets/d/1yTh1ELC33JHYOeEdgIiEclxPRyh0zOKtlawDltfUay8"",""'Interns'!A:A""),
0
)),
""Outreach Conducted"",
"""")"),"")</f>
        <v/>
      </c>
      <c r="AI1799" s="23"/>
      <c r="AJ1799" s="23"/>
      <c r="AK1799" s="23" t="str">
        <f>IFERROR(__xludf.DUMMYFUNCTION("XLOOKUP(C1799, 
   IMPORTRANGE(""1RdEdgHYrZ33LJ7RUHj_h-qkAFL92bcVjtIdVa-UlsCw"", ""Interns!D:D""), 
   IMPORTRANGE(""1RdEdgHYrZ33LJ7RUHj_h-qkAFL92bcVjtIdVa-UlsCw"", ""Interns!M:M""), 
   ""Not Found"")"),"")</f>
        <v/>
      </c>
      <c r="AL1799" s="23" t="str">
        <f>IFERROR(__xludf.DUMMYFUNCTION("XLOOKUP(C1799, 
   IMPORTRANGE(""1RdEdgHYrZ33LJ7RUHj_h-qkAFL92bcVjtIdVa-UlsCw"", ""Interns!D:D""), 
   IMPORTRANGE(""1RdEdgHYrZ33LJ7RUHj_h-qkAFL92bcVjtIdVa-UlsCw"", ""Interns!N:N""), 
   ""Not Found"")"),"")</f>
        <v/>
      </c>
      <c r="AM1799" s="23" t="str">
        <f>IFERROR(__xludf.DUMMYFUNCTION("XLOOKUP(C1799, 
   IMPORTRANGE(""1RdEdgHYrZ33LJ7RUHj_h-qkAFL92bcVjtIdVa-UlsCw"", ""Interns!D:D""), 
   IMPORTRANGE(""1RdEdgHYrZ33LJ7RUHj_h-qkAFL92bcVjtIdVa-UlsCw"", ""Interns!O:O""), 
   ""Not Found"")"),"")</f>
        <v/>
      </c>
      <c r="AN1799" s="23"/>
      <c r="AO1799" s="23" t="s">
        <v>15861</v>
      </c>
      <c r="AP1799" s="28" t="s">
        <v>5182</v>
      </c>
      <c r="AQ1799" s="28" t="s">
        <v>15862</v>
      </c>
      <c r="AR1799" s="23">
        <v>6.465919085E9</v>
      </c>
      <c r="AS1799" s="23"/>
      <c r="AT1799" s="23"/>
      <c r="AU1799" s="23"/>
      <c r="AV1799" s="23"/>
    </row>
    <row r="1800">
      <c r="A1800" s="28" t="s">
        <v>5202</v>
      </c>
      <c r="B1800" s="28" t="s">
        <v>5162</v>
      </c>
      <c r="C1800" s="23" t="str">
        <f t="shared" si="39"/>
        <v>Nicole Quiga</v>
      </c>
      <c r="D1800" s="28" t="s">
        <v>8279</v>
      </c>
      <c r="E1800" s="28" t="s">
        <v>15863</v>
      </c>
      <c r="F1800" s="23">
        <f t="array" ref="F1800">IFERROR(
    INDEX('Hub Interns 226'!A:A, MATCH(C1800, 'Hub Interns 226'!B:B, 0)),"")</f>
        <v>687</v>
      </c>
      <c r="G1800" s="23">
        <f t="array" ref="G1800">IFERROR(
    INDEX('Hub Users 226'!A:A, MATCH(C1800, 'Hub Users 226'!B:B, 0)),"")</f>
        <v>1120</v>
      </c>
      <c r="H1800" s="28">
        <v>135.0</v>
      </c>
      <c r="I1800" s="28" t="s">
        <v>239</v>
      </c>
      <c r="J1800" s="28"/>
      <c r="K1800" s="28"/>
      <c r="L1800" s="28" t="s">
        <v>5196</v>
      </c>
      <c r="M1800" s="56" t="s">
        <v>15864</v>
      </c>
      <c r="N1800" s="57">
        <v>43778.70208333333</v>
      </c>
      <c r="O1800" s="58">
        <v>38240.0</v>
      </c>
      <c r="P1800" s="28">
        <f t="shared" si="46"/>
        <v>21</v>
      </c>
      <c r="Q1800" s="28" t="s">
        <v>240</v>
      </c>
      <c r="R1800" s="23"/>
      <c r="S1800" s="28"/>
      <c r="T1800" s="28"/>
      <c r="U1800" s="28"/>
      <c r="V1800" s="28"/>
      <c r="W1800" s="28" t="s">
        <v>1173</v>
      </c>
      <c r="X1800" s="28" t="s">
        <v>272</v>
      </c>
      <c r="Y1800" s="28">
        <v>9.294018132E9</v>
      </c>
      <c r="Z1800" s="28" t="s">
        <v>5303</v>
      </c>
      <c r="AA1800" s="28" t="s">
        <v>395</v>
      </c>
      <c r="AB1800" s="28">
        <v>20.0</v>
      </c>
      <c r="AC1800" s="28" t="s">
        <v>25</v>
      </c>
      <c r="AD1800" s="23"/>
      <c r="AE1800" s="28" t="s">
        <v>6</v>
      </c>
      <c r="AF1800" s="23" t="str">
        <f>IFERROR(__xludf.DUMMYFUNCTION("TEXTJOIN("", "", TRUE,
  FILTER(Champions!C:C,
    ISNUMBER(SEARCH(C1800, Champions!W:W))
  )
)"),"Alpa Lachhman Rajai")</f>
        <v>Alpa Lachhman Rajai</v>
      </c>
      <c r="AG1800" s="23"/>
      <c r="AH1800" s="23" t="str">
        <f>IFERROR(__xludf.DUMMYFUNCTION("IF(
ISNUMBER(MATCH(
C1800,
IMPORTRANGE(""https://docs.google.com/spreadsheets/d/1yTh1ELC33JHYOeEdgIiEclxPRyh0zOKtlawDltfUay8"",""'Interns'!A:A""),
0
)),
""Outreach Conducted"",
"""")"),"")</f>
        <v/>
      </c>
      <c r="AI1800" s="23"/>
      <c r="AJ1800" s="23"/>
      <c r="AK1800" s="23" t="str">
        <f>IFERROR(__xludf.DUMMYFUNCTION("XLOOKUP(C1800, 
   IMPORTRANGE(""1RdEdgHYrZ33LJ7RUHj_h-qkAFL92bcVjtIdVa-UlsCw"", ""Interns!D:D""), 
   IMPORTRANGE(""1RdEdgHYrZ33LJ7RUHj_h-qkAFL92bcVjtIdVa-UlsCw"", ""Interns!M:M""), 
   ""Not Found"")"),"")</f>
        <v/>
      </c>
      <c r="AL1800" s="23" t="str">
        <f>IFERROR(__xludf.DUMMYFUNCTION("XLOOKUP(C1800, 
   IMPORTRANGE(""1RdEdgHYrZ33LJ7RUHj_h-qkAFL92bcVjtIdVa-UlsCw"", ""Interns!D:D""), 
   IMPORTRANGE(""1RdEdgHYrZ33LJ7RUHj_h-qkAFL92bcVjtIdVa-UlsCw"", ""Interns!N:N""), 
   ""Not Found"")"),"")</f>
        <v/>
      </c>
      <c r="AM1800" s="23" t="str">
        <f>IFERROR(__xludf.DUMMYFUNCTION("XLOOKUP(C1800, 
   IMPORTRANGE(""1RdEdgHYrZ33LJ7RUHj_h-qkAFL92bcVjtIdVa-UlsCw"", ""Interns!D:D""), 
   IMPORTRANGE(""1RdEdgHYrZ33LJ7RUHj_h-qkAFL92bcVjtIdVa-UlsCw"", ""Interns!O:O""), 
   ""Not Found"")"),"")</f>
        <v/>
      </c>
      <c r="AN1800" s="23"/>
      <c r="AO1800" s="23" t="s">
        <v>15865</v>
      </c>
      <c r="AP1800" s="28" t="s">
        <v>5182</v>
      </c>
      <c r="AQ1800" s="28" t="s">
        <v>15866</v>
      </c>
      <c r="AR1800" s="23">
        <v>5.168727884E9</v>
      </c>
      <c r="AS1800" s="23"/>
      <c r="AT1800" s="23"/>
      <c r="AU1800" s="23"/>
      <c r="AV1800" s="23"/>
    </row>
    <row r="1801">
      <c r="A1801" s="28" t="s">
        <v>5202</v>
      </c>
      <c r="B1801" s="28" t="s">
        <v>5162</v>
      </c>
      <c r="C1801" s="23" t="str">
        <f t="shared" si="39"/>
        <v>Kiara Hernandez Sosa</v>
      </c>
      <c r="D1801" s="28" t="s">
        <v>6512</v>
      </c>
      <c r="E1801" s="28" t="s">
        <v>15867</v>
      </c>
      <c r="F1801" s="23">
        <f t="array" ref="F1801">IFERROR(
    INDEX('Hub Interns 226'!A:A, MATCH(C1801, 'Hub Interns 226'!B:B, 0)),"")</f>
        <v>747</v>
      </c>
      <c r="G1801" s="23">
        <f t="array" ref="G1801">IFERROR(
    INDEX('Hub Users 226'!A:A, MATCH(C1801, 'Hub Users 226'!B:B, 0)),"")</f>
        <v>1180</v>
      </c>
      <c r="H1801" s="28">
        <v>138.0</v>
      </c>
      <c r="I1801" s="28" t="s">
        <v>107</v>
      </c>
      <c r="J1801" s="28"/>
      <c r="K1801" s="28"/>
      <c r="L1801" s="28" t="s">
        <v>5196</v>
      </c>
      <c r="M1801" s="56" t="s">
        <v>15868</v>
      </c>
      <c r="N1801" s="57">
        <v>43778.70208333333</v>
      </c>
      <c r="O1801" s="58">
        <v>38138.0</v>
      </c>
      <c r="P1801" s="28">
        <f t="shared" si="46"/>
        <v>21</v>
      </c>
      <c r="Q1801" s="28" t="s">
        <v>240</v>
      </c>
      <c r="R1801" s="23"/>
      <c r="S1801" s="28"/>
      <c r="T1801" s="28"/>
      <c r="U1801" s="28"/>
      <c r="V1801" s="28"/>
      <c r="W1801" s="28" t="s">
        <v>1173</v>
      </c>
      <c r="X1801" s="28" t="s">
        <v>272</v>
      </c>
      <c r="Y1801" s="28" t="s">
        <v>15869</v>
      </c>
      <c r="Z1801" s="28" t="s">
        <v>5303</v>
      </c>
      <c r="AA1801" s="28" t="s">
        <v>395</v>
      </c>
      <c r="AB1801" s="28">
        <v>20.0</v>
      </c>
      <c r="AC1801" s="28" t="s">
        <v>25</v>
      </c>
      <c r="AD1801" s="23"/>
      <c r="AE1801" s="28" t="s">
        <v>6</v>
      </c>
      <c r="AF1801" s="23" t="str">
        <f>IFERROR(__xludf.DUMMYFUNCTION("TEXTJOIN("", "", TRUE,
  FILTER(Champions!C:C,
    ISNUMBER(SEARCH(C1801, Champions!W:W))
  )
)"),"Tanusree Munshi")</f>
        <v>Tanusree Munshi</v>
      </c>
      <c r="AG1801" s="23"/>
      <c r="AH1801" s="23" t="str">
        <f>IFERROR(__xludf.DUMMYFUNCTION("IF(
ISNUMBER(MATCH(
C1801,
IMPORTRANGE(""https://docs.google.com/spreadsheets/d/1yTh1ELC33JHYOeEdgIiEclxPRyh0zOKtlawDltfUay8"",""'Interns'!A:A""),
0
)),
""Outreach Conducted"",
"""")"),"")</f>
        <v/>
      </c>
      <c r="AI1801" s="23"/>
      <c r="AJ1801" s="23"/>
      <c r="AK1801" s="23" t="str">
        <f>IFERROR(__xludf.DUMMYFUNCTION("XLOOKUP(C1801, 
   IMPORTRANGE(""1RdEdgHYrZ33LJ7RUHj_h-qkAFL92bcVjtIdVa-UlsCw"", ""Interns!D:D""), 
   IMPORTRANGE(""1RdEdgHYrZ33LJ7RUHj_h-qkAFL92bcVjtIdVa-UlsCw"", ""Interns!M:M""), 
   ""Not Found"")"),"")</f>
        <v/>
      </c>
      <c r="AL1801" s="23" t="str">
        <f>IFERROR(__xludf.DUMMYFUNCTION("XLOOKUP(C1801, 
   IMPORTRANGE(""1RdEdgHYrZ33LJ7RUHj_h-qkAFL92bcVjtIdVa-UlsCw"", ""Interns!D:D""), 
   IMPORTRANGE(""1RdEdgHYrZ33LJ7RUHj_h-qkAFL92bcVjtIdVa-UlsCw"", ""Interns!N:N""), 
   ""Not Found"")"),"")</f>
        <v/>
      </c>
      <c r="AM1801" s="23" t="str">
        <f>IFERROR(__xludf.DUMMYFUNCTION("XLOOKUP(C1801, 
   IMPORTRANGE(""1RdEdgHYrZ33LJ7RUHj_h-qkAFL92bcVjtIdVa-UlsCw"", ""Interns!D:D""), 
   IMPORTRANGE(""1RdEdgHYrZ33LJ7RUHj_h-qkAFL92bcVjtIdVa-UlsCw"", ""Interns!O:O""), 
   ""Not Found"")"),"")</f>
        <v/>
      </c>
      <c r="AN1801" s="23"/>
      <c r="AO1801" s="23" t="s">
        <v>15870</v>
      </c>
      <c r="AP1801" s="28" t="s">
        <v>5182</v>
      </c>
      <c r="AQ1801" s="28" t="s">
        <v>15871</v>
      </c>
      <c r="AR1801" s="23" t="s">
        <v>15872</v>
      </c>
      <c r="AS1801" s="23"/>
      <c r="AT1801" s="23"/>
      <c r="AU1801" s="23"/>
      <c r="AV1801" s="23"/>
    </row>
    <row r="1802">
      <c r="A1802" s="28" t="s">
        <v>5202</v>
      </c>
      <c r="B1802" s="28" t="s">
        <v>5162</v>
      </c>
      <c r="C1802" s="23" t="str">
        <f t="shared" si="39"/>
        <v>Catalina Henriquez</v>
      </c>
      <c r="D1802" s="28" t="s">
        <v>11827</v>
      </c>
      <c r="E1802" s="28" t="s">
        <v>15873</v>
      </c>
      <c r="F1802" s="23">
        <f t="array" ref="F1802">IFERROR(
    INDEX('Hub Interns 226'!A:A, MATCH(C1802, 'Hub Interns 226'!B:B, 0)),"")</f>
        <v>757</v>
      </c>
      <c r="G1802" s="23">
        <f t="array" ref="G1802">IFERROR(
    INDEX('Hub Users 226'!A:A, MATCH(C1802, 'Hub Users 226'!B:B, 0)),"")</f>
        <v>1190</v>
      </c>
      <c r="H1802" s="28">
        <v>137.0</v>
      </c>
      <c r="I1802" s="28" t="s">
        <v>107</v>
      </c>
      <c r="J1802" s="28"/>
      <c r="K1802" s="28"/>
      <c r="L1802" s="28" t="s">
        <v>5196</v>
      </c>
      <c r="M1802" s="56" t="s">
        <v>15874</v>
      </c>
      <c r="N1802" s="57">
        <v>43778.70208333333</v>
      </c>
      <c r="O1802" s="58">
        <v>37599.0</v>
      </c>
      <c r="P1802" s="28">
        <f t="shared" si="46"/>
        <v>23</v>
      </c>
      <c r="Q1802" s="28" t="s">
        <v>240</v>
      </c>
      <c r="R1802" s="23"/>
      <c r="S1802" s="28"/>
      <c r="T1802" s="28"/>
      <c r="U1802" s="28"/>
      <c r="V1802" s="28"/>
      <c r="W1802" s="28" t="s">
        <v>1173</v>
      </c>
      <c r="X1802" s="28" t="s">
        <v>272</v>
      </c>
      <c r="Y1802" s="28">
        <v>9.292973717E9</v>
      </c>
      <c r="Z1802" s="28" t="s">
        <v>5303</v>
      </c>
      <c r="AA1802" s="28" t="s">
        <v>395</v>
      </c>
      <c r="AB1802" s="28">
        <v>20.0</v>
      </c>
      <c r="AC1802" s="28" t="s">
        <v>25</v>
      </c>
      <c r="AD1802" s="23"/>
      <c r="AE1802" s="28" t="s">
        <v>6</v>
      </c>
      <c r="AF1802" s="23" t="str">
        <f>IFERROR(__xludf.DUMMYFUNCTION("TEXTJOIN("", "", TRUE,
  FILTER(Champions!C:C,
    ISNUMBER(SEARCH(C1802, Champions!W:W))
  )
)"),"Jenny Lisbet Chickering, Rosalie Girard")</f>
        <v>Jenny Lisbet Chickering, Rosalie Girard</v>
      </c>
      <c r="AG1802" s="23"/>
      <c r="AH1802" s="23" t="str">
        <f>IFERROR(__xludf.DUMMYFUNCTION("IF(
ISNUMBER(MATCH(
C1802,
IMPORTRANGE(""https://docs.google.com/spreadsheets/d/1yTh1ELC33JHYOeEdgIiEclxPRyh0zOKtlawDltfUay8"",""'Interns'!A:A""),
0
)),
""Outreach Conducted"",
"""")"),"")</f>
        <v/>
      </c>
      <c r="AI1802" s="23"/>
      <c r="AJ1802" s="23"/>
      <c r="AK1802" s="23" t="str">
        <f>IFERROR(__xludf.DUMMYFUNCTION("XLOOKUP(C1802, 
   IMPORTRANGE(""1RdEdgHYrZ33LJ7RUHj_h-qkAFL92bcVjtIdVa-UlsCw"", ""Interns!D:D""), 
   IMPORTRANGE(""1RdEdgHYrZ33LJ7RUHj_h-qkAFL92bcVjtIdVa-UlsCw"", ""Interns!M:M""), 
   ""Not Found"")"),"")</f>
        <v/>
      </c>
      <c r="AL1802" s="23" t="str">
        <f>IFERROR(__xludf.DUMMYFUNCTION("XLOOKUP(C1802, 
   IMPORTRANGE(""1RdEdgHYrZ33LJ7RUHj_h-qkAFL92bcVjtIdVa-UlsCw"", ""Interns!D:D""), 
   IMPORTRANGE(""1RdEdgHYrZ33LJ7RUHj_h-qkAFL92bcVjtIdVa-UlsCw"", ""Interns!N:N""), 
   ""Not Found"")"),"")</f>
        <v/>
      </c>
      <c r="AM1802" s="23" t="str">
        <f>IFERROR(__xludf.DUMMYFUNCTION("XLOOKUP(C1802, 
   IMPORTRANGE(""1RdEdgHYrZ33LJ7RUHj_h-qkAFL92bcVjtIdVa-UlsCw"", ""Interns!D:D""), 
   IMPORTRANGE(""1RdEdgHYrZ33LJ7RUHj_h-qkAFL92bcVjtIdVa-UlsCw"", ""Interns!O:O""), 
   ""Not Found"")"),"")</f>
        <v/>
      </c>
      <c r="AN1802" s="23"/>
      <c r="AO1802" s="23" t="s">
        <v>15875</v>
      </c>
      <c r="AP1802" s="28" t="s">
        <v>5173</v>
      </c>
      <c r="AQ1802" s="28" t="s">
        <v>15874</v>
      </c>
      <c r="AR1802" s="23" t="s">
        <v>15876</v>
      </c>
      <c r="AS1802" s="23"/>
      <c r="AT1802" s="23"/>
      <c r="AU1802" s="23"/>
      <c r="AV1802" s="23"/>
    </row>
    <row r="1803">
      <c r="A1803" s="28" t="s">
        <v>5202</v>
      </c>
      <c r="B1803" s="28" t="s">
        <v>5162</v>
      </c>
      <c r="C1803" s="23" t="str">
        <f t="shared" si="39"/>
        <v>Oneyda Melgar</v>
      </c>
      <c r="D1803" s="28" t="s">
        <v>15877</v>
      </c>
      <c r="E1803" s="28" t="s">
        <v>15878</v>
      </c>
      <c r="F1803" s="23">
        <f t="array" ref="F1803">IFERROR(
    INDEX('Hub Interns 226'!A:A, MATCH(C1803, 'Hub Interns 226'!B:B, 0)),"")</f>
        <v>970</v>
      </c>
      <c r="G1803" s="23">
        <f t="array" ref="G1803">IFERROR(
    INDEX('Hub Users 226'!A:A, MATCH(C1803, 'Hub Users 226'!B:B, 0)),"")</f>
        <v>1403</v>
      </c>
      <c r="H1803" s="28">
        <v>136.0</v>
      </c>
      <c r="I1803" s="28" t="s">
        <v>107</v>
      </c>
      <c r="J1803" s="28"/>
      <c r="K1803" s="28"/>
      <c r="L1803" s="28" t="s">
        <v>5196</v>
      </c>
      <c r="M1803" s="56" t="s">
        <v>15879</v>
      </c>
      <c r="N1803" s="57">
        <v>43778.70208333333</v>
      </c>
      <c r="O1803" s="58">
        <v>38322.0</v>
      </c>
      <c r="P1803" s="28">
        <f t="shared" si="46"/>
        <v>21</v>
      </c>
      <c r="Q1803" s="28" t="s">
        <v>240</v>
      </c>
      <c r="R1803" s="23"/>
      <c r="S1803" s="28"/>
      <c r="T1803" s="28"/>
      <c r="U1803" s="28"/>
      <c r="V1803" s="28"/>
      <c r="W1803" s="28" t="s">
        <v>1173</v>
      </c>
      <c r="X1803" s="28" t="s">
        <v>272</v>
      </c>
      <c r="Y1803" s="28" t="s">
        <v>15880</v>
      </c>
      <c r="Z1803" s="28" t="s">
        <v>5303</v>
      </c>
      <c r="AA1803" s="28" t="s">
        <v>395</v>
      </c>
      <c r="AB1803" s="28">
        <v>20.0</v>
      </c>
      <c r="AC1803" s="28" t="s">
        <v>25</v>
      </c>
      <c r="AD1803" s="23"/>
      <c r="AE1803" s="28" t="s">
        <v>6</v>
      </c>
      <c r="AF1803" s="23" t="str">
        <f>IFERROR(__xludf.DUMMYFUNCTION("TEXTJOIN("", "", TRUE,
  FILTER(Champions!C:C,
    ISNUMBER(SEARCH(C1803, Champions!W:W))
  )
)"),"Jenny Lisbet Chickering")</f>
        <v>Jenny Lisbet Chickering</v>
      </c>
      <c r="AG1803" s="23"/>
      <c r="AH1803" s="23" t="str">
        <f>IFERROR(__xludf.DUMMYFUNCTION("IF(
ISNUMBER(MATCH(
C1803,
IMPORTRANGE(""https://docs.google.com/spreadsheets/d/1yTh1ELC33JHYOeEdgIiEclxPRyh0zOKtlawDltfUay8"",""'Interns'!A:A""),
0
)),
""Outreach Conducted"",
"""")"),"")</f>
        <v/>
      </c>
      <c r="AI1803" s="23"/>
      <c r="AJ1803" s="23"/>
      <c r="AK1803" s="23" t="str">
        <f>IFERROR(__xludf.DUMMYFUNCTION("XLOOKUP(C1803, 
   IMPORTRANGE(""1RdEdgHYrZ33LJ7RUHj_h-qkAFL92bcVjtIdVa-UlsCw"", ""Interns!D:D""), 
   IMPORTRANGE(""1RdEdgHYrZ33LJ7RUHj_h-qkAFL92bcVjtIdVa-UlsCw"", ""Interns!M:M""), 
   ""Not Found"")"),"")</f>
        <v/>
      </c>
      <c r="AL1803" s="23" t="str">
        <f>IFERROR(__xludf.DUMMYFUNCTION("XLOOKUP(C1803, 
   IMPORTRANGE(""1RdEdgHYrZ33LJ7RUHj_h-qkAFL92bcVjtIdVa-UlsCw"", ""Interns!D:D""), 
   IMPORTRANGE(""1RdEdgHYrZ33LJ7RUHj_h-qkAFL92bcVjtIdVa-UlsCw"", ""Interns!N:N""), 
   ""Not Found"")"),"")</f>
        <v/>
      </c>
      <c r="AM1803" s="23" t="str">
        <f>IFERROR(__xludf.DUMMYFUNCTION("XLOOKUP(C1803, 
   IMPORTRANGE(""1RdEdgHYrZ33LJ7RUHj_h-qkAFL92bcVjtIdVa-UlsCw"", ""Interns!D:D""), 
   IMPORTRANGE(""1RdEdgHYrZ33LJ7RUHj_h-qkAFL92bcVjtIdVa-UlsCw"", ""Interns!O:O""), 
   ""Not Found"")"),"")</f>
        <v/>
      </c>
      <c r="AN1803" s="23"/>
      <c r="AO1803" s="23" t="s">
        <v>15881</v>
      </c>
      <c r="AP1803" s="28" t="s">
        <v>5182</v>
      </c>
      <c r="AQ1803" s="28" t="s">
        <v>15879</v>
      </c>
      <c r="AR1803" s="23" t="s">
        <v>15882</v>
      </c>
      <c r="AS1803" s="23"/>
      <c r="AT1803" s="23"/>
      <c r="AU1803" s="23"/>
      <c r="AV1803" s="23"/>
    </row>
    <row r="1804">
      <c r="A1804" s="28" t="s">
        <v>5161</v>
      </c>
      <c r="B1804" s="28" t="s">
        <v>5162</v>
      </c>
      <c r="C1804" s="23" t="str">
        <f t="shared" si="39"/>
        <v>Noe Juarez</v>
      </c>
      <c r="D1804" s="28" t="s">
        <v>15883</v>
      </c>
      <c r="E1804" s="28" t="s">
        <v>15884</v>
      </c>
      <c r="F1804" s="23">
        <f t="array" ref="F1804">IFERROR(
    INDEX('Hub Interns 226'!A:A, MATCH(C1804, 'Hub Interns 226'!B:B, 0)),"")</f>
        <v>21</v>
      </c>
      <c r="G1804" s="23">
        <f t="array" ref="G1804">IFERROR(
    INDEX('Hub Users 226'!A:A, MATCH(C1804, 'Hub Users 226'!B:B, 0)),"")</f>
        <v>454</v>
      </c>
      <c r="H1804" s="28">
        <v>455.0</v>
      </c>
      <c r="I1804" s="28" t="s">
        <v>290</v>
      </c>
      <c r="J1804" s="28"/>
      <c r="K1804" s="28"/>
      <c r="L1804" s="28" t="s">
        <v>5165</v>
      </c>
      <c r="M1804" s="56" t="s">
        <v>15885</v>
      </c>
      <c r="N1804" s="57">
        <v>44355.775</v>
      </c>
      <c r="O1804" s="58">
        <v>39742.0</v>
      </c>
      <c r="P1804" s="28">
        <f t="shared" si="46"/>
        <v>17</v>
      </c>
      <c r="Q1804" s="28" t="s">
        <v>15886</v>
      </c>
      <c r="R1804" s="28" t="s">
        <v>15887</v>
      </c>
      <c r="S1804" s="28"/>
      <c r="T1804" s="28"/>
      <c r="U1804" s="28"/>
      <c r="V1804" s="28"/>
      <c r="W1804" s="28" t="s">
        <v>12324</v>
      </c>
      <c r="X1804" s="28" t="s">
        <v>465</v>
      </c>
      <c r="Y1804" s="28">
        <v>2.105476976E9</v>
      </c>
      <c r="Z1804" s="28" t="s">
        <v>12326</v>
      </c>
      <c r="AA1804" s="28" t="s">
        <v>12327</v>
      </c>
      <c r="AB1804" s="28" t="s">
        <v>12328</v>
      </c>
      <c r="AC1804" s="28" t="s">
        <v>24</v>
      </c>
      <c r="AD1804" s="23"/>
      <c r="AE1804" s="28" t="s">
        <v>10</v>
      </c>
      <c r="AF1804" s="23"/>
      <c r="AG1804" s="23"/>
      <c r="AH1804" s="23" t="str">
        <f>IFERROR(__xludf.DUMMYFUNCTION("IF(
ISNUMBER(MATCH(
C1804,
IMPORTRANGE(""https://docs.google.com/spreadsheets/d/1yTh1ELC33JHYOeEdgIiEclxPRyh0zOKtlawDltfUay8"",""'Interns'!A:A""),
0
)),
""Outreach Conducted"",
"""")"),"")</f>
        <v/>
      </c>
      <c r="AI1804" s="23"/>
      <c r="AJ1804" s="23"/>
      <c r="AK1804" s="23" t="str">
        <f>IFERROR(__xludf.DUMMYFUNCTION("XLOOKUP(C1804, 
   IMPORTRANGE(""1RdEdgHYrZ33LJ7RUHj_h-qkAFL92bcVjtIdVa-UlsCw"", ""Interns!D:D""), 
   IMPORTRANGE(""1RdEdgHYrZ33LJ7RUHj_h-qkAFL92bcVjtIdVa-UlsCw"", ""Interns!M:M""), 
   ""Not Found"")"),"")</f>
        <v/>
      </c>
      <c r="AL1804" s="23" t="str">
        <f>IFERROR(__xludf.DUMMYFUNCTION("XLOOKUP(C1804, 
   IMPORTRANGE(""1RdEdgHYrZ33LJ7RUHj_h-qkAFL92bcVjtIdVa-UlsCw"", ""Interns!D:D""), 
   IMPORTRANGE(""1RdEdgHYrZ33LJ7RUHj_h-qkAFL92bcVjtIdVa-UlsCw"", ""Interns!N:N""), 
   ""Not Found"")"),"")</f>
        <v/>
      </c>
      <c r="AM1804" s="23" t="str">
        <f>IFERROR(__xludf.DUMMYFUNCTION("XLOOKUP(C1804, 
   IMPORTRANGE(""1RdEdgHYrZ33LJ7RUHj_h-qkAFL92bcVjtIdVa-UlsCw"", ""Interns!D:D""), 
   IMPORTRANGE(""1RdEdgHYrZ33LJ7RUHj_h-qkAFL92bcVjtIdVa-UlsCw"", ""Interns!O:O""), 
   ""Not Found"")"),"")</f>
        <v/>
      </c>
      <c r="AN1804" s="23"/>
      <c r="AO1804" s="23"/>
      <c r="AP1804" s="28"/>
      <c r="AQ1804" s="28"/>
      <c r="AR1804" s="23"/>
      <c r="AS1804" s="23"/>
      <c r="AT1804" s="23"/>
      <c r="AU1804" s="23"/>
      <c r="AV1804" s="23"/>
    </row>
    <row r="1805">
      <c r="A1805" s="28" t="s">
        <v>5161</v>
      </c>
      <c r="B1805" s="28" t="s">
        <v>5162</v>
      </c>
      <c r="C1805" s="23" t="str">
        <f t="shared" si="39"/>
        <v>Ruben Dorado</v>
      </c>
      <c r="D1805" s="28" t="s">
        <v>15888</v>
      </c>
      <c r="E1805" s="28" t="s">
        <v>15889</v>
      </c>
      <c r="F1805" s="23">
        <f t="array" ref="F1805">IFERROR(
    INDEX('Hub Interns 226'!A:A, MATCH(C1805, 'Hub Interns 226'!B:B, 0)),"")</f>
        <v>20</v>
      </c>
      <c r="G1805" s="23">
        <f t="array" ref="G1805">IFERROR(
    INDEX('Hub Users 226'!A:A, MATCH(C1805, 'Hub Users 226'!B:B, 0)),"")</f>
        <v>453</v>
      </c>
      <c r="H1805" s="28">
        <v>451.0</v>
      </c>
      <c r="I1805" s="28"/>
      <c r="J1805" s="28"/>
      <c r="K1805" s="28"/>
      <c r="L1805" s="28" t="s">
        <v>5165</v>
      </c>
      <c r="M1805" s="56" t="s">
        <v>15890</v>
      </c>
      <c r="N1805" s="57">
        <v>44355.54791666667</v>
      </c>
      <c r="O1805" s="58">
        <v>39715.0</v>
      </c>
      <c r="P1805" s="28">
        <f t="shared" si="46"/>
        <v>17</v>
      </c>
      <c r="Q1805" s="28" t="s">
        <v>240</v>
      </c>
      <c r="R1805" s="28" t="s">
        <v>15891</v>
      </c>
      <c r="S1805" s="28"/>
      <c r="T1805" s="28"/>
      <c r="U1805" s="28"/>
      <c r="V1805" s="28"/>
      <c r="W1805" s="28" t="s">
        <v>12324</v>
      </c>
      <c r="X1805" s="28" t="s">
        <v>465</v>
      </c>
      <c r="Y1805" s="28" t="s">
        <v>15892</v>
      </c>
      <c r="Z1805" s="28" t="s">
        <v>12326</v>
      </c>
      <c r="AA1805" s="28" t="s">
        <v>12327</v>
      </c>
      <c r="AB1805" s="28" t="s">
        <v>12328</v>
      </c>
      <c r="AC1805" s="28" t="s">
        <v>24</v>
      </c>
      <c r="AD1805" s="23"/>
      <c r="AE1805" s="28" t="s">
        <v>10</v>
      </c>
      <c r="AF1805" s="23"/>
      <c r="AG1805" s="23"/>
      <c r="AH1805" s="23" t="str">
        <f>IFERROR(__xludf.DUMMYFUNCTION("IF(
ISNUMBER(MATCH(
C1805,
IMPORTRANGE(""https://docs.google.com/spreadsheets/d/1yTh1ELC33JHYOeEdgIiEclxPRyh0zOKtlawDltfUay8"",""'Interns'!A:A""),
0
)),
""Outreach Conducted"",
"""")"),"")</f>
        <v/>
      </c>
      <c r="AI1805" s="23"/>
      <c r="AJ1805" s="23"/>
      <c r="AK1805" s="23" t="str">
        <f>IFERROR(__xludf.DUMMYFUNCTION("XLOOKUP(C1805, 
   IMPORTRANGE(""1RdEdgHYrZ33LJ7RUHj_h-qkAFL92bcVjtIdVa-UlsCw"", ""Interns!D:D""), 
   IMPORTRANGE(""1RdEdgHYrZ33LJ7RUHj_h-qkAFL92bcVjtIdVa-UlsCw"", ""Interns!M:M""), 
   ""Not Found"")"),"")</f>
        <v/>
      </c>
      <c r="AL1805" s="23" t="str">
        <f>IFERROR(__xludf.DUMMYFUNCTION("XLOOKUP(C1805, 
   IMPORTRANGE(""1RdEdgHYrZ33LJ7RUHj_h-qkAFL92bcVjtIdVa-UlsCw"", ""Interns!D:D""), 
   IMPORTRANGE(""1RdEdgHYrZ33LJ7RUHj_h-qkAFL92bcVjtIdVa-UlsCw"", ""Interns!N:N""), 
   ""Not Found"")"),"")</f>
        <v/>
      </c>
      <c r="AM1805" s="23" t="str">
        <f>IFERROR(__xludf.DUMMYFUNCTION("XLOOKUP(C1805, 
   IMPORTRANGE(""1RdEdgHYrZ33LJ7RUHj_h-qkAFL92bcVjtIdVa-UlsCw"", ""Interns!D:D""), 
   IMPORTRANGE(""1RdEdgHYrZ33LJ7RUHj_h-qkAFL92bcVjtIdVa-UlsCw"", ""Interns!O:O""), 
   ""Not Found"")"),"")</f>
        <v/>
      </c>
      <c r="AN1805" s="23"/>
      <c r="AO1805" s="23" t="s">
        <v>15893</v>
      </c>
      <c r="AP1805" s="28" t="s">
        <v>5641</v>
      </c>
      <c r="AQ1805" s="28"/>
      <c r="AR1805" s="23"/>
      <c r="AS1805" s="23"/>
      <c r="AT1805" s="23"/>
      <c r="AU1805" s="23"/>
      <c r="AV1805" s="23"/>
    </row>
    <row r="1806">
      <c r="A1806" s="28" t="s">
        <v>5161</v>
      </c>
      <c r="B1806" s="28" t="s">
        <v>5162</v>
      </c>
      <c r="C1806" s="23" t="str">
        <f t="shared" si="39"/>
        <v>Mason Flores</v>
      </c>
      <c r="D1806" s="28" t="s">
        <v>15894</v>
      </c>
      <c r="E1806" s="28" t="s">
        <v>3101</v>
      </c>
      <c r="F1806" s="23">
        <f t="array" ref="F1806">IFERROR(
    INDEX('Hub Interns 226'!A:A, MATCH(C1806, 'Hub Interns 226'!B:B, 0)),"")</f>
        <v>784</v>
      </c>
      <c r="G1806" s="23">
        <f t="array" ref="G1806">IFERROR(
    INDEX('Hub Users 226'!A:A, MATCH(C1806, 'Hub Users 226'!B:B, 0)),"")</f>
        <v>1217</v>
      </c>
      <c r="H1806" s="28">
        <v>458.0</v>
      </c>
      <c r="I1806" s="28" t="s">
        <v>269</v>
      </c>
      <c r="J1806" s="28"/>
      <c r="K1806" s="28"/>
      <c r="L1806" s="28" t="s">
        <v>5165</v>
      </c>
      <c r="M1806" s="56" t="s">
        <v>15895</v>
      </c>
      <c r="N1806" s="57">
        <v>44356.52638888889</v>
      </c>
      <c r="O1806" s="58">
        <v>38492.0</v>
      </c>
      <c r="P1806" s="28">
        <f t="shared" si="46"/>
        <v>20</v>
      </c>
      <c r="Q1806" s="28" t="s">
        <v>240</v>
      </c>
      <c r="R1806" s="28" t="s">
        <v>1474</v>
      </c>
      <c r="S1806" s="28"/>
      <c r="T1806" s="28"/>
      <c r="U1806" s="28"/>
      <c r="V1806" s="28"/>
      <c r="W1806" s="28" t="s">
        <v>12324</v>
      </c>
      <c r="X1806" s="28" t="s">
        <v>465</v>
      </c>
      <c r="Y1806" s="28" t="s">
        <v>15896</v>
      </c>
      <c r="Z1806" s="28" t="s">
        <v>12326</v>
      </c>
      <c r="AA1806" s="28" t="s">
        <v>12327</v>
      </c>
      <c r="AB1806" s="28" t="s">
        <v>12328</v>
      </c>
      <c r="AC1806" s="28" t="s">
        <v>24</v>
      </c>
      <c r="AD1806" s="23"/>
      <c r="AE1806" s="28" t="s">
        <v>10</v>
      </c>
      <c r="AF1806" s="23"/>
      <c r="AG1806" s="23"/>
      <c r="AH1806" s="23" t="str">
        <f>IFERROR(__xludf.DUMMYFUNCTION("IF(
ISNUMBER(MATCH(
C1806,
IMPORTRANGE(""https://docs.google.com/spreadsheets/d/1yTh1ELC33JHYOeEdgIiEclxPRyh0zOKtlawDltfUay8"",""'Interns'!A:A""),
0
)),
""Outreach Conducted"",
"""")"),"")</f>
        <v/>
      </c>
      <c r="AI1806" s="23"/>
      <c r="AJ1806" s="23"/>
      <c r="AK1806" s="23" t="str">
        <f>IFERROR(__xludf.DUMMYFUNCTION("XLOOKUP(C1806, 
   IMPORTRANGE(""1RdEdgHYrZ33LJ7RUHj_h-qkAFL92bcVjtIdVa-UlsCw"", ""Interns!D:D""), 
   IMPORTRANGE(""1RdEdgHYrZ33LJ7RUHj_h-qkAFL92bcVjtIdVa-UlsCw"", ""Interns!M:M""), 
   ""Not Found"")"),"")</f>
        <v/>
      </c>
      <c r="AL1806" s="23" t="str">
        <f>IFERROR(__xludf.DUMMYFUNCTION("XLOOKUP(C1806, 
   IMPORTRANGE(""1RdEdgHYrZ33LJ7RUHj_h-qkAFL92bcVjtIdVa-UlsCw"", ""Interns!D:D""), 
   IMPORTRANGE(""1RdEdgHYrZ33LJ7RUHj_h-qkAFL92bcVjtIdVa-UlsCw"", ""Interns!N:N""), 
   ""Not Found"")"),"")</f>
        <v/>
      </c>
      <c r="AM1806" s="23" t="str">
        <f>IFERROR(__xludf.DUMMYFUNCTION("XLOOKUP(C1806, 
   IMPORTRANGE(""1RdEdgHYrZ33LJ7RUHj_h-qkAFL92bcVjtIdVa-UlsCw"", ""Interns!D:D""), 
   IMPORTRANGE(""1RdEdgHYrZ33LJ7RUHj_h-qkAFL92bcVjtIdVa-UlsCw"", ""Interns!O:O""), 
   ""Not Found"")"),"")</f>
        <v/>
      </c>
      <c r="AN1806" s="23"/>
      <c r="AO1806" s="23" t="s">
        <v>15897</v>
      </c>
      <c r="AP1806" s="28" t="s">
        <v>5182</v>
      </c>
      <c r="AQ1806" s="28"/>
      <c r="AR1806" s="23"/>
      <c r="AS1806" s="23"/>
      <c r="AT1806" s="23"/>
      <c r="AU1806" s="23"/>
      <c r="AV1806" s="23"/>
    </row>
    <row r="1807">
      <c r="A1807" s="28" t="s">
        <v>5161</v>
      </c>
      <c r="B1807" s="28" t="s">
        <v>5162</v>
      </c>
      <c r="C1807" s="23" t="str">
        <f t="shared" si="39"/>
        <v>Marilyn Rosario</v>
      </c>
      <c r="D1807" s="28" t="s">
        <v>6930</v>
      </c>
      <c r="E1807" s="28" t="s">
        <v>7208</v>
      </c>
      <c r="F1807" s="23">
        <f t="array" ref="F1807">IFERROR(
    INDEX('Hub Interns 226'!A:A, MATCH(C1807, 'Hub Interns 226'!B:B, 0)),"")</f>
        <v>395</v>
      </c>
      <c r="G1807" s="23">
        <f t="array" ref="G1807">IFERROR(
    INDEX('Hub Users 226'!A:A, MATCH(C1807, 'Hub Users 226'!B:B, 0)),"")</f>
        <v>828</v>
      </c>
      <c r="H1807" s="28">
        <v>721.0</v>
      </c>
      <c r="I1807" s="28" t="s">
        <v>260</v>
      </c>
      <c r="J1807" s="28"/>
      <c r="K1807" s="28"/>
      <c r="L1807" s="28" t="s">
        <v>5196</v>
      </c>
      <c r="M1807" s="56" t="s">
        <v>15898</v>
      </c>
      <c r="N1807" s="59">
        <v>44549.646527777775</v>
      </c>
      <c r="O1807" s="58">
        <v>38653.0</v>
      </c>
      <c r="P1807" s="28">
        <f t="shared" si="46"/>
        <v>20</v>
      </c>
      <c r="Q1807" s="28" t="s">
        <v>15899</v>
      </c>
      <c r="R1807" s="28" t="s">
        <v>15900</v>
      </c>
      <c r="S1807" s="28"/>
      <c r="T1807" s="28"/>
      <c r="U1807" s="28"/>
      <c r="V1807" s="28"/>
      <c r="W1807" s="28" t="s">
        <v>1173</v>
      </c>
      <c r="X1807" s="28" t="s">
        <v>272</v>
      </c>
      <c r="Y1807" s="28">
        <v>1.5169021544E10</v>
      </c>
      <c r="Z1807" s="28" t="s">
        <v>5332</v>
      </c>
      <c r="AA1807" s="28" t="s">
        <v>421</v>
      </c>
      <c r="AB1807" s="28">
        <v>31.0</v>
      </c>
      <c r="AC1807" s="28" t="s">
        <v>24</v>
      </c>
      <c r="AD1807" s="23"/>
      <c r="AE1807" s="28" t="s">
        <v>10</v>
      </c>
      <c r="AF1807" s="23"/>
      <c r="AG1807" s="23"/>
      <c r="AH1807" s="23" t="str">
        <f>IFERROR(__xludf.DUMMYFUNCTION("IF(
ISNUMBER(MATCH(
C1807,
IMPORTRANGE(""https://docs.google.com/spreadsheets/d/1yTh1ELC33JHYOeEdgIiEclxPRyh0zOKtlawDltfUay8"",""'Interns'!A:A""),
0
)),
""Outreach Conducted"",
"""")"),"")</f>
        <v/>
      </c>
      <c r="AI1807" s="23"/>
      <c r="AJ1807" s="23"/>
      <c r="AK1807" s="23" t="str">
        <f>IFERROR(__xludf.DUMMYFUNCTION("XLOOKUP(C1807, 
   IMPORTRANGE(""1RdEdgHYrZ33LJ7RUHj_h-qkAFL92bcVjtIdVa-UlsCw"", ""Interns!D:D""), 
   IMPORTRANGE(""1RdEdgHYrZ33LJ7RUHj_h-qkAFL92bcVjtIdVa-UlsCw"", ""Interns!M:M""), 
   ""Not Found"")"),"Contacted")</f>
        <v>Contacted</v>
      </c>
      <c r="AL1807" s="23" t="str">
        <f>IFERROR(__xludf.DUMMYFUNCTION("XLOOKUP(C1807, 
   IMPORTRANGE(""1RdEdgHYrZ33LJ7RUHj_h-qkAFL92bcVjtIdVa-UlsCw"", ""Interns!D:D""), 
   IMPORTRANGE(""1RdEdgHYrZ33LJ7RUHj_h-qkAFL92bcVjtIdVa-UlsCw"", ""Interns!N:N""), 
   ""Not Found"")"),"#Cheers4Careers")</f>
        <v>#Cheers4Careers</v>
      </c>
      <c r="AM1807" s="23" t="str">
        <f>IFERROR(__xludf.DUMMYFUNCTION("XLOOKUP(C1807, 
   IMPORTRANGE(""1RdEdgHYrZ33LJ7RUHj_h-qkAFL92bcVjtIdVa-UlsCw"", ""Interns!D:D""), 
   IMPORTRANGE(""1RdEdgHYrZ33LJ7RUHj_h-qkAFL92bcVjtIdVa-UlsCw"", ""Interns!O:O""), 
   ""Not Found"")"),"Hetal reached out March 27 for March #Cheers4 Careers and texted")</f>
        <v>Hetal reached out March 27 for March #Cheers4 Careers and texted</v>
      </c>
      <c r="AN1807" s="23"/>
      <c r="AO1807" s="23" t="s">
        <v>15901</v>
      </c>
      <c r="AP1807" s="28" t="s">
        <v>5641</v>
      </c>
      <c r="AQ1807" s="28"/>
      <c r="AR1807" s="23"/>
      <c r="AS1807" s="23"/>
      <c r="AT1807" s="23"/>
      <c r="AU1807" s="23"/>
      <c r="AV1807" s="23"/>
    </row>
    <row r="1808">
      <c r="A1808" s="28" t="s">
        <v>5202</v>
      </c>
      <c r="B1808" s="28" t="s">
        <v>5162</v>
      </c>
      <c r="C1808" s="23" t="str">
        <f t="shared" si="39"/>
        <v>Abrahan Castro</v>
      </c>
      <c r="D1808" s="28" t="s">
        <v>15902</v>
      </c>
      <c r="E1808" s="28" t="s">
        <v>2092</v>
      </c>
      <c r="F1808" s="23">
        <f t="array" ref="F1808">IFERROR(
    INDEX('Hub Interns 226'!A:A, MATCH(C1808, 'Hub Interns 226'!B:B, 0)),"")</f>
        <v>138</v>
      </c>
      <c r="G1808" s="23">
        <f t="array" ref="G1808">IFERROR(
    INDEX('Hub Users 226'!A:A, MATCH(C1808, 'Hub Users 226'!B:B, 0)),"")</f>
        <v>571</v>
      </c>
      <c r="H1808" s="28">
        <v>254.0</v>
      </c>
      <c r="I1808" s="28" t="s">
        <v>239</v>
      </c>
      <c r="J1808" s="28"/>
      <c r="K1808" s="28"/>
      <c r="L1808" s="28" t="s">
        <v>5165</v>
      </c>
      <c r="M1808" s="56" t="s">
        <v>15903</v>
      </c>
      <c r="N1808" s="59">
        <v>44160.53958333333</v>
      </c>
      <c r="O1808" s="58"/>
      <c r="P1808" s="28">
        <f t="shared" si="46"/>
        <v>126</v>
      </c>
      <c r="Q1808" s="28" t="s">
        <v>15904</v>
      </c>
      <c r="R1808" s="23"/>
      <c r="S1808" s="28"/>
      <c r="T1808" s="28"/>
      <c r="U1808" s="28"/>
      <c r="V1808" s="28"/>
      <c r="W1808" s="23"/>
      <c r="X1808" s="23"/>
      <c r="Y1808" s="28" t="s">
        <v>15905</v>
      </c>
      <c r="Z1808" s="28" t="s">
        <v>5435</v>
      </c>
      <c r="AA1808" s="28" t="s">
        <v>5436</v>
      </c>
      <c r="AB1808" s="28">
        <v>10.0</v>
      </c>
      <c r="AC1808" s="28" t="s">
        <v>25</v>
      </c>
      <c r="AD1808" s="23"/>
      <c r="AE1808" s="28" t="s">
        <v>8</v>
      </c>
      <c r="AF1808" s="23" t="str">
        <f>IFERROR(__xludf.DUMMYFUNCTION("TEXTJOIN("", "", TRUE,
  FILTER(Champions!C:C,
    ISNUMBER(SEARCH(C1808, Champions!W:W))
  )
)"),"Ankur Jaluria, Demi Ajayi")</f>
        <v>Ankur Jaluria, Demi Ajayi</v>
      </c>
      <c r="AG1808" s="23"/>
      <c r="AH1808" s="23" t="str">
        <f>IFERROR(__xludf.DUMMYFUNCTION("IF(
ISNUMBER(MATCH(
C1808,
IMPORTRANGE(""https://docs.google.com/spreadsheets/d/1yTh1ELC33JHYOeEdgIiEclxPRyh0zOKtlawDltfUay8"",""'Interns'!A:A""),
0
)),
""Outreach Conducted"",
"""")"),"")</f>
        <v/>
      </c>
      <c r="AI1808" s="23"/>
      <c r="AJ1808" s="23"/>
      <c r="AK1808" s="23" t="str">
        <f>IFERROR(__xludf.DUMMYFUNCTION("XLOOKUP(C1808, 
   IMPORTRANGE(""1RdEdgHYrZ33LJ7RUHj_h-qkAFL92bcVjtIdVa-UlsCw"", ""Interns!D:D""), 
   IMPORTRANGE(""1RdEdgHYrZ33LJ7RUHj_h-qkAFL92bcVjtIdVa-UlsCw"", ""Interns!M:M""), 
   ""Not Found"")"),"")</f>
        <v/>
      </c>
      <c r="AL1808" s="23" t="str">
        <f>IFERROR(__xludf.DUMMYFUNCTION("XLOOKUP(C1808, 
   IMPORTRANGE(""1RdEdgHYrZ33LJ7RUHj_h-qkAFL92bcVjtIdVa-UlsCw"", ""Interns!D:D""), 
   IMPORTRANGE(""1RdEdgHYrZ33LJ7RUHj_h-qkAFL92bcVjtIdVa-UlsCw"", ""Interns!N:N""), 
   ""Not Found"")"),"")</f>
        <v/>
      </c>
      <c r="AM1808" s="23" t="str">
        <f>IFERROR(__xludf.DUMMYFUNCTION("XLOOKUP(C1808, 
   IMPORTRANGE(""1RdEdgHYrZ33LJ7RUHj_h-qkAFL92bcVjtIdVa-UlsCw"", ""Interns!D:D""), 
   IMPORTRANGE(""1RdEdgHYrZ33LJ7RUHj_h-qkAFL92bcVjtIdVa-UlsCw"", ""Interns!O:O""), 
   ""Not Found"")"),"")</f>
        <v/>
      </c>
      <c r="AN1808" s="23"/>
      <c r="AO1808" s="23"/>
      <c r="AP1808" s="28"/>
      <c r="AQ1808" s="28"/>
      <c r="AR1808" s="23"/>
      <c r="AS1808" s="23"/>
      <c r="AT1808" s="23"/>
      <c r="AU1808" s="23"/>
      <c r="AV1808" s="23"/>
    </row>
    <row r="1809">
      <c r="A1809" s="28" t="s">
        <v>5161</v>
      </c>
      <c r="B1809" s="28" t="s">
        <v>5162</v>
      </c>
      <c r="C1809" s="23" t="str">
        <f t="shared" si="39"/>
        <v>Nyheem Robinson</v>
      </c>
      <c r="D1809" s="28" t="s">
        <v>15906</v>
      </c>
      <c r="E1809" s="28" t="s">
        <v>2583</v>
      </c>
      <c r="F1809" s="23">
        <f t="array" ref="F1809">IFERROR(
    INDEX('Hub Interns 226'!A:A, MATCH(C1809, 'Hub Interns 226'!B:B, 0)),"")</f>
        <v>951</v>
      </c>
      <c r="G1809" s="23">
        <f t="array" ref="G1809">IFERROR(
    INDEX('Hub Users 226'!A:A, MATCH(C1809, 'Hub Users 226'!B:B, 0)),"")</f>
        <v>1384</v>
      </c>
      <c r="H1809" s="28">
        <v>1453.0</v>
      </c>
      <c r="I1809" s="28"/>
      <c r="J1809" s="28"/>
      <c r="K1809" s="28"/>
      <c r="L1809" s="28" t="s">
        <v>5165</v>
      </c>
      <c r="M1809" s="56" t="s">
        <v>15907</v>
      </c>
      <c r="N1809" s="57">
        <v>44931.84930555556</v>
      </c>
      <c r="O1809" s="58">
        <v>38926.0</v>
      </c>
      <c r="P1809" s="28">
        <f t="shared" si="46"/>
        <v>19</v>
      </c>
      <c r="Q1809" s="28" t="s">
        <v>240</v>
      </c>
      <c r="R1809" s="28" t="s">
        <v>15908</v>
      </c>
      <c r="S1809" s="28"/>
      <c r="T1809" s="28"/>
      <c r="U1809" s="28"/>
      <c r="V1809" s="28"/>
      <c r="W1809" s="28" t="s">
        <v>859</v>
      </c>
      <c r="X1809" s="28" t="s">
        <v>272</v>
      </c>
      <c r="Y1809" s="28" t="s">
        <v>15909</v>
      </c>
      <c r="Z1809" s="28" t="s">
        <v>13836</v>
      </c>
      <c r="AA1809" s="28" t="s">
        <v>5871</v>
      </c>
      <c r="AB1809" s="28">
        <v>31.0</v>
      </c>
      <c r="AC1809" s="28" t="s">
        <v>23</v>
      </c>
      <c r="AD1809" s="23"/>
      <c r="AE1809" s="28" t="s">
        <v>15</v>
      </c>
      <c r="AF1809" s="23"/>
      <c r="AG1809" s="23"/>
      <c r="AH1809" s="23" t="str">
        <f>IFERROR(__xludf.DUMMYFUNCTION("IF(
ISNUMBER(MATCH(
C1809,
IMPORTRANGE(""https://docs.google.com/spreadsheets/d/1yTh1ELC33JHYOeEdgIiEclxPRyh0zOKtlawDltfUay8"",""'Interns'!A:A""),
0
)),
""Outreach Conducted"",
"""")"),"")</f>
        <v/>
      </c>
      <c r="AI1809" s="23"/>
      <c r="AJ1809" s="23"/>
      <c r="AK1809" s="23" t="str">
        <f>IFERROR(__xludf.DUMMYFUNCTION("XLOOKUP(C1809, 
   IMPORTRANGE(""1RdEdgHYrZ33LJ7RUHj_h-qkAFL92bcVjtIdVa-UlsCw"", ""Interns!D:D""), 
   IMPORTRANGE(""1RdEdgHYrZ33LJ7RUHj_h-qkAFL92bcVjtIdVa-UlsCw"", ""Interns!M:M""), 
   ""Not Found"")"),"Contacted")</f>
        <v>Contacted</v>
      </c>
      <c r="AL1809" s="23" t="str">
        <f>IFERROR(__xludf.DUMMYFUNCTION("XLOOKUP(C1809, 
   IMPORTRANGE(""1RdEdgHYrZ33LJ7RUHj_h-qkAFL92bcVjtIdVa-UlsCw"", ""Interns!D:D""), 
   IMPORTRANGE(""1RdEdgHYrZ33LJ7RUHj_h-qkAFL92bcVjtIdVa-UlsCw"", ""Interns!N:N""), 
   ""Not Found"")"),"#Cheers4Careers")</f>
        <v>#Cheers4Careers</v>
      </c>
      <c r="AM1809" s="23" t="str">
        <f>IFERROR(__xludf.DUMMYFUNCTION("XLOOKUP(C1809, 
   IMPORTRANGE(""1RdEdgHYrZ33LJ7RUHj_h-qkAFL92bcVjtIdVa-UlsCw"", ""Interns!D:D""), 
   IMPORTRANGE(""1RdEdgHYrZ33LJ7RUHj_h-qkAFL92bcVjtIdVa-UlsCw"", ""Interns!O:O""), 
   ""Not Found"")"),"Hetal reached out March 27 for March #Cheers4 Careers ")</f>
        <v>Hetal reached out March 27 for March #Cheers4 Careers </v>
      </c>
      <c r="AN1809" s="23"/>
      <c r="AO1809" s="23" t="s">
        <v>15910</v>
      </c>
      <c r="AP1809" s="28" t="s">
        <v>5182</v>
      </c>
      <c r="AQ1809" s="28"/>
      <c r="AR1809" s="23"/>
      <c r="AS1809" s="23"/>
      <c r="AT1809" s="23"/>
      <c r="AU1809" s="23"/>
      <c r="AV1809" s="23"/>
    </row>
    <row r="1810">
      <c r="A1810" s="28" t="s">
        <v>5161</v>
      </c>
      <c r="B1810" s="28" t="s">
        <v>5162</v>
      </c>
      <c r="C1810" s="23" t="str">
        <f t="shared" si="39"/>
        <v>Nofah Daeis</v>
      </c>
      <c r="D1810" s="22" t="s">
        <v>15911</v>
      </c>
      <c r="E1810" s="22" t="s">
        <v>15912</v>
      </c>
      <c r="F1810" s="23"/>
      <c r="G1810" s="23"/>
      <c r="H1810" s="22">
        <v>1956.0</v>
      </c>
      <c r="I1810" s="28"/>
      <c r="J1810" s="28"/>
      <c r="K1810" s="28"/>
      <c r="L1810" s="28" t="s">
        <v>5196</v>
      </c>
      <c r="M1810" s="29" t="s">
        <v>15913</v>
      </c>
      <c r="N1810" s="61">
        <v>45715.30625</v>
      </c>
      <c r="O1810" s="25">
        <v>41046.0</v>
      </c>
      <c r="P1810" s="28">
        <f t="shared" si="46"/>
        <v>14</v>
      </c>
      <c r="Q1810" s="62" t="s">
        <v>15914</v>
      </c>
      <c r="R1810" s="22" t="s">
        <v>15915</v>
      </c>
      <c r="S1810" s="28">
        <v>7.0</v>
      </c>
      <c r="T1810" s="28">
        <v>12.0</v>
      </c>
      <c r="U1810" s="28">
        <v>37.0</v>
      </c>
      <c r="V1810" s="28">
        <v>26.0</v>
      </c>
      <c r="W1810" s="28" t="s">
        <v>1173</v>
      </c>
      <c r="X1810" s="28" t="s">
        <v>272</v>
      </c>
      <c r="Y1810" s="22" t="s">
        <v>15916</v>
      </c>
      <c r="Z1810" s="22" t="s">
        <v>5286</v>
      </c>
      <c r="AA1810" s="28" t="s">
        <v>5287</v>
      </c>
      <c r="AB1810" s="28">
        <v>26.0</v>
      </c>
      <c r="AC1810" s="28" t="s">
        <v>22</v>
      </c>
      <c r="AD1810" s="23"/>
      <c r="AE1810" s="28" t="s">
        <v>19</v>
      </c>
      <c r="AF1810" s="23"/>
      <c r="AG1810" s="23"/>
      <c r="AH1810" s="23" t="str">
        <f>IFERROR(__xludf.DUMMYFUNCTION("IF(
ISNUMBER(MATCH(
C1810,
IMPORTRANGE(""https://docs.google.com/spreadsheets/d/1yTh1ELC33JHYOeEdgIiEclxPRyh0zOKtlawDltfUay8"",""'Interns'!A:A""),
0
)),
""Outreach Conducted"",
"""")"),"")</f>
        <v/>
      </c>
      <c r="AI1810" s="23"/>
      <c r="AJ1810" s="23"/>
      <c r="AK1810" s="23"/>
      <c r="AL1810" s="23" t="str">
        <f>IFERROR(__xludf.DUMMYFUNCTION("XLOOKUP(C1810, 
   IMPORTRANGE(""1RdEdgHYrZ33LJ7RUHj_h-qkAFL92bcVjtIdVa-UlsCw"", ""Interns!D:D""), 
   IMPORTRANGE(""1RdEdgHYrZ33LJ7RUHj_h-qkAFL92bcVjtIdVa-UlsCw"", ""Interns!N:N""), 
   ""Not Found"")"),"#Cheers4Careers")</f>
        <v>#Cheers4Careers</v>
      </c>
      <c r="AM1810" s="23" t="str">
        <f>IFERROR(__xludf.DUMMYFUNCTION("XLOOKUP(C1810, 
   IMPORTRANGE(""1RdEdgHYrZ33LJ7RUHj_h-qkAFL92bcVjtIdVa-UlsCw"", ""Interns!D:D""), 
   IMPORTRANGE(""1RdEdgHYrZ33LJ7RUHj_h-qkAFL92bcVjtIdVa-UlsCw"", ""Interns!O:O""), 
   ""Not Found"")"),"Hetal reached out by email 3/27, email was blocked")</f>
        <v>Hetal reached out by email 3/27, email was blocked</v>
      </c>
      <c r="AN1810" s="23"/>
      <c r="AO1810" s="23" t="s">
        <v>15917</v>
      </c>
      <c r="AP1810" s="28" t="s">
        <v>5191</v>
      </c>
      <c r="AQ1810" s="28" t="s">
        <v>15918</v>
      </c>
      <c r="AR1810" s="23" t="s">
        <v>15919</v>
      </c>
      <c r="AS1810" s="23"/>
      <c r="AT1810" s="23"/>
      <c r="AU1810" s="23"/>
      <c r="AV1810" s="23"/>
    </row>
    <row r="1811">
      <c r="A1811" s="28" t="s">
        <v>5161</v>
      </c>
      <c r="B1811" s="28" t="s">
        <v>5162</v>
      </c>
      <c r="C1811" s="23" t="str">
        <f t="shared" si="39"/>
        <v>Fatimah Jawneh</v>
      </c>
      <c r="D1811" s="28" t="s">
        <v>15920</v>
      </c>
      <c r="E1811" s="28" t="s">
        <v>15921</v>
      </c>
      <c r="F1811" s="23" t="str">
        <f t="array" ref="F1811">IFERROR(
    INDEX('Hub Interns 226'!A:A, MATCH(C1811, 'Hub Interns 226'!B:B, 0)),"")</f>
        <v/>
      </c>
      <c r="G1811" s="23" t="str">
        <f t="array" ref="G1811">IFERROR(
    INDEX('Hub Users 226'!A:A, MATCH(C1811, 'Hub Users 226'!B:B, 0)),"")</f>
        <v/>
      </c>
      <c r="H1811" s="28">
        <v>1398.0</v>
      </c>
      <c r="I1811" s="28"/>
      <c r="J1811" s="28"/>
      <c r="K1811" s="28"/>
      <c r="L1811" s="28" t="s">
        <v>5196</v>
      </c>
      <c r="M1811" s="56" t="s">
        <v>15922</v>
      </c>
      <c r="N1811" s="59">
        <v>44862.623611111114</v>
      </c>
      <c r="O1811" s="28">
        <v>15.0</v>
      </c>
      <c r="P1811" s="28">
        <f t="shared" ref="P1811:P1813" si="47">YEAR(TODAY())-2018+O1811</f>
        <v>23</v>
      </c>
      <c r="Q1811" s="28" t="s">
        <v>15923</v>
      </c>
      <c r="R1811" s="23"/>
      <c r="S1811" s="28"/>
      <c r="T1811" s="28"/>
      <c r="U1811" s="28"/>
      <c r="V1811" s="28"/>
      <c r="W1811" s="28" t="s">
        <v>2633</v>
      </c>
      <c r="X1811" s="28" t="s">
        <v>241</v>
      </c>
      <c r="Y1811" s="23"/>
      <c r="Z1811" s="28" t="s">
        <v>5294</v>
      </c>
      <c r="AA1811" s="28" t="s">
        <v>5294</v>
      </c>
      <c r="AB1811" s="28" t="s">
        <v>5295</v>
      </c>
      <c r="AC1811" s="28" t="s">
        <v>25</v>
      </c>
      <c r="AD1811" s="23"/>
      <c r="AE1811" s="28" t="s">
        <v>4</v>
      </c>
      <c r="AF1811" s="23" t="str">
        <f>IFERROR(__xludf.DUMMYFUNCTION("TEXTJOIN("", "", TRUE,
  FILTER(Champions!C:C,
    ISNUMBER(SEARCH(C1811, Champions!W:W))
  )
)"),"Seema Dixit")</f>
        <v>Seema Dixit</v>
      </c>
      <c r="AG1811" s="23"/>
      <c r="AH1811" s="23" t="str">
        <f>IFERROR(__xludf.DUMMYFUNCTION("IF(
ISNUMBER(MATCH(
C1811,
IMPORTRANGE(""https://docs.google.com/spreadsheets/d/1yTh1ELC33JHYOeEdgIiEclxPRyh0zOKtlawDltfUay8"",""'Interns'!A:A""),
0
)),
""Outreach Conducted"",
"""")"),"")</f>
        <v/>
      </c>
      <c r="AI1811" s="23"/>
      <c r="AJ1811" s="23"/>
      <c r="AK1811" s="23" t="str">
        <f>IFERROR(__xludf.DUMMYFUNCTION("XLOOKUP(C1811, 
   IMPORTRANGE(""1RdEdgHYrZ33LJ7RUHj_h-qkAFL92bcVjtIdVa-UlsCw"", ""Interns!D:D""), 
   IMPORTRANGE(""1RdEdgHYrZ33LJ7RUHj_h-qkAFL92bcVjtIdVa-UlsCw"", ""Interns!M:M""), 
   ""Not Found"")"),"")</f>
        <v/>
      </c>
      <c r="AL1811" s="23" t="str">
        <f>IFERROR(__xludf.DUMMYFUNCTION("XLOOKUP(C1811, 
   IMPORTRANGE(""1RdEdgHYrZ33LJ7RUHj_h-qkAFL92bcVjtIdVa-UlsCw"", ""Interns!D:D""), 
   IMPORTRANGE(""1RdEdgHYrZ33LJ7RUHj_h-qkAFL92bcVjtIdVa-UlsCw"", ""Interns!N:N""), 
   ""Not Found"")"),"")</f>
        <v/>
      </c>
      <c r="AM1811" s="23" t="str">
        <f>IFERROR(__xludf.DUMMYFUNCTION("XLOOKUP(C1811, 
   IMPORTRANGE(""1RdEdgHYrZ33LJ7RUHj_h-qkAFL92bcVjtIdVa-UlsCw"", ""Interns!D:D""), 
   IMPORTRANGE(""1RdEdgHYrZ33LJ7RUHj_h-qkAFL92bcVjtIdVa-UlsCw"", ""Interns!O:O""), 
   ""Not Found"")"),"")</f>
        <v/>
      </c>
      <c r="AN1811" s="23"/>
      <c r="AO1811" s="23"/>
      <c r="AP1811" s="28"/>
      <c r="AQ1811" s="28"/>
      <c r="AR1811" s="23"/>
      <c r="AS1811" s="23"/>
      <c r="AT1811" s="23"/>
      <c r="AU1811" s="23"/>
      <c r="AV1811" s="23"/>
    </row>
    <row r="1812">
      <c r="A1812" s="28" t="s">
        <v>5161</v>
      </c>
      <c r="B1812" s="28" t="s">
        <v>5162</v>
      </c>
      <c r="C1812" s="23" t="str">
        <f t="shared" si="39"/>
        <v>Vanessa Garcia</v>
      </c>
      <c r="D1812" s="28" t="s">
        <v>2909</v>
      </c>
      <c r="E1812" s="28" t="s">
        <v>1484</v>
      </c>
      <c r="F1812" s="23" t="str">
        <f t="array" ref="F1812">IFERROR(
    INDEX('Hub Interns 226'!A:A, MATCH(C1812, 'Hub Interns 226'!B:B, 0)),"")</f>
        <v/>
      </c>
      <c r="G1812" s="23" t="str">
        <f t="array" ref="G1812">IFERROR(
    INDEX('Hub Users 226'!A:A, MATCH(C1812, 'Hub Users 226'!B:B, 0)),"")</f>
        <v/>
      </c>
      <c r="H1812" s="28">
        <v>25.0</v>
      </c>
      <c r="I1812" s="28"/>
      <c r="J1812" s="28"/>
      <c r="K1812" s="28"/>
      <c r="L1812" s="28"/>
      <c r="M1812" s="56" t="s">
        <v>15924</v>
      </c>
      <c r="N1812" s="57">
        <v>43741.63055555556</v>
      </c>
      <c r="O1812" s="28">
        <v>15.0</v>
      </c>
      <c r="P1812" s="28">
        <f t="shared" si="47"/>
        <v>23</v>
      </c>
      <c r="Q1812" s="28" t="s">
        <v>15925</v>
      </c>
      <c r="R1812" s="23"/>
      <c r="S1812" s="28"/>
      <c r="T1812" s="28"/>
      <c r="U1812" s="28"/>
      <c r="V1812" s="28"/>
      <c r="W1812" s="28" t="s">
        <v>2633</v>
      </c>
      <c r="X1812" s="28" t="s">
        <v>241</v>
      </c>
      <c r="Y1812" s="28" t="s">
        <v>15926</v>
      </c>
      <c r="Z1812" s="28" t="s">
        <v>5294</v>
      </c>
      <c r="AA1812" s="28" t="s">
        <v>5294</v>
      </c>
      <c r="AB1812" s="28" t="s">
        <v>5295</v>
      </c>
      <c r="AC1812" s="28" t="s">
        <v>25</v>
      </c>
      <c r="AD1812" s="23"/>
      <c r="AE1812" s="28" t="s">
        <v>4</v>
      </c>
      <c r="AF1812" s="23" t="str">
        <f>IFERROR(__xludf.DUMMYFUNCTION("TEXTJOIN("", "", TRUE,
  FILTER(Champions!C:C,
    ISNUMBER(SEARCH(C1812, Champions!W:W))
  )
)"),"Natalie Jane Miller")</f>
        <v>Natalie Jane Miller</v>
      </c>
      <c r="AG1812" s="23"/>
      <c r="AH1812" s="23" t="str">
        <f>IFERROR(__xludf.DUMMYFUNCTION("IF(
ISNUMBER(MATCH(
C1812,
IMPORTRANGE(""https://docs.google.com/spreadsheets/d/1yTh1ELC33JHYOeEdgIiEclxPRyh0zOKtlawDltfUay8"",""'Interns'!A:A""),
0
)),
""Outreach Conducted"",
"""")"),"")</f>
        <v/>
      </c>
      <c r="AI1812" s="23"/>
      <c r="AJ1812" s="23"/>
      <c r="AK1812" s="23" t="str">
        <f>IFERROR(__xludf.DUMMYFUNCTION("XLOOKUP(C1812, 
   IMPORTRANGE(""1RdEdgHYrZ33LJ7RUHj_h-qkAFL92bcVjtIdVa-UlsCw"", ""Interns!D:D""), 
   IMPORTRANGE(""1RdEdgHYrZ33LJ7RUHj_h-qkAFL92bcVjtIdVa-UlsCw"", ""Interns!M:M""), 
   ""Not Found"")"),"")</f>
        <v/>
      </c>
      <c r="AL1812" s="23" t="str">
        <f>IFERROR(__xludf.DUMMYFUNCTION("XLOOKUP(C1812, 
   IMPORTRANGE(""1RdEdgHYrZ33LJ7RUHj_h-qkAFL92bcVjtIdVa-UlsCw"", ""Interns!D:D""), 
   IMPORTRANGE(""1RdEdgHYrZ33LJ7RUHj_h-qkAFL92bcVjtIdVa-UlsCw"", ""Interns!N:N""), 
   ""Not Found"")"),"")</f>
        <v/>
      </c>
      <c r="AM1812" s="23" t="str">
        <f>IFERROR(__xludf.DUMMYFUNCTION("XLOOKUP(C1812, 
   IMPORTRANGE(""1RdEdgHYrZ33LJ7RUHj_h-qkAFL92bcVjtIdVa-UlsCw"", ""Interns!D:D""), 
   IMPORTRANGE(""1RdEdgHYrZ33LJ7RUHj_h-qkAFL92bcVjtIdVa-UlsCw"", ""Interns!O:O""), 
   ""Not Found"")"),"")</f>
        <v/>
      </c>
      <c r="AN1812" s="23"/>
      <c r="AO1812" s="23" t="s">
        <v>15927</v>
      </c>
      <c r="AP1812" s="28" t="s">
        <v>5182</v>
      </c>
      <c r="AQ1812" s="28" t="s">
        <v>15927</v>
      </c>
      <c r="AR1812" s="23">
        <v>9.738012366E9</v>
      </c>
      <c r="AS1812" s="23"/>
      <c r="AT1812" s="23"/>
      <c r="AU1812" s="23"/>
      <c r="AV1812" s="23"/>
    </row>
    <row r="1813">
      <c r="A1813" s="28" t="s">
        <v>5161</v>
      </c>
      <c r="B1813" s="28" t="s">
        <v>5162</v>
      </c>
      <c r="C1813" s="23" t="str">
        <f t="shared" si="39"/>
        <v>Begayim Makenova</v>
      </c>
      <c r="D1813" s="28" t="s">
        <v>15928</v>
      </c>
      <c r="E1813" s="28" t="s">
        <v>15929</v>
      </c>
      <c r="F1813" s="23" t="str">
        <f t="array" ref="F1813">IFERROR(
    INDEX('Hub Interns 226'!A:A, MATCH(C1813, 'Hub Interns 226'!B:B, 0)),"")</f>
        <v/>
      </c>
      <c r="G1813" s="23" t="str">
        <f t="array" ref="G1813">IFERROR(
    INDEX('Hub Users 226'!A:A, MATCH(C1813, 'Hub Users 226'!B:B, 0)),"")</f>
        <v/>
      </c>
      <c r="H1813" s="28">
        <v>1400.0</v>
      </c>
      <c r="I1813" s="28"/>
      <c r="J1813" s="28"/>
      <c r="K1813" s="28"/>
      <c r="L1813" s="28" t="s">
        <v>5196</v>
      </c>
      <c r="M1813" s="56" t="s">
        <v>15930</v>
      </c>
      <c r="N1813" s="59">
        <v>44862.657638888886</v>
      </c>
      <c r="O1813" s="28">
        <v>15.0</v>
      </c>
      <c r="P1813" s="28">
        <f t="shared" si="47"/>
        <v>23</v>
      </c>
      <c r="Q1813" s="28" t="s">
        <v>15931</v>
      </c>
      <c r="R1813" s="23"/>
      <c r="S1813" s="28"/>
      <c r="T1813" s="28"/>
      <c r="U1813" s="28"/>
      <c r="V1813" s="28"/>
      <c r="W1813" s="28" t="s">
        <v>380</v>
      </c>
      <c r="X1813" s="28" t="s">
        <v>381</v>
      </c>
      <c r="Y1813" s="23"/>
      <c r="Z1813" s="28" t="s">
        <v>5272</v>
      </c>
      <c r="AA1813" s="28" t="s">
        <v>629</v>
      </c>
      <c r="AB1813" s="28" t="s">
        <v>5221</v>
      </c>
      <c r="AC1813" s="28" t="s">
        <v>25</v>
      </c>
      <c r="AD1813" s="23"/>
      <c r="AE1813" s="28" t="s">
        <v>4</v>
      </c>
      <c r="AF1813" s="23" t="str">
        <f>IFERROR(__xludf.DUMMYFUNCTION("TEXTJOIN("", "", TRUE,
  FILTER(Champions!C:C,
    ISNUMBER(SEARCH(C1813, Champions!W:W))
  )
)"),"Jenny Xochilt Salinas, Tatiana Nechaeva")</f>
        <v>Jenny Xochilt Salinas, Tatiana Nechaeva</v>
      </c>
      <c r="AG1813" s="23"/>
      <c r="AH1813" s="23" t="str">
        <f>IFERROR(__xludf.DUMMYFUNCTION("IF(
ISNUMBER(MATCH(
C1813,
IMPORTRANGE(""https://docs.google.com/spreadsheets/d/1yTh1ELC33JHYOeEdgIiEclxPRyh0zOKtlawDltfUay8"",""'Interns'!A:A""),
0
)),
""Outreach Conducted"",
"""")"),"")</f>
        <v/>
      </c>
      <c r="AI1813" s="23"/>
      <c r="AJ1813" s="23"/>
      <c r="AK1813" s="23" t="str">
        <f>IFERROR(__xludf.DUMMYFUNCTION("XLOOKUP(C1813, 
   IMPORTRANGE(""1RdEdgHYrZ33LJ7RUHj_h-qkAFL92bcVjtIdVa-UlsCw"", ""Interns!D:D""), 
   IMPORTRANGE(""1RdEdgHYrZ33LJ7RUHj_h-qkAFL92bcVjtIdVa-UlsCw"", ""Interns!M:M""), 
   ""Not Found"")"),"")</f>
        <v/>
      </c>
      <c r="AL1813" s="23" t="str">
        <f>IFERROR(__xludf.DUMMYFUNCTION("XLOOKUP(C1813, 
   IMPORTRANGE(""1RdEdgHYrZ33LJ7RUHj_h-qkAFL92bcVjtIdVa-UlsCw"", ""Interns!D:D""), 
   IMPORTRANGE(""1RdEdgHYrZ33LJ7RUHj_h-qkAFL92bcVjtIdVa-UlsCw"", ""Interns!N:N""), 
   ""Not Found"")"),"")</f>
        <v/>
      </c>
      <c r="AM1813" s="23" t="str">
        <f>IFERROR(__xludf.DUMMYFUNCTION("XLOOKUP(C1813, 
   IMPORTRANGE(""1RdEdgHYrZ33LJ7RUHj_h-qkAFL92bcVjtIdVa-UlsCw"", ""Interns!D:D""), 
   IMPORTRANGE(""1RdEdgHYrZ33LJ7RUHj_h-qkAFL92bcVjtIdVa-UlsCw"", ""Interns!O:O""), 
   ""Not Found"")"),"")</f>
        <v/>
      </c>
      <c r="AN1813" s="23"/>
      <c r="AO1813" s="23"/>
      <c r="AP1813" s="28"/>
      <c r="AQ1813" s="28"/>
      <c r="AR1813" s="23"/>
      <c r="AS1813" s="23"/>
      <c r="AT1813" s="23"/>
      <c r="AU1813" s="23"/>
      <c r="AV1813" s="23"/>
    </row>
    <row r="1814">
      <c r="A1814" s="28" t="s">
        <v>5161</v>
      </c>
      <c r="B1814" s="28" t="s">
        <v>5162</v>
      </c>
      <c r="C1814" s="23" t="str">
        <f t="shared" si="39"/>
        <v>Anastasia Smetaniuk</v>
      </c>
      <c r="D1814" s="28" t="s">
        <v>510</v>
      </c>
      <c r="E1814" s="28" t="s">
        <v>12806</v>
      </c>
      <c r="F1814" s="23">
        <f t="array" ref="F1814">IFERROR(
    INDEX('Hub Interns 226'!A:A, MATCH(C1814, 'Hub Interns 226'!B:B, 0)),"")</f>
        <v>922</v>
      </c>
      <c r="G1814" s="23">
        <f t="array" ref="G1814">IFERROR(
    INDEX('Hub Users 226'!A:A, MATCH(C1814, 'Hub Users 226'!B:B, 0)),"")</f>
        <v>1355</v>
      </c>
      <c r="H1814" s="28">
        <v>4.0</v>
      </c>
      <c r="I1814" s="28" t="s">
        <v>1963</v>
      </c>
      <c r="J1814" s="28"/>
      <c r="K1814" s="28" t="s">
        <v>5255</v>
      </c>
      <c r="L1814" s="28" t="s">
        <v>5196</v>
      </c>
      <c r="M1814" s="56" t="s">
        <v>15932</v>
      </c>
      <c r="N1814" s="57">
        <v>43321.47708333333</v>
      </c>
      <c r="O1814" s="58"/>
      <c r="P1814" s="28">
        <f t="shared" ref="P1814:P1820" si="48">DATEDIF(O1814, TODAY(), "Y")</f>
        <v>126</v>
      </c>
      <c r="Q1814" s="28" t="s">
        <v>240</v>
      </c>
      <c r="R1814" s="23"/>
      <c r="S1814" s="28"/>
      <c r="T1814" s="28"/>
      <c r="U1814" s="28"/>
      <c r="V1814" s="28"/>
      <c r="W1814" s="23"/>
      <c r="X1814" s="23"/>
      <c r="Y1814" s="23"/>
      <c r="Z1814" s="28" t="s">
        <v>5272</v>
      </c>
      <c r="AA1814" s="28" t="s">
        <v>629</v>
      </c>
      <c r="AB1814" s="28" t="s">
        <v>5221</v>
      </c>
      <c r="AC1814" s="28" t="s">
        <v>25</v>
      </c>
      <c r="AD1814" s="23"/>
      <c r="AE1814" s="28" t="s">
        <v>4</v>
      </c>
      <c r="AF1814" s="23" t="str">
        <f>IFERROR(__xludf.DUMMYFUNCTION("TEXTJOIN("", "", TRUE,
  FILTER(Champions!C:C,
    ISNUMBER(SEARCH(C1814, Champions!W:W))
  )
)"),"#N/A")</f>
        <v>#N/A</v>
      </c>
      <c r="AG1814" s="23"/>
      <c r="AH1814" s="23" t="str">
        <f>IFERROR(__xludf.DUMMYFUNCTION("IF(
ISNUMBER(MATCH(
C1814,
IMPORTRANGE(""https://docs.google.com/spreadsheets/d/1yTh1ELC33JHYOeEdgIiEclxPRyh0zOKtlawDltfUay8"",""'Interns'!A:A""),
0
)),
""Outreach Conducted"",
"""")"),"")</f>
        <v/>
      </c>
      <c r="AI1814" s="23"/>
      <c r="AJ1814" s="23"/>
      <c r="AK1814" s="23" t="str">
        <f>IFERROR(__xludf.DUMMYFUNCTION("XLOOKUP(C1814, 
   IMPORTRANGE(""1RdEdgHYrZ33LJ7RUHj_h-qkAFL92bcVjtIdVa-UlsCw"", ""Interns!D:D""), 
   IMPORTRANGE(""1RdEdgHYrZ33LJ7RUHj_h-qkAFL92bcVjtIdVa-UlsCw"", ""Interns!M:M""), 
   ""Not Found"")"),"")</f>
        <v/>
      </c>
      <c r="AL1814" s="23" t="str">
        <f>IFERROR(__xludf.DUMMYFUNCTION("XLOOKUP(C1814, 
   IMPORTRANGE(""1RdEdgHYrZ33LJ7RUHj_h-qkAFL92bcVjtIdVa-UlsCw"", ""Interns!D:D""), 
   IMPORTRANGE(""1RdEdgHYrZ33LJ7RUHj_h-qkAFL92bcVjtIdVa-UlsCw"", ""Interns!N:N""), 
   ""Not Found"")"),"")</f>
        <v/>
      </c>
      <c r="AM1814" s="23" t="str">
        <f>IFERROR(__xludf.DUMMYFUNCTION("XLOOKUP(C1814, 
   IMPORTRANGE(""1RdEdgHYrZ33LJ7RUHj_h-qkAFL92bcVjtIdVa-UlsCw"", ""Interns!D:D""), 
   IMPORTRANGE(""1RdEdgHYrZ33LJ7RUHj_h-qkAFL92bcVjtIdVa-UlsCw"", ""Interns!O:O""), 
   ""Not Found"")"),"")</f>
        <v/>
      </c>
      <c r="AN1814" s="23"/>
      <c r="AO1814" s="23"/>
      <c r="AP1814" s="28"/>
      <c r="AQ1814" s="28" t="s">
        <v>15933</v>
      </c>
      <c r="AR1814" s="23"/>
      <c r="AS1814" s="23"/>
      <c r="AT1814" s="23"/>
      <c r="AU1814" s="23"/>
      <c r="AV1814" s="23"/>
    </row>
    <row r="1815">
      <c r="A1815" s="28" t="s">
        <v>5202</v>
      </c>
      <c r="B1815" s="28" t="s">
        <v>5162</v>
      </c>
      <c r="C1815" s="23" t="str">
        <f t="shared" si="39"/>
        <v>Benjamin Molina</v>
      </c>
      <c r="D1815" s="28" t="s">
        <v>686</v>
      </c>
      <c r="E1815" s="28" t="s">
        <v>6357</v>
      </c>
      <c r="F1815" s="23">
        <f t="array" ref="F1815">IFERROR(
    INDEX('Hub Interns 226'!A:A, MATCH(C1815, 'Hub Interns 226'!B:B, 0)),"")</f>
        <v>1473</v>
      </c>
      <c r="G1815" s="23">
        <f t="array" ref="G1815">IFERROR(
    INDEX('Hub Users 226'!A:A, MATCH(C1815, 'Hub Users 226'!B:B, 0)),"")</f>
        <v>2049</v>
      </c>
      <c r="H1815" s="28">
        <v>1849.0</v>
      </c>
      <c r="I1815" s="28"/>
      <c r="J1815" s="28"/>
      <c r="K1815" s="28"/>
      <c r="L1815" s="28" t="s">
        <v>5165</v>
      </c>
      <c r="M1815" s="56" t="s">
        <v>15934</v>
      </c>
      <c r="N1815" s="57">
        <v>45503.98472222222</v>
      </c>
      <c r="O1815" s="58"/>
      <c r="P1815" s="28">
        <f t="shared" si="48"/>
        <v>126</v>
      </c>
      <c r="Q1815" s="28" t="s">
        <v>240</v>
      </c>
      <c r="R1815" s="23"/>
      <c r="S1815" s="28"/>
      <c r="T1815" s="28"/>
      <c r="U1815" s="28"/>
      <c r="V1815" s="28"/>
      <c r="W1815" s="28" t="s">
        <v>1173</v>
      </c>
      <c r="X1815" s="28" t="s">
        <v>272</v>
      </c>
      <c r="Y1815" s="23"/>
      <c r="Z1815" s="23"/>
      <c r="AA1815" s="28" t="s">
        <v>5512</v>
      </c>
      <c r="AB1815" s="28">
        <v>30.0</v>
      </c>
      <c r="AC1815" s="28" t="s">
        <v>23</v>
      </c>
      <c r="AD1815" s="23"/>
      <c r="AE1815" s="28" t="s">
        <v>19</v>
      </c>
      <c r="AF1815" s="23"/>
      <c r="AG1815" s="23"/>
      <c r="AH1815" s="23" t="str">
        <f>IFERROR(__xludf.DUMMYFUNCTION("IF(
ISNUMBER(MATCH(
C1815,
IMPORTRANGE(""https://docs.google.com/spreadsheets/d/1yTh1ELC33JHYOeEdgIiEclxPRyh0zOKtlawDltfUay8"",""'Interns'!A:A""),
0
)),
""Outreach Conducted"",
"""")"),"")</f>
        <v/>
      </c>
      <c r="AI1815" s="23"/>
      <c r="AJ1815" s="23"/>
      <c r="AK1815" s="23" t="str">
        <f>IFERROR(__xludf.DUMMYFUNCTION("XLOOKUP(C1815, 
   IMPORTRANGE(""1RdEdgHYrZ33LJ7RUHj_h-qkAFL92bcVjtIdVa-UlsCw"", ""Interns!D:D""), 
   IMPORTRANGE(""1RdEdgHYrZ33LJ7RUHj_h-qkAFL92bcVjtIdVa-UlsCw"", ""Interns!M:M""), 
   ""Not Found"")"),"")</f>
        <v/>
      </c>
      <c r="AL1815" s="23" t="str">
        <f>IFERROR(__xludf.DUMMYFUNCTION("XLOOKUP(C1815, 
   IMPORTRANGE(""1RdEdgHYrZ33LJ7RUHj_h-qkAFL92bcVjtIdVa-UlsCw"", ""Interns!D:D""), 
   IMPORTRANGE(""1RdEdgHYrZ33LJ7RUHj_h-qkAFL92bcVjtIdVa-UlsCw"", ""Interns!N:N""), 
   ""Not Found"")"),"")</f>
        <v/>
      </c>
      <c r="AM1815" s="23" t="str">
        <f>IFERROR(__xludf.DUMMYFUNCTION("XLOOKUP(C1815, 
   IMPORTRANGE(""1RdEdgHYrZ33LJ7RUHj_h-qkAFL92bcVjtIdVa-UlsCw"", ""Interns!D:D""), 
   IMPORTRANGE(""1RdEdgHYrZ33LJ7RUHj_h-qkAFL92bcVjtIdVa-UlsCw"", ""Interns!O:O""), 
   ""Not Found"")"),"")</f>
        <v/>
      </c>
      <c r="AN1815" s="23"/>
      <c r="AO1815" s="23"/>
      <c r="AP1815" s="28"/>
      <c r="AQ1815" s="28"/>
      <c r="AR1815" s="23"/>
      <c r="AS1815" s="23"/>
      <c r="AT1815" s="23"/>
      <c r="AU1815" s="23"/>
      <c r="AV1815" s="23"/>
    </row>
    <row r="1816">
      <c r="A1816" s="28" t="s">
        <v>5161</v>
      </c>
      <c r="B1816" s="28" t="s">
        <v>5162</v>
      </c>
      <c r="C1816" s="23" t="str">
        <f t="shared" si="39"/>
        <v>Noashin Sarker</v>
      </c>
      <c r="D1816" s="28" t="s">
        <v>15935</v>
      </c>
      <c r="E1816" s="28" t="s">
        <v>15936</v>
      </c>
      <c r="F1816" s="23">
        <f t="array" ref="F1816">IFERROR(
    INDEX('Hub Interns 226'!A:A, MATCH(C1816, 'Hub Interns 226'!B:B, 0)),"")</f>
        <v>1074</v>
      </c>
      <c r="G1816" s="23">
        <f t="array" ref="G1816">IFERROR(
    INDEX('Hub Users 226'!A:A, MATCH(C1816, 'Hub Users 226'!B:B, 0)),"")</f>
        <v>1507</v>
      </c>
      <c r="H1816" s="28">
        <v>80.0</v>
      </c>
      <c r="I1816" s="28" t="s">
        <v>425</v>
      </c>
      <c r="J1816" s="28"/>
      <c r="K1816" s="28" t="s">
        <v>5186</v>
      </c>
      <c r="L1816" s="28" t="s">
        <v>5196</v>
      </c>
      <c r="M1816" s="56" t="s">
        <v>15937</v>
      </c>
      <c r="N1816" s="57">
        <v>43741.63125</v>
      </c>
      <c r="O1816" s="58">
        <v>37026.0</v>
      </c>
      <c r="P1816" s="28">
        <f t="shared" si="48"/>
        <v>25</v>
      </c>
      <c r="Q1816" s="28" t="s">
        <v>15938</v>
      </c>
      <c r="R1816" s="23"/>
      <c r="S1816" s="28"/>
      <c r="T1816" s="28"/>
      <c r="U1816" s="28"/>
      <c r="V1816" s="28"/>
      <c r="W1816" s="28" t="s">
        <v>859</v>
      </c>
      <c r="X1816" s="28" t="s">
        <v>272</v>
      </c>
      <c r="Y1816" s="28">
        <v>9.292402904E9</v>
      </c>
      <c r="Z1816" s="28" t="s">
        <v>5435</v>
      </c>
      <c r="AA1816" s="28" t="s">
        <v>5436</v>
      </c>
      <c r="AB1816" s="28">
        <v>10.0</v>
      </c>
      <c r="AC1816" s="28" t="s">
        <v>25</v>
      </c>
      <c r="AD1816" s="23"/>
      <c r="AE1816" s="28" t="s">
        <v>7</v>
      </c>
      <c r="AF1816" s="23" t="str">
        <f>IFERROR(__xludf.DUMMYFUNCTION("TEXTJOIN("", "", TRUE,
  FILTER(Champions!C:C,
    ISNUMBER(SEARCH(C1816, Champions!W:W))
  )
)"),"Bhavna Mohan Agnihotri, Lena K Dandy, Ibtesam Khan, Joy Shri Das, Rajnarind Kaur, Vicki Teman, Lena K Dandy (D)")</f>
        <v>Bhavna Mohan Agnihotri, Lena K Dandy, Ibtesam Khan, Joy Shri Das, Rajnarind Kaur, Vicki Teman, Lena K Dandy (D)</v>
      </c>
      <c r="AG1816" s="23"/>
      <c r="AH1816" s="23" t="str">
        <f>IFERROR(__xludf.DUMMYFUNCTION("IF(
ISNUMBER(MATCH(
C1816,
IMPORTRANGE(""https://docs.google.com/spreadsheets/d/1yTh1ELC33JHYOeEdgIiEclxPRyh0zOKtlawDltfUay8"",""'Interns'!A:A""),
0
)),
""Outreach Conducted"",
"""")"),"")</f>
        <v/>
      </c>
      <c r="AI1816" s="23"/>
      <c r="AJ1816" s="28" t="s">
        <v>15939</v>
      </c>
      <c r="AK1816" s="23" t="str">
        <f>IFERROR(__xludf.DUMMYFUNCTION("XLOOKUP(C1816, 
   IMPORTRANGE(""1RdEdgHYrZ33LJ7RUHj_h-qkAFL92bcVjtIdVa-UlsCw"", ""Interns!D:D""), 
   IMPORTRANGE(""1RdEdgHYrZ33LJ7RUHj_h-qkAFL92bcVjtIdVa-UlsCw"", ""Interns!M:M""), 
   ""Not Found"")"),"Contacted")</f>
        <v>Contacted</v>
      </c>
      <c r="AL1816" s="23" t="str">
        <f>IFERROR(__xludf.DUMMYFUNCTION("XLOOKUP(C1816, 
   IMPORTRANGE(""1RdEdgHYrZ33LJ7RUHj_h-qkAFL92bcVjtIdVa-UlsCw"", ""Interns!D:D""), 
   IMPORTRANGE(""1RdEdgHYrZ33LJ7RUHj_h-qkAFL92bcVjtIdVa-UlsCw"", ""Interns!N:N""), 
   ""Not Found"")"),"#Cheers4Careers")</f>
        <v>#Cheers4Careers</v>
      </c>
      <c r="AM1816" s="23" t="str">
        <f>IFERROR(__xludf.DUMMYFUNCTION("XLOOKUP(C1816, 
   IMPORTRANGE(""1RdEdgHYrZ33LJ7RUHj_h-qkAFL92bcVjtIdVa-UlsCw"", ""Interns!D:D""), 
   IMPORTRANGE(""1RdEdgHYrZ33LJ7RUHj_h-qkAFL92bcVjtIdVa-UlsCw"", ""Interns!O:O""), 
   ""Not Found"")"),"Hetal reached out by email 3/27")</f>
        <v>Hetal reached out by email 3/27</v>
      </c>
      <c r="AN1816" s="23"/>
      <c r="AO1816" s="23" t="s">
        <v>15937</v>
      </c>
      <c r="AP1816" s="28" t="s">
        <v>5182</v>
      </c>
      <c r="AQ1816" s="28" t="s">
        <v>15937</v>
      </c>
      <c r="AR1816" s="23">
        <v>3.473233412E9</v>
      </c>
      <c r="AS1816" s="23"/>
      <c r="AT1816" s="23"/>
      <c r="AU1816" s="23"/>
      <c r="AV1816" s="23"/>
    </row>
    <row r="1817">
      <c r="A1817" s="28" t="s">
        <v>5161</v>
      </c>
      <c r="B1817" s="28" t="s">
        <v>5162</v>
      </c>
      <c r="C1817" s="23" t="str">
        <f t="shared" si="39"/>
        <v>Mimi Kante</v>
      </c>
      <c r="D1817" s="28" t="s">
        <v>12758</v>
      </c>
      <c r="E1817" s="28" t="s">
        <v>11192</v>
      </c>
      <c r="F1817" s="23" t="str">
        <f t="array" ref="F1817">IFERROR(
    INDEX('Hub Interns 226'!A:A, MATCH(C1817, 'Hub Interns 226'!B:B, 0)),"")</f>
        <v/>
      </c>
      <c r="G1817" s="23">
        <f t="array" ref="G1817">IFERROR(
    INDEX('Hub Users 226'!A:A, MATCH(C1817, 'Hub Users 226'!B:B, 0)),"")</f>
        <v>1321</v>
      </c>
      <c r="H1817" s="28">
        <v>213.0</v>
      </c>
      <c r="I1817" s="28" t="s">
        <v>290</v>
      </c>
      <c r="J1817" s="28"/>
      <c r="K1817" s="28" t="s">
        <v>5245</v>
      </c>
      <c r="L1817" s="28" t="s">
        <v>5196</v>
      </c>
      <c r="M1817" s="56" t="s">
        <v>15940</v>
      </c>
      <c r="N1817" s="57">
        <v>44074.080555555556</v>
      </c>
      <c r="O1817" s="58">
        <v>37428.0</v>
      </c>
      <c r="P1817" s="28">
        <f t="shared" si="48"/>
        <v>23</v>
      </c>
      <c r="Q1817" s="28" t="s">
        <v>15941</v>
      </c>
      <c r="R1817" s="23"/>
      <c r="S1817" s="28"/>
      <c r="T1817" s="28"/>
      <c r="U1817" s="28"/>
      <c r="V1817" s="28"/>
      <c r="W1817" s="28" t="s">
        <v>859</v>
      </c>
      <c r="X1817" s="28" t="s">
        <v>272</v>
      </c>
      <c r="Y1817" s="28" t="s">
        <v>15942</v>
      </c>
      <c r="Z1817" s="28" t="s">
        <v>5435</v>
      </c>
      <c r="AA1817" s="28" t="s">
        <v>5436</v>
      </c>
      <c r="AB1817" s="28">
        <v>10.0</v>
      </c>
      <c r="AC1817" s="28" t="s">
        <v>25</v>
      </c>
      <c r="AD1817" s="23"/>
      <c r="AE1817" s="28" t="s">
        <v>8</v>
      </c>
      <c r="AF1817" s="23" t="str">
        <f>IFERROR(__xludf.DUMMYFUNCTION("TEXTJOIN("", "", TRUE,
  FILTER(Champions!C:C,
    ISNUMBER(SEARCH(C1817, Champions!W:W))
  )
)"),"Laura Cejas, Oluwatomisin (Tomi) Adesokan, Tanya Toko")</f>
        <v>Laura Cejas, Oluwatomisin (Tomi) Adesokan, Tanya Toko</v>
      </c>
      <c r="AG1817" s="23"/>
      <c r="AH1817" s="23" t="str">
        <f>IFERROR(__xludf.DUMMYFUNCTION("IF(
ISNUMBER(MATCH(
C1817,
IMPORTRANGE(""https://docs.google.com/spreadsheets/d/1yTh1ELC33JHYOeEdgIiEclxPRyh0zOKtlawDltfUay8"",""'Interns'!A:A""),
0
)),
""Outreach Conducted"",
"""")"),"")</f>
        <v/>
      </c>
      <c r="AI1817" s="23"/>
      <c r="AJ1817" s="23"/>
      <c r="AK1817" s="23" t="str">
        <f>IFERROR(__xludf.DUMMYFUNCTION("XLOOKUP(C1817, 
   IMPORTRANGE(""1RdEdgHYrZ33LJ7RUHj_h-qkAFL92bcVjtIdVa-UlsCw"", ""Interns!D:D""), 
   IMPORTRANGE(""1RdEdgHYrZ33LJ7RUHj_h-qkAFL92bcVjtIdVa-UlsCw"", ""Interns!M:M""), 
   ""Not Found"")"),"Contacted")</f>
        <v>Contacted</v>
      </c>
      <c r="AL1817" s="23" t="str">
        <f>IFERROR(__xludf.DUMMYFUNCTION("XLOOKUP(C1817, 
   IMPORTRANGE(""1RdEdgHYrZ33LJ7RUHj_h-qkAFL92bcVjtIdVa-UlsCw"", ""Interns!D:D""), 
   IMPORTRANGE(""1RdEdgHYrZ33LJ7RUHj_h-qkAFL92bcVjtIdVa-UlsCw"", ""Interns!N:N""), 
   ""Not Found"")"),"#Cheers4Careers")</f>
        <v>#Cheers4Careers</v>
      </c>
      <c r="AM1817" s="23" t="str">
        <f>IFERROR(__xludf.DUMMYFUNCTION("XLOOKUP(C1817, 
   IMPORTRANGE(""1RdEdgHYrZ33LJ7RUHj_h-qkAFL92bcVjtIdVa-UlsCw"", ""Interns!D:D""), 
   IMPORTRANGE(""1RdEdgHYrZ33LJ7RUHj_h-qkAFL92bcVjtIdVa-UlsCw"", ""Interns!O:O""), 
   ""Not Found"")"),"Hetal reached out by email 3/27")</f>
        <v>Hetal reached out by email 3/27</v>
      </c>
      <c r="AN1817" s="23"/>
      <c r="AO1817" s="23" t="s">
        <v>11214</v>
      </c>
      <c r="AP1817" s="28" t="s">
        <v>5191</v>
      </c>
      <c r="AQ1817" s="28" t="s">
        <v>11215</v>
      </c>
      <c r="AR1817" s="23" t="s">
        <v>11216</v>
      </c>
      <c r="AS1817" s="28" t="s">
        <v>15943</v>
      </c>
      <c r="AT1817" s="23"/>
      <c r="AU1817" s="23"/>
      <c r="AV1817" s="23"/>
    </row>
    <row r="1818">
      <c r="A1818" s="28" t="s">
        <v>5161</v>
      </c>
      <c r="B1818" s="28" t="s">
        <v>5162</v>
      </c>
      <c r="C1818" s="23" t="str">
        <f t="shared" si="39"/>
        <v>Safiatou Jalloh</v>
      </c>
      <c r="D1818" s="28" t="s">
        <v>15944</v>
      </c>
      <c r="E1818" s="28" t="s">
        <v>10554</v>
      </c>
      <c r="F1818" s="23">
        <f t="array" ref="F1818">IFERROR(
    INDEX('Hub Interns 226'!A:A, MATCH(C1818, 'Hub Interns 226'!B:B, 0)),"")</f>
        <v>1056</v>
      </c>
      <c r="G1818" s="23">
        <f t="array" ref="G1818">IFERROR(
    INDEX('Hub Users 226'!A:A, MATCH(C1818, 'Hub Users 226'!B:B, 0)),"")</f>
        <v>1489</v>
      </c>
      <c r="H1818" s="28">
        <v>216.0</v>
      </c>
      <c r="I1818" s="28" t="s">
        <v>260</v>
      </c>
      <c r="J1818" s="28"/>
      <c r="K1818" s="28" t="s">
        <v>5245</v>
      </c>
      <c r="L1818" s="28" t="s">
        <v>5196</v>
      </c>
      <c r="M1818" s="56" t="s">
        <v>15945</v>
      </c>
      <c r="N1818" s="57">
        <v>44077.62777777778</v>
      </c>
      <c r="O1818" s="58">
        <v>36778.0</v>
      </c>
      <c r="P1818" s="28">
        <f t="shared" si="48"/>
        <v>25</v>
      </c>
      <c r="Q1818" s="28" t="s">
        <v>240</v>
      </c>
      <c r="R1818" s="23"/>
      <c r="S1818" s="28"/>
      <c r="T1818" s="28"/>
      <c r="U1818" s="28"/>
      <c r="V1818" s="28"/>
      <c r="W1818" s="28" t="s">
        <v>859</v>
      </c>
      <c r="X1818" s="28" t="s">
        <v>272</v>
      </c>
      <c r="Y1818" s="28" t="s">
        <v>15946</v>
      </c>
      <c r="Z1818" s="28" t="s">
        <v>5435</v>
      </c>
      <c r="AA1818" s="28" t="s">
        <v>5436</v>
      </c>
      <c r="AB1818" s="28">
        <v>10.0</v>
      </c>
      <c r="AC1818" s="28" t="s">
        <v>25</v>
      </c>
      <c r="AD1818" s="23"/>
      <c r="AE1818" s="28" t="s">
        <v>8</v>
      </c>
      <c r="AF1818" s="23" t="str">
        <f>IFERROR(__xludf.DUMMYFUNCTION("TEXTJOIN("", "", TRUE,
  FILTER(Champions!C:C,
    ISNUMBER(SEARCH(C1818, Champions!W:W))
  )
)"),"Lena K Dandy, Divya Jani, Tanya Toko, Lena K Dandy (D)")</f>
        <v>Lena K Dandy, Divya Jani, Tanya Toko, Lena K Dandy (D)</v>
      </c>
      <c r="AG1818" s="23"/>
      <c r="AH1818" s="23" t="str">
        <f>IFERROR(__xludf.DUMMYFUNCTION("IF(
ISNUMBER(MATCH(
C1818,
IMPORTRANGE(""https://docs.google.com/spreadsheets/d/1yTh1ELC33JHYOeEdgIiEclxPRyh0zOKtlawDltfUay8"",""'Interns'!A:A""),
0
)),
""Outreach Conducted"",
"""")"),"")</f>
        <v/>
      </c>
      <c r="AI1818" s="23"/>
      <c r="AJ1818" s="23"/>
      <c r="AK1818" s="23" t="str">
        <f>IFERROR(__xludf.DUMMYFUNCTION("XLOOKUP(C1818, 
   IMPORTRANGE(""1RdEdgHYrZ33LJ7RUHj_h-qkAFL92bcVjtIdVa-UlsCw"", ""Interns!D:D""), 
   IMPORTRANGE(""1RdEdgHYrZ33LJ7RUHj_h-qkAFL92bcVjtIdVa-UlsCw"", ""Interns!M:M""), 
   ""Not Found"")"),"Contacted")</f>
        <v>Contacted</v>
      </c>
      <c r="AL1818" s="23" t="str">
        <f>IFERROR(__xludf.DUMMYFUNCTION("XLOOKUP(C1818, 
   IMPORTRANGE(""1RdEdgHYrZ33LJ7RUHj_h-qkAFL92bcVjtIdVa-UlsCw"", ""Interns!D:D""), 
   IMPORTRANGE(""1RdEdgHYrZ33LJ7RUHj_h-qkAFL92bcVjtIdVa-UlsCw"", ""Interns!N:N""), 
   ""Not Found"")"),"#Cheers4Careers")</f>
        <v>#Cheers4Careers</v>
      </c>
      <c r="AM1818" s="23" t="str">
        <f>IFERROR(__xludf.DUMMYFUNCTION("XLOOKUP(C1818, 
   IMPORTRANGE(""1RdEdgHYrZ33LJ7RUHj_h-qkAFL92bcVjtIdVa-UlsCw"", ""Interns!D:D""), 
   IMPORTRANGE(""1RdEdgHYrZ33LJ7RUHj_h-qkAFL92bcVjtIdVa-UlsCw"", ""Interns!O:O""), 
   ""Not Found"")"),"Hetal reached out by email 3/27")</f>
        <v>Hetal reached out by email 3/27</v>
      </c>
      <c r="AN1818" s="23"/>
      <c r="AO1818" s="23" t="s">
        <v>15947</v>
      </c>
      <c r="AP1818" s="28" t="s">
        <v>5191</v>
      </c>
      <c r="AQ1818" s="28" t="s">
        <v>15948</v>
      </c>
      <c r="AR1818" s="23">
        <v>3.47963064E9</v>
      </c>
      <c r="AS1818" s="23"/>
      <c r="AT1818" s="23"/>
      <c r="AU1818" s="23"/>
      <c r="AV1818" s="23"/>
    </row>
    <row r="1819">
      <c r="A1819" s="28" t="s">
        <v>5161</v>
      </c>
      <c r="B1819" s="28" t="s">
        <v>5162</v>
      </c>
      <c r="C1819" s="23" t="str">
        <f t="shared" si="39"/>
        <v>Dayany Flores</v>
      </c>
      <c r="D1819" s="22" t="s">
        <v>15949</v>
      </c>
      <c r="E1819" s="22" t="s">
        <v>3101</v>
      </c>
      <c r="F1819" s="23"/>
      <c r="G1819" s="23"/>
      <c r="H1819" s="22">
        <v>1974.0</v>
      </c>
      <c r="I1819" s="28"/>
      <c r="J1819" s="28"/>
      <c r="K1819" s="28"/>
      <c r="L1819" s="28" t="s">
        <v>5196</v>
      </c>
      <c r="M1819" s="29" t="s">
        <v>15950</v>
      </c>
      <c r="N1819" s="61">
        <v>45632.52222222222</v>
      </c>
      <c r="O1819" s="25">
        <v>39785.0</v>
      </c>
      <c r="P1819" s="28">
        <f t="shared" si="48"/>
        <v>17</v>
      </c>
      <c r="Q1819" s="62" t="s">
        <v>240</v>
      </c>
      <c r="R1819" s="24"/>
      <c r="S1819" s="28"/>
      <c r="T1819" s="28"/>
      <c r="U1819" s="28"/>
      <c r="V1819" s="28"/>
      <c r="W1819" s="23"/>
      <c r="X1819" s="23"/>
      <c r="Y1819" s="24"/>
      <c r="Z1819" s="22" t="s">
        <v>9625</v>
      </c>
      <c r="AA1819" s="28" t="s">
        <v>6863</v>
      </c>
      <c r="AB1819" s="28">
        <v>9.0</v>
      </c>
      <c r="AC1819" s="28" t="s">
        <v>27</v>
      </c>
      <c r="AD1819" s="23"/>
      <c r="AE1819" s="28" t="s">
        <v>19</v>
      </c>
      <c r="AF1819" s="23"/>
      <c r="AG1819" s="23"/>
      <c r="AH1819" s="23" t="str">
        <f>IFERROR(__xludf.DUMMYFUNCTION("IF(
ISNUMBER(MATCH(
C1819,
IMPORTRANGE(""https://docs.google.com/spreadsheets/d/1yTh1ELC33JHYOeEdgIiEclxPRyh0zOKtlawDltfUay8"",""'Interns'!A:A""),
0
)),
""Outreach Conducted"",
"""")"),"")</f>
        <v/>
      </c>
      <c r="AI1819" s="23"/>
      <c r="AJ1819" s="23"/>
      <c r="AK1819" s="23"/>
      <c r="AL1819" s="23" t="str">
        <f>IFERROR(__xludf.DUMMYFUNCTION("XLOOKUP(C1819, 
   IMPORTRANGE(""1RdEdgHYrZ33LJ7RUHj_h-qkAFL92bcVjtIdVa-UlsCw"", ""Interns!D:D""), 
   IMPORTRANGE(""1RdEdgHYrZ33LJ7RUHj_h-qkAFL92bcVjtIdVa-UlsCw"", ""Interns!N:N""), 
   ""Not Found"")"),"Not Found")</f>
        <v>Not Found</v>
      </c>
      <c r="AM1819" s="23" t="str">
        <f>IFERROR(__xludf.DUMMYFUNCTION("XLOOKUP(C1819, 
   IMPORTRANGE(""1RdEdgHYrZ33LJ7RUHj_h-qkAFL92bcVjtIdVa-UlsCw"", ""Interns!D:D""), 
   IMPORTRANGE(""1RdEdgHYrZ33LJ7RUHj_h-qkAFL92bcVjtIdVa-UlsCw"", ""Interns!O:O""), 
   ""Not Found"")"),"Not Found")</f>
        <v>Not Found</v>
      </c>
      <c r="AN1819" s="23"/>
      <c r="AO1819" s="23"/>
      <c r="AP1819" s="28"/>
      <c r="AQ1819" s="28"/>
      <c r="AR1819" s="23"/>
      <c r="AS1819" s="23"/>
      <c r="AT1819" s="23"/>
      <c r="AU1819" s="23"/>
      <c r="AV1819" s="23"/>
    </row>
    <row r="1820">
      <c r="A1820" s="28" t="s">
        <v>5161</v>
      </c>
      <c r="B1820" s="28" t="s">
        <v>5162</v>
      </c>
      <c r="C1820" s="23" t="str">
        <f t="shared" si="39"/>
        <v>Donovan Gangaram</v>
      </c>
      <c r="D1820" s="22" t="s">
        <v>15951</v>
      </c>
      <c r="E1820" s="22" t="s">
        <v>15952</v>
      </c>
      <c r="F1820" s="23"/>
      <c r="G1820" s="23"/>
      <c r="H1820" s="22">
        <v>1932.0</v>
      </c>
      <c r="I1820" s="28"/>
      <c r="J1820" s="28"/>
      <c r="K1820" s="28"/>
      <c r="L1820" s="28" t="s">
        <v>5165</v>
      </c>
      <c r="M1820" s="29" t="s">
        <v>15953</v>
      </c>
      <c r="N1820" s="61">
        <v>45771.44236111111</v>
      </c>
      <c r="O1820" s="25">
        <v>40278.0</v>
      </c>
      <c r="P1820" s="28">
        <f t="shared" si="48"/>
        <v>16</v>
      </c>
      <c r="Q1820" s="62" t="s">
        <v>15954</v>
      </c>
      <c r="R1820" s="24"/>
      <c r="S1820" s="28"/>
      <c r="T1820" s="28"/>
      <c r="U1820" s="28"/>
      <c r="V1820" s="28"/>
      <c r="W1820" s="23"/>
      <c r="X1820" s="23"/>
      <c r="Y1820" s="24"/>
      <c r="Z1820" s="22" t="s">
        <v>7490</v>
      </c>
      <c r="AA1820" s="28" t="s">
        <v>5659</v>
      </c>
      <c r="AB1820" s="28">
        <v>23.0</v>
      </c>
      <c r="AC1820" s="28" t="s">
        <v>23</v>
      </c>
      <c r="AD1820" s="23"/>
      <c r="AE1820" s="28" t="s">
        <v>19</v>
      </c>
      <c r="AF1820" s="23"/>
      <c r="AG1820" s="23"/>
      <c r="AH1820" s="23" t="str">
        <f>IFERROR(__xludf.DUMMYFUNCTION("IF(
ISNUMBER(MATCH(
C1820,
IMPORTRANGE(""https://docs.google.com/spreadsheets/d/1yTh1ELC33JHYOeEdgIiEclxPRyh0zOKtlawDltfUay8"",""'Interns'!A:A""),
0
)),
""Outreach Conducted"",
"""")"),"")</f>
        <v/>
      </c>
      <c r="AI1820" s="23"/>
      <c r="AJ1820" s="23"/>
      <c r="AK1820" s="23"/>
      <c r="AL1820" s="23" t="str">
        <f>IFERROR(__xludf.DUMMYFUNCTION("XLOOKUP(C1820, 
   IMPORTRANGE(""1RdEdgHYrZ33LJ7RUHj_h-qkAFL92bcVjtIdVa-UlsCw"", ""Interns!D:D""), 
   IMPORTRANGE(""1RdEdgHYrZ33LJ7RUHj_h-qkAFL92bcVjtIdVa-UlsCw"", ""Interns!N:N""), 
   ""Not Found"")"),"Not Found")</f>
        <v>Not Found</v>
      </c>
      <c r="AM1820" s="23" t="str">
        <f>IFERROR(__xludf.DUMMYFUNCTION("XLOOKUP(C1820, 
   IMPORTRANGE(""1RdEdgHYrZ33LJ7RUHj_h-qkAFL92bcVjtIdVa-UlsCw"", ""Interns!D:D""), 
   IMPORTRANGE(""1RdEdgHYrZ33LJ7RUHj_h-qkAFL92bcVjtIdVa-UlsCw"", ""Interns!O:O""), 
   ""Not Found"")"),"Not Found")</f>
        <v>Not Found</v>
      </c>
      <c r="AN1820" s="23"/>
      <c r="AO1820" s="23"/>
      <c r="AP1820" s="28"/>
      <c r="AQ1820" s="28"/>
      <c r="AR1820" s="23"/>
      <c r="AS1820" s="23"/>
      <c r="AT1820" s="23"/>
      <c r="AU1820" s="23"/>
      <c r="AV1820" s="23"/>
    </row>
    <row r="1821">
      <c r="A1821" s="28" t="s">
        <v>5161</v>
      </c>
      <c r="B1821" s="28" t="s">
        <v>5162</v>
      </c>
      <c r="C1821" s="23" t="str">
        <f t="shared" si="39"/>
        <v>Jamie Nieto</v>
      </c>
      <c r="D1821" s="28" t="s">
        <v>1634</v>
      </c>
      <c r="E1821" s="28" t="s">
        <v>15955</v>
      </c>
      <c r="F1821" s="23" t="str">
        <f t="array" ref="F1821">IFERROR(
    INDEX('Hub Interns 226'!A:A, MATCH(C1821, 'Hub Interns 226'!B:B, 0)),"")</f>
        <v/>
      </c>
      <c r="G1821" s="23" t="str">
        <f t="array" ref="G1821">IFERROR(
    INDEX('Hub Users 226'!A:A, MATCH(C1821, 'Hub Users 226'!B:B, 0)),"")</f>
        <v/>
      </c>
      <c r="H1821" s="28">
        <v>1175.0</v>
      </c>
      <c r="I1821" s="28"/>
      <c r="J1821" s="28"/>
      <c r="K1821" s="28"/>
      <c r="L1821" s="28"/>
      <c r="M1821" s="28"/>
      <c r="N1821" s="57">
        <v>44767.85625</v>
      </c>
      <c r="O1821" s="58"/>
      <c r="P1821" s="28"/>
      <c r="Q1821" s="28" t="s">
        <v>240</v>
      </c>
      <c r="R1821" s="23"/>
      <c r="S1821" s="28"/>
      <c r="T1821" s="28"/>
      <c r="U1821" s="28"/>
      <c r="V1821" s="28"/>
      <c r="W1821" s="23"/>
      <c r="X1821" s="23"/>
      <c r="Y1821" s="23"/>
      <c r="Z1821" s="28" t="s">
        <v>5352</v>
      </c>
      <c r="AA1821" s="28" t="s">
        <v>5287</v>
      </c>
      <c r="AB1821" s="28">
        <v>26.0</v>
      </c>
      <c r="AC1821" s="28" t="s">
        <v>24</v>
      </c>
      <c r="AD1821" s="23"/>
      <c r="AE1821" s="28" t="s">
        <v>10</v>
      </c>
      <c r="AF1821" s="23"/>
      <c r="AG1821" s="23"/>
      <c r="AH1821" s="23" t="str">
        <f>IFERROR(__xludf.DUMMYFUNCTION("IF(
ISNUMBER(MATCH(
C1821,
IMPORTRANGE(""https://docs.google.com/spreadsheets/d/1yTh1ELC33JHYOeEdgIiEclxPRyh0zOKtlawDltfUay8"",""'Interns'!A:A""),
0
)),
""Outreach Conducted"",
"""")"),"")</f>
        <v/>
      </c>
      <c r="AI1821" s="23"/>
      <c r="AJ1821" s="23"/>
      <c r="AK1821" s="23" t="str">
        <f>IFERROR(__xludf.DUMMYFUNCTION("XLOOKUP(C1821, 
   IMPORTRANGE(""1RdEdgHYrZ33LJ7RUHj_h-qkAFL92bcVjtIdVa-UlsCw"", ""Interns!D:D""), 
   IMPORTRANGE(""1RdEdgHYrZ33LJ7RUHj_h-qkAFL92bcVjtIdVa-UlsCw"", ""Interns!M:M""), 
   ""Not Found"")"),"")</f>
        <v/>
      </c>
      <c r="AL1821" s="23" t="str">
        <f>IFERROR(__xludf.DUMMYFUNCTION("XLOOKUP(C1821, 
   IMPORTRANGE(""1RdEdgHYrZ33LJ7RUHj_h-qkAFL92bcVjtIdVa-UlsCw"", ""Interns!D:D""), 
   IMPORTRANGE(""1RdEdgHYrZ33LJ7RUHj_h-qkAFL92bcVjtIdVa-UlsCw"", ""Interns!N:N""), 
   ""Not Found"")"),"")</f>
        <v/>
      </c>
      <c r="AM1821" s="23" t="str">
        <f>IFERROR(__xludf.DUMMYFUNCTION("XLOOKUP(C1821, 
   IMPORTRANGE(""1RdEdgHYrZ33LJ7RUHj_h-qkAFL92bcVjtIdVa-UlsCw"", ""Interns!D:D""), 
   IMPORTRANGE(""1RdEdgHYrZ33LJ7RUHj_h-qkAFL92bcVjtIdVa-UlsCw"", ""Interns!O:O""), 
   ""Not Found"")"),"")</f>
        <v/>
      </c>
      <c r="AN1821" s="23"/>
      <c r="AO1821" s="23"/>
      <c r="AP1821" s="28"/>
      <c r="AQ1821" s="28"/>
      <c r="AR1821" s="23"/>
      <c r="AS1821" s="23"/>
      <c r="AT1821" s="23"/>
      <c r="AU1821" s="23"/>
      <c r="AV1821" s="23"/>
    </row>
    <row r="1822">
      <c r="A1822" s="28" t="s">
        <v>5161</v>
      </c>
      <c r="B1822" s="28" t="s">
        <v>5162</v>
      </c>
      <c r="C1822" s="23" t="str">
        <f t="shared" si="39"/>
        <v>John Saldana</v>
      </c>
      <c r="D1822" s="28" t="s">
        <v>1788</v>
      </c>
      <c r="E1822" s="28" t="s">
        <v>15956</v>
      </c>
      <c r="F1822" s="23" t="str">
        <f t="array" ref="F1822">IFERROR(
    INDEX('Hub Interns 226'!A:A, MATCH(C1822, 'Hub Interns 226'!B:B, 0)),"")</f>
        <v/>
      </c>
      <c r="G1822" s="23" t="str">
        <f t="array" ref="G1822">IFERROR(
    INDEX('Hub Users 226'!A:A, MATCH(C1822, 'Hub Users 226'!B:B, 0)),"")</f>
        <v/>
      </c>
      <c r="H1822" s="28">
        <v>1174.0</v>
      </c>
      <c r="I1822" s="28"/>
      <c r="J1822" s="28"/>
      <c r="K1822" s="28"/>
      <c r="L1822" s="28"/>
      <c r="M1822" s="28"/>
      <c r="N1822" s="57">
        <v>44767.85486111111</v>
      </c>
      <c r="O1822" s="58"/>
      <c r="P1822" s="28"/>
      <c r="Q1822" s="28" t="s">
        <v>240</v>
      </c>
      <c r="R1822" s="23"/>
      <c r="S1822" s="28"/>
      <c r="T1822" s="28"/>
      <c r="U1822" s="28"/>
      <c r="V1822" s="28"/>
      <c r="W1822" s="23"/>
      <c r="X1822" s="23"/>
      <c r="Y1822" s="23"/>
      <c r="Z1822" s="28" t="s">
        <v>5352</v>
      </c>
      <c r="AA1822" s="28" t="s">
        <v>5287</v>
      </c>
      <c r="AB1822" s="28">
        <v>26.0</v>
      </c>
      <c r="AC1822" s="28" t="s">
        <v>24</v>
      </c>
      <c r="AD1822" s="23"/>
      <c r="AE1822" s="28" t="s">
        <v>10</v>
      </c>
      <c r="AF1822" s="23"/>
      <c r="AG1822" s="23"/>
      <c r="AH1822" s="23" t="str">
        <f>IFERROR(__xludf.DUMMYFUNCTION("IF(
ISNUMBER(MATCH(
C1822,
IMPORTRANGE(""https://docs.google.com/spreadsheets/d/1yTh1ELC33JHYOeEdgIiEclxPRyh0zOKtlawDltfUay8"",""'Interns'!A:A""),
0
)),
""Outreach Conducted"",
"""")"),"")</f>
        <v/>
      </c>
      <c r="AI1822" s="23"/>
      <c r="AJ1822" s="23"/>
      <c r="AK1822" s="23" t="str">
        <f>IFERROR(__xludf.DUMMYFUNCTION("XLOOKUP(C1822, 
   IMPORTRANGE(""1RdEdgHYrZ33LJ7RUHj_h-qkAFL92bcVjtIdVa-UlsCw"", ""Interns!D:D""), 
   IMPORTRANGE(""1RdEdgHYrZ33LJ7RUHj_h-qkAFL92bcVjtIdVa-UlsCw"", ""Interns!M:M""), 
   ""Not Found"")"),"")</f>
        <v/>
      </c>
      <c r="AL1822" s="23" t="str">
        <f>IFERROR(__xludf.DUMMYFUNCTION("XLOOKUP(C1822, 
   IMPORTRANGE(""1RdEdgHYrZ33LJ7RUHj_h-qkAFL92bcVjtIdVa-UlsCw"", ""Interns!D:D""), 
   IMPORTRANGE(""1RdEdgHYrZ33LJ7RUHj_h-qkAFL92bcVjtIdVa-UlsCw"", ""Interns!N:N""), 
   ""Not Found"")"),"")</f>
        <v/>
      </c>
      <c r="AM1822" s="23" t="str">
        <f>IFERROR(__xludf.DUMMYFUNCTION("XLOOKUP(C1822, 
   IMPORTRANGE(""1RdEdgHYrZ33LJ7RUHj_h-qkAFL92bcVjtIdVa-UlsCw"", ""Interns!D:D""), 
   IMPORTRANGE(""1RdEdgHYrZ33LJ7RUHj_h-qkAFL92bcVjtIdVa-UlsCw"", ""Interns!O:O""), 
   ""Not Found"")"),"")</f>
        <v/>
      </c>
      <c r="AN1822" s="23"/>
      <c r="AO1822" s="23"/>
      <c r="AP1822" s="28"/>
      <c r="AQ1822" s="28"/>
      <c r="AR1822" s="23"/>
      <c r="AS1822" s="23"/>
      <c r="AT1822" s="23"/>
      <c r="AU1822" s="23"/>
      <c r="AV1822" s="23"/>
    </row>
    <row r="1823">
      <c r="A1823" s="28" t="s">
        <v>5161</v>
      </c>
      <c r="B1823" s="28" t="s">
        <v>5162</v>
      </c>
      <c r="C1823" s="23" t="str">
        <f t="shared" si="39"/>
        <v>Kimora Codrington</v>
      </c>
      <c r="D1823" s="22" t="s">
        <v>15957</v>
      </c>
      <c r="E1823" s="22" t="s">
        <v>15958</v>
      </c>
      <c r="F1823" s="23"/>
      <c r="G1823" s="23"/>
      <c r="H1823" s="22">
        <v>1924.0</v>
      </c>
      <c r="I1823" s="28"/>
      <c r="J1823" s="28"/>
      <c r="K1823" s="28"/>
      <c r="L1823" s="28" t="s">
        <v>5196</v>
      </c>
      <c r="M1823" s="29" t="s">
        <v>15959</v>
      </c>
      <c r="N1823" s="61">
        <v>45771.447916666664</v>
      </c>
      <c r="O1823" s="25">
        <v>45771.0</v>
      </c>
      <c r="P1823" s="28">
        <f t="shared" ref="P1823:P1824" si="49">DATEDIF(O1823, TODAY(), "Y")</f>
        <v>1</v>
      </c>
      <c r="Q1823" s="62" t="s">
        <v>240</v>
      </c>
      <c r="R1823" s="24"/>
      <c r="S1823" s="28"/>
      <c r="T1823" s="28"/>
      <c r="U1823" s="28"/>
      <c r="V1823" s="28"/>
      <c r="W1823" s="23"/>
      <c r="X1823" s="23"/>
      <c r="Y1823" s="22" t="s">
        <v>15960</v>
      </c>
      <c r="Z1823" s="22" t="s">
        <v>5658</v>
      </c>
      <c r="AA1823" s="28" t="s">
        <v>5659</v>
      </c>
      <c r="AB1823" s="28">
        <v>23.0</v>
      </c>
      <c r="AC1823" s="28" t="s">
        <v>23</v>
      </c>
      <c r="AD1823" s="23"/>
      <c r="AE1823" s="28" t="s">
        <v>19</v>
      </c>
      <c r="AF1823" s="23"/>
      <c r="AG1823" s="23"/>
      <c r="AH1823" s="23" t="str">
        <f>IFERROR(__xludf.DUMMYFUNCTION("IF(
ISNUMBER(MATCH(
C1823,
IMPORTRANGE(""https://docs.google.com/spreadsheets/d/1yTh1ELC33JHYOeEdgIiEclxPRyh0zOKtlawDltfUay8"",""'Interns'!A:A""),
0
)),
""Outreach Conducted"",
"""")"),"")</f>
        <v/>
      </c>
      <c r="AI1823" s="23"/>
      <c r="AJ1823" s="23"/>
      <c r="AK1823" s="23"/>
      <c r="AL1823" s="23" t="str">
        <f>IFERROR(__xludf.DUMMYFUNCTION("XLOOKUP(C1823, 
   IMPORTRANGE(""1RdEdgHYrZ33LJ7RUHj_h-qkAFL92bcVjtIdVa-UlsCw"", ""Interns!D:D""), 
   IMPORTRANGE(""1RdEdgHYrZ33LJ7RUHj_h-qkAFL92bcVjtIdVa-UlsCw"", ""Interns!N:N""), 
   ""Not Found"")"),"#Cheers4Careers")</f>
        <v>#Cheers4Careers</v>
      </c>
      <c r="AM1823" s="23" t="str">
        <f>IFERROR(__xludf.DUMMYFUNCTION("XLOOKUP(C1823, 
   IMPORTRANGE(""1RdEdgHYrZ33LJ7RUHj_h-qkAFL92bcVjtIdVa-UlsCw"", ""Interns!D:D""), 
   IMPORTRANGE(""1RdEdgHYrZ33LJ7RUHj_h-qkAFL92bcVjtIdVa-UlsCw"", ""Interns!O:O""), 
   ""Not Found"")"),"Hetal reached out March 27 for March #Cheers4 Careers ")</f>
        <v>Hetal reached out March 27 for March #Cheers4 Careers </v>
      </c>
      <c r="AN1823" s="23"/>
      <c r="AO1823" s="23"/>
      <c r="AP1823" s="28"/>
      <c r="AQ1823" s="28"/>
      <c r="AR1823" s="23"/>
      <c r="AS1823" s="23"/>
      <c r="AT1823" s="23"/>
      <c r="AU1823" s="23"/>
      <c r="AV1823" s="23"/>
    </row>
    <row r="1824">
      <c r="A1824" s="28" t="s">
        <v>5161</v>
      </c>
      <c r="B1824" s="28" t="s">
        <v>5162</v>
      </c>
      <c r="C1824" s="23" t="str">
        <f t="shared" si="39"/>
        <v>Marciano Navarro</v>
      </c>
      <c r="D1824" s="28" t="s">
        <v>15961</v>
      </c>
      <c r="E1824" s="28" t="s">
        <v>5317</v>
      </c>
      <c r="F1824" s="23">
        <f t="array" ref="F1824">IFERROR(
    INDEX('Hub Interns 226'!A:A, MATCH(C1824, 'Hub Interns 226'!B:B, 0)),"")</f>
        <v>1483</v>
      </c>
      <c r="G1824" s="23">
        <f t="array" ref="G1824">IFERROR(
    INDEX('Hub Users 226'!A:A, MATCH(C1824, 'Hub Users 226'!B:B, 0)),"")</f>
        <v>2060</v>
      </c>
      <c r="H1824" s="28">
        <v>1846.0</v>
      </c>
      <c r="I1824" s="28"/>
      <c r="J1824" s="28"/>
      <c r="K1824" s="28"/>
      <c r="L1824" s="28" t="s">
        <v>5165</v>
      </c>
      <c r="M1824" s="56" t="s">
        <v>15962</v>
      </c>
      <c r="N1824" s="57">
        <v>45503.98402777778</v>
      </c>
      <c r="O1824" s="58"/>
      <c r="P1824" s="28">
        <f t="shared" si="49"/>
        <v>126</v>
      </c>
      <c r="Q1824" s="28" t="s">
        <v>240</v>
      </c>
      <c r="R1824" s="23"/>
      <c r="S1824" s="28"/>
      <c r="T1824" s="28"/>
      <c r="U1824" s="28"/>
      <c r="V1824" s="28"/>
      <c r="W1824" s="23"/>
      <c r="X1824" s="23"/>
      <c r="Y1824" s="23"/>
      <c r="Z1824" s="23"/>
      <c r="AA1824" s="28" t="s">
        <v>5512</v>
      </c>
      <c r="AB1824" s="28">
        <v>30.0</v>
      </c>
      <c r="AC1824" s="28" t="s">
        <v>23</v>
      </c>
      <c r="AD1824" s="23"/>
      <c r="AE1824" s="28" t="s">
        <v>19</v>
      </c>
      <c r="AF1824" s="23"/>
      <c r="AG1824" s="23"/>
      <c r="AH1824" s="23" t="str">
        <f>IFERROR(__xludf.DUMMYFUNCTION("IF(
ISNUMBER(MATCH(
C1824,
IMPORTRANGE(""https://docs.google.com/spreadsheets/d/1yTh1ELC33JHYOeEdgIiEclxPRyh0zOKtlawDltfUay8"",""'Interns'!A:A""),
0
)),
""Outreach Conducted"",
"""")"),"")</f>
        <v/>
      </c>
      <c r="AI1824" s="23"/>
      <c r="AJ1824" s="23"/>
      <c r="AK1824" s="23" t="str">
        <f>IFERROR(__xludf.DUMMYFUNCTION("XLOOKUP(C1824, 
   IMPORTRANGE(""1RdEdgHYrZ33LJ7RUHj_h-qkAFL92bcVjtIdVa-UlsCw"", ""Interns!D:D""), 
   IMPORTRANGE(""1RdEdgHYrZ33LJ7RUHj_h-qkAFL92bcVjtIdVa-UlsCw"", ""Interns!M:M""), 
   ""Not Found"")"),"Contacted")</f>
        <v>Contacted</v>
      </c>
      <c r="AL1824" s="23" t="str">
        <f>IFERROR(__xludf.DUMMYFUNCTION("XLOOKUP(C1824, 
   IMPORTRANGE(""1RdEdgHYrZ33LJ7RUHj_h-qkAFL92bcVjtIdVa-UlsCw"", ""Interns!D:D""), 
   IMPORTRANGE(""1RdEdgHYrZ33LJ7RUHj_h-qkAFL92bcVjtIdVa-UlsCw"", ""Interns!N:N""), 
   ""Not Found"")"),"#Cheers4Careers")</f>
        <v>#Cheers4Careers</v>
      </c>
      <c r="AM1824" s="23" t="str">
        <f>IFERROR(__xludf.DUMMYFUNCTION("XLOOKUP(C1824, 
   IMPORTRANGE(""1RdEdgHYrZ33LJ7RUHj_h-qkAFL92bcVjtIdVa-UlsCw"", ""Interns!D:D""), 
   IMPORTRANGE(""1RdEdgHYrZ33LJ7RUHj_h-qkAFL92bcVjtIdVa-UlsCw"", ""Interns!O:O""), 
   ""Not Found"")"),"Hetal reached out March 27 for March #Cheers4 Careers - email blocked")</f>
        <v>Hetal reached out March 27 for March #Cheers4 Careers - email blocked</v>
      </c>
      <c r="AN1824" s="23"/>
      <c r="AO1824" s="23"/>
      <c r="AP1824" s="28"/>
      <c r="AQ1824" s="28"/>
      <c r="AR1824" s="23"/>
      <c r="AS1824" s="23"/>
      <c r="AT1824" s="23"/>
      <c r="AU1824" s="23"/>
      <c r="AV1824" s="23"/>
    </row>
    <row r="1825">
      <c r="A1825" s="28" t="s">
        <v>5161</v>
      </c>
      <c r="B1825" s="28" t="s">
        <v>5162</v>
      </c>
      <c r="C1825" s="23" t="str">
        <f t="shared" si="39"/>
        <v>Timcus Li</v>
      </c>
      <c r="D1825" s="22" t="s">
        <v>15963</v>
      </c>
      <c r="E1825" s="22" t="s">
        <v>2714</v>
      </c>
      <c r="F1825" s="23"/>
      <c r="G1825" s="23"/>
      <c r="H1825" s="22">
        <v>2044.0</v>
      </c>
      <c r="I1825" s="28"/>
      <c r="J1825" s="28"/>
      <c r="K1825" s="28"/>
      <c r="L1825" s="28" t="s">
        <v>5165</v>
      </c>
      <c r="M1825" s="29" t="s">
        <v>15964</v>
      </c>
      <c r="N1825" s="61">
        <v>45399.444444444445</v>
      </c>
      <c r="O1825" s="70"/>
      <c r="P1825" s="28"/>
      <c r="Q1825" s="62" t="s">
        <v>240</v>
      </c>
      <c r="R1825" s="64"/>
      <c r="S1825" s="28"/>
      <c r="T1825" s="28"/>
      <c r="U1825" s="28"/>
      <c r="V1825" s="28"/>
      <c r="W1825" s="28"/>
      <c r="X1825" s="28"/>
      <c r="Y1825" s="64"/>
      <c r="Z1825" s="22" t="s">
        <v>15965</v>
      </c>
      <c r="AA1825" s="28" t="s">
        <v>15966</v>
      </c>
      <c r="AB1825" s="28">
        <v>1.0</v>
      </c>
      <c r="AC1825" s="28" t="s">
        <v>28</v>
      </c>
      <c r="AD1825" s="23"/>
      <c r="AE1825" s="28" t="s">
        <v>18</v>
      </c>
      <c r="AF1825" s="23"/>
      <c r="AG1825" s="23"/>
      <c r="AH1825" s="23" t="str">
        <f>IFERROR(__xludf.DUMMYFUNCTION("IF(
ISNUMBER(MATCH(
C1825,
IMPORTRANGE(""https://docs.google.com/spreadsheets/d/1yTh1ELC33JHYOeEdgIiEclxPRyh0zOKtlawDltfUay8"",""'Interns'!A:A""),
0
)),
""Outreach Conducted"",
"""")"),"")</f>
        <v/>
      </c>
      <c r="AI1825" s="23"/>
      <c r="AJ1825" s="23"/>
      <c r="AK1825" s="23" t="str">
        <f>IFERROR(__xludf.DUMMYFUNCTION("XLOOKUP(C1825, 
   IMPORTRANGE(""1RdEdgHYrZ33LJ7RUHj_h-qkAFL92bcVjtIdVa-UlsCw"", ""Interns!D:D""), 
   IMPORTRANGE(""1RdEdgHYrZ33LJ7RUHj_h-qkAFL92bcVjtIdVa-UlsCw"", ""Interns!M:M""), 
   ""Not Found"")"),"")</f>
        <v/>
      </c>
      <c r="AL1825" s="23" t="str">
        <f>IFERROR(__xludf.DUMMYFUNCTION("XLOOKUP(C1825, 
   IMPORTRANGE(""1RdEdgHYrZ33LJ7RUHj_h-qkAFL92bcVjtIdVa-UlsCw"", ""Interns!D:D""), 
   IMPORTRANGE(""1RdEdgHYrZ33LJ7RUHj_h-qkAFL92bcVjtIdVa-UlsCw"", ""Interns!N:N""), 
   ""Not Found"")"),"")</f>
        <v/>
      </c>
      <c r="AM1825" s="23" t="str">
        <f>IFERROR(__xludf.DUMMYFUNCTION("XLOOKUP(C1825, 
   IMPORTRANGE(""1RdEdgHYrZ33LJ7RUHj_h-qkAFL92bcVjtIdVa-UlsCw"", ""Interns!D:D""), 
   IMPORTRANGE(""1RdEdgHYrZ33LJ7RUHj_h-qkAFL92bcVjtIdVa-UlsCw"", ""Interns!O:O""), 
   ""Not Found"")"),"")</f>
        <v/>
      </c>
      <c r="AN1825" s="23"/>
      <c r="AO1825" s="23"/>
      <c r="AP1825" s="28"/>
      <c r="AQ1825" s="28"/>
      <c r="AR1825" s="23"/>
      <c r="AS1825" s="23"/>
      <c r="AT1825" s="23"/>
      <c r="AU1825" s="23"/>
      <c r="AV1825" s="23"/>
    </row>
    <row r="1826">
      <c r="A1826" s="28" t="s">
        <v>5202</v>
      </c>
      <c r="B1826" s="28" t="s">
        <v>31</v>
      </c>
      <c r="C1826" s="23" t="str">
        <f t="shared" si="39"/>
        <v>Zabdy. Orellana</v>
      </c>
      <c r="D1826" s="28" t="s">
        <v>15967</v>
      </c>
      <c r="E1826" s="28" t="s">
        <v>11019</v>
      </c>
      <c r="F1826" s="23">
        <f t="array" ref="F1826">IFERROR(
    INDEX('Hub Interns 226'!A:A, MATCH("Zabdy Orellana", 'Hub Interns 226'!B:B, 0)),"")</f>
        <v>1252</v>
      </c>
      <c r="G1826" s="23">
        <f t="array" ref="G1826">IFERROR(
    INDEX('Hub Users 226'!A:A, MATCH("Zabdy Orellana", 'Hub Users 226'!B:B, 0)),"")</f>
        <v>1685</v>
      </c>
      <c r="H1826" s="28">
        <v>385.0</v>
      </c>
      <c r="I1826" s="28" t="s">
        <v>260</v>
      </c>
      <c r="J1826" s="28"/>
      <c r="K1826" s="28"/>
      <c r="L1826" s="28" t="s">
        <v>5196</v>
      </c>
      <c r="M1826" s="56" t="s">
        <v>11020</v>
      </c>
      <c r="N1826" s="57">
        <v>44257.63402777778</v>
      </c>
      <c r="O1826" s="58">
        <v>37606.0</v>
      </c>
      <c r="P1826" s="28">
        <f>DATEDIF(O1826, TODAY(), "Y")</f>
        <v>23</v>
      </c>
      <c r="Q1826" s="28" t="s">
        <v>15968</v>
      </c>
      <c r="R1826" s="28" t="s">
        <v>15969</v>
      </c>
      <c r="S1826" s="28"/>
      <c r="T1826" s="28"/>
      <c r="U1826" s="28"/>
      <c r="V1826" s="28"/>
      <c r="W1826" s="28" t="s">
        <v>859</v>
      </c>
      <c r="X1826" s="28" t="s">
        <v>272</v>
      </c>
      <c r="Y1826" s="28" t="s">
        <v>15970</v>
      </c>
      <c r="Z1826" s="28" t="s">
        <v>5208</v>
      </c>
      <c r="AA1826" s="28" t="s">
        <v>2141</v>
      </c>
      <c r="AB1826" s="28">
        <v>8.0</v>
      </c>
      <c r="AC1826" s="28" t="s">
        <v>24</v>
      </c>
      <c r="AD1826" s="23"/>
      <c r="AE1826" s="28" t="s">
        <v>8</v>
      </c>
      <c r="AF1826" s="23"/>
      <c r="AG1826" s="23"/>
      <c r="AH1826" s="23" t="str">
        <f>IFERROR(__xludf.DUMMYFUNCTION("IF(
ISNUMBER(MATCH(
C1826,
IMPORTRANGE(""https://docs.google.com/spreadsheets/d/1yTh1ELC33JHYOeEdgIiEclxPRyh0zOKtlawDltfUay8"",""'Interns'!A:A""),
0
)),
""Outreach Conducted"",
"""")"),"")</f>
        <v/>
      </c>
      <c r="AI1826" s="23"/>
      <c r="AJ1826" s="23"/>
      <c r="AK1826" s="23" t="str">
        <f>IFERROR(__xludf.DUMMYFUNCTION("XLOOKUP(C1826, 
   IMPORTRANGE(""1RdEdgHYrZ33LJ7RUHj_h-qkAFL92bcVjtIdVa-UlsCw"", ""Interns!D:D""), 
   IMPORTRANGE(""1RdEdgHYrZ33LJ7RUHj_h-qkAFL92bcVjtIdVa-UlsCw"", ""Interns!M:M""), 
   ""Not Found"")"),"")</f>
        <v/>
      </c>
      <c r="AL1826" s="23" t="str">
        <f>IFERROR(__xludf.DUMMYFUNCTION("XLOOKUP(C1826, 
   IMPORTRANGE(""1RdEdgHYrZ33LJ7RUHj_h-qkAFL92bcVjtIdVa-UlsCw"", ""Interns!D:D""), 
   IMPORTRANGE(""1RdEdgHYrZ33LJ7RUHj_h-qkAFL92bcVjtIdVa-UlsCw"", ""Interns!N:N""), 
   ""Not Found"")"),"")</f>
        <v/>
      </c>
      <c r="AM1826" s="23" t="str">
        <f>IFERROR(__xludf.DUMMYFUNCTION("XLOOKUP(C1826, 
   IMPORTRANGE(""1RdEdgHYrZ33LJ7RUHj_h-qkAFL92bcVjtIdVa-UlsCw"", ""Interns!D:D""), 
   IMPORTRANGE(""1RdEdgHYrZ33LJ7RUHj_h-qkAFL92bcVjtIdVa-UlsCw"", ""Interns!O:O""), 
   ""Not Found"")"),"")</f>
        <v/>
      </c>
      <c r="AN1826" s="23"/>
      <c r="AO1826" s="23" t="s">
        <v>11023</v>
      </c>
      <c r="AP1826" s="28" t="s">
        <v>5173</v>
      </c>
      <c r="AQ1826" s="28"/>
      <c r="AR1826" s="23"/>
      <c r="AS1826" s="23"/>
      <c r="AT1826" s="23"/>
      <c r="AU1826" s="23"/>
      <c r="AV1826" s="23"/>
    </row>
    <row r="1827">
      <c r="A1827" s="28" t="s">
        <v>5161</v>
      </c>
      <c r="B1827" s="28" t="s">
        <v>5162</v>
      </c>
      <c r="C1827" s="23" t="str">
        <f t="shared" si="39"/>
        <v>Skyler Tran</v>
      </c>
      <c r="D1827" s="22" t="s">
        <v>15971</v>
      </c>
      <c r="E1827" s="22" t="s">
        <v>15972</v>
      </c>
      <c r="F1827" s="23"/>
      <c r="G1827" s="23"/>
      <c r="H1827" s="22">
        <v>2043.0</v>
      </c>
      <c r="I1827" s="28"/>
      <c r="J1827" s="28"/>
      <c r="K1827" s="28"/>
      <c r="L1827" s="28" t="s">
        <v>5165</v>
      </c>
      <c r="M1827" s="29" t="s">
        <v>15973</v>
      </c>
      <c r="N1827" s="22">
        <v>2024.0</v>
      </c>
      <c r="O1827" s="70"/>
      <c r="P1827" s="28"/>
      <c r="Q1827" s="62" t="s">
        <v>240</v>
      </c>
      <c r="R1827" s="64"/>
      <c r="S1827" s="28"/>
      <c r="T1827" s="28"/>
      <c r="U1827" s="28"/>
      <c r="V1827" s="28"/>
      <c r="W1827" s="28"/>
      <c r="X1827" s="28"/>
      <c r="Y1827" s="64"/>
      <c r="Z1827" s="22" t="s">
        <v>15965</v>
      </c>
      <c r="AA1827" s="28" t="s">
        <v>15966</v>
      </c>
      <c r="AB1827" s="28">
        <v>1.0</v>
      </c>
      <c r="AC1827" s="28" t="s">
        <v>28</v>
      </c>
      <c r="AD1827" s="23"/>
      <c r="AE1827" s="28" t="s">
        <v>18</v>
      </c>
      <c r="AF1827" s="23"/>
      <c r="AG1827" s="23"/>
      <c r="AH1827" s="23" t="str">
        <f>IFERROR(__xludf.DUMMYFUNCTION("IF(
ISNUMBER(MATCH(
C1827,
IMPORTRANGE(""https://docs.google.com/spreadsheets/d/1yTh1ELC33JHYOeEdgIiEclxPRyh0zOKtlawDltfUay8"",""'Interns'!A:A""),
0
)),
""Outreach Conducted"",
"""")"),"")</f>
        <v/>
      </c>
      <c r="AI1827" s="23"/>
      <c r="AJ1827" s="23"/>
      <c r="AK1827" s="23" t="str">
        <f>IFERROR(__xludf.DUMMYFUNCTION("XLOOKUP(C1827, 
   IMPORTRANGE(""1RdEdgHYrZ33LJ7RUHj_h-qkAFL92bcVjtIdVa-UlsCw"", ""Interns!D:D""), 
   IMPORTRANGE(""1RdEdgHYrZ33LJ7RUHj_h-qkAFL92bcVjtIdVa-UlsCw"", ""Interns!M:M""), 
   ""Not Found"")"),"")</f>
        <v/>
      </c>
      <c r="AL1827" s="23" t="str">
        <f>IFERROR(__xludf.DUMMYFUNCTION("XLOOKUP(C1827, 
   IMPORTRANGE(""1RdEdgHYrZ33LJ7RUHj_h-qkAFL92bcVjtIdVa-UlsCw"", ""Interns!D:D""), 
   IMPORTRANGE(""1RdEdgHYrZ33LJ7RUHj_h-qkAFL92bcVjtIdVa-UlsCw"", ""Interns!N:N""), 
   ""Not Found"")"),"")</f>
        <v/>
      </c>
      <c r="AM1827" s="23" t="str">
        <f>IFERROR(__xludf.DUMMYFUNCTION("XLOOKUP(C1827, 
   IMPORTRANGE(""1RdEdgHYrZ33LJ7RUHj_h-qkAFL92bcVjtIdVa-UlsCw"", ""Interns!D:D""), 
   IMPORTRANGE(""1RdEdgHYrZ33LJ7RUHj_h-qkAFL92bcVjtIdVa-UlsCw"", ""Interns!O:O""), 
   ""Not Found"")"),"")</f>
        <v/>
      </c>
      <c r="AN1827" s="23"/>
      <c r="AO1827" s="23"/>
      <c r="AP1827" s="28"/>
      <c r="AQ1827" s="28"/>
      <c r="AR1827" s="23"/>
      <c r="AS1827" s="23"/>
      <c r="AT1827" s="23"/>
      <c r="AU1827" s="23"/>
      <c r="AV1827" s="23"/>
    </row>
    <row r="1828">
      <c r="A1828" s="28" t="s">
        <v>5161</v>
      </c>
      <c r="B1828" s="28" t="s">
        <v>5162</v>
      </c>
      <c r="C1828" s="23" t="str">
        <f t="shared" si="39"/>
        <v>Mayaimi Lam</v>
      </c>
      <c r="D1828" s="22" t="s">
        <v>15974</v>
      </c>
      <c r="E1828" s="22" t="s">
        <v>6058</v>
      </c>
      <c r="F1828" s="23"/>
      <c r="G1828" s="23"/>
      <c r="H1828" s="22">
        <v>2042.0</v>
      </c>
      <c r="I1828" s="28"/>
      <c r="J1828" s="28"/>
      <c r="K1828" s="28"/>
      <c r="L1828" s="28" t="s">
        <v>5196</v>
      </c>
      <c r="M1828" s="29" t="s">
        <v>15975</v>
      </c>
      <c r="N1828" s="61">
        <v>45399.44513888889</v>
      </c>
      <c r="O1828" s="70"/>
      <c r="P1828" s="28"/>
      <c r="Q1828" s="62" t="s">
        <v>240</v>
      </c>
      <c r="R1828" s="64"/>
      <c r="S1828" s="28"/>
      <c r="T1828" s="28"/>
      <c r="U1828" s="28"/>
      <c r="V1828" s="28"/>
      <c r="W1828" s="28"/>
      <c r="X1828" s="28"/>
      <c r="Y1828" s="64"/>
      <c r="Z1828" s="22" t="s">
        <v>15965</v>
      </c>
      <c r="AA1828" s="28" t="s">
        <v>15966</v>
      </c>
      <c r="AB1828" s="28">
        <v>1.0</v>
      </c>
      <c r="AC1828" s="28" t="s">
        <v>28</v>
      </c>
      <c r="AD1828" s="23"/>
      <c r="AE1828" s="28" t="s">
        <v>18</v>
      </c>
      <c r="AF1828" s="23"/>
      <c r="AG1828" s="23"/>
      <c r="AH1828" s="23" t="str">
        <f>IFERROR(__xludf.DUMMYFUNCTION("IF(
ISNUMBER(MATCH(
C1828,
IMPORTRANGE(""https://docs.google.com/spreadsheets/d/1yTh1ELC33JHYOeEdgIiEclxPRyh0zOKtlawDltfUay8"",""'Interns'!A:A""),
0
)),
""Outreach Conducted"",
"""")"),"")</f>
        <v/>
      </c>
      <c r="AI1828" s="23"/>
      <c r="AJ1828" s="23"/>
      <c r="AK1828" s="23" t="str">
        <f>IFERROR(__xludf.DUMMYFUNCTION("XLOOKUP(C1828, 
   IMPORTRANGE(""1RdEdgHYrZ33LJ7RUHj_h-qkAFL92bcVjtIdVa-UlsCw"", ""Interns!D:D""), 
   IMPORTRANGE(""1RdEdgHYrZ33LJ7RUHj_h-qkAFL92bcVjtIdVa-UlsCw"", ""Interns!M:M""), 
   ""Not Found"")"),"")</f>
        <v/>
      </c>
      <c r="AL1828" s="23" t="str">
        <f>IFERROR(__xludf.DUMMYFUNCTION("XLOOKUP(C1828, 
   IMPORTRANGE(""1RdEdgHYrZ33LJ7RUHj_h-qkAFL92bcVjtIdVa-UlsCw"", ""Interns!D:D""), 
   IMPORTRANGE(""1RdEdgHYrZ33LJ7RUHj_h-qkAFL92bcVjtIdVa-UlsCw"", ""Interns!N:N""), 
   ""Not Found"")"),"")</f>
        <v/>
      </c>
      <c r="AM1828" s="23" t="str">
        <f>IFERROR(__xludf.DUMMYFUNCTION("XLOOKUP(C1828, 
   IMPORTRANGE(""1RdEdgHYrZ33LJ7RUHj_h-qkAFL92bcVjtIdVa-UlsCw"", ""Interns!D:D""), 
   IMPORTRANGE(""1RdEdgHYrZ33LJ7RUHj_h-qkAFL92bcVjtIdVa-UlsCw"", ""Interns!O:O""), 
   ""Not Found"")"),"")</f>
        <v/>
      </c>
      <c r="AN1828" s="23"/>
      <c r="AO1828" s="23"/>
      <c r="AP1828" s="28"/>
      <c r="AQ1828" s="28"/>
      <c r="AR1828" s="23"/>
      <c r="AS1828" s="23"/>
      <c r="AT1828" s="23"/>
      <c r="AU1828" s="23"/>
      <c r="AV1828" s="23"/>
    </row>
    <row r="1829">
      <c r="A1829" s="28" t="s">
        <v>5161</v>
      </c>
      <c r="B1829" s="28" t="s">
        <v>5162</v>
      </c>
      <c r="C1829" s="23" t="str">
        <f t="shared" si="39"/>
        <v>Jax Panlilio</v>
      </c>
      <c r="D1829" s="22" t="s">
        <v>15976</v>
      </c>
      <c r="E1829" s="22" t="s">
        <v>15977</v>
      </c>
      <c r="F1829" s="23"/>
      <c r="G1829" s="23"/>
      <c r="H1829" s="22">
        <v>2041.0</v>
      </c>
      <c r="I1829" s="28"/>
      <c r="J1829" s="28"/>
      <c r="K1829" s="28"/>
      <c r="L1829" s="28" t="s">
        <v>5165</v>
      </c>
      <c r="M1829" s="29" t="s">
        <v>15978</v>
      </c>
      <c r="N1829" s="61">
        <v>45399.44513888889</v>
      </c>
      <c r="O1829" s="70"/>
      <c r="P1829" s="28"/>
      <c r="Q1829" s="62" t="s">
        <v>240</v>
      </c>
      <c r="R1829" s="64"/>
      <c r="S1829" s="28"/>
      <c r="T1829" s="28"/>
      <c r="U1829" s="28"/>
      <c r="V1829" s="28"/>
      <c r="W1829" s="28"/>
      <c r="X1829" s="28"/>
      <c r="Y1829" s="64"/>
      <c r="Z1829" s="22" t="s">
        <v>15965</v>
      </c>
      <c r="AA1829" s="28" t="s">
        <v>15966</v>
      </c>
      <c r="AB1829" s="28">
        <v>1.0</v>
      </c>
      <c r="AC1829" s="28" t="s">
        <v>28</v>
      </c>
      <c r="AD1829" s="23"/>
      <c r="AE1829" s="28" t="s">
        <v>18</v>
      </c>
      <c r="AF1829" s="23"/>
      <c r="AG1829" s="23"/>
      <c r="AH1829" s="23" t="str">
        <f>IFERROR(__xludf.DUMMYFUNCTION("IF(
ISNUMBER(MATCH(
C1829,
IMPORTRANGE(""https://docs.google.com/spreadsheets/d/1yTh1ELC33JHYOeEdgIiEclxPRyh0zOKtlawDltfUay8"",""'Interns'!A:A""),
0
)),
""Outreach Conducted"",
"""")"),"")</f>
        <v/>
      </c>
      <c r="AI1829" s="23"/>
      <c r="AJ1829" s="23"/>
      <c r="AK1829" s="23" t="str">
        <f>IFERROR(__xludf.DUMMYFUNCTION("XLOOKUP(C1829, 
   IMPORTRANGE(""1RdEdgHYrZ33LJ7RUHj_h-qkAFL92bcVjtIdVa-UlsCw"", ""Interns!D:D""), 
   IMPORTRANGE(""1RdEdgHYrZ33LJ7RUHj_h-qkAFL92bcVjtIdVa-UlsCw"", ""Interns!M:M""), 
   ""Not Found"")"),"")</f>
        <v/>
      </c>
      <c r="AL1829" s="23" t="str">
        <f>IFERROR(__xludf.DUMMYFUNCTION("XLOOKUP(C1829, 
   IMPORTRANGE(""1RdEdgHYrZ33LJ7RUHj_h-qkAFL92bcVjtIdVa-UlsCw"", ""Interns!D:D""), 
   IMPORTRANGE(""1RdEdgHYrZ33LJ7RUHj_h-qkAFL92bcVjtIdVa-UlsCw"", ""Interns!N:N""), 
   ""Not Found"")"),"")</f>
        <v/>
      </c>
      <c r="AM1829" s="23" t="str">
        <f>IFERROR(__xludf.DUMMYFUNCTION("XLOOKUP(C1829, 
   IMPORTRANGE(""1RdEdgHYrZ33LJ7RUHj_h-qkAFL92bcVjtIdVa-UlsCw"", ""Interns!D:D""), 
   IMPORTRANGE(""1RdEdgHYrZ33LJ7RUHj_h-qkAFL92bcVjtIdVa-UlsCw"", ""Interns!O:O""), 
   ""Not Found"")"),"")</f>
        <v/>
      </c>
      <c r="AN1829" s="23"/>
      <c r="AO1829" s="23"/>
      <c r="AP1829" s="28"/>
      <c r="AQ1829" s="28"/>
      <c r="AR1829" s="23"/>
      <c r="AS1829" s="23"/>
      <c r="AT1829" s="23"/>
      <c r="AU1829" s="23"/>
      <c r="AV1829" s="23"/>
    </row>
    <row r="1830">
      <c r="A1830" s="28" t="s">
        <v>5161</v>
      </c>
      <c r="B1830" s="28" t="s">
        <v>5162</v>
      </c>
      <c r="C1830" s="23" t="str">
        <f t="shared" si="39"/>
        <v>karin huang</v>
      </c>
      <c r="D1830" s="22" t="s">
        <v>15979</v>
      </c>
      <c r="E1830" s="22" t="s">
        <v>15980</v>
      </c>
      <c r="F1830" s="23"/>
      <c r="G1830" s="23"/>
      <c r="H1830" s="22">
        <v>2040.0</v>
      </c>
      <c r="I1830" s="28"/>
      <c r="J1830" s="28"/>
      <c r="K1830" s="28"/>
      <c r="L1830" s="28" t="s">
        <v>5196</v>
      </c>
      <c r="M1830" s="29" t="s">
        <v>15981</v>
      </c>
      <c r="N1830" s="61">
        <v>45399.44513888889</v>
      </c>
      <c r="O1830" s="70"/>
      <c r="P1830" s="28"/>
      <c r="Q1830" s="62" t="s">
        <v>240</v>
      </c>
      <c r="R1830" s="64"/>
      <c r="S1830" s="28"/>
      <c r="T1830" s="28"/>
      <c r="U1830" s="28"/>
      <c r="V1830" s="28"/>
      <c r="W1830" s="28"/>
      <c r="X1830" s="28"/>
      <c r="Y1830" s="64"/>
      <c r="Z1830" s="22" t="s">
        <v>15965</v>
      </c>
      <c r="AA1830" s="28" t="s">
        <v>15966</v>
      </c>
      <c r="AB1830" s="28">
        <v>1.0</v>
      </c>
      <c r="AC1830" s="28" t="s">
        <v>28</v>
      </c>
      <c r="AD1830" s="23"/>
      <c r="AE1830" s="28" t="s">
        <v>18</v>
      </c>
      <c r="AF1830" s="23"/>
      <c r="AG1830" s="23"/>
      <c r="AH1830" s="23" t="str">
        <f>IFERROR(__xludf.DUMMYFUNCTION("IF(
ISNUMBER(MATCH(
C1830,
IMPORTRANGE(""https://docs.google.com/spreadsheets/d/1yTh1ELC33JHYOeEdgIiEclxPRyh0zOKtlawDltfUay8"",""'Interns'!A:A""),
0
)),
""Outreach Conducted"",
"""")"),"")</f>
        <v/>
      </c>
      <c r="AI1830" s="23"/>
      <c r="AJ1830" s="23"/>
      <c r="AK1830" s="23" t="str">
        <f>IFERROR(__xludf.DUMMYFUNCTION("XLOOKUP(C1830, 
   IMPORTRANGE(""1RdEdgHYrZ33LJ7RUHj_h-qkAFL92bcVjtIdVa-UlsCw"", ""Interns!D:D""), 
   IMPORTRANGE(""1RdEdgHYrZ33LJ7RUHj_h-qkAFL92bcVjtIdVa-UlsCw"", ""Interns!M:M""), 
   ""Not Found"")"),"")</f>
        <v/>
      </c>
      <c r="AL1830" s="23" t="str">
        <f>IFERROR(__xludf.DUMMYFUNCTION("XLOOKUP(C1830, 
   IMPORTRANGE(""1RdEdgHYrZ33LJ7RUHj_h-qkAFL92bcVjtIdVa-UlsCw"", ""Interns!D:D""), 
   IMPORTRANGE(""1RdEdgHYrZ33LJ7RUHj_h-qkAFL92bcVjtIdVa-UlsCw"", ""Interns!N:N""), 
   ""Not Found"")"),"")</f>
        <v/>
      </c>
      <c r="AM1830" s="23" t="str">
        <f>IFERROR(__xludf.DUMMYFUNCTION("XLOOKUP(C1830, 
   IMPORTRANGE(""1RdEdgHYrZ33LJ7RUHj_h-qkAFL92bcVjtIdVa-UlsCw"", ""Interns!D:D""), 
   IMPORTRANGE(""1RdEdgHYrZ33LJ7RUHj_h-qkAFL92bcVjtIdVa-UlsCw"", ""Interns!O:O""), 
   ""Not Found"")"),"")</f>
        <v/>
      </c>
      <c r="AN1830" s="23"/>
      <c r="AO1830" s="23"/>
      <c r="AP1830" s="28"/>
      <c r="AQ1830" s="28"/>
      <c r="AR1830" s="23"/>
      <c r="AS1830" s="23"/>
      <c r="AT1830" s="23"/>
      <c r="AU1830" s="23"/>
      <c r="AV1830" s="23"/>
    </row>
    <row r="1831">
      <c r="A1831" s="28" t="s">
        <v>5161</v>
      </c>
      <c r="B1831" s="28" t="s">
        <v>5162</v>
      </c>
      <c r="C1831" s="23" t="str">
        <f t="shared" si="39"/>
        <v>Olivia Zhou</v>
      </c>
      <c r="D1831" s="22" t="s">
        <v>15982</v>
      </c>
      <c r="E1831" s="22" t="s">
        <v>3318</v>
      </c>
      <c r="F1831" s="23"/>
      <c r="G1831" s="23"/>
      <c r="H1831" s="22">
        <v>2039.0</v>
      </c>
      <c r="I1831" s="28"/>
      <c r="J1831" s="28"/>
      <c r="K1831" s="28"/>
      <c r="L1831" s="28" t="s">
        <v>5196</v>
      </c>
      <c r="M1831" s="29" t="s">
        <v>15983</v>
      </c>
      <c r="N1831" s="61">
        <v>45399.44513888889</v>
      </c>
      <c r="O1831" s="70"/>
      <c r="P1831" s="28"/>
      <c r="Q1831" s="62" t="s">
        <v>240</v>
      </c>
      <c r="R1831" s="64"/>
      <c r="S1831" s="28"/>
      <c r="T1831" s="28"/>
      <c r="U1831" s="28"/>
      <c r="V1831" s="28"/>
      <c r="W1831" s="28"/>
      <c r="X1831" s="28"/>
      <c r="Y1831" s="64"/>
      <c r="Z1831" s="22" t="s">
        <v>15965</v>
      </c>
      <c r="AA1831" s="28" t="s">
        <v>15966</v>
      </c>
      <c r="AB1831" s="28">
        <v>1.0</v>
      </c>
      <c r="AC1831" s="28" t="s">
        <v>28</v>
      </c>
      <c r="AD1831" s="23"/>
      <c r="AE1831" s="28" t="s">
        <v>18</v>
      </c>
      <c r="AF1831" s="23"/>
      <c r="AG1831" s="23"/>
      <c r="AH1831" s="23" t="str">
        <f>IFERROR(__xludf.DUMMYFUNCTION("IF(
ISNUMBER(MATCH(
C1831,
IMPORTRANGE(""https://docs.google.com/spreadsheets/d/1yTh1ELC33JHYOeEdgIiEclxPRyh0zOKtlawDltfUay8"",""'Interns'!A:A""),
0
)),
""Outreach Conducted"",
"""")"),"")</f>
        <v/>
      </c>
      <c r="AI1831" s="23"/>
      <c r="AJ1831" s="23"/>
      <c r="AK1831" s="23" t="str">
        <f>IFERROR(__xludf.DUMMYFUNCTION("XLOOKUP(C1831, 
   IMPORTRANGE(""1RdEdgHYrZ33LJ7RUHj_h-qkAFL92bcVjtIdVa-UlsCw"", ""Interns!D:D""), 
   IMPORTRANGE(""1RdEdgHYrZ33LJ7RUHj_h-qkAFL92bcVjtIdVa-UlsCw"", ""Interns!M:M""), 
   ""Not Found"")"),"")</f>
        <v/>
      </c>
      <c r="AL1831" s="23" t="str">
        <f>IFERROR(__xludf.DUMMYFUNCTION("XLOOKUP(C1831, 
   IMPORTRANGE(""1RdEdgHYrZ33LJ7RUHj_h-qkAFL92bcVjtIdVa-UlsCw"", ""Interns!D:D""), 
   IMPORTRANGE(""1RdEdgHYrZ33LJ7RUHj_h-qkAFL92bcVjtIdVa-UlsCw"", ""Interns!N:N""), 
   ""Not Found"")"),"")</f>
        <v/>
      </c>
      <c r="AM1831" s="23" t="str">
        <f>IFERROR(__xludf.DUMMYFUNCTION("XLOOKUP(C1831, 
   IMPORTRANGE(""1RdEdgHYrZ33LJ7RUHj_h-qkAFL92bcVjtIdVa-UlsCw"", ""Interns!D:D""), 
   IMPORTRANGE(""1RdEdgHYrZ33LJ7RUHj_h-qkAFL92bcVjtIdVa-UlsCw"", ""Interns!O:O""), 
   ""Not Found"")"),"")</f>
        <v/>
      </c>
      <c r="AN1831" s="23"/>
      <c r="AO1831" s="23"/>
      <c r="AP1831" s="28"/>
      <c r="AQ1831" s="28"/>
      <c r="AR1831" s="23"/>
      <c r="AS1831" s="23"/>
      <c r="AT1831" s="23"/>
      <c r="AU1831" s="23"/>
      <c r="AV1831" s="23"/>
    </row>
    <row r="1832">
      <c r="A1832" s="28" t="s">
        <v>5161</v>
      </c>
      <c r="B1832" s="28" t="s">
        <v>5162</v>
      </c>
      <c r="C1832" s="23" t="str">
        <f t="shared" si="39"/>
        <v>adama faye</v>
      </c>
      <c r="D1832" s="22" t="s">
        <v>15984</v>
      </c>
      <c r="E1832" s="22" t="s">
        <v>15985</v>
      </c>
      <c r="F1832" s="23"/>
      <c r="G1832" s="23"/>
      <c r="H1832" s="22">
        <v>2038.0</v>
      </c>
      <c r="I1832" s="28"/>
      <c r="J1832" s="28"/>
      <c r="K1832" s="28"/>
      <c r="L1832" s="28" t="s">
        <v>5165</v>
      </c>
      <c r="M1832" s="29" t="s">
        <v>15986</v>
      </c>
      <c r="N1832" s="61">
        <v>45399.44513888889</v>
      </c>
      <c r="O1832" s="70"/>
      <c r="P1832" s="28"/>
      <c r="Q1832" s="62" t="s">
        <v>240</v>
      </c>
      <c r="R1832" s="64"/>
      <c r="S1832" s="28"/>
      <c r="T1832" s="28"/>
      <c r="U1832" s="28"/>
      <c r="V1832" s="28"/>
      <c r="W1832" s="28"/>
      <c r="X1832" s="28"/>
      <c r="Y1832" s="64"/>
      <c r="Z1832" s="22" t="s">
        <v>15965</v>
      </c>
      <c r="AA1832" s="28" t="s">
        <v>15966</v>
      </c>
      <c r="AB1832" s="28">
        <v>1.0</v>
      </c>
      <c r="AC1832" s="28" t="s">
        <v>28</v>
      </c>
      <c r="AD1832" s="23"/>
      <c r="AE1832" s="28" t="s">
        <v>18</v>
      </c>
      <c r="AF1832" s="23"/>
      <c r="AG1832" s="23"/>
      <c r="AH1832" s="23" t="str">
        <f>IFERROR(__xludf.DUMMYFUNCTION("IF(
ISNUMBER(MATCH(
C1832,
IMPORTRANGE(""https://docs.google.com/spreadsheets/d/1yTh1ELC33JHYOeEdgIiEclxPRyh0zOKtlawDltfUay8"",""'Interns'!A:A""),
0
)),
""Outreach Conducted"",
"""")"),"")</f>
        <v/>
      </c>
      <c r="AI1832" s="23"/>
      <c r="AJ1832" s="23"/>
      <c r="AK1832" s="23" t="str">
        <f>IFERROR(__xludf.DUMMYFUNCTION("XLOOKUP(C1832, 
   IMPORTRANGE(""1RdEdgHYrZ33LJ7RUHj_h-qkAFL92bcVjtIdVa-UlsCw"", ""Interns!D:D""), 
   IMPORTRANGE(""1RdEdgHYrZ33LJ7RUHj_h-qkAFL92bcVjtIdVa-UlsCw"", ""Interns!M:M""), 
   ""Not Found"")"),"")</f>
        <v/>
      </c>
      <c r="AL1832" s="23" t="str">
        <f>IFERROR(__xludf.DUMMYFUNCTION("XLOOKUP(C1832, 
   IMPORTRANGE(""1RdEdgHYrZ33LJ7RUHj_h-qkAFL92bcVjtIdVa-UlsCw"", ""Interns!D:D""), 
   IMPORTRANGE(""1RdEdgHYrZ33LJ7RUHj_h-qkAFL92bcVjtIdVa-UlsCw"", ""Interns!N:N""), 
   ""Not Found"")"),"")</f>
        <v/>
      </c>
      <c r="AM1832" s="23" t="str">
        <f>IFERROR(__xludf.DUMMYFUNCTION("XLOOKUP(C1832, 
   IMPORTRANGE(""1RdEdgHYrZ33LJ7RUHj_h-qkAFL92bcVjtIdVa-UlsCw"", ""Interns!D:D""), 
   IMPORTRANGE(""1RdEdgHYrZ33LJ7RUHj_h-qkAFL92bcVjtIdVa-UlsCw"", ""Interns!O:O""), 
   ""Not Found"")"),"")</f>
        <v/>
      </c>
      <c r="AN1832" s="23"/>
      <c r="AO1832" s="23"/>
      <c r="AP1832" s="28"/>
      <c r="AQ1832" s="28"/>
      <c r="AR1832" s="23"/>
      <c r="AS1832" s="23"/>
      <c r="AT1832" s="23"/>
      <c r="AU1832" s="23"/>
      <c r="AV1832" s="23"/>
    </row>
    <row r="1833">
      <c r="A1833" s="28" t="s">
        <v>5161</v>
      </c>
      <c r="B1833" s="28" t="s">
        <v>5162</v>
      </c>
      <c r="C1833" s="23" t="str">
        <f t="shared" si="39"/>
        <v>Isabella Lam</v>
      </c>
      <c r="D1833" s="22" t="s">
        <v>14243</v>
      </c>
      <c r="E1833" s="22" t="s">
        <v>6058</v>
      </c>
      <c r="F1833" s="23"/>
      <c r="G1833" s="23"/>
      <c r="H1833" s="22">
        <v>2037.0</v>
      </c>
      <c r="I1833" s="28"/>
      <c r="J1833" s="28"/>
      <c r="K1833" s="28"/>
      <c r="L1833" s="28" t="s">
        <v>5196</v>
      </c>
      <c r="M1833" s="29" t="s">
        <v>15987</v>
      </c>
      <c r="N1833" s="61">
        <v>45399.44513888889</v>
      </c>
      <c r="O1833" s="70"/>
      <c r="P1833" s="28"/>
      <c r="Q1833" s="62" t="s">
        <v>240</v>
      </c>
      <c r="R1833" s="64"/>
      <c r="S1833" s="28"/>
      <c r="T1833" s="28"/>
      <c r="U1833" s="28"/>
      <c r="V1833" s="28"/>
      <c r="W1833" s="28"/>
      <c r="X1833" s="28"/>
      <c r="Y1833" s="64"/>
      <c r="Z1833" s="22" t="s">
        <v>15965</v>
      </c>
      <c r="AA1833" s="28" t="s">
        <v>15966</v>
      </c>
      <c r="AB1833" s="28">
        <v>1.0</v>
      </c>
      <c r="AC1833" s="28" t="s">
        <v>28</v>
      </c>
      <c r="AD1833" s="23"/>
      <c r="AE1833" s="28" t="s">
        <v>18</v>
      </c>
      <c r="AF1833" s="23"/>
      <c r="AG1833" s="23"/>
      <c r="AH1833" s="23" t="str">
        <f>IFERROR(__xludf.DUMMYFUNCTION("IF(
ISNUMBER(MATCH(
C1833,
IMPORTRANGE(""https://docs.google.com/spreadsheets/d/1yTh1ELC33JHYOeEdgIiEclxPRyh0zOKtlawDltfUay8"",""'Interns'!A:A""),
0
)),
""Outreach Conducted"",
"""")"),"Outreach Conducted")</f>
        <v>Outreach Conducted</v>
      </c>
      <c r="AI1833" s="23"/>
      <c r="AJ1833" s="23"/>
      <c r="AK1833" s="23" t="str">
        <f>IFERROR(__xludf.DUMMYFUNCTION("XLOOKUP(C1833, 
   IMPORTRANGE(""1RdEdgHYrZ33LJ7RUHj_h-qkAFL92bcVjtIdVa-UlsCw"", ""Interns!D:D""), 
   IMPORTRANGE(""1RdEdgHYrZ33LJ7RUHj_h-qkAFL92bcVjtIdVa-UlsCw"", ""Interns!M:M""), 
   ""Not Found"")"),"")</f>
        <v/>
      </c>
      <c r="AL1833" s="23" t="str">
        <f>IFERROR(__xludf.DUMMYFUNCTION("XLOOKUP(C1833, 
   IMPORTRANGE(""1RdEdgHYrZ33LJ7RUHj_h-qkAFL92bcVjtIdVa-UlsCw"", ""Interns!D:D""), 
   IMPORTRANGE(""1RdEdgHYrZ33LJ7RUHj_h-qkAFL92bcVjtIdVa-UlsCw"", ""Interns!N:N""), 
   ""Not Found"")"),"")</f>
        <v/>
      </c>
      <c r="AM1833" s="23" t="str">
        <f>IFERROR(__xludf.DUMMYFUNCTION("XLOOKUP(C1833, 
   IMPORTRANGE(""1RdEdgHYrZ33LJ7RUHj_h-qkAFL92bcVjtIdVa-UlsCw"", ""Interns!D:D""), 
   IMPORTRANGE(""1RdEdgHYrZ33LJ7RUHj_h-qkAFL92bcVjtIdVa-UlsCw"", ""Interns!O:O""), 
   ""Not Found"")"),"")</f>
        <v/>
      </c>
      <c r="AN1833" s="23"/>
      <c r="AO1833" s="23"/>
      <c r="AP1833" s="28"/>
      <c r="AQ1833" s="28"/>
      <c r="AR1833" s="23"/>
      <c r="AS1833" s="23"/>
      <c r="AT1833" s="23"/>
      <c r="AU1833" s="23"/>
      <c r="AV1833" s="23"/>
    </row>
    <row r="1834">
      <c r="A1834" s="28" t="s">
        <v>5161</v>
      </c>
      <c r="B1834" s="28" t="s">
        <v>5162</v>
      </c>
      <c r="C1834" s="23" t="str">
        <f t="shared" si="39"/>
        <v>Julia Chen</v>
      </c>
      <c r="D1834" s="22" t="s">
        <v>1864</v>
      </c>
      <c r="E1834" s="22" t="s">
        <v>1741</v>
      </c>
      <c r="F1834" s="23"/>
      <c r="G1834" s="23"/>
      <c r="H1834" s="22">
        <v>2036.0</v>
      </c>
      <c r="I1834" s="28"/>
      <c r="J1834" s="28"/>
      <c r="K1834" s="28"/>
      <c r="L1834" s="28" t="s">
        <v>5196</v>
      </c>
      <c r="M1834" s="29" t="s">
        <v>15988</v>
      </c>
      <c r="N1834" s="61">
        <v>45399.44513888889</v>
      </c>
      <c r="O1834" s="70"/>
      <c r="P1834" s="28"/>
      <c r="Q1834" s="62" t="s">
        <v>240</v>
      </c>
      <c r="R1834" s="64"/>
      <c r="S1834" s="28"/>
      <c r="T1834" s="28"/>
      <c r="U1834" s="28"/>
      <c r="V1834" s="28"/>
      <c r="W1834" s="28"/>
      <c r="X1834" s="28"/>
      <c r="Y1834" s="64"/>
      <c r="Z1834" s="22" t="s">
        <v>15965</v>
      </c>
      <c r="AA1834" s="28" t="s">
        <v>15966</v>
      </c>
      <c r="AB1834" s="28">
        <v>1.0</v>
      </c>
      <c r="AC1834" s="28" t="s">
        <v>28</v>
      </c>
      <c r="AD1834" s="23"/>
      <c r="AE1834" s="28" t="s">
        <v>18</v>
      </c>
      <c r="AF1834" s="23"/>
      <c r="AG1834" s="23"/>
      <c r="AH1834" s="23" t="str">
        <f>IFERROR(__xludf.DUMMYFUNCTION("IF(
ISNUMBER(MATCH(
C1834,
IMPORTRANGE(""https://docs.google.com/spreadsheets/d/1yTh1ELC33JHYOeEdgIiEclxPRyh0zOKtlawDltfUay8"",""'Interns'!A:A""),
0
)),
""Outreach Conducted"",
"""")"),"")</f>
        <v/>
      </c>
      <c r="AI1834" s="23"/>
      <c r="AJ1834" s="23"/>
      <c r="AK1834" s="23" t="str">
        <f>IFERROR(__xludf.DUMMYFUNCTION("XLOOKUP(C1834, 
   IMPORTRANGE(""1RdEdgHYrZ33LJ7RUHj_h-qkAFL92bcVjtIdVa-UlsCw"", ""Interns!D:D""), 
   IMPORTRANGE(""1RdEdgHYrZ33LJ7RUHj_h-qkAFL92bcVjtIdVa-UlsCw"", ""Interns!M:M""), 
   ""Not Found"")"),"")</f>
        <v/>
      </c>
      <c r="AL1834" s="23" t="str">
        <f>IFERROR(__xludf.DUMMYFUNCTION("XLOOKUP(C1834, 
   IMPORTRANGE(""1RdEdgHYrZ33LJ7RUHj_h-qkAFL92bcVjtIdVa-UlsCw"", ""Interns!D:D""), 
   IMPORTRANGE(""1RdEdgHYrZ33LJ7RUHj_h-qkAFL92bcVjtIdVa-UlsCw"", ""Interns!N:N""), 
   ""Not Found"")"),"")</f>
        <v/>
      </c>
      <c r="AM1834" s="23" t="str">
        <f>IFERROR(__xludf.DUMMYFUNCTION("XLOOKUP(C1834, 
   IMPORTRANGE(""1RdEdgHYrZ33LJ7RUHj_h-qkAFL92bcVjtIdVa-UlsCw"", ""Interns!D:D""), 
   IMPORTRANGE(""1RdEdgHYrZ33LJ7RUHj_h-qkAFL92bcVjtIdVa-UlsCw"", ""Interns!O:O""), 
   ""Not Found"")"),"")</f>
        <v/>
      </c>
      <c r="AN1834" s="23"/>
      <c r="AO1834" s="23"/>
      <c r="AP1834" s="28"/>
      <c r="AQ1834" s="28"/>
      <c r="AR1834" s="23"/>
      <c r="AS1834" s="23"/>
      <c r="AT1834" s="23"/>
      <c r="AU1834" s="23"/>
      <c r="AV1834" s="23"/>
    </row>
    <row r="1835">
      <c r="A1835" s="28" t="s">
        <v>5161</v>
      </c>
      <c r="B1835" s="28" t="s">
        <v>5162</v>
      </c>
      <c r="C1835" s="23" t="str">
        <f t="shared" si="39"/>
        <v>Kleivs Zhu</v>
      </c>
      <c r="D1835" s="22" t="s">
        <v>15989</v>
      </c>
      <c r="E1835" s="22" t="s">
        <v>6085</v>
      </c>
      <c r="F1835" s="23"/>
      <c r="G1835" s="23"/>
      <c r="H1835" s="22">
        <v>2035.0</v>
      </c>
      <c r="I1835" s="28"/>
      <c r="J1835" s="28"/>
      <c r="K1835" s="28"/>
      <c r="L1835" s="28" t="s">
        <v>5165</v>
      </c>
      <c r="M1835" s="29" t="s">
        <v>15990</v>
      </c>
      <c r="N1835" s="61">
        <v>45399.44513888889</v>
      </c>
      <c r="O1835" s="70"/>
      <c r="P1835" s="28"/>
      <c r="Q1835" s="62" t="s">
        <v>240</v>
      </c>
      <c r="R1835" s="64"/>
      <c r="S1835" s="28"/>
      <c r="T1835" s="28"/>
      <c r="U1835" s="28"/>
      <c r="V1835" s="28"/>
      <c r="W1835" s="28"/>
      <c r="X1835" s="28"/>
      <c r="Y1835" s="64"/>
      <c r="Z1835" s="22" t="s">
        <v>15965</v>
      </c>
      <c r="AA1835" s="28" t="s">
        <v>15966</v>
      </c>
      <c r="AB1835" s="28">
        <v>1.0</v>
      </c>
      <c r="AC1835" s="28" t="s">
        <v>28</v>
      </c>
      <c r="AD1835" s="23"/>
      <c r="AE1835" s="28" t="s">
        <v>18</v>
      </c>
      <c r="AF1835" s="23"/>
      <c r="AG1835" s="23"/>
      <c r="AH1835" s="23" t="str">
        <f>IFERROR(__xludf.DUMMYFUNCTION("IF(
ISNUMBER(MATCH(
C1835,
IMPORTRANGE(""https://docs.google.com/spreadsheets/d/1yTh1ELC33JHYOeEdgIiEclxPRyh0zOKtlawDltfUay8"",""'Interns'!A:A""),
0
)),
""Outreach Conducted"",
"""")"),"")</f>
        <v/>
      </c>
      <c r="AI1835" s="23"/>
      <c r="AJ1835" s="23"/>
      <c r="AK1835" s="23" t="str">
        <f>IFERROR(__xludf.DUMMYFUNCTION("XLOOKUP(C1835, 
   IMPORTRANGE(""1RdEdgHYrZ33LJ7RUHj_h-qkAFL92bcVjtIdVa-UlsCw"", ""Interns!D:D""), 
   IMPORTRANGE(""1RdEdgHYrZ33LJ7RUHj_h-qkAFL92bcVjtIdVa-UlsCw"", ""Interns!M:M""), 
   ""Not Found"")"),"")</f>
        <v/>
      </c>
      <c r="AL1835" s="23" t="str">
        <f>IFERROR(__xludf.DUMMYFUNCTION("XLOOKUP(C1835, 
   IMPORTRANGE(""1RdEdgHYrZ33LJ7RUHj_h-qkAFL92bcVjtIdVa-UlsCw"", ""Interns!D:D""), 
   IMPORTRANGE(""1RdEdgHYrZ33LJ7RUHj_h-qkAFL92bcVjtIdVa-UlsCw"", ""Interns!N:N""), 
   ""Not Found"")"),"")</f>
        <v/>
      </c>
      <c r="AM1835" s="23" t="str">
        <f>IFERROR(__xludf.DUMMYFUNCTION("XLOOKUP(C1835, 
   IMPORTRANGE(""1RdEdgHYrZ33LJ7RUHj_h-qkAFL92bcVjtIdVa-UlsCw"", ""Interns!D:D""), 
   IMPORTRANGE(""1RdEdgHYrZ33LJ7RUHj_h-qkAFL92bcVjtIdVa-UlsCw"", ""Interns!O:O""), 
   ""Not Found"")"),"")</f>
        <v/>
      </c>
      <c r="AN1835" s="23"/>
      <c r="AO1835" s="23"/>
      <c r="AP1835" s="28"/>
      <c r="AQ1835" s="28"/>
      <c r="AR1835" s="23"/>
      <c r="AS1835" s="23"/>
      <c r="AT1835" s="23"/>
      <c r="AU1835" s="23"/>
      <c r="AV1835" s="23"/>
    </row>
    <row r="1836">
      <c r="A1836" s="28" t="s">
        <v>5161</v>
      </c>
      <c r="B1836" s="28" t="s">
        <v>5162</v>
      </c>
      <c r="C1836" s="23" t="str">
        <f t="shared" si="39"/>
        <v>Alston Zhou</v>
      </c>
      <c r="D1836" s="22" t="s">
        <v>15991</v>
      </c>
      <c r="E1836" s="22" t="s">
        <v>3318</v>
      </c>
      <c r="F1836" s="23"/>
      <c r="G1836" s="23"/>
      <c r="H1836" s="22">
        <v>2034.0</v>
      </c>
      <c r="I1836" s="28"/>
      <c r="J1836" s="28"/>
      <c r="K1836" s="28"/>
      <c r="L1836" s="28" t="s">
        <v>5165</v>
      </c>
      <c r="M1836" s="29" t="s">
        <v>15992</v>
      </c>
      <c r="N1836" s="61">
        <v>45399.44583333333</v>
      </c>
      <c r="O1836" s="70"/>
      <c r="P1836" s="28"/>
      <c r="Q1836" s="62" t="s">
        <v>240</v>
      </c>
      <c r="R1836" s="64"/>
      <c r="S1836" s="28"/>
      <c r="T1836" s="28"/>
      <c r="U1836" s="28"/>
      <c r="V1836" s="28"/>
      <c r="W1836" s="28"/>
      <c r="X1836" s="28"/>
      <c r="Y1836" s="64"/>
      <c r="Z1836" s="22" t="s">
        <v>15965</v>
      </c>
      <c r="AA1836" s="28" t="s">
        <v>15966</v>
      </c>
      <c r="AB1836" s="28">
        <v>1.0</v>
      </c>
      <c r="AC1836" s="28" t="s">
        <v>28</v>
      </c>
      <c r="AD1836" s="23"/>
      <c r="AE1836" s="28" t="s">
        <v>18</v>
      </c>
      <c r="AF1836" s="23"/>
      <c r="AG1836" s="23"/>
      <c r="AH1836" s="23" t="str">
        <f>IFERROR(__xludf.DUMMYFUNCTION("IF(
ISNUMBER(MATCH(
C1836,
IMPORTRANGE(""https://docs.google.com/spreadsheets/d/1yTh1ELC33JHYOeEdgIiEclxPRyh0zOKtlawDltfUay8"",""'Interns'!A:A""),
0
)),
""Outreach Conducted"",
"""")"),"")</f>
        <v/>
      </c>
      <c r="AI1836" s="23"/>
      <c r="AJ1836" s="23"/>
      <c r="AK1836" s="23" t="str">
        <f>IFERROR(__xludf.DUMMYFUNCTION("XLOOKUP(C1836, 
   IMPORTRANGE(""1RdEdgHYrZ33LJ7RUHj_h-qkAFL92bcVjtIdVa-UlsCw"", ""Interns!D:D""), 
   IMPORTRANGE(""1RdEdgHYrZ33LJ7RUHj_h-qkAFL92bcVjtIdVa-UlsCw"", ""Interns!M:M""), 
   ""Not Found"")"),"")</f>
        <v/>
      </c>
      <c r="AL1836" s="23" t="str">
        <f>IFERROR(__xludf.DUMMYFUNCTION("XLOOKUP(C1836, 
   IMPORTRANGE(""1RdEdgHYrZ33LJ7RUHj_h-qkAFL92bcVjtIdVa-UlsCw"", ""Interns!D:D""), 
   IMPORTRANGE(""1RdEdgHYrZ33LJ7RUHj_h-qkAFL92bcVjtIdVa-UlsCw"", ""Interns!N:N""), 
   ""Not Found"")"),"")</f>
        <v/>
      </c>
      <c r="AM1836" s="23" t="str">
        <f>IFERROR(__xludf.DUMMYFUNCTION("XLOOKUP(C1836, 
   IMPORTRANGE(""1RdEdgHYrZ33LJ7RUHj_h-qkAFL92bcVjtIdVa-UlsCw"", ""Interns!D:D""), 
   IMPORTRANGE(""1RdEdgHYrZ33LJ7RUHj_h-qkAFL92bcVjtIdVa-UlsCw"", ""Interns!O:O""), 
   ""Not Found"")"),"")</f>
        <v/>
      </c>
      <c r="AN1836" s="23"/>
      <c r="AO1836" s="23"/>
      <c r="AP1836" s="28"/>
      <c r="AQ1836" s="28"/>
      <c r="AR1836" s="23"/>
      <c r="AS1836" s="23"/>
      <c r="AT1836" s="23"/>
      <c r="AU1836" s="23"/>
      <c r="AV1836" s="23"/>
    </row>
    <row r="1837">
      <c r="A1837" s="28" t="s">
        <v>5161</v>
      </c>
      <c r="B1837" s="28" t="s">
        <v>5162</v>
      </c>
      <c r="C1837" s="23" t="str">
        <f t="shared" si="39"/>
        <v>Christopher Prete</v>
      </c>
      <c r="D1837" s="22" t="s">
        <v>976</v>
      </c>
      <c r="E1837" s="22" t="s">
        <v>15993</v>
      </c>
      <c r="F1837" s="23"/>
      <c r="G1837" s="23"/>
      <c r="H1837" s="22">
        <v>2033.0</v>
      </c>
      <c r="I1837" s="28"/>
      <c r="J1837" s="28"/>
      <c r="K1837" s="28"/>
      <c r="L1837" s="28" t="s">
        <v>5165</v>
      </c>
      <c r="M1837" s="29" t="s">
        <v>15994</v>
      </c>
      <c r="N1837" s="61">
        <v>45399.44583333333</v>
      </c>
      <c r="O1837" s="70"/>
      <c r="P1837" s="28"/>
      <c r="Q1837" s="62" t="s">
        <v>240</v>
      </c>
      <c r="R1837" s="64"/>
      <c r="S1837" s="28"/>
      <c r="T1837" s="28"/>
      <c r="U1837" s="28"/>
      <c r="V1837" s="28"/>
      <c r="W1837" s="28"/>
      <c r="X1837" s="28"/>
      <c r="Y1837" s="64"/>
      <c r="Z1837" s="22" t="s">
        <v>15965</v>
      </c>
      <c r="AA1837" s="28" t="s">
        <v>15966</v>
      </c>
      <c r="AB1837" s="28">
        <v>1.0</v>
      </c>
      <c r="AC1837" s="28" t="s">
        <v>28</v>
      </c>
      <c r="AD1837" s="23"/>
      <c r="AE1837" s="28" t="s">
        <v>18</v>
      </c>
      <c r="AF1837" s="23"/>
      <c r="AG1837" s="23"/>
      <c r="AH1837" s="23" t="str">
        <f>IFERROR(__xludf.DUMMYFUNCTION("IF(
ISNUMBER(MATCH(
C1837,
IMPORTRANGE(""https://docs.google.com/spreadsheets/d/1yTh1ELC33JHYOeEdgIiEclxPRyh0zOKtlawDltfUay8"",""'Interns'!A:A""),
0
)),
""Outreach Conducted"",
"""")"),"")</f>
        <v/>
      </c>
      <c r="AI1837" s="23"/>
      <c r="AJ1837" s="23"/>
      <c r="AK1837" s="23" t="str">
        <f>IFERROR(__xludf.DUMMYFUNCTION("XLOOKUP(C1837, 
   IMPORTRANGE(""1RdEdgHYrZ33LJ7RUHj_h-qkAFL92bcVjtIdVa-UlsCw"", ""Interns!D:D""), 
   IMPORTRANGE(""1RdEdgHYrZ33LJ7RUHj_h-qkAFL92bcVjtIdVa-UlsCw"", ""Interns!M:M""), 
   ""Not Found"")"),"")</f>
        <v/>
      </c>
      <c r="AL1837" s="23" t="str">
        <f>IFERROR(__xludf.DUMMYFUNCTION("XLOOKUP(C1837, 
   IMPORTRANGE(""1RdEdgHYrZ33LJ7RUHj_h-qkAFL92bcVjtIdVa-UlsCw"", ""Interns!D:D""), 
   IMPORTRANGE(""1RdEdgHYrZ33LJ7RUHj_h-qkAFL92bcVjtIdVa-UlsCw"", ""Interns!N:N""), 
   ""Not Found"")"),"")</f>
        <v/>
      </c>
      <c r="AM1837" s="23" t="str">
        <f>IFERROR(__xludf.DUMMYFUNCTION("XLOOKUP(C1837, 
   IMPORTRANGE(""1RdEdgHYrZ33LJ7RUHj_h-qkAFL92bcVjtIdVa-UlsCw"", ""Interns!D:D""), 
   IMPORTRANGE(""1RdEdgHYrZ33LJ7RUHj_h-qkAFL92bcVjtIdVa-UlsCw"", ""Interns!O:O""), 
   ""Not Found"")"),"")</f>
        <v/>
      </c>
      <c r="AN1837" s="23"/>
      <c r="AO1837" s="23"/>
      <c r="AP1837" s="28"/>
      <c r="AQ1837" s="28"/>
      <c r="AR1837" s="23"/>
      <c r="AS1837" s="23"/>
      <c r="AT1837" s="23"/>
      <c r="AU1837" s="23"/>
      <c r="AV1837" s="23"/>
    </row>
    <row r="1838">
      <c r="A1838" s="28" t="s">
        <v>5202</v>
      </c>
      <c r="B1838" s="28" t="s">
        <v>31</v>
      </c>
      <c r="C1838" s="23" t="str">
        <f t="shared" si="39"/>
        <v>Kesang Penjor</v>
      </c>
      <c r="D1838" s="28" t="s">
        <v>5736</v>
      </c>
      <c r="E1838" s="28" t="s">
        <v>5737</v>
      </c>
      <c r="F1838" s="23" t="str">
        <f t="array" ref="F1838">IFERROR(
    INDEX('Hub Interns 226'!A:A, MATCH(C1838, 'Hub Interns 226'!B:B, 0)),"")</f>
        <v/>
      </c>
      <c r="G1838" s="23">
        <f t="array" ref="G1838">IFERROR(
    INDEX('Hub Users 226'!A:A, MATCH(C1838, 'Hub Users 226'!B:B, 0)),"")</f>
        <v>1910</v>
      </c>
      <c r="H1838" s="28">
        <v>1790.0</v>
      </c>
      <c r="I1838" s="28"/>
      <c r="J1838" s="28"/>
      <c r="K1838" s="28"/>
      <c r="L1838" s="28" t="s">
        <v>5196</v>
      </c>
      <c r="M1838" s="56" t="s">
        <v>5739</v>
      </c>
      <c r="N1838" s="57">
        <v>45313.82847222222</v>
      </c>
      <c r="O1838" s="58">
        <v>39018.0</v>
      </c>
      <c r="P1838" s="28">
        <f t="shared" ref="P1838:P1856" si="50">DATEDIF(O1838, TODAY(), "Y")</f>
        <v>19</v>
      </c>
      <c r="Q1838" s="28" t="s">
        <v>240</v>
      </c>
      <c r="R1838" s="28" t="s">
        <v>15995</v>
      </c>
      <c r="S1838" s="28"/>
      <c r="T1838" s="28"/>
      <c r="U1838" s="28"/>
      <c r="V1838" s="28"/>
      <c r="W1838" s="28" t="s">
        <v>1173</v>
      </c>
      <c r="X1838" s="28" t="s">
        <v>272</v>
      </c>
      <c r="Y1838" s="28" t="s">
        <v>15996</v>
      </c>
      <c r="Z1838" s="23"/>
      <c r="AA1838" s="23"/>
      <c r="AB1838" s="23"/>
      <c r="AC1838" s="28" t="s">
        <v>8982</v>
      </c>
      <c r="AD1838" s="23"/>
      <c r="AE1838" s="23"/>
      <c r="AF1838" s="23"/>
      <c r="AG1838" s="23"/>
      <c r="AH1838" s="23" t="str">
        <f>IFERROR(__xludf.DUMMYFUNCTION("IF(
ISNUMBER(MATCH(
C1838,
IMPORTRANGE(""https://docs.google.com/spreadsheets/d/1yTh1ELC33JHYOeEdgIiEclxPRyh0zOKtlawDltfUay8"",""'Interns'!A:A""),
0
)),
""Outreach Conducted"",
"""")"),"")</f>
        <v/>
      </c>
      <c r="AI1838" s="23"/>
      <c r="AJ1838" s="23"/>
      <c r="AK1838" s="23" t="str">
        <f>IFERROR(__xludf.DUMMYFUNCTION("XLOOKUP(C1838, 
   IMPORTRANGE(""1RdEdgHYrZ33LJ7RUHj_h-qkAFL92bcVjtIdVa-UlsCw"", ""Interns!C:C""), 
   IMPORTRANGE(""1RdEdgHYrZ33LJ7RUHj_h-qkAFL92bcVjtIdVa-UlsCw"", ""Interns!N:N""), 
   ""Not Found"")"),"Not Found")</f>
        <v>Not Found</v>
      </c>
      <c r="AL1838" s="23" t="str">
        <f>IFERROR(__xludf.DUMMYFUNCTION("XLOOKUP(C1838, 
   IMPORTRANGE(""1RdEdgHYrZ33LJ7RUHj_h-qkAFL92bcVjtIdVa-UlsCw"", ""Interns!D:D""), 
   IMPORTRANGE(""1RdEdgHYrZ33LJ7RUHj_h-qkAFL92bcVjtIdVa-UlsCw"", ""Interns!N:N""), 
   ""Not Found"")"),"")</f>
        <v/>
      </c>
      <c r="AM1838" s="23" t="str">
        <f>IFERROR(__xludf.DUMMYFUNCTION("XLOOKUP(C1838, 
   IMPORTRANGE(""1RdEdgHYrZ33LJ7RUHj_h-qkAFL92bcVjtIdVa-UlsCw"", ""Interns!D:D""), 
   IMPORTRANGE(""1RdEdgHYrZ33LJ7RUHj_h-qkAFL92bcVjtIdVa-UlsCw"", ""Interns!O:O""), 
   ""Not Found"")"),"")</f>
        <v/>
      </c>
      <c r="AN1838" s="23"/>
      <c r="AO1838" s="23" t="s">
        <v>5743</v>
      </c>
      <c r="AP1838" s="28" t="s">
        <v>5182</v>
      </c>
      <c r="AQ1838" s="28" t="s">
        <v>5744</v>
      </c>
      <c r="AR1838" s="23" t="s">
        <v>15997</v>
      </c>
      <c r="AS1838" s="23"/>
      <c r="AT1838" s="23"/>
      <c r="AU1838" s="23"/>
      <c r="AV1838" s="23"/>
    </row>
    <row r="1839">
      <c r="A1839" s="28" t="s">
        <v>5202</v>
      </c>
      <c r="B1839" s="28" t="s">
        <v>31</v>
      </c>
      <c r="C1839" s="23" t="str">
        <f t="shared" si="39"/>
        <v>angel (Duplicate) Martinez</v>
      </c>
      <c r="D1839" s="28" t="s">
        <v>15998</v>
      </c>
      <c r="E1839" s="28" t="s">
        <v>2010</v>
      </c>
      <c r="F1839" s="23">
        <f t="array" ref="F1839">IFERROR(
    INDEX('Hub Interns 226'!A:A, MATCH(C1839, 'Hub Interns 226'!B:B, 0)),"")</f>
        <v>1754</v>
      </c>
      <c r="G1839" s="23">
        <f t="array" ref="G1839">IFERROR(
    INDEX('Hub Users 226'!A:A, MATCH(C1839, 'Hub Users 226'!B:B, 0)),"")</f>
        <v>2584</v>
      </c>
      <c r="H1839" s="28">
        <v>1748.0</v>
      </c>
      <c r="I1839" s="28"/>
      <c r="J1839" s="28"/>
      <c r="K1839" s="28"/>
      <c r="L1839" s="28" t="s">
        <v>5165</v>
      </c>
      <c r="M1839" s="56" t="s">
        <v>15999</v>
      </c>
      <c r="N1839" s="57">
        <v>45267.42986111111</v>
      </c>
      <c r="O1839" s="58">
        <v>40261.0</v>
      </c>
      <c r="P1839" s="28">
        <f t="shared" si="50"/>
        <v>16</v>
      </c>
      <c r="Q1839" s="28" t="s">
        <v>240</v>
      </c>
      <c r="R1839" s="28" t="s">
        <v>16000</v>
      </c>
      <c r="S1839" s="28"/>
      <c r="T1839" s="28"/>
      <c r="U1839" s="28"/>
      <c r="V1839" s="28"/>
      <c r="W1839" s="28" t="s">
        <v>1173</v>
      </c>
      <c r="X1839" s="28" t="s">
        <v>272</v>
      </c>
      <c r="Y1839" s="28" t="s">
        <v>5351</v>
      </c>
      <c r="Z1839" s="28" t="s">
        <v>5352</v>
      </c>
      <c r="AA1839" s="28" t="s">
        <v>5287</v>
      </c>
      <c r="AB1839" s="28">
        <v>26.0</v>
      </c>
      <c r="AC1839" s="28" t="s">
        <v>8982</v>
      </c>
      <c r="AD1839" s="23"/>
      <c r="AE1839" s="23"/>
      <c r="AF1839" s="23"/>
      <c r="AG1839" s="23"/>
      <c r="AH1839" s="23" t="str">
        <f>IFERROR(__xludf.DUMMYFUNCTION("IF(
ISNUMBER(MATCH(
C1839,
IMPORTRANGE(""https://docs.google.com/spreadsheets/d/1yTh1ELC33JHYOeEdgIiEclxPRyh0zOKtlawDltfUay8"",""'Interns'!A:A""),
0
)),
""Outreach Conducted"",
"""")"),"")</f>
        <v/>
      </c>
      <c r="AI1839" s="23"/>
      <c r="AJ1839" s="23"/>
      <c r="AK1839" s="23" t="str">
        <f>IFERROR(__xludf.DUMMYFUNCTION("XLOOKUP(C1839, 
   IMPORTRANGE(""1RdEdgHYrZ33LJ7RUHj_h-qkAFL92bcVjtIdVa-UlsCw"", ""Interns!C:C""), 
   IMPORTRANGE(""1RdEdgHYrZ33LJ7RUHj_h-qkAFL92bcVjtIdVa-UlsCw"", ""Interns!N:N""), 
   ""Not Found"")"),"Not Found")</f>
        <v>Not Found</v>
      </c>
      <c r="AL1839" s="23" t="str">
        <f>IFERROR(__xludf.DUMMYFUNCTION("XLOOKUP(C1839, 
   IMPORTRANGE(""1RdEdgHYrZ33LJ7RUHj_h-qkAFL92bcVjtIdVa-UlsCw"", ""Interns!D:D""), 
   IMPORTRANGE(""1RdEdgHYrZ33LJ7RUHj_h-qkAFL92bcVjtIdVa-UlsCw"", ""Interns!N:N""), 
   ""Not Found"")"),"")</f>
        <v/>
      </c>
      <c r="AM1839" s="23" t="str">
        <f>IFERROR(__xludf.DUMMYFUNCTION("XLOOKUP(C1839, 
   IMPORTRANGE(""1RdEdgHYrZ33LJ7RUHj_h-qkAFL92bcVjtIdVa-UlsCw"", ""Interns!D:D""), 
   IMPORTRANGE(""1RdEdgHYrZ33LJ7RUHj_h-qkAFL92bcVjtIdVa-UlsCw"", ""Interns!O:O""), 
   ""Not Found"")"),"")</f>
        <v/>
      </c>
      <c r="AN1839" s="23"/>
      <c r="AO1839" s="23" t="s">
        <v>16001</v>
      </c>
      <c r="AP1839" s="28" t="s">
        <v>5173</v>
      </c>
      <c r="AQ1839" s="28"/>
      <c r="AR1839" s="23"/>
      <c r="AS1839" s="23"/>
      <c r="AT1839" s="23"/>
      <c r="AU1839" s="23"/>
      <c r="AV1839" s="23"/>
    </row>
    <row r="1840">
      <c r="A1840" s="28" t="s">
        <v>5202</v>
      </c>
      <c r="B1840" s="28" t="s">
        <v>31</v>
      </c>
      <c r="C1840" s="23" t="str">
        <f t="shared" si="39"/>
        <v>Jeannot (Duplicate) Sébastien</v>
      </c>
      <c r="D1840" s="28" t="s">
        <v>16002</v>
      </c>
      <c r="E1840" s="28" t="s">
        <v>10762</v>
      </c>
      <c r="F1840" s="23" t="str">
        <f t="array" ref="F1840">IFERROR(
    INDEX('Hub Interns 226'!A:A, MATCH(C1840, 'Hub Interns 226'!B:B, 0)),"")</f>
        <v/>
      </c>
      <c r="G1840" s="23" t="str">
        <f t="array" ref="G1840">IFERROR(
    INDEX('Hub Users 226'!A:A, MATCH(C1840, 'Hub Users 226'!B:B, 0)),"")</f>
        <v/>
      </c>
      <c r="H1840" s="28">
        <v>1341.0</v>
      </c>
      <c r="I1840" s="28"/>
      <c r="J1840" s="28"/>
      <c r="K1840" s="28"/>
      <c r="L1840" s="28" t="s">
        <v>5165</v>
      </c>
      <c r="M1840" s="56" t="s">
        <v>10764</v>
      </c>
      <c r="N1840" s="59">
        <v>44858.58888888889</v>
      </c>
      <c r="O1840" s="58">
        <v>37935.0</v>
      </c>
      <c r="P1840" s="28">
        <f t="shared" si="50"/>
        <v>22</v>
      </c>
      <c r="Q1840" s="28" t="s">
        <v>240</v>
      </c>
      <c r="R1840" s="28" t="s">
        <v>16003</v>
      </c>
      <c r="S1840" s="28"/>
      <c r="T1840" s="28"/>
      <c r="U1840" s="28"/>
      <c r="V1840" s="28"/>
      <c r="W1840" s="28" t="s">
        <v>271</v>
      </c>
      <c r="X1840" s="28" t="s">
        <v>272</v>
      </c>
      <c r="Y1840" s="28" t="s">
        <v>10766</v>
      </c>
      <c r="Z1840" s="28" t="s">
        <v>5332</v>
      </c>
      <c r="AA1840" s="28" t="s">
        <v>421</v>
      </c>
      <c r="AB1840" s="28">
        <v>31.0</v>
      </c>
      <c r="AC1840" s="28" t="s">
        <v>8982</v>
      </c>
      <c r="AD1840" s="23"/>
      <c r="AE1840" s="23"/>
      <c r="AF1840" s="23"/>
      <c r="AG1840" s="23"/>
      <c r="AH1840" s="23" t="str">
        <f>IFERROR(__xludf.DUMMYFUNCTION("IF(
ISNUMBER(MATCH(
C1840,
IMPORTRANGE(""https://docs.google.com/spreadsheets/d/1yTh1ELC33JHYOeEdgIiEclxPRyh0zOKtlawDltfUay8"",""'Interns'!A:A""),
0
)),
""Outreach Conducted"",
"""")"),"")</f>
        <v/>
      </c>
      <c r="AI1840" s="23"/>
      <c r="AJ1840" s="23"/>
      <c r="AK1840" s="23" t="str">
        <f>IFERROR(__xludf.DUMMYFUNCTION("XLOOKUP(C1840, 
   IMPORTRANGE(""1RdEdgHYrZ33LJ7RUHj_h-qkAFL92bcVjtIdVa-UlsCw"", ""Interns!C:C""), 
   IMPORTRANGE(""1RdEdgHYrZ33LJ7RUHj_h-qkAFL92bcVjtIdVa-UlsCw"", ""Interns!N:N""), 
   ""Not Found"")"),"Not Found")</f>
        <v>Not Found</v>
      </c>
      <c r="AL1840" s="23" t="str">
        <f>IFERROR(__xludf.DUMMYFUNCTION("XLOOKUP(C1840, 
   IMPORTRANGE(""1RdEdgHYrZ33LJ7RUHj_h-qkAFL92bcVjtIdVa-UlsCw"", ""Interns!D:D""), 
   IMPORTRANGE(""1RdEdgHYrZ33LJ7RUHj_h-qkAFL92bcVjtIdVa-UlsCw"", ""Interns!N:N""), 
   ""Not Found"")"),"")</f>
        <v/>
      </c>
      <c r="AM1840" s="23" t="str">
        <f>IFERROR(__xludf.DUMMYFUNCTION("XLOOKUP(C1840, 
   IMPORTRANGE(""1RdEdgHYrZ33LJ7RUHj_h-qkAFL92bcVjtIdVa-UlsCw"", ""Interns!D:D""), 
   IMPORTRANGE(""1RdEdgHYrZ33LJ7RUHj_h-qkAFL92bcVjtIdVa-UlsCw"", ""Interns!O:O""), 
   ""Not Found"")"),"")</f>
        <v/>
      </c>
      <c r="AN1840" s="23"/>
      <c r="AO1840" s="23" t="s">
        <v>16004</v>
      </c>
      <c r="AP1840" s="28" t="s">
        <v>5182</v>
      </c>
      <c r="AQ1840" s="28"/>
      <c r="AR1840" s="23"/>
      <c r="AS1840" s="23"/>
      <c r="AT1840" s="23"/>
      <c r="AU1840" s="23"/>
      <c r="AV1840" s="23"/>
    </row>
    <row r="1841">
      <c r="A1841" s="28" t="s">
        <v>5202</v>
      </c>
      <c r="B1841" s="28" t="s">
        <v>31</v>
      </c>
      <c r="C1841" s="23" t="str">
        <f t="shared" si="39"/>
        <v>cristian (Duplicate) bravo</v>
      </c>
      <c r="D1841" s="28" t="s">
        <v>16005</v>
      </c>
      <c r="E1841" s="28" t="s">
        <v>16006</v>
      </c>
      <c r="F1841" s="23">
        <f t="array" ref="F1841">IFERROR(
    INDEX('Hub Interns 226'!A:A, MATCH("cristian bravo", 'Hub Interns 226'!B:B, 0)),"")</f>
        <v>391</v>
      </c>
      <c r="G1841" s="23">
        <f t="array" ref="G1841">IFERROR(
    INDEX('Hub Users 226'!A:A, MATCH("cristian bravo", 'Hub Users 226'!B:B, 0)),"")</f>
        <v>824</v>
      </c>
      <c r="H1841" s="28">
        <v>1747.0</v>
      </c>
      <c r="I1841" s="28" t="s">
        <v>239</v>
      </c>
      <c r="J1841" s="28"/>
      <c r="K1841" s="28"/>
      <c r="L1841" s="28" t="s">
        <v>5165</v>
      </c>
      <c r="M1841" s="56" t="s">
        <v>9435</v>
      </c>
      <c r="N1841" s="57">
        <v>45267.42569444444</v>
      </c>
      <c r="O1841" s="58">
        <v>44174.0</v>
      </c>
      <c r="P1841" s="28">
        <f t="shared" si="50"/>
        <v>5</v>
      </c>
      <c r="Q1841" s="28" t="s">
        <v>240</v>
      </c>
      <c r="R1841" s="28" t="s">
        <v>10268</v>
      </c>
      <c r="S1841" s="28"/>
      <c r="T1841" s="28"/>
      <c r="U1841" s="28"/>
      <c r="V1841" s="28"/>
      <c r="W1841" s="23"/>
      <c r="X1841" s="23"/>
      <c r="Y1841" s="28" t="s">
        <v>5351</v>
      </c>
      <c r="Z1841" s="28" t="s">
        <v>5352</v>
      </c>
      <c r="AA1841" s="28" t="s">
        <v>5287</v>
      </c>
      <c r="AB1841" s="28">
        <v>26.0</v>
      </c>
      <c r="AC1841" s="28" t="s">
        <v>8982</v>
      </c>
      <c r="AD1841" s="23"/>
      <c r="AE1841" s="23"/>
      <c r="AF1841" s="23"/>
      <c r="AG1841" s="23"/>
      <c r="AH1841" s="23" t="str">
        <f>IFERROR(__xludf.DUMMYFUNCTION("IF(
ISNUMBER(MATCH(
C1841,
IMPORTRANGE(""https://docs.google.com/spreadsheets/d/1yTh1ELC33JHYOeEdgIiEclxPRyh0zOKtlawDltfUay8"",""'Interns'!A:A""),
0
)),
""Outreach Conducted"",
"""")"),"")</f>
        <v/>
      </c>
      <c r="AI1841" s="23"/>
      <c r="AJ1841" s="23"/>
      <c r="AK1841" s="23" t="str">
        <f>IFERROR(__xludf.DUMMYFUNCTION("XLOOKUP(C1841, 
   IMPORTRANGE(""1RdEdgHYrZ33LJ7RUHj_h-qkAFL92bcVjtIdVa-UlsCw"", ""Interns!C:C""), 
   IMPORTRANGE(""1RdEdgHYrZ33LJ7RUHj_h-qkAFL92bcVjtIdVa-UlsCw"", ""Interns!N:N""), 
   ""Not Found"")"),"Not Found")</f>
        <v>Not Found</v>
      </c>
      <c r="AL1841" s="23" t="str">
        <f>IFERROR(__xludf.DUMMYFUNCTION("XLOOKUP(C1841, 
   IMPORTRANGE(""1RdEdgHYrZ33LJ7RUHj_h-qkAFL92bcVjtIdVa-UlsCw"", ""Interns!D:D""), 
   IMPORTRANGE(""1RdEdgHYrZ33LJ7RUHj_h-qkAFL92bcVjtIdVa-UlsCw"", ""Interns!N:N""), 
   ""Not Found"")"),"")</f>
        <v/>
      </c>
      <c r="AM1841" s="23" t="str">
        <f>IFERROR(__xludf.DUMMYFUNCTION("XLOOKUP(C1841, 
   IMPORTRANGE(""1RdEdgHYrZ33LJ7RUHj_h-qkAFL92bcVjtIdVa-UlsCw"", ""Interns!D:D""), 
   IMPORTRANGE(""1RdEdgHYrZ33LJ7RUHj_h-qkAFL92bcVjtIdVa-UlsCw"", ""Interns!O:O""), 
   ""Not Found"")"),"")</f>
        <v/>
      </c>
      <c r="AN1841" s="23"/>
      <c r="AO1841" s="23" t="s">
        <v>10270</v>
      </c>
      <c r="AP1841" s="28" t="s">
        <v>5191</v>
      </c>
      <c r="AQ1841" s="28"/>
      <c r="AR1841" s="23"/>
      <c r="AS1841" s="23"/>
      <c r="AT1841" s="23"/>
      <c r="AU1841" s="23"/>
      <c r="AV1841" s="23"/>
    </row>
    <row r="1842">
      <c r="A1842" s="28" t="s">
        <v>5202</v>
      </c>
      <c r="B1842" s="28" t="s">
        <v>31</v>
      </c>
      <c r="C1842" s="23" t="str">
        <f t="shared" si="39"/>
        <v>darwin (Duplicate) chimborazo</v>
      </c>
      <c r="D1842" s="28" t="s">
        <v>16007</v>
      </c>
      <c r="E1842" s="28" t="s">
        <v>16008</v>
      </c>
      <c r="F1842" s="23">
        <f t="array" ref="F1842">IFERROR(
    INDEX('Hub Interns 226'!A:A, MATCH("Darwin Chimborazo", 'Hub Interns 226'!B:B, 0)),"")</f>
        <v>414</v>
      </c>
      <c r="G1842" s="23">
        <f t="array" ref="G1842">IFERROR(
    INDEX('Hub Users 226'!A:A, MATCH("Darwin Chimborazo", 'Hub Users 226'!B:B, 0)),"")</f>
        <v>847</v>
      </c>
      <c r="H1842" s="28">
        <v>1743.0</v>
      </c>
      <c r="I1842" s="28"/>
      <c r="J1842" s="28"/>
      <c r="K1842" s="28"/>
      <c r="L1842" s="28" t="s">
        <v>5165</v>
      </c>
      <c r="M1842" s="56" t="s">
        <v>9416</v>
      </c>
      <c r="N1842" s="57">
        <v>45267.42013888889</v>
      </c>
      <c r="O1842" s="58">
        <v>40218.0</v>
      </c>
      <c r="P1842" s="28">
        <f t="shared" si="50"/>
        <v>16</v>
      </c>
      <c r="Q1842" s="28" t="s">
        <v>240</v>
      </c>
      <c r="R1842" s="28" t="s">
        <v>16009</v>
      </c>
      <c r="S1842" s="28"/>
      <c r="T1842" s="28"/>
      <c r="U1842" s="28"/>
      <c r="V1842" s="28"/>
      <c r="W1842" s="28" t="s">
        <v>1173</v>
      </c>
      <c r="X1842" s="28" t="s">
        <v>272</v>
      </c>
      <c r="Y1842" s="28" t="s">
        <v>5351</v>
      </c>
      <c r="Z1842" s="23"/>
      <c r="AA1842" s="23"/>
      <c r="AB1842" s="23"/>
      <c r="AC1842" s="28" t="s">
        <v>8982</v>
      </c>
      <c r="AD1842" s="23"/>
      <c r="AE1842" s="23"/>
      <c r="AF1842" s="23"/>
      <c r="AG1842" s="23"/>
      <c r="AH1842" s="23" t="str">
        <f>IFERROR(__xludf.DUMMYFUNCTION("IF(
ISNUMBER(MATCH(
C1842,
IMPORTRANGE(""https://docs.google.com/spreadsheets/d/1yTh1ELC33JHYOeEdgIiEclxPRyh0zOKtlawDltfUay8"",""'Interns'!A:A""),
0
)),
""Outreach Conducted"",
"""")"),"")</f>
        <v/>
      </c>
      <c r="AI1842" s="23"/>
      <c r="AJ1842" s="23"/>
      <c r="AK1842" s="23" t="str">
        <f>IFERROR(__xludf.DUMMYFUNCTION("XLOOKUP(C1842, 
   IMPORTRANGE(""1RdEdgHYrZ33LJ7RUHj_h-qkAFL92bcVjtIdVa-UlsCw"", ""Interns!C:C""), 
   IMPORTRANGE(""1RdEdgHYrZ33LJ7RUHj_h-qkAFL92bcVjtIdVa-UlsCw"", ""Interns!N:N""), 
   ""Not Found"")"),"Not Found")</f>
        <v>Not Found</v>
      </c>
      <c r="AL1842" s="23" t="str">
        <f>IFERROR(__xludf.DUMMYFUNCTION("XLOOKUP(C1842, 
   IMPORTRANGE(""1RdEdgHYrZ33LJ7RUHj_h-qkAFL92bcVjtIdVa-UlsCw"", ""Interns!D:D""), 
   IMPORTRANGE(""1RdEdgHYrZ33LJ7RUHj_h-qkAFL92bcVjtIdVa-UlsCw"", ""Interns!N:N""), 
   ""Not Found"")"),"")</f>
        <v/>
      </c>
      <c r="AM1842" s="23" t="str">
        <f>IFERROR(__xludf.DUMMYFUNCTION("XLOOKUP(C1842, 
   IMPORTRANGE(""1RdEdgHYrZ33LJ7RUHj_h-qkAFL92bcVjtIdVa-UlsCw"", ""Interns!D:D""), 
   IMPORTRANGE(""1RdEdgHYrZ33LJ7RUHj_h-qkAFL92bcVjtIdVa-UlsCw"", ""Interns!O:O""), 
   ""Not Found"")"),"")</f>
        <v/>
      </c>
      <c r="AN1842" s="23"/>
      <c r="AO1842" s="23" t="s">
        <v>16010</v>
      </c>
      <c r="AP1842" s="28" t="s">
        <v>5182</v>
      </c>
      <c r="AQ1842" s="28"/>
      <c r="AR1842" s="23"/>
      <c r="AS1842" s="23"/>
      <c r="AT1842" s="23"/>
      <c r="AU1842" s="23"/>
      <c r="AV1842" s="23"/>
    </row>
    <row r="1843">
      <c r="A1843" s="28" t="s">
        <v>5202</v>
      </c>
      <c r="B1843" s="28" t="s">
        <v>31</v>
      </c>
      <c r="C1843" s="23" t="str">
        <f t="shared" si="39"/>
        <v>Sample Intern 2</v>
      </c>
      <c r="D1843" s="28" t="s">
        <v>16011</v>
      </c>
      <c r="E1843" s="28" t="s">
        <v>16012</v>
      </c>
      <c r="F1843" s="23">
        <f t="array" ref="F1843">IFERROR(
    INDEX('Hub Interns 226'!A:A, MATCH(C1843, 'Hub Interns 226'!B:B, 0)),"")</f>
        <v>524</v>
      </c>
      <c r="G1843" s="23">
        <f t="array" ref="G1843">IFERROR(
    INDEX('Hub Users 226'!A:A, MATCH(C1843, 'Hub Users 226'!B:B, 0)),"")</f>
        <v>957</v>
      </c>
      <c r="H1843" s="28">
        <v>276.0</v>
      </c>
      <c r="I1843" s="28"/>
      <c r="J1843" s="28"/>
      <c r="K1843" s="28"/>
      <c r="L1843" s="28" t="s">
        <v>5196</v>
      </c>
      <c r="M1843" s="56" t="s">
        <v>16013</v>
      </c>
      <c r="N1843" s="57">
        <v>44211.48333333333</v>
      </c>
      <c r="O1843" s="58"/>
      <c r="P1843" s="28">
        <f t="shared" si="50"/>
        <v>126</v>
      </c>
      <c r="Q1843" s="28" t="s">
        <v>240</v>
      </c>
      <c r="R1843" s="23"/>
      <c r="S1843" s="28"/>
      <c r="T1843" s="28"/>
      <c r="U1843" s="28"/>
      <c r="V1843" s="28"/>
      <c r="W1843" s="23"/>
      <c r="X1843" s="23"/>
      <c r="Y1843" s="23"/>
      <c r="Z1843" s="23"/>
      <c r="AA1843" s="23"/>
      <c r="AB1843" s="23"/>
      <c r="AC1843" s="28" t="s">
        <v>8982</v>
      </c>
      <c r="AD1843" s="23"/>
      <c r="AE1843" s="23"/>
      <c r="AF1843" s="23"/>
      <c r="AG1843" s="23"/>
      <c r="AH1843" s="23" t="str">
        <f>IFERROR(__xludf.DUMMYFUNCTION("IF(
ISNUMBER(MATCH(
C1843,
IMPORTRANGE(""https://docs.google.com/spreadsheets/d/1yTh1ELC33JHYOeEdgIiEclxPRyh0zOKtlawDltfUay8"",""'Interns'!A:A""),
0
)),
""Outreach Conducted"",
"""")"),"")</f>
        <v/>
      </c>
      <c r="AI1843" s="23"/>
      <c r="AJ1843" s="23"/>
      <c r="AK1843" s="23" t="str">
        <f>IFERROR(__xludf.DUMMYFUNCTION("XLOOKUP(C1843, 
   IMPORTRANGE(""1RdEdgHYrZ33LJ7RUHj_h-qkAFL92bcVjtIdVa-UlsCw"", ""Interns!C:C""), 
   IMPORTRANGE(""1RdEdgHYrZ33LJ7RUHj_h-qkAFL92bcVjtIdVa-UlsCw"", ""Interns!N:N""), 
   ""Not Found"")"),"Not Found")</f>
        <v>Not Found</v>
      </c>
      <c r="AL1843" s="23" t="str">
        <f>IFERROR(__xludf.DUMMYFUNCTION("XLOOKUP(C1843, 
   IMPORTRANGE(""1RdEdgHYrZ33LJ7RUHj_h-qkAFL92bcVjtIdVa-UlsCw"", ""Interns!D:D""), 
   IMPORTRANGE(""1RdEdgHYrZ33LJ7RUHj_h-qkAFL92bcVjtIdVa-UlsCw"", ""Interns!N:N""), 
   ""Not Found"")"),"")</f>
        <v/>
      </c>
      <c r="AM1843" s="23" t="str">
        <f>IFERROR(__xludf.DUMMYFUNCTION("XLOOKUP(C1843, 
   IMPORTRANGE(""1RdEdgHYrZ33LJ7RUHj_h-qkAFL92bcVjtIdVa-UlsCw"", ""Interns!D:D""), 
   IMPORTRANGE(""1RdEdgHYrZ33LJ7RUHj_h-qkAFL92bcVjtIdVa-UlsCw"", ""Interns!O:O""), 
   ""Not Found"")"),"")</f>
        <v/>
      </c>
      <c r="AN1843" s="23"/>
      <c r="AO1843" s="23"/>
      <c r="AP1843" s="28"/>
      <c r="AQ1843" s="28"/>
      <c r="AR1843" s="23"/>
      <c r="AS1843" s="23"/>
      <c r="AT1843" s="23"/>
      <c r="AU1843" s="23"/>
      <c r="AV1843" s="23"/>
    </row>
    <row r="1844">
      <c r="A1844" s="28" t="s">
        <v>5202</v>
      </c>
      <c r="B1844" s="28" t="s">
        <v>31</v>
      </c>
      <c r="C1844" s="23" t="str">
        <f t="shared" si="39"/>
        <v>Sample Intern 3</v>
      </c>
      <c r="D1844" s="28" t="s">
        <v>16011</v>
      </c>
      <c r="E1844" s="28" t="s">
        <v>16014</v>
      </c>
      <c r="F1844" s="23" t="str">
        <f t="array" ref="F1844">IFERROR(
    INDEX('Hub Interns 226'!A:A, MATCH(C1844, 'Hub Interns 226'!B:B, 0)),"")</f>
        <v/>
      </c>
      <c r="G1844" s="23" t="str">
        <f t="array" ref="G1844">IFERROR(
    INDEX('Hub Users 226'!A:A, MATCH(C1844, 'Hub Users 226'!B:B, 0)),"")</f>
        <v/>
      </c>
      <c r="H1844" s="28">
        <v>827.0</v>
      </c>
      <c r="I1844" s="28"/>
      <c r="J1844" s="28"/>
      <c r="K1844" s="28"/>
      <c r="L1844" s="28" t="s">
        <v>5196</v>
      </c>
      <c r="M1844" s="56" t="s">
        <v>16013</v>
      </c>
      <c r="N1844" s="57">
        <v>44573.720138888886</v>
      </c>
      <c r="O1844" s="58"/>
      <c r="P1844" s="28">
        <f t="shared" si="50"/>
        <v>126</v>
      </c>
      <c r="Q1844" s="28" t="s">
        <v>240</v>
      </c>
      <c r="R1844" s="23"/>
      <c r="S1844" s="28"/>
      <c r="T1844" s="28"/>
      <c r="U1844" s="28"/>
      <c r="V1844" s="28"/>
      <c r="W1844" s="23"/>
      <c r="X1844" s="23"/>
      <c r="Y1844" s="23"/>
      <c r="Z1844" s="23"/>
      <c r="AA1844" s="23"/>
      <c r="AB1844" s="23"/>
      <c r="AC1844" s="28" t="s">
        <v>8982</v>
      </c>
      <c r="AD1844" s="23"/>
      <c r="AE1844" s="23"/>
      <c r="AF1844" s="23"/>
      <c r="AG1844" s="23"/>
      <c r="AH1844" s="23" t="str">
        <f>IFERROR(__xludf.DUMMYFUNCTION("IF(
ISNUMBER(MATCH(
C1844,
IMPORTRANGE(""https://docs.google.com/spreadsheets/d/1yTh1ELC33JHYOeEdgIiEclxPRyh0zOKtlawDltfUay8"",""'Interns'!A:A""),
0
)),
""Outreach Conducted"",
"""")"),"")</f>
        <v/>
      </c>
      <c r="AI1844" s="23"/>
      <c r="AJ1844" s="23"/>
      <c r="AK1844" s="23" t="str">
        <f>IFERROR(__xludf.DUMMYFUNCTION("XLOOKUP(C1844, 
   IMPORTRANGE(""1RdEdgHYrZ33LJ7RUHj_h-qkAFL92bcVjtIdVa-UlsCw"", ""Interns!C:C""), 
   IMPORTRANGE(""1RdEdgHYrZ33LJ7RUHj_h-qkAFL92bcVjtIdVa-UlsCw"", ""Interns!N:N""), 
   ""Not Found"")"),"Not Found")</f>
        <v>Not Found</v>
      </c>
      <c r="AL1844" s="23" t="str">
        <f>IFERROR(__xludf.DUMMYFUNCTION("XLOOKUP(C1844, 
   IMPORTRANGE(""1RdEdgHYrZ33LJ7RUHj_h-qkAFL92bcVjtIdVa-UlsCw"", ""Interns!D:D""), 
   IMPORTRANGE(""1RdEdgHYrZ33LJ7RUHj_h-qkAFL92bcVjtIdVa-UlsCw"", ""Interns!N:N""), 
   ""Not Found"")"),"")</f>
        <v/>
      </c>
      <c r="AM1844" s="23" t="str">
        <f>IFERROR(__xludf.DUMMYFUNCTION("XLOOKUP(C1844, 
   IMPORTRANGE(""1RdEdgHYrZ33LJ7RUHj_h-qkAFL92bcVjtIdVa-UlsCw"", ""Interns!D:D""), 
   IMPORTRANGE(""1RdEdgHYrZ33LJ7RUHj_h-qkAFL92bcVjtIdVa-UlsCw"", ""Interns!O:O""), 
   ""Not Found"")"),"")</f>
        <v/>
      </c>
      <c r="AN1844" s="23"/>
      <c r="AO1844" s="23"/>
      <c r="AP1844" s="28"/>
      <c r="AQ1844" s="28"/>
      <c r="AR1844" s="23"/>
      <c r="AS1844" s="23"/>
      <c r="AT1844" s="23"/>
      <c r="AU1844" s="23"/>
      <c r="AV1844" s="23"/>
    </row>
    <row r="1845">
      <c r="A1845" s="28" t="s">
        <v>5202</v>
      </c>
      <c r="B1845" s="28" t="s">
        <v>31</v>
      </c>
      <c r="C1845" s="23" t="str">
        <f t="shared" si="39"/>
        <v>richard (Duplicate) ladino</v>
      </c>
      <c r="D1845" s="28" t="s">
        <v>16015</v>
      </c>
      <c r="E1845" s="28" t="s">
        <v>16016</v>
      </c>
      <c r="F1845" s="23">
        <f t="array" ref="F1845">IFERROR(
    INDEX('Hub Interns 226'!A:A, MATCH(C1845, 'Hub Interns 226'!B:B, 0)),"")</f>
        <v>578</v>
      </c>
      <c r="G1845" s="23">
        <f t="array" ref="G1845">IFERROR(
    INDEX('Hub Users 226'!A:A, MATCH(C1845, 'Hub Users 226'!B:B, 0)),"")</f>
        <v>1011</v>
      </c>
      <c r="H1845" s="28">
        <v>1576.0</v>
      </c>
      <c r="I1845" s="28"/>
      <c r="J1845" s="28"/>
      <c r="K1845" s="28"/>
      <c r="L1845" s="28" t="s">
        <v>8087</v>
      </c>
      <c r="M1845" s="56" t="s">
        <v>16017</v>
      </c>
      <c r="N1845" s="57">
        <v>45016.36388888889</v>
      </c>
      <c r="O1845" s="58">
        <v>40291.0</v>
      </c>
      <c r="P1845" s="28">
        <f t="shared" si="50"/>
        <v>16</v>
      </c>
      <c r="Q1845" s="28" t="s">
        <v>240</v>
      </c>
      <c r="R1845" s="28" t="s">
        <v>16018</v>
      </c>
      <c r="S1845" s="28"/>
      <c r="T1845" s="28"/>
      <c r="U1845" s="28"/>
      <c r="V1845" s="28"/>
      <c r="W1845" s="23"/>
      <c r="X1845" s="23"/>
      <c r="Y1845" s="28" t="s">
        <v>5169</v>
      </c>
      <c r="Z1845" s="23"/>
      <c r="AA1845" s="23"/>
      <c r="AB1845" s="23"/>
      <c r="AC1845" s="28" t="s">
        <v>8982</v>
      </c>
      <c r="AD1845" s="23"/>
      <c r="AE1845" s="23"/>
      <c r="AF1845" s="23"/>
      <c r="AG1845" s="23"/>
      <c r="AH1845" s="23" t="str">
        <f>IFERROR(__xludf.DUMMYFUNCTION("IF(
ISNUMBER(MATCH(
C1845,
IMPORTRANGE(""https://docs.google.com/spreadsheets/d/1yTh1ELC33JHYOeEdgIiEclxPRyh0zOKtlawDltfUay8"",""'Interns'!A:A""),
0
)),
""Outreach Conducted"",
"""")"),"")</f>
        <v/>
      </c>
      <c r="AI1845" s="23"/>
      <c r="AJ1845" s="23"/>
      <c r="AK1845" s="23" t="str">
        <f>IFERROR(__xludf.DUMMYFUNCTION("XLOOKUP(C1845, 
   IMPORTRANGE(""1RdEdgHYrZ33LJ7RUHj_h-qkAFL92bcVjtIdVa-UlsCw"", ""Interns!C:C""), 
   IMPORTRANGE(""1RdEdgHYrZ33LJ7RUHj_h-qkAFL92bcVjtIdVa-UlsCw"", ""Interns!N:N""), 
   ""Not Found"")"),"Not Found")</f>
        <v>Not Found</v>
      </c>
      <c r="AL1845" s="23" t="str">
        <f>IFERROR(__xludf.DUMMYFUNCTION("XLOOKUP(C1845, 
   IMPORTRANGE(""1RdEdgHYrZ33LJ7RUHj_h-qkAFL92bcVjtIdVa-UlsCw"", ""Interns!D:D""), 
   IMPORTRANGE(""1RdEdgHYrZ33LJ7RUHj_h-qkAFL92bcVjtIdVa-UlsCw"", ""Interns!N:N""), 
   ""Not Found"")"),"")</f>
        <v/>
      </c>
      <c r="AM1845" s="23" t="str">
        <f>IFERROR(__xludf.DUMMYFUNCTION("XLOOKUP(C1845, 
   IMPORTRANGE(""1RdEdgHYrZ33LJ7RUHj_h-qkAFL92bcVjtIdVa-UlsCw"", ""Interns!D:D""), 
   IMPORTRANGE(""1RdEdgHYrZ33LJ7RUHj_h-qkAFL92bcVjtIdVa-UlsCw"", ""Interns!O:O""), 
   ""Not Found"")"),"")</f>
        <v/>
      </c>
      <c r="AN1845" s="23"/>
      <c r="AO1845" s="23" t="s">
        <v>16019</v>
      </c>
      <c r="AP1845" s="28" t="s">
        <v>5173</v>
      </c>
      <c r="AQ1845" s="28"/>
      <c r="AR1845" s="23"/>
      <c r="AS1845" s="23"/>
      <c r="AT1845" s="23"/>
      <c r="AU1845" s="23"/>
      <c r="AV1845" s="23"/>
    </row>
    <row r="1846">
      <c r="A1846" s="28" t="s">
        <v>5202</v>
      </c>
      <c r="B1846" s="28" t="s">
        <v>31</v>
      </c>
      <c r="C1846" s="23" t="str">
        <f t="shared" si="39"/>
        <v>Hetal Green</v>
      </c>
      <c r="D1846" s="28" t="s">
        <v>16020</v>
      </c>
      <c r="E1846" s="28" t="s">
        <v>15202</v>
      </c>
      <c r="F1846" s="23">
        <f t="array" ref="F1846">IFERROR(
    INDEX('Hub Interns 226'!A:A, MATCH(C1846, 'Hub Interns 226'!B:B, 0)),"")</f>
        <v>623</v>
      </c>
      <c r="G1846" s="23">
        <f t="array" ref="G1846">IFERROR(
    INDEX('Hub Users 226'!A:A, MATCH(C1846, 'Hub Users 226'!B:B, 0)),"")</f>
        <v>1056</v>
      </c>
      <c r="H1846" s="28">
        <v>297.0</v>
      </c>
      <c r="I1846" s="28"/>
      <c r="J1846" s="28"/>
      <c r="K1846" s="28"/>
      <c r="L1846" s="28" t="s">
        <v>5196</v>
      </c>
      <c r="M1846" s="56" t="s">
        <v>16021</v>
      </c>
      <c r="N1846" s="57">
        <v>44230.73125</v>
      </c>
      <c r="O1846" s="58">
        <v>30564.0</v>
      </c>
      <c r="P1846" s="28">
        <f t="shared" si="50"/>
        <v>42</v>
      </c>
      <c r="Q1846" s="28" t="s">
        <v>240</v>
      </c>
      <c r="R1846" s="28" t="s">
        <v>454</v>
      </c>
      <c r="S1846" s="28"/>
      <c r="T1846" s="28"/>
      <c r="U1846" s="28"/>
      <c r="V1846" s="28"/>
      <c r="W1846" s="28" t="s">
        <v>271</v>
      </c>
      <c r="X1846" s="28" t="s">
        <v>272</v>
      </c>
      <c r="Y1846" s="28" t="s">
        <v>16022</v>
      </c>
      <c r="Z1846" s="23"/>
      <c r="AA1846" s="23"/>
      <c r="AB1846" s="23"/>
      <c r="AC1846" s="28" t="s">
        <v>8982</v>
      </c>
      <c r="AD1846" s="23"/>
      <c r="AE1846" s="23"/>
      <c r="AF1846" s="23"/>
      <c r="AG1846" s="23"/>
      <c r="AH1846" s="23" t="str">
        <f>IFERROR(__xludf.DUMMYFUNCTION("IF(
ISNUMBER(MATCH(
C1846,
IMPORTRANGE(""https://docs.google.com/spreadsheets/d/1yTh1ELC33JHYOeEdgIiEclxPRyh0zOKtlawDltfUay8"",""'Interns'!A:A""),
0
)),
""Outreach Conducted"",
"""")"),"")</f>
        <v/>
      </c>
      <c r="AI1846" s="23"/>
      <c r="AJ1846" s="23"/>
      <c r="AK1846" s="23" t="str">
        <f>IFERROR(__xludf.DUMMYFUNCTION("XLOOKUP(C1846, 
   IMPORTRANGE(""1RdEdgHYrZ33LJ7RUHj_h-qkAFL92bcVjtIdVa-UlsCw"", ""Interns!C:C""), 
   IMPORTRANGE(""1RdEdgHYrZ33LJ7RUHj_h-qkAFL92bcVjtIdVa-UlsCw"", ""Interns!N:N""), 
   ""Not Found"")"),"Not Found")</f>
        <v>Not Found</v>
      </c>
      <c r="AL1846" s="23" t="str">
        <f>IFERROR(__xludf.DUMMYFUNCTION("XLOOKUP(C1846, 
   IMPORTRANGE(""1RdEdgHYrZ33LJ7RUHj_h-qkAFL92bcVjtIdVa-UlsCw"", ""Interns!D:D""), 
   IMPORTRANGE(""1RdEdgHYrZ33LJ7RUHj_h-qkAFL92bcVjtIdVa-UlsCw"", ""Interns!N:N""), 
   ""Not Found"")"),"")</f>
        <v/>
      </c>
      <c r="AM1846" s="23" t="str">
        <f>IFERROR(__xludf.DUMMYFUNCTION("XLOOKUP(C1846, 
   IMPORTRANGE(""1RdEdgHYrZ33LJ7RUHj_h-qkAFL92bcVjtIdVa-UlsCw"", ""Interns!D:D""), 
   IMPORTRANGE(""1RdEdgHYrZ33LJ7RUHj_h-qkAFL92bcVjtIdVa-UlsCw"", ""Interns!O:O""), 
   ""Not Found"")"),"")</f>
        <v/>
      </c>
      <c r="AN1846" s="23"/>
      <c r="AO1846" s="23" t="s">
        <v>16023</v>
      </c>
      <c r="AP1846" s="28" t="s">
        <v>5191</v>
      </c>
      <c r="AQ1846" s="28"/>
      <c r="AR1846" s="23"/>
      <c r="AS1846" s="23"/>
      <c r="AT1846" s="23"/>
      <c r="AU1846" s="23"/>
      <c r="AV1846" s="23"/>
    </row>
    <row r="1847">
      <c r="A1847" s="28" t="s">
        <v>5202</v>
      </c>
      <c r="B1847" s="28" t="s">
        <v>31</v>
      </c>
      <c r="C1847" s="23" t="str">
        <f t="shared" si="39"/>
        <v>jheymi (Duplicate) ortiz</v>
      </c>
      <c r="D1847" s="28" t="s">
        <v>16024</v>
      </c>
      <c r="E1847" s="28" t="s">
        <v>16025</v>
      </c>
      <c r="F1847" s="23">
        <f t="array" ref="F1847">IFERROR(
    INDEX('Hub Interns 226'!A:A, MATCH(C1847, 'Hub Interns 226'!B:B, 0)),"")</f>
        <v>1751</v>
      </c>
      <c r="G1847" s="23">
        <f t="array" ref="G1847">IFERROR(
    INDEX('Hub Users 226'!A:A, MATCH(C1847, 'Hub Users 226'!B:B, 0)),"")</f>
        <v>2581</v>
      </c>
      <c r="H1847" s="28">
        <v>1754.0</v>
      </c>
      <c r="I1847" s="28" t="s">
        <v>260</v>
      </c>
      <c r="J1847" s="28"/>
      <c r="K1847" s="28"/>
      <c r="L1847" s="28" t="s">
        <v>5196</v>
      </c>
      <c r="M1847" s="56" t="s">
        <v>9856</v>
      </c>
      <c r="N1847" s="59">
        <v>45273.575694444444</v>
      </c>
      <c r="O1847" s="58">
        <v>40283.0</v>
      </c>
      <c r="P1847" s="28">
        <f t="shared" si="50"/>
        <v>16</v>
      </c>
      <c r="Q1847" s="28" t="s">
        <v>240</v>
      </c>
      <c r="R1847" s="28" t="s">
        <v>16026</v>
      </c>
      <c r="S1847" s="28"/>
      <c r="T1847" s="28"/>
      <c r="U1847" s="28"/>
      <c r="V1847" s="28"/>
      <c r="W1847" s="23"/>
      <c r="X1847" s="23"/>
      <c r="Y1847" s="28" t="s">
        <v>16027</v>
      </c>
      <c r="Z1847" s="23"/>
      <c r="AA1847" s="23"/>
      <c r="AB1847" s="23"/>
      <c r="AC1847" s="28" t="s">
        <v>8982</v>
      </c>
      <c r="AD1847" s="23"/>
      <c r="AE1847" s="23"/>
      <c r="AF1847" s="23"/>
      <c r="AG1847" s="23"/>
      <c r="AH1847" s="23" t="str">
        <f>IFERROR(__xludf.DUMMYFUNCTION("IF(
ISNUMBER(MATCH(
C1847,
IMPORTRANGE(""https://docs.google.com/spreadsheets/d/1yTh1ELC33JHYOeEdgIiEclxPRyh0zOKtlawDltfUay8"",""'Interns'!A:A""),
0
)),
""Outreach Conducted"",
"""")"),"")</f>
        <v/>
      </c>
      <c r="AI1847" s="23"/>
      <c r="AJ1847" s="23"/>
      <c r="AK1847" s="23" t="str">
        <f>IFERROR(__xludf.DUMMYFUNCTION("XLOOKUP(C1847, 
   IMPORTRANGE(""1RdEdgHYrZ33LJ7RUHj_h-qkAFL92bcVjtIdVa-UlsCw"", ""Interns!C:C""), 
   IMPORTRANGE(""1RdEdgHYrZ33LJ7RUHj_h-qkAFL92bcVjtIdVa-UlsCw"", ""Interns!N:N""), 
   ""Not Found"")"),"Not Found")</f>
        <v>Not Found</v>
      </c>
      <c r="AL1847" s="23" t="str">
        <f>IFERROR(__xludf.DUMMYFUNCTION("XLOOKUP(C1847, 
   IMPORTRANGE(""1RdEdgHYrZ33LJ7RUHj_h-qkAFL92bcVjtIdVa-UlsCw"", ""Interns!D:D""), 
   IMPORTRANGE(""1RdEdgHYrZ33LJ7RUHj_h-qkAFL92bcVjtIdVa-UlsCw"", ""Interns!N:N""), 
   ""Not Found"")"),"")</f>
        <v/>
      </c>
      <c r="AM1847" s="23" t="str">
        <f>IFERROR(__xludf.DUMMYFUNCTION("XLOOKUP(C1847, 
   IMPORTRANGE(""1RdEdgHYrZ33LJ7RUHj_h-qkAFL92bcVjtIdVa-UlsCw"", ""Interns!D:D""), 
   IMPORTRANGE(""1RdEdgHYrZ33LJ7RUHj_h-qkAFL92bcVjtIdVa-UlsCw"", ""Interns!O:O""), 
   ""Not Found"")"),"")</f>
        <v/>
      </c>
      <c r="AN1847" s="23"/>
      <c r="AO1847" s="23" t="s">
        <v>9858</v>
      </c>
      <c r="AP1847" s="28" t="s">
        <v>5191</v>
      </c>
      <c r="AQ1847" s="28"/>
      <c r="AR1847" s="23"/>
      <c r="AS1847" s="23"/>
      <c r="AT1847" s="23"/>
      <c r="AU1847" s="23"/>
      <c r="AV1847" s="23"/>
    </row>
    <row r="1848">
      <c r="A1848" s="28" t="s">
        <v>5202</v>
      </c>
      <c r="B1848" s="28" t="s">
        <v>31</v>
      </c>
      <c r="C1848" s="23" t="str">
        <f t="shared" si="39"/>
        <v>Pranit Kumbhar</v>
      </c>
      <c r="D1848" s="28" t="s">
        <v>16028</v>
      </c>
      <c r="E1848" s="28" t="s">
        <v>16029</v>
      </c>
      <c r="F1848" s="23" t="str">
        <f t="array" ref="F1848">IFERROR(
    INDEX('Hub Interns 226'!A:A, MATCH(C1848, 'Hub Interns 226'!B:B, 0)),"")</f>
        <v/>
      </c>
      <c r="G1848" s="23">
        <f t="array" ref="G1848">IFERROR(
    INDEX('Hub Users 226'!A:A, MATCH(C1848, 'Hub Users 226'!B:B, 0)),"")</f>
        <v>1727</v>
      </c>
      <c r="H1848" s="28">
        <v>1683.0</v>
      </c>
      <c r="I1848" s="28"/>
      <c r="J1848" s="28"/>
      <c r="K1848" s="28"/>
      <c r="L1848" s="28" t="s">
        <v>5165</v>
      </c>
      <c r="M1848" s="56" t="s">
        <v>16030</v>
      </c>
      <c r="N1848" s="59">
        <v>45245.63055555556</v>
      </c>
      <c r="O1848" s="58">
        <v>35431.0</v>
      </c>
      <c r="P1848" s="28">
        <f t="shared" si="50"/>
        <v>29</v>
      </c>
      <c r="Q1848" s="28" t="s">
        <v>240</v>
      </c>
      <c r="R1848" s="28">
        <v>1.0</v>
      </c>
      <c r="S1848" s="28"/>
      <c r="T1848" s="28"/>
      <c r="U1848" s="28"/>
      <c r="V1848" s="28"/>
      <c r="W1848" s="23"/>
      <c r="X1848" s="23"/>
      <c r="Y1848" s="28" t="s">
        <v>16031</v>
      </c>
      <c r="Z1848" s="23"/>
      <c r="AA1848" s="23"/>
      <c r="AB1848" s="23"/>
      <c r="AC1848" s="28" t="s">
        <v>8982</v>
      </c>
      <c r="AD1848" s="23"/>
      <c r="AE1848" s="23"/>
      <c r="AF1848" s="23"/>
      <c r="AG1848" s="23"/>
      <c r="AH1848" s="23" t="str">
        <f>IFERROR(__xludf.DUMMYFUNCTION("IF(
ISNUMBER(MATCH(
C1848,
IMPORTRANGE(""https://docs.google.com/spreadsheets/d/1yTh1ELC33JHYOeEdgIiEclxPRyh0zOKtlawDltfUay8"",""'Interns'!A:A""),
0
)),
""Outreach Conducted"",
"""")"),"")</f>
        <v/>
      </c>
      <c r="AI1848" s="23"/>
      <c r="AJ1848" s="23"/>
      <c r="AK1848" s="23" t="str">
        <f>IFERROR(__xludf.DUMMYFUNCTION("XLOOKUP(C1848, 
   IMPORTRANGE(""1RdEdgHYrZ33LJ7RUHj_h-qkAFL92bcVjtIdVa-UlsCw"", ""Interns!C:C""), 
   IMPORTRANGE(""1RdEdgHYrZ33LJ7RUHj_h-qkAFL92bcVjtIdVa-UlsCw"", ""Interns!N:N""), 
   ""Not Found"")"),"Not Found")</f>
        <v>Not Found</v>
      </c>
      <c r="AL1848" s="23" t="str">
        <f>IFERROR(__xludf.DUMMYFUNCTION("XLOOKUP(C1848, 
   IMPORTRANGE(""1RdEdgHYrZ33LJ7RUHj_h-qkAFL92bcVjtIdVa-UlsCw"", ""Interns!D:D""), 
   IMPORTRANGE(""1RdEdgHYrZ33LJ7RUHj_h-qkAFL92bcVjtIdVa-UlsCw"", ""Interns!N:N""), 
   ""Not Found"")"),"")</f>
        <v/>
      </c>
      <c r="AM1848" s="23" t="str">
        <f>IFERROR(__xludf.DUMMYFUNCTION("XLOOKUP(C1848, 
   IMPORTRANGE(""1RdEdgHYrZ33LJ7RUHj_h-qkAFL92bcVjtIdVa-UlsCw"", ""Interns!D:D""), 
   IMPORTRANGE(""1RdEdgHYrZ33LJ7RUHj_h-qkAFL92bcVjtIdVa-UlsCw"", ""Interns!O:O""), 
   ""Not Found"")"),"")</f>
        <v/>
      </c>
      <c r="AN1848" s="23"/>
      <c r="AO1848" s="23" t="s">
        <v>16032</v>
      </c>
      <c r="AP1848" s="28" t="s">
        <v>5182</v>
      </c>
      <c r="AQ1848" s="28"/>
      <c r="AR1848" s="23"/>
      <c r="AS1848" s="23"/>
      <c r="AT1848" s="23"/>
      <c r="AU1848" s="23"/>
      <c r="AV1848" s="23"/>
    </row>
    <row r="1849">
      <c r="A1849" s="28" t="s">
        <v>5202</v>
      </c>
      <c r="B1849" s="28" t="s">
        <v>31</v>
      </c>
      <c r="C1849" s="23" t="str">
        <f t="shared" si="39"/>
        <v>kunga (Duplicate) Oeden</v>
      </c>
      <c r="D1849" s="28" t="s">
        <v>16033</v>
      </c>
      <c r="E1849" s="28" t="s">
        <v>11174</v>
      </c>
      <c r="F1849" s="23">
        <f t="array" ref="F1849">IFERROR(
    INDEX('Hub Interns 226'!A:A, MATCH("kunga Oeden", 'Hub Interns 226'!B:B, 0)),"")</f>
        <v>1750</v>
      </c>
      <c r="G1849" s="23">
        <f t="array" ref="G1849">IFERROR(
    INDEX('Hub Users 226'!A:A, MATCH("kunga Oeden", 'Hub Users 226'!B:B, 0)),"")</f>
        <v>2580</v>
      </c>
      <c r="H1849" s="28">
        <v>1749.0</v>
      </c>
      <c r="I1849" s="28" t="s">
        <v>1963</v>
      </c>
      <c r="J1849" s="28"/>
      <c r="K1849" s="28"/>
      <c r="L1849" s="28" t="s">
        <v>7001</v>
      </c>
      <c r="M1849" s="56" t="s">
        <v>11175</v>
      </c>
      <c r="N1849" s="57">
        <v>45267.430555555555</v>
      </c>
      <c r="O1849" s="58">
        <v>40179.0</v>
      </c>
      <c r="P1849" s="28">
        <f t="shared" si="50"/>
        <v>16</v>
      </c>
      <c r="Q1849" s="28" t="s">
        <v>240</v>
      </c>
      <c r="R1849" s="28" t="s">
        <v>16034</v>
      </c>
      <c r="S1849" s="28"/>
      <c r="T1849" s="28"/>
      <c r="U1849" s="28"/>
      <c r="V1849" s="28"/>
      <c r="W1849" s="23"/>
      <c r="X1849" s="23"/>
      <c r="Y1849" s="28" t="s">
        <v>5351</v>
      </c>
      <c r="Z1849" s="28" t="s">
        <v>5352</v>
      </c>
      <c r="AA1849" s="28" t="s">
        <v>5287</v>
      </c>
      <c r="AB1849" s="28">
        <v>26.0</v>
      </c>
      <c r="AC1849" s="28" t="s">
        <v>8982</v>
      </c>
      <c r="AD1849" s="23"/>
      <c r="AE1849" s="23"/>
      <c r="AF1849" s="23"/>
      <c r="AG1849" s="23"/>
      <c r="AH1849" s="23" t="str">
        <f>IFERROR(__xludf.DUMMYFUNCTION("IF(
ISNUMBER(MATCH(
C1849,
IMPORTRANGE(""https://docs.google.com/spreadsheets/d/1yTh1ELC33JHYOeEdgIiEclxPRyh0zOKtlawDltfUay8"",""'Interns'!A:A""),
0
)),
""Outreach Conducted"",
"""")"),"")</f>
        <v/>
      </c>
      <c r="AI1849" s="23"/>
      <c r="AJ1849" s="23"/>
      <c r="AK1849" s="23" t="str">
        <f>IFERROR(__xludf.DUMMYFUNCTION("XLOOKUP(C1849, 
   IMPORTRANGE(""1RdEdgHYrZ33LJ7RUHj_h-qkAFL92bcVjtIdVa-UlsCw"", ""Interns!C:C""), 
   IMPORTRANGE(""1RdEdgHYrZ33LJ7RUHj_h-qkAFL92bcVjtIdVa-UlsCw"", ""Interns!N:N""), 
   ""Not Found"")"),"Not Found")</f>
        <v>Not Found</v>
      </c>
      <c r="AL1849" s="23" t="str">
        <f>IFERROR(__xludf.DUMMYFUNCTION("XLOOKUP(C1849, 
   IMPORTRANGE(""1RdEdgHYrZ33LJ7RUHj_h-qkAFL92bcVjtIdVa-UlsCw"", ""Interns!D:D""), 
   IMPORTRANGE(""1RdEdgHYrZ33LJ7RUHj_h-qkAFL92bcVjtIdVa-UlsCw"", ""Interns!N:N""), 
   ""Not Found"")"),"")</f>
        <v/>
      </c>
      <c r="AM1849" s="23" t="str">
        <f>IFERROR(__xludf.DUMMYFUNCTION("XLOOKUP(C1849, 
   IMPORTRANGE(""1RdEdgHYrZ33LJ7RUHj_h-qkAFL92bcVjtIdVa-UlsCw"", ""Interns!D:D""), 
   IMPORTRANGE(""1RdEdgHYrZ33LJ7RUHj_h-qkAFL92bcVjtIdVa-UlsCw"", ""Interns!O:O""), 
   ""Not Found"")"),"")</f>
        <v/>
      </c>
      <c r="AN1849" s="23"/>
      <c r="AO1849" s="23" t="s">
        <v>11177</v>
      </c>
      <c r="AP1849" s="28" t="s">
        <v>5240</v>
      </c>
      <c r="AQ1849" s="28"/>
      <c r="AR1849" s="23"/>
      <c r="AS1849" s="23"/>
      <c r="AT1849" s="23"/>
      <c r="AU1849" s="23"/>
      <c r="AV1849" s="23"/>
    </row>
    <row r="1850">
      <c r="A1850" s="28" t="s">
        <v>5202</v>
      </c>
      <c r="B1850" s="28" t="s">
        <v>31</v>
      </c>
      <c r="C1850" s="23" t="str">
        <f t="shared" si="39"/>
        <v>Leanna (Duplicate) Lin</v>
      </c>
      <c r="D1850" s="28" t="s">
        <v>16035</v>
      </c>
      <c r="E1850" s="28" t="s">
        <v>5976</v>
      </c>
      <c r="F1850" s="23" t="str">
        <f t="array" ref="F1850">IFERROR(
    INDEX('Hub Interns 226'!A:A, MATCH(C1850, 'Hub Interns 226'!B:B, 0)),"")</f>
        <v/>
      </c>
      <c r="G1850" s="23" t="str">
        <f t="array" ref="G1850">IFERROR(
    INDEX('Hub Users 226'!A:A, MATCH(C1850, 'Hub Users 226'!B:B, 0)),"")</f>
        <v/>
      </c>
      <c r="H1850" s="28">
        <v>1572.0</v>
      </c>
      <c r="I1850" s="28"/>
      <c r="J1850" s="28"/>
      <c r="K1850" s="28"/>
      <c r="L1850" s="28" t="s">
        <v>5196</v>
      </c>
      <c r="M1850" s="56" t="s">
        <v>15634</v>
      </c>
      <c r="N1850" s="57">
        <v>45016.35625</v>
      </c>
      <c r="O1850" s="58">
        <v>40407.0</v>
      </c>
      <c r="P1850" s="28">
        <f t="shared" si="50"/>
        <v>15</v>
      </c>
      <c r="Q1850" s="28" t="s">
        <v>240</v>
      </c>
      <c r="R1850" s="28" t="s">
        <v>16036</v>
      </c>
      <c r="S1850" s="28"/>
      <c r="T1850" s="28"/>
      <c r="U1850" s="28"/>
      <c r="V1850" s="28"/>
      <c r="W1850" s="28" t="s">
        <v>1173</v>
      </c>
      <c r="X1850" s="28" t="s">
        <v>272</v>
      </c>
      <c r="Y1850" s="28" t="s">
        <v>15636</v>
      </c>
      <c r="Z1850" s="23"/>
      <c r="AA1850" s="23"/>
      <c r="AB1850" s="23"/>
      <c r="AC1850" s="28" t="s">
        <v>8982</v>
      </c>
      <c r="AD1850" s="23"/>
      <c r="AE1850" s="23"/>
      <c r="AF1850" s="23"/>
      <c r="AG1850" s="23"/>
      <c r="AH1850" s="23" t="str">
        <f>IFERROR(__xludf.DUMMYFUNCTION("IF(
ISNUMBER(MATCH(
C1850,
IMPORTRANGE(""https://docs.google.com/spreadsheets/d/1yTh1ELC33JHYOeEdgIiEclxPRyh0zOKtlawDltfUay8"",""'Interns'!A:A""),
0
)),
""Outreach Conducted"",
"""")"),"")</f>
        <v/>
      </c>
      <c r="AI1850" s="23"/>
      <c r="AJ1850" s="23"/>
      <c r="AK1850" s="23" t="str">
        <f>IFERROR(__xludf.DUMMYFUNCTION("XLOOKUP(C1850, 
   IMPORTRANGE(""1RdEdgHYrZ33LJ7RUHj_h-qkAFL92bcVjtIdVa-UlsCw"", ""Interns!C:C""), 
   IMPORTRANGE(""1RdEdgHYrZ33LJ7RUHj_h-qkAFL92bcVjtIdVa-UlsCw"", ""Interns!N:N""), 
   ""Not Found"")"),"Not Found")</f>
        <v>Not Found</v>
      </c>
      <c r="AL1850" s="23" t="str">
        <f>IFERROR(__xludf.DUMMYFUNCTION("XLOOKUP(C1850, 
   IMPORTRANGE(""1RdEdgHYrZ33LJ7RUHj_h-qkAFL92bcVjtIdVa-UlsCw"", ""Interns!D:D""), 
   IMPORTRANGE(""1RdEdgHYrZ33LJ7RUHj_h-qkAFL92bcVjtIdVa-UlsCw"", ""Interns!N:N""), 
   ""Not Found"")"),"")</f>
        <v/>
      </c>
      <c r="AM1850" s="23" t="str">
        <f>IFERROR(__xludf.DUMMYFUNCTION("XLOOKUP(C1850, 
   IMPORTRANGE(""1RdEdgHYrZ33LJ7RUHj_h-qkAFL92bcVjtIdVa-UlsCw"", ""Interns!D:D""), 
   IMPORTRANGE(""1RdEdgHYrZ33LJ7RUHj_h-qkAFL92bcVjtIdVa-UlsCw"", ""Interns!O:O""), 
   ""Not Found"")"),"")</f>
        <v/>
      </c>
      <c r="AN1850" s="23"/>
      <c r="AO1850" s="23" t="s">
        <v>16037</v>
      </c>
      <c r="AP1850" s="28" t="s">
        <v>5641</v>
      </c>
      <c r="AQ1850" s="28"/>
      <c r="AR1850" s="23"/>
      <c r="AS1850" s="23"/>
      <c r="AT1850" s="23"/>
      <c r="AU1850" s="23"/>
      <c r="AV1850" s="23"/>
    </row>
    <row r="1851">
      <c r="A1851" s="28" t="s">
        <v>5202</v>
      </c>
      <c r="B1851" s="28" t="s">
        <v>31</v>
      </c>
      <c r="C1851" s="23" t="str">
        <f t="shared" si="39"/>
        <v>MELANIE (Duplicate) RODAS</v>
      </c>
      <c r="D1851" s="28" t="s">
        <v>16038</v>
      </c>
      <c r="E1851" s="28" t="s">
        <v>16039</v>
      </c>
      <c r="F1851" s="23">
        <f t="array" ref="F1851">IFERROR(
    INDEX('Hub Interns 226'!A:A, MATCH(C1851, 'Hub Interns 226'!B:B, 0)),"")</f>
        <v>1755</v>
      </c>
      <c r="G1851" s="23">
        <f t="array" ref="G1851">IFERROR(
    INDEX('Hub Users 226'!A:A, MATCH(C1851, 'Hub Users 226'!B:B, 0)),"")</f>
        <v>2585</v>
      </c>
      <c r="H1851" s="28">
        <v>1746.0</v>
      </c>
      <c r="I1851" s="28" t="s">
        <v>260</v>
      </c>
      <c r="J1851" s="28"/>
      <c r="K1851" s="28"/>
      <c r="L1851" s="28" t="s">
        <v>5196</v>
      </c>
      <c r="M1851" s="56" t="s">
        <v>16040</v>
      </c>
      <c r="N1851" s="57">
        <v>45267.42361111111</v>
      </c>
      <c r="O1851" s="58">
        <v>40382.0</v>
      </c>
      <c r="P1851" s="28">
        <f t="shared" si="50"/>
        <v>15</v>
      </c>
      <c r="Q1851" s="28" t="s">
        <v>240</v>
      </c>
      <c r="R1851" s="28" t="s">
        <v>16041</v>
      </c>
      <c r="S1851" s="28"/>
      <c r="T1851" s="28"/>
      <c r="U1851" s="28"/>
      <c r="V1851" s="28"/>
      <c r="W1851" s="23"/>
      <c r="X1851" s="23"/>
      <c r="Y1851" s="28" t="s">
        <v>16042</v>
      </c>
      <c r="Z1851" s="28" t="s">
        <v>5352</v>
      </c>
      <c r="AA1851" s="28" t="s">
        <v>5287</v>
      </c>
      <c r="AB1851" s="28">
        <v>26.0</v>
      </c>
      <c r="AC1851" s="28" t="s">
        <v>8982</v>
      </c>
      <c r="AD1851" s="23"/>
      <c r="AE1851" s="23"/>
      <c r="AF1851" s="23"/>
      <c r="AG1851" s="23"/>
      <c r="AH1851" s="23" t="str">
        <f>IFERROR(__xludf.DUMMYFUNCTION("IF(
ISNUMBER(MATCH(
C1851,
IMPORTRANGE(""https://docs.google.com/spreadsheets/d/1yTh1ELC33JHYOeEdgIiEclxPRyh0zOKtlawDltfUay8"",""'Interns'!A:A""),
0
)),
""Outreach Conducted"",
"""")"),"")</f>
        <v/>
      </c>
      <c r="AI1851" s="23"/>
      <c r="AJ1851" s="23"/>
      <c r="AK1851" s="23" t="str">
        <f>IFERROR(__xludf.DUMMYFUNCTION("XLOOKUP(C1851, 
   IMPORTRANGE(""1RdEdgHYrZ33LJ7RUHj_h-qkAFL92bcVjtIdVa-UlsCw"", ""Interns!C:C""), 
   IMPORTRANGE(""1RdEdgHYrZ33LJ7RUHj_h-qkAFL92bcVjtIdVa-UlsCw"", ""Interns!N:N""), 
   ""Not Found"")"),"Not Found")</f>
        <v>Not Found</v>
      </c>
      <c r="AL1851" s="23" t="str">
        <f>IFERROR(__xludf.DUMMYFUNCTION("XLOOKUP(C1851, 
   IMPORTRANGE(""1RdEdgHYrZ33LJ7RUHj_h-qkAFL92bcVjtIdVa-UlsCw"", ""Interns!D:D""), 
   IMPORTRANGE(""1RdEdgHYrZ33LJ7RUHj_h-qkAFL92bcVjtIdVa-UlsCw"", ""Interns!N:N""), 
   ""Not Found"")"),"")</f>
        <v/>
      </c>
      <c r="AM1851" s="23" t="str">
        <f>IFERROR(__xludf.DUMMYFUNCTION("XLOOKUP(C1851, 
   IMPORTRANGE(""1RdEdgHYrZ33LJ7RUHj_h-qkAFL92bcVjtIdVa-UlsCw"", ""Interns!D:D""), 
   IMPORTRANGE(""1RdEdgHYrZ33LJ7RUHj_h-qkAFL92bcVjtIdVa-UlsCw"", ""Interns!O:O""), 
   ""Not Found"")"),"")</f>
        <v/>
      </c>
      <c r="AN1851" s="23"/>
      <c r="AO1851" s="23" t="s">
        <v>16043</v>
      </c>
      <c r="AP1851" s="28" t="s">
        <v>5182</v>
      </c>
      <c r="AQ1851" s="28"/>
      <c r="AR1851" s="23"/>
      <c r="AS1851" s="23"/>
      <c r="AT1851" s="23"/>
      <c r="AU1851" s="23"/>
      <c r="AV1851" s="23"/>
    </row>
    <row r="1852">
      <c r="A1852" s="28" t="s">
        <v>5202</v>
      </c>
      <c r="B1852" s="28" t="s">
        <v>31</v>
      </c>
      <c r="C1852" s="23" t="str">
        <f t="shared" si="39"/>
        <v>Sample Intern</v>
      </c>
      <c r="D1852" s="28" t="s">
        <v>16011</v>
      </c>
      <c r="E1852" s="28" t="s">
        <v>16044</v>
      </c>
      <c r="F1852" s="23" t="str">
        <f t="array" ref="F1852">IFERROR(
    INDEX('Hub Interns 226'!A:A, MATCH(C1852, 'Hub Interns 226'!B:B, 0)),"")</f>
        <v/>
      </c>
      <c r="G1852" s="23" t="str">
        <f t="array" ref="G1852">IFERROR(
    INDEX('Hub Users 226'!A:A, MATCH(C1852, 'Hub Users 226'!B:B, 0)),"")</f>
        <v/>
      </c>
      <c r="H1852" s="28">
        <v>275.0</v>
      </c>
      <c r="I1852" s="28"/>
      <c r="J1852" s="28"/>
      <c r="K1852" s="28"/>
      <c r="L1852" s="28" t="s">
        <v>5196</v>
      </c>
      <c r="M1852" s="56" t="s">
        <v>16045</v>
      </c>
      <c r="N1852" s="57">
        <v>44211.481944444444</v>
      </c>
      <c r="O1852" s="58"/>
      <c r="P1852" s="28">
        <f t="shared" si="50"/>
        <v>126</v>
      </c>
      <c r="Q1852" s="28" t="s">
        <v>240</v>
      </c>
      <c r="R1852" s="23"/>
      <c r="S1852" s="28"/>
      <c r="T1852" s="28"/>
      <c r="U1852" s="28"/>
      <c r="V1852" s="28"/>
      <c r="W1852" s="23"/>
      <c r="X1852" s="23"/>
      <c r="Y1852" s="23"/>
      <c r="Z1852" s="23"/>
      <c r="AA1852" s="23"/>
      <c r="AB1852" s="23"/>
      <c r="AC1852" s="28" t="s">
        <v>8982</v>
      </c>
      <c r="AD1852" s="23"/>
      <c r="AE1852" s="23"/>
      <c r="AF1852" s="23"/>
      <c r="AG1852" s="23"/>
      <c r="AH1852" s="23" t="str">
        <f>IFERROR(__xludf.DUMMYFUNCTION("IF(
ISNUMBER(MATCH(
C1852,
IMPORTRANGE(""https://docs.google.com/spreadsheets/d/1yTh1ELC33JHYOeEdgIiEclxPRyh0zOKtlawDltfUay8"",""'Interns'!A:A""),
0
)),
""Outreach Conducted"",
"""")"),"")</f>
        <v/>
      </c>
      <c r="AI1852" s="23"/>
      <c r="AJ1852" s="23"/>
      <c r="AK1852" s="23" t="str">
        <f>IFERROR(__xludf.DUMMYFUNCTION("XLOOKUP(C1852, 
   IMPORTRANGE(""1RdEdgHYrZ33LJ7RUHj_h-qkAFL92bcVjtIdVa-UlsCw"", ""Interns!C:C""), 
   IMPORTRANGE(""1RdEdgHYrZ33LJ7RUHj_h-qkAFL92bcVjtIdVa-UlsCw"", ""Interns!N:N""), 
   ""Not Found"")"),"Not Found")</f>
        <v>Not Found</v>
      </c>
      <c r="AL1852" s="23" t="str">
        <f>IFERROR(__xludf.DUMMYFUNCTION("XLOOKUP(C1852, 
   IMPORTRANGE(""1RdEdgHYrZ33LJ7RUHj_h-qkAFL92bcVjtIdVa-UlsCw"", ""Interns!D:D""), 
   IMPORTRANGE(""1RdEdgHYrZ33LJ7RUHj_h-qkAFL92bcVjtIdVa-UlsCw"", ""Interns!N:N""), 
   ""Not Found"")"),"")</f>
        <v/>
      </c>
      <c r="AM1852" s="23" t="str">
        <f>IFERROR(__xludf.DUMMYFUNCTION("XLOOKUP(C1852, 
   IMPORTRANGE(""1RdEdgHYrZ33LJ7RUHj_h-qkAFL92bcVjtIdVa-UlsCw"", ""Interns!D:D""), 
   IMPORTRANGE(""1RdEdgHYrZ33LJ7RUHj_h-qkAFL92bcVjtIdVa-UlsCw"", ""Interns!O:O""), 
   ""Not Found"")"),"")</f>
        <v/>
      </c>
      <c r="AN1852" s="23"/>
      <c r="AO1852" s="23"/>
      <c r="AP1852" s="28"/>
      <c r="AQ1852" s="28"/>
      <c r="AR1852" s="23"/>
      <c r="AS1852" s="23"/>
      <c r="AT1852" s="23"/>
      <c r="AU1852" s="23"/>
      <c r="AV1852" s="23"/>
    </row>
    <row r="1853">
      <c r="A1853" s="28" t="s">
        <v>5202</v>
      </c>
      <c r="B1853" s="28" t="s">
        <v>31</v>
      </c>
      <c r="C1853" s="23" t="str">
        <f t="shared" si="39"/>
        <v> </v>
      </c>
      <c r="D1853" s="23"/>
      <c r="E1853" s="23"/>
      <c r="F1853" s="23" t="str">
        <f t="array" ref="F1853">IFERROR(
    INDEX('Hub Interns 226'!A:A, MATCH(C1853, 'Hub Interns 226'!B:B, 0)),"")</f>
        <v/>
      </c>
      <c r="G1853" s="23" t="str">
        <f t="array" ref="G1853">IFERROR(
    INDEX('Hub Users 226'!A:A, MATCH(C1853, 'Hub Users 226'!B:B, 0)),"")</f>
        <v/>
      </c>
      <c r="H1853" s="28"/>
      <c r="I1853" s="28" t="s">
        <v>240</v>
      </c>
      <c r="J1853" s="28"/>
      <c r="K1853" s="28"/>
      <c r="L1853" s="28" t="s">
        <v>240</v>
      </c>
      <c r="M1853" s="56" t="s">
        <v>16046</v>
      </c>
      <c r="N1853" s="59">
        <v>44130.65902777778</v>
      </c>
      <c r="O1853" s="58"/>
      <c r="P1853" s="28">
        <f t="shared" si="50"/>
        <v>126</v>
      </c>
      <c r="Q1853" s="28" t="s">
        <v>240</v>
      </c>
      <c r="R1853" s="23"/>
      <c r="S1853" s="28"/>
      <c r="T1853" s="28"/>
      <c r="U1853" s="28"/>
      <c r="V1853" s="28"/>
      <c r="W1853" s="23"/>
      <c r="X1853" s="23"/>
      <c r="Y1853" s="23"/>
      <c r="Z1853" s="23"/>
      <c r="AA1853" s="23"/>
      <c r="AB1853" s="23"/>
      <c r="AC1853" s="28" t="s">
        <v>8982</v>
      </c>
      <c r="AD1853" s="23"/>
      <c r="AE1853" s="23"/>
      <c r="AF1853" s="23"/>
      <c r="AG1853" s="23"/>
      <c r="AH1853" s="23" t="str">
        <f>IFERROR(__xludf.DUMMYFUNCTION("IF(
ISNUMBER(MATCH(
C1853,
IMPORTRANGE(""https://docs.google.com/spreadsheets/d/1yTh1ELC33JHYOeEdgIiEclxPRyh0zOKtlawDltfUay8"",""'Interns'!A:A""),
0
)),
""Outreach Conducted"",
"""")"),"")</f>
        <v/>
      </c>
      <c r="AI1853" s="23"/>
      <c r="AJ1853" s="23"/>
      <c r="AK1853" s="23" t="str">
        <f>IFERROR(__xludf.DUMMYFUNCTION("XLOOKUP(C1853, 
   IMPORTRANGE(""1RdEdgHYrZ33LJ7RUHj_h-qkAFL92bcVjtIdVa-UlsCw"", ""Interns!C:C""), 
   IMPORTRANGE(""1RdEdgHYrZ33LJ7RUHj_h-qkAFL92bcVjtIdVa-UlsCw"", ""Interns!N:N""), 
   ""Not Found"")"),"Not Found")</f>
        <v>Not Found</v>
      </c>
      <c r="AL1853" s="23" t="str">
        <f>IFERROR(__xludf.DUMMYFUNCTION("XLOOKUP(C1853, 
   IMPORTRANGE(""1RdEdgHYrZ33LJ7RUHj_h-qkAFL92bcVjtIdVa-UlsCw"", ""Interns!D:D""), 
   IMPORTRANGE(""1RdEdgHYrZ33LJ7RUHj_h-qkAFL92bcVjtIdVa-UlsCw"", ""Interns!N:N""), 
   ""Not Found"")"),"")</f>
        <v/>
      </c>
      <c r="AM1853" s="23" t="str">
        <f>IFERROR(__xludf.DUMMYFUNCTION("XLOOKUP(C1853, 
   IMPORTRANGE(""1RdEdgHYrZ33LJ7RUHj_h-qkAFL92bcVjtIdVa-UlsCw"", ""Interns!D:D""), 
   IMPORTRANGE(""1RdEdgHYrZ33LJ7RUHj_h-qkAFL92bcVjtIdVa-UlsCw"", ""Interns!O:O""), 
   ""Not Found"")"),"")</f>
        <v/>
      </c>
      <c r="AN1853" s="23"/>
      <c r="AO1853" s="23" t="s">
        <v>240</v>
      </c>
      <c r="AP1853" s="28" t="s">
        <v>240</v>
      </c>
      <c r="AQ1853" s="28" t="s">
        <v>240</v>
      </c>
      <c r="AR1853" s="23" t="s">
        <v>240</v>
      </c>
      <c r="AS1853" s="23"/>
      <c r="AT1853" s="23"/>
      <c r="AU1853" s="23"/>
      <c r="AV1853" s="23"/>
    </row>
    <row r="1854">
      <c r="A1854" s="28" t="s">
        <v>5202</v>
      </c>
      <c r="B1854" s="28" t="s">
        <v>31</v>
      </c>
      <c r="C1854" s="23" t="str">
        <f t="shared" si="39"/>
        <v>Sample Intern 4</v>
      </c>
      <c r="D1854" s="28" t="s">
        <v>16011</v>
      </c>
      <c r="E1854" s="28" t="s">
        <v>16047</v>
      </c>
      <c r="F1854" s="23" t="str">
        <f t="array" ref="F1854">IFERROR(
    INDEX('Hub Interns 226'!A:A, MATCH(C1854, 'Hub Interns 226'!B:B, 0)),"")</f>
        <v/>
      </c>
      <c r="G1854" s="23">
        <f t="array" ref="G1854">IFERROR(
    INDEX('Hub Users 226'!A:A, MATCH(C1854, 'Hub Users 226'!B:B, 0)),"")</f>
        <v>1571</v>
      </c>
      <c r="H1854" s="28">
        <v>828.0</v>
      </c>
      <c r="I1854" s="28"/>
      <c r="J1854" s="28"/>
      <c r="K1854" s="28"/>
      <c r="L1854" s="28" t="s">
        <v>5196</v>
      </c>
      <c r="M1854" s="56" t="s">
        <v>16048</v>
      </c>
      <c r="N1854" s="57">
        <v>44573.72083333333</v>
      </c>
      <c r="O1854" s="58"/>
      <c r="P1854" s="28">
        <f t="shared" si="50"/>
        <v>126</v>
      </c>
      <c r="Q1854" s="28" t="s">
        <v>240</v>
      </c>
      <c r="R1854" s="23"/>
      <c r="S1854" s="28"/>
      <c r="T1854" s="28"/>
      <c r="U1854" s="28"/>
      <c r="V1854" s="28"/>
      <c r="W1854" s="23"/>
      <c r="X1854" s="23"/>
      <c r="Y1854" s="23"/>
      <c r="Z1854" s="23"/>
      <c r="AA1854" s="23"/>
      <c r="AB1854" s="23"/>
      <c r="AC1854" s="28" t="s">
        <v>8982</v>
      </c>
      <c r="AD1854" s="23"/>
      <c r="AE1854" s="23"/>
      <c r="AF1854" s="23"/>
      <c r="AG1854" s="23"/>
      <c r="AH1854" s="23" t="str">
        <f>IFERROR(__xludf.DUMMYFUNCTION("IF(
ISNUMBER(MATCH(
C1854,
IMPORTRANGE(""https://docs.google.com/spreadsheets/d/1yTh1ELC33JHYOeEdgIiEclxPRyh0zOKtlawDltfUay8"",""'Interns'!A:A""),
0
)),
""Outreach Conducted"",
"""")"),"")</f>
        <v/>
      </c>
      <c r="AI1854" s="23"/>
      <c r="AJ1854" s="23"/>
      <c r="AK1854" s="23" t="str">
        <f>IFERROR(__xludf.DUMMYFUNCTION("XLOOKUP(C1854, 
   IMPORTRANGE(""1RdEdgHYrZ33LJ7RUHj_h-qkAFL92bcVjtIdVa-UlsCw"", ""Interns!C:C""), 
   IMPORTRANGE(""1RdEdgHYrZ33LJ7RUHj_h-qkAFL92bcVjtIdVa-UlsCw"", ""Interns!N:N""), 
   ""Not Found"")"),"Not Found")</f>
        <v>Not Found</v>
      </c>
      <c r="AL1854" s="23" t="str">
        <f>IFERROR(__xludf.DUMMYFUNCTION("XLOOKUP(C1854, 
   IMPORTRANGE(""1RdEdgHYrZ33LJ7RUHj_h-qkAFL92bcVjtIdVa-UlsCw"", ""Interns!D:D""), 
   IMPORTRANGE(""1RdEdgHYrZ33LJ7RUHj_h-qkAFL92bcVjtIdVa-UlsCw"", ""Interns!N:N""), 
   ""Not Found"")"),"")</f>
        <v/>
      </c>
      <c r="AM1854" s="23" t="str">
        <f>IFERROR(__xludf.DUMMYFUNCTION("XLOOKUP(C1854, 
   IMPORTRANGE(""1RdEdgHYrZ33LJ7RUHj_h-qkAFL92bcVjtIdVa-UlsCw"", ""Interns!D:D""), 
   IMPORTRANGE(""1RdEdgHYrZ33LJ7RUHj_h-qkAFL92bcVjtIdVa-UlsCw"", ""Interns!O:O""), 
   ""Not Found"")"),"")</f>
        <v/>
      </c>
      <c r="AN1854" s="23"/>
      <c r="AO1854" s="23"/>
      <c r="AP1854" s="28"/>
      <c r="AQ1854" s="28"/>
      <c r="AR1854" s="23"/>
      <c r="AS1854" s="23"/>
      <c r="AT1854" s="23"/>
      <c r="AU1854" s="23"/>
      <c r="AV1854" s="23"/>
    </row>
    <row r="1855">
      <c r="A1855" s="28" t="s">
        <v>5202</v>
      </c>
      <c r="B1855" s="28" t="s">
        <v>31</v>
      </c>
      <c r="C1855" s="23" t="str">
        <f t="shared" si="39"/>
        <v>Tariana Garcia Encarnacion</v>
      </c>
      <c r="D1855" s="28" t="s">
        <v>7832</v>
      </c>
      <c r="E1855" s="28" t="s">
        <v>7833</v>
      </c>
      <c r="F1855" s="23">
        <f t="array" ref="F1855">IFERROR(
    INDEX('Hub Interns 226'!A:A, MATCH(C1855, 'Hub Interns 226'!B:B, 0)),"")</f>
        <v>1144</v>
      </c>
      <c r="G1855" s="23">
        <f t="array" ref="G1855">IFERROR(
    INDEX('Hub Users 226'!A:A, MATCH(C1855, 'Hub Users 226'!B:B, 0)),"")</f>
        <v>1577</v>
      </c>
      <c r="H1855" s="28">
        <v>1503.0</v>
      </c>
      <c r="I1855" s="28"/>
      <c r="J1855" s="28"/>
      <c r="K1855" s="28"/>
      <c r="L1855" s="28" t="s">
        <v>5196</v>
      </c>
      <c r="M1855" s="56" t="s">
        <v>7834</v>
      </c>
      <c r="N1855" s="57">
        <v>44949.805555555555</v>
      </c>
      <c r="O1855" s="58">
        <v>38813.0</v>
      </c>
      <c r="P1855" s="28">
        <f t="shared" si="50"/>
        <v>20</v>
      </c>
      <c r="Q1855" s="28" t="s">
        <v>240</v>
      </c>
      <c r="R1855" s="28" t="s">
        <v>16049</v>
      </c>
      <c r="S1855" s="28"/>
      <c r="T1855" s="28"/>
      <c r="U1855" s="28"/>
      <c r="V1855" s="28"/>
      <c r="W1855" s="28" t="s">
        <v>859</v>
      </c>
      <c r="X1855" s="28" t="s">
        <v>272</v>
      </c>
      <c r="Y1855" s="28" t="s">
        <v>16050</v>
      </c>
      <c r="Z1855" s="23"/>
      <c r="AA1855" s="23"/>
      <c r="AB1855" s="23"/>
      <c r="AC1855" s="28" t="s">
        <v>8982</v>
      </c>
      <c r="AD1855" s="23"/>
      <c r="AE1855" s="23"/>
      <c r="AF1855" s="23"/>
      <c r="AG1855" s="23"/>
      <c r="AH1855" s="23" t="str">
        <f>IFERROR(__xludf.DUMMYFUNCTION("IF(
ISNUMBER(MATCH(
C1855,
IMPORTRANGE(""https://docs.google.com/spreadsheets/d/1yTh1ELC33JHYOeEdgIiEclxPRyh0zOKtlawDltfUay8"",""'Interns'!A:A""),
0
)),
""Outreach Conducted"",
"""")"),"")</f>
        <v/>
      </c>
      <c r="AI1855" s="23"/>
      <c r="AJ1855" s="23"/>
      <c r="AK1855" s="23" t="str">
        <f>IFERROR(__xludf.DUMMYFUNCTION("XLOOKUP(C1855, 
   IMPORTRANGE(""1RdEdgHYrZ33LJ7RUHj_h-qkAFL92bcVjtIdVa-UlsCw"", ""Interns!C:C""), 
   IMPORTRANGE(""1RdEdgHYrZ33LJ7RUHj_h-qkAFL92bcVjtIdVa-UlsCw"", ""Interns!N:N""), 
   ""Not Found"")"),"Not Found")</f>
        <v>Not Found</v>
      </c>
      <c r="AL1855" s="23" t="str">
        <f>IFERROR(__xludf.DUMMYFUNCTION("XLOOKUP(C1855, 
   IMPORTRANGE(""1RdEdgHYrZ33LJ7RUHj_h-qkAFL92bcVjtIdVa-UlsCw"", ""Interns!D:D""), 
   IMPORTRANGE(""1RdEdgHYrZ33LJ7RUHj_h-qkAFL92bcVjtIdVa-UlsCw"", ""Interns!N:N""), 
   ""Not Found"")"),"")</f>
        <v/>
      </c>
      <c r="AM1855" s="23" t="str">
        <f>IFERROR(__xludf.DUMMYFUNCTION("XLOOKUP(C1855, 
   IMPORTRANGE(""1RdEdgHYrZ33LJ7RUHj_h-qkAFL92bcVjtIdVa-UlsCw"", ""Interns!D:D""), 
   IMPORTRANGE(""1RdEdgHYrZ33LJ7RUHj_h-qkAFL92bcVjtIdVa-UlsCw"", ""Interns!O:O""), 
   ""Not Found"")"),"")</f>
        <v/>
      </c>
      <c r="AN1855" s="23"/>
      <c r="AO1855" s="23" t="s">
        <v>7170</v>
      </c>
      <c r="AP1855" s="28" t="s">
        <v>5182</v>
      </c>
      <c r="AQ1855" s="28" t="s">
        <v>7171</v>
      </c>
      <c r="AR1855" s="23" t="s">
        <v>16051</v>
      </c>
      <c r="AS1855" s="23"/>
      <c r="AT1855" s="23"/>
      <c r="AU1855" s="23"/>
      <c r="AV1855" s="23"/>
    </row>
    <row r="1856">
      <c r="A1856" s="28" t="s">
        <v>5202</v>
      </c>
      <c r="B1856" s="28" t="s">
        <v>31</v>
      </c>
      <c r="C1856" s="23" t="str">
        <f t="shared" si="39"/>
        <v>Verni (Duplicate) Perez</v>
      </c>
      <c r="D1856" s="28" t="s">
        <v>16052</v>
      </c>
      <c r="E1856" s="28" t="s">
        <v>5175</v>
      </c>
      <c r="F1856" s="23" t="str">
        <f t="array" ref="F1856">IFERROR(
    INDEX('Hub Interns 226'!A:A, MATCH(C1856, 'Hub Interns 226'!B:B, 0)),"")</f>
        <v/>
      </c>
      <c r="G1856" s="23" t="str">
        <f t="array" ref="G1856">IFERROR(
    INDEX('Hub Users 226'!A:A, MATCH(C1856, 'Hub Users 226'!B:B, 0)),"")</f>
        <v/>
      </c>
      <c r="H1856" s="28">
        <v>1584.0</v>
      </c>
      <c r="I1856" s="28"/>
      <c r="J1856" s="28"/>
      <c r="K1856" s="28"/>
      <c r="L1856" s="28" t="s">
        <v>5165</v>
      </c>
      <c r="M1856" s="56" t="s">
        <v>5178</v>
      </c>
      <c r="N1856" s="57">
        <v>45016.385416666664</v>
      </c>
      <c r="O1856" s="58">
        <v>44959.0</v>
      </c>
      <c r="P1856" s="28">
        <f t="shared" si="50"/>
        <v>3</v>
      </c>
      <c r="Q1856" s="28" t="s">
        <v>240</v>
      </c>
      <c r="R1856" s="28" t="s">
        <v>16053</v>
      </c>
      <c r="S1856" s="28"/>
      <c r="T1856" s="28"/>
      <c r="U1856" s="28"/>
      <c r="V1856" s="28"/>
      <c r="W1856" s="23"/>
      <c r="X1856" s="23"/>
      <c r="Y1856" s="28" t="s">
        <v>5180</v>
      </c>
      <c r="Z1856" s="23"/>
      <c r="AA1856" s="23"/>
      <c r="AB1856" s="23"/>
      <c r="AC1856" s="28" t="s">
        <v>8982</v>
      </c>
      <c r="AD1856" s="23"/>
      <c r="AE1856" s="23"/>
      <c r="AF1856" s="23"/>
      <c r="AG1856" s="23"/>
      <c r="AH1856" s="23" t="str">
        <f>IFERROR(__xludf.DUMMYFUNCTION("IF(
ISNUMBER(MATCH(
C1856,
IMPORTRANGE(""https://docs.google.com/spreadsheets/d/1yTh1ELC33JHYOeEdgIiEclxPRyh0zOKtlawDltfUay8"",""'Interns'!A:A""),
0
)),
""Outreach Conducted"",
"""")"),"")</f>
        <v/>
      </c>
      <c r="AI1856" s="23"/>
      <c r="AJ1856" s="23"/>
      <c r="AK1856" s="23" t="str">
        <f>IFERROR(__xludf.DUMMYFUNCTION("XLOOKUP(C1856, 
   IMPORTRANGE(""1RdEdgHYrZ33LJ7RUHj_h-qkAFL92bcVjtIdVa-UlsCw"", ""Interns!C:C""), 
   IMPORTRANGE(""1RdEdgHYrZ33LJ7RUHj_h-qkAFL92bcVjtIdVa-UlsCw"", ""Interns!N:N""), 
   ""Not Found"")"),"Not Found")</f>
        <v>Not Found</v>
      </c>
      <c r="AL1856" s="23" t="str">
        <f>IFERROR(__xludf.DUMMYFUNCTION("XLOOKUP(C1856, 
   IMPORTRANGE(""1RdEdgHYrZ33LJ7RUHj_h-qkAFL92bcVjtIdVa-UlsCw"", ""Interns!D:D""), 
   IMPORTRANGE(""1RdEdgHYrZ33LJ7RUHj_h-qkAFL92bcVjtIdVa-UlsCw"", ""Interns!N:N""), 
   ""Not Found"")"),"")</f>
        <v/>
      </c>
      <c r="AM1856" s="23" t="str">
        <f>IFERROR(__xludf.DUMMYFUNCTION("XLOOKUP(C1856, 
   IMPORTRANGE(""1RdEdgHYrZ33LJ7RUHj_h-qkAFL92bcVjtIdVa-UlsCw"", ""Interns!D:D""), 
   IMPORTRANGE(""1RdEdgHYrZ33LJ7RUHj_h-qkAFL92bcVjtIdVa-UlsCw"", ""Interns!O:O""), 
   ""Not Found"")"),"")</f>
        <v/>
      </c>
      <c r="AN1856" s="23"/>
      <c r="AO1856" s="23" t="s">
        <v>5181</v>
      </c>
      <c r="AP1856" s="28" t="s">
        <v>5182</v>
      </c>
      <c r="AQ1856" s="28"/>
      <c r="AR1856" s="23"/>
      <c r="AS1856" s="23"/>
      <c r="AT1856" s="23"/>
      <c r="AU1856" s="23"/>
      <c r="AV1856" s="23"/>
    </row>
    <row r="1857">
      <c r="A1857" s="28" t="s">
        <v>5161</v>
      </c>
      <c r="B1857" s="28" t="s">
        <v>5162</v>
      </c>
      <c r="C1857" s="23" t="str">
        <f t="shared" si="39"/>
        <v>Natalie Fung</v>
      </c>
      <c r="D1857" s="22" t="s">
        <v>2587</v>
      </c>
      <c r="E1857" s="22" t="s">
        <v>16054</v>
      </c>
      <c r="F1857" s="23"/>
      <c r="G1857" s="23"/>
      <c r="H1857" s="22">
        <v>2032.0</v>
      </c>
      <c r="I1857" s="28"/>
      <c r="J1857" s="28"/>
      <c r="K1857" s="28"/>
      <c r="L1857" s="28" t="s">
        <v>5196</v>
      </c>
      <c r="M1857" s="29" t="s">
        <v>16055</v>
      </c>
      <c r="N1857" s="61">
        <v>45399.44583333333</v>
      </c>
      <c r="O1857" s="70"/>
      <c r="P1857" s="28"/>
      <c r="Q1857" s="62" t="s">
        <v>240</v>
      </c>
      <c r="R1857" s="64"/>
      <c r="S1857" s="28"/>
      <c r="T1857" s="28"/>
      <c r="U1857" s="28"/>
      <c r="V1857" s="28"/>
      <c r="W1857" s="28"/>
      <c r="X1857" s="28"/>
      <c r="Y1857" s="64"/>
      <c r="Z1857" s="22" t="s">
        <v>15965</v>
      </c>
      <c r="AA1857" s="28" t="s">
        <v>15966</v>
      </c>
      <c r="AB1857" s="28">
        <v>1.0</v>
      </c>
      <c r="AC1857" s="28" t="s">
        <v>28</v>
      </c>
      <c r="AD1857" s="23"/>
      <c r="AE1857" s="28" t="s">
        <v>18</v>
      </c>
      <c r="AF1857" s="23"/>
      <c r="AG1857" s="23"/>
      <c r="AH1857" s="23" t="str">
        <f>IFERROR(__xludf.DUMMYFUNCTION("IF(
ISNUMBER(MATCH(
C1857,
IMPORTRANGE(""https://docs.google.com/spreadsheets/d/1yTh1ELC33JHYOeEdgIiEclxPRyh0zOKtlawDltfUay8"",""'Interns'!A:A""),
0
)),
""Outreach Conducted"",
"""")"),"")</f>
        <v/>
      </c>
      <c r="AI1857" s="23"/>
      <c r="AJ1857" s="23"/>
      <c r="AK1857" s="23" t="str">
        <f>IFERROR(__xludf.DUMMYFUNCTION("XLOOKUP(C1857, 
   IMPORTRANGE(""1RdEdgHYrZ33LJ7RUHj_h-qkAFL92bcVjtIdVa-UlsCw"", ""Interns!D:D""), 
   IMPORTRANGE(""1RdEdgHYrZ33LJ7RUHj_h-qkAFL92bcVjtIdVa-UlsCw"", ""Interns!M:M""), 
   ""Not Found"")"),"")</f>
        <v/>
      </c>
      <c r="AL1857" s="23" t="str">
        <f>IFERROR(__xludf.DUMMYFUNCTION("XLOOKUP(C1857, 
   IMPORTRANGE(""1RdEdgHYrZ33LJ7RUHj_h-qkAFL92bcVjtIdVa-UlsCw"", ""Interns!D:D""), 
   IMPORTRANGE(""1RdEdgHYrZ33LJ7RUHj_h-qkAFL92bcVjtIdVa-UlsCw"", ""Interns!N:N""), 
   ""Not Found"")"),"")</f>
        <v/>
      </c>
      <c r="AM1857" s="23" t="str">
        <f>IFERROR(__xludf.DUMMYFUNCTION("XLOOKUP(C1857, 
   IMPORTRANGE(""1RdEdgHYrZ33LJ7RUHj_h-qkAFL92bcVjtIdVa-UlsCw"", ""Interns!D:D""), 
   IMPORTRANGE(""1RdEdgHYrZ33LJ7RUHj_h-qkAFL92bcVjtIdVa-UlsCw"", ""Interns!O:O""), 
   ""Not Found"")"),"")</f>
        <v/>
      </c>
      <c r="AN1857" s="23"/>
      <c r="AO1857" s="23"/>
      <c r="AP1857" s="28"/>
      <c r="AQ1857" s="28"/>
      <c r="AR1857" s="23"/>
      <c r="AS1857" s="23"/>
      <c r="AT1857" s="23"/>
      <c r="AU1857" s="23"/>
      <c r="AV1857" s="23"/>
    </row>
    <row r="1858">
      <c r="A1858" s="28" t="s">
        <v>5161</v>
      </c>
      <c r="B1858" s="28" t="s">
        <v>5162</v>
      </c>
      <c r="C1858" s="23" t="str">
        <f t="shared" si="39"/>
        <v>Lucas Wu</v>
      </c>
      <c r="D1858" s="22" t="s">
        <v>10236</v>
      </c>
      <c r="E1858" s="22" t="s">
        <v>4282</v>
      </c>
      <c r="F1858" s="23"/>
      <c r="G1858" s="23"/>
      <c r="H1858" s="22">
        <v>2031.0</v>
      </c>
      <c r="I1858" s="28"/>
      <c r="J1858" s="28"/>
      <c r="K1858" s="28"/>
      <c r="L1858" s="28" t="s">
        <v>5165</v>
      </c>
      <c r="M1858" s="29" t="s">
        <v>16056</v>
      </c>
      <c r="N1858" s="61">
        <v>45399.44583333333</v>
      </c>
      <c r="O1858" s="70"/>
      <c r="P1858" s="28"/>
      <c r="Q1858" s="62" t="s">
        <v>240</v>
      </c>
      <c r="R1858" s="64"/>
      <c r="S1858" s="28"/>
      <c r="T1858" s="28"/>
      <c r="U1858" s="28"/>
      <c r="V1858" s="28"/>
      <c r="W1858" s="28"/>
      <c r="X1858" s="28"/>
      <c r="Y1858" s="64"/>
      <c r="Z1858" s="22" t="s">
        <v>15965</v>
      </c>
      <c r="AA1858" s="28" t="s">
        <v>15966</v>
      </c>
      <c r="AB1858" s="28">
        <v>1.0</v>
      </c>
      <c r="AC1858" s="28" t="s">
        <v>28</v>
      </c>
      <c r="AD1858" s="23"/>
      <c r="AE1858" s="28" t="s">
        <v>18</v>
      </c>
      <c r="AF1858" s="23"/>
      <c r="AG1858" s="23"/>
      <c r="AH1858" s="23" t="str">
        <f>IFERROR(__xludf.DUMMYFUNCTION("IF(
ISNUMBER(MATCH(
C1858,
IMPORTRANGE(""https://docs.google.com/spreadsheets/d/1yTh1ELC33JHYOeEdgIiEclxPRyh0zOKtlawDltfUay8"",""'Interns'!A:A""),
0
)),
""Outreach Conducted"",
"""")"),"")</f>
        <v/>
      </c>
      <c r="AI1858" s="23"/>
      <c r="AJ1858" s="23"/>
      <c r="AK1858" s="23" t="str">
        <f>IFERROR(__xludf.DUMMYFUNCTION("XLOOKUP(C1858, 
   IMPORTRANGE(""1RdEdgHYrZ33LJ7RUHj_h-qkAFL92bcVjtIdVa-UlsCw"", ""Interns!D:D""), 
   IMPORTRANGE(""1RdEdgHYrZ33LJ7RUHj_h-qkAFL92bcVjtIdVa-UlsCw"", ""Interns!M:M""), 
   ""Not Found"")"),"")</f>
        <v/>
      </c>
      <c r="AL1858" s="23" t="str">
        <f>IFERROR(__xludf.DUMMYFUNCTION("XLOOKUP(C1858, 
   IMPORTRANGE(""1RdEdgHYrZ33LJ7RUHj_h-qkAFL92bcVjtIdVa-UlsCw"", ""Interns!D:D""), 
   IMPORTRANGE(""1RdEdgHYrZ33LJ7RUHj_h-qkAFL92bcVjtIdVa-UlsCw"", ""Interns!N:N""), 
   ""Not Found"")"),"")</f>
        <v/>
      </c>
      <c r="AM1858" s="23" t="str">
        <f>IFERROR(__xludf.DUMMYFUNCTION("XLOOKUP(C1858, 
   IMPORTRANGE(""1RdEdgHYrZ33LJ7RUHj_h-qkAFL92bcVjtIdVa-UlsCw"", ""Interns!D:D""), 
   IMPORTRANGE(""1RdEdgHYrZ33LJ7RUHj_h-qkAFL92bcVjtIdVa-UlsCw"", ""Interns!O:O""), 
   ""Not Found"")"),"")</f>
        <v/>
      </c>
      <c r="AN1858" s="23"/>
      <c r="AO1858" s="23"/>
      <c r="AP1858" s="28"/>
      <c r="AQ1858" s="28"/>
      <c r="AR1858" s="23"/>
      <c r="AS1858" s="23"/>
      <c r="AT1858" s="23"/>
      <c r="AU1858" s="23"/>
      <c r="AV1858" s="23"/>
    </row>
    <row r="1859">
      <c r="A1859" s="28" t="s">
        <v>5161</v>
      </c>
      <c r="B1859" s="28" t="s">
        <v>5162</v>
      </c>
      <c r="C1859" s="23" t="str">
        <f t="shared" si="39"/>
        <v>Ozodbek Mavlyanov</v>
      </c>
      <c r="D1859" s="28" t="s">
        <v>16057</v>
      </c>
      <c r="E1859" s="28" t="s">
        <v>16058</v>
      </c>
      <c r="F1859" s="23">
        <f t="array" ref="F1859">IFERROR(
    INDEX('Hub Interns 226'!A:A, MATCH(C1859, 'Hub Interns 226'!B:B, 0)),"")</f>
        <v>1782</v>
      </c>
      <c r="G1859" s="23">
        <f t="array" ref="G1859">IFERROR(
    INDEX('Hub Users 226'!A:A, MATCH(C1859, 'Hub Users 226'!B:B, 0)),"")</f>
        <v>2612</v>
      </c>
      <c r="H1859" s="28">
        <v>1639.0</v>
      </c>
      <c r="I1859" s="28" t="s">
        <v>260</v>
      </c>
      <c r="J1859" s="28"/>
      <c r="K1859" s="28" t="s">
        <v>5186</v>
      </c>
      <c r="L1859" s="28" t="s">
        <v>5165</v>
      </c>
      <c r="M1859" s="56" t="s">
        <v>16059</v>
      </c>
      <c r="N1859" s="57">
        <v>45116.95694444444</v>
      </c>
      <c r="O1859" s="58">
        <v>39742.0</v>
      </c>
      <c r="P1859" s="28">
        <f t="shared" ref="P1859:P1862" si="51">DATEDIF(O1859, TODAY(), "Y")</f>
        <v>17</v>
      </c>
      <c r="Q1859" s="28" t="s">
        <v>16060</v>
      </c>
      <c r="R1859" s="23"/>
      <c r="S1859" s="28"/>
      <c r="T1859" s="28"/>
      <c r="U1859" s="28"/>
      <c r="V1859" s="28"/>
      <c r="W1859" s="28" t="s">
        <v>271</v>
      </c>
      <c r="X1859" s="28" t="s">
        <v>272</v>
      </c>
      <c r="Y1859" s="28" t="s">
        <v>16061</v>
      </c>
      <c r="Z1859" s="28" t="s">
        <v>16062</v>
      </c>
      <c r="AA1859" s="28" t="s">
        <v>5639</v>
      </c>
      <c r="AB1859" s="23"/>
      <c r="AC1859" s="28" t="s">
        <v>27</v>
      </c>
      <c r="AD1859" s="23"/>
      <c r="AE1859" s="28" t="s">
        <v>18</v>
      </c>
      <c r="AF1859" s="23"/>
      <c r="AG1859" s="23"/>
      <c r="AH1859" s="23" t="str">
        <f>IFERROR(__xludf.DUMMYFUNCTION("IF(
ISNUMBER(MATCH(
C1859,
IMPORTRANGE(""https://docs.google.com/spreadsheets/d/1yTh1ELC33JHYOeEdgIiEclxPRyh0zOKtlawDltfUay8"",""'Interns'!A:A""),
0
)),
""Outreach Conducted"",
"""")"),"")</f>
        <v/>
      </c>
      <c r="AI1859" s="23"/>
      <c r="AJ1859" s="23"/>
      <c r="AK1859" s="23" t="str">
        <f>IFERROR(__xludf.DUMMYFUNCTION("XLOOKUP(C1859, 
   IMPORTRANGE(""1RdEdgHYrZ33LJ7RUHj_h-qkAFL92bcVjtIdVa-UlsCw"", ""Interns!D:D""), 
   IMPORTRANGE(""1RdEdgHYrZ33LJ7RUHj_h-qkAFL92bcVjtIdVa-UlsCw"", ""Interns!M:M""), 
   ""Not Found"")"),"Contacted")</f>
        <v>Contacted</v>
      </c>
      <c r="AL1859" s="23" t="str">
        <f>IFERROR(__xludf.DUMMYFUNCTION("XLOOKUP(C1859, 
   IMPORTRANGE(""1RdEdgHYrZ33LJ7RUHj_h-qkAFL92bcVjtIdVa-UlsCw"", ""Interns!D:D""), 
   IMPORTRANGE(""1RdEdgHYrZ33LJ7RUHj_h-qkAFL92bcVjtIdVa-UlsCw"", ""Interns!N:N""), 
   ""Not Found"")"),"#Cheers4Careers")</f>
        <v>#Cheers4Careers</v>
      </c>
      <c r="AM1859" s="23" t="str">
        <f>IFERROR(__xludf.DUMMYFUNCTION("XLOOKUP(C1859, 
   IMPORTRANGE(""1RdEdgHYrZ33LJ7RUHj_h-qkAFL92bcVjtIdVa-UlsCw"", ""Interns!D:D""), 
   IMPORTRANGE(""1RdEdgHYrZ33LJ7RUHj_h-qkAFL92bcVjtIdVa-UlsCw"", ""Interns!O:O""), 
   ""Not Found"")"),"Hetal reached out by text 3/27 for #Cheers4Careers")</f>
        <v>Hetal reached out by text 3/27 for #Cheers4Careers</v>
      </c>
      <c r="AN1859" s="23"/>
      <c r="AO1859" s="23" t="s">
        <v>16063</v>
      </c>
      <c r="AP1859" s="28" t="s">
        <v>5182</v>
      </c>
      <c r="AQ1859" s="28" t="s">
        <v>16064</v>
      </c>
      <c r="AR1859" s="23">
        <v>9.29257817E9</v>
      </c>
      <c r="AS1859" s="23"/>
      <c r="AT1859" s="23"/>
      <c r="AU1859" s="23"/>
      <c r="AV1859" s="23"/>
    </row>
    <row r="1860">
      <c r="A1860" s="28"/>
      <c r="B1860" s="28" t="s">
        <v>5162</v>
      </c>
      <c r="C1860" s="23" t="str">
        <f t="shared" si="39"/>
        <v>Shakira Rodriguez</v>
      </c>
      <c r="D1860" s="22" t="s">
        <v>16065</v>
      </c>
      <c r="E1860" s="22" t="s">
        <v>536</v>
      </c>
      <c r="F1860" s="23"/>
      <c r="G1860" s="23"/>
      <c r="H1860" s="22">
        <v>1914.0</v>
      </c>
      <c r="I1860" s="28"/>
      <c r="J1860" s="28"/>
      <c r="K1860" s="28"/>
      <c r="L1860" s="28" t="s">
        <v>5196</v>
      </c>
      <c r="M1860" s="29" t="s">
        <v>16066</v>
      </c>
      <c r="N1860" s="61">
        <v>45789.44236111111</v>
      </c>
      <c r="O1860" s="70"/>
      <c r="P1860" s="28">
        <f t="shared" si="51"/>
        <v>126</v>
      </c>
      <c r="Q1860" s="62" t="s">
        <v>240</v>
      </c>
      <c r="R1860" s="24"/>
      <c r="S1860" s="28"/>
      <c r="T1860" s="28"/>
      <c r="U1860" s="28"/>
      <c r="V1860" s="28"/>
      <c r="W1860" s="23"/>
      <c r="X1860" s="23"/>
      <c r="Y1860" s="24"/>
      <c r="Z1860" s="24"/>
      <c r="AA1860" s="28"/>
      <c r="AB1860" s="23"/>
      <c r="AC1860" s="28" t="s">
        <v>23</v>
      </c>
      <c r="AD1860" s="23"/>
      <c r="AE1860" s="28" t="s">
        <v>19</v>
      </c>
      <c r="AF1860" s="23"/>
      <c r="AG1860" s="23"/>
      <c r="AH1860" s="23" t="str">
        <f>IFERROR(__xludf.DUMMYFUNCTION("IF(
ISNUMBER(MATCH(
C1860,
IMPORTRANGE(""https://docs.google.com/spreadsheets/d/1yTh1ELC33JHYOeEdgIiEclxPRyh0zOKtlawDltfUay8"",""'Interns'!A:A""),
0
)),
""Outreach Conducted"",
"""")"),"")</f>
        <v/>
      </c>
      <c r="AI1860" s="23"/>
      <c r="AJ1860" s="23"/>
      <c r="AK1860" s="23"/>
      <c r="AL1860" s="23" t="str">
        <f>IFERROR(__xludf.DUMMYFUNCTION("XLOOKUP(C1860, 
   IMPORTRANGE(""1RdEdgHYrZ33LJ7RUHj_h-qkAFL92bcVjtIdVa-UlsCw"", ""Interns!D:D""), 
   IMPORTRANGE(""1RdEdgHYrZ33LJ7RUHj_h-qkAFL92bcVjtIdVa-UlsCw"", ""Interns!N:N""), 
   ""Not Found"")"),"Not Found")</f>
        <v>Not Found</v>
      </c>
      <c r="AM1860" s="23" t="str">
        <f>IFERROR(__xludf.DUMMYFUNCTION("XLOOKUP(C1860, 
   IMPORTRANGE(""1RdEdgHYrZ33LJ7RUHj_h-qkAFL92bcVjtIdVa-UlsCw"", ""Interns!D:D""), 
   IMPORTRANGE(""1RdEdgHYrZ33LJ7RUHj_h-qkAFL92bcVjtIdVa-UlsCw"", ""Interns!O:O""), 
   ""Not Found"")"),"Not Found")</f>
        <v>Not Found</v>
      </c>
      <c r="AN1860" s="23"/>
      <c r="AO1860" s="23" t="s">
        <v>5658</v>
      </c>
      <c r="AP1860" s="28"/>
      <c r="AQ1860" s="28"/>
      <c r="AR1860" s="23"/>
      <c r="AS1860" s="23"/>
      <c r="AT1860" s="23"/>
      <c r="AU1860" s="23"/>
      <c r="AV1860" s="23"/>
    </row>
    <row r="1861">
      <c r="A1861" s="28" t="s">
        <v>5161</v>
      </c>
      <c r="B1861" s="28" t="s">
        <v>5162</v>
      </c>
      <c r="C1861" s="23" t="str">
        <f t="shared" si="39"/>
        <v>Yuqi (Richie) Hung</v>
      </c>
      <c r="D1861" s="28" t="s">
        <v>16067</v>
      </c>
      <c r="E1861" s="28" t="s">
        <v>5984</v>
      </c>
      <c r="F1861" s="23">
        <f t="array" ref="F1861">IFERROR(
    INDEX('Hub Interns 226'!A:A, MATCH(C1861, 'Hub Interns 226'!B:B, 0)),"")</f>
        <v>1770</v>
      </c>
      <c r="G1861" s="23">
        <f t="array" ref="G1861">IFERROR(
    INDEX('Hub Users 226'!A:A, MATCH(C1861, 'Hub Users 226'!B:B, 0)),"")</f>
        <v>2600</v>
      </c>
      <c r="H1861" s="28">
        <v>1656.0</v>
      </c>
      <c r="I1861" s="28"/>
      <c r="J1861" s="28"/>
      <c r="K1861" s="28"/>
      <c r="L1861" s="28" t="s">
        <v>5165</v>
      </c>
      <c r="M1861" s="56" t="s">
        <v>146</v>
      </c>
      <c r="N1861" s="57">
        <v>45194.59652777778</v>
      </c>
      <c r="O1861" s="58"/>
      <c r="P1861" s="28">
        <f t="shared" si="51"/>
        <v>126</v>
      </c>
      <c r="Q1861" s="28" t="s">
        <v>16068</v>
      </c>
      <c r="R1861" s="23"/>
      <c r="S1861" s="28"/>
      <c r="T1861" s="28"/>
      <c r="U1861" s="28"/>
      <c r="V1861" s="28"/>
      <c r="W1861" s="23"/>
      <c r="X1861" s="23"/>
      <c r="Y1861" s="28" t="s">
        <v>16069</v>
      </c>
      <c r="Z1861" s="28" t="s">
        <v>16062</v>
      </c>
      <c r="AA1861" s="28" t="s">
        <v>5639</v>
      </c>
      <c r="AB1861" s="23"/>
      <c r="AC1861" s="28" t="s">
        <v>27</v>
      </c>
      <c r="AD1861" s="23"/>
      <c r="AE1861" s="28" t="s">
        <v>18</v>
      </c>
      <c r="AF1861" s="23"/>
      <c r="AG1861" s="26" t="s">
        <v>5697</v>
      </c>
      <c r="AH1861" s="23" t="str">
        <f>IFERROR(__xludf.DUMMYFUNCTION("IF(
ISNUMBER(MATCH(
C1861,
IMPORTRANGE(""https://docs.google.com/spreadsheets/d/1yTh1ELC33JHYOeEdgIiEclxPRyh0zOKtlawDltfUay8"",""'Interns'!A:A""),
0
)),
""Outreach Conducted"",
"""")"),"")</f>
        <v/>
      </c>
      <c r="AI1861" s="23"/>
      <c r="AJ1861" s="23"/>
      <c r="AK1861" s="23" t="str">
        <f>IFERROR(__xludf.DUMMYFUNCTION("XLOOKUP(C1861, 
   IMPORTRANGE(""1RdEdgHYrZ33LJ7RUHj_h-qkAFL92bcVjtIdVa-UlsCw"", ""Interns!D:D""), 
   IMPORTRANGE(""1RdEdgHYrZ33LJ7RUHj_h-qkAFL92bcVjtIdVa-UlsCw"", ""Interns!M:M""), 
   ""Not Found"")"),"In Communication")</f>
        <v>In Communication</v>
      </c>
      <c r="AL1861" s="23" t="str">
        <f>IFERROR(__xludf.DUMMYFUNCTION("XLOOKUP(C1861, 
   IMPORTRANGE(""1RdEdgHYrZ33LJ7RUHj_h-qkAFL92bcVjtIdVa-UlsCw"", ""Interns!D:D""), 
   IMPORTRANGE(""1RdEdgHYrZ33LJ7RUHj_h-qkAFL92bcVjtIdVa-UlsCw"", ""Interns!N:N""), 
   ""Not Found"")"),"#Cheers4Careers")</f>
        <v>#Cheers4Careers</v>
      </c>
      <c r="AM1861" s="23" t="str">
        <f>IFERROR(__xludf.DUMMYFUNCTION("XLOOKUP(C1861, 
   IMPORTRANGE(""1RdEdgHYrZ33LJ7RUHj_h-qkAFL92bcVjtIdVa-UlsCw"", ""Interns!D:D""), 
   IMPORTRANGE(""1RdEdgHYrZ33LJ7RUHj_h-qkAFL92bcVjtIdVa-UlsCw"", ""Interns!O:O""), 
   ""Not Found"")"),"Hetal reached out by text 3/27 for #Cheers4Careers and he said he's free and wants to attend -- asked about dress code")</f>
        <v>Hetal reached out by text 3/27 for #Cheers4Careers and he said he's free and wants to attend -- asked about dress code</v>
      </c>
      <c r="AN1861" s="23"/>
      <c r="AO1861" s="23"/>
      <c r="AP1861" s="28"/>
      <c r="AQ1861" s="28"/>
      <c r="AR1861" s="23"/>
      <c r="AS1861" s="23"/>
      <c r="AT1861" s="23"/>
      <c r="AU1861" s="23"/>
      <c r="AV1861" s="23"/>
    </row>
    <row r="1862">
      <c r="A1862" s="28"/>
      <c r="B1862" s="28" t="s">
        <v>5162</v>
      </c>
      <c r="C1862" s="23" t="str">
        <f t="shared" si="39"/>
        <v>Yamilet Correa</v>
      </c>
      <c r="D1862" s="22" t="s">
        <v>16070</v>
      </c>
      <c r="E1862" s="22" t="s">
        <v>16071</v>
      </c>
      <c r="F1862" s="23"/>
      <c r="G1862" s="23"/>
      <c r="H1862" s="22">
        <v>2030.0</v>
      </c>
      <c r="I1862" s="28"/>
      <c r="J1862" s="28"/>
      <c r="K1862" s="28"/>
      <c r="L1862" s="28" t="s">
        <v>5196</v>
      </c>
      <c r="M1862" s="29" t="s">
        <v>16072</v>
      </c>
      <c r="N1862" s="61">
        <v>45404.45416666667</v>
      </c>
      <c r="O1862" s="25">
        <v>45406.0</v>
      </c>
      <c r="P1862" s="28">
        <f t="shared" si="51"/>
        <v>2</v>
      </c>
      <c r="Q1862" s="62" t="s">
        <v>240</v>
      </c>
      <c r="R1862" s="64"/>
      <c r="S1862" s="28"/>
      <c r="T1862" s="28"/>
      <c r="U1862" s="28"/>
      <c r="V1862" s="28"/>
      <c r="W1862" s="28"/>
      <c r="X1862" s="28"/>
      <c r="Y1862" s="22" t="s">
        <v>16073</v>
      </c>
      <c r="Z1862" s="64"/>
      <c r="AA1862" s="28"/>
      <c r="AB1862" s="23"/>
      <c r="AC1862" s="28"/>
      <c r="AD1862" s="23"/>
      <c r="AE1862" s="28"/>
      <c r="AF1862" s="23"/>
      <c r="AG1862" s="23"/>
      <c r="AH1862" s="23" t="str">
        <f>IFERROR(__xludf.DUMMYFUNCTION("IF(
ISNUMBER(MATCH(
C1862,
IMPORTRANGE(""https://docs.google.com/spreadsheets/d/1yTh1ELC33JHYOeEdgIiEclxPRyh0zOKtlawDltfUay8"",""'Interns'!A:A""),
0
)),
""Outreach Conducted"",
"""")"),"")</f>
        <v/>
      </c>
      <c r="AI1862" s="23"/>
      <c r="AJ1862" s="23"/>
      <c r="AK1862" s="23" t="str">
        <f>IFERROR(__xludf.DUMMYFUNCTION("XLOOKUP(C1862, 
   IMPORTRANGE(""1RdEdgHYrZ33LJ7RUHj_h-qkAFL92bcVjtIdVa-UlsCw"", ""Interns!D:D""), 
   IMPORTRANGE(""1RdEdgHYrZ33LJ7RUHj_h-qkAFL92bcVjtIdVa-UlsCw"", ""Interns!M:M""), 
   ""Not Found"")"),"Not Found")</f>
        <v>Not Found</v>
      </c>
      <c r="AL1862" s="23" t="str">
        <f>IFERROR(__xludf.DUMMYFUNCTION("XLOOKUP(C1862, 
   IMPORTRANGE(""1RdEdgHYrZ33LJ7RUHj_h-qkAFL92bcVjtIdVa-UlsCw"", ""Interns!D:D""), 
   IMPORTRANGE(""1RdEdgHYrZ33LJ7RUHj_h-qkAFL92bcVjtIdVa-UlsCw"", ""Interns!N:N""), 
   ""Not Found"")"),"Not Found")</f>
        <v>Not Found</v>
      </c>
      <c r="AM1862" s="23" t="str">
        <f>IFERROR(__xludf.DUMMYFUNCTION("XLOOKUP(C1862, 
   IMPORTRANGE(""1RdEdgHYrZ33LJ7RUHj_h-qkAFL92bcVjtIdVa-UlsCw"", ""Interns!D:D""), 
   IMPORTRANGE(""1RdEdgHYrZ33LJ7RUHj_h-qkAFL92bcVjtIdVa-UlsCw"", ""Interns!O:O""), 
   ""Not Found"")"),"Not Found")</f>
        <v>Not Found</v>
      </c>
      <c r="AN1862" s="23"/>
      <c r="AO1862" s="23"/>
      <c r="AP1862" s="28"/>
      <c r="AQ1862" s="28"/>
      <c r="AR1862" s="23"/>
      <c r="AS1862" s="23"/>
      <c r="AT1862" s="23"/>
      <c r="AU1862" s="23"/>
      <c r="AV1862" s="23"/>
    </row>
    <row r="1863">
      <c r="A1863" s="28" t="s">
        <v>5161</v>
      </c>
      <c r="B1863" s="28" t="s">
        <v>5162</v>
      </c>
      <c r="C1863" s="23" t="str">
        <f t="shared" si="39"/>
        <v>Jayda Caimares</v>
      </c>
      <c r="D1863" s="22" t="s">
        <v>16074</v>
      </c>
      <c r="E1863" s="22" t="s">
        <v>16075</v>
      </c>
      <c r="F1863" s="23"/>
      <c r="G1863" s="23"/>
      <c r="H1863" s="22">
        <v>2027.0</v>
      </c>
      <c r="I1863" s="28"/>
      <c r="J1863" s="28"/>
      <c r="K1863" s="28"/>
      <c r="L1863" s="28" t="s">
        <v>5196</v>
      </c>
      <c r="M1863" s="29" t="s">
        <v>16076</v>
      </c>
      <c r="N1863" s="63">
        <v>45575.665972222225</v>
      </c>
      <c r="O1863" s="70"/>
      <c r="P1863" s="28"/>
      <c r="Q1863" s="62" t="s">
        <v>240</v>
      </c>
      <c r="R1863" s="64"/>
      <c r="S1863" s="28"/>
      <c r="T1863" s="28"/>
      <c r="U1863" s="28"/>
      <c r="V1863" s="28"/>
      <c r="W1863" s="28"/>
      <c r="X1863" s="28"/>
      <c r="Y1863" s="64"/>
      <c r="Z1863" s="64"/>
      <c r="AA1863" s="28"/>
      <c r="AB1863" s="23"/>
      <c r="AC1863" s="28"/>
      <c r="AD1863" s="23"/>
      <c r="AE1863" s="28"/>
      <c r="AF1863" s="23"/>
      <c r="AG1863" s="26" t="s">
        <v>5697</v>
      </c>
      <c r="AH1863" s="23" t="str">
        <f>IFERROR(__xludf.DUMMYFUNCTION("IF(
ISNUMBER(MATCH(
C1863,
IMPORTRANGE(""https://docs.google.com/spreadsheets/d/1yTh1ELC33JHYOeEdgIiEclxPRyh0zOKtlawDltfUay8"",""'Interns'!A:A""),
0
)),
""Outreach Conducted"",
"""")"),"")</f>
        <v/>
      </c>
      <c r="AI1863" s="23"/>
      <c r="AJ1863" s="23"/>
      <c r="AK1863" s="23" t="str">
        <f>IFERROR(__xludf.DUMMYFUNCTION("XLOOKUP(C1863, 
   IMPORTRANGE(""1RdEdgHYrZ33LJ7RUHj_h-qkAFL92bcVjtIdVa-UlsCw"", ""Interns!D:D""), 
   IMPORTRANGE(""1RdEdgHYrZ33LJ7RUHj_h-qkAFL92bcVjtIdVa-UlsCw"", ""Interns!M:M""), 
   ""Not Found"")"),"Not Found")</f>
        <v>Not Found</v>
      </c>
      <c r="AL1863" s="23" t="str">
        <f>IFERROR(__xludf.DUMMYFUNCTION("XLOOKUP(C1863, 
   IMPORTRANGE(""1RdEdgHYrZ33LJ7RUHj_h-qkAFL92bcVjtIdVa-UlsCw"", ""Interns!D:D""), 
   IMPORTRANGE(""1RdEdgHYrZ33LJ7RUHj_h-qkAFL92bcVjtIdVa-UlsCw"", ""Interns!N:N""), 
   ""Not Found"")"),"Not Found")</f>
        <v>Not Found</v>
      </c>
      <c r="AM1863" s="23" t="str">
        <f>IFERROR(__xludf.DUMMYFUNCTION("XLOOKUP(C1863, 
   IMPORTRANGE(""1RdEdgHYrZ33LJ7RUHj_h-qkAFL92bcVjtIdVa-UlsCw"", ""Interns!D:D""), 
   IMPORTRANGE(""1RdEdgHYrZ33LJ7RUHj_h-qkAFL92bcVjtIdVa-UlsCw"", ""Interns!O:O""), 
   ""Not Found"")"),"Not Found")</f>
        <v>Not Found</v>
      </c>
      <c r="AN1863" s="23"/>
      <c r="AO1863" s="23"/>
      <c r="AP1863" s="28"/>
      <c r="AQ1863" s="28"/>
      <c r="AR1863" s="23"/>
      <c r="AS1863" s="23"/>
      <c r="AT1863" s="23"/>
      <c r="AU1863" s="23"/>
      <c r="AV1863" s="23"/>
    </row>
    <row r="1864">
      <c r="A1864" s="28" t="s">
        <v>5161</v>
      </c>
      <c r="B1864" s="28" t="s">
        <v>5162</v>
      </c>
      <c r="C1864" s="23" t="str">
        <f t="shared" si="39"/>
        <v>Jason Lee</v>
      </c>
      <c r="D1864" s="22" t="s">
        <v>1676</v>
      </c>
      <c r="E1864" s="22" t="s">
        <v>1078</v>
      </c>
      <c r="F1864" s="23"/>
      <c r="G1864" s="23"/>
      <c r="H1864" s="22">
        <v>1967.0</v>
      </c>
      <c r="I1864" s="28"/>
      <c r="J1864" s="28"/>
      <c r="K1864" s="28"/>
      <c r="L1864" s="28" t="s">
        <v>5165</v>
      </c>
      <c r="M1864" s="29" t="s">
        <v>16077</v>
      </c>
      <c r="N1864" s="63">
        <v>45639.65972222222</v>
      </c>
      <c r="O1864" s="25">
        <v>45639.0</v>
      </c>
      <c r="P1864" s="28">
        <f>DATEDIF(O1864, TODAY(), "Y")</f>
        <v>1</v>
      </c>
      <c r="Q1864" s="62" t="s">
        <v>240</v>
      </c>
      <c r="R1864" s="24"/>
      <c r="S1864" s="28"/>
      <c r="T1864" s="28"/>
      <c r="U1864" s="28"/>
      <c r="V1864" s="28"/>
      <c r="W1864" s="23"/>
      <c r="X1864" s="23"/>
      <c r="Y1864" s="24"/>
      <c r="Z1864" s="24"/>
      <c r="AA1864" s="28"/>
      <c r="AB1864" s="23"/>
      <c r="AC1864" s="28"/>
      <c r="AD1864" s="23"/>
      <c r="AE1864" s="28"/>
      <c r="AF1864" s="23"/>
      <c r="AG1864" s="23"/>
      <c r="AH1864" s="23" t="str">
        <f>IFERROR(__xludf.DUMMYFUNCTION("IF(
ISNUMBER(MATCH(
C1864,
IMPORTRANGE(""https://docs.google.com/spreadsheets/d/1yTh1ELC33JHYOeEdgIiEclxPRyh0zOKtlawDltfUay8"",""'Interns'!A:A""),
0
)),
""Outreach Conducted"",
"""")"),"")</f>
        <v/>
      </c>
      <c r="AI1864" s="23"/>
      <c r="AJ1864" s="23"/>
      <c r="AK1864" s="23"/>
      <c r="AL1864" s="23" t="str">
        <f>IFERROR(__xludf.DUMMYFUNCTION("XLOOKUP(C1864, 
   IMPORTRANGE(""1RdEdgHYrZ33LJ7RUHj_h-qkAFL92bcVjtIdVa-UlsCw"", ""Interns!D:D""), 
   IMPORTRANGE(""1RdEdgHYrZ33LJ7RUHj_h-qkAFL92bcVjtIdVa-UlsCw"", ""Interns!N:N""), 
   ""Not Found"")"),"Not Found")</f>
        <v>Not Found</v>
      </c>
      <c r="AM1864" s="23" t="str">
        <f>IFERROR(__xludf.DUMMYFUNCTION("XLOOKUP(C1864, 
   IMPORTRANGE(""1RdEdgHYrZ33LJ7RUHj_h-qkAFL92bcVjtIdVa-UlsCw"", ""Interns!D:D""), 
   IMPORTRANGE(""1RdEdgHYrZ33LJ7RUHj_h-qkAFL92bcVjtIdVa-UlsCw"", ""Interns!O:O""), 
   ""Not Found"")"),"Not Found")</f>
        <v>Not Found</v>
      </c>
      <c r="AN1864" s="23"/>
      <c r="AO1864" s="23"/>
      <c r="AP1864" s="28"/>
      <c r="AQ1864" s="28"/>
      <c r="AR1864" s="23"/>
      <c r="AS1864" s="23"/>
      <c r="AT1864" s="23"/>
      <c r="AU1864" s="23"/>
      <c r="AV1864" s="23"/>
    </row>
  </sheetData>
  <autoFilter ref="$A$1:$AV$1864"/>
  <dataValidations>
    <dataValidation type="list" allowBlank="1" showErrorMessage="1" sqref="U781 U1274">
      <formula1>"1,2,3,4,5,6,7,8,9,10,11,12,13,14,15,16,17,18,19,20,21,22,23,24,25,26,27,28,29,30,31,32,33,34,35,36,37,38,39,40,41,42,43,44,45,46,47,48,49,50,51,52,53,54,55,57,58,59,60,61,63,65,68,70,71,72,73,74,77,78,79,80,81,82,83,84,85,86,87,89"</formula1>
    </dataValidation>
    <dataValidation type="list" allowBlank="1" showErrorMessage="1" sqref="AC14 AC854 AC1028">
      <formula1>"FY,EL,DL,IL,AL,Seminars,Pathway Days,First Step,EY,Duplicate/TEST"</formula1>
    </dataValidation>
    <dataValidation type="list" allowBlank="1" showErrorMessage="1" sqref="AE2:AE13 AE15:AE34 AE36:AE39 AE41:AE69 AE72:AE94 AE96:AE99 AE101:AE199 AE201:AE211 AE213:AE262 AE265:AE278 AE280:AE356 AE358:AE376 AE379:AE444 AE446:AE451 AE453:AE575 AE577 AE579:AE691 AE693:AE782 AE784:AE791 AE793:AE837 AE840 AE842 AE844:AE853 AE855:AE860 AE862:AE883 AE885:AE887 AE889:AE902 AE904:AE910 AE912:AE917 AE919:AE933 AE936:AE1004 AE1006:AE1027 AE1029:AE1082 AE1084:AE1165 AE1167:AE1199 AE1201:AE1251 AE1253:AE1433 AE1435:AE1576 AE1578:AE1586 AE1588:AE1657 AE1659:AE1815 AE1817:AE1864">
      <formula1>"17-18,18 - 19,19 - 20,20 - 21,21 - 22,22 - 23,23 - 24,24 - 25,25 - 26"</formula1>
    </dataValidation>
    <dataValidation type="list" allowBlank="1" showErrorMessage="1" sqref="B2:B1864">
      <formula1>"Duplicate,Unique"</formula1>
    </dataValidation>
    <dataValidation type="list" allowBlank="1" showErrorMessage="1" sqref="S2:U85 S87:U125 S127:U251 S253:U273 S275:U285 S287:U300 S302:U347 S349:U374 S376:U443 S445:U538 S540:U542 S544:U546 S548:U553 S555:U555 S557:U563 S565:U567 S569:U571 S573:U577 S579:U581 S583:U600 S602:U620 S622:U685 S687:U692 S696:U698 S701:U704 S706:U706 S708:U708 S710:U712 S714:U714 S716:U717 S719:U721 S723:U723 S725:U726 S728:U729 S731:U732 S734:U736 S739:U739 S741:U743 S745:U748 S750:U750 S752:U752 S754:U756 S758:U758 S761:U761 S763:U763 S765:U780 S781:T781 S783:U784 S786:U802 S804:U807 S809:U826 S828:U847 S849:U856 S858:U878 S880:U881 S883:U903 S905:U994 S996:U1007 S1009:U1067 S1069:U1073 S1075:U1080 S1082:U1085 S1087:U1089 S1091:U1093 S1095:U1096 S1098:U1103 S1105:U1105 S1107:U1107 S1109:U1112 S1114:U1116 S1118:U1120 S1122:U1125 S1127:U1129 S1131:U1133 S1135:U1135 S1137:U1139 S1141:U1143 S1145:U1145 S1147:U1154 S1156:U1166 S1168:U1189 S1191:U1194 S1195:T1195 S1198:U1273 S1274:T1274 S1275:U1316 S1319:U1333 S1335:U1337 S1339:U1340 S1342:U1342 S1344:U1348 S1350:U1352 S1354:U1354 S1356:U1360 S1362:U1362 S1364:U1367 S1369:U1369 S1371:U1372 S1375:U1376 S1378:U1379 S1381:U1383 S1385:U1388 S1390:U1392 S1394:U1399 S1401:U1401 S1403:U1405 S1407:U1409 S1411:U1417 S1419:U1481 S1483:U1487 S1489:U1576 S1578:U1595 S1597:U1621 S1623:U1630 S1632:U1643 S1646:U1755 S1757:U1825 S1827:U1837 S1857:U1864">
      <formula1>"1,2,3,4,5,6,7,8,9,10,11,12,13,14,15,16,17,18,19,20,21,22,23,24,25,26,27,28,29,30,31,32,33,34,35,36,37,38,39,40,41,42,43,44,45,46,47,48,49,50,51,52,53,54,55,56,57,58,59,60,61,63,64,65,66,68,70,71,72,73,74,75,76,77,78,79,80,81,82,83,84,85,86,87,89"</formula1>
    </dataValidation>
    <dataValidation type="list" allowBlank="1" showErrorMessage="1" sqref="AA62 AA1482">
      <formula1>"Abraham Lincoln HS ,ACCESS,Academy of Medical Technology,BUSHWICKCHS,CASA,ClaremontIHS,CrotonaIHS,CypressHills,DMLL,DeSoto 130,ELLIS Mission,ELLIS Prep,FlushingHigh,FlushingIHS,Frankford,GCHS,GWHS,HSEI,ICHSBronx,IDEA,IHS Health,IHS Lafayette,IHSProspectHe"&amp;"ights,IHSUnionSquare,IS125Q,IS77,IS93,JFK Campus,MaspethTownHall,Mott Hall HS,NYC - Mission,NYC Mission - Bronx Community and Washington Irving YABC,NYC Mission - Emma Lazarus,P2GBronx,P2GManhattan,PAIHSMonroe,QD24,QueensPrepAcad,SOF,WCSL5,WheelsNYC,East "&amp;"Brunswick HS,(BETA) Bronx Engineering and Technology Academy NY,(BSLF) Bronx School of Law and Finance NY,(BTHS) Bronx Theatre High School NY,American History HS NJ,Bronx Bridges High School 08X432 NY,Brooklyn Bridge Academy,Brooklyn Technical High School"&amp;" NY,Concord High School NY,Dewitt Clinton High School NJ,HS for Enterprise, Business and Technology NY,HS For Environmental Studies NY,HS for Global Citizenship NY,HS of Telecommunication Arts and Technology NY,James Madison High School 22K425 NY,Marble H"&amp;"ill High School for International Studies NY,Millenium HS - NYC"</formula1>
    </dataValidation>
    <dataValidation type="list" allowBlank="1" showErrorMessage="1" sqref="U1195">
      <formula1>"1,2,3,4,5,6,7,8,9,10,11,12,13,14,15,16,17,18,19,20,21,22,23,24,25,26,27,28,29,30,31,32,33,34,35,36,37,38,39,40,41,42,43,44,45,46,47,48,49,50,77"</formula1>
    </dataValidation>
    <dataValidation type="list" allowBlank="1" showErrorMessage="1" sqref="K2:K1864">
      <formula1>"Africa,Asia,Australia,Europe,North America,South America"</formula1>
    </dataValidation>
    <dataValidation type="list" allowBlank="1" showErrorMessage="1" sqref="AD2:AD1864">
      <formula1>"Yes,No"</formula1>
    </dataValidation>
    <dataValidation type="list" allowBlank="1" showErrorMessage="1" sqref="AC2:AC13 AC15:AC853 AC855:AC1027 AC1029:AC1864">
      <formula1>"FY,EL,DL,IL,AL,Seminars,Pathway Days,First Step,EY,Duplicate/TEST"</formula1>
    </dataValidation>
    <dataValidation type="list" allowBlank="1" showErrorMessage="1" sqref="AA2:AA61 AA63:AA538 AA540:AA881 AA883:AA1441 AA1443:AA1481 AA1483:AA1576 AA1578:AA1864">
      <formula1>"Abraham Lincoln HS ,ACCESS,Academy of Medical Technology,BUSHWICKCHS,CASA,ClaremontIHS,CrotonaIHS,CypressHills,DMLL,DeSoto 130,ELLIS Mission,ELLIS Prep,FlushingHigh,FlushingIHS,Frankford,GCHS,GWHS,HSEI,ICHSBronx,IDEA,IHS Health,IHS Lafayette,IHSProspectHe"&amp;"ights,IHSUnionSquare,IS125Q,IS77,IS93,JFK Campus,MaspethTownHall,Mott Hall HS,NYC - Mission,NYC Mission - Bronx Community and Washington Irving YABC,NYC Mission - Emma Lazarus,P2GBronx,P2GManhattan,PAIHSMonroe,QD24,QueensPrepAcad,SOF,WCSL5,WheelsNYC,East "&amp;"Brunswick HS,American History HS NJ,Dewitt Clinton High School NJ,HS For Environmental Studies NY,HS for Global Citizenship NY,Marble Hill High School for International Studies NY,Millenium HS - NYC,HS for Applied Communications,NYCID,Van Buren HS"</formula1>
    </dataValidation>
    <dataValidation type="list" allowBlank="1" showErrorMessage="1" sqref="AG2:AG1864">
      <formula1>"Summit/Soiree 2023,Summit 2024,Summit 2025,#Cheers4Careers,,Alumni Board,ICAN,First Step"</formula1>
    </dataValidation>
    <dataValidation type="list" allowBlank="1" showErrorMessage="1" sqref="AE14 AE35 AE40 AE70:AE71 AE95 AE100 AE200 AE212 AE263:AE264 AE279 AE357 AE377:AE378 AE445 AE452 AE576 AE578 AE692 AE783 AE792 AE838:AE839 AE841 AE843 AE854 AE861 AE884 AE888 AE903 AE911 AE918 AE934:AE935 AE1005 AE1028 AE1083 AE1166 AE1200 AE1252 AE1434 AE1577 AE1587 AE1658 AE1816">
      <formula1>"17-18,18 - 19,19 - 20,20 - 21,21 - 22,22 - 23,23 - 24,24 - 25,25 - 26"</formula1>
    </dataValidation>
    <dataValidation type="list" allowBlank="1" showErrorMessage="1" sqref="V2:V85 S86:V86 V87:V125 S126:V126 V127:V251 S252:V252 V253:V273 S274:V274 V275:V285 S286:V286 V287:V300 S301:V301 V302:V347 S348:V348 V349:V374 S375:V375 V376:V443 S444:V444 V445:V538 S539:V539 V540:V542 S543:V543 V544:V546 S547:V547 V548:V553 S554:V554 V555 S556:V556 V557:V563 S564:V564 V565:V567 S568:V568 V569:V571 S572:V572 V573:V577 S578:V578 V579:V581 S582:V582 V583:V600 S601:V601 V602:V620 S621:V621 V622:V685 S686:V686 V687:V692 S693:V695 V696:V698 S699:V700 V701:V704 S705:V705 V706 S707:V707 V708 S709:V709 V710:V712 S713:V713 V714 S715:V715 V716:V717 S718:V718 V719:V721 S722:V722 V723 S724:V724 V725:V726 S727:V727 V728:V729 S730:V730 V731:V732 S733:V733 V734:V736 S737:V738 V739 S740:V740 V741:V743 S744:V744 V745:V748 S749:V749 V750 S751:V751 V752 S753:V753 V754:V756 S757:V757 V758 S759:V760 V761 S762:V762 V763 S764:V764 V765:V781 S782:V782 V783:V784 S785:V785 V786:V802 S803:V803 V804:V807 S808:V808 V809:V826 S827:V827 V828:V847 S848:V848 V849:V856 S857:V857 V858:V878 S879:V879 V880:V881 S882:V882 V883:V903 S904:V904 V905:V994 S995:V995 V996:V1007 S1008:V1008 V1009:V1067 S1068:V1068 V1069:V1073 S1074:V1074 V1075:V1080 S1081:V1081 V1082:V1085 S1086:V1086 V1087:V1089 S1090:V1090 V1091:V1093 S1094:V1094 V1095:V1096 S1097:V1097 V1098:V1103 S1104:V1104 V1105 S1106:V1106 V1107 S1108:V1108 V1109:V1112 S1113:V1113 V1114:V1116 S1117:V1117 V1118:V1120 S1121:V1121 V1122:V1125 S1126:V1126 V1127:V1129 S1130:V1130 V1131:V1133 S1134:V1134 V1135 S1136:V1136 V1137:V1139 S1140:V1140 V1141:V1143 S1144:V1144 V1145 S1146:V1146 V1147:V1154 S1155:V1155 V1156:V1166 S1167:V1167 V1168:V1189 S1190:V1190 V1191:V1195 S1196:V1197 V1198:V1316 S1317:V1318 V1319:V1333 S1334:V1334 V1335:V1337 S1338:V1338 V1339:V1340 S1341:V1341 V1342 S1343:V1343 V1344:V1348 S1349:V1349 V1350:V1352 S1353:V1353 V1354 S1355:V1355 V1356:V1360 S1361:V1361 V1362 S1363:V1363 V1364:V1367 S1368:V1368 V1369 S1370:V1370 V1371:V1372 S1373:V1374 V1375:V1376 S1377:V1377 V1378:V1379 S1380:V1380 V1381:V1383 S1384:V1384 V1385:V1388 S1389:V1389 V1390:V1392 S1393:V1393 V1394:V1399 S1400:V1400 V1401 S1402:V1402 V1403:V1405 S1406:V1406 V1407:V1409 S1410:V1410 V1411:V1417 S1418:V1418 V1419:V1481 S1482:V1482 V1483:V1487 S1488:V1488 V1489:V1576 S1577:V1577 V1578:V1595 S1596:V1596 V1597:V1621 S1622:V1622 V1623:V1630 S1631:V1631 V1632:V1643 S1644:V1645 V1646:V1755 S1756:V1756 V1757:V1825 S1826:V1826 V1827:V1837 S1838:V1856 V1857:V1864">
      <formula1>"1,2,3,4,5,6,7,8,9,10,11,12,13,14,15,16,17,18,19,20,21,22,23,24,25,26,27,28,29,30,31,32,33,34,35,36,37,38,39,40,41,42,43,44,45,46,47,48,49,50,Newark City Council,Philadelphia City Council District 10,San Antonio City Council District 5"</formula1>
    </dataValidation>
    <dataValidation type="list" allowBlank="1" showErrorMessage="1" sqref="J2:J1864">
      <formula1>"Afghanistan,Albania,Algeria,Andorra,Angola,Antigua and Barbuda,Argentina,Armenia,Australia,Austria,Azerbaijan,Bahamas,Bahrain,Bangladesh,Barbados,Belarus,Belgium,Belize,Benin,Bhutan,Bolivia,Bosnia and Herzegovina,Botswana,Brazil,Brunei,Bulgaria,Burkina Fa"&amp;"so (Upper Volta),Burma,Burundi,Cabo Verde,Cambodia,Cameroon,Canada,Cayman Islands, The,Central African Republic,Chad,Chile,China,Colombia,Comoros,Cook Islands,Costa Rica,Cote d’Ivoire (Ivory Coast),Croatia,Cuba,Cyprus,Czechia,Democratic Republic of the Co"&amp;"ngo,Denmark,Djibouti,Dominica,Dominican Republic,Duchy of Parma, The*,East Germany (German Democratic Republic)*,Ecuador,Egypt,El Salvador,Equatorial Guinea,Eritrea,Estonia,Eswatini,Ethiopia,Fiji,Finland,France,Gabon,Gambia, The,Georgia,Germany,Ghana,Gran"&amp;"d Duchy of Tuscany, The*,Greece,Grenada,Guatemala,Guinea,Guinea-Bissau,Guyana,Haiti,Holy See,Honduras,Hungary,Iceland,India,Indonesia,Iran,Iraq,Ireland,Israel,Italy,Jamaica,Japan,Jordan,Kazakhstan,Kenya,Kingdom of Serbia/Yugoslavia*,Kiribati,Korea,Kosovo,"&amp;"Kuwait,Kyrgyzstan,Laos,Latvia,Lebanon,Lesotho,Liberia,Libya,Liechtenstein,Lithuania,Luxembourg,Madagascar,Malawi,Malaysia,Maldives,Mali,Malta,Marshall Islands,Mauritania,Mauritius,Mexico,Micronesia,Moldova,Monaco,Mongolia,Montenegro,Morocco,Mozambique,Nam"&amp;"ibia,Nauru,Nepal,Netherlands, The,New Zealand,Nicaragua,Niger,Nigeria,Niue,North Macedonia,Norway,Oman,Pakistan,Palau,Panama,Papua New Guinea,Paraguay,Peru,Philippines,Piedmont-Sardinia*,Poland,Portugal,Qatar,Republic of Korea (South Korea),Republic of th"&amp;"e Congo,Romania,Russia,Rwanda,Saint Kitts and Nevis,Saint Lucia,Saint Vincent and the Grenadines,Samoa,San Marino,Sao Tome and Principe,Saudi Arabia,Senegal,Serbia,Seychelles,Sierra Leone,Singapore,Slovakia,Slovenia,Solomon Islands, The,Somalia,South Afri"&amp;"ca,South Sudan,Spain,Sri Lanka,Sudan,Suriname,Sweden,Switzerland,Syria,Tajikistan,Tanzania,Thailand,Timor-Leste,Togo,Tonga,Trinidad and Tobago,Tunisia,Turkey,Turkmenistan,Tuvalu,Uganda,Ukraine,United Arab Emirates, The,United Kingdom, The,Uruguay,Uzbekist"&amp;"an,Vanuatu,Venezuela,Vietnam,Yemen,Zambia,Zimbabwe,Puerto Rico (US Territory),Palestine,St. Martin,Taiwan"</formula1>
    </dataValidation>
    <dataValidation type="list" allowBlank="1" showErrorMessage="1" sqref="AB2:AB1864">
      <formula1>"1,2,3,6,8,9,10,11,15,16,17,18,20,21,23,25,26,30,31,34,35,37,38,40,46,47,48,49,50,Newark City Council,Philadelphia City Council District 10,San Antonio City Council District 5"</formula1>
    </dataValidation>
    <dataValidation type="list" allowBlank="1" showErrorMessage="1" sqref="AA539 AA882 AA1442 AA1577">
      <formula1>"Abraham Lincoln HS ,ACCESS,Academy of Medical Technology,BUSHWICKCHS,CASA,ClaremontIHS,CrotonaIHS,CypressHills,DMLL,DeSoto 130,ELLIS Mission,ELLIS Prep,FlushingHigh,FlushingIHS,Frankford,GCHS,GWHS,HSEI,ICHSBronx,IDEA,IHS Health,IHS Lafayette,IHSProspectHe"&amp;"ights,IHSUnionSquare,IS125Q,IS77,IS93,JFK Campus,MaspethTownHall,Mott Hall HS,NYC - Mission,NYC Mission - Bronx Community and Washington Irving YABC,NYC Mission - Emma Lazarus,P2GBronx,P2GManhattan,PAIHSMonroe,QD24,QueensPrepAcad,SOF,WCSL5,WheelsNYC,East "&amp;"Brunswick HS,American History HS NJ,Concord High School NY,Dewitt Clinton High School NJ,HS For Environmental Studies NY,HS for Global Citizenship NY,Marble Hill High School for International Studies NY,Millenium HS - NYC"</formula1>
    </dataValidation>
    <dataValidation type="list" allowBlank="1" showErrorMessage="1" sqref="AK2:AK1864">
      <formula1>"Not Contacted,Contacted,In Communication,Declined Further Interest,RSVP'd,Attended"</formula1>
    </dataValidation>
    <dataValidation type="list" allowBlank="1" showErrorMessage="1" sqref="A2:A1864">
      <formula1>"Alum,Inactive"</formula1>
    </dataValidation>
  </dataValidations>
  <hyperlinks>
    <hyperlink r:id="rId1" location="find=32-12%20102nd%20St%2C%20Flushing%2C%20NY%2C%2011369%2C%20USA" ref="S1"/>
    <hyperlink r:id="rId2" location="find=32-12%20102nd%20St%2C%20Flushing%2C%20NY%2C%2011369%2C%20USA" ref="T1"/>
    <hyperlink r:id="rId3" location="find=32-12%20102nd%20St%2C%20Flushing%2C%20NY%2C%2011369%2C%20USA" ref="U1"/>
    <hyperlink r:id="rId4" location="gid=0" ref="V1"/>
    <hyperlink r:id="rId5" location="gid=0" ref="AB1"/>
    <hyperlink r:id="rId6" location="gid=1312404287" ref="AH1"/>
    <hyperlink r:id="rId7" location="gid=941952944" ref="AJ1"/>
    <hyperlink r:id="rId8" ref="AK1"/>
    <hyperlink r:id="rId9" location="gid=1045783169" ref="AS1"/>
    <hyperlink r:id="rId10" ref="M2"/>
    <hyperlink r:id="rId11" ref="M3"/>
    <hyperlink r:id="rId12" ref="M4"/>
    <hyperlink r:id="rId13" ref="M5"/>
    <hyperlink r:id="rId14" ref="M6"/>
    <hyperlink r:id="rId15" ref="M7"/>
    <hyperlink r:id="rId16" ref="M8"/>
    <hyperlink r:id="rId17" ref="M9"/>
    <hyperlink r:id="rId18" ref="M10"/>
    <hyperlink r:id="rId19" ref="M11"/>
    <hyperlink r:id="rId20" ref="M12"/>
    <hyperlink r:id="rId21" ref="M13"/>
    <hyperlink r:id="rId22" ref="M14"/>
    <hyperlink r:id="rId23" ref="M15"/>
    <hyperlink r:id="rId24" ref="M16"/>
    <hyperlink r:id="rId25" ref="M17"/>
    <hyperlink r:id="rId26" ref="M18"/>
    <hyperlink r:id="rId27" ref="M19"/>
    <hyperlink r:id="rId28" ref="M20"/>
    <hyperlink r:id="rId29" ref="M21"/>
    <hyperlink r:id="rId30" ref="M22"/>
    <hyperlink r:id="rId31" ref="M23"/>
    <hyperlink r:id="rId32" ref="M24"/>
    <hyperlink r:id="rId33" ref="M25"/>
    <hyperlink r:id="rId34" ref="M27"/>
    <hyperlink r:id="rId35" ref="M28"/>
    <hyperlink r:id="rId36" ref="M29"/>
    <hyperlink r:id="rId37" ref="M30"/>
    <hyperlink r:id="rId38" ref="M31"/>
    <hyperlink r:id="rId39" ref="M32"/>
    <hyperlink r:id="rId40" ref="M33"/>
    <hyperlink r:id="rId41" ref="M34"/>
    <hyperlink r:id="rId42" ref="M35"/>
    <hyperlink r:id="rId43" ref="M36"/>
    <hyperlink r:id="rId44" ref="M37"/>
    <hyperlink r:id="rId45" ref="M39"/>
    <hyperlink r:id="rId46" ref="M40"/>
    <hyperlink r:id="rId47" ref="M41"/>
    <hyperlink r:id="rId48" ref="M43"/>
    <hyperlink r:id="rId49" ref="M44"/>
    <hyperlink r:id="rId50" ref="M45"/>
    <hyperlink r:id="rId51" ref="M46"/>
    <hyperlink r:id="rId52" ref="M47"/>
    <hyperlink r:id="rId53" ref="M48"/>
    <hyperlink r:id="rId54" ref="M49"/>
    <hyperlink r:id="rId55" ref="M50"/>
    <hyperlink r:id="rId56" ref="M51"/>
    <hyperlink r:id="rId57" ref="M52"/>
    <hyperlink r:id="rId58" ref="M53"/>
    <hyperlink r:id="rId59" ref="M54"/>
    <hyperlink r:id="rId60" ref="M55"/>
    <hyperlink r:id="rId61" ref="M56"/>
    <hyperlink r:id="rId62" ref="M57"/>
    <hyperlink r:id="rId63" ref="M58"/>
    <hyperlink r:id="rId64" ref="M59"/>
    <hyperlink r:id="rId65" ref="M60"/>
    <hyperlink r:id="rId66" ref="M61"/>
    <hyperlink r:id="rId67" ref="M62"/>
    <hyperlink r:id="rId68" ref="M63"/>
    <hyperlink r:id="rId69" ref="M64"/>
    <hyperlink r:id="rId70" ref="M65"/>
    <hyperlink r:id="rId71" ref="M66"/>
    <hyperlink r:id="rId72" ref="M69"/>
    <hyperlink r:id="rId73" ref="M70"/>
    <hyperlink r:id="rId74" ref="M71"/>
    <hyperlink r:id="rId75" ref="M72"/>
    <hyperlink r:id="rId76" ref="M73"/>
    <hyperlink r:id="rId77" ref="M74"/>
    <hyperlink r:id="rId78" ref="M75"/>
    <hyperlink r:id="rId79" ref="M76"/>
    <hyperlink r:id="rId80" ref="M77"/>
    <hyperlink r:id="rId81" ref="M78"/>
    <hyperlink r:id="rId82" ref="M79"/>
    <hyperlink r:id="rId83" ref="M80"/>
    <hyperlink r:id="rId84" ref="M81"/>
    <hyperlink r:id="rId85" ref="M82"/>
    <hyperlink r:id="rId86" ref="M83"/>
    <hyperlink r:id="rId87" ref="M84"/>
    <hyperlink r:id="rId88" ref="M85"/>
    <hyperlink r:id="rId89" ref="M86"/>
    <hyperlink r:id="rId90" ref="M87"/>
    <hyperlink r:id="rId91" ref="M89"/>
    <hyperlink r:id="rId92" ref="M90"/>
    <hyperlink r:id="rId93" ref="M91"/>
    <hyperlink r:id="rId94" ref="M92"/>
    <hyperlink r:id="rId95" ref="M93"/>
    <hyperlink r:id="rId96" ref="M94"/>
    <hyperlink r:id="rId97" ref="M95"/>
    <hyperlink r:id="rId98" ref="M96"/>
    <hyperlink r:id="rId99" ref="M97"/>
    <hyperlink r:id="rId100" ref="M98"/>
    <hyperlink r:id="rId101" ref="M99"/>
    <hyperlink r:id="rId102" ref="M100"/>
    <hyperlink r:id="rId103" ref="M101"/>
    <hyperlink r:id="rId104" ref="M102"/>
    <hyperlink r:id="rId105" ref="M103"/>
    <hyperlink r:id="rId106" ref="M104"/>
    <hyperlink r:id="rId107" ref="M105"/>
    <hyperlink r:id="rId108" ref="M106"/>
    <hyperlink r:id="rId109" ref="M107"/>
    <hyperlink r:id="rId110" ref="M108"/>
    <hyperlink r:id="rId111" ref="M109"/>
    <hyperlink r:id="rId112" ref="M110"/>
    <hyperlink r:id="rId113" ref="M111"/>
    <hyperlink r:id="rId114" ref="M112"/>
    <hyperlink r:id="rId115" ref="M113"/>
    <hyperlink r:id="rId116" ref="M114"/>
    <hyperlink r:id="rId117" ref="M115"/>
    <hyperlink r:id="rId118" ref="M116"/>
    <hyperlink r:id="rId119" ref="M117"/>
    <hyperlink r:id="rId120" ref="M118"/>
    <hyperlink r:id="rId121" ref="M119"/>
    <hyperlink r:id="rId122" ref="M120"/>
    <hyperlink r:id="rId123" ref="M121"/>
    <hyperlink r:id="rId124" ref="M122"/>
    <hyperlink r:id="rId125" ref="M123"/>
    <hyperlink r:id="rId126" ref="M124"/>
    <hyperlink r:id="rId127" ref="M125"/>
    <hyperlink r:id="rId128" ref="M126"/>
    <hyperlink r:id="rId129" ref="M127"/>
    <hyperlink r:id="rId130" ref="M128"/>
    <hyperlink r:id="rId131" ref="M129"/>
    <hyperlink r:id="rId132" ref="M130"/>
    <hyperlink r:id="rId133" ref="M131"/>
    <hyperlink r:id="rId134" ref="M132"/>
    <hyperlink r:id="rId135" ref="M133"/>
    <hyperlink r:id="rId136" ref="M134"/>
    <hyperlink r:id="rId137" ref="M135"/>
    <hyperlink r:id="rId138" ref="M136"/>
    <hyperlink r:id="rId139" ref="M137"/>
    <hyperlink r:id="rId140" ref="M138"/>
    <hyperlink r:id="rId141" ref="M139"/>
    <hyperlink r:id="rId142" ref="M140"/>
    <hyperlink r:id="rId143" ref="M141"/>
    <hyperlink r:id="rId144" ref="M142"/>
    <hyperlink r:id="rId145" ref="M143"/>
    <hyperlink r:id="rId146" ref="M144"/>
    <hyperlink r:id="rId147" ref="M145"/>
    <hyperlink r:id="rId148" ref="M148"/>
    <hyperlink r:id="rId149" ref="M149"/>
    <hyperlink r:id="rId150" ref="M150"/>
    <hyperlink r:id="rId151" ref="M151"/>
    <hyperlink r:id="rId152" ref="M152"/>
    <hyperlink r:id="rId153" ref="M153"/>
    <hyperlink r:id="rId154" ref="M154"/>
    <hyperlink r:id="rId155" ref="M155"/>
    <hyperlink r:id="rId156" ref="M156"/>
    <hyperlink r:id="rId157" ref="M157"/>
    <hyperlink r:id="rId158" ref="M158"/>
    <hyperlink r:id="rId159" ref="M159"/>
    <hyperlink r:id="rId160" ref="M160"/>
    <hyperlink r:id="rId161" ref="M161"/>
    <hyperlink r:id="rId162" ref="M162"/>
    <hyperlink r:id="rId163" ref="M163"/>
    <hyperlink r:id="rId164" ref="M164"/>
    <hyperlink r:id="rId165" ref="M165"/>
    <hyperlink r:id="rId166" ref="M166"/>
    <hyperlink r:id="rId167" ref="M167"/>
    <hyperlink r:id="rId168" ref="M168"/>
    <hyperlink r:id="rId169" ref="M169"/>
    <hyperlink r:id="rId170" ref="M170"/>
    <hyperlink r:id="rId171" ref="M171"/>
    <hyperlink r:id="rId172" ref="M172"/>
    <hyperlink r:id="rId173" ref="M173"/>
    <hyperlink r:id="rId174" ref="M174"/>
    <hyperlink r:id="rId175" ref="M175"/>
    <hyperlink r:id="rId176" ref="M176"/>
    <hyperlink r:id="rId177" ref="M179"/>
    <hyperlink r:id="rId178" ref="M180"/>
    <hyperlink r:id="rId179" ref="M181"/>
    <hyperlink r:id="rId180" ref="M182"/>
    <hyperlink r:id="rId181" ref="M183"/>
    <hyperlink r:id="rId182" ref="M184"/>
    <hyperlink r:id="rId183" ref="M185"/>
    <hyperlink r:id="rId184" ref="M186"/>
    <hyperlink r:id="rId185" ref="M187"/>
    <hyperlink r:id="rId186" ref="M188"/>
    <hyperlink r:id="rId187" ref="M189"/>
    <hyperlink r:id="rId188" ref="M190"/>
    <hyperlink r:id="rId189" ref="M191"/>
    <hyperlink r:id="rId190" ref="M192"/>
    <hyperlink r:id="rId191" ref="M193"/>
    <hyperlink r:id="rId192" ref="M194"/>
    <hyperlink r:id="rId193" ref="M195"/>
    <hyperlink r:id="rId194" ref="M196"/>
    <hyperlink r:id="rId195" ref="M197"/>
    <hyperlink r:id="rId196" ref="M198"/>
    <hyperlink r:id="rId197" ref="M199"/>
    <hyperlink r:id="rId198" ref="M200"/>
    <hyperlink r:id="rId199" ref="M201"/>
    <hyperlink r:id="rId200" ref="M202"/>
    <hyperlink r:id="rId201" ref="M203"/>
    <hyperlink r:id="rId202" ref="M204"/>
    <hyperlink r:id="rId203" ref="M205"/>
    <hyperlink r:id="rId204" ref="M206"/>
    <hyperlink r:id="rId205" ref="M207"/>
    <hyperlink r:id="rId206" ref="M208"/>
    <hyperlink r:id="rId207" ref="M209"/>
    <hyperlink r:id="rId208" ref="M210"/>
    <hyperlink r:id="rId209" ref="M211"/>
    <hyperlink r:id="rId210" ref="M212"/>
    <hyperlink r:id="rId211" ref="M213"/>
    <hyperlink r:id="rId212" ref="M214"/>
    <hyperlink r:id="rId213" ref="M215"/>
    <hyperlink r:id="rId214" ref="M216"/>
    <hyperlink r:id="rId215" ref="M217"/>
    <hyperlink r:id="rId216" ref="M218"/>
    <hyperlink r:id="rId217" ref="M219"/>
    <hyperlink r:id="rId218" ref="M220"/>
    <hyperlink r:id="rId219" ref="M221"/>
    <hyperlink r:id="rId220" ref="M222"/>
    <hyperlink r:id="rId221" ref="M223"/>
    <hyperlink r:id="rId222" ref="M224"/>
    <hyperlink r:id="rId223" ref="M225"/>
    <hyperlink r:id="rId224" ref="M226"/>
    <hyperlink r:id="rId225" ref="M227"/>
    <hyperlink r:id="rId226" ref="M228"/>
    <hyperlink r:id="rId227" ref="M229"/>
    <hyperlink r:id="rId228" ref="M230"/>
    <hyperlink r:id="rId229" ref="M231"/>
    <hyperlink r:id="rId230" ref="M232"/>
    <hyperlink r:id="rId231" ref="M233"/>
    <hyperlink r:id="rId232" ref="M234"/>
    <hyperlink r:id="rId233" ref="M235"/>
    <hyperlink r:id="rId234" ref="M236"/>
    <hyperlink r:id="rId235" ref="M237"/>
    <hyperlink r:id="rId236" ref="M238"/>
    <hyperlink r:id="rId237" ref="M239"/>
    <hyperlink r:id="rId238" ref="M240"/>
    <hyperlink r:id="rId239" ref="M241"/>
    <hyperlink r:id="rId240" ref="M242"/>
    <hyperlink r:id="rId241" ref="M243"/>
    <hyperlink r:id="rId242" ref="M244"/>
    <hyperlink r:id="rId243" ref="M245"/>
    <hyperlink r:id="rId244" ref="M246"/>
    <hyperlink r:id="rId245" ref="M247"/>
    <hyperlink r:id="rId246" ref="M248"/>
    <hyperlink r:id="rId247" ref="M249"/>
    <hyperlink r:id="rId248" ref="M250"/>
    <hyperlink r:id="rId249" ref="M251"/>
    <hyperlink r:id="rId250" ref="M252"/>
    <hyperlink r:id="rId251" ref="M253"/>
    <hyperlink r:id="rId252" ref="M254"/>
    <hyperlink r:id="rId253" ref="M255"/>
    <hyperlink r:id="rId254" ref="M256"/>
    <hyperlink r:id="rId255" ref="M257"/>
    <hyperlink r:id="rId256" ref="M258"/>
    <hyperlink r:id="rId257" ref="M259"/>
    <hyperlink r:id="rId258" ref="M260"/>
    <hyperlink r:id="rId259" ref="M261"/>
    <hyperlink r:id="rId260" ref="M262"/>
    <hyperlink r:id="rId261" ref="M263"/>
    <hyperlink r:id="rId262" ref="M264"/>
    <hyperlink r:id="rId263" ref="M265"/>
    <hyperlink r:id="rId264" ref="M266"/>
    <hyperlink r:id="rId265" ref="M267"/>
    <hyperlink r:id="rId266" ref="M268"/>
    <hyperlink r:id="rId267" ref="M269"/>
    <hyperlink r:id="rId268" ref="M270"/>
    <hyperlink r:id="rId269" ref="M271"/>
    <hyperlink r:id="rId270" ref="M272"/>
    <hyperlink r:id="rId271" ref="M273"/>
    <hyperlink r:id="rId272" ref="M274"/>
    <hyperlink r:id="rId273" ref="M275"/>
    <hyperlink r:id="rId274" ref="M276"/>
    <hyperlink r:id="rId275" ref="M277"/>
    <hyperlink r:id="rId276" ref="M278"/>
    <hyperlink r:id="rId277" ref="M279"/>
    <hyperlink r:id="rId278" ref="M280"/>
    <hyperlink r:id="rId279" ref="M281"/>
    <hyperlink r:id="rId280" ref="M282"/>
    <hyperlink r:id="rId281" ref="M283"/>
    <hyperlink r:id="rId282" ref="M284"/>
    <hyperlink r:id="rId283" ref="M285"/>
    <hyperlink r:id="rId284" ref="M286"/>
    <hyperlink r:id="rId285" ref="M287"/>
    <hyperlink r:id="rId286" ref="M288"/>
    <hyperlink r:id="rId287" ref="M289"/>
    <hyperlink r:id="rId288" ref="M290"/>
    <hyperlink r:id="rId289" ref="M291"/>
    <hyperlink r:id="rId290" ref="M292"/>
    <hyperlink r:id="rId291" ref="M293"/>
    <hyperlink r:id="rId292" ref="M294"/>
    <hyperlink r:id="rId293" ref="M295"/>
    <hyperlink r:id="rId294" ref="M296"/>
    <hyperlink r:id="rId295" ref="M297"/>
    <hyperlink r:id="rId296" ref="M298"/>
    <hyperlink r:id="rId297" ref="M299"/>
    <hyperlink r:id="rId298" ref="M300"/>
    <hyperlink r:id="rId299" ref="M301"/>
    <hyperlink r:id="rId300" ref="M302"/>
    <hyperlink r:id="rId301" ref="M303"/>
    <hyperlink r:id="rId302" ref="M304"/>
    <hyperlink r:id="rId303" ref="M306"/>
    <hyperlink r:id="rId304" ref="M307"/>
    <hyperlink r:id="rId305" ref="M308"/>
    <hyperlink r:id="rId306" ref="M309"/>
    <hyperlink r:id="rId307" ref="M310"/>
    <hyperlink r:id="rId308" ref="M311"/>
    <hyperlink r:id="rId309" ref="M312"/>
    <hyperlink r:id="rId310" ref="M313"/>
    <hyperlink r:id="rId311" ref="M314"/>
    <hyperlink r:id="rId312" ref="M315"/>
    <hyperlink r:id="rId313" ref="M316"/>
    <hyperlink r:id="rId314" ref="M317"/>
    <hyperlink r:id="rId315" ref="M318"/>
    <hyperlink r:id="rId316" ref="M319"/>
    <hyperlink r:id="rId317" ref="M320"/>
    <hyperlink r:id="rId318" ref="M321"/>
    <hyperlink r:id="rId319" ref="M322"/>
    <hyperlink r:id="rId320" ref="M323"/>
    <hyperlink r:id="rId321" ref="M324"/>
    <hyperlink r:id="rId322" ref="M325"/>
    <hyperlink r:id="rId323" ref="M326"/>
    <hyperlink r:id="rId324" ref="M327"/>
    <hyperlink r:id="rId325" ref="M328"/>
    <hyperlink r:id="rId326" ref="M329"/>
    <hyperlink r:id="rId327" ref="M330"/>
    <hyperlink r:id="rId328" ref="M331"/>
    <hyperlink r:id="rId329" ref="M332"/>
    <hyperlink r:id="rId330" ref="M333"/>
    <hyperlink r:id="rId331" ref="M334"/>
    <hyperlink r:id="rId332" ref="M335"/>
    <hyperlink r:id="rId333" ref="M336"/>
    <hyperlink r:id="rId334" ref="M337"/>
    <hyperlink r:id="rId335" ref="M338"/>
    <hyperlink r:id="rId336" ref="M339"/>
    <hyperlink r:id="rId337" ref="M340"/>
    <hyperlink r:id="rId338" ref="M341"/>
    <hyperlink r:id="rId339" ref="M342"/>
    <hyperlink r:id="rId340" ref="M343"/>
    <hyperlink r:id="rId341" ref="M344"/>
    <hyperlink r:id="rId342" ref="M345"/>
    <hyperlink r:id="rId343" ref="M346"/>
    <hyperlink r:id="rId344" ref="M347"/>
    <hyperlink r:id="rId345" ref="M348"/>
    <hyperlink r:id="rId346" ref="M349"/>
    <hyperlink r:id="rId347" ref="M350"/>
    <hyperlink r:id="rId348" ref="M351"/>
    <hyperlink r:id="rId349" ref="M352"/>
    <hyperlink r:id="rId350" ref="M353"/>
    <hyperlink r:id="rId351" ref="M354"/>
    <hyperlink r:id="rId352" ref="M355"/>
    <hyperlink r:id="rId353" ref="M356"/>
    <hyperlink r:id="rId354" ref="M357"/>
    <hyperlink r:id="rId355" ref="M358"/>
    <hyperlink r:id="rId356" ref="M359"/>
    <hyperlink r:id="rId357" ref="M360"/>
    <hyperlink r:id="rId358" ref="M361"/>
    <hyperlink r:id="rId359" ref="M362"/>
    <hyperlink r:id="rId360" ref="M363"/>
    <hyperlink r:id="rId361" ref="M364"/>
    <hyperlink r:id="rId362" ref="M365"/>
    <hyperlink r:id="rId363" ref="M366"/>
    <hyperlink r:id="rId364" ref="M367"/>
    <hyperlink r:id="rId365" ref="M368"/>
    <hyperlink r:id="rId366" ref="M369"/>
    <hyperlink r:id="rId367" ref="M370"/>
    <hyperlink r:id="rId368" ref="M371"/>
    <hyperlink r:id="rId369" ref="M372"/>
    <hyperlink r:id="rId370" ref="M373"/>
    <hyperlink r:id="rId371" ref="M374"/>
    <hyperlink r:id="rId372" ref="M375"/>
    <hyperlink r:id="rId373" ref="M376"/>
    <hyperlink r:id="rId374" ref="M377"/>
    <hyperlink r:id="rId375" ref="M378"/>
    <hyperlink r:id="rId376" ref="M379"/>
    <hyperlink r:id="rId377" ref="M380"/>
    <hyperlink r:id="rId378" ref="M381"/>
    <hyperlink r:id="rId379" ref="M382"/>
    <hyperlink r:id="rId380" ref="M383"/>
    <hyperlink r:id="rId381" ref="M384"/>
    <hyperlink r:id="rId382" ref="M385"/>
    <hyperlink r:id="rId383" ref="M386"/>
    <hyperlink r:id="rId384" ref="M387"/>
    <hyperlink r:id="rId385" ref="M388"/>
    <hyperlink r:id="rId386" ref="M389"/>
    <hyperlink r:id="rId387" ref="M390"/>
    <hyperlink r:id="rId388" ref="M391"/>
    <hyperlink r:id="rId389" ref="M392"/>
    <hyperlink r:id="rId390" ref="M393"/>
    <hyperlink r:id="rId391" ref="M394"/>
    <hyperlink r:id="rId392" ref="M395"/>
    <hyperlink r:id="rId393" ref="M396"/>
    <hyperlink r:id="rId394" ref="M397"/>
    <hyperlink r:id="rId395" ref="M398"/>
    <hyperlink r:id="rId396" ref="M399"/>
    <hyperlink r:id="rId397" ref="M400"/>
    <hyperlink r:id="rId398" ref="M401"/>
    <hyperlink r:id="rId399" ref="M402"/>
    <hyperlink r:id="rId400" ref="M403"/>
    <hyperlink r:id="rId401" ref="M404"/>
    <hyperlink r:id="rId402" ref="M405"/>
    <hyperlink r:id="rId403" ref="M406"/>
    <hyperlink r:id="rId404" ref="M407"/>
    <hyperlink r:id="rId405" ref="M408"/>
    <hyperlink r:id="rId406" ref="M410"/>
    <hyperlink r:id="rId407" ref="M411"/>
    <hyperlink r:id="rId408" ref="M413"/>
    <hyperlink r:id="rId409" ref="M414"/>
    <hyperlink r:id="rId410" ref="M415"/>
    <hyperlink r:id="rId411" ref="M416"/>
    <hyperlink r:id="rId412" ref="M417"/>
    <hyperlink r:id="rId413" ref="M418"/>
    <hyperlink r:id="rId414" ref="M419"/>
    <hyperlink r:id="rId415" ref="M420"/>
    <hyperlink r:id="rId416" ref="M421"/>
    <hyperlink r:id="rId417" ref="M422"/>
    <hyperlink r:id="rId418" ref="M423"/>
    <hyperlink r:id="rId419" ref="M424"/>
    <hyperlink r:id="rId420" ref="M425"/>
    <hyperlink r:id="rId421" ref="M426"/>
    <hyperlink r:id="rId422" ref="M427"/>
    <hyperlink r:id="rId423" ref="M428"/>
    <hyperlink r:id="rId424" ref="M429"/>
    <hyperlink r:id="rId425" ref="M430"/>
    <hyperlink r:id="rId426" ref="M431"/>
    <hyperlink r:id="rId427" ref="M432"/>
    <hyperlink r:id="rId428" ref="M433"/>
    <hyperlink r:id="rId429" ref="M434"/>
    <hyperlink r:id="rId430" ref="M435"/>
    <hyperlink r:id="rId431" ref="M436"/>
    <hyperlink r:id="rId432" ref="M437"/>
    <hyperlink r:id="rId433" ref="M438"/>
    <hyperlink r:id="rId434" ref="M439"/>
    <hyperlink r:id="rId435" ref="M440"/>
    <hyperlink r:id="rId436" ref="M441"/>
    <hyperlink r:id="rId437" ref="M442"/>
    <hyperlink r:id="rId438" ref="M443"/>
    <hyperlink r:id="rId439" ref="M444"/>
    <hyperlink r:id="rId440" ref="M445"/>
    <hyperlink r:id="rId441" ref="M446"/>
    <hyperlink r:id="rId442" ref="M447"/>
    <hyperlink r:id="rId443" ref="M448"/>
    <hyperlink r:id="rId444" ref="M449"/>
    <hyperlink r:id="rId445" ref="M450"/>
    <hyperlink r:id="rId446" ref="M451"/>
    <hyperlink r:id="rId447" ref="M452"/>
    <hyperlink r:id="rId448" ref="M453"/>
    <hyperlink r:id="rId449" ref="M454"/>
    <hyperlink r:id="rId450" ref="M455"/>
    <hyperlink r:id="rId451" ref="M456"/>
    <hyperlink r:id="rId452" ref="M457"/>
    <hyperlink r:id="rId453" ref="M458"/>
    <hyperlink r:id="rId454" ref="M459"/>
    <hyperlink r:id="rId455" ref="M460"/>
    <hyperlink r:id="rId456" ref="M461"/>
    <hyperlink r:id="rId457" ref="M462"/>
    <hyperlink r:id="rId458" ref="M463"/>
    <hyperlink r:id="rId459" ref="M464"/>
    <hyperlink r:id="rId460" ref="M465"/>
    <hyperlink r:id="rId461" ref="M466"/>
    <hyperlink r:id="rId462" ref="M467"/>
    <hyperlink r:id="rId463" ref="M468"/>
    <hyperlink r:id="rId464" ref="M469"/>
    <hyperlink r:id="rId465" ref="M470"/>
    <hyperlink r:id="rId466" ref="M471"/>
    <hyperlink r:id="rId467" ref="M472"/>
    <hyperlink r:id="rId468" ref="M473"/>
    <hyperlink r:id="rId469" ref="M474"/>
    <hyperlink r:id="rId470" ref="M475"/>
    <hyperlink r:id="rId471" ref="M476"/>
    <hyperlink r:id="rId472" ref="M477"/>
    <hyperlink r:id="rId473" ref="M478"/>
    <hyperlink r:id="rId474" ref="M479"/>
    <hyperlink r:id="rId475" ref="M480"/>
    <hyperlink r:id="rId476" ref="M481"/>
    <hyperlink r:id="rId477" ref="M482"/>
    <hyperlink r:id="rId478" ref="M483"/>
    <hyperlink r:id="rId479" ref="M484"/>
    <hyperlink r:id="rId480" ref="M485"/>
    <hyperlink r:id="rId481" ref="M486"/>
    <hyperlink r:id="rId482" ref="M487"/>
    <hyperlink r:id="rId483" ref="M488"/>
    <hyperlink r:id="rId484" ref="M489"/>
    <hyperlink r:id="rId485" ref="M490"/>
    <hyperlink r:id="rId486" ref="M491"/>
    <hyperlink r:id="rId487" ref="M492"/>
    <hyperlink r:id="rId488" ref="M493"/>
    <hyperlink r:id="rId489" ref="M494"/>
    <hyperlink r:id="rId490" ref="M495"/>
    <hyperlink r:id="rId491" ref="M496"/>
    <hyperlink r:id="rId492" ref="M497"/>
    <hyperlink r:id="rId493" ref="M498"/>
    <hyperlink r:id="rId494" ref="M499"/>
    <hyperlink r:id="rId495" ref="M500"/>
    <hyperlink r:id="rId496" ref="M501"/>
    <hyperlink r:id="rId497" ref="M502"/>
    <hyperlink r:id="rId498" ref="M503"/>
    <hyperlink r:id="rId499" ref="M504"/>
    <hyperlink r:id="rId500" ref="M505"/>
    <hyperlink r:id="rId501" ref="M506"/>
    <hyperlink r:id="rId502" ref="M507"/>
    <hyperlink r:id="rId503" ref="M508"/>
    <hyperlink r:id="rId504" ref="M509"/>
    <hyperlink r:id="rId505" ref="M510"/>
    <hyperlink r:id="rId506" ref="M511"/>
    <hyperlink r:id="rId507" ref="M512"/>
    <hyperlink r:id="rId508" ref="M513"/>
    <hyperlink r:id="rId509" ref="M514"/>
    <hyperlink r:id="rId510" ref="M515"/>
    <hyperlink r:id="rId511" ref="M516"/>
    <hyperlink r:id="rId512" ref="M517"/>
    <hyperlink r:id="rId513" ref="M518"/>
    <hyperlink r:id="rId514" ref="M519"/>
    <hyperlink r:id="rId515" ref="M520"/>
    <hyperlink r:id="rId516" ref="M521"/>
    <hyperlink r:id="rId517" ref="M522"/>
    <hyperlink r:id="rId518" ref="M523"/>
    <hyperlink r:id="rId519" ref="M524"/>
    <hyperlink r:id="rId520" ref="M525"/>
    <hyperlink r:id="rId521" ref="M526"/>
    <hyperlink r:id="rId522" ref="M527"/>
    <hyperlink r:id="rId523" ref="M528"/>
    <hyperlink r:id="rId524" ref="M529"/>
    <hyperlink r:id="rId525" ref="M530"/>
    <hyperlink r:id="rId526" ref="M531"/>
    <hyperlink r:id="rId527" ref="M532"/>
    <hyperlink r:id="rId528" ref="M533"/>
    <hyperlink r:id="rId529" ref="M534"/>
    <hyperlink r:id="rId530" ref="M535"/>
    <hyperlink r:id="rId531" ref="M536"/>
    <hyperlink r:id="rId532" ref="M537"/>
    <hyperlink r:id="rId533" ref="M538"/>
    <hyperlink r:id="rId534" ref="M539"/>
    <hyperlink r:id="rId535" ref="M540"/>
    <hyperlink r:id="rId536" ref="M541"/>
    <hyperlink r:id="rId537" ref="M542"/>
    <hyperlink r:id="rId538" ref="M543"/>
    <hyperlink r:id="rId539" ref="M544"/>
    <hyperlink r:id="rId540" ref="M545"/>
    <hyperlink r:id="rId541" ref="M546"/>
    <hyperlink r:id="rId542" ref="M547"/>
    <hyperlink r:id="rId543" ref="M548"/>
    <hyperlink r:id="rId544" ref="M549"/>
    <hyperlink r:id="rId545" ref="M550"/>
    <hyperlink r:id="rId546" ref="M551"/>
    <hyperlink r:id="rId547" ref="M553"/>
    <hyperlink r:id="rId548" ref="M554"/>
    <hyperlink r:id="rId549" ref="M555"/>
    <hyperlink r:id="rId550" ref="M556"/>
    <hyperlink r:id="rId551" ref="M557"/>
    <hyperlink r:id="rId552" ref="M558"/>
    <hyperlink r:id="rId553" ref="M559"/>
    <hyperlink r:id="rId554" ref="M560"/>
    <hyperlink r:id="rId555" ref="M561"/>
    <hyperlink r:id="rId556" ref="M562"/>
    <hyperlink r:id="rId557" ref="M563"/>
    <hyperlink r:id="rId558" ref="M564"/>
    <hyperlink r:id="rId559" ref="M565"/>
    <hyperlink r:id="rId560" ref="M566"/>
    <hyperlink r:id="rId561" ref="M567"/>
    <hyperlink r:id="rId562" ref="M568"/>
    <hyperlink r:id="rId563" ref="M569"/>
    <hyperlink r:id="rId564" ref="M570"/>
    <hyperlink r:id="rId565" ref="M571"/>
    <hyperlink r:id="rId566" ref="M572"/>
    <hyperlink r:id="rId567" ref="M573"/>
    <hyperlink r:id="rId568" ref="M574"/>
    <hyperlink r:id="rId569" ref="M575"/>
    <hyperlink r:id="rId570" ref="M576"/>
    <hyperlink r:id="rId571" ref="M577"/>
    <hyperlink r:id="rId572" ref="M578"/>
    <hyperlink r:id="rId573" ref="M579"/>
    <hyperlink r:id="rId574" ref="M580"/>
    <hyperlink r:id="rId575" ref="M581"/>
    <hyperlink r:id="rId576" ref="M582"/>
    <hyperlink r:id="rId577" ref="M583"/>
    <hyperlink r:id="rId578" ref="M584"/>
    <hyperlink r:id="rId579" ref="M585"/>
    <hyperlink r:id="rId580" ref="M586"/>
    <hyperlink r:id="rId581" ref="M587"/>
    <hyperlink r:id="rId582" ref="M588"/>
    <hyperlink r:id="rId583" ref="M589"/>
    <hyperlink r:id="rId584" ref="M590"/>
    <hyperlink r:id="rId585" ref="M591"/>
    <hyperlink r:id="rId586" ref="M592"/>
    <hyperlink r:id="rId587" ref="M593"/>
    <hyperlink r:id="rId588" ref="M594"/>
    <hyperlink r:id="rId589" ref="M595"/>
    <hyperlink r:id="rId590" ref="M596"/>
    <hyperlink r:id="rId591" ref="M597"/>
    <hyperlink r:id="rId592" ref="M598"/>
    <hyperlink r:id="rId593" ref="M599"/>
    <hyperlink r:id="rId594" ref="M600"/>
    <hyperlink r:id="rId595" ref="M601"/>
    <hyperlink r:id="rId596" ref="M602"/>
    <hyperlink r:id="rId597" ref="M603"/>
    <hyperlink r:id="rId598" ref="M604"/>
    <hyperlink r:id="rId599" ref="M605"/>
    <hyperlink r:id="rId600" ref="M606"/>
    <hyperlink r:id="rId601" ref="M607"/>
    <hyperlink r:id="rId602" ref="M608"/>
    <hyperlink r:id="rId603" ref="M609"/>
    <hyperlink r:id="rId604" ref="M610"/>
    <hyperlink r:id="rId605" ref="M611"/>
    <hyperlink r:id="rId606" ref="M612"/>
    <hyperlink r:id="rId607" ref="M613"/>
    <hyperlink r:id="rId608" ref="M614"/>
    <hyperlink r:id="rId609" ref="M615"/>
    <hyperlink r:id="rId610" ref="M616"/>
    <hyperlink r:id="rId611" ref="M617"/>
    <hyperlink r:id="rId612" ref="M618"/>
    <hyperlink r:id="rId613" ref="M619"/>
    <hyperlink r:id="rId614" ref="M620"/>
    <hyperlink r:id="rId615" ref="M621"/>
    <hyperlink r:id="rId616" ref="M622"/>
    <hyperlink r:id="rId617" ref="M623"/>
    <hyperlink r:id="rId618" ref="M624"/>
    <hyperlink r:id="rId619" ref="M625"/>
    <hyperlink r:id="rId620" ref="M626"/>
    <hyperlink r:id="rId621" ref="M627"/>
    <hyperlink r:id="rId622" ref="M628"/>
    <hyperlink r:id="rId623" ref="M629"/>
    <hyperlink r:id="rId624" ref="M630"/>
    <hyperlink r:id="rId625" ref="M631"/>
    <hyperlink r:id="rId626" ref="M632"/>
    <hyperlink r:id="rId627" ref="M633"/>
    <hyperlink r:id="rId628" ref="M634"/>
    <hyperlink r:id="rId629" ref="M635"/>
    <hyperlink r:id="rId630" ref="M636"/>
    <hyperlink r:id="rId631" ref="M637"/>
    <hyperlink r:id="rId632" ref="M638"/>
    <hyperlink r:id="rId633" ref="M639"/>
    <hyperlink r:id="rId634" ref="M640"/>
    <hyperlink r:id="rId635" ref="M641"/>
    <hyperlink r:id="rId636" ref="M642"/>
    <hyperlink r:id="rId637" ref="M644"/>
    <hyperlink r:id="rId638" ref="M645"/>
    <hyperlink r:id="rId639" ref="M646"/>
    <hyperlink r:id="rId640" ref="M647"/>
    <hyperlink r:id="rId641" ref="M648"/>
    <hyperlink r:id="rId642" ref="M649"/>
    <hyperlink r:id="rId643" ref="M650"/>
    <hyperlink r:id="rId644" ref="M651"/>
    <hyperlink r:id="rId645" ref="M652"/>
    <hyperlink r:id="rId646" ref="M653"/>
    <hyperlink r:id="rId647" ref="M654"/>
    <hyperlink r:id="rId648" ref="M655"/>
    <hyperlink r:id="rId649" ref="M656"/>
    <hyperlink r:id="rId650" ref="M657"/>
    <hyperlink r:id="rId651" ref="M658"/>
    <hyperlink r:id="rId652" ref="M659"/>
    <hyperlink r:id="rId653" ref="M660"/>
    <hyperlink r:id="rId654" ref="M661"/>
    <hyperlink r:id="rId655" ref="M662"/>
    <hyperlink r:id="rId656" ref="M663"/>
    <hyperlink r:id="rId657" ref="M664"/>
    <hyperlink r:id="rId658" ref="M665"/>
    <hyperlink r:id="rId659" ref="M666"/>
    <hyperlink r:id="rId660" ref="M667"/>
    <hyperlink r:id="rId661" ref="M668"/>
    <hyperlink r:id="rId662" ref="M669"/>
    <hyperlink r:id="rId663" ref="M670"/>
    <hyperlink r:id="rId664" ref="M671"/>
    <hyperlink r:id="rId665" ref="M672"/>
    <hyperlink r:id="rId666" ref="M673"/>
    <hyperlink r:id="rId667" ref="M674"/>
    <hyperlink r:id="rId668" ref="M675"/>
    <hyperlink r:id="rId669" ref="M676"/>
    <hyperlink r:id="rId670" ref="M677"/>
    <hyperlink r:id="rId671" ref="M678"/>
    <hyperlink r:id="rId672" ref="M679"/>
    <hyperlink r:id="rId673" ref="M680"/>
    <hyperlink r:id="rId674" ref="M681"/>
    <hyperlink r:id="rId675" ref="M682"/>
    <hyperlink r:id="rId676" ref="M683"/>
    <hyperlink r:id="rId677" ref="M684"/>
    <hyperlink r:id="rId678" ref="M685"/>
    <hyperlink r:id="rId679" ref="M686"/>
    <hyperlink r:id="rId680" ref="M687"/>
    <hyperlink r:id="rId681" ref="M688"/>
    <hyperlink r:id="rId682" ref="M689"/>
    <hyperlink r:id="rId683" ref="M690"/>
    <hyperlink r:id="rId684" ref="M691"/>
    <hyperlink r:id="rId685" ref="M692"/>
    <hyperlink r:id="rId686" ref="M693"/>
    <hyperlink r:id="rId687" ref="M694"/>
    <hyperlink r:id="rId688" ref="M695"/>
    <hyperlink r:id="rId689" ref="M696"/>
    <hyperlink r:id="rId690" ref="M697"/>
    <hyperlink r:id="rId691" ref="M698"/>
    <hyperlink r:id="rId692" ref="M699"/>
    <hyperlink r:id="rId693" ref="M700"/>
    <hyperlink r:id="rId694" ref="M701"/>
    <hyperlink r:id="rId695" ref="M702"/>
    <hyperlink r:id="rId696" ref="M703"/>
    <hyperlink r:id="rId697" ref="M704"/>
    <hyperlink r:id="rId698" ref="M705"/>
    <hyperlink r:id="rId699" ref="M706"/>
    <hyperlink r:id="rId700" ref="M707"/>
    <hyperlink r:id="rId701" ref="M708"/>
    <hyperlink r:id="rId702" ref="M709"/>
    <hyperlink r:id="rId703" ref="M710"/>
    <hyperlink r:id="rId704" ref="M711"/>
    <hyperlink r:id="rId705" ref="M712"/>
    <hyperlink r:id="rId706" ref="M713"/>
    <hyperlink r:id="rId707" ref="M714"/>
    <hyperlink r:id="rId708" ref="M715"/>
    <hyperlink r:id="rId709" ref="M716"/>
    <hyperlink r:id="rId710" ref="M717"/>
    <hyperlink r:id="rId711" ref="M718"/>
    <hyperlink r:id="rId712" ref="M719"/>
    <hyperlink r:id="rId713" ref="M720"/>
    <hyperlink r:id="rId714" ref="M721"/>
    <hyperlink r:id="rId715" ref="M722"/>
    <hyperlink r:id="rId716" ref="M723"/>
    <hyperlink r:id="rId717" ref="M724"/>
    <hyperlink r:id="rId718" ref="M725"/>
    <hyperlink r:id="rId719" ref="M726"/>
    <hyperlink r:id="rId720" ref="M727"/>
    <hyperlink r:id="rId721" ref="M728"/>
    <hyperlink r:id="rId722" ref="M729"/>
    <hyperlink r:id="rId723" ref="M730"/>
    <hyperlink r:id="rId724" ref="M731"/>
    <hyperlink r:id="rId725" ref="M732"/>
    <hyperlink r:id="rId726" ref="M733"/>
    <hyperlink r:id="rId727" ref="M734"/>
    <hyperlink r:id="rId728" ref="M735"/>
    <hyperlink r:id="rId729" ref="M736"/>
    <hyperlink r:id="rId730" ref="M737"/>
    <hyperlink r:id="rId731" ref="M738"/>
    <hyperlink r:id="rId732" ref="M739"/>
    <hyperlink r:id="rId733" ref="M740"/>
    <hyperlink r:id="rId734" ref="M741"/>
    <hyperlink r:id="rId735" ref="M742"/>
    <hyperlink r:id="rId736" ref="M743"/>
    <hyperlink r:id="rId737" ref="M744"/>
    <hyperlink r:id="rId738" ref="M745"/>
    <hyperlink r:id="rId739" ref="M746"/>
    <hyperlink r:id="rId740" ref="M747"/>
    <hyperlink r:id="rId741" ref="M748"/>
    <hyperlink r:id="rId742" ref="M749"/>
    <hyperlink r:id="rId743" ref="M750"/>
    <hyperlink r:id="rId744" ref="M751"/>
    <hyperlink r:id="rId745" ref="M752"/>
    <hyperlink r:id="rId746" ref="M753"/>
    <hyperlink r:id="rId747" ref="M754"/>
    <hyperlink r:id="rId748" ref="M755"/>
    <hyperlink r:id="rId749" ref="M756"/>
    <hyperlink r:id="rId750" ref="M757"/>
    <hyperlink r:id="rId751" ref="M758"/>
    <hyperlink r:id="rId752" ref="M759"/>
    <hyperlink r:id="rId753" ref="M760"/>
    <hyperlink r:id="rId754" ref="M761"/>
    <hyperlink r:id="rId755" ref="M762"/>
    <hyperlink r:id="rId756" ref="M763"/>
    <hyperlink r:id="rId757" ref="M764"/>
    <hyperlink r:id="rId758" ref="M765"/>
    <hyperlink r:id="rId759" ref="M766"/>
    <hyperlink r:id="rId760" ref="M767"/>
    <hyperlink r:id="rId761" ref="M768"/>
    <hyperlink r:id="rId762" ref="M769"/>
    <hyperlink r:id="rId763" ref="M770"/>
    <hyperlink r:id="rId764" ref="M771"/>
    <hyperlink r:id="rId765" ref="M772"/>
    <hyperlink r:id="rId766" ref="M773"/>
    <hyperlink r:id="rId767" ref="M774"/>
    <hyperlink r:id="rId768" ref="M775"/>
    <hyperlink r:id="rId769" ref="M776"/>
    <hyperlink r:id="rId770" ref="M777"/>
    <hyperlink r:id="rId771" ref="M778"/>
    <hyperlink r:id="rId772" ref="M779"/>
    <hyperlink r:id="rId773" ref="M780"/>
    <hyperlink r:id="rId774" ref="M781"/>
    <hyperlink r:id="rId775" ref="M782"/>
    <hyperlink r:id="rId776" ref="M783"/>
    <hyperlink r:id="rId777" ref="M784"/>
    <hyperlink r:id="rId778" ref="M785"/>
    <hyperlink r:id="rId779" ref="M786"/>
    <hyperlink r:id="rId780" ref="M787"/>
    <hyperlink r:id="rId781" ref="M788"/>
    <hyperlink r:id="rId782" ref="M789"/>
    <hyperlink r:id="rId783" ref="M790"/>
    <hyperlink r:id="rId784" ref="M791"/>
    <hyperlink r:id="rId785" ref="M792"/>
    <hyperlink r:id="rId786" ref="M793"/>
    <hyperlink r:id="rId787" ref="M794"/>
    <hyperlink r:id="rId788" ref="M795"/>
    <hyperlink r:id="rId789" ref="M796"/>
    <hyperlink r:id="rId790" ref="M797"/>
    <hyperlink r:id="rId791" ref="M798"/>
    <hyperlink r:id="rId792" ref="M799"/>
    <hyperlink r:id="rId793" ref="M800"/>
    <hyperlink r:id="rId794" ref="M801"/>
    <hyperlink r:id="rId795" ref="M802"/>
    <hyperlink r:id="rId796" ref="M803"/>
    <hyperlink r:id="rId797" ref="M804"/>
    <hyperlink r:id="rId798" ref="M805"/>
    <hyperlink r:id="rId799" ref="M806"/>
    <hyperlink r:id="rId800" ref="M807"/>
    <hyperlink r:id="rId801" ref="M808"/>
    <hyperlink r:id="rId802" ref="M809"/>
    <hyperlink r:id="rId803" ref="M810"/>
    <hyperlink r:id="rId804" ref="M811"/>
    <hyperlink r:id="rId805" ref="M812"/>
    <hyperlink r:id="rId806" ref="M813"/>
    <hyperlink r:id="rId807" ref="M814"/>
    <hyperlink r:id="rId808" ref="M815"/>
    <hyperlink r:id="rId809" ref="M816"/>
    <hyperlink r:id="rId810" ref="M817"/>
    <hyperlink r:id="rId811" ref="M818"/>
    <hyperlink r:id="rId812" ref="M819"/>
    <hyperlink r:id="rId813" ref="M820"/>
    <hyperlink r:id="rId814" ref="M821"/>
    <hyperlink r:id="rId815" ref="M822"/>
    <hyperlink r:id="rId816" ref="M823"/>
    <hyperlink r:id="rId817" ref="M824"/>
    <hyperlink r:id="rId818" ref="M825"/>
    <hyperlink r:id="rId819" ref="M826"/>
    <hyperlink r:id="rId820" ref="M827"/>
    <hyperlink r:id="rId821" ref="M828"/>
    <hyperlink r:id="rId822" ref="M829"/>
    <hyperlink r:id="rId823" ref="M830"/>
    <hyperlink r:id="rId824" ref="M831"/>
    <hyperlink r:id="rId825" ref="M832"/>
    <hyperlink r:id="rId826" ref="M833"/>
    <hyperlink r:id="rId827" ref="M834"/>
    <hyperlink r:id="rId828" ref="M835"/>
    <hyperlink r:id="rId829" ref="M836"/>
    <hyperlink r:id="rId830" ref="M837"/>
    <hyperlink r:id="rId831" ref="M838"/>
    <hyperlink r:id="rId832" ref="M839"/>
    <hyperlink r:id="rId833" ref="M840"/>
    <hyperlink r:id="rId834" ref="M841"/>
    <hyperlink r:id="rId835" ref="M842"/>
    <hyperlink r:id="rId836" ref="M843"/>
    <hyperlink r:id="rId837" ref="M844"/>
    <hyperlink r:id="rId838" ref="M845"/>
    <hyperlink r:id="rId839" ref="M846"/>
    <hyperlink r:id="rId840" ref="M847"/>
    <hyperlink r:id="rId841" ref="M848"/>
    <hyperlink r:id="rId842" ref="M849"/>
    <hyperlink r:id="rId843" ref="M850"/>
    <hyperlink r:id="rId844" ref="M851"/>
    <hyperlink r:id="rId845" ref="M852"/>
    <hyperlink r:id="rId846" ref="M853"/>
    <hyperlink r:id="rId847" ref="M854"/>
    <hyperlink r:id="rId848" ref="M855"/>
    <hyperlink r:id="rId849" ref="M856"/>
    <hyperlink r:id="rId850" ref="M857"/>
    <hyperlink r:id="rId851" ref="M858"/>
    <hyperlink r:id="rId852" ref="M859"/>
    <hyperlink r:id="rId853" ref="M860"/>
    <hyperlink r:id="rId854" ref="M861"/>
    <hyperlink r:id="rId855" ref="M862"/>
    <hyperlink r:id="rId856" ref="M863"/>
    <hyperlink r:id="rId857" ref="M864"/>
    <hyperlink r:id="rId858" ref="M865"/>
    <hyperlink r:id="rId859" ref="M866"/>
    <hyperlink r:id="rId860" ref="M867"/>
    <hyperlink r:id="rId861" ref="M868"/>
    <hyperlink r:id="rId862" ref="M869"/>
    <hyperlink r:id="rId863" ref="M870"/>
    <hyperlink r:id="rId864" ref="M871"/>
    <hyperlink r:id="rId865" ref="M872"/>
    <hyperlink r:id="rId866" ref="M873"/>
    <hyperlink r:id="rId867" ref="M874"/>
    <hyperlink r:id="rId868" ref="M875"/>
    <hyperlink r:id="rId869" ref="M876"/>
    <hyperlink r:id="rId870" ref="M877"/>
    <hyperlink r:id="rId871" ref="M878"/>
    <hyperlink r:id="rId872" ref="M879"/>
    <hyperlink r:id="rId873" ref="M880"/>
    <hyperlink r:id="rId874" ref="M881"/>
    <hyperlink r:id="rId875" ref="M882"/>
    <hyperlink r:id="rId876" ref="M883"/>
    <hyperlink r:id="rId877" ref="M884"/>
    <hyperlink r:id="rId878" ref="M885"/>
    <hyperlink r:id="rId879" ref="M886"/>
    <hyperlink r:id="rId880" ref="M887"/>
    <hyperlink r:id="rId881" ref="M888"/>
    <hyperlink r:id="rId882" ref="M889"/>
    <hyperlink r:id="rId883" ref="M890"/>
    <hyperlink r:id="rId884" ref="M891"/>
    <hyperlink r:id="rId885" ref="M892"/>
    <hyperlink r:id="rId886" ref="M893"/>
    <hyperlink r:id="rId887" ref="M894"/>
    <hyperlink r:id="rId888" ref="M895"/>
    <hyperlink r:id="rId889" ref="M896"/>
    <hyperlink r:id="rId890" ref="M897"/>
    <hyperlink r:id="rId891" ref="M898"/>
    <hyperlink r:id="rId892" ref="M899"/>
    <hyperlink r:id="rId893" ref="M900"/>
    <hyperlink r:id="rId894" ref="M901"/>
    <hyperlink r:id="rId895" ref="M902"/>
    <hyperlink r:id="rId896" ref="M903"/>
    <hyperlink r:id="rId897" ref="M904"/>
    <hyperlink r:id="rId898" ref="M905"/>
    <hyperlink r:id="rId899" ref="M906"/>
    <hyperlink r:id="rId900" ref="M907"/>
    <hyperlink r:id="rId901" ref="M908"/>
    <hyperlink r:id="rId902" ref="M909"/>
    <hyperlink r:id="rId903" ref="M910"/>
    <hyperlink r:id="rId904" ref="M911"/>
    <hyperlink r:id="rId905" ref="M912"/>
    <hyperlink r:id="rId906" ref="M913"/>
    <hyperlink r:id="rId907" ref="M914"/>
    <hyperlink r:id="rId908" ref="M915"/>
    <hyperlink r:id="rId909" ref="M916"/>
    <hyperlink r:id="rId910" ref="M917"/>
    <hyperlink r:id="rId911" ref="M918"/>
    <hyperlink r:id="rId912" ref="M919"/>
    <hyperlink r:id="rId913" ref="M920"/>
    <hyperlink r:id="rId914" ref="M921"/>
    <hyperlink r:id="rId915" ref="M922"/>
    <hyperlink r:id="rId916" ref="M923"/>
    <hyperlink r:id="rId917" ref="M924"/>
    <hyperlink r:id="rId918" ref="M925"/>
    <hyperlink r:id="rId919" ref="M926"/>
    <hyperlink r:id="rId920" ref="M927"/>
    <hyperlink r:id="rId921" ref="M928"/>
    <hyperlink r:id="rId922" ref="M929"/>
    <hyperlink r:id="rId923" ref="M930"/>
    <hyperlink r:id="rId924" ref="M931"/>
    <hyperlink r:id="rId925" ref="M932"/>
    <hyperlink r:id="rId926" ref="M933"/>
    <hyperlink r:id="rId927" ref="M934"/>
    <hyperlink r:id="rId928" ref="M935"/>
    <hyperlink r:id="rId929" ref="M936"/>
    <hyperlink r:id="rId930" ref="M937"/>
    <hyperlink r:id="rId931" ref="M938"/>
    <hyperlink r:id="rId932" ref="M939"/>
    <hyperlink r:id="rId933" ref="M940"/>
    <hyperlink r:id="rId934" ref="M941"/>
    <hyperlink r:id="rId935" ref="M942"/>
    <hyperlink r:id="rId936" ref="M943"/>
    <hyperlink r:id="rId937" ref="M944"/>
    <hyperlink r:id="rId938" ref="M945"/>
    <hyperlink r:id="rId939" ref="M946"/>
    <hyperlink r:id="rId940" ref="M947"/>
    <hyperlink r:id="rId941" ref="M948"/>
    <hyperlink r:id="rId942" ref="M949"/>
    <hyperlink r:id="rId943" ref="M950"/>
    <hyperlink r:id="rId944" ref="M951"/>
    <hyperlink r:id="rId945" ref="M952"/>
    <hyperlink r:id="rId946" ref="M953"/>
    <hyperlink r:id="rId947" ref="M954"/>
    <hyperlink r:id="rId948" ref="M955"/>
    <hyperlink r:id="rId949" ref="M956"/>
    <hyperlink r:id="rId950" ref="M957"/>
    <hyperlink r:id="rId951" ref="M958"/>
    <hyperlink r:id="rId952" ref="M959"/>
    <hyperlink r:id="rId953" ref="M961"/>
    <hyperlink r:id="rId954" ref="M962"/>
    <hyperlink r:id="rId955" ref="M963"/>
    <hyperlink r:id="rId956" ref="M964"/>
    <hyperlink r:id="rId957" ref="M965"/>
    <hyperlink r:id="rId958" ref="M966"/>
    <hyperlink r:id="rId959" ref="M967"/>
    <hyperlink r:id="rId960" ref="M968"/>
    <hyperlink r:id="rId961" ref="M969"/>
    <hyperlink r:id="rId962" ref="M970"/>
    <hyperlink r:id="rId963" ref="M971"/>
    <hyperlink r:id="rId964" ref="M972"/>
    <hyperlink r:id="rId965" ref="M973"/>
    <hyperlink r:id="rId966" ref="M974"/>
    <hyperlink r:id="rId967" ref="M975"/>
    <hyperlink r:id="rId968" ref="M977"/>
    <hyperlink r:id="rId969" ref="M978"/>
    <hyperlink r:id="rId970" ref="M979"/>
    <hyperlink r:id="rId971" ref="M980"/>
    <hyperlink r:id="rId972" ref="M981"/>
    <hyperlink r:id="rId973" ref="M982"/>
    <hyperlink r:id="rId974" ref="M983"/>
    <hyperlink r:id="rId975" ref="M985"/>
    <hyperlink r:id="rId976" ref="M987"/>
    <hyperlink r:id="rId977" ref="M988"/>
    <hyperlink r:id="rId978" ref="M990"/>
    <hyperlink r:id="rId979" ref="M991"/>
    <hyperlink r:id="rId980" ref="M992"/>
    <hyperlink r:id="rId981" ref="M993"/>
    <hyperlink r:id="rId982" ref="M994"/>
    <hyperlink r:id="rId983" ref="M995"/>
    <hyperlink r:id="rId984" ref="M996"/>
    <hyperlink r:id="rId985" ref="M997"/>
    <hyperlink r:id="rId986" ref="M998"/>
    <hyperlink r:id="rId987" ref="M999"/>
    <hyperlink r:id="rId988" ref="M1001"/>
    <hyperlink r:id="rId989" ref="M1002"/>
    <hyperlink r:id="rId990" ref="M1003"/>
    <hyperlink r:id="rId991" ref="M1004"/>
    <hyperlink r:id="rId992" ref="M1005"/>
    <hyperlink r:id="rId993" ref="M1006"/>
    <hyperlink r:id="rId994" ref="M1007"/>
    <hyperlink r:id="rId995" ref="M1008"/>
    <hyperlink r:id="rId996" ref="M1009"/>
    <hyperlink r:id="rId997" ref="M1010"/>
    <hyperlink r:id="rId998" ref="M1011"/>
    <hyperlink r:id="rId999" ref="M1012"/>
    <hyperlink r:id="rId1000" ref="M1013"/>
    <hyperlink r:id="rId1001" ref="M1014"/>
    <hyperlink r:id="rId1002" ref="M1015"/>
    <hyperlink r:id="rId1003" ref="M1016"/>
    <hyperlink r:id="rId1004" ref="M1017"/>
    <hyperlink r:id="rId1005" ref="M1018"/>
    <hyperlink r:id="rId1006" ref="M1019"/>
    <hyperlink r:id="rId1007" ref="M1020"/>
    <hyperlink r:id="rId1008" ref="M1021"/>
    <hyperlink r:id="rId1009" ref="M1022"/>
    <hyperlink r:id="rId1010" ref="M1023"/>
    <hyperlink r:id="rId1011" ref="M1024"/>
    <hyperlink r:id="rId1012" ref="M1025"/>
    <hyperlink r:id="rId1013" ref="M1026"/>
    <hyperlink r:id="rId1014" ref="M1027"/>
    <hyperlink r:id="rId1015" ref="M1028"/>
    <hyperlink r:id="rId1016" ref="M1029"/>
    <hyperlink r:id="rId1017" ref="M1030"/>
    <hyperlink r:id="rId1018" ref="M1031"/>
    <hyperlink r:id="rId1019" ref="M1032"/>
    <hyperlink r:id="rId1020" ref="M1033"/>
    <hyperlink r:id="rId1021" ref="M1034"/>
    <hyperlink r:id="rId1022" ref="M1035"/>
    <hyperlink r:id="rId1023" ref="M1036"/>
    <hyperlink r:id="rId1024" ref="M1037"/>
    <hyperlink r:id="rId1025" ref="M1038"/>
    <hyperlink r:id="rId1026" ref="M1040"/>
    <hyperlink r:id="rId1027" ref="M1041"/>
    <hyperlink r:id="rId1028" ref="M1042"/>
    <hyperlink r:id="rId1029" ref="M1043"/>
    <hyperlink r:id="rId1030" ref="M1044"/>
    <hyperlink r:id="rId1031" ref="M1045"/>
    <hyperlink r:id="rId1032" ref="M1046"/>
    <hyperlink r:id="rId1033" ref="M1047"/>
    <hyperlink r:id="rId1034" ref="M1048"/>
    <hyperlink r:id="rId1035" ref="M1049"/>
    <hyperlink r:id="rId1036" ref="M1050"/>
    <hyperlink r:id="rId1037" ref="M1051"/>
    <hyperlink r:id="rId1038" ref="M1052"/>
    <hyperlink r:id="rId1039" ref="M1053"/>
    <hyperlink r:id="rId1040" ref="M1054"/>
    <hyperlink r:id="rId1041" ref="M1055"/>
    <hyperlink r:id="rId1042" ref="M1056"/>
    <hyperlink r:id="rId1043" ref="M1057"/>
    <hyperlink r:id="rId1044" ref="M1058"/>
    <hyperlink r:id="rId1045" ref="M1059"/>
    <hyperlink r:id="rId1046" ref="M1060"/>
    <hyperlink r:id="rId1047" ref="M1061"/>
    <hyperlink r:id="rId1048" ref="M1062"/>
    <hyperlink r:id="rId1049" ref="M1063"/>
    <hyperlink r:id="rId1050" ref="M1064"/>
    <hyperlink r:id="rId1051" ref="M1065"/>
    <hyperlink r:id="rId1052" ref="M1066"/>
    <hyperlink r:id="rId1053" ref="M1067"/>
    <hyperlink r:id="rId1054" ref="M1068"/>
    <hyperlink r:id="rId1055" ref="M1069"/>
    <hyperlink r:id="rId1056" ref="M1070"/>
    <hyperlink r:id="rId1057" ref="M1071"/>
    <hyperlink r:id="rId1058" ref="M1072"/>
    <hyperlink r:id="rId1059" ref="M1073"/>
    <hyperlink r:id="rId1060" ref="M1074"/>
    <hyperlink r:id="rId1061" ref="M1075"/>
    <hyperlink r:id="rId1062" ref="M1076"/>
    <hyperlink r:id="rId1063" ref="M1077"/>
    <hyperlink r:id="rId1064" ref="M1078"/>
    <hyperlink r:id="rId1065" ref="M1079"/>
    <hyperlink r:id="rId1066" ref="M1080"/>
    <hyperlink r:id="rId1067" ref="M1081"/>
    <hyperlink r:id="rId1068" ref="M1082"/>
    <hyperlink r:id="rId1069" ref="M1083"/>
    <hyperlink r:id="rId1070" ref="M1084"/>
    <hyperlink r:id="rId1071" ref="M1085"/>
    <hyperlink r:id="rId1072" ref="M1086"/>
    <hyperlink r:id="rId1073" ref="M1087"/>
    <hyperlink r:id="rId1074" ref="M1088"/>
    <hyperlink r:id="rId1075" ref="M1089"/>
    <hyperlink r:id="rId1076" ref="M1090"/>
    <hyperlink r:id="rId1077" ref="M1091"/>
    <hyperlink r:id="rId1078" ref="M1092"/>
    <hyperlink r:id="rId1079" ref="M1093"/>
    <hyperlink r:id="rId1080" ref="M1094"/>
    <hyperlink r:id="rId1081" ref="M1095"/>
    <hyperlink r:id="rId1082" ref="M1096"/>
    <hyperlink r:id="rId1083" ref="M1097"/>
    <hyperlink r:id="rId1084" ref="M1098"/>
    <hyperlink r:id="rId1085" ref="M1099"/>
    <hyperlink r:id="rId1086" ref="M1100"/>
    <hyperlink r:id="rId1087" ref="M1101"/>
    <hyperlink r:id="rId1088" ref="M1102"/>
    <hyperlink r:id="rId1089" ref="M1103"/>
    <hyperlink r:id="rId1090" ref="M1104"/>
    <hyperlink r:id="rId1091" ref="M1105"/>
    <hyperlink r:id="rId1092" ref="M1106"/>
    <hyperlink r:id="rId1093" ref="M1107"/>
    <hyperlink r:id="rId1094" ref="M1108"/>
    <hyperlink r:id="rId1095" ref="M1109"/>
    <hyperlink r:id="rId1096" ref="M1110"/>
    <hyperlink r:id="rId1097" ref="M1111"/>
    <hyperlink r:id="rId1098" ref="M1112"/>
    <hyperlink r:id="rId1099" ref="M1113"/>
    <hyperlink r:id="rId1100" ref="M1114"/>
    <hyperlink r:id="rId1101" ref="M1115"/>
    <hyperlink r:id="rId1102" ref="M1116"/>
    <hyperlink r:id="rId1103" ref="M1117"/>
    <hyperlink r:id="rId1104" ref="M1118"/>
    <hyperlink r:id="rId1105" ref="M1119"/>
    <hyperlink r:id="rId1106" ref="M1120"/>
    <hyperlink r:id="rId1107" ref="M1121"/>
    <hyperlink r:id="rId1108" ref="M1122"/>
    <hyperlink r:id="rId1109" ref="M1123"/>
    <hyperlink r:id="rId1110" ref="M1124"/>
    <hyperlink r:id="rId1111" ref="M1125"/>
    <hyperlink r:id="rId1112" ref="M1126"/>
    <hyperlink r:id="rId1113" ref="M1127"/>
    <hyperlink r:id="rId1114" ref="M1128"/>
    <hyperlink r:id="rId1115" ref="M1129"/>
    <hyperlink r:id="rId1116" ref="M1130"/>
    <hyperlink r:id="rId1117" ref="M1131"/>
    <hyperlink r:id="rId1118" ref="M1132"/>
    <hyperlink r:id="rId1119" ref="M1133"/>
    <hyperlink r:id="rId1120" ref="M1134"/>
    <hyperlink r:id="rId1121" ref="M1135"/>
    <hyperlink r:id="rId1122" ref="M1136"/>
    <hyperlink r:id="rId1123" ref="M1137"/>
    <hyperlink r:id="rId1124" ref="M1138"/>
    <hyperlink r:id="rId1125" ref="M1139"/>
    <hyperlink r:id="rId1126" ref="M1140"/>
    <hyperlink r:id="rId1127" ref="M1141"/>
    <hyperlink r:id="rId1128" ref="M1142"/>
    <hyperlink r:id="rId1129" ref="M1143"/>
    <hyperlink r:id="rId1130" ref="M1144"/>
    <hyperlink r:id="rId1131" ref="M1145"/>
    <hyperlink r:id="rId1132" ref="M1146"/>
    <hyperlink r:id="rId1133" ref="M1147"/>
    <hyperlink r:id="rId1134" ref="M1148"/>
    <hyperlink r:id="rId1135" ref="M1149"/>
    <hyperlink r:id="rId1136" ref="M1150"/>
    <hyperlink r:id="rId1137" ref="M1151"/>
    <hyperlink r:id="rId1138" ref="M1152"/>
    <hyperlink r:id="rId1139" ref="M1153"/>
    <hyperlink r:id="rId1140" ref="M1154"/>
    <hyperlink r:id="rId1141" ref="M1155"/>
    <hyperlink r:id="rId1142" ref="M1156"/>
    <hyperlink r:id="rId1143" ref="M1157"/>
    <hyperlink r:id="rId1144" ref="M1158"/>
    <hyperlink r:id="rId1145" ref="M1159"/>
    <hyperlink r:id="rId1146" ref="M1160"/>
    <hyperlink r:id="rId1147" ref="M1161"/>
    <hyperlink r:id="rId1148" ref="M1162"/>
    <hyperlink r:id="rId1149" ref="M1163"/>
    <hyperlink r:id="rId1150" ref="M1164"/>
    <hyperlink r:id="rId1151" ref="M1165"/>
    <hyperlink r:id="rId1152" ref="M1166"/>
    <hyperlink r:id="rId1153" ref="M1167"/>
    <hyperlink r:id="rId1154" ref="M1168"/>
    <hyperlink r:id="rId1155" ref="M1170"/>
    <hyperlink r:id="rId1156" ref="M1171"/>
    <hyperlink r:id="rId1157" ref="M1172"/>
    <hyperlink r:id="rId1158" ref="M1173"/>
    <hyperlink r:id="rId1159" ref="M1174"/>
    <hyperlink r:id="rId1160" ref="M1175"/>
    <hyperlink r:id="rId1161" ref="M1176"/>
    <hyperlink r:id="rId1162" ref="M1177"/>
    <hyperlink r:id="rId1163" ref="M1178"/>
    <hyperlink r:id="rId1164" ref="M1179"/>
    <hyperlink r:id="rId1165" ref="M1180"/>
    <hyperlink r:id="rId1166" ref="M1182"/>
    <hyperlink r:id="rId1167" ref="M1183"/>
    <hyperlink r:id="rId1168" ref="M1184"/>
    <hyperlink r:id="rId1169" ref="M1185"/>
    <hyperlink r:id="rId1170" ref="M1186"/>
    <hyperlink r:id="rId1171" ref="M1187"/>
    <hyperlink r:id="rId1172" ref="M1188"/>
    <hyperlink r:id="rId1173" ref="M1189"/>
    <hyperlink r:id="rId1174" ref="M1190"/>
    <hyperlink r:id="rId1175" ref="M1191"/>
    <hyperlink r:id="rId1176" ref="M1192"/>
    <hyperlink r:id="rId1177" ref="M1193"/>
    <hyperlink r:id="rId1178" ref="M1194"/>
    <hyperlink r:id="rId1179" ref="M1195"/>
    <hyperlink r:id="rId1180" ref="M1196"/>
    <hyperlink r:id="rId1181" ref="M1197"/>
    <hyperlink r:id="rId1182" ref="M1198"/>
    <hyperlink r:id="rId1183" ref="M1199"/>
    <hyperlink r:id="rId1184" ref="M1200"/>
    <hyperlink r:id="rId1185" ref="M1201"/>
    <hyperlink r:id="rId1186" ref="M1202"/>
    <hyperlink r:id="rId1187" ref="M1203"/>
    <hyperlink r:id="rId1188" ref="M1204"/>
    <hyperlink r:id="rId1189" ref="M1205"/>
    <hyperlink r:id="rId1190" ref="M1206"/>
    <hyperlink r:id="rId1191" ref="M1207"/>
    <hyperlink r:id="rId1192" ref="M1208"/>
    <hyperlink r:id="rId1193" ref="M1209"/>
    <hyperlink r:id="rId1194" ref="M1210"/>
    <hyperlink r:id="rId1195" ref="M1211"/>
    <hyperlink r:id="rId1196" ref="M1212"/>
    <hyperlink r:id="rId1197" ref="M1213"/>
    <hyperlink r:id="rId1198" ref="M1214"/>
    <hyperlink r:id="rId1199" ref="M1215"/>
    <hyperlink r:id="rId1200" ref="M1216"/>
    <hyperlink r:id="rId1201" ref="M1217"/>
    <hyperlink r:id="rId1202" ref="M1218"/>
    <hyperlink r:id="rId1203" ref="M1219"/>
    <hyperlink r:id="rId1204" ref="M1220"/>
    <hyperlink r:id="rId1205" ref="M1221"/>
    <hyperlink r:id="rId1206" ref="M1222"/>
    <hyperlink r:id="rId1207" ref="M1223"/>
    <hyperlink r:id="rId1208" ref="M1224"/>
    <hyperlink r:id="rId1209" ref="M1225"/>
    <hyperlink r:id="rId1210" ref="M1226"/>
    <hyperlink r:id="rId1211" ref="M1227"/>
    <hyperlink r:id="rId1212" ref="M1228"/>
    <hyperlink r:id="rId1213" ref="M1229"/>
    <hyperlink r:id="rId1214" ref="M1230"/>
    <hyperlink r:id="rId1215" ref="M1231"/>
    <hyperlink r:id="rId1216" ref="M1232"/>
    <hyperlink r:id="rId1217" ref="M1233"/>
    <hyperlink r:id="rId1218" ref="M1234"/>
    <hyperlink r:id="rId1219" ref="M1235"/>
    <hyperlink r:id="rId1220" ref="M1236"/>
    <hyperlink r:id="rId1221" ref="M1237"/>
    <hyperlink r:id="rId1222" ref="M1238"/>
    <hyperlink r:id="rId1223" ref="M1239"/>
    <hyperlink r:id="rId1224" ref="M1240"/>
    <hyperlink r:id="rId1225" ref="M1242"/>
    <hyperlink r:id="rId1226" ref="M1243"/>
    <hyperlink r:id="rId1227" ref="M1244"/>
    <hyperlink r:id="rId1228" ref="M1245"/>
    <hyperlink r:id="rId1229" ref="M1246"/>
    <hyperlink r:id="rId1230" ref="M1247"/>
    <hyperlink r:id="rId1231" ref="M1248"/>
    <hyperlink r:id="rId1232" ref="M1249"/>
    <hyperlink r:id="rId1233" ref="M1250"/>
    <hyperlink r:id="rId1234" ref="M1251"/>
    <hyperlink r:id="rId1235" ref="M1252"/>
    <hyperlink r:id="rId1236" ref="M1253"/>
    <hyperlink r:id="rId1237" ref="M1254"/>
    <hyperlink r:id="rId1238" ref="M1255"/>
    <hyperlink r:id="rId1239" ref="M1256"/>
    <hyperlink r:id="rId1240" ref="M1257"/>
    <hyperlink r:id="rId1241" ref="M1258"/>
    <hyperlink r:id="rId1242" ref="M1259"/>
    <hyperlink r:id="rId1243" ref="M1260"/>
    <hyperlink r:id="rId1244" ref="M1261"/>
    <hyperlink r:id="rId1245" ref="M1262"/>
    <hyperlink r:id="rId1246" ref="M1264"/>
    <hyperlink r:id="rId1247" ref="M1265"/>
    <hyperlink r:id="rId1248" ref="M1266"/>
    <hyperlink r:id="rId1249" ref="M1267"/>
    <hyperlink r:id="rId1250" ref="M1268"/>
    <hyperlink r:id="rId1251" ref="M1269"/>
    <hyperlink r:id="rId1252" ref="M1270"/>
    <hyperlink r:id="rId1253" ref="M1271"/>
    <hyperlink r:id="rId1254" ref="M1272"/>
    <hyperlink r:id="rId1255" ref="M1273"/>
    <hyperlink r:id="rId1256" ref="M1274"/>
    <hyperlink r:id="rId1257" ref="M1275"/>
    <hyperlink r:id="rId1258" ref="M1276"/>
    <hyperlink r:id="rId1259" ref="M1277"/>
    <hyperlink r:id="rId1260" ref="M1278"/>
    <hyperlink r:id="rId1261" ref="M1279"/>
    <hyperlink r:id="rId1262" ref="M1280"/>
    <hyperlink r:id="rId1263" ref="M1281"/>
    <hyperlink r:id="rId1264" ref="M1282"/>
    <hyperlink r:id="rId1265" ref="M1283"/>
    <hyperlink r:id="rId1266" ref="M1284"/>
    <hyperlink r:id="rId1267" ref="M1285"/>
    <hyperlink r:id="rId1268" ref="M1286"/>
    <hyperlink r:id="rId1269" ref="M1287"/>
    <hyperlink r:id="rId1270" ref="M1288"/>
    <hyperlink r:id="rId1271" ref="M1289"/>
    <hyperlink r:id="rId1272" ref="M1290"/>
    <hyperlink r:id="rId1273" ref="M1291"/>
    <hyperlink r:id="rId1274" ref="M1292"/>
    <hyperlink r:id="rId1275" ref="M1293"/>
    <hyperlink r:id="rId1276" ref="M1294"/>
    <hyperlink r:id="rId1277" ref="M1295"/>
    <hyperlink r:id="rId1278" ref="M1296"/>
    <hyperlink r:id="rId1279" ref="M1297"/>
    <hyperlink r:id="rId1280" ref="M1298"/>
    <hyperlink r:id="rId1281" ref="M1299"/>
    <hyperlink r:id="rId1282" ref="M1300"/>
    <hyperlink r:id="rId1283" ref="M1301"/>
    <hyperlink r:id="rId1284" ref="M1302"/>
    <hyperlink r:id="rId1285" ref="M1303"/>
    <hyperlink r:id="rId1286" ref="M1304"/>
    <hyperlink r:id="rId1287" ref="M1305"/>
    <hyperlink r:id="rId1288" ref="M1306"/>
    <hyperlink r:id="rId1289" ref="M1307"/>
    <hyperlink r:id="rId1290" ref="M1308"/>
    <hyperlink r:id="rId1291" ref="M1309"/>
    <hyperlink r:id="rId1292" ref="M1310"/>
    <hyperlink r:id="rId1293" ref="M1311"/>
    <hyperlink r:id="rId1294" ref="M1312"/>
    <hyperlink r:id="rId1295" ref="M1313"/>
    <hyperlink r:id="rId1296" ref="M1314"/>
    <hyperlink r:id="rId1297" ref="M1315"/>
    <hyperlink r:id="rId1298" ref="M1316"/>
    <hyperlink r:id="rId1299" ref="M1317"/>
    <hyperlink r:id="rId1300" ref="M1318"/>
    <hyperlink r:id="rId1301" ref="M1319"/>
    <hyperlink r:id="rId1302" ref="M1320"/>
    <hyperlink r:id="rId1303" ref="M1321"/>
    <hyperlink r:id="rId1304" ref="M1322"/>
    <hyperlink r:id="rId1305" location="gid=1045783169" ref="C1323"/>
    <hyperlink r:id="rId1306" ref="M1323"/>
    <hyperlink r:id="rId1307" ref="M1324"/>
    <hyperlink r:id="rId1308" ref="M1325"/>
    <hyperlink r:id="rId1309" ref="M1326"/>
    <hyperlink r:id="rId1310" ref="M1327"/>
    <hyperlink r:id="rId1311" ref="M1328"/>
    <hyperlink r:id="rId1312" ref="M1329"/>
    <hyperlink r:id="rId1313" ref="M1330"/>
    <hyperlink r:id="rId1314" ref="M1331"/>
    <hyperlink r:id="rId1315" ref="M1332"/>
    <hyperlink r:id="rId1316" ref="M1333"/>
    <hyperlink r:id="rId1317" ref="M1334"/>
    <hyperlink r:id="rId1318" ref="M1335"/>
    <hyperlink r:id="rId1319" ref="M1336"/>
    <hyperlink r:id="rId1320" ref="M1337"/>
    <hyperlink r:id="rId1321" ref="M1338"/>
    <hyperlink r:id="rId1322" ref="M1340"/>
    <hyperlink r:id="rId1323" ref="M1341"/>
    <hyperlink r:id="rId1324" ref="M1342"/>
    <hyperlink r:id="rId1325" ref="M1343"/>
    <hyperlink r:id="rId1326" ref="M1344"/>
    <hyperlink r:id="rId1327" ref="M1345"/>
    <hyperlink r:id="rId1328" ref="M1346"/>
    <hyperlink r:id="rId1329" ref="M1347"/>
    <hyperlink r:id="rId1330" ref="M1348"/>
    <hyperlink r:id="rId1331" ref="M1349"/>
    <hyperlink r:id="rId1332" ref="M1350"/>
    <hyperlink r:id="rId1333" ref="M1351"/>
    <hyperlink r:id="rId1334" ref="M1352"/>
    <hyperlink r:id="rId1335" ref="M1353"/>
    <hyperlink r:id="rId1336" ref="M1354"/>
    <hyperlink r:id="rId1337" ref="M1355"/>
    <hyperlink r:id="rId1338" ref="M1356"/>
    <hyperlink r:id="rId1339" ref="M1357"/>
    <hyperlink r:id="rId1340" ref="M1358"/>
    <hyperlink r:id="rId1341" ref="M1359"/>
    <hyperlink r:id="rId1342" ref="M1360"/>
    <hyperlink r:id="rId1343" ref="M1361"/>
    <hyperlink r:id="rId1344" ref="M1362"/>
    <hyperlink r:id="rId1345" ref="M1363"/>
    <hyperlink r:id="rId1346" ref="M1364"/>
    <hyperlink r:id="rId1347" ref="M1365"/>
    <hyperlink r:id="rId1348" ref="M1366"/>
    <hyperlink r:id="rId1349" ref="M1367"/>
    <hyperlink r:id="rId1350" ref="M1368"/>
    <hyperlink r:id="rId1351" ref="M1369"/>
    <hyperlink r:id="rId1352" ref="M1370"/>
    <hyperlink r:id="rId1353" ref="M1371"/>
    <hyperlink r:id="rId1354" ref="M1372"/>
    <hyperlink r:id="rId1355" ref="M1373"/>
    <hyperlink r:id="rId1356" ref="M1374"/>
    <hyperlink r:id="rId1357" ref="M1375"/>
    <hyperlink r:id="rId1358" ref="M1376"/>
    <hyperlink r:id="rId1359" ref="M1377"/>
    <hyperlink r:id="rId1360" ref="M1378"/>
    <hyperlink r:id="rId1361" ref="M1379"/>
    <hyperlink r:id="rId1362" ref="M1380"/>
    <hyperlink r:id="rId1363" ref="M1381"/>
    <hyperlink r:id="rId1364" ref="M1382"/>
    <hyperlink r:id="rId1365" ref="M1383"/>
    <hyperlink r:id="rId1366" ref="M1384"/>
    <hyperlink r:id="rId1367" ref="M1385"/>
    <hyperlink r:id="rId1368" ref="M1386"/>
    <hyperlink r:id="rId1369" ref="M1387"/>
    <hyperlink r:id="rId1370" ref="M1388"/>
    <hyperlink r:id="rId1371" ref="M1389"/>
    <hyperlink r:id="rId1372" ref="M1391"/>
    <hyperlink r:id="rId1373" ref="M1392"/>
    <hyperlink r:id="rId1374" ref="M1393"/>
    <hyperlink r:id="rId1375" ref="M1394"/>
    <hyperlink r:id="rId1376" ref="M1395"/>
    <hyperlink r:id="rId1377" ref="M1396"/>
    <hyperlink r:id="rId1378" ref="M1397"/>
    <hyperlink r:id="rId1379" ref="M1398"/>
    <hyperlink r:id="rId1380" ref="M1399"/>
    <hyperlink r:id="rId1381" ref="M1400"/>
    <hyperlink r:id="rId1382" ref="M1401"/>
    <hyperlink r:id="rId1383" ref="M1402"/>
    <hyperlink r:id="rId1384" ref="M1403"/>
    <hyperlink r:id="rId1385" ref="M1404"/>
    <hyperlink r:id="rId1386" ref="M1405"/>
    <hyperlink r:id="rId1387" ref="M1406"/>
    <hyperlink r:id="rId1388" ref="M1407"/>
    <hyperlink r:id="rId1389" ref="M1408"/>
    <hyperlink r:id="rId1390" ref="M1409"/>
    <hyperlink r:id="rId1391" ref="M1410"/>
    <hyperlink r:id="rId1392" ref="M1411"/>
    <hyperlink r:id="rId1393" ref="M1412"/>
    <hyperlink r:id="rId1394" ref="M1413"/>
    <hyperlink r:id="rId1395" ref="M1414"/>
    <hyperlink r:id="rId1396" ref="M1415"/>
    <hyperlink r:id="rId1397" ref="M1416"/>
    <hyperlink r:id="rId1398" ref="M1417"/>
    <hyperlink r:id="rId1399" ref="M1418"/>
    <hyperlink r:id="rId1400" ref="M1419"/>
    <hyperlink r:id="rId1401" ref="M1420"/>
    <hyperlink r:id="rId1402" ref="M1421"/>
    <hyperlink r:id="rId1403" ref="M1422"/>
    <hyperlink r:id="rId1404" ref="M1423"/>
    <hyperlink r:id="rId1405" ref="M1424"/>
    <hyperlink r:id="rId1406" ref="M1425"/>
    <hyperlink r:id="rId1407" ref="M1426"/>
    <hyperlink r:id="rId1408" ref="M1427"/>
    <hyperlink r:id="rId1409" ref="M1428"/>
    <hyperlink r:id="rId1410" ref="M1429"/>
    <hyperlink r:id="rId1411" ref="M1430"/>
    <hyperlink r:id="rId1412" ref="M1431"/>
    <hyperlink r:id="rId1413" ref="M1432"/>
    <hyperlink r:id="rId1414" ref="M1433"/>
    <hyperlink r:id="rId1415" ref="M1434"/>
    <hyperlink r:id="rId1416" ref="M1436"/>
    <hyperlink r:id="rId1417" ref="M1437"/>
    <hyperlink r:id="rId1418" ref="M1438"/>
    <hyperlink r:id="rId1419" ref="M1439"/>
    <hyperlink r:id="rId1420" ref="M1440"/>
    <hyperlink r:id="rId1421" ref="M1441"/>
    <hyperlink r:id="rId1422" ref="M1442"/>
    <hyperlink r:id="rId1423" ref="M1443"/>
    <hyperlink r:id="rId1424" ref="M1444"/>
    <hyperlink r:id="rId1425" ref="M1445"/>
    <hyperlink r:id="rId1426" ref="M1446"/>
    <hyperlink r:id="rId1427" ref="M1447"/>
    <hyperlink r:id="rId1428" ref="M1448"/>
    <hyperlink r:id="rId1429" ref="M1449"/>
    <hyperlink r:id="rId1430" ref="M1450"/>
    <hyperlink r:id="rId1431" ref="M1451"/>
    <hyperlink r:id="rId1432" ref="M1452"/>
    <hyperlink r:id="rId1433" ref="M1453"/>
    <hyperlink r:id="rId1434" ref="M1454"/>
    <hyperlink r:id="rId1435" ref="M1455"/>
    <hyperlink r:id="rId1436" ref="M1456"/>
    <hyperlink r:id="rId1437" ref="M1457"/>
    <hyperlink r:id="rId1438" ref="M1458"/>
    <hyperlink r:id="rId1439" ref="M1459"/>
    <hyperlink r:id="rId1440" ref="M1460"/>
    <hyperlink r:id="rId1441" ref="M1461"/>
    <hyperlink r:id="rId1442" ref="M1462"/>
    <hyperlink r:id="rId1443" ref="M1463"/>
    <hyperlink r:id="rId1444" ref="M1464"/>
    <hyperlink r:id="rId1445" ref="M1465"/>
    <hyperlink r:id="rId1446" ref="M1466"/>
    <hyperlink r:id="rId1447" ref="M1467"/>
    <hyperlink r:id="rId1448" ref="M1468"/>
    <hyperlink r:id="rId1449" ref="M1469"/>
    <hyperlink r:id="rId1450" ref="M1470"/>
    <hyperlink r:id="rId1451" ref="M1471"/>
    <hyperlink r:id="rId1452" ref="M1472"/>
    <hyperlink r:id="rId1453" ref="M1473"/>
    <hyperlink r:id="rId1454" ref="M1474"/>
    <hyperlink r:id="rId1455" ref="M1475"/>
    <hyperlink r:id="rId1456" ref="M1476"/>
    <hyperlink r:id="rId1457" ref="M1477"/>
    <hyperlink r:id="rId1458" ref="M1478"/>
    <hyperlink r:id="rId1459" ref="M1479"/>
    <hyperlink r:id="rId1460" ref="M1480"/>
    <hyperlink r:id="rId1461" ref="M1481"/>
    <hyperlink r:id="rId1462" ref="M1482"/>
    <hyperlink r:id="rId1463" ref="M1483"/>
    <hyperlink r:id="rId1464" ref="M1484"/>
    <hyperlink r:id="rId1465" ref="M1485"/>
    <hyperlink r:id="rId1466" ref="M1486"/>
    <hyperlink r:id="rId1467" ref="M1487"/>
    <hyperlink r:id="rId1468" ref="M1488"/>
    <hyperlink r:id="rId1469" ref="M1489"/>
    <hyperlink r:id="rId1470" ref="M1490"/>
    <hyperlink r:id="rId1471" ref="M1491"/>
    <hyperlink r:id="rId1472" ref="M1492"/>
    <hyperlink r:id="rId1473" ref="M1493"/>
    <hyperlink r:id="rId1474" ref="M1494"/>
    <hyperlink r:id="rId1475" ref="M1495"/>
    <hyperlink r:id="rId1476" ref="M1496"/>
    <hyperlink r:id="rId1477" ref="M1497"/>
    <hyperlink r:id="rId1478" ref="M1498"/>
    <hyperlink r:id="rId1479" ref="M1499"/>
    <hyperlink r:id="rId1480" ref="M1500"/>
    <hyperlink r:id="rId1481" ref="M1501"/>
    <hyperlink r:id="rId1482" ref="M1502"/>
    <hyperlink r:id="rId1483" ref="M1503"/>
    <hyperlink r:id="rId1484" ref="M1504"/>
    <hyperlink r:id="rId1485" ref="M1505"/>
    <hyperlink r:id="rId1486" ref="M1506"/>
    <hyperlink r:id="rId1487" ref="M1507"/>
    <hyperlink r:id="rId1488" ref="M1508"/>
    <hyperlink r:id="rId1489" ref="M1509"/>
    <hyperlink r:id="rId1490" ref="M1510"/>
    <hyperlink r:id="rId1491" ref="M1512"/>
    <hyperlink r:id="rId1492" ref="M1513"/>
    <hyperlink r:id="rId1493" ref="M1514"/>
    <hyperlink r:id="rId1494" ref="M1515"/>
    <hyperlink r:id="rId1495" ref="M1516"/>
    <hyperlink r:id="rId1496" ref="M1517"/>
    <hyperlink r:id="rId1497" ref="M1518"/>
    <hyperlink r:id="rId1498" ref="M1519"/>
    <hyperlink r:id="rId1499" ref="M1520"/>
    <hyperlink r:id="rId1500" ref="M1521"/>
    <hyperlink r:id="rId1501" ref="M1522"/>
    <hyperlink r:id="rId1502" ref="M1523"/>
    <hyperlink r:id="rId1503" ref="M1524"/>
    <hyperlink r:id="rId1504" ref="M1525"/>
    <hyperlink r:id="rId1505" ref="M1526"/>
    <hyperlink r:id="rId1506" ref="M1527"/>
    <hyperlink r:id="rId1507" ref="M1528"/>
    <hyperlink r:id="rId1508" ref="M1529"/>
    <hyperlink r:id="rId1509" ref="M1530"/>
    <hyperlink r:id="rId1510" ref="M1531"/>
    <hyperlink r:id="rId1511" ref="M1532"/>
    <hyperlink r:id="rId1512" ref="M1533"/>
    <hyperlink r:id="rId1513" ref="M1534"/>
    <hyperlink r:id="rId1514" ref="M1535"/>
    <hyperlink r:id="rId1515" ref="M1536"/>
    <hyperlink r:id="rId1516" ref="M1537"/>
    <hyperlink r:id="rId1517" ref="M1538"/>
    <hyperlink r:id="rId1518" ref="M1539"/>
    <hyperlink r:id="rId1519" ref="M1540"/>
    <hyperlink r:id="rId1520" ref="M1541"/>
    <hyperlink r:id="rId1521" ref="M1542"/>
    <hyperlink r:id="rId1522" ref="M1543"/>
    <hyperlink r:id="rId1523" ref="M1544"/>
    <hyperlink r:id="rId1524" ref="M1545"/>
    <hyperlink r:id="rId1525" ref="M1546"/>
    <hyperlink r:id="rId1526" ref="M1547"/>
    <hyperlink r:id="rId1527" ref="M1548"/>
    <hyperlink r:id="rId1528" ref="M1549"/>
    <hyperlink r:id="rId1529" ref="M1550"/>
    <hyperlink r:id="rId1530" ref="M1551"/>
    <hyperlink r:id="rId1531" ref="M1552"/>
    <hyperlink r:id="rId1532" ref="M1553"/>
    <hyperlink r:id="rId1533" ref="M1554"/>
    <hyperlink r:id="rId1534" ref="M1555"/>
    <hyperlink r:id="rId1535" ref="M1556"/>
    <hyperlink r:id="rId1536" ref="M1557"/>
    <hyperlink r:id="rId1537" ref="M1558"/>
    <hyperlink r:id="rId1538" ref="M1559"/>
    <hyperlink r:id="rId1539" ref="M1560"/>
    <hyperlink r:id="rId1540" ref="M1561"/>
    <hyperlink r:id="rId1541" ref="M1562"/>
    <hyperlink r:id="rId1542" ref="M1563"/>
    <hyperlink r:id="rId1543" ref="M1564"/>
    <hyperlink r:id="rId1544" ref="M1565"/>
    <hyperlink r:id="rId1545" ref="M1566"/>
    <hyperlink r:id="rId1546" ref="M1567"/>
    <hyperlink r:id="rId1547" ref="M1568"/>
    <hyperlink r:id="rId1548" ref="M1569"/>
    <hyperlink r:id="rId1549" ref="M1570"/>
    <hyperlink r:id="rId1550" ref="M1571"/>
    <hyperlink r:id="rId1551" ref="M1572"/>
    <hyperlink r:id="rId1552" ref="M1573"/>
    <hyperlink r:id="rId1553" ref="M1574"/>
    <hyperlink r:id="rId1554" ref="M1575"/>
    <hyperlink r:id="rId1555" ref="M1576"/>
    <hyperlink r:id="rId1556" ref="M1577"/>
    <hyperlink r:id="rId1557" ref="M1578"/>
    <hyperlink r:id="rId1558" ref="M1579"/>
    <hyperlink r:id="rId1559" ref="M1580"/>
    <hyperlink r:id="rId1560" ref="M1581"/>
    <hyperlink r:id="rId1561" ref="M1582"/>
    <hyperlink r:id="rId1562" ref="M1583"/>
    <hyperlink r:id="rId1563" ref="M1584"/>
    <hyperlink r:id="rId1564" ref="M1585"/>
    <hyperlink r:id="rId1565" ref="M1586"/>
    <hyperlink r:id="rId1566" ref="M1587"/>
    <hyperlink r:id="rId1567" ref="M1588"/>
    <hyperlink r:id="rId1568" ref="M1589"/>
    <hyperlink r:id="rId1569" ref="M1590"/>
    <hyperlink r:id="rId1570" ref="M1591"/>
    <hyperlink r:id="rId1571" ref="M1592"/>
    <hyperlink r:id="rId1572" ref="M1593"/>
    <hyperlink r:id="rId1573" ref="M1594"/>
    <hyperlink r:id="rId1574" ref="M1595"/>
    <hyperlink r:id="rId1575" ref="M1596"/>
    <hyperlink r:id="rId1576" ref="M1597"/>
    <hyperlink r:id="rId1577" ref="M1598"/>
    <hyperlink r:id="rId1578" ref="M1599"/>
    <hyperlink r:id="rId1579" ref="M1600"/>
    <hyperlink r:id="rId1580" ref="M1601"/>
    <hyperlink r:id="rId1581" ref="M1602"/>
    <hyperlink r:id="rId1582" ref="M1603"/>
    <hyperlink r:id="rId1583" ref="M1604"/>
    <hyperlink r:id="rId1584" ref="M1605"/>
    <hyperlink r:id="rId1585" ref="M1606"/>
    <hyperlink r:id="rId1586" ref="M1607"/>
    <hyperlink r:id="rId1587" ref="M1608"/>
    <hyperlink r:id="rId1588" ref="M1609"/>
    <hyperlink r:id="rId1589" ref="M1610"/>
    <hyperlink r:id="rId1590" ref="M1611"/>
    <hyperlink r:id="rId1591" ref="M1612"/>
    <hyperlink r:id="rId1592" ref="M1613"/>
    <hyperlink r:id="rId1593" ref="M1614"/>
    <hyperlink r:id="rId1594" ref="M1615"/>
    <hyperlink r:id="rId1595" ref="M1616"/>
    <hyperlink r:id="rId1596" ref="M1617"/>
    <hyperlink r:id="rId1597" ref="M1618"/>
    <hyperlink r:id="rId1598" ref="M1619"/>
    <hyperlink r:id="rId1599" ref="M1620"/>
    <hyperlink r:id="rId1600" ref="M1621"/>
    <hyperlink r:id="rId1601" ref="M1622"/>
    <hyperlink r:id="rId1602" ref="M1623"/>
    <hyperlink r:id="rId1603" ref="M1624"/>
    <hyperlink r:id="rId1604" ref="M1625"/>
    <hyperlink r:id="rId1605" ref="M1626"/>
    <hyperlink r:id="rId1606" ref="M1627"/>
    <hyperlink r:id="rId1607" ref="M1628"/>
    <hyperlink r:id="rId1608" ref="M1629"/>
    <hyperlink r:id="rId1609" ref="M1630"/>
    <hyperlink r:id="rId1610" ref="M1631"/>
    <hyperlink r:id="rId1611" ref="M1632"/>
    <hyperlink r:id="rId1612" ref="M1633"/>
    <hyperlink r:id="rId1613" ref="M1634"/>
    <hyperlink r:id="rId1614" ref="M1635"/>
    <hyperlink r:id="rId1615" ref="M1636"/>
    <hyperlink r:id="rId1616" ref="M1637"/>
    <hyperlink r:id="rId1617" ref="M1638"/>
    <hyperlink r:id="rId1618" ref="M1639"/>
    <hyperlink r:id="rId1619" ref="M1640"/>
    <hyperlink r:id="rId1620" ref="M1641"/>
    <hyperlink r:id="rId1621" ref="M1642"/>
    <hyperlink r:id="rId1622" ref="M1643"/>
    <hyperlink r:id="rId1623" ref="M1644"/>
    <hyperlink r:id="rId1624" ref="M1645"/>
    <hyperlink r:id="rId1625" ref="M1646"/>
    <hyperlink r:id="rId1626" ref="M1647"/>
    <hyperlink r:id="rId1627" ref="M1648"/>
    <hyperlink r:id="rId1628" ref="M1649"/>
    <hyperlink r:id="rId1629" ref="M1650"/>
    <hyperlink r:id="rId1630" ref="M1651"/>
    <hyperlink r:id="rId1631" ref="M1652"/>
    <hyperlink r:id="rId1632" ref="M1653"/>
    <hyperlink r:id="rId1633" ref="M1654"/>
    <hyperlink r:id="rId1634" ref="M1655"/>
    <hyperlink r:id="rId1635" ref="M1656"/>
    <hyperlink r:id="rId1636" ref="M1657"/>
    <hyperlink r:id="rId1637" ref="M1658"/>
    <hyperlink r:id="rId1638" ref="M1659"/>
    <hyperlink r:id="rId1639" ref="M1660"/>
    <hyperlink r:id="rId1640" ref="M1661"/>
    <hyperlink r:id="rId1641" ref="M1662"/>
    <hyperlink r:id="rId1642" ref="M1663"/>
    <hyperlink r:id="rId1643" ref="M1664"/>
    <hyperlink r:id="rId1644" ref="M1665"/>
    <hyperlink r:id="rId1645" ref="M1666"/>
    <hyperlink r:id="rId1646" ref="M1667"/>
    <hyperlink r:id="rId1647" ref="M1668"/>
    <hyperlink r:id="rId1648" ref="M1669"/>
    <hyperlink r:id="rId1649" ref="M1670"/>
    <hyperlink r:id="rId1650" ref="M1671"/>
    <hyperlink r:id="rId1651" ref="M1672"/>
    <hyperlink r:id="rId1652" ref="M1673"/>
    <hyperlink r:id="rId1653" ref="M1674"/>
    <hyperlink r:id="rId1654" ref="M1675"/>
    <hyperlink r:id="rId1655" ref="M1676"/>
    <hyperlink r:id="rId1656" ref="M1677"/>
    <hyperlink r:id="rId1657" ref="M1678"/>
    <hyperlink r:id="rId1658" ref="M1679"/>
    <hyperlink r:id="rId1659" ref="M1680"/>
    <hyperlink r:id="rId1660" ref="M1681"/>
    <hyperlink r:id="rId1661" ref="M1682"/>
    <hyperlink r:id="rId1662" ref="M1683"/>
    <hyperlink r:id="rId1663" ref="M1684"/>
    <hyperlink r:id="rId1664" ref="M1685"/>
    <hyperlink r:id="rId1665" ref="M1686"/>
    <hyperlink r:id="rId1666" ref="M1687"/>
    <hyperlink r:id="rId1667" ref="M1688"/>
    <hyperlink r:id="rId1668" ref="M1689"/>
    <hyperlink r:id="rId1669" ref="M1690"/>
    <hyperlink r:id="rId1670" ref="M1691"/>
    <hyperlink r:id="rId1671" ref="M1692"/>
    <hyperlink r:id="rId1672" ref="M1693"/>
    <hyperlink r:id="rId1673" ref="M1694"/>
    <hyperlink r:id="rId1674" ref="M1695"/>
    <hyperlink r:id="rId1675" ref="M1696"/>
    <hyperlink r:id="rId1676" ref="M1697"/>
    <hyperlink r:id="rId1677" ref="M1698"/>
    <hyperlink r:id="rId1678" ref="M1699"/>
    <hyperlink r:id="rId1679" ref="M1700"/>
    <hyperlink r:id="rId1680" ref="M1701"/>
    <hyperlink r:id="rId1681" ref="M1702"/>
    <hyperlink r:id="rId1682" ref="M1703"/>
    <hyperlink r:id="rId1683" ref="M1704"/>
    <hyperlink r:id="rId1684" ref="M1705"/>
    <hyperlink r:id="rId1685" ref="M1706"/>
    <hyperlink r:id="rId1686" ref="M1707"/>
    <hyperlink r:id="rId1687" ref="M1708"/>
    <hyperlink r:id="rId1688" ref="M1709"/>
    <hyperlink r:id="rId1689" ref="M1710"/>
    <hyperlink r:id="rId1690" ref="M1711"/>
    <hyperlink r:id="rId1691" ref="M1712"/>
    <hyperlink r:id="rId1692" ref="M1713"/>
    <hyperlink r:id="rId1693" ref="M1714"/>
    <hyperlink r:id="rId1694" ref="M1715"/>
    <hyperlink r:id="rId1695" ref="M1716"/>
    <hyperlink r:id="rId1696" ref="M1717"/>
    <hyperlink r:id="rId1697" ref="M1718"/>
    <hyperlink r:id="rId1698" ref="M1719"/>
    <hyperlink r:id="rId1699" ref="M1720"/>
    <hyperlink r:id="rId1700" ref="M1721"/>
    <hyperlink r:id="rId1701" ref="M1722"/>
    <hyperlink r:id="rId1702" ref="M1723"/>
    <hyperlink r:id="rId1703" ref="M1724"/>
    <hyperlink r:id="rId1704" ref="M1725"/>
    <hyperlink r:id="rId1705" ref="M1726"/>
    <hyperlink r:id="rId1706" ref="M1727"/>
    <hyperlink r:id="rId1707" ref="M1728"/>
    <hyperlink r:id="rId1708" ref="M1729"/>
    <hyperlink r:id="rId1709" ref="M1730"/>
    <hyperlink r:id="rId1710" ref="M1731"/>
    <hyperlink r:id="rId1711" ref="M1732"/>
    <hyperlink r:id="rId1712" ref="M1733"/>
    <hyperlink r:id="rId1713" ref="M1734"/>
    <hyperlink r:id="rId1714" ref="M1735"/>
    <hyperlink r:id="rId1715" ref="M1736"/>
    <hyperlink r:id="rId1716" ref="M1737"/>
    <hyperlink r:id="rId1717" ref="M1738"/>
    <hyperlink r:id="rId1718" ref="M1739"/>
    <hyperlink r:id="rId1719" ref="M1740"/>
    <hyperlink r:id="rId1720" ref="M1741"/>
    <hyperlink r:id="rId1721" ref="M1742"/>
    <hyperlink r:id="rId1722" ref="M1743"/>
    <hyperlink r:id="rId1723" ref="M1744"/>
    <hyperlink r:id="rId1724" ref="M1745"/>
    <hyperlink r:id="rId1725" ref="M1746"/>
    <hyperlink r:id="rId1726" ref="M1747"/>
    <hyperlink r:id="rId1727" ref="M1748"/>
    <hyperlink r:id="rId1728" ref="M1749"/>
    <hyperlink r:id="rId1729" ref="M1750"/>
    <hyperlink r:id="rId1730" ref="M1751"/>
    <hyperlink r:id="rId1731" ref="M1752"/>
    <hyperlink r:id="rId1732" ref="M1753"/>
    <hyperlink r:id="rId1733" ref="M1754"/>
    <hyperlink r:id="rId1734" ref="M1755"/>
    <hyperlink r:id="rId1735" ref="M1756"/>
    <hyperlink r:id="rId1736" ref="M1757"/>
    <hyperlink r:id="rId1737" ref="M1758"/>
    <hyperlink r:id="rId1738" ref="M1759"/>
    <hyperlink r:id="rId1739" ref="M1760"/>
    <hyperlink r:id="rId1740" ref="M1761"/>
    <hyperlink r:id="rId1741" ref="M1762"/>
    <hyperlink r:id="rId1742" ref="M1763"/>
    <hyperlink r:id="rId1743" ref="M1764"/>
    <hyperlink r:id="rId1744" ref="M1769"/>
    <hyperlink r:id="rId1745" ref="M1771"/>
    <hyperlink r:id="rId1746" ref="M1772"/>
    <hyperlink r:id="rId1747" ref="M1773"/>
    <hyperlink r:id="rId1748" ref="M1774"/>
    <hyperlink r:id="rId1749" ref="M1779"/>
    <hyperlink r:id="rId1750" ref="M1780"/>
    <hyperlink r:id="rId1751" ref="M1783"/>
    <hyperlink r:id="rId1752" ref="M1786"/>
    <hyperlink r:id="rId1753" ref="M1788"/>
    <hyperlink r:id="rId1754" ref="M1790"/>
    <hyperlink r:id="rId1755" ref="M1791"/>
    <hyperlink r:id="rId1756" ref="M1792"/>
    <hyperlink r:id="rId1757" ref="M1793"/>
    <hyperlink r:id="rId1758" ref="M1794"/>
    <hyperlink r:id="rId1759" ref="M1795"/>
    <hyperlink r:id="rId1760" ref="M1796"/>
    <hyperlink r:id="rId1761" ref="M1797"/>
    <hyperlink r:id="rId1762" ref="M1798"/>
    <hyperlink r:id="rId1763" ref="M1799"/>
    <hyperlink r:id="rId1764" ref="M1800"/>
    <hyperlink r:id="rId1765" ref="M1801"/>
    <hyperlink r:id="rId1766" ref="M1802"/>
    <hyperlink r:id="rId1767" ref="M1803"/>
    <hyperlink r:id="rId1768" ref="M1804"/>
    <hyperlink r:id="rId1769" ref="M1805"/>
    <hyperlink r:id="rId1770" ref="M1806"/>
    <hyperlink r:id="rId1771" ref="M1807"/>
    <hyperlink r:id="rId1772" ref="M1808"/>
    <hyperlink r:id="rId1773" ref="M1809"/>
    <hyperlink r:id="rId1774" ref="M1810"/>
    <hyperlink r:id="rId1775" ref="M1811"/>
    <hyperlink r:id="rId1776" ref="M1812"/>
    <hyperlink r:id="rId1777" ref="M1813"/>
    <hyperlink r:id="rId1778" ref="M1814"/>
    <hyperlink r:id="rId1779" ref="M1815"/>
    <hyperlink r:id="rId1780" ref="M1816"/>
    <hyperlink r:id="rId1781" ref="M1817"/>
    <hyperlink r:id="rId1782" ref="M1818"/>
    <hyperlink r:id="rId1783" ref="M1819"/>
    <hyperlink r:id="rId1784" ref="M1820"/>
    <hyperlink r:id="rId1785" ref="M1823"/>
    <hyperlink r:id="rId1786" ref="M1824"/>
    <hyperlink r:id="rId1787" ref="M1825"/>
    <hyperlink r:id="rId1788" ref="M1826"/>
    <hyperlink r:id="rId1789" ref="M1827"/>
    <hyperlink r:id="rId1790" ref="M1828"/>
    <hyperlink r:id="rId1791" ref="M1829"/>
    <hyperlink r:id="rId1792" ref="M1830"/>
    <hyperlink r:id="rId1793" ref="M1831"/>
    <hyperlink r:id="rId1794" ref="M1832"/>
    <hyperlink r:id="rId1795" ref="M1833"/>
    <hyperlink r:id="rId1796" ref="M1834"/>
    <hyperlink r:id="rId1797" ref="M1835"/>
    <hyperlink r:id="rId1798" ref="M1836"/>
    <hyperlink r:id="rId1799" ref="M1837"/>
    <hyperlink r:id="rId1800" ref="M1838"/>
    <hyperlink r:id="rId1801" ref="M1839"/>
    <hyperlink r:id="rId1802" ref="M1840"/>
    <hyperlink r:id="rId1803" ref="M1841"/>
    <hyperlink r:id="rId1804" ref="M1842"/>
    <hyperlink r:id="rId1805" ref="M1843"/>
    <hyperlink r:id="rId1806" ref="M1844"/>
    <hyperlink r:id="rId1807" ref="M1845"/>
    <hyperlink r:id="rId1808" ref="M1846"/>
    <hyperlink r:id="rId1809" ref="M1847"/>
    <hyperlink r:id="rId1810" ref="M1848"/>
    <hyperlink r:id="rId1811" ref="M1849"/>
    <hyperlink r:id="rId1812" ref="M1850"/>
    <hyperlink r:id="rId1813" ref="M1851"/>
    <hyperlink r:id="rId1814" ref="M1852"/>
    <hyperlink r:id="rId1815" ref="M1853"/>
    <hyperlink r:id="rId1816" ref="M1854"/>
    <hyperlink r:id="rId1817" ref="M1855"/>
    <hyperlink r:id="rId1818" ref="M1856"/>
    <hyperlink r:id="rId1819" ref="M1857"/>
    <hyperlink r:id="rId1820" ref="M1858"/>
    <hyperlink r:id="rId1821" ref="M1859"/>
    <hyperlink r:id="rId1822" ref="M1860"/>
    <hyperlink r:id="rId1823" ref="M1861"/>
    <hyperlink r:id="rId1824" ref="M1862"/>
    <hyperlink r:id="rId1825" ref="M1863"/>
    <hyperlink r:id="rId1826" ref="M1864"/>
  </hyperlinks>
  <drawing r:id="rId18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75"/>
    <col customWidth="1" min="2" max="2" width="28.75"/>
    <col customWidth="1" min="3" max="3" width="52.38"/>
    <col customWidth="1" min="4" max="4" width="15.88"/>
    <col customWidth="1" min="5" max="5" width="9.0"/>
    <col customWidth="1" min="6" max="17" width="28.75"/>
    <col customWidth="1" min="18" max="18" width="44.63"/>
    <col customWidth="1" min="19" max="20" width="17.25"/>
    <col customWidth="1" min="21" max="21" width="14.0"/>
    <col customWidth="1" min="22" max="22" width="16.25"/>
    <col customWidth="1" min="23" max="23" width="15.0"/>
    <col customWidth="1" min="24" max="37" width="28.75"/>
  </cols>
  <sheetData>
    <row r="1" ht="38.25" customHeight="1">
      <c r="A1" s="15" t="s">
        <v>16078</v>
      </c>
      <c r="B1" s="15" t="s">
        <v>16079</v>
      </c>
      <c r="C1" s="15" t="s">
        <v>16080</v>
      </c>
      <c r="D1" s="15" t="s">
        <v>221</v>
      </c>
      <c r="E1" s="15" t="s">
        <v>222</v>
      </c>
      <c r="F1" s="15" t="s">
        <v>16081</v>
      </c>
      <c r="G1" s="15" t="s">
        <v>16082</v>
      </c>
      <c r="H1" s="18" t="s">
        <v>16083</v>
      </c>
      <c r="I1" s="18" t="s">
        <v>16084</v>
      </c>
      <c r="J1" s="18" t="s">
        <v>16085</v>
      </c>
      <c r="K1" s="18" t="s">
        <v>16086</v>
      </c>
      <c r="L1" s="18" t="s">
        <v>16087</v>
      </c>
      <c r="M1" s="18" t="s">
        <v>16088</v>
      </c>
      <c r="N1" s="18" t="s">
        <v>16089</v>
      </c>
      <c r="O1" s="18" t="s">
        <v>16090</v>
      </c>
      <c r="P1" s="18" t="s">
        <v>16091</v>
      </c>
      <c r="Q1" s="18" t="s">
        <v>16092</v>
      </c>
      <c r="R1" s="15" t="s">
        <v>227</v>
      </c>
      <c r="S1" s="15" t="s">
        <v>16093</v>
      </c>
      <c r="T1" s="15" t="s">
        <v>16094</v>
      </c>
      <c r="U1" s="15" t="s">
        <v>16095</v>
      </c>
      <c r="V1" s="15" t="s">
        <v>16096</v>
      </c>
      <c r="W1" s="15" t="s">
        <v>16097</v>
      </c>
      <c r="X1" s="15" t="s">
        <v>213</v>
      </c>
      <c r="Y1" s="21"/>
      <c r="Z1" s="21"/>
      <c r="AA1" s="21"/>
      <c r="AB1" s="21"/>
      <c r="AC1" s="21"/>
      <c r="AD1" s="21"/>
      <c r="AE1" s="21"/>
      <c r="AF1" s="21"/>
      <c r="AG1" s="21"/>
      <c r="AH1" s="21"/>
      <c r="AI1" s="21"/>
      <c r="AJ1" s="21"/>
      <c r="AK1" s="21"/>
    </row>
    <row r="2">
      <c r="A2" s="71" t="s">
        <v>16098</v>
      </c>
      <c r="B2" s="71" t="s">
        <v>5404</v>
      </c>
      <c r="C2" s="71" t="s">
        <v>16099</v>
      </c>
      <c r="D2" s="72" t="s">
        <v>1173</v>
      </c>
      <c r="E2" s="72" t="s">
        <v>272</v>
      </c>
      <c r="F2" s="73" t="s">
        <v>16100</v>
      </c>
      <c r="G2" s="73" t="s">
        <v>16101</v>
      </c>
      <c r="H2" s="73" t="s">
        <v>16102</v>
      </c>
      <c r="I2" s="73">
        <v>7.188696935E9</v>
      </c>
      <c r="J2" s="73" t="s">
        <v>16103</v>
      </c>
      <c r="K2" s="73" t="s">
        <v>16104</v>
      </c>
      <c r="L2" s="73" t="s">
        <v>16105</v>
      </c>
      <c r="M2" s="73">
        <v>5.168307337E9</v>
      </c>
      <c r="N2" s="74"/>
      <c r="O2" s="74"/>
      <c r="P2" s="74"/>
      <c r="Q2" s="74"/>
      <c r="R2" s="75"/>
      <c r="S2" s="71" t="s">
        <v>23</v>
      </c>
      <c r="T2" s="71" t="s">
        <v>15</v>
      </c>
      <c r="U2" s="71">
        <v>53.0</v>
      </c>
      <c r="V2" s="74">
        <f>COUNTIFS(
  Interns!AA:AA, "*" &amp; B2 &amp; "*",
  Interns!AC:AC, "*" &amp; S2 &amp; "*",
  Interns!AE:AE, "*" &amp; T2 &amp; "*"
)</f>
        <v>50</v>
      </c>
      <c r="W2" s="74">
        <f t="shared" ref="W2:W12" si="1">U2-V2</f>
        <v>3</v>
      </c>
      <c r="X2" s="74"/>
      <c r="Y2" s="74"/>
      <c r="Z2" s="74"/>
      <c r="AA2" s="74"/>
      <c r="AB2" s="74"/>
      <c r="AC2" s="74"/>
      <c r="AD2" s="74"/>
      <c r="AE2" s="74"/>
      <c r="AF2" s="74"/>
      <c r="AG2" s="74"/>
      <c r="AH2" s="74"/>
      <c r="AI2" s="74"/>
      <c r="AJ2" s="74"/>
      <c r="AK2" s="74"/>
    </row>
    <row r="3">
      <c r="A3" s="71" t="s">
        <v>16106</v>
      </c>
      <c r="B3" s="71" t="s">
        <v>477</v>
      </c>
      <c r="C3" s="71" t="s">
        <v>16107</v>
      </c>
      <c r="D3" s="71" t="s">
        <v>859</v>
      </c>
      <c r="E3" s="71" t="s">
        <v>272</v>
      </c>
      <c r="F3" s="73" t="s">
        <v>16108</v>
      </c>
      <c r="G3" s="73" t="s">
        <v>16109</v>
      </c>
      <c r="H3" s="73" t="s">
        <v>16110</v>
      </c>
      <c r="I3" s="74"/>
      <c r="J3" s="71" t="s">
        <v>16111</v>
      </c>
      <c r="K3" s="73" t="s">
        <v>16112</v>
      </c>
      <c r="L3" s="73" t="s">
        <v>16113</v>
      </c>
      <c r="M3" s="73">
        <v>9.175025177E9</v>
      </c>
      <c r="N3" s="74"/>
      <c r="O3" s="74"/>
      <c r="P3" s="74"/>
      <c r="Q3" s="74"/>
      <c r="R3" s="75"/>
      <c r="S3" s="71" t="s">
        <v>23</v>
      </c>
      <c r="T3" s="71" t="s">
        <v>15</v>
      </c>
      <c r="U3" s="71">
        <v>46.0</v>
      </c>
      <c r="V3" s="74">
        <f>COUNTIFS(
  Interns!AA:AA, "*" &amp; B3 &amp; "*",
  Interns!AC:AC, "*" &amp; S3 &amp; "*",
  Interns!AE:AE, "*" &amp; T3 &amp; "*"
)</f>
        <v>46</v>
      </c>
      <c r="W3" s="74">
        <f t="shared" si="1"/>
        <v>0</v>
      </c>
      <c r="X3" s="74"/>
      <c r="Y3" s="74"/>
      <c r="Z3" s="74"/>
      <c r="AA3" s="74"/>
      <c r="AB3" s="74"/>
      <c r="AC3" s="74"/>
      <c r="AD3" s="74"/>
      <c r="AE3" s="74"/>
      <c r="AF3" s="74"/>
      <c r="AG3" s="74"/>
      <c r="AH3" s="74"/>
      <c r="AI3" s="74"/>
      <c r="AJ3" s="74"/>
      <c r="AK3" s="74"/>
    </row>
    <row r="4">
      <c r="A4" s="71" t="s">
        <v>16114</v>
      </c>
      <c r="B4" s="71" t="s">
        <v>704</v>
      </c>
      <c r="C4" s="71" t="s">
        <v>16115</v>
      </c>
      <c r="D4" s="71" t="s">
        <v>271</v>
      </c>
      <c r="E4" s="71" t="s">
        <v>272</v>
      </c>
      <c r="F4" s="73" t="s">
        <v>16116</v>
      </c>
      <c r="G4" s="73" t="s">
        <v>16117</v>
      </c>
      <c r="H4" s="73" t="s">
        <v>16118</v>
      </c>
      <c r="I4" s="73" t="s">
        <v>16119</v>
      </c>
      <c r="J4" s="73" t="s">
        <v>16120</v>
      </c>
      <c r="K4" s="76" t="s">
        <v>11776</v>
      </c>
      <c r="L4" s="73" t="s">
        <v>16121</v>
      </c>
      <c r="M4" s="73" t="s">
        <v>16122</v>
      </c>
      <c r="N4" s="73" t="s">
        <v>16116</v>
      </c>
      <c r="O4" s="73" t="s">
        <v>16117</v>
      </c>
      <c r="P4" s="73" t="s">
        <v>16118</v>
      </c>
      <c r="Q4" s="73" t="s">
        <v>16119</v>
      </c>
      <c r="R4" s="75"/>
      <c r="S4" s="71" t="s">
        <v>23</v>
      </c>
      <c r="T4" s="71" t="s">
        <v>15</v>
      </c>
      <c r="U4" s="74">
        <f>30+21</f>
        <v>51</v>
      </c>
      <c r="V4" s="74">
        <f>COUNTIFS(
  Interns!AA:AA, "*" &amp; B4 &amp; "*",
  Interns!AC:AC, "*" &amp; S4 &amp; "*",
  Interns!AE:AE, "*" &amp; T4 &amp; "*"
)</f>
        <v>55</v>
      </c>
      <c r="W4" s="74">
        <f t="shared" si="1"/>
        <v>-4</v>
      </c>
      <c r="X4" s="74"/>
      <c r="Y4" s="74"/>
      <c r="Z4" s="74"/>
      <c r="AA4" s="74"/>
      <c r="AB4" s="74"/>
      <c r="AC4" s="74"/>
      <c r="AD4" s="74"/>
      <c r="AE4" s="74"/>
      <c r="AF4" s="74"/>
      <c r="AG4" s="74"/>
      <c r="AH4" s="74"/>
      <c r="AI4" s="74"/>
      <c r="AJ4" s="74"/>
      <c r="AK4" s="74"/>
    </row>
    <row r="5">
      <c r="A5" s="72" t="s">
        <v>16123</v>
      </c>
      <c r="B5" s="71" t="s">
        <v>5287</v>
      </c>
      <c r="C5" s="72" t="s">
        <v>16124</v>
      </c>
      <c r="D5" s="72" t="s">
        <v>1173</v>
      </c>
      <c r="E5" s="72" t="s">
        <v>272</v>
      </c>
      <c r="F5" s="77" t="s">
        <v>16125</v>
      </c>
      <c r="G5" s="77" t="s">
        <v>16112</v>
      </c>
      <c r="H5" s="77" t="s">
        <v>16126</v>
      </c>
      <c r="I5" s="77" t="s">
        <v>16127</v>
      </c>
      <c r="J5" s="73" t="s">
        <v>16128</v>
      </c>
      <c r="K5" s="76" t="s">
        <v>11776</v>
      </c>
      <c r="L5" s="73" t="s">
        <v>12421</v>
      </c>
      <c r="M5" s="73" t="s">
        <v>16129</v>
      </c>
      <c r="N5" s="77"/>
      <c r="O5" s="77"/>
      <c r="P5" s="77"/>
      <c r="Q5" s="77"/>
      <c r="R5" s="78"/>
      <c r="S5" s="79" t="s">
        <v>23</v>
      </c>
      <c r="T5" s="80" t="s">
        <v>15</v>
      </c>
      <c r="U5" s="80">
        <v>41.0</v>
      </c>
      <c r="V5" s="74">
        <f>COUNTIFS(
  Interns!AA:AA, "*" &amp; B5 &amp; "*",
  Interns!AC:AC, "*" &amp; S5 &amp; "*",
  Interns!AE:AE, "*" &amp; T5 &amp; "*"
)</f>
        <v>35</v>
      </c>
      <c r="W5" s="74">
        <f t="shared" si="1"/>
        <v>6</v>
      </c>
      <c r="X5" s="72"/>
      <c r="Y5" s="72"/>
      <c r="Z5" s="72"/>
      <c r="AA5" s="72"/>
      <c r="AB5" s="72"/>
      <c r="AC5" s="72"/>
      <c r="AD5" s="72"/>
      <c r="AE5" s="72"/>
      <c r="AF5" s="72"/>
      <c r="AG5" s="72"/>
      <c r="AH5" s="72"/>
      <c r="AI5" s="72"/>
      <c r="AJ5" s="72"/>
      <c r="AK5" s="72"/>
    </row>
    <row r="6">
      <c r="A6" s="71" t="s">
        <v>16130</v>
      </c>
      <c r="B6" s="71" t="s">
        <v>5871</v>
      </c>
      <c r="C6" s="71" t="s">
        <v>16131</v>
      </c>
      <c r="D6" s="71" t="s">
        <v>859</v>
      </c>
      <c r="E6" s="71" t="s">
        <v>272</v>
      </c>
      <c r="F6" s="71" t="s">
        <v>16132</v>
      </c>
      <c r="G6" s="73" t="s">
        <v>16133</v>
      </c>
      <c r="H6" s="73" t="s">
        <v>16134</v>
      </c>
      <c r="I6" s="74"/>
      <c r="J6" s="73" t="s">
        <v>16135</v>
      </c>
      <c r="K6" s="73" t="s">
        <v>16136</v>
      </c>
      <c r="L6" s="73" t="s">
        <v>16137</v>
      </c>
      <c r="M6" s="73" t="s">
        <v>16138</v>
      </c>
      <c r="N6" s="73" t="s">
        <v>16139</v>
      </c>
      <c r="O6" s="81"/>
      <c r="P6" s="73" t="s">
        <v>16140</v>
      </c>
      <c r="Q6" s="81"/>
      <c r="R6" s="75"/>
      <c r="S6" s="82" t="s">
        <v>23</v>
      </c>
      <c r="T6" s="82" t="s">
        <v>15</v>
      </c>
      <c r="U6" s="71">
        <v>14.0</v>
      </c>
      <c r="V6" s="74">
        <f>COUNTIFS(
  Interns!AA:AA, "*" &amp; B6 &amp; "*",
  Interns!AC:AC, "*" &amp; S6 &amp; "*",
  Interns!AE:AE, "*" &amp; T6 &amp; "*"
)</f>
        <v>14</v>
      </c>
      <c r="W6" s="74">
        <f t="shared" si="1"/>
        <v>0</v>
      </c>
      <c r="X6" s="74"/>
      <c r="Y6" s="74"/>
      <c r="Z6" s="74"/>
      <c r="AA6" s="74"/>
      <c r="AB6" s="74"/>
      <c r="AC6" s="74"/>
      <c r="AD6" s="74"/>
      <c r="AE6" s="74"/>
      <c r="AF6" s="74"/>
      <c r="AG6" s="74"/>
      <c r="AH6" s="74"/>
      <c r="AI6" s="74"/>
      <c r="AJ6" s="74"/>
      <c r="AK6" s="74"/>
    </row>
    <row r="7">
      <c r="A7" s="71" t="s">
        <v>16141</v>
      </c>
      <c r="B7" s="71" t="s">
        <v>421</v>
      </c>
      <c r="C7" s="71" t="s">
        <v>16142</v>
      </c>
      <c r="D7" s="71" t="s">
        <v>1173</v>
      </c>
      <c r="E7" s="71" t="s">
        <v>272</v>
      </c>
      <c r="F7" s="73" t="s">
        <v>16143</v>
      </c>
      <c r="G7" s="73" t="s">
        <v>11776</v>
      </c>
      <c r="H7" s="73" t="s">
        <v>16144</v>
      </c>
      <c r="I7" s="73" t="s">
        <v>16145</v>
      </c>
      <c r="J7" s="73" t="s">
        <v>16146</v>
      </c>
      <c r="K7" s="73" t="s">
        <v>16147</v>
      </c>
      <c r="L7" s="73" t="s">
        <v>16148</v>
      </c>
      <c r="M7" s="74"/>
      <c r="N7" s="74"/>
      <c r="O7" s="74"/>
      <c r="P7" s="74"/>
      <c r="Q7" s="74"/>
      <c r="R7" s="75"/>
      <c r="S7" s="71" t="s">
        <v>23</v>
      </c>
      <c r="T7" s="71" t="s">
        <v>15</v>
      </c>
      <c r="U7" s="71">
        <v>57.0</v>
      </c>
      <c r="V7" s="74">
        <f>COUNTIFS(
  Interns!AA:AA, "*" &amp; B7 &amp; "*",
  Interns!AC:AC, "*" &amp; S7 &amp; "*",
  Interns!AE:AE, "*" &amp; T7 &amp; "*"
)</f>
        <v>57</v>
      </c>
      <c r="W7" s="74">
        <f t="shared" si="1"/>
        <v>0</v>
      </c>
      <c r="X7" s="74"/>
      <c r="Y7" s="74"/>
      <c r="Z7" s="74"/>
      <c r="AA7" s="74"/>
      <c r="AB7" s="74"/>
      <c r="AC7" s="74"/>
      <c r="AD7" s="74"/>
      <c r="AE7" s="74"/>
      <c r="AF7" s="74"/>
      <c r="AG7" s="74"/>
      <c r="AH7" s="74"/>
      <c r="AI7" s="74"/>
      <c r="AJ7" s="74"/>
      <c r="AK7" s="74"/>
    </row>
    <row r="8">
      <c r="A8" s="71" t="s">
        <v>16149</v>
      </c>
      <c r="B8" s="71" t="s">
        <v>5171</v>
      </c>
      <c r="C8" s="71" t="s">
        <v>16150</v>
      </c>
      <c r="D8" s="72" t="s">
        <v>1173</v>
      </c>
      <c r="E8" s="72" t="s">
        <v>272</v>
      </c>
      <c r="F8" s="73" t="s">
        <v>16151</v>
      </c>
      <c r="G8" s="73" t="s">
        <v>16112</v>
      </c>
      <c r="H8" s="73" t="s">
        <v>16152</v>
      </c>
      <c r="I8" s="73" t="s">
        <v>16153</v>
      </c>
      <c r="J8" s="73" t="s">
        <v>16154</v>
      </c>
      <c r="K8" s="73" t="s">
        <v>16155</v>
      </c>
      <c r="L8" s="73" t="s">
        <v>16156</v>
      </c>
      <c r="M8" s="73"/>
      <c r="N8" s="73" t="s">
        <v>16157</v>
      </c>
      <c r="O8" s="73" t="s">
        <v>16158</v>
      </c>
      <c r="P8" s="73" t="s">
        <v>16159</v>
      </c>
      <c r="Q8" s="74"/>
      <c r="R8" s="75"/>
      <c r="S8" s="82" t="s">
        <v>23</v>
      </c>
      <c r="T8" s="82" t="s">
        <v>15</v>
      </c>
      <c r="U8" s="74">
        <f>29+23</f>
        <v>52</v>
      </c>
      <c r="V8" s="74">
        <f>COUNTIFS(
  Interns!AA:AA, "*" &amp; B8 &amp; "*",
  Interns!AC:AC, "*" &amp; S8 &amp; "*",
  Interns!AE:AE, "*" &amp; T8 &amp; "*"
)</f>
        <v>52</v>
      </c>
      <c r="W8" s="74">
        <f t="shared" si="1"/>
        <v>0</v>
      </c>
      <c r="X8" s="74"/>
      <c r="Y8" s="74"/>
      <c r="Z8" s="74"/>
      <c r="AA8" s="74"/>
      <c r="AB8" s="74"/>
      <c r="AC8" s="74"/>
      <c r="AD8" s="74"/>
      <c r="AE8" s="74"/>
      <c r="AF8" s="74"/>
      <c r="AG8" s="74"/>
      <c r="AH8" s="74"/>
      <c r="AI8" s="74"/>
      <c r="AJ8" s="74"/>
      <c r="AK8" s="74"/>
    </row>
    <row r="9">
      <c r="A9" s="71" t="s">
        <v>16160</v>
      </c>
      <c r="B9" s="71" t="s">
        <v>1085</v>
      </c>
      <c r="C9" s="71" t="s">
        <v>16161</v>
      </c>
      <c r="D9" s="71" t="s">
        <v>271</v>
      </c>
      <c r="E9" s="71" t="s">
        <v>272</v>
      </c>
      <c r="F9" s="73" t="s">
        <v>16162</v>
      </c>
      <c r="G9" s="73" t="s">
        <v>16163</v>
      </c>
      <c r="H9" s="73" t="s">
        <v>16164</v>
      </c>
      <c r="I9" s="73" t="s">
        <v>16165</v>
      </c>
      <c r="J9" s="73" t="s">
        <v>16162</v>
      </c>
      <c r="K9" s="73" t="s">
        <v>16163</v>
      </c>
      <c r="L9" s="73" t="s">
        <v>16164</v>
      </c>
      <c r="M9" s="73" t="s">
        <v>16165</v>
      </c>
      <c r="N9" s="74"/>
      <c r="O9" s="74"/>
      <c r="P9" s="74"/>
      <c r="Q9" s="74"/>
      <c r="R9" s="75"/>
      <c r="S9" s="71" t="s">
        <v>23</v>
      </c>
      <c r="T9" s="71" t="s">
        <v>15</v>
      </c>
      <c r="U9" s="71">
        <v>40.0</v>
      </c>
      <c r="V9" s="74">
        <f>COUNTIFS(
  Interns!AA:AA, "*" &amp; B9 &amp; "*",
  Interns!AC:AC, "*" &amp; S9 &amp; "*",
  Interns!AE:AE, "*" &amp; T9 &amp; "*"
)</f>
        <v>23</v>
      </c>
      <c r="W9" s="74">
        <f t="shared" si="1"/>
        <v>17</v>
      </c>
      <c r="X9" s="74"/>
      <c r="Y9" s="74"/>
      <c r="Z9" s="74"/>
      <c r="AA9" s="74"/>
      <c r="AB9" s="74"/>
      <c r="AC9" s="74"/>
      <c r="AD9" s="74"/>
      <c r="AE9" s="74"/>
      <c r="AF9" s="74"/>
      <c r="AG9" s="74"/>
      <c r="AH9" s="74"/>
      <c r="AI9" s="74"/>
      <c r="AJ9" s="74"/>
      <c r="AK9" s="74"/>
    </row>
    <row r="10">
      <c r="A10" s="71" t="s">
        <v>16166</v>
      </c>
      <c r="B10" s="76" t="s">
        <v>16167</v>
      </c>
      <c r="C10" s="74"/>
      <c r="D10" s="74"/>
      <c r="E10" s="71" t="s">
        <v>272</v>
      </c>
      <c r="F10" s="73" t="s">
        <v>16168</v>
      </c>
      <c r="G10" s="73" t="s">
        <v>16169</v>
      </c>
      <c r="H10" s="73" t="s">
        <v>16170</v>
      </c>
      <c r="I10" s="73" t="s">
        <v>16171</v>
      </c>
      <c r="J10" s="73" t="s">
        <v>16172</v>
      </c>
      <c r="K10" s="73" t="s">
        <v>16173</v>
      </c>
      <c r="L10" s="73" t="s">
        <v>16174</v>
      </c>
      <c r="M10" s="73" t="s">
        <v>16175</v>
      </c>
      <c r="N10" s="73" t="s">
        <v>16172</v>
      </c>
      <c r="O10" s="73" t="s">
        <v>16176</v>
      </c>
      <c r="P10" s="73" t="s">
        <v>16174</v>
      </c>
      <c r="Q10" s="73" t="s">
        <v>16175</v>
      </c>
      <c r="R10" s="75"/>
      <c r="S10" s="71" t="s">
        <v>23</v>
      </c>
      <c r="T10" s="71" t="s">
        <v>18</v>
      </c>
      <c r="U10" s="74">
        <f>5+5+20+28</f>
        <v>58</v>
      </c>
      <c r="V10" s="74">
        <f>COUNTIFS(
  Interns!AA:AA, "*" &amp; B10 &amp; "*",
  Interns!AC:AC, "*" &amp; S10 &amp; "*",
  Interns!AE:AE, "*" &amp; T10 &amp; "*"
)</f>
        <v>0</v>
      </c>
      <c r="W10" s="74">
        <f t="shared" si="1"/>
        <v>58</v>
      </c>
      <c r="X10" s="83" t="s">
        <v>16177</v>
      </c>
      <c r="Y10" s="74"/>
      <c r="Z10" s="74"/>
      <c r="AA10" s="74"/>
      <c r="AB10" s="74"/>
      <c r="AC10" s="74"/>
      <c r="AD10" s="74"/>
      <c r="AE10" s="74"/>
      <c r="AF10" s="74"/>
      <c r="AG10" s="74"/>
      <c r="AH10" s="74"/>
      <c r="AI10" s="74"/>
      <c r="AJ10" s="74"/>
      <c r="AK10" s="74"/>
    </row>
    <row r="11">
      <c r="A11" s="71" t="s">
        <v>16149</v>
      </c>
      <c r="B11" s="71" t="s">
        <v>5171</v>
      </c>
      <c r="C11" s="71" t="s">
        <v>16150</v>
      </c>
      <c r="D11" s="72" t="s">
        <v>1173</v>
      </c>
      <c r="E11" s="72" t="s">
        <v>272</v>
      </c>
      <c r="F11" s="73" t="s">
        <v>16151</v>
      </c>
      <c r="G11" s="73" t="s">
        <v>16112</v>
      </c>
      <c r="H11" s="73" t="s">
        <v>16152</v>
      </c>
      <c r="I11" s="73" t="s">
        <v>16153</v>
      </c>
      <c r="J11" s="73" t="s">
        <v>16154</v>
      </c>
      <c r="K11" s="73" t="s">
        <v>16155</v>
      </c>
      <c r="L11" s="73" t="s">
        <v>16156</v>
      </c>
      <c r="M11" s="73"/>
      <c r="N11" s="73" t="s">
        <v>16157</v>
      </c>
      <c r="O11" s="73" t="s">
        <v>16158</v>
      </c>
      <c r="P11" s="73" t="s">
        <v>16159</v>
      </c>
      <c r="Q11" s="74"/>
      <c r="R11" s="75"/>
      <c r="S11" s="82" t="s">
        <v>23</v>
      </c>
      <c r="T11" s="82" t="s">
        <v>18</v>
      </c>
      <c r="U11" s="71">
        <v>59.0</v>
      </c>
      <c r="V11" s="74">
        <f>COUNTIFS(
  Interns!AA:AA, "*" &amp; B11 &amp; "*",
  Interns!AC:AC, "*" &amp; S11 &amp; "*",
  Interns!AE:AE, "*" &amp; T11 &amp; "*"
)</f>
        <v>54</v>
      </c>
      <c r="W11" s="74">
        <f t="shared" si="1"/>
        <v>5</v>
      </c>
      <c r="X11" s="74"/>
      <c r="Y11" s="74"/>
      <c r="Z11" s="74"/>
      <c r="AA11" s="74"/>
      <c r="AB11" s="74"/>
      <c r="AC11" s="74"/>
      <c r="AD11" s="74"/>
      <c r="AE11" s="74"/>
      <c r="AF11" s="74"/>
      <c r="AG11" s="74"/>
      <c r="AH11" s="74"/>
      <c r="AI11" s="74"/>
      <c r="AJ11" s="74"/>
      <c r="AK11" s="74"/>
    </row>
    <row r="12">
      <c r="A12" s="71" t="s">
        <v>16178</v>
      </c>
      <c r="B12" s="71" t="s">
        <v>5512</v>
      </c>
      <c r="C12" s="72" t="s">
        <v>16179</v>
      </c>
      <c r="D12" s="72" t="s">
        <v>1173</v>
      </c>
      <c r="E12" s="72" t="s">
        <v>272</v>
      </c>
      <c r="F12" s="71" t="s">
        <v>16180</v>
      </c>
      <c r="G12" s="71"/>
      <c r="H12" s="71" t="s">
        <v>16181</v>
      </c>
      <c r="I12" s="74"/>
      <c r="J12" s="71" t="s">
        <v>16182</v>
      </c>
      <c r="K12" s="71" t="s">
        <v>16183</v>
      </c>
      <c r="L12" s="71" t="s">
        <v>16184</v>
      </c>
      <c r="M12" s="71" t="s">
        <v>16185</v>
      </c>
      <c r="N12" s="71" t="s">
        <v>16186</v>
      </c>
      <c r="O12" s="71" t="s">
        <v>16183</v>
      </c>
      <c r="P12" s="71" t="s">
        <v>16187</v>
      </c>
      <c r="Q12" s="71" t="s">
        <v>16188</v>
      </c>
      <c r="R12" s="84" t="s">
        <v>16189</v>
      </c>
      <c r="S12" s="82" t="s">
        <v>23</v>
      </c>
      <c r="T12" s="71" t="s">
        <v>19</v>
      </c>
      <c r="U12" s="71">
        <v>34.0</v>
      </c>
      <c r="V12" s="74">
        <f>COUNTIFS(
  Interns!AA:AA, "*" &amp; B12 &amp; "*",
  Interns!AC:AC, "*" &amp; S12 &amp; "*",
  Interns!AE:AE, "*" &amp; T12 &amp; "*"
)</f>
        <v>38</v>
      </c>
      <c r="W12" s="74">
        <f t="shared" si="1"/>
        <v>-4</v>
      </c>
      <c r="X12" s="74"/>
      <c r="Y12" s="74"/>
      <c r="Z12" s="74"/>
      <c r="AA12" s="74"/>
      <c r="AB12" s="74"/>
      <c r="AC12" s="74"/>
      <c r="AD12" s="74"/>
      <c r="AE12" s="74"/>
      <c r="AF12" s="74"/>
      <c r="AG12" s="74"/>
      <c r="AH12" s="74"/>
      <c r="AI12" s="74"/>
      <c r="AJ12" s="74"/>
      <c r="AK12" s="74"/>
    </row>
    <row r="13">
      <c r="A13" s="71" t="s">
        <v>16149</v>
      </c>
      <c r="B13" s="71" t="s">
        <v>5171</v>
      </c>
      <c r="C13" s="71" t="s">
        <v>16150</v>
      </c>
      <c r="D13" s="72" t="s">
        <v>1173</v>
      </c>
      <c r="E13" s="72" t="s">
        <v>272</v>
      </c>
      <c r="F13" s="73" t="s">
        <v>16151</v>
      </c>
      <c r="G13" s="73" t="s">
        <v>16112</v>
      </c>
      <c r="H13" s="73" t="s">
        <v>16152</v>
      </c>
      <c r="I13" s="73" t="s">
        <v>16153</v>
      </c>
      <c r="J13" s="73"/>
      <c r="K13" s="73"/>
      <c r="L13" s="73"/>
      <c r="M13" s="73"/>
      <c r="N13" s="73" t="s">
        <v>16157</v>
      </c>
      <c r="O13" s="73" t="s">
        <v>16158</v>
      </c>
      <c r="P13" s="73" t="s">
        <v>16159</v>
      </c>
      <c r="Q13" s="74"/>
      <c r="R13" s="75"/>
      <c r="S13" s="82" t="s">
        <v>23</v>
      </c>
      <c r="T13" s="71" t="s">
        <v>19</v>
      </c>
      <c r="U13" s="74"/>
      <c r="V13" s="74">
        <f>COUNTIFS(
  Interns!AA:AA, "*" &amp; B13 &amp; "*",
  Interns!AC:AC, "*" &amp; S13 &amp; "*",
  Interns!AE:AE, "*" &amp; T13 &amp; "*"
)</f>
        <v>20</v>
      </c>
      <c r="W13" s="74"/>
      <c r="X13" s="74"/>
      <c r="Y13" s="74"/>
      <c r="Z13" s="74"/>
      <c r="AA13" s="74"/>
      <c r="AB13" s="74"/>
      <c r="AC13" s="74"/>
      <c r="AD13" s="74"/>
      <c r="AE13" s="74"/>
      <c r="AF13" s="74"/>
      <c r="AG13" s="74"/>
      <c r="AH13" s="74"/>
      <c r="AI13" s="74"/>
      <c r="AJ13" s="74"/>
      <c r="AK13" s="74"/>
    </row>
    <row r="14">
      <c r="A14" s="71" t="s">
        <v>16190</v>
      </c>
      <c r="B14" s="76" t="s">
        <v>7761</v>
      </c>
      <c r="C14" s="74"/>
      <c r="D14" s="74"/>
      <c r="E14" s="71" t="s">
        <v>272</v>
      </c>
      <c r="F14" s="73" t="s">
        <v>16191</v>
      </c>
      <c r="G14" s="73" t="s">
        <v>16192</v>
      </c>
      <c r="H14" s="73" t="s">
        <v>16193</v>
      </c>
      <c r="I14" s="73" t="s">
        <v>16194</v>
      </c>
      <c r="J14" s="73" t="s">
        <v>16195</v>
      </c>
      <c r="K14" s="73" t="s">
        <v>16196</v>
      </c>
      <c r="L14" s="73" t="s">
        <v>16197</v>
      </c>
      <c r="M14" s="73" t="s">
        <v>16198</v>
      </c>
      <c r="N14" s="74"/>
      <c r="O14" s="74"/>
      <c r="P14" s="74"/>
      <c r="Q14" s="74"/>
      <c r="R14" s="75"/>
      <c r="S14" s="71" t="s">
        <v>24</v>
      </c>
      <c r="T14" s="71" t="s">
        <v>8</v>
      </c>
      <c r="U14" s="71">
        <v>9.0</v>
      </c>
      <c r="V14" s="74">
        <f>COUNTIFS(
  Interns!AA:AA, "*" &amp; B14 &amp; "*",
  Interns!AC:AC, "*" &amp; S14 &amp; "*",
  Interns!AE:AE, "*" &amp; T14 &amp; "*"
)</f>
        <v>9</v>
      </c>
      <c r="W14" s="74">
        <f t="shared" ref="W14:W27" si="2">U14-V14</f>
        <v>0</v>
      </c>
      <c r="X14" s="74"/>
      <c r="Y14" s="74"/>
      <c r="Z14" s="74"/>
      <c r="AA14" s="74"/>
      <c r="AB14" s="74"/>
      <c r="AC14" s="74"/>
      <c r="AD14" s="74"/>
      <c r="AE14" s="74"/>
      <c r="AF14" s="74"/>
      <c r="AG14" s="74"/>
      <c r="AH14" s="74"/>
      <c r="AI14" s="74"/>
      <c r="AJ14" s="74"/>
      <c r="AK14" s="74"/>
    </row>
    <row r="15">
      <c r="A15" s="71" t="s">
        <v>16199</v>
      </c>
      <c r="B15" s="71" t="s">
        <v>362</v>
      </c>
      <c r="C15" s="71" t="s">
        <v>16200</v>
      </c>
      <c r="D15" s="71" t="s">
        <v>859</v>
      </c>
      <c r="E15" s="71" t="s">
        <v>272</v>
      </c>
      <c r="F15" s="73" t="s">
        <v>16201</v>
      </c>
      <c r="G15" s="73" t="s">
        <v>16202</v>
      </c>
      <c r="H15" s="73" t="s">
        <v>16203</v>
      </c>
      <c r="I15" s="74"/>
      <c r="J15" s="73" t="s">
        <v>16204</v>
      </c>
      <c r="K15" s="73" t="s">
        <v>16112</v>
      </c>
      <c r="L15" s="73" t="s">
        <v>16205</v>
      </c>
      <c r="M15" s="73" t="s">
        <v>16206</v>
      </c>
      <c r="N15" s="74"/>
      <c r="O15" s="74"/>
      <c r="P15" s="74"/>
      <c r="Q15" s="74"/>
      <c r="R15" s="75"/>
      <c r="S15" s="71" t="s">
        <v>24</v>
      </c>
      <c r="T15" s="71" t="s">
        <v>8</v>
      </c>
      <c r="U15" s="74">
        <f>11+7</f>
        <v>18</v>
      </c>
      <c r="V15" s="74">
        <f>COUNTIFS(
  Interns!AA:AA, "*" &amp; B15 &amp; "*",
  Interns!AC:AC, "*" &amp; S15 &amp; "*",
  Interns!AE:AE, "*" &amp; T15 &amp; "*"
)</f>
        <v>18</v>
      </c>
      <c r="W15" s="74">
        <f t="shared" si="2"/>
        <v>0</v>
      </c>
      <c r="X15" s="74"/>
      <c r="Y15" s="74"/>
      <c r="Z15" s="74"/>
      <c r="AA15" s="74"/>
      <c r="AB15" s="74"/>
      <c r="AC15" s="74"/>
      <c r="AD15" s="74"/>
      <c r="AE15" s="74"/>
      <c r="AF15" s="74"/>
      <c r="AG15" s="74"/>
      <c r="AH15" s="74"/>
      <c r="AI15" s="74"/>
      <c r="AJ15" s="74"/>
      <c r="AK15" s="74"/>
    </row>
    <row r="16">
      <c r="A16" s="71" t="s">
        <v>16207</v>
      </c>
      <c r="B16" s="71" t="s">
        <v>5559</v>
      </c>
      <c r="C16" s="71" t="s">
        <v>16208</v>
      </c>
      <c r="D16" s="71" t="s">
        <v>271</v>
      </c>
      <c r="E16" s="71" t="s">
        <v>272</v>
      </c>
      <c r="F16" s="73" t="s">
        <v>16209</v>
      </c>
      <c r="G16" s="73" t="s">
        <v>16210</v>
      </c>
      <c r="H16" s="73" t="s">
        <v>16211</v>
      </c>
      <c r="I16" s="74"/>
      <c r="J16" s="73" t="s">
        <v>16212</v>
      </c>
      <c r="K16" s="73" t="s">
        <v>11776</v>
      </c>
      <c r="L16" s="73" t="s">
        <v>16213</v>
      </c>
      <c r="M16" s="73" t="s">
        <v>16214</v>
      </c>
      <c r="N16" s="81"/>
      <c r="O16" s="81"/>
      <c r="P16" s="81"/>
      <c r="Q16" s="81"/>
      <c r="R16" s="75"/>
      <c r="S16" s="71" t="s">
        <v>24</v>
      </c>
      <c r="T16" s="71" t="s">
        <v>8</v>
      </c>
      <c r="U16" s="71">
        <v>9.0</v>
      </c>
      <c r="V16" s="74">
        <f>COUNTIFS(
  Interns!AA:AA, "*" &amp; B16 &amp; "*",
  Interns!AC:AC, "*" &amp; S16 &amp; "*",
  Interns!AE:AE, "*" &amp; T16 &amp; "*"
)</f>
        <v>9</v>
      </c>
      <c r="W16" s="74">
        <f t="shared" si="2"/>
        <v>0</v>
      </c>
      <c r="X16" s="74"/>
      <c r="Y16" s="74"/>
      <c r="Z16" s="74"/>
      <c r="AA16" s="74"/>
      <c r="AB16" s="74"/>
      <c r="AC16" s="74"/>
      <c r="AD16" s="74"/>
      <c r="AE16" s="74"/>
      <c r="AF16" s="74"/>
      <c r="AG16" s="74"/>
      <c r="AH16" s="74"/>
      <c r="AI16" s="74"/>
      <c r="AJ16" s="74"/>
      <c r="AK16" s="74"/>
    </row>
    <row r="17">
      <c r="A17" s="71" t="s">
        <v>16215</v>
      </c>
      <c r="B17" s="71" t="s">
        <v>2141</v>
      </c>
      <c r="C17" s="71" t="s">
        <v>16216</v>
      </c>
      <c r="D17" s="71" t="s">
        <v>859</v>
      </c>
      <c r="E17" s="71" t="s">
        <v>272</v>
      </c>
      <c r="F17" s="73" t="s">
        <v>16217</v>
      </c>
      <c r="G17" s="73" t="s">
        <v>16218</v>
      </c>
      <c r="H17" s="73" t="s">
        <v>16219</v>
      </c>
      <c r="I17" s="73" t="s">
        <v>16220</v>
      </c>
      <c r="J17" s="73" t="s">
        <v>16221</v>
      </c>
      <c r="K17" s="73" t="s">
        <v>16222</v>
      </c>
      <c r="L17" s="73" t="s">
        <v>16223</v>
      </c>
      <c r="M17" s="73" t="s">
        <v>16224</v>
      </c>
      <c r="N17" s="74"/>
      <c r="O17" s="74"/>
      <c r="P17" s="74"/>
      <c r="Q17" s="74"/>
      <c r="R17" s="75"/>
      <c r="S17" s="71" t="s">
        <v>24</v>
      </c>
      <c r="T17" s="71" t="s">
        <v>8</v>
      </c>
      <c r="U17" s="71">
        <v>10.0</v>
      </c>
      <c r="V17" s="74">
        <f>COUNTIFS(
  Interns!AA:AA, "*" &amp; B17 &amp; "*",
  Interns!AC:AC, "*" &amp; S17 &amp; "*",
  Interns!AE:AE, "*" &amp; T17 &amp; "*"
)</f>
        <v>10</v>
      </c>
      <c r="W17" s="74">
        <f t="shared" si="2"/>
        <v>0</v>
      </c>
      <c r="X17" s="74"/>
      <c r="Y17" s="74"/>
      <c r="Z17" s="74"/>
      <c r="AA17" s="74"/>
      <c r="AB17" s="74"/>
      <c r="AC17" s="74"/>
      <c r="AD17" s="74"/>
      <c r="AE17" s="74"/>
      <c r="AF17" s="74"/>
      <c r="AG17" s="74"/>
      <c r="AH17" s="74"/>
      <c r="AI17" s="74"/>
      <c r="AJ17" s="74"/>
      <c r="AK17" s="74"/>
    </row>
    <row r="18">
      <c r="A18" s="71" t="s">
        <v>16225</v>
      </c>
      <c r="B18" s="71" t="s">
        <v>12327</v>
      </c>
      <c r="C18" s="71" t="s">
        <v>16226</v>
      </c>
      <c r="D18" s="71" t="s">
        <v>16227</v>
      </c>
      <c r="E18" s="71" t="s">
        <v>465</v>
      </c>
      <c r="F18" s="85" t="s">
        <v>16228</v>
      </c>
      <c r="G18" s="73" t="s">
        <v>16229</v>
      </c>
      <c r="H18" s="73" t="s">
        <v>16230</v>
      </c>
      <c r="I18" s="73">
        <v>2.105962721E9</v>
      </c>
      <c r="J18" s="81"/>
      <c r="K18" s="81"/>
      <c r="L18" s="81"/>
      <c r="M18" s="81"/>
      <c r="N18" s="81"/>
      <c r="O18" s="81"/>
      <c r="P18" s="81"/>
      <c r="Q18" s="81"/>
      <c r="R18" s="75"/>
      <c r="S18" s="71" t="s">
        <v>24</v>
      </c>
      <c r="T18" s="71" t="s">
        <v>8</v>
      </c>
      <c r="U18" s="71">
        <v>11.0</v>
      </c>
      <c r="V18" s="74">
        <f>COUNTIFS(
  Interns!AA:AA, "*" &amp; B18 &amp; "*",
  Interns!AC:AC, "*" &amp; S18 &amp; "*",
  Interns!AE:AE, "*" &amp; T18 &amp; "*"
)</f>
        <v>11</v>
      </c>
      <c r="W18" s="74">
        <f t="shared" si="2"/>
        <v>0</v>
      </c>
      <c r="X18" s="74"/>
      <c r="Y18" s="74"/>
      <c r="Z18" s="74"/>
      <c r="AA18" s="74"/>
      <c r="AB18" s="74"/>
      <c r="AC18" s="74"/>
      <c r="AD18" s="74"/>
      <c r="AE18" s="74"/>
      <c r="AF18" s="74"/>
      <c r="AG18" s="74"/>
      <c r="AH18" s="74"/>
      <c r="AI18" s="74"/>
      <c r="AJ18" s="74"/>
      <c r="AK18" s="74"/>
    </row>
    <row r="19">
      <c r="A19" s="71" t="s">
        <v>16141</v>
      </c>
      <c r="B19" s="71" t="s">
        <v>421</v>
      </c>
      <c r="C19" s="71" t="s">
        <v>16142</v>
      </c>
      <c r="D19" s="71" t="s">
        <v>1173</v>
      </c>
      <c r="E19" s="71" t="s">
        <v>272</v>
      </c>
      <c r="F19" s="73" t="s">
        <v>16143</v>
      </c>
      <c r="G19" s="73" t="s">
        <v>11776</v>
      </c>
      <c r="H19" s="73" t="s">
        <v>16144</v>
      </c>
      <c r="I19" s="73" t="s">
        <v>16145</v>
      </c>
      <c r="J19" s="73" t="s">
        <v>16231</v>
      </c>
      <c r="K19" s="73" t="s">
        <v>16112</v>
      </c>
      <c r="L19" s="73" t="s">
        <v>16232</v>
      </c>
      <c r="M19" s="74"/>
      <c r="N19" s="74"/>
      <c r="O19" s="74"/>
      <c r="P19" s="74"/>
      <c r="Q19" s="74"/>
      <c r="R19" s="75"/>
      <c r="S19" s="71" t="s">
        <v>24</v>
      </c>
      <c r="T19" s="71" t="s">
        <v>8</v>
      </c>
      <c r="U19" s="71">
        <v>9.0</v>
      </c>
      <c r="V19" s="74">
        <f>COUNTIFS(
  Interns!AA:AA, "*" &amp; B19 &amp; "*",
  Interns!AC:AC, "*" &amp; S19 &amp; "*",
  Interns!AE:AE, "*" &amp; T19 &amp; "*"
)</f>
        <v>9</v>
      </c>
      <c r="W19" s="74">
        <f t="shared" si="2"/>
        <v>0</v>
      </c>
      <c r="X19" s="74"/>
      <c r="Y19" s="74"/>
      <c r="Z19" s="74"/>
      <c r="AA19" s="74"/>
      <c r="AB19" s="74"/>
      <c r="AC19" s="74"/>
      <c r="AD19" s="74"/>
      <c r="AE19" s="74"/>
      <c r="AF19" s="74"/>
      <c r="AG19" s="74"/>
      <c r="AH19" s="74"/>
      <c r="AI19" s="74"/>
      <c r="AJ19" s="74"/>
      <c r="AK19" s="74"/>
    </row>
    <row r="20">
      <c r="A20" s="71" t="s">
        <v>16098</v>
      </c>
      <c r="B20" s="71" t="s">
        <v>5404</v>
      </c>
      <c r="C20" s="71" t="s">
        <v>16099</v>
      </c>
      <c r="D20" s="72" t="s">
        <v>1173</v>
      </c>
      <c r="E20" s="72" t="s">
        <v>272</v>
      </c>
      <c r="F20" s="73" t="s">
        <v>16100</v>
      </c>
      <c r="G20" s="73" t="s">
        <v>16101</v>
      </c>
      <c r="H20" s="73" t="s">
        <v>16102</v>
      </c>
      <c r="I20" s="73">
        <v>7.188696935E9</v>
      </c>
      <c r="J20" s="73" t="s">
        <v>16233</v>
      </c>
      <c r="K20" s="73" t="s">
        <v>16101</v>
      </c>
      <c r="L20" s="73" t="s">
        <v>16102</v>
      </c>
      <c r="M20" s="73"/>
      <c r="N20" s="74"/>
      <c r="O20" s="74"/>
      <c r="P20" s="74"/>
      <c r="Q20" s="74"/>
      <c r="R20" s="75"/>
      <c r="S20" s="71" t="s">
        <v>24</v>
      </c>
      <c r="T20" s="71" t="s">
        <v>10</v>
      </c>
      <c r="U20" s="71">
        <v>16.0</v>
      </c>
      <c r="V20" s="74">
        <f>COUNTIFS(
  Interns!AA:AA, "*" &amp; B20 &amp; "*",
  Interns!AC:AC, "*" &amp; S20 &amp; "*",
  Interns!AE:AE, "*" &amp; T20 &amp; "*"
)</f>
        <v>16</v>
      </c>
      <c r="W20" s="74">
        <f t="shared" si="2"/>
        <v>0</v>
      </c>
      <c r="X20" s="74"/>
      <c r="Y20" s="74"/>
      <c r="Z20" s="74"/>
      <c r="AA20" s="74"/>
      <c r="AB20" s="74"/>
      <c r="AC20" s="74"/>
      <c r="AD20" s="74"/>
      <c r="AE20" s="74"/>
      <c r="AF20" s="74"/>
      <c r="AG20" s="74"/>
      <c r="AH20" s="74"/>
      <c r="AI20" s="74"/>
      <c r="AJ20" s="74"/>
      <c r="AK20" s="74"/>
    </row>
    <row r="21">
      <c r="A21" s="71" t="s">
        <v>16199</v>
      </c>
      <c r="B21" s="71" t="s">
        <v>362</v>
      </c>
      <c r="C21" s="71" t="s">
        <v>16200</v>
      </c>
      <c r="D21" s="71" t="s">
        <v>859</v>
      </c>
      <c r="E21" s="71" t="s">
        <v>272</v>
      </c>
      <c r="F21" s="73" t="s">
        <v>16201</v>
      </c>
      <c r="G21" s="73" t="s">
        <v>16202</v>
      </c>
      <c r="H21" s="73" t="s">
        <v>16203</v>
      </c>
      <c r="I21" s="74"/>
      <c r="J21" s="73" t="s">
        <v>16204</v>
      </c>
      <c r="K21" s="73" t="s">
        <v>16112</v>
      </c>
      <c r="L21" s="73" t="s">
        <v>16205</v>
      </c>
      <c r="M21" s="73" t="s">
        <v>16206</v>
      </c>
      <c r="N21" s="74"/>
      <c r="O21" s="74"/>
      <c r="P21" s="74"/>
      <c r="Q21" s="74"/>
      <c r="R21" s="75"/>
      <c r="S21" s="71" t="s">
        <v>24</v>
      </c>
      <c r="T21" s="71" t="s">
        <v>10</v>
      </c>
      <c r="U21" s="71">
        <v>19.0</v>
      </c>
      <c r="V21" s="74">
        <f>COUNTIFS(
  Interns!AA:AA, "*" &amp; B21 &amp; "*",
  Interns!AC:AC, "*" &amp; S21 &amp; "*",
  Interns!AE:AE, "*" &amp; T21 &amp; "*"
)</f>
        <v>7</v>
      </c>
      <c r="W21" s="74">
        <f t="shared" si="2"/>
        <v>12</v>
      </c>
      <c r="X21" s="74"/>
      <c r="Y21" s="74"/>
      <c r="Z21" s="74"/>
      <c r="AA21" s="74"/>
      <c r="AB21" s="74"/>
      <c r="AC21" s="74"/>
      <c r="AD21" s="74"/>
      <c r="AE21" s="74"/>
      <c r="AF21" s="74"/>
      <c r="AG21" s="74"/>
      <c r="AH21" s="74"/>
      <c r="AI21" s="74"/>
      <c r="AJ21" s="74"/>
      <c r="AK21" s="74"/>
    </row>
    <row r="22">
      <c r="A22" s="71" t="s">
        <v>16234</v>
      </c>
      <c r="B22" s="71" t="s">
        <v>619</v>
      </c>
      <c r="C22" s="71" t="s">
        <v>16235</v>
      </c>
      <c r="D22" s="71" t="s">
        <v>1173</v>
      </c>
      <c r="E22" s="71" t="s">
        <v>272</v>
      </c>
      <c r="F22" s="73" t="s">
        <v>16236</v>
      </c>
      <c r="G22" s="73" t="s">
        <v>16112</v>
      </c>
      <c r="H22" s="73" t="s">
        <v>16237</v>
      </c>
      <c r="I22" s="73" t="s">
        <v>16238</v>
      </c>
      <c r="J22" s="76"/>
      <c r="K22" s="73"/>
      <c r="L22" s="73"/>
      <c r="M22" s="74"/>
      <c r="N22" s="74"/>
      <c r="O22" s="74"/>
      <c r="P22" s="74"/>
      <c r="Q22" s="74"/>
      <c r="R22" s="75"/>
      <c r="S22" s="71" t="s">
        <v>24</v>
      </c>
      <c r="T22" s="71" t="s">
        <v>10</v>
      </c>
      <c r="U22" s="71">
        <v>33.0</v>
      </c>
      <c r="V22" s="74">
        <f>COUNTIFS(
  Interns!AA:AA, "*" &amp; B22 &amp; "*",
  Interns!AC:AC, "*" &amp; S22 &amp; "*",
  Interns!AE:AE, "*" &amp; T22 &amp; "*"
)</f>
        <v>33</v>
      </c>
      <c r="W22" s="74">
        <f t="shared" si="2"/>
        <v>0</v>
      </c>
      <c r="X22" s="74"/>
      <c r="Y22" s="74"/>
      <c r="Z22" s="74"/>
      <c r="AA22" s="74"/>
      <c r="AB22" s="74"/>
      <c r="AC22" s="74"/>
      <c r="AD22" s="74"/>
      <c r="AE22" s="74"/>
      <c r="AF22" s="74"/>
      <c r="AG22" s="74"/>
      <c r="AH22" s="74"/>
      <c r="AI22" s="74"/>
      <c r="AJ22" s="74"/>
      <c r="AK22" s="74"/>
    </row>
    <row r="23">
      <c r="A23" s="71" t="s">
        <v>16215</v>
      </c>
      <c r="B23" s="71" t="s">
        <v>2141</v>
      </c>
      <c r="C23" s="71" t="s">
        <v>16216</v>
      </c>
      <c r="D23" s="71" t="s">
        <v>859</v>
      </c>
      <c r="E23" s="71" t="s">
        <v>272</v>
      </c>
      <c r="F23" s="73" t="s">
        <v>16217</v>
      </c>
      <c r="G23" s="73" t="s">
        <v>16218</v>
      </c>
      <c r="H23" s="73" t="s">
        <v>16219</v>
      </c>
      <c r="I23" s="73" t="s">
        <v>16220</v>
      </c>
      <c r="J23" s="73" t="s">
        <v>16221</v>
      </c>
      <c r="K23" s="73" t="s">
        <v>16222</v>
      </c>
      <c r="L23" s="73" t="s">
        <v>16223</v>
      </c>
      <c r="M23" s="73" t="s">
        <v>16224</v>
      </c>
      <c r="N23" s="74"/>
      <c r="O23" s="74"/>
      <c r="P23" s="74"/>
      <c r="Q23" s="74"/>
      <c r="R23" s="84" t="s">
        <v>16239</v>
      </c>
      <c r="S23" s="71" t="s">
        <v>24</v>
      </c>
      <c r="T23" s="71" t="s">
        <v>10</v>
      </c>
      <c r="U23" s="71">
        <v>22.0</v>
      </c>
      <c r="V23" s="74">
        <f>COUNTIFS(
  Interns!AA:AA, "*" &amp; B23 &amp; "*",
  Interns!AC:AC, "*" &amp; S23 &amp; "*",
  Interns!AE:AE, "*" &amp; T23 &amp; "*"
)</f>
        <v>22</v>
      </c>
      <c r="W23" s="74">
        <f t="shared" si="2"/>
        <v>0</v>
      </c>
      <c r="X23" s="74"/>
      <c r="Y23" s="74"/>
      <c r="Z23" s="74"/>
      <c r="AA23" s="74"/>
      <c r="AB23" s="74"/>
      <c r="AC23" s="74"/>
      <c r="AD23" s="74"/>
      <c r="AE23" s="74"/>
      <c r="AF23" s="74"/>
      <c r="AG23" s="74"/>
      <c r="AH23" s="74"/>
      <c r="AI23" s="74"/>
      <c r="AJ23" s="74"/>
      <c r="AK23" s="74"/>
    </row>
    <row r="24">
      <c r="A24" s="71" t="s">
        <v>16225</v>
      </c>
      <c r="B24" s="71" t="s">
        <v>12327</v>
      </c>
      <c r="C24" s="71" t="s">
        <v>16226</v>
      </c>
      <c r="D24" s="71" t="s">
        <v>16227</v>
      </c>
      <c r="E24" s="71" t="s">
        <v>465</v>
      </c>
      <c r="F24" s="85" t="s">
        <v>16228</v>
      </c>
      <c r="G24" s="73" t="s">
        <v>16229</v>
      </c>
      <c r="H24" s="73" t="s">
        <v>16230</v>
      </c>
      <c r="I24" s="73">
        <v>2.105962721E9</v>
      </c>
      <c r="J24" s="81"/>
      <c r="K24" s="81"/>
      <c r="L24" s="81"/>
      <c r="M24" s="81"/>
      <c r="N24" s="81"/>
      <c r="O24" s="81"/>
      <c r="P24" s="81"/>
      <c r="Q24" s="81"/>
      <c r="R24" s="75"/>
      <c r="S24" s="71" t="s">
        <v>24</v>
      </c>
      <c r="T24" s="71" t="s">
        <v>10</v>
      </c>
      <c r="U24" s="71">
        <v>14.0</v>
      </c>
      <c r="V24" s="74">
        <f>COUNTIFS(
  Interns!AA:AA, "*" &amp; B24 &amp; "*",
  Interns!AC:AC, "*" &amp; S24 &amp; "*",
  Interns!AE:AE, "*" &amp; T24 &amp; "*"
)</f>
        <v>14</v>
      </c>
      <c r="W24" s="74">
        <f t="shared" si="2"/>
        <v>0</v>
      </c>
      <c r="X24" s="74"/>
      <c r="Y24" s="74"/>
      <c r="Z24" s="74"/>
      <c r="AA24" s="74"/>
      <c r="AB24" s="74"/>
      <c r="AC24" s="74"/>
      <c r="AD24" s="74"/>
      <c r="AE24" s="74"/>
      <c r="AF24" s="74"/>
      <c r="AG24" s="74"/>
      <c r="AH24" s="74"/>
      <c r="AI24" s="74"/>
      <c r="AJ24" s="74"/>
      <c r="AK24" s="74"/>
    </row>
    <row r="25">
      <c r="A25" s="71" t="s">
        <v>16240</v>
      </c>
      <c r="B25" s="71" t="s">
        <v>5590</v>
      </c>
      <c r="C25" s="71" t="s">
        <v>16241</v>
      </c>
      <c r="D25" s="71" t="s">
        <v>294</v>
      </c>
      <c r="E25" s="71" t="s">
        <v>272</v>
      </c>
      <c r="F25" s="73" t="s">
        <v>16242</v>
      </c>
      <c r="G25" s="73" t="s">
        <v>16243</v>
      </c>
      <c r="H25" s="73" t="s">
        <v>16244</v>
      </c>
      <c r="I25" s="74"/>
      <c r="J25" s="73" t="s">
        <v>16242</v>
      </c>
      <c r="K25" s="73" t="s">
        <v>16243</v>
      </c>
      <c r="L25" s="73" t="s">
        <v>16244</v>
      </c>
      <c r="M25" s="81"/>
      <c r="N25" s="74"/>
      <c r="O25" s="74"/>
      <c r="P25" s="74"/>
      <c r="Q25" s="74"/>
      <c r="R25" s="75"/>
      <c r="S25" s="82" t="s">
        <v>24</v>
      </c>
      <c r="T25" s="82" t="s">
        <v>10</v>
      </c>
      <c r="U25" s="71">
        <v>19.0</v>
      </c>
      <c r="V25" s="74">
        <f>COUNTIFS(
  Interns!AA:AA, "*" &amp; B25 &amp; "*",
  Interns!AC:AC, "*" &amp; S25 &amp; "*",
  Interns!AE:AE, "*" &amp; T25 &amp; "*"
)</f>
        <v>19</v>
      </c>
      <c r="W25" s="74">
        <f t="shared" si="2"/>
        <v>0</v>
      </c>
      <c r="X25" s="74"/>
      <c r="Y25" s="74"/>
      <c r="Z25" s="74"/>
      <c r="AA25" s="74"/>
      <c r="AB25" s="74"/>
      <c r="AC25" s="74"/>
      <c r="AD25" s="74"/>
      <c r="AE25" s="74"/>
      <c r="AF25" s="74"/>
      <c r="AG25" s="74"/>
      <c r="AH25" s="74"/>
      <c r="AI25" s="74"/>
      <c r="AJ25" s="74"/>
      <c r="AK25" s="74"/>
    </row>
    <row r="26">
      <c r="A26" s="71" t="s">
        <v>16114</v>
      </c>
      <c r="B26" s="71" t="s">
        <v>704</v>
      </c>
      <c r="C26" s="71" t="s">
        <v>16115</v>
      </c>
      <c r="D26" s="71" t="s">
        <v>271</v>
      </c>
      <c r="E26" s="71" t="s">
        <v>272</v>
      </c>
      <c r="F26" s="73" t="s">
        <v>16116</v>
      </c>
      <c r="G26" s="73" t="s">
        <v>16117</v>
      </c>
      <c r="H26" s="73" t="s">
        <v>16118</v>
      </c>
      <c r="I26" s="73" t="s">
        <v>16119</v>
      </c>
      <c r="J26" s="73" t="s">
        <v>16116</v>
      </c>
      <c r="K26" s="73" t="s">
        <v>16117</v>
      </c>
      <c r="L26" s="73" t="s">
        <v>16118</v>
      </c>
      <c r="M26" s="73" t="s">
        <v>16119</v>
      </c>
      <c r="N26" s="73"/>
      <c r="O26" s="73"/>
      <c r="P26" s="73"/>
      <c r="Q26" s="73"/>
      <c r="R26" s="75"/>
      <c r="S26" s="71" t="s">
        <v>24</v>
      </c>
      <c r="T26" s="71" t="s">
        <v>10</v>
      </c>
      <c r="U26" s="71">
        <v>24.0</v>
      </c>
      <c r="V26" s="74">
        <f>COUNTIFS(
  Interns!AA:AA, "*" &amp; B26 &amp; "*",
  Interns!AC:AC, "*" &amp; S26 &amp; "*",
  Interns!AE:AE, "*" &amp; T26 &amp; "*"
)</f>
        <v>22</v>
      </c>
      <c r="W26" s="74">
        <f t="shared" si="2"/>
        <v>2</v>
      </c>
      <c r="X26" s="74"/>
      <c r="Y26" s="74"/>
      <c r="Z26" s="74"/>
      <c r="AA26" s="74"/>
      <c r="AB26" s="74"/>
      <c r="AC26" s="74"/>
      <c r="AD26" s="74"/>
      <c r="AE26" s="74"/>
      <c r="AF26" s="74"/>
      <c r="AG26" s="74"/>
      <c r="AH26" s="74"/>
      <c r="AI26" s="74"/>
      <c r="AJ26" s="74"/>
      <c r="AK26" s="74"/>
    </row>
    <row r="27">
      <c r="A27" s="72" t="s">
        <v>16123</v>
      </c>
      <c r="B27" s="71" t="s">
        <v>5287</v>
      </c>
      <c r="C27" s="72" t="s">
        <v>16124</v>
      </c>
      <c r="D27" s="72" t="s">
        <v>1173</v>
      </c>
      <c r="E27" s="72" t="s">
        <v>272</v>
      </c>
      <c r="F27" s="77" t="s">
        <v>16125</v>
      </c>
      <c r="G27" s="77" t="s">
        <v>16112</v>
      </c>
      <c r="H27" s="77" t="s">
        <v>16126</v>
      </c>
      <c r="I27" s="77" t="s">
        <v>16127</v>
      </c>
      <c r="J27" s="73" t="s">
        <v>16245</v>
      </c>
      <c r="K27" s="76" t="s">
        <v>11776</v>
      </c>
      <c r="L27" s="73" t="s">
        <v>16246</v>
      </c>
      <c r="M27" s="73" t="s">
        <v>16247</v>
      </c>
      <c r="N27" s="77"/>
      <c r="O27" s="77"/>
      <c r="P27" s="77"/>
      <c r="Q27" s="77"/>
      <c r="R27" s="78"/>
      <c r="S27" s="80" t="s">
        <v>24</v>
      </c>
      <c r="T27" s="80" t="s">
        <v>10</v>
      </c>
      <c r="U27" s="80">
        <v>28.0</v>
      </c>
      <c r="V27" s="74">
        <f>COUNTIFS(
  Interns!AA:AA, "*" &amp; B27 &amp; "*",
  Interns!AC:AC, "*" &amp; S27 &amp; "*",
  Interns!AE:AE, "*" &amp; T27 &amp; "*"
)</f>
        <v>28</v>
      </c>
      <c r="W27" s="74">
        <f t="shared" si="2"/>
        <v>0</v>
      </c>
      <c r="X27" s="72"/>
      <c r="Y27" s="72"/>
      <c r="Z27" s="72"/>
      <c r="AA27" s="72"/>
      <c r="AB27" s="72"/>
      <c r="AC27" s="72"/>
      <c r="AD27" s="72"/>
      <c r="AE27" s="72"/>
      <c r="AF27" s="72"/>
      <c r="AG27" s="72"/>
      <c r="AH27" s="72"/>
      <c r="AI27" s="72"/>
      <c r="AJ27" s="72"/>
      <c r="AK27" s="72"/>
    </row>
    <row r="28">
      <c r="A28" s="71" t="s">
        <v>16248</v>
      </c>
      <c r="B28" s="71" t="s">
        <v>9653</v>
      </c>
      <c r="C28" s="71" t="s">
        <v>16249</v>
      </c>
      <c r="D28" s="72" t="s">
        <v>1173</v>
      </c>
      <c r="E28" s="72" t="s">
        <v>272</v>
      </c>
      <c r="F28" s="73" t="s">
        <v>16250</v>
      </c>
      <c r="G28" s="76" t="s">
        <v>11776</v>
      </c>
      <c r="H28" s="73" t="s">
        <v>16251</v>
      </c>
      <c r="I28" s="73" t="s">
        <v>16252</v>
      </c>
      <c r="J28" s="73"/>
      <c r="K28" s="73"/>
      <c r="L28" s="73"/>
      <c r="M28" s="73"/>
      <c r="N28" s="74"/>
      <c r="O28" s="74"/>
      <c r="P28" s="74"/>
      <c r="Q28" s="74"/>
      <c r="R28" s="75"/>
      <c r="S28" s="71" t="s">
        <v>24</v>
      </c>
      <c r="T28" s="71" t="s">
        <v>10</v>
      </c>
      <c r="U28" s="71">
        <v>19.0</v>
      </c>
      <c r="V28" s="74">
        <f>COUNTIFS(
  Interns!AA:AA, "*" &amp; B28 &amp; "*",
  Interns!AC:AC, "*" &amp; S28 &amp; "*",
  Interns!AE:AE, "*" &amp; T28 &amp; "*"
)</f>
        <v>19</v>
      </c>
      <c r="W28" s="74"/>
      <c r="X28" s="74"/>
      <c r="Y28" s="74"/>
      <c r="Z28" s="74"/>
      <c r="AA28" s="74"/>
      <c r="AB28" s="74"/>
      <c r="AC28" s="74"/>
      <c r="AD28" s="74"/>
      <c r="AE28" s="74"/>
      <c r="AF28" s="74"/>
      <c r="AG28" s="74"/>
      <c r="AH28" s="74"/>
      <c r="AI28" s="74"/>
      <c r="AJ28" s="74"/>
      <c r="AK28" s="74"/>
    </row>
    <row r="29">
      <c r="A29" s="71" t="s">
        <v>16141</v>
      </c>
      <c r="B29" s="71" t="s">
        <v>421</v>
      </c>
      <c r="C29" s="71" t="s">
        <v>16142</v>
      </c>
      <c r="D29" s="71" t="s">
        <v>1173</v>
      </c>
      <c r="E29" s="71" t="s">
        <v>272</v>
      </c>
      <c r="F29" s="73" t="s">
        <v>16143</v>
      </c>
      <c r="G29" s="73" t="s">
        <v>11776</v>
      </c>
      <c r="H29" s="73" t="s">
        <v>16144</v>
      </c>
      <c r="I29" s="73" t="s">
        <v>16145</v>
      </c>
      <c r="J29" s="73" t="s">
        <v>16231</v>
      </c>
      <c r="K29" s="73" t="s">
        <v>16112</v>
      </c>
      <c r="L29" s="73" t="s">
        <v>16232</v>
      </c>
      <c r="M29" s="74"/>
      <c r="N29" s="74"/>
      <c r="O29" s="74"/>
      <c r="P29" s="74"/>
      <c r="Q29" s="74"/>
      <c r="R29" s="75"/>
      <c r="S29" s="71" t="s">
        <v>24</v>
      </c>
      <c r="T29" s="71" t="s">
        <v>10</v>
      </c>
      <c r="U29" s="71">
        <v>19.0</v>
      </c>
      <c r="V29" s="74">
        <f>COUNTIFS(
  Interns!AA:AA, "*" &amp; B29 &amp; "*",
  Interns!AC:AC, "*" &amp; S29 &amp; "*",
  Interns!AE:AE, "*" &amp; T29 &amp; "*"
)</f>
        <v>19</v>
      </c>
      <c r="W29" s="74">
        <f t="shared" ref="W29:W31" si="3">U29-V29</f>
        <v>0</v>
      </c>
      <c r="X29" s="74"/>
      <c r="Y29" s="74"/>
      <c r="Z29" s="74"/>
      <c r="AA29" s="74"/>
      <c r="AB29" s="74"/>
      <c r="AC29" s="74"/>
      <c r="AD29" s="74"/>
      <c r="AE29" s="74"/>
      <c r="AF29" s="74"/>
      <c r="AG29" s="74"/>
      <c r="AH29" s="74"/>
      <c r="AI29" s="74"/>
      <c r="AJ29" s="74"/>
      <c r="AK29" s="74"/>
    </row>
    <row r="30">
      <c r="A30" s="71" t="s">
        <v>16149</v>
      </c>
      <c r="B30" s="71" t="s">
        <v>5171</v>
      </c>
      <c r="C30" s="71" t="s">
        <v>16150</v>
      </c>
      <c r="D30" s="72" t="s">
        <v>1173</v>
      </c>
      <c r="E30" s="72" t="s">
        <v>272</v>
      </c>
      <c r="F30" s="73" t="s">
        <v>16151</v>
      </c>
      <c r="G30" s="73" t="s">
        <v>16112</v>
      </c>
      <c r="H30" s="73" t="s">
        <v>16152</v>
      </c>
      <c r="I30" s="73" t="s">
        <v>16153</v>
      </c>
      <c r="J30" s="73" t="s">
        <v>16253</v>
      </c>
      <c r="K30" s="73" t="s">
        <v>16155</v>
      </c>
      <c r="L30" s="73" t="s">
        <v>16254</v>
      </c>
      <c r="M30" s="73" t="s">
        <v>16255</v>
      </c>
      <c r="N30" s="73"/>
      <c r="O30" s="73"/>
      <c r="P30" s="73"/>
      <c r="Q30" s="74"/>
      <c r="R30" s="75"/>
      <c r="S30" s="82" t="s">
        <v>24</v>
      </c>
      <c r="T30" s="82" t="s">
        <v>10</v>
      </c>
      <c r="U30" s="71">
        <v>12.0</v>
      </c>
      <c r="V30" s="74">
        <f>COUNTIFS(
  Interns!AA:AA, "*" &amp; B30 &amp; "*",
  Interns!AC:AC, "*" &amp; S30 &amp; "*",
  Interns!AE:AE, "*" &amp; T30 &amp; "*"
)</f>
        <v>12</v>
      </c>
      <c r="W30" s="74">
        <f t="shared" si="3"/>
        <v>0</v>
      </c>
      <c r="X30" s="74"/>
      <c r="Y30" s="74"/>
      <c r="Z30" s="74"/>
      <c r="AA30" s="74"/>
      <c r="AB30" s="74"/>
      <c r="AC30" s="74"/>
      <c r="AD30" s="74"/>
      <c r="AE30" s="74"/>
      <c r="AF30" s="74"/>
      <c r="AG30" s="74"/>
      <c r="AH30" s="74"/>
      <c r="AI30" s="74"/>
      <c r="AJ30" s="74"/>
      <c r="AK30" s="74"/>
    </row>
    <row r="31">
      <c r="A31" s="71" t="s">
        <v>16160</v>
      </c>
      <c r="B31" s="71" t="s">
        <v>1085</v>
      </c>
      <c r="C31" s="71" t="s">
        <v>16161</v>
      </c>
      <c r="D31" s="71" t="s">
        <v>271</v>
      </c>
      <c r="E31" s="71" t="s">
        <v>272</v>
      </c>
      <c r="F31" s="73" t="s">
        <v>16162</v>
      </c>
      <c r="G31" s="73" t="s">
        <v>16163</v>
      </c>
      <c r="H31" s="73" t="s">
        <v>16164</v>
      </c>
      <c r="I31" s="73" t="s">
        <v>16165</v>
      </c>
      <c r="J31" s="73" t="s">
        <v>16162</v>
      </c>
      <c r="K31" s="73" t="s">
        <v>16163</v>
      </c>
      <c r="L31" s="73" t="s">
        <v>16164</v>
      </c>
      <c r="M31" s="73" t="s">
        <v>16165</v>
      </c>
      <c r="N31" s="74"/>
      <c r="O31" s="74"/>
      <c r="P31" s="74"/>
      <c r="Q31" s="74"/>
      <c r="R31" s="75"/>
      <c r="S31" s="71" t="s">
        <v>5342</v>
      </c>
      <c r="T31" s="71" t="s">
        <v>15</v>
      </c>
      <c r="U31" s="71">
        <v>45.0</v>
      </c>
      <c r="V31" s="74">
        <f>COUNTIFS(
  Interns!AA:AA, "*" &amp; B31 &amp; "*",
  Interns!AG:AG, "*" &amp; S31 &amp; "*",
  Interns!AE:AE, "*" &amp; T31 &amp; "*"
)</f>
        <v>33</v>
      </c>
      <c r="W31" s="74">
        <f t="shared" si="3"/>
        <v>12</v>
      </c>
      <c r="X31" s="74"/>
      <c r="Y31" s="74"/>
      <c r="Z31" s="74"/>
      <c r="AA31" s="74"/>
      <c r="AB31" s="74"/>
      <c r="AC31" s="74"/>
      <c r="AD31" s="74"/>
      <c r="AE31" s="74"/>
      <c r="AF31" s="74"/>
      <c r="AG31" s="74"/>
      <c r="AH31" s="74"/>
      <c r="AI31" s="74"/>
      <c r="AJ31" s="74"/>
      <c r="AK31" s="74"/>
    </row>
    <row r="32">
      <c r="A32" s="71" t="s">
        <v>16256</v>
      </c>
      <c r="B32" s="71" t="s">
        <v>781</v>
      </c>
      <c r="C32" s="71" t="s">
        <v>16257</v>
      </c>
      <c r="D32" s="71" t="s">
        <v>1173</v>
      </c>
      <c r="E32" s="71" t="s">
        <v>272</v>
      </c>
      <c r="F32" s="74"/>
      <c r="G32" s="74"/>
      <c r="H32" s="74"/>
      <c r="I32" s="74"/>
      <c r="J32" s="74"/>
      <c r="K32" s="74"/>
      <c r="L32" s="74"/>
      <c r="M32" s="74"/>
      <c r="N32" s="74"/>
      <c r="O32" s="74"/>
      <c r="P32" s="74"/>
      <c r="Q32" s="74"/>
      <c r="R32" s="75"/>
      <c r="S32" s="71" t="s">
        <v>25</v>
      </c>
      <c r="T32" s="71" t="s">
        <v>6</v>
      </c>
      <c r="U32" s="71">
        <v>9.0</v>
      </c>
      <c r="V32" s="74">
        <f>COUNTIFS(
  Interns!AA:AA, "*" &amp; B32 &amp; "*",
  Interns!AC:AC, "*" &amp; S32 &amp; "*",
  Interns!AE:AE, "*" &amp; T32 &amp; "*"
)</f>
        <v>9</v>
      </c>
      <c r="W32" s="74"/>
      <c r="X32" s="74"/>
      <c r="Y32" s="74"/>
      <c r="Z32" s="74"/>
      <c r="AA32" s="74"/>
      <c r="AB32" s="74"/>
      <c r="AC32" s="74"/>
      <c r="AD32" s="74"/>
      <c r="AE32" s="74"/>
      <c r="AF32" s="74"/>
      <c r="AG32" s="74"/>
      <c r="AH32" s="74"/>
      <c r="AI32" s="74"/>
      <c r="AJ32" s="74"/>
      <c r="AK32" s="74"/>
    </row>
    <row r="33">
      <c r="A33" s="71" t="s">
        <v>16258</v>
      </c>
      <c r="B33" s="71" t="s">
        <v>395</v>
      </c>
      <c r="C33" s="71" t="s">
        <v>16259</v>
      </c>
      <c r="D33" s="71" t="s">
        <v>1173</v>
      </c>
      <c r="E33" s="71" t="s">
        <v>272</v>
      </c>
      <c r="F33" s="73" t="s">
        <v>16260</v>
      </c>
      <c r="G33" s="81"/>
      <c r="H33" s="73" t="s">
        <v>16261</v>
      </c>
      <c r="I33" s="81"/>
      <c r="J33" s="73" t="s">
        <v>16262</v>
      </c>
      <c r="K33" s="73" t="s">
        <v>16263</v>
      </c>
      <c r="L33" s="74"/>
      <c r="M33" s="73" t="s">
        <v>16264</v>
      </c>
      <c r="N33" s="74"/>
      <c r="O33" s="74"/>
      <c r="P33" s="74"/>
      <c r="Q33" s="74"/>
      <c r="R33" s="75"/>
      <c r="S33" s="71" t="s">
        <v>25</v>
      </c>
      <c r="T33" s="71" t="s">
        <v>6</v>
      </c>
      <c r="U33" s="71">
        <v>9.0</v>
      </c>
      <c r="V33" s="74">
        <f>COUNTIFS(
  Interns!AA:AA, "*" &amp; B33 &amp; "*",
  Interns!AC:AC, "*" &amp; S33 &amp; "*",
  Interns!AE:AE, "*" &amp; T33 &amp; "*"
)</f>
        <v>9</v>
      </c>
      <c r="W33" s="74"/>
      <c r="X33" s="74"/>
      <c r="Y33" s="74"/>
      <c r="Z33" s="74"/>
      <c r="AA33" s="74"/>
      <c r="AB33" s="74"/>
      <c r="AC33" s="74"/>
      <c r="AD33" s="74"/>
      <c r="AE33" s="74"/>
      <c r="AF33" s="74"/>
      <c r="AG33" s="74"/>
      <c r="AH33" s="74"/>
      <c r="AI33" s="74"/>
      <c r="AJ33" s="74"/>
      <c r="AK33" s="74"/>
    </row>
    <row r="34">
      <c r="A34" s="71" t="s">
        <v>16199</v>
      </c>
      <c r="B34" s="71" t="s">
        <v>362</v>
      </c>
      <c r="C34" s="71" t="s">
        <v>16200</v>
      </c>
      <c r="D34" s="71" t="s">
        <v>859</v>
      </c>
      <c r="E34" s="71" t="s">
        <v>272</v>
      </c>
      <c r="F34" s="73" t="s">
        <v>16201</v>
      </c>
      <c r="G34" s="73" t="s">
        <v>16202</v>
      </c>
      <c r="H34" s="73" t="s">
        <v>16203</v>
      </c>
      <c r="I34" s="74"/>
      <c r="J34" s="73" t="s">
        <v>16265</v>
      </c>
      <c r="K34" s="73" t="s">
        <v>16266</v>
      </c>
      <c r="L34" s="73" t="s">
        <v>16267</v>
      </c>
      <c r="M34" s="73" t="s">
        <v>16268</v>
      </c>
      <c r="N34" s="74"/>
      <c r="O34" s="74"/>
      <c r="P34" s="74"/>
      <c r="Q34" s="74"/>
      <c r="R34" s="75"/>
      <c r="S34" s="71" t="s">
        <v>25</v>
      </c>
      <c r="T34" s="71" t="s">
        <v>8</v>
      </c>
      <c r="U34" s="71">
        <v>17.0</v>
      </c>
      <c r="V34" s="74">
        <f>COUNTIFS(
  Interns!AA:AA, "*" &amp; B34 &amp; "*",
  Interns!AC:AC, "*" &amp; S34 &amp; "*",
  Interns!AE:AE, "*" &amp; T34 &amp; "*"
)</f>
        <v>17</v>
      </c>
      <c r="W34" s="74"/>
      <c r="X34" s="74"/>
      <c r="Y34" s="74"/>
      <c r="Z34" s="74"/>
      <c r="AA34" s="74"/>
      <c r="AB34" s="74"/>
      <c r="AC34" s="74"/>
      <c r="AD34" s="74"/>
      <c r="AE34" s="74"/>
      <c r="AF34" s="74"/>
      <c r="AG34" s="74"/>
      <c r="AH34" s="74"/>
      <c r="AI34" s="74"/>
      <c r="AJ34" s="74"/>
      <c r="AK34" s="74"/>
    </row>
    <row r="35">
      <c r="A35" s="71" t="s">
        <v>16106</v>
      </c>
      <c r="B35" s="71" t="s">
        <v>477</v>
      </c>
      <c r="C35" s="71" t="s">
        <v>16107</v>
      </c>
      <c r="D35" s="71" t="s">
        <v>859</v>
      </c>
      <c r="E35" s="71" t="s">
        <v>272</v>
      </c>
      <c r="F35" s="73" t="s">
        <v>16108</v>
      </c>
      <c r="G35" s="73" t="s">
        <v>16109</v>
      </c>
      <c r="H35" s="73" t="s">
        <v>16110</v>
      </c>
      <c r="I35" s="74"/>
      <c r="J35" s="71" t="s">
        <v>16111</v>
      </c>
      <c r="K35" s="73" t="s">
        <v>16112</v>
      </c>
      <c r="L35" s="73" t="s">
        <v>16113</v>
      </c>
      <c r="M35" s="73">
        <v>9.175025177E9</v>
      </c>
      <c r="N35" s="74"/>
      <c r="O35" s="74"/>
      <c r="P35" s="74"/>
      <c r="Q35" s="74"/>
      <c r="R35" s="84" t="s">
        <v>16269</v>
      </c>
      <c r="S35" s="71" t="s">
        <v>25</v>
      </c>
      <c r="T35" s="71" t="s">
        <v>8</v>
      </c>
      <c r="U35" s="71">
        <v>15.0</v>
      </c>
      <c r="V35" s="74">
        <f>COUNTIFS(
  Interns!AA:AA, "*" &amp; B35 &amp; "*",
  Interns!AC:AC, "*" &amp; S35 &amp; "*",
  Interns!AE:AE, "*" &amp; T35 &amp; "*"
)</f>
        <v>15</v>
      </c>
      <c r="W35" s="74">
        <f>U35-V35</f>
        <v>0</v>
      </c>
      <c r="X35" s="74"/>
      <c r="Y35" s="74"/>
      <c r="Z35" s="74"/>
      <c r="AA35" s="74"/>
      <c r="AB35" s="74"/>
      <c r="AC35" s="74"/>
      <c r="AD35" s="74"/>
      <c r="AE35" s="74"/>
      <c r="AF35" s="74"/>
      <c r="AG35" s="74"/>
      <c r="AH35" s="74"/>
      <c r="AI35" s="74"/>
      <c r="AJ35" s="74"/>
      <c r="AK35" s="74"/>
    </row>
    <row r="36">
      <c r="A36" s="71" t="s">
        <v>16270</v>
      </c>
      <c r="B36" s="71" t="s">
        <v>2033</v>
      </c>
      <c r="C36" s="71" t="s">
        <v>16271</v>
      </c>
      <c r="D36" s="71" t="s">
        <v>294</v>
      </c>
      <c r="E36" s="71" t="s">
        <v>272</v>
      </c>
      <c r="F36" s="73" t="s">
        <v>16272</v>
      </c>
      <c r="G36" s="73" t="s">
        <v>16273</v>
      </c>
      <c r="H36" s="73" t="s">
        <v>16274</v>
      </c>
      <c r="I36" s="73" t="s">
        <v>16275</v>
      </c>
      <c r="J36" s="73" t="s">
        <v>16276</v>
      </c>
      <c r="K36" s="73"/>
      <c r="L36" s="73" t="s">
        <v>16277</v>
      </c>
      <c r="M36" s="74"/>
      <c r="N36" s="74"/>
      <c r="O36" s="74"/>
      <c r="P36" s="74"/>
      <c r="Q36" s="74"/>
      <c r="R36" s="75"/>
      <c r="S36" s="71" t="s">
        <v>25</v>
      </c>
      <c r="T36" s="71" t="s">
        <v>8</v>
      </c>
      <c r="U36" s="71">
        <v>6.0</v>
      </c>
      <c r="V36" s="74">
        <f>COUNTIFS(
  Interns!AA:AA, "*" &amp; B36 &amp; "*",
  Interns!AC:AC, "*" &amp; S36 &amp; "*",
  Interns!AE:AE, "*" &amp; T36 &amp; "*"
)</f>
        <v>6</v>
      </c>
      <c r="W36" s="74"/>
      <c r="X36" s="74"/>
      <c r="Y36" s="74"/>
      <c r="Z36" s="74"/>
      <c r="AA36" s="74"/>
      <c r="AB36" s="74"/>
      <c r="AC36" s="74"/>
      <c r="AD36" s="74"/>
      <c r="AE36" s="74"/>
      <c r="AF36" s="74"/>
      <c r="AG36" s="74"/>
      <c r="AH36" s="74"/>
      <c r="AI36" s="74"/>
      <c r="AJ36" s="74"/>
      <c r="AK36" s="74"/>
    </row>
    <row r="37">
      <c r="A37" s="71" t="s">
        <v>16234</v>
      </c>
      <c r="B37" s="71" t="s">
        <v>619</v>
      </c>
      <c r="C37" s="71" t="s">
        <v>16235</v>
      </c>
      <c r="D37" s="71" t="s">
        <v>1173</v>
      </c>
      <c r="E37" s="71" t="s">
        <v>272</v>
      </c>
      <c r="F37" s="73" t="s">
        <v>16236</v>
      </c>
      <c r="G37" s="73" t="s">
        <v>16112</v>
      </c>
      <c r="H37" s="73" t="s">
        <v>16237</v>
      </c>
      <c r="I37" s="73" t="s">
        <v>16238</v>
      </c>
      <c r="J37" s="76"/>
      <c r="K37" s="73"/>
      <c r="L37" s="73"/>
      <c r="M37" s="74"/>
      <c r="N37" s="74"/>
      <c r="O37" s="74"/>
      <c r="P37" s="74"/>
      <c r="Q37" s="74"/>
      <c r="R37" s="75"/>
      <c r="S37" s="71" t="s">
        <v>25</v>
      </c>
      <c r="T37" s="71" t="s">
        <v>8</v>
      </c>
      <c r="U37" s="71">
        <v>28.0</v>
      </c>
      <c r="V37" s="74">
        <f>COUNTIFS(
  Interns!AA:AA, "*" &amp; B37 &amp; "*",
  Interns!AC:AC, "*" &amp; S37 &amp; "*",
  Interns!AE:AE, "*" &amp; T37 &amp; "*"
)</f>
        <v>28</v>
      </c>
      <c r="W37" s="74">
        <f>U37-V37</f>
        <v>0</v>
      </c>
      <c r="X37" s="74"/>
      <c r="Y37" s="74"/>
      <c r="Z37" s="74"/>
      <c r="AA37" s="74"/>
      <c r="AB37" s="74"/>
      <c r="AC37" s="74"/>
      <c r="AD37" s="74"/>
      <c r="AE37" s="74"/>
      <c r="AF37" s="74"/>
      <c r="AG37" s="74"/>
      <c r="AH37" s="74"/>
      <c r="AI37" s="74"/>
      <c r="AJ37" s="74"/>
      <c r="AK37" s="74"/>
    </row>
    <row r="38">
      <c r="A38" s="71" t="s">
        <v>16278</v>
      </c>
      <c r="B38" s="76" t="s">
        <v>1570</v>
      </c>
      <c r="C38" s="71" t="s">
        <v>16279</v>
      </c>
      <c r="D38" s="71" t="s">
        <v>380</v>
      </c>
      <c r="E38" s="71" t="s">
        <v>381</v>
      </c>
      <c r="F38" s="73" t="s">
        <v>16280</v>
      </c>
      <c r="G38" s="71" t="s">
        <v>16281</v>
      </c>
      <c r="H38" s="73" t="s">
        <v>16282</v>
      </c>
      <c r="I38" s="74"/>
      <c r="J38" s="73" t="s">
        <v>16283</v>
      </c>
      <c r="K38" s="73" t="s">
        <v>16284</v>
      </c>
      <c r="L38" s="73" t="s">
        <v>16285</v>
      </c>
      <c r="M38" s="73">
        <v>5.705036569E9</v>
      </c>
      <c r="N38" s="73" t="s">
        <v>16286</v>
      </c>
      <c r="O38" s="73" t="s">
        <v>16287</v>
      </c>
      <c r="P38" s="73" t="s">
        <v>16288</v>
      </c>
      <c r="Q38" s="73">
        <v>2.674837558E9</v>
      </c>
      <c r="R38" s="75"/>
      <c r="S38" s="71" t="s">
        <v>25</v>
      </c>
      <c r="T38" s="71" t="s">
        <v>8</v>
      </c>
      <c r="U38" s="71">
        <v>10.0</v>
      </c>
      <c r="V38" s="74">
        <f>COUNTIFS(
  Interns!AA:AA, "*" &amp; B38 &amp; "*",
  Interns!AC:AC, "*" &amp; S38 &amp; "*",
  Interns!AE:AE, "*" &amp; T38 &amp; "*"
)</f>
        <v>10</v>
      </c>
      <c r="W38" s="74"/>
      <c r="X38" s="74"/>
      <c r="Y38" s="74"/>
      <c r="Z38" s="74"/>
      <c r="AA38" s="74"/>
      <c r="AB38" s="74"/>
      <c r="AC38" s="74"/>
      <c r="AD38" s="74"/>
      <c r="AE38" s="74"/>
      <c r="AF38" s="74"/>
      <c r="AG38" s="74"/>
      <c r="AH38" s="74"/>
      <c r="AI38" s="74"/>
      <c r="AJ38" s="74"/>
      <c r="AK38" s="74"/>
    </row>
    <row r="39">
      <c r="A39" s="71" t="s">
        <v>16215</v>
      </c>
      <c r="B39" s="71" t="s">
        <v>2141</v>
      </c>
      <c r="C39" s="71" t="s">
        <v>16216</v>
      </c>
      <c r="D39" s="71" t="s">
        <v>859</v>
      </c>
      <c r="E39" s="71" t="s">
        <v>272</v>
      </c>
      <c r="F39" s="73" t="s">
        <v>16217</v>
      </c>
      <c r="G39" s="73" t="s">
        <v>16218</v>
      </c>
      <c r="H39" s="73" t="s">
        <v>16219</v>
      </c>
      <c r="I39" s="73" t="s">
        <v>16220</v>
      </c>
      <c r="J39" s="73"/>
      <c r="K39" s="73"/>
      <c r="L39" s="73"/>
      <c r="M39" s="73"/>
      <c r="N39" s="74"/>
      <c r="O39" s="74"/>
      <c r="P39" s="74"/>
      <c r="Q39" s="74"/>
      <c r="R39" s="75"/>
      <c r="S39" s="71" t="s">
        <v>25</v>
      </c>
      <c r="T39" s="71" t="s">
        <v>8</v>
      </c>
      <c r="U39" s="71">
        <v>10.0</v>
      </c>
      <c r="V39" s="74">
        <f>COUNTIFS(
  Interns!AA:AA, "*" &amp; B39 &amp; "*",
  Interns!AC:AC, "*" &amp; S39 &amp; "*",
  Interns!AE:AE, "*" &amp; T39 &amp; "*"
)</f>
        <v>10</v>
      </c>
      <c r="W39" s="74">
        <f t="shared" ref="W39:W43" si="4">U39-V39</f>
        <v>0</v>
      </c>
      <c r="X39" s="74"/>
      <c r="Y39" s="74"/>
      <c r="Z39" s="74"/>
      <c r="AA39" s="74"/>
      <c r="AB39" s="74"/>
      <c r="AC39" s="74"/>
      <c r="AD39" s="74"/>
      <c r="AE39" s="74"/>
      <c r="AF39" s="74"/>
      <c r="AG39" s="74"/>
      <c r="AH39" s="74"/>
      <c r="AI39" s="74"/>
      <c r="AJ39" s="74"/>
      <c r="AK39" s="74"/>
    </row>
    <row r="40">
      <c r="A40" s="71" t="s">
        <v>16289</v>
      </c>
      <c r="B40" s="71" t="s">
        <v>1923</v>
      </c>
      <c r="C40" s="71" t="s">
        <v>16290</v>
      </c>
      <c r="D40" s="71" t="s">
        <v>271</v>
      </c>
      <c r="E40" s="71" t="s">
        <v>272</v>
      </c>
      <c r="F40" s="73" t="s">
        <v>16291</v>
      </c>
      <c r="G40" s="73" t="s">
        <v>16292</v>
      </c>
      <c r="H40" s="73" t="s">
        <v>16293</v>
      </c>
      <c r="I40" s="74"/>
      <c r="J40" s="73" t="s">
        <v>16294</v>
      </c>
      <c r="K40" s="73" t="s">
        <v>16295</v>
      </c>
      <c r="L40" s="73" t="s">
        <v>16296</v>
      </c>
      <c r="M40" s="81"/>
      <c r="N40" s="73" t="s">
        <v>16297</v>
      </c>
      <c r="O40" s="81"/>
      <c r="P40" s="73" t="s">
        <v>16298</v>
      </c>
      <c r="Q40" s="81"/>
      <c r="R40" s="75"/>
      <c r="S40" s="71" t="s">
        <v>25</v>
      </c>
      <c r="T40" s="71" t="s">
        <v>8</v>
      </c>
      <c r="U40" s="71">
        <v>6.0</v>
      </c>
      <c r="V40" s="74">
        <f>COUNTIFS(
  Interns!AA:AA, "*" &amp; B40 &amp; "*",
  Interns!AC:AC, "*" &amp; S40 &amp; "*",
  Interns!AE:AE, "*" &amp; T40 &amp; "*"
)</f>
        <v>6</v>
      </c>
      <c r="W40" s="74">
        <f t="shared" si="4"/>
        <v>0</v>
      </c>
      <c r="X40" s="74"/>
      <c r="Y40" s="74"/>
      <c r="Z40" s="74"/>
      <c r="AA40" s="74"/>
      <c r="AB40" s="74"/>
      <c r="AC40" s="74"/>
      <c r="AD40" s="74"/>
      <c r="AE40" s="74"/>
      <c r="AF40" s="74"/>
      <c r="AG40" s="74"/>
      <c r="AH40" s="74"/>
      <c r="AI40" s="74"/>
      <c r="AJ40" s="74"/>
      <c r="AK40" s="74"/>
    </row>
    <row r="41">
      <c r="A41" s="71" t="s">
        <v>16141</v>
      </c>
      <c r="B41" s="71" t="s">
        <v>421</v>
      </c>
      <c r="C41" s="71" t="s">
        <v>16142</v>
      </c>
      <c r="D41" s="71" t="s">
        <v>1173</v>
      </c>
      <c r="E41" s="71" t="s">
        <v>272</v>
      </c>
      <c r="F41" s="73" t="s">
        <v>16143</v>
      </c>
      <c r="G41" s="73" t="s">
        <v>11776</v>
      </c>
      <c r="H41" s="73" t="s">
        <v>16144</v>
      </c>
      <c r="I41" s="73" t="s">
        <v>16145</v>
      </c>
      <c r="J41" s="73"/>
      <c r="K41" s="73"/>
      <c r="L41" s="73"/>
      <c r="M41" s="74"/>
      <c r="N41" s="74"/>
      <c r="O41" s="74"/>
      <c r="P41" s="74"/>
      <c r="Q41" s="74"/>
      <c r="R41" s="75"/>
      <c r="S41" s="71" t="s">
        <v>25</v>
      </c>
      <c r="T41" s="71" t="s">
        <v>8</v>
      </c>
      <c r="U41" s="71">
        <v>15.0</v>
      </c>
      <c r="V41" s="74">
        <f>COUNTIFS(
  Interns!AA:AA, "*" &amp; B41 &amp; "*",
  Interns!AC:AC, "*" &amp; S41 &amp; "*",
  Interns!AE:AE, "*" &amp; T41 &amp; "*"
)</f>
        <v>15</v>
      </c>
      <c r="W41" s="74">
        <f t="shared" si="4"/>
        <v>0</v>
      </c>
      <c r="X41" s="74"/>
      <c r="Y41" s="74"/>
      <c r="Z41" s="74"/>
      <c r="AA41" s="74"/>
      <c r="AB41" s="74"/>
      <c r="AC41" s="74"/>
      <c r="AD41" s="74"/>
      <c r="AE41" s="74"/>
      <c r="AF41" s="74"/>
      <c r="AG41" s="74"/>
      <c r="AH41" s="74"/>
      <c r="AI41" s="74"/>
      <c r="AJ41" s="74"/>
      <c r="AK41" s="74"/>
    </row>
    <row r="42">
      <c r="A42" s="71" t="s">
        <v>16199</v>
      </c>
      <c r="B42" s="71" t="s">
        <v>362</v>
      </c>
      <c r="C42" s="71" t="s">
        <v>16200</v>
      </c>
      <c r="D42" s="71" t="s">
        <v>859</v>
      </c>
      <c r="E42" s="71" t="s">
        <v>272</v>
      </c>
      <c r="F42" s="73" t="s">
        <v>16201</v>
      </c>
      <c r="G42" s="73" t="s">
        <v>16202</v>
      </c>
      <c r="H42" s="73" t="s">
        <v>16203</v>
      </c>
      <c r="I42" s="74"/>
      <c r="J42" s="73" t="s">
        <v>16265</v>
      </c>
      <c r="K42" s="73" t="s">
        <v>16266</v>
      </c>
      <c r="L42" s="73" t="s">
        <v>16267</v>
      </c>
      <c r="M42" s="73" t="s">
        <v>16268</v>
      </c>
      <c r="N42" s="74"/>
      <c r="O42" s="74"/>
      <c r="P42" s="74"/>
      <c r="Q42" s="74"/>
      <c r="R42" s="75"/>
      <c r="S42" s="71" t="s">
        <v>25</v>
      </c>
      <c r="T42" s="71" t="s">
        <v>10</v>
      </c>
      <c r="U42" s="71">
        <v>26.0</v>
      </c>
      <c r="V42" s="74">
        <f>COUNTIFS(
  Interns!AA:AA, "*" &amp; B42 &amp; "*",
  Interns!AC:AC, "*" &amp; S42 &amp; "*",
  Interns!AE:AE, "*" &amp; T42 &amp; "*"
)</f>
        <v>26</v>
      </c>
      <c r="W42" s="74">
        <f t="shared" si="4"/>
        <v>0</v>
      </c>
      <c r="X42" s="74"/>
      <c r="Y42" s="74"/>
      <c r="Z42" s="74"/>
      <c r="AA42" s="74"/>
      <c r="AB42" s="74"/>
      <c r="AC42" s="74"/>
      <c r="AD42" s="74"/>
      <c r="AE42" s="74"/>
      <c r="AF42" s="74"/>
      <c r="AG42" s="74"/>
      <c r="AH42" s="74"/>
      <c r="AI42" s="74"/>
      <c r="AJ42" s="74"/>
      <c r="AK42" s="74"/>
    </row>
    <row r="43">
      <c r="A43" s="71" t="s">
        <v>16106</v>
      </c>
      <c r="B43" s="71" t="s">
        <v>477</v>
      </c>
      <c r="C43" s="71" t="s">
        <v>16107</v>
      </c>
      <c r="D43" s="71" t="s">
        <v>859</v>
      </c>
      <c r="E43" s="71" t="s">
        <v>272</v>
      </c>
      <c r="F43" s="73" t="s">
        <v>16108</v>
      </c>
      <c r="G43" s="73" t="s">
        <v>16109</v>
      </c>
      <c r="H43" s="73" t="s">
        <v>16110</v>
      </c>
      <c r="I43" s="74"/>
      <c r="J43" s="71" t="s">
        <v>16111</v>
      </c>
      <c r="K43" s="73" t="s">
        <v>16112</v>
      </c>
      <c r="L43" s="73" t="s">
        <v>16113</v>
      </c>
      <c r="M43" s="73">
        <v>9.175025177E9</v>
      </c>
      <c r="N43" s="74"/>
      <c r="O43" s="74"/>
      <c r="P43" s="74"/>
      <c r="Q43" s="74"/>
      <c r="R43" s="75"/>
      <c r="S43" s="71" t="s">
        <v>25</v>
      </c>
      <c r="T43" s="71" t="s">
        <v>10</v>
      </c>
      <c r="U43" s="71">
        <v>34.0</v>
      </c>
      <c r="V43" s="74">
        <f>COUNTIFS(
  Interns!AA:AA, "*" &amp; B43 &amp; "*",
  Interns!AC:AC, "*" &amp; S43 &amp; "*",
  Interns!AE:AE, "*" &amp; T43 &amp; "*"
)</f>
        <v>34</v>
      </c>
      <c r="W43" s="74">
        <f t="shared" si="4"/>
        <v>0</v>
      </c>
      <c r="X43" s="74"/>
      <c r="Y43" s="74"/>
      <c r="Z43" s="74"/>
      <c r="AA43" s="74"/>
      <c r="AB43" s="74"/>
      <c r="AC43" s="74"/>
      <c r="AD43" s="74"/>
      <c r="AE43" s="74"/>
      <c r="AF43" s="74"/>
      <c r="AG43" s="74"/>
      <c r="AH43" s="74"/>
      <c r="AI43" s="74"/>
      <c r="AJ43" s="74"/>
      <c r="AK43" s="74"/>
    </row>
    <row r="44">
      <c r="A44" s="71" t="s">
        <v>16299</v>
      </c>
      <c r="B44" s="86" t="s">
        <v>7671</v>
      </c>
      <c r="C44" s="71" t="s">
        <v>16300</v>
      </c>
      <c r="D44" s="71" t="s">
        <v>271</v>
      </c>
      <c r="E44" s="71" t="s">
        <v>272</v>
      </c>
      <c r="F44" s="71" t="s">
        <v>16301</v>
      </c>
      <c r="G44" s="74"/>
      <c r="H44" s="73" t="s">
        <v>16302</v>
      </c>
      <c r="I44" s="73">
        <v>8.504502533E9</v>
      </c>
      <c r="J44" s="73" t="s">
        <v>16303</v>
      </c>
      <c r="K44" s="73" t="s">
        <v>16304</v>
      </c>
      <c r="L44" s="73" t="s">
        <v>16305</v>
      </c>
      <c r="M44" s="73" t="s">
        <v>16306</v>
      </c>
      <c r="N44" s="73" t="s">
        <v>16307</v>
      </c>
      <c r="O44" s="74"/>
      <c r="P44" s="74"/>
      <c r="Q44" s="73" t="s">
        <v>16308</v>
      </c>
      <c r="R44" s="75"/>
      <c r="S44" s="71" t="s">
        <v>25</v>
      </c>
      <c r="T44" s="71" t="s">
        <v>10</v>
      </c>
      <c r="U44" s="74"/>
      <c r="V44" s="74">
        <f>COUNTIFS(
  Interns!AA:AA, "*" &amp; B44 &amp; "*",
  Interns!AC:AC, "*" &amp; S44 &amp; "*",
  Interns!AE:AE, "*" &amp; T44 &amp; "*"
)</f>
        <v>9</v>
      </c>
      <c r="W44" s="74"/>
      <c r="X44" s="74"/>
      <c r="Y44" s="74"/>
      <c r="Z44" s="74"/>
      <c r="AA44" s="74"/>
      <c r="AB44" s="74"/>
      <c r="AC44" s="74"/>
      <c r="AD44" s="74"/>
      <c r="AE44" s="74"/>
      <c r="AF44" s="74"/>
      <c r="AG44" s="74"/>
      <c r="AH44" s="74"/>
      <c r="AI44" s="74"/>
      <c r="AJ44" s="74"/>
      <c r="AK44" s="74"/>
    </row>
    <row r="45">
      <c r="A45" s="71" t="s">
        <v>16309</v>
      </c>
      <c r="B45" s="87" t="s">
        <v>5436</v>
      </c>
      <c r="C45" s="71" t="s">
        <v>16310</v>
      </c>
      <c r="D45" s="71" t="s">
        <v>859</v>
      </c>
      <c r="E45" s="71" t="s">
        <v>272</v>
      </c>
      <c r="F45" s="73" t="s">
        <v>16311</v>
      </c>
      <c r="G45" s="73" t="s">
        <v>16222</v>
      </c>
      <c r="H45" s="73" t="s">
        <v>10877</v>
      </c>
      <c r="I45" s="73" t="s">
        <v>16312</v>
      </c>
      <c r="J45" s="73" t="s">
        <v>16313</v>
      </c>
      <c r="K45" s="73" t="s">
        <v>16314</v>
      </c>
      <c r="L45" s="73" t="s">
        <v>16305</v>
      </c>
      <c r="M45" s="73">
        <v>3.472086698E9</v>
      </c>
      <c r="N45" s="73" t="s">
        <v>16315</v>
      </c>
      <c r="O45" s="81"/>
      <c r="P45" s="81"/>
      <c r="Q45" s="74"/>
      <c r="R45" s="84" t="s">
        <v>16316</v>
      </c>
      <c r="S45" s="71" t="s">
        <v>25</v>
      </c>
      <c r="T45" s="71" t="s">
        <v>10</v>
      </c>
      <c r="U45" s="74"/>
      <c r="V45" s="74">
        <f>COUNTIFS(
  Interns!AA:AA, "*" &amp; B45 &amp; "*",
  Interns!AC:AC, "*" &amp; S45 &amp; "*",
  Interns!AE:AE, "*" &amp; T45 &amp; "*"
)</f>
        <v>13</v>
      </c>
      <c r="W45" s="74"/>
      <c r="X45" s="74"/>
      <c r="Y45" s="74"/>
      <c r="Z45" s="74"/>
      <c r="AA45" s="74"/>
      <c r="AB45" s="74"/>
      <c r="AC45" s="74"/>
      <c r="AD45" s="74"/>
      <c r="AE45" s="74"/>
      <c r="AF45" s="74"/>
      <c r="AG45" s="74"/>
      <c r="AH45" s="74"/>
      <c r="AI45" s="74"/>
      <c r="AJ45" s="74"/>
      <c r="AK45" s="74"/>
    </row>
    <row r="46">
      <c r="A46" s="71" t="s">
        <v>16299</v>
      </c>
      <c r="B46" s="86" t="s">
        <v>7671</v>
      </c>
      <c r="C46" s="71" t="s">
        <v>16300</v>
      </c>
      <c r="D46" s="71" t="s">
        <v>271</v>
      </c>
      <c r="E46" s="71" t="s">
        <v>272</v>
      </c>
      <c r="F46" s="71" t="s">
        <v>16301</v>
      </c>
      <c r="G46" s="74"/>
      <c r="H46" s="73" t="s">
        <v>16302</v>
      </c>
      <c r="I46" s="73">
        <v>8.504502533E9</v>
      </c>
      <c r="J46" s="73" t="s">
        <v>16303</v>
      </c>
      <c r="K46" s="73" t="s">
        <v>16304</v>
      </c>
      <c r="L46" s="73" t="s">
        <v>16305</v>
      </c>
      <c r="M46" s="73" t="s">
        <v>16306</v>
      </c>
      <c r="N46" s="73" t="s">
        <v>16307</v>
      </c>
      <c r="O46" s="74"/>
      <c r="P46" s="74"/>
      <c r="Q46" s="73" t="s">
        <v>16308</v>
      </c>
      <c r="R46" s="75"/>
      <c r="S46" s="71" t="s">
        <v>25</v>
      </c>
      <c r="T46" s="71" t="s">
        <v>15</v>
      </c>
      <c r="U46" s="74"/>
      <c r="V46" s="74">
        <f>COUNTIFS(
  Interns!AA:AA, "*" &amp; B46 &amp; "*",
  Interns!AC:AC, "*" &amp; S46 &amp; "*",
  Interns!AE:AE, "*" &amp; T46 &amp; "*"
)</f>
        <v>9</v>
      </c>
      <c r="W46" s="74"/>
      <c r="X46" s="74"/>
      <c r="Y46" s="74"/>
      <c r="Z46" s="74"/>
      <c r="AA46" s="74"/>
      <c r="AB46" s="74"/>
      <c r="AC46" s="74"/>
      <c r="AD46" s="74"/>
      <c r="AE46" s="74"/>
      <c r="AF46" s="74"/>
      <c r="AG46" s="74"/>
      <c r="AH46" s="74"/>
      <c r="AI46" s="74"/>
      <c r="AJ46" s="74"/>
      <c r="AK46" s="74"/>
    </row>
    <row r="47">
      <c r="A47" s="71" t="s">
        <v>16309</v>
      </c>
      <c r="B47" s="87" t="s">
        <v>5436</v>
      </c>
      <c r="C47" s="71" t="s">
        <v>16310</v>
      </c>
      <c r="D47" s="71" t="s">
        <v>859</v>
      </c>
      <c r="E47" s="71" t="s">
        <v>272</v>
      </c>
      <c r="F47" s="73" t="s">
        <v>16311</v>
      </c>
      <c r="G47" s="73" t="s">
        <v>16222</v>
      </c>
      <c r="H47" s="73" t="s">
        <v>10877</v>
      </c>
      <c r="I47" s="73" t="s">
        <v>16312</v>
      </c>
      <c r="J47" s="73" t="s">
        <v>16313</v>
      </c>
      <c r="K47" s="73" t="s">
        <v>16314</v>
      </c>
      <c r="L47" s="73" t="s">
        <v>16305</v>
      </c>
      <c r="M47" s="73">
        <v>3.472086698E9</v>
      </c>
      <c r="N47" s="73" t="s">
        <v>16315</v>
      </c>
      <c r="O47" s="81"/>
      <c r="P47" s="81"/>
      <c r="Q47" s="74"/>
      <c r="R47" s="84" t="s">
        <v>16317</v>
      </c>
      <c r="S47" s="71" t="s">
        <v>25</v>
      </c>
      <c r="T47" s="71" t="s">
        <v>15</v>
      </c>
      <c r="U47" s="74"/>
      <c r="V47" s="74">
        <f>COUNTIFS(
  Interns!AA:AA, "*" &amp; B47 &amp; "*",
  Interns!AC:AC, "*" &amp; S47 &amp; "*",
  Interns!AE:AE, "*" &amp; T47 &amp; "*"
)</f>
        <v>16</v>
      </c>
      <c r="W47" s="74"/>
      <c r="X47" s="74"/>
      <c r="Y47" s="74"/>
      <c r="Z47" s="74"/>
      <c r="AA47" s="74"/>
      <c r="AB47" s="74"/>
      <c r="AC47" s="74"/>
      <c r="AD47" s="74"/>
      <c r="AE47" s="74"/>
      <c r="AF47" s="74"/>
      <c r="AG47" s="74"/>
      <c r="AH47" s="74"/>
      <c r="AI47" s="74"/>
      <c r="AJ47" s="74"/>
      <c r="AK47" s="74"/>
    </row>
    <row r="48">
      <c r="A48" s="71" t="s">
        <v>16234</v>
      </c>
      <c r="B48" s="71" t="s">
        <v>619</v>
      </c>
      <c r="C48" s="71" t="s">
        <v>16235</v>
      </c>
      <c r="D48" s="71" t="s">
        <v>1173</v>
      </c>
      <c r="E48" s="71" t="s">
        <v>272</v>
      </c>
      <c r="F48" s="73" t="s">
        <v>16236</v>
      </c>
      <c r="G48" s="73" t="s">
        <v>16112</v>
      </c>
      <c r="H48" s="73" t="s">
        <v>16237</v>
      </c>
      <c r="I48" s="73" t="s">
        <v>16238</v>
      </c>
      <c r="J48" s="76"/>
      <c r="K48" s="73"/>
      <c r="L48" s="73"/>
      <c r="M48" s="74"/>
      <c r="N48" s="74"/>
      <c r="O48" s="74"/>
      <c r="P48" s="74"/>
      <c r="Q48" s="74"/>
      <c r="R48" s="75"/>
      <c r="S48" s="71" t="s">
        <v>25</v>
      </c>
      <c r="T48" s="71" t="s">
        <v>10</v>
      </c>
      <c r="U48" s="71">
        <v>107.0</v>
      </c>
      <c r="V48" s="74">
        <f>COUNTIFS(
  Interns!AA:AA, "*" &amp; B48 &amp; "*",
  Interns!AC:AC, "*" &amp; S48 &amp; "*",
  Interns!AE:AE, "*" &amp; T48 &amp; "*"
)</f>
        <v>107</v>
      </c>
      <c r="W48" s="74">
        <f>U48-V48</f>
        <v>0</v>
      </c>
      <c r="X48" s="74"/>
      <c r="Y48" s="74"/>
      <c r="Z48" s="74"/>
      <c r="AA48" s="74"/>
      <c r="AB48" s="74"/>
      <c r="AC48" s="74"/>
      <c r="AD48" s="74"/>
      <c r="AE48" s="74"/>
      <c r="AF48" s="74"/>
      <c r="AG48" s="74"/>
      <c r="AH48" s="74"/>
      <c r="AI48" s="74"/>
      <c r="AJ48" s="74"/>
      <c r="AK48" s="74"/>
    </row>
    <row r="49">
      <c r="A49" s="71" t="s">
        <v>16318</v>
      </c>
      <c r="B49" s="76" t="s">
        <v>629</v>
      </c>
      <c r="C49" s="71" t="s">
        <v>16319</v>
      </c>
      <c r="D49" s="71" t="s">
        <v>380</v>
      </c>
      <c r="E49" s="71" t="s">
        <v>381</v>
      </c>
      <c r="F49" s="73" t="s">
        <v>16320</v>
      </c>
      <c r="G49" s="73" t="s">
        <v>16321</v>
      </c>
      <c r="H49" s="73" t="s">
        <v>16322</v>
      </c>
      <c r="I49" s="73">
        <v>2.158059304E9</v>
      </c>
      <c r="J49" s="73" t="s">
        <v>16323</v>
      </c>
      <c r="K49" s="73" t="s">
        <v>16324</v>
      </c>
      <c r="L49" s="73" t="s">
        <v>16325</v>
      </c>
      <c r="M49" s="73" t="s">
        <v>16326</v>
      </c>
      <c r="N49" s="73" t="s">
        <v>16327</v>
      </c>
      <c r="O49" s="73" t="s">
        <v>16328</v>
      </c>
      <c r="P49" s="73" t="s">
        <v>16329</v>
      </c>
      <c r="Q49" s="74"/>
      <c r="R49" s="75"/>
      <c r="S49" s="71" t="s">
        <v>25</v>
      </c>
      <c r="T49" s="71" t="s">
        <v>10</v>
      </c>
      <c r="U49" s="74"/>
      <c r="V49" s="74">
        <f>COUNTIFS(
  Interns!AA:AA, "*" &amp; B49 &amp; "*",
  Interns!AC:AC, "*" &amp; S49 &amp; "*",
  Interns!AE:AE, "*" &amp; T49 &amp; "*"
)</f>
        <v>13</v>
      </c>
      <c r="W49" s="74"/>
      <c r="X49" s="74"/>
      <c r="Y49" s="74"/>
      <c r="Z49" s="74"/>
      <c r="AA49" s="74"/>
      <c r="AB49" s="74"/>
      <c r="AC49" s="74"/>
      <c r="AD49" s="74"/>
      <c r="AE49" s="74"/>
      <c r="AF49" s="74"/>
      <c r="AG49" s="74"/>
      <c r="AH49" s="74"/>
      <c r="AI49" s="74"/>
      <c r="AJ49" s="74"/>
      <c r="AK49" s="74"/>
    </row>
    <row r="50">
      <c r="A50" s="71" t="s">
        <v>16207</v>
      </c>
      <c r="B50" s="71" t="s">
        <v>5559</v>
      </c>
      <c r="C50" s="71" t="s">
        <v>16208</v>
      </c>
      <c r="D50" s="71" t="s">
        <v>271</v>
      </c>
      <c r="E50" s="71" t="s">
        <v>272</v>
      </c>
      <c r="F50" s="73" t="s">
        <v>16209</v>
      </c>
      <c r="G50" s="73" t="s">
        <v>16210</v>
      </c>
      <c r="H50" s="73" t="s">
        <v>16211</v>
      </c>
      <c r="I50" s="74"/>
      <c r="J50" s="73"/>
      <c r="K50" s="73"/>
      <c r="L50" s="73"/>
      <c r="M50" s="73"/>
      <c r="N50" s="81"/>
      <c r="O50" s="81"/>
      <c r="P50" s="81"/>
      <c r="Q50" s="81"/>
      <c r="R50" s="75"/>
      <c r="S50" s="71" t="s">
        <v>25</v>
      </c>
      <c r="T50" s="71" t="s">
        <v>10</v>
      </c>
      <c r="U50" s="71">
        <v>6.0</v>
      </c>
      <c r="V50" s="74">
        <f>COUNTIFS(
  Interns!AA:AA, "*" &amp; B50 &amp; "*",
  Interns!AC:AC, "*" &amp; S50 &amp; "*",
  Interns!AE:AE, "*" &amp; T50 &amp; "*"
)</f>
        <v>6</v>
      </c>
      <c r="W50" s="74">
        <f t="shared" ref="W50:W64" si="5">U50-V50</f>
        <v>0</v>
      </c>
      <c r="X50" s="74"/>
      <c r="Y50" s="74"/>
      <c r="Z50" s="74"/>
      <c r="AA50" s="74"/>
      <c r="AB50" s="74"/>
      <c r="AC50" s="74"/>
      <c r="AD50" s="74"/>
      <c r="AE50" s="74"/>
      <c r="AF50" s="74"/>
      <c r="AG50" s="74"/>
      <c r="AH50" s="74"/>
      <c r="AI50" s="74"/>
      <c r="AJ50" s="74"/>
      <c r="AK50" s="74"/>
    </row>
    <row r="51">
      <c r="A51" s="71" t="s">
        <v>16215</v>
      </c>
      <c r="B51" s="71" t="s">
        <v>2141</v>
      </c>
      <c r="C51" s="71" t="s">
        <v>16216</v>
      </c>
      <c r="D51" s="71" t="s">
        <v>859</v>
      </c>
      <c r="E51" s="71" t="s">
        <v>272</v>
      </c>
      <c r="F51" s="73" t="s">
        <v>16217</v>
      </c>
      <c r="G51" s="73" t="s">
        <v>16218</v>
      </c>
      <c r="H51" s="73" t="s">
        <v>16219</v>
      </c>
      <c r="I51" s="73" t="s">
        <v>16220</v>
      </c>
      <c r="J51" s="73"/>
      <c r="K51" s="73"/>
      <c r="L51" s="73"/>
      <c r="M51" s="73"/>
      <c r="N51" s="74"/>
      <c r="O51" s="74"/>
      <c r="P51" s="74"/>
      <c r="Q51" s="74"/>
      <c r="R51" s="75"/>
      <c r="S51" s="71" t="s">
        <v>25</v>
      </c>
      <c r="T51" s="71" t="s">
        <v>10</v>
      </c>
      <c r="U51" s="71">
        <v>17.0</v>
      </c>
      <c r="V51" s="74">
        <f>COUNTIFS(
  Interns!AA:AA, "*" &amp; B51 &amp; "*",
  Interns!AC:AC, "*" &amp; S51 &amp; "*",
  Interns!AE:AE, "*" &amp; T51 &amp; "*"
)</f>
        <v>17</v>
      </c>
      <c r="W51" s="74">
        <f t="shared" si="5"/>
        <v>0</v>
      </c>
      <c r="X51" s="74"/>
      <c r="Y51" s="74"/>
      <c r="Z51" s="74"/>
      <c r="AA51" s="74"/>
      <c r="AB51" s="74"/>
      <c r="AC51" s="74"/>
      <c r="AD51" s="74"/>
      <c r="AE51" s="74"/>
      <c r="AF51" s="74"/>
      <c r="AG51" s="74"/>
      <c r="AH51" s="74"/>
      <c r="AI51" s="74"/>
      <c r="AJ51" s="74"/>
      <c r="AK51" s="74"/>
    </row>
    <row r="52">
      <c r="A52" s="71" t="s">
        <v>16330</v>
      </c>
      <c r="B52" s="71" t="s">
        <v>457</v>
      </c>
      <c r="C52" s="71" t="s">
        <v>16331</v>
      </c>
      <c r="D52" s="72" t="s">
        <v>1173</v>
      </c>
      <c r="E52" s="72" t="s">
        <v>272</v>
      </c>
      <c r="F52" s="73" t="s">
        <v>16332</v>
      </c>
      <c r="G52" s="73" t="s">
        <v>16333</v>
      </c>
      <c r="H52" s="73" t="s">
        <v>16334</v>
      </c>
      <c r="I52" s="73" t="s">
        <v>16335</v>
      </c>
      <c r="J52" s="73" t="s">
        <v>16336</v>
      </c>
      <c r="K52" s="74"/>
      <c r="L52" s="73" t="s">
        <v>16337</v>
      </c>
      <c r="M52" s="74"/>
      <c r="N52" s="74"/>
      <c r="O52" s="74"/>
      <c r="P52" s="74"/>
      <c r="Q52" s="74"/>
      <c r="R52" s="75"/>
      <c r="S52" s="71" t="s">
        <v>25</v>
      </c>
      <c r="T52" s="71" t="s">
        <v>10</v>
      </c>
      <c r="U52" s="71">
        <v>61.0</v>
      </c>
      <c r="V52" s="74">
        <f>COUNTIFS(
  Interns!AA:AA, "*" &amp; B52 &amp; "*",
  Interns!AC:AC, "*" &amp; S52 &amp; "*",
  Interns!AE:AE, "*" &amp; T52 &amp; "*"
)</f>
        <v>61</v>
      </c>
      <c r="W52" s="74">
        <f t="shared" si="5"/>
        <v>0</v>
      </c>
      <c r="X52" s="74"/>
      <c r="Y52" s="74"/>
      <c r="Z52" s="74"/>
      <c r="AA52" s="74"/>
      <c r="AB52" s="74"/>
      <c r="AC52" s="74"/>
      <c r="AD52" s="74"/>
      <c r="AE52" s="74"/>
      <c r="AF52" s="74"/>
      <c r="AG52" s="74"/>
      <c r="AH52" s="74"/>
      <c r="AI52" s="74"/>
      <c r="AJ52" s="74"/>
      <c r="AK52" s="74"/>
    </row>
    <row r="53">
      <c r="A53" s="71" t="s">
        <v>16338</v>
      </c>
      <c r="B53" s="71" t="s">
        <v>1887</v>
      </c>
      <c r="C53" s="71" t="s">
        <v>16339</v>
      </c>
      <c r="D53" s="71" t="s">
        <v>294</v>
      </c>
      <c r="E53" s="71" t="s">
        <v>272</v>
      </c>
      <c r="F53" s="73" t="s">
        <v>16340</v>
      </c>
      <c r="G53" s="73" t="s">
        <v>16341</v>
      </c>
      <c r="H53" s="73" t="s">
        <v>16342</v>
      </c>
      <c r="I53" s="73"/>
      <c r="J53" s="73" t="s">
        <v>16340</v>
      </c>
      <c r="K53" s="73" t="s">
        <v>16341</v>
      </c>
      <c r="L53" s="73" t="s">
        <v>16342</v>
      </c>
      <c r="M53" s="74"/>
      <c r="N53" s="74"/>
      <c r="O53" s="74"/>
      <c r="P53" s="74"/>
      <c r="Q53" s="74"/>
      <c r="R53" s="75"/>
      <c r="S53" s="71" t="s">
        <v>25</v>
      </c>
      <c r="T53" s="71" t="s">
        <v>10</v>
      </c>
      <c r="U53" s="71">
        <v>19.0</v>
      </c>
      <c r="V53" s="74">
        <f>COUNTIFS(
  Interns!AA:AA, "*" &amp; B53 &amp; "*",
  Interns!AC:AC, "*" &amp; S53 &amp; "*",
  Interns!AE:AE, "*" &amp; T53 &amp; "*"
)</f>
        <v>19</v>
      </c>
      <c r="W53" s="74">
        <f t="shared" si="5"/>
        <v>0</v>
      </c>
      <c r="X53" s="74"/>
      <c r="Y53" s="74"/>
      <c r="Z53" s="74"/>
      <c r="AA53" s="74"/>
      <c r="AB53" s="74"/>
      <c r="AC53" s="74"/>
      <c r="AD53" s="74"/>
      <c r="AE53" s="74"/>
      <c r="AF53" s="74"/>
      <c r="AG53" s="74"/>
      <c r="AH53" s="74"/>
      <c r="AI53" s="74"/>
      <c r="AJ53" s="74"/>
      <c r="AK53" s="74"/>
    </row>
    <row r="54">
      <c r="A54" s="71" t="s">
        <v>16114</v>
      </c>
      <c r="B54" s="71" t="s">
        <v>704</v>
      </c>
      <c r="C54" s="71" t="s">
        <v>16115</v>
      </c>
      <c r="D54" s="71" t="s">
        <v>271</v>
      </c>
      <c r="E54" s="71" t="s">
        <v>272</v>
      </c>
      <c r="F54" s="73" t="s">
        <v>16116</v>
      </c>
      <c r="G54" s="73" t="s">
        <v>16117</v>
      </c>
      <c r="H54" s="73" t="s">
        <v>16118</v>
      </c>
      <c r="I54" s="73" t="s">
        <v>16119</v>
      </c>
      <c r="J54" s="73" t="s">
        <v>16116</v>
      </c>
      <c r="K54" s="73" t="s">
        <v>16117</v>
      </c>
      <c r="L54" s="73" t="s">
        <v>16118</v>
      </c>
      <c r="M54" s="73" t="s">
        <v>16119</v>
      </c>
      <c r="N54" s="73"/>
      <c r="O54" s="73"/>
      <c r="P54" s="73"/>
      <c r="Q54" s="73"/>
      <c r="R54" s="75"/>
      <c r="S54" s="71" t="s">
        <v>25</v>
      </c>
      <c r="T54" s="71" t="s">
        <v>10</v>
      </c>
      <c r="U54" s="71">
        <v>26.0</v>
      </c>
      <c r="V54" s="74">
        <f>COUNTIFS(
  Interns!AA:AA, "*" &amp; B54 &amp; "*",
  Interns!AC:AC, "*" &amp; S54 &amp; "*",
  Interns!AE:AE, "*" &amp; T54 &amp; "*"
)</f>
        <v>26</v>
      </c>
      <c r="W54" s="74">
        <f t="shared" si="5"/>
        <v>0</v>
      </c>
      <c r="X54" s="74"/>
      <c r="Y54" s="74"/>
      <c r="Z54" s="74"/>
      <c r="AA54" s="74"/>
      <c r="AB54" s="74"/>
      <c r="AC54" s="74"/>
      <c r="AD54" s="74"/>
      <c r="AE54" s="74"/>
      <c r="AF54" s="74"/>
      <c r="AG54" s="74"/>
      <c r="AH54" s="74"/>
      <c r="AI54" s="74"/>
      <c r="AJ54" s="74"/>
      <c r="AK54" s="74"/>
    </row>
    <row r="55">
      <c r="A55" s="71" t="s">
        <v>16343</v>
      </c>
      <c r="B55" s="71" t="s">
        <v>3931</v>
      </c>
      <c r="C55" s="71" t="s">
        <v>16344</v>
      </c>
      <c r="D55" s="71" t="s">
        <v>271</v>
      </c>
      <c r="E55" s="71" t="s">
        <v>272</v>
      </c>
      <c r="F55" s="73" t="s">
        <v>16345</v>
      </c>
      <c r="G55" s="73" t="s">
        <v>16346</v>
      </c>
      <c r="H55" s="73" t="s">
        <v>16347</v>
      </c>
      <c r="I55" s="73" t="s">
        <v>16348</v>
      </c>
      <c r="J55" s="73" t="s">
        <v>16349</v>
      </c>
      <c r="K55" s="73" t="s">
        <v>16350</v>
      </c>
      <c r="L55" s="73" t="s">
        <v>16351</v>
      </c>
      <c r="M55" s="73" t="s">
        <v>16352</v>
      </c>
      <c r="N55" s="73" t="s">
        <v>16353</v>
      </c>
      <c r="O55" s="73" t="s">
        <v>16354</v>
      </c>
      <c r="P55" s="73" t="s">
        <v>16355</v>
      </c>
      <c r="Q55" s="73">
        <v>6.466281595E9</v>
      </c>
      <c r="R55" s="75"/>
      <c r="S55" s="71" t="s">
        <v>25</v>
      </c>
      <c r="T55" s="71" t="s">
        <v>10</v>
      </c>
      <c r="U55" s="71">
        <v>11.0</v>
      </c>
      <c r="V55" s="74">
        <f>COUNTIFS(
  Interns!AA:AA, "*" &amp; B55 &amp; "*",
  Interns!AC:AC, "*" &amp; S55 &amp; "*",
  Interns!AE:AE, "*" &amp; T55 &amp; "*"
)</f>
        <v>11</v>
      </c>
      <c r="W55" s="74">
        <f t="shared" si="5"/>
        <v>0</v>
      </c>
      <c r="X55" s="74"/>
      <c r="Y55" s="74"/>
      <c r="Z55" s="74"/>
      <c r="AA55" s="74"/>
      <c r="AB55" s="74"/>
      <c r="AC55" s="74"/>
      <c r="AD55" s="74"/>
      <c r="AE55" s="74"/>
      <c r="AF55" s="74"/>
      <c r="AG55" s="74"/>
      <c r="AH55" s="74"/>
      <c r="AI55" s="74"/>
      <c r="AJ55" s="74"/>
      <c r="AK55" s="74"/>
    </row>
    <row r="56">
      <c r="A56" s="71" t="s">
        <v>16289</v>
      </c>
      <c r="B56" s="71" t="s">
        <v>1923</v>
      </c>
      <c r="C56" s="71" t="s">
        <v>16290</v>
      </c>
      <c r="D56" s="71" t="s">
        <v>271</v>
      </c>
      <c r="E56" s="71" t="s">
        <v>272</v>
      </c>
      <c r="F56" s="73" t="s">
        <v>16291</v>
      </c>
      <c r="G56" s="73" t="s">
        <v>16292</v>
      </c>
      <c r="H56" s="73" t="s">
        <v>16293</v>
      </c>
      <c r="I56" s="74"/>
      <c r="J56" s="73" t="s">
        <v>16294</v>
      </c>
      <c r="K56" s="73" t="s">
        <v>16295</v>
      </c>
      <c r="L56" s="73" t="s">
        <v>16296</v>
      </c>
      <c r="M56" s="81"/>
      <c r="N56" s="73" t="s">
        <v>16297</v>
      </c>
      <c r="O56" s="81"/>
      <c r="P56" s="73" t="s">
        <v>16298</v>
      </c>
      <c r="Q56" s="81"/>
      <c r="R56" s="75"/>
      <c r="S56" s="71" t="s">
        <v>25</v>
      </c>
      <c r="T56" s="71" t="s">
        <v>10</v>
      </c>
      <c r="U56" s="71">
        <v>5.0</v>
      </c>
      <c r="V56" s="74">
        <f>COUNTIFS(
  Interns!AA:AA, "*" &amp; B56 &amp; "*",
  Interns!AC:AC, "*" &amp; S56 &amp; "*",
  Interns!AE:AE, "*" &amp; T56 &amp; "*"
)</f>
        <v>6</v>
      </c>
      <c r="W56" s="74">
        <f t="shared" si="5"/>
        <v>-1</v>
      </c>
      <c r="X56" s="74"/>
      <c r="Y56" s="74"/>
      <c r="Z56" s="74"/>
      <c r="AA56" s="74"/>
      <c r="AB56" s="74"/>
      <c r="AC56" s="74"/>
      <c r="AD56" s="74"/>
      <c r="AE56" s="74"/>
      <c r="AF56" s="74"/>
      <c r="AG56" s="74"/>
      <c r="AH56" s="74"/>
      <c r="AI56" s="74"/>
      <c r="AJ56" s="74"/>
      <c r="AK56" s="74"/>
    </row>
    <row r="57">
      <c r="A57" s="71" t="s">
        <v>16141</v>
      </c>
      <c r="B57" s="71" t="s">
        <v>421</v>
      </c>
      <c r="C57" s="71" t="s">
        <v>16142</v>
      </c>
      <c r="D57" s="71" t="s">
        <v>1173</v>
      </c>
      <c r="E57" s="71" t="s">
        <v>272</v>
      </c>
      <c r="F57" s="73" t="s">
        <v>16143</v>
      </c>
      <c r="G57" s="73" t="s">
        <v>11776</v>
      </c>
      <c r="H57" s="73" t="s">
        <v>16144</v>
      </c>
      <c r="I57" s="73" t="s">
        <v>16145</v>
      </c>
      <c r="J57" s="73"/>
      <c r="K57" s="73"/>
      <c r="L57" s="73"/>
      <c r="M57" s="74"/>
      <c r="N57" s="74"/>
      <c r="O57" s="74"/>
      <c r="P57" s="74"/>
      <c r="Q57" s="74"/>
      <c r="R57" s="75"/>
      <c r="S57" s="71" t="s">
        <v>25</v>
      </c>
      <c r="T57" s="71" t="s">
        <v>10</v>
      </c>
      <c r="U57" s="71">
        <v>8.0</v>
      </c>
      <c r="V57" s="74">
        <f>COUNTIFS(
  Interns!AA:AA, "*" &amp; B57 &amp; "*",
  Interns!AC:AC, "*" &amp; S57 &amp; "*",
  Interns!AE:AE, "*" &amp; T57 &amp; "*"
)</f>
        <v>8</v>
      </c>
      <c r="W57" s="74">
        <f t="shared" si="5"/>
        <v>0</v>
      </c>
      <c r="X57" s="74"/>
      <c r="Y57" s="74"/>
      <c r="Z57" s="74"/>
      <c r="AA57" s="74"/>
      <c r="AB57" s="74"/>
      <c r="AC57" s="74"/>
      <c r="AD57" s="74"/>
      <c r="AE57" s="74"/>
      <c r="AF57" s="74"/>
      <c r="AG57" s="74"/>
      <c r="AH57" s="74"/>
      <c r="AI57" s="74"/>
      <c r="AJ57" s="74"/>
      <c r="AK57" s="74"/>
    </row>
    <row r="58">
      <c r="A58" s="71" t="s">
        <v>16160</v>
      </c>
      <c r="B58" s="71" t="s">
        <v>1085</v>
      </c>
      <c r="C58" s="71" t="s">
        <v>16161</v>
      </c>
      <c r="D58" s="71" t="s">
        <v>271</v>
      </c>
      <c r="E58" s="71" t="s">
        <v>272</v>
      </c>
      <c r="F58" s="73" t="s">
        <v>16162</v>
      </c>
      <c r="G58" s="73" t="s">
        <v>16163</v>
      </c>
      <c r="H58" s="73" t="s">
        <v>16164</v>
      </c>
      <c r="I58" s="73" t="s">
        <v>16165</v>
      </c>
      <c r="J58" s="73"/>
      <c r="K58" s="76"/>
      <c r="L58" s="73"/>
      <c r="M58" s="73"/>
      <c r="N58" s="74"/>
      <c r="O58" s="74"/>
      <c r="P58" s="74"/>
      <c r="Q58" s="74"/>
      <c r="R58" s="75"/>
      <c r="S58" s="71" t="s">
        <v>25</v>
      </c>
      <c r="T58" s="71" t="s">
        <v>10</v>
      </c>
      <c r="U58" s="71">
        <v>25.0</v>
      </c>
      <c r="V58" s="74">
        <f>COUNTIFS(
  Interns!AA:AA, "*" &amp; B58 &amp; "*",
  Interns!AC:AC, "*" &amp; S58 &amp; "*",
  Interns!AE:AE, "*" &amp; T58 &amp; "*"
)</f>
        <v>25</v>
      </c>
      <c r="W58" s="74">
        <f t="shared" si="5"/>
        <v>0</v>
      </c>
      <c r="X58" s="74"/>
      <c r="Y58" s="74"/>
      <c r="Z58" s="74"/>
      <c r="AA58" s="74"/>
      <c r="AB58" s="74"/>
      <c r="AC58" s="74"/>
      <c r="AD58" s="74"/>
      <c r="AE58" s="74"/>
      <c r="AF58" s="74"/>
      <c r="AG58" s="74"/>
      <c r="AH58" s="74"/>
      <c r="AI58" s="74"/>
      <c r="AJ58" s="74"/>
      <c r="AK58" s="74"/>
    </row>
    <row r="59">
      <c r="A59" s="71" t="s">
        <v>16106</v>
      </c>
      <c r="B59" s="71" t="s">
        <v>477</v>
      </c>
      <c r="C59" s="71" t="s">
        <v>16107</v>
      </c>
      <c r="D59" s="71" t="s">
        <v>859</v>
      </c>
      <c r="E59" s="71" t="s">
        <v>272</v>
      </c>
      <c r="F59" s="73" t="s">
        <v>16108</v>
      </c>
      <c r="G59" s="73" t="s">
        <v>16109</v>
      </c>
      <c r="H59" s="73" t="s">
        <v>16110</v>
      </c>
      <c r="I59" s="74"/>
      <c r="J59" s="71" t="s">
        <v>16111</v>
      </c>
      <c r="K59" s="73" t="s">
        <v>16112</v>
      </c>
      <c r="L59" s="73" t="s">
        <v>16113</v>
      </c>
      <c r="M59" s="73">
        <v>9.175025177E9</v>
      </c>
      <c r="N59" s="74"/>
      <c r="O59" s="74"/>
      <c r="P59" s="74"/>
      <c r="Q59" s="74"/>
      <c r="R59" s="84" t="s">
        <v>16356</v>
      </c>
      <c r="S59" s="71" t="s">
        <v>25</v>
      </c>
      <c r="T59" s="71" t="s">
        <v>15</v>
      </c>
      <c r="U59" s="71">
        <v>20.0</v>
      </c>
      <c r="V59" s="74">
        <f>COUNTIFS(
  Interns!AA:AA, "*" &amp; B59 &amp; "*",
  Interns!AC:AC, "*" &amp; S59 &amp; "*",
  Interns!AE:AE, "*" &amp; T59 &amp; "*"
)</f>
        <v>20</v>
      </c>
      <c r="W59" s="74">
        <f t="shared" si="5"/>
        <v>0</v>
      </c>
      <c r="X59" s="74"/>
      <c r="Y59" s="74"/>
      <c r="Z59" s="74"/>
      <c r="AA59" s="74"/>
      <c r="AB59" s="74"/>
      <c r="AC59" s="74"/>
      <c r="AD59" s="74"/>
      <c r="AE59" s="74"/>
      <c r="AF59" s="74"/>
      <c r="AG59" s="74"/>
      <c r="AH59" s="74"/>
      <c r="AI59" s="74"/>
      <c r="AJ59" s="74"/>
      <c r="AK59" s="74"/>
    </row>
    <row r="60">
      <c r="A60" s="71" t="s">
        <v>16215</v>
      </c>
      <c r="B60" s="71" t="s">
        <v>2141</v>
      </c>
      <c r="C60" s="71" t="s">
        <v>16216</v>
      </c>
      <c r="D60" s="71" t="s">
        <v>859</v>
      </c>
      <c r="E60" s="71" t="s">
        <v>272</v>
      </c>
      <c r="F60" s="73" t="s">
        <v>16217</v>
      </c>
      <c r="G60" s="73" t="s">
        <v>16218</v>
      </c>
      <c r="H60" s="73" t="s">
        <v>16219</v>
      </c>
      <c r="I60" s="73" t="s">
        <v>16220</v>
      </c>
      <c r="J60" s="73"/>
      <c r="K60" s="73"/>
      <c r="L60" s="73"/>
      <c r="M60" s="73"/>
      <c r="N60" s="74"/>
      <c r="O60" s="74"/>
      <c r="P60" s="74"/>
      <c r="Q60" s="74"/>
      <c r="R60" s="75"/>
      <c r="S60" s="71" t="s">
        <v>25</v>
      </c>
      <c r="T60" s="71" t="s">
        <v>15</v>
      </c>
      <c r="U60" s="71">
        <v>10.0</v>
      </c>
      <c r="V60" s="74">
        <f>COUNTIFS(
  Interns!AA:AA, "*" &amp; B60 &amp; "*",
  Interns!AC:AC, "*" &amp; S60 &amp; "*",
  Interns!AE:AE, "*" &amp; T60 &amp; "*"
)</f>
        <v>10</v>
      </c>
      <c r="W60" s="74">
        <f t="shared" si="5"/>
        <v>0</v>
      </c>
      <c r="X60" s="74"/>
      <c r="Y60" s="74"/>
      <c r="Z60" s="74"/>
      <c r="AA60" s="74"/>
      <c r="AB60" s="74"/>
      <c r="AC60" s="74"/>
      <c r="AD60" s="74"/>
      <c r="AE60" s="74"/>
      <c r="AF60" s="74"/>
      <c r="AG60" s="74"/>
      <c r="AH60" s="74"/>
      <c r="AI60" s="74"/>
      <c r="AJ60" s="74"/>
      <c r="AK60" s="74"/>
    </row>
    <row r="61">
      <c r="A61" s="71" t="s">
        <v>16114</v>
      </c>
      <c r="B61" s="71" t="s">
        <v>704</v>
      </c>
      <c r="C61" s="71" t="s">
        <v>16115</v>
      </c>
      <c r="D61" s="71" t="s">
        <v>271</v>
      </c>
      <c r="E61" s="71" t="s">
        <v>272</v>
      </c>
      <c r="F61" s="73" t="s">
        <v>16116</v>
      </c>
      <c r="G61" s="73" t="s">
        <v>16117</v>
      </c>
      <c r="H61" s="73" t="s">
        <v>16118</v>
      </c>
      <c r="I61" s="73" t="s">
        <v>16119</v>
      </c>
      <c r="J61" s="73" t="s">
        <v>16116</v>
      </c>
      <c r="K61" s="73" t="s">
        <v>16117</v>
      </c>
      <c r="L61" s="73" t="s">
        <v>16118</v>
      </c>
      <c r="M61" s="73" t="s">
        <v>16119</v>
      </c>
      <c r="N61" s="73"/>
      <c r="O61" s="73"/>
      <c r="P61" s="73"/>
      <c r="Q61" s="73"/>
      <c r="R61" s="75"/>
      <c r="S61" s="71" t="s">
        <v>25</v>
      </c>
      <c r="T61" s="71" t="s">
        <v>15</v>
      </c>
      <c r="U61" s="71">
        <v>18.0</v>
      </c>
      <c r="V61" s="74">
        <f>COUNTIFS(
  Interns!AA:AA, "*" &amp; B61 &amp; "*",
  Interns!AC:AC, "*" &amp; S61 &amp; "*",
  Interns!AE:AE, "*" &amp; T61 &amp; "*"
)</f>
        <v>19</v>
      </c>
      <c r="W61" s="74">
        <f t="shared" si="5"/>
        <v>-1</v>
      </c>
      <c r="X61" s="74"/>
      <c r="Y61" s="74"/>
      <c r="Z61" s="74"/>
      <c r="AA61" s="74"/>
      <c r="AB61" s="74"/>
      <c r="AC61" s="74"/>
      <c r="AD61" s="74"/>
      <c r="AE61" s="74"/>
      <c r="AF61" s="74"/>
      <c r="AG61" s="74"/>
      <c r="AH61" s="74"/>
      <c r="AI61" s="74"/>
      <c r="AJ61" s="74"/>
      <c r="AK61" s="74"/>
    </row>
    <row r="62">
      <c r="A62" s="71" t="s">
        <v>16141</v>
      </c>
      <c r="B62" s="71" t="s">
        <v>421</v>
      </c>
      <c r="C62" s="71" t="s">
        <v>16142</v>
      </c>
      <c r="D62" s="71" t="s">
        <v>1173</v>
      </c>
      <c r="E62" s="71" t="s">
        <v>272</v>
      </c>
      <c r="F62" s="73" t="s">
        <v>16143</v>
      </c>
      <c r="G62" s="73" t="s">
        <v>11776</v>
      </c>
      <c r="H62" s="73" t="s">
        <v>16144</v>
      </c>
      <c r="I62" s="73" t="s">
        <v>16145</v>
      </c>
      <c r="J62" s="73"/>
      <c r="K62" s="73"/>
      <c r="L62" s="73"/>
      <c r="M62" s="74"/>
      <c r="N62" s="74"/>
      <c r="O62" s="74"/>
      <c r="P62" s="74"/>
      <c r="Q62" s="74"/>
      <c r="R62" s="75"/>
      <c r="S62" s="71" t="s">
        <v>25</v>
      </c>
      <c r="T62" s="71" t="s">
        <v>15</v>
      </c>
      <c r="U62" s="71">
        <v>12.0</v>
      </c>
      <c r="V62" s="74">
        <f>COUNTIFS(
  Interns!AA:AA, "*" &amp; B62 &amp; "*",
  Interns!AC:AC, "*" &amp; S62 &amp; "*",
  Interns!AE:AE, "*" &amp; T62 &amp; "*"
)</f>
        <v>12</v>
      </c>
      <c r="W62" s="74">
        <f t="shared" si="5"/>
        <v>0</v>
      </c>
      <c r="X62" s="74"/>
      <c r="Y62" s="74"/>
      <c r="Z62" s="74"/>
      <c r="AA62" s="74"/>
      <c r="AB62" s="74"/>
      <c r="AC62" s="74"/>
      <c r="AD62" s="74"/>
      <c r="AE62" s="74"/>
      <c r="AF62" s="74"/>
      <c r="AG62" s="74"/>
      <c r="AH62" s="74"/>
      <c r="AI62" s="74"/>
      <c r="AJ62" s="74"/>
      <c r="AK62" s="74"/>
    </row>
    <row r="63">
      <c r="A63" s="71" t="s">
        <v>16160</v>
      </c>
      <c r="B63" s="71" t="s">
        <v>1085</v>
      </c>
      <c r="C63" s="71" t="s">
        <v>16161</v>
      </c>
      <c r="D63" s="71" t="s">
        <v>271</v>
      </c>
      <c r="E63" s="71" t="s">
        <v>272</v>
      </c>
      <c r="F63" s="73" t="s">
        <v>16162</v>
      </c>
      <c r="G63" s="73" t="s">
        <v>16163</v>
      </c>
      <c r="H63" s="73" t="s">
        <v>16164</v>
      </c>
      <c r="I63" s="73" t="s">
        <v>16165</v>
      </c>
      <c r="J63" s="73" t="s">
        <v>16357</v>
      </c>
      <c r="K63" s="76" t="s">
        <v>11776</v>
      </c>
      <c r="L63" s="73" t="s">
        <v>16358</v>
      </c>
      <c r="M63" s="73" t="s">
        <v>16359</v>
      </c>
      <c r="N63" s="74"/>
      <c r="O63" s="74"/>
      <c r="P63" s="74"/>
      <c r="Q63" s="74"/>
      <c r="R63" s="75"/>
      <c r="S63" s="71" t="s">
        <v>25</v>
      </c>
      <c r="T63" s="71" t="s">
        <v>15</v>
      </c>
      <c r="U63" s="71">
        <v>53.0</v>
      </c>
      <c r="V63" s="74">
        <f>COUNTIFS(
  Interns!AA:AA, "*" &amp; B63 &amp; "*",
  Interns!AC:AC, "*" &amp; S63 &amp; "*",
  Interns!AE:AE, "*" &amp; T63 &amp; "*"
)</f>
        <v>53</v>
      </c>
      <c r="W63" s="74">
        <f t="shared" si="5"/>
        <v>0</v>
      </c>
      <c r="X63" s="74"/>
      <c r="Y63" s="74"/>
      <c r="Z63" s="74"/>
      <c r="AA63" s="74"/>
      <c r="AB63" s="74"/>
      <c r="AC63" s="74"/>
      <c r="AD63" s="74"/>
      <c r="AE63" s="74"/>
      <c r="AF63" s="74"/>
      <c r="AG63" s="74"/>
      <c r="AH63" s="74"/>
      <c r="AI63" s="74"/>
      <c r="AJ63" s="74"/>
      <c r="AK63" s="74"/>
    </row>
    <row r="64">
      <c r="A64" s="71" t="s">
        <v>16106</v>
      </c>
      <c r="B64" s="71" t="s">
        <v>477</v>
      </c>
      <c r="C64" s="71" t="s">
        <v>16107</v>
      </c>
      <c r="D64" s="71" t="s">
        <v>859</v>
      </c>
      <c r="E64" s="71" t="s">
        <v>272</v>
      </c>
      <c r="F64" s="73" t="s">
        <v>16108</v>
      </c>
      <c r="G64" s="73" t="s">
        <v>16109</v>
      </c>
      <c r="H64" s="73" t="s">
        <v>16110</v>
      </c>
      <c r="I64" s="74"/>
      <c r="J64" s="71" t="s">
        <v>16111</v>
      </c>
      <c r="K64" s="73" t="s">
        <v>16112</v>
      </c>
      <c r="L64" s="73" t="s">
        <v>16113</v>
      </c>
      <c r="M64" s="73">
        <v>9.175025177E9</v>
      </c>
      <c r="N64" s="74"/>
      <c r="O64" s="74"/>
      <c r="P64" s="74"/>
      <c r="Q64" s="74"/>
      <c r="R64" s="75"/>
      <c r="S64" s="71" t="s">
        <v>25</v>
      </c>
      <c r="T64" s="71" t="s">
        <v>18</v>
      </c>
      <c r="U64" s="71">
        <v>25.0</v>
      </c>
      <c r="V64" s="74">
        <f>COUNTIFS(
  Interns!AA:AA, "*" &amp; B64 &amp; "*",
  Interns!AC:AC, "*" &amp; S64 &amp; "*",
  Interns!AE:AE, "*" &amp; T64 &amp; "*"
)</f>
        <v>25</v>
      </c>
      <c r="W64" s="74">
        <f t="shared" si="5"/>
        <v>0</v>
      </c>
      <c r="X64" s="74"/>
      <c r="Y64" s="74"/>
      <c r="Z64" s="74"/>
      <c r="AA64" s="74"/>
      <c r="AB64" s="74"/>
      <c r="AC64" s="74"/>
      <c r="AD64" s="74"/>
      <c r="AE64" s="74"/>
      <c r="AF64" s="74"/>
      <c r="AG64" s="74"/>
      <c r="AH64" s="74"/>
      <c r="AI64" s="74"/>
      <c r="AJ64" s="74"/>
      <c r="AK64" s="74"/>
    </row>
    <row r="65">
      <c r="A65" s="71" t="s">
        <v>16299</v>
      </c>
      <c r="B65" s="86" t="s">
        <v>7671</v>
      </c>
      <c r="C65" s="71" t="s">
        <v>16300</v>
      </c>
      <c r="D65" s="71" t="s">
        <v>271</v>
      </c>
      <c r="E65" s="71" t="s">
        <v>272</v>
      </c>
      <c r="F65" s="71" t="s">
        <v>16301</v>
      </c>
      <c r="G65" s="74"/>
      <c r="H65" s="73" t="s">
        <v>16302</v>
      </c>
      <c r="I65" s="73">
        <v>8.504502533E9</v>
      </c>
      <c r="J65" s="73" t="s">
        <v>16303</v>
      </c>
      <c r="K65" s="73" t="s">
        <v>16304</v>
      </c>
      <c r="L65" s="73" t="s">
        <v>16305</v>
      </c>
      <c r="M65" s="73" t="s">
        <v>16306</v>
      </c>
      <c r="N65" s="73" t="s">
        <v>16307</v>
      </c>
      <c r="O65" s="74"/>
      <c r="P65" s="74"/>
      <c r="Q65" s="73" t="s">
        <v>16308</v>
      </c>
      <c r="R65" s="75"/>
      <c r="S65" s="71" t="s">
        <v>25</v>
      </c>
      <c r="T65" s="71" t="s">
        <v>18</v>
      </c>
      <c r="U65" s="71"/>
      <c r="V65" s="74">
        <f>COUNTIFS(
  Interns!AA:AA, "*" &amp; B65 &amp; "*",
  Interns!AC:AC, "*" &amp; S65 &amp; "*",
  Interns!AE:AE, "*" &amp; T65 &amp; "*"
)</f>
        <v>1</v>
      </c>
      <c r="W65" s="74"/>
      <c r="X65" s="71"/>
      <c r="Y65" s="74"/>
      <c r="Z65" s="74"/>
      <c r="AA65" s="74"/>
      <c r="AB65" s="74"/>
      <c r="AC65" s="74"/>
      <c r="AD65" s="74"/>
      <c r="AE65" s="74"/>
      <c r="AF65" s="74"/>
      <c r="AG65" s="74"/>
      <c r="AH65" s="74"/>
      <c r="AI65" s="74"/>
      <c r="AJ65" s="74"/>
      <c r="AK65" s="74"/>
    </row>
    <row r="66">
      <c r="A66" s="71" t="s">
        <v>16309</v>
      </c>
      <c r="B66" s="87" t="s">
        <v>5436</v>
      </c>
      <c r="C66" s="71" t="s">
        <v>16310</v>
      </c>
      <c r="D66" s="71" t="s">
        <v>859</v>
      </c>
      <c r="E66" s="71" t="s">
        <v>272</v>
      </c>
      <c r="F66" s="73" t="s">
        <v>16311</v>
      </c>
      <c r="G66" s="73" t="s">
        <v>16222</v>
      </c>
      <c r="H66" s="73" t="s">
        <v>10877</v>
      </c>
      <c r="I66" s="73" t="s">
        <v>16312</v>
      </c>
      <c r="J66" s="73" t="s">
        <v>16313</v>
      </c>
      <c r="K66" s="73" t="s">
        <v>16314</v>
      </c>
      <c r="L66" s="73" t="s">
        <v>16305</v>
      </c>
      <c r="M66" s="73">
        <v>3.472086698E9</v>
      </c>
      <c r="N66" s="73" t="s">
        <v>16315</v>
      </c>
      <c r="O66" s="81"/>
      <c r="P66" s="81"/>
      <c r="Q66" s="74"/>
      <c r="R66" s="75"/>
      <c r="S66" s="71" t="s">
        <v>25</v>
      </c>
      <c r="T66" s="71" t="s">
        <v>18</v>
      </c>
      <c r="U66" s="74"/>
      <c r="V66" s="74">
        <f>COUNTIFS(
  Interns!AA:AA, "*" &amp; B66 &amp; "*",
  Interns!AC:AC, "*" &amp; S66 &amp; "*",
  Interns!AE:AE, "*" &amp; T66 &amp; "*"
)</f>
        <v>3</v>
      </c>
      <c r="W66" s="74"/>
      <c r="X66" s="74"/>
      <c r="Y66" s="74"/>
      <c r="Z66" s="74"/>
      <c r="AA66" s="74"/>
      <c r="AB66" s="74"/>
      <c r="AC66" s="74"/>
      <c r="AD66" s="74"/>
      <c r="AE66" s="74"/>
      <c r="AF66" s="74"/>
      <c r="AG66" s="74"/>
      <c r="AH66" s="74"/>
      <c r="AI66" s="74"/>
      <c r="AJ66" s="74"/>
      <c r="AK66" s="74"/>
    </row>
    <row r="67">
      <c r="A67" s="71" t="s">
        <v>16215</v>
      </c>
      <c r="B67" s="71" t="s">
        <v>2141</v>
      </c>
      <c r="C67" s="71" t="s">
        <v>16216</v>
      </c>
      <c r="D67" s="71" t="s">
        <v>859</v>
      </c>
      <c r="E67" s="71" t="s">
        <v>272</v>
      </c>
      <c r="F67" s="73" t="s">
        <v>16217</v>
      </c>
      <c r="G67" s="73" t="s">
        <v>16218</v>
      </c>
      <c r="H67" s="73" t="s">
        <v>16219</v>
      </c>
      <c r="I67" s="73" t="s">
        <v>16220</v>
      </c>
      <c r="J67" s="73"/>
      <c r="K67" s="73"/>
      <c r="L67" s="73"/>
      <c r="M67" s="73"/>
      <c r="N67" s="74"/>
      <c r="O67" s="74"/>
      <c r="P67" s="74"/>
      <c r="Q67" s="74"/>
      <c r="R67" s="75"/>
      <c r="S67" s="71" t="s">
        <v>25</v>
      </c>
      <c r="T67" s="71" t="s">
        <v>18</v>
      </c>
      <c r="U67" s="71">
        <v>11.0</v>
      </c>
      <c r="V67" s="74">
        <f>COUNTIFS(
  Interns!AA:AA, "*" &amp; B67 &amp; "*",
  Interns!AC:AC, "*" &amp; S67 &amp; "*",
  Interns!AE:AE, "*" &amp; T67 &amp; "*"
)</f>
        <v>11</v>
      </c>
      <c r="W67" s="74">
        <f t="shared" ref="W67:W74" si="6">U67-V67</f>
        <v>0</v>
      </c>
      <c r="X67" s="74"/>
      <c r="Y67" s="74"/>
      <c r="Z67" s="74"/>
      <c r="AA67" s="74"/>
      <c r="AB67" s="74"/>
      <c r="AC67" s="74"/>
      <c r="AD67" s="74"/>
      <c r="AE67" s="74"/>
      <c r="AF67" s="74"/>
      <c r="AG67" s="74"/>
      <c r="AH67" s="74"/>
      <c r="AI67" s="74"/>
      <c r="AJ67" s="74"/>
      <c r="AK67" s="74"/>
    </row>
    <row r="68">
      <c r="A68" s="71" t="s">
        <v>16114</v>
      </c>
      <c r="B68" s="71" t="s">
        <v>704</v>
      </c>
      <c r="C68" s="71" t="s">
        <v>16115</v>
      </c>
      <c r="D68" s="71" t="s">
        <v>271</v>
      </c>
      <c r="E68" s="71" t="s">
        <v>272</v>
      </c>
      <c r="F68" s="73" t="s">
        <v>16116</v>
      </c>
      <c r="G68" s="73" t="s">
        <v>16117</v>
      </c>
      <c r="H68" s="73" t="s">
        <v>16118</v>
      </c>
      <c r="I68" s="73" t="s">
        <v>16119</v>
      </c>
      <c r="J68" s="73" t="s">
        <v>16116</v>
      </c>
      <c r="K68" s="73" t="s">
        <v>16117</v>
      </c>
      <c r="L68" s="73" t="s">
        <v>16118</v>
      </c>
      <c r="M68" s="73" t="s">
        <v>16119</v>
      </c>
      <c r="N68" s="73"/>
      <c r="O68" s="73"/>
      <c r="P68" s="73"/>
      <c r="Q68" s="73"/>
      <c r="R68" s="75"/>
      <c r="S68" s="71" t="s">
        <v>25</v>
      </c>
      <c r="T68" s="71" t="s">
        <v>18</v>
      </c>
      <c r="U68" s="71">
        <v>16.0</v>
      </c>
      <c r="V68" s="74">
        <f>COUNTIFS(
  Interns!AA:AA, "*" &amp; B68 &amp; "*",
  Interns!AC:AC, "*" &amp; S68 &amp; "*",
  Interns!AE:AE, "*" &amp; T68 &amp; "*"
)</f>
        <v>16</v>
      </c>
      <c r="W68" s="74">
        <f t="shared" si="6"/>
        <v>0</v>
      </c>
      <c r="X68" s="74"/>
      <c r="Y68" s="74"/>
      <c r="Z68" s="74"/>
      <c r="AA68" s="74"/>
      <c r="AB68" s="74"/>
      <c r="AC68" s="74"/>
      <c r="AD68" s="74"/>
      <c r="AE68" s="74"/>
      <c r="AF68" s="74"/>
      <c r="AG68" s="74"/>
      <c r="AH68" s="74"/>
      <c r="AI68" s="74"/>
      <c r="AJ68" s="74"/>
      <c r="AK68" s="74"/>
    </row>
    <row r="69">
      <c r="A69" s="71"/>
      <c r="B69" s="71" t="s">
        <v>704</v>
      </c>
      <c r="C69" s="71"/>
      <c r="D69" s="71"/>
      <c r="E69" s="71"/>
      <c r="F69" s="73"/>
      <c r="G69" s="73"/>
      <c r="H69" s="73"/>
      <c r="I69" s="73"/>
      <c r="J69" s="73"/>
      <c r="K69" s="73"/>
      <c r="L69" s="73"/>
      <c r="M69" s="73"/>
      <c r="N69" s="73"/>
      <c r="O69" s="73"/>
      <c r="P69" s="73"/>
      <c r="Q69" s="73"/>
      <c r="R69" s="75"/>
      <c r="S69" s="71" t="s">
        <v>25</v>
      </c>
      <c r="T69" s="71" t="s">
        <v>19</v>
      </c>
      <c r="U69" s="71">
        <v>10.0</v>
      </c>
      <c r="V69" s="74">
        <f>COUNTIFS(
  Interns!AA:AA, "*" &amp; B69 &amp; "*",
  Interns!AC:AC, "*" &amp; S69 &amp; "*",
  Interns!AE:AE, "*" &amp; T69 &amp; "*"
)</f>
        <v>10</v>
      </c>
      <c r="W69" s="74">
        <f t="shared" si="6"/>
        <v>0</v>
      </c>
      <c r="X69" s="74"/>
      <c r="Y69" s="74"/>
      <c r="Z69" s="74"/>
      <c r="AA69" s="74"/>
      <c r="AB69" s="74"/>
      <c r="AC69" s="74"/>
      <c r="AD69" s="74"/>
      <c r="AE69" s="74"/>
      <c r="AF69" s="74"/>
      <c r="AG69" s="74"/>
      <c r="AH69" s="74"/>
      <c r="AI69" s="74"/>
      <c r="AJ69" s="74"/>
      <c r="AK69" s="74"/>
    </row>
    <row r="70">
      <c r="A70" s="71" t="s">
        <v>16360</v>
      </c>
      <c r="B70" s="71" t="s">
        <v>5639</v>
      </c>
      <c r="C70" s="74"/>
      <c r="D70" s="71" t="s">
        <v>271</v>
      </c>
      <c r="E70" s="71" t="s">
        <v>272</v>
      </c>
      <c r="F70" s="71" t="s">
        <v>16361</v>
      </c>
      <c r="G70" s="71" t="s">
        <v>16362</v>
      </c>
      <c r="H70" s="71" t="s">
        <v>16363</v>
      </c>
      <c r="I70" s="74"/>
      <c r="J70" s="71" t="s">
        <v>16364</v>
      </c>
      <c r="L70" s="1" t="s">
        <v>16365</v>
      </c>
      <c r="M70" s="71">
        <v>7.185816602E9</v>
      </c>
      <c r="N70" s="71" t="s">
        <v>16366</v>
      </c>
      <c r="O70" s="71" t="s">
        <v>16367</v>
      </c>
      <c r="P70" s="74"/>
      <c r="Q70" s="74"/>
      <c r="R70" s="75"/>
      <c r="S70" s="71" t="s">
        <v>27</v>
      </c>
      <c r="T70" s="82" t="s">
        <v>18</v>
      </c>
      <c r="U70" s="71">
        <v>23.0</v>
      </c>
      <c r="V70" s="74">
        <f>COUNTIFS(
  Interns!AA:AA, "*" &amp; B70 &amp; "*",
  Interns!AC:AC, "*" &amp; S70 &amp; "*",
  Interns!AE:AE, "*" &amp; T70 &amp; "*"
)</f>
        <v>21</v>
      </c>
      <c r="W70" s="74">
        <f t="shared" si="6"/>
        <v>2</v>
      </c>
      <c r="X70" s="74"/>
      <c r="Y70" s="74"/>
      <c r="Z70" s="74"/>
      <c r="AA70" s="74"/>
      <c r="AB70" s="74"/>
      <c r="AC70" s="74"/>
      <c r="AD70" s="74"/>
      <c r="AE70" s="74"/>
      <c r="AF70" s="74"/>
      <c r="AG70" s="74"/>
      <c r="AH70" s="74"/>
      <c r="AI70" s="74"/>
      <c r="AJ70" s="74"/>
      <c r="AK70" s="74"/>
    </row>
    <row r="71">
      <c r="A71" s="71" t="s">
        <v>16114</v>
      </c>
      <c r="B71" s="71" t="s">
        <v>704</v>
      </c>
      <c r="C71" s="71" t="s">
        <v>16115</v>
      </c>
      <c r="D71" s="71" t="s">
        <v>271</v>
      </c>
      <c r="E71" s="71" t="s">
        <v>272</v>
      </c>
      <c r="F71" s="73" t="s">
        <v>16116</v>
      </c>
      <c r="G71" s="73" t="s">
        <v>16117</v>
      </c>
      <c r="H71" s="73" t="s">
        <v>16118</v>
      </c>
      <c r="I71" s="73" t="s">
        <v>16119</v>
      </c>
      <c r="J71" s="73" t="s">
        <v>16116</v>
      </c>
      <c r="K71" s="73" t="s">
        <v>16117</v>
      </c>
      <c r="L71" s="73" t="s">
        <v>16118</v>
      </c>
      <c r="M71" s="73" t="s">
        <v>16119</v>
      </c>
      <c r="N71" s="74"/>
      <c r="O71" s="74"/>
      <c r="P71" s="74"/>
      <c r="Q71" s="74"/>
      <c r="R71" s="75"/>
      <c r="S71" s="71" t="s">
        <v>27</v>
      </c>
      <c r="T71" s="71" t="s">
        <v>18</v>
      </c>
      <c r="U71" s="71">
        <v>20.0</v>
      </c>
      <c r="V71" s="74">
        <f>COUNTIFS(
  Interns!AA:AA, "*" &amp; B71 &amp; "*",
  Interns!AC:AC, "*" &amp; S71 &amp; "*",
  Interns!AE:AE, "*" &amp; T71 &amp; "*"
)</f>
        <v>20</v>
      </c>
      <c r="W71" s="74">
        <f t="shared" si="6"/>
        <v>0</v>
      </c>
      <c r="X71" s="74"/>
      <c r="Y71" s="74"/>
      <c r="Z71" s="74"/>
      <c r="AA71" s="74"/>
      <c r="AB71" s="74"/>
      <c r="AC71" s="74"/>
      <c r="AD71" s="74"/>
      <c r="AE71" s="74"/>
      <c r="AF71" s="74"/>
      <c r="AG71" s="74"/>
      <c r="AH71" s="74"/>
      <c r="AI71" s="74"/>
      <c r="AJ71" s="74"/>
      <c r="AK71" s="74"/>
    </row>
    <row r="72">
      <c r="A72" s="71" t="s">
        <v>16123</v>
      </c>
      <c r="B72" s="71" t="s">
        <v>5287</v>
      </c>
      <c r="C72" s="71" t="s">
        <v>16124</v>
      </c>
      <c r="D72" s="72" t="s">
        <v>1173</v>
      </c>
      <c r="E72" s="72" t="s">
        <v>272</v>
      </c>
      <c r="F72" s="73" t="s">
        <v>16125</v>
      </c>
      <c r="G72" s="73" t="s">
        <v>16112</v>
      </c>
      <c r="H72" s="73" t="s">
        <v>16126</v>
      </c>
      <c r="I72" s="73" t="s">
        <v>16127</v>
      </c>
      <c r="J72" s="73" t="s">
        <v>16368</v>
      </c>
      <c r="K72" s="73" t="s">
        <v>16369</v>
      </c>
      <c r="L72" s="73" t="s">
        <v>16370</v>
      </c>
      <c r="M72" s="73">
        <v>9.17335217E9</v>
      </c>
      <c r="N72" s="73" t="s">
        <v>16125</v>
      </c>
      <c r="O72" s="73" t="s">
        <v>16112</v>
      </c>
      <c r="P72" s="73" t="s">
        <v>16126</v>
      </c>
      <c r="Q72" s="73" t="s">
        <v>16127</v>
      </c>
      <c r="R72" s="75"/>
      <c r="S72" s="82" t="s">
        <v>27</v>
      </c>
      <c r="T72" s="82" t="s">
        <v>18</v>
      </c>
      <c r="U72" s="71">
        <v>34.0</v>
      </c>
      <c r="V72" s="74">
        <f>COUNTIFS(
  Interns!AA:AA, "*" &amp; B72 &amp; "*",
  Interns!AC:AC, "*" &amp; S72 &amp; "*",
  Interns!AE:AE, "*" &amp; T72 &amp; "*"
)</f>
        <v>33</v>
      </c>
      <c r="W72" s="74">
        <f t="shared" si="6"/>
        <v>1</v>
      </c>
      <c r="X72" s="74"/>
      <c r="Y72" s="74"/>
      <c r="Z72" s="74"/>
      <c r="AA72" s="74"/>
      <c r="AB72" s="74"/>
      <c r="AC72" s="74"/>
      <c r="AD72" s="74"/>
      <c r="AE72" s="74"/>
      <c r="AF72" s="74"/>
      <c r="AG72" s="74"/>
      <c r="AH72" s="74"/>
      <c r="AI72" s="74"/>
      <c r="AJ72" s="74"/>
      <c r="AK72" s="74"/>
    </row>
    <row r="73">
      <c r="A73" s="71" t="s">
        <v>16371</v>
      </c>
      <c r="B73" s="71" t="s">
        <v>6863</v>
      </c>
      <c r="C73" s="71" t="s">
        <v>16372</v>
      </c>
      <c r="D73" s="71" t="s">
        <v>271</v>
      </c>
      <c r="E73" s="71" t="s">
        <v>272</v>
      </c>
      <c r="F73" s="71" t="s">
        <v>16373</v>
      </c>
      <c r="G73" s="71" t="s">
        <v>16147</v>
      </c>
      <c r="H73" s="71" t="s">
        <v>16374</v>
      </c>
      <c r="I73" s="71" t="s">
        <v>16375</v>
      </c>
      <c r="J73" s="71" t="s">
        <v>16376</v>
      </c>
      <c r="K73" s="71" t="s">
        <v>16377</v>
      </c>
      <c r="L73" s="71" t="s">
        <v>16378</v>
      </c>
      <c r="M73" s="71" t="s">
        <v>16379</v>
      </c>
      <c r="N73" s="71" t="s">
        <v>16376</v>
      </c>
      <c r="O73" s="71" t="s">
        <v>16377</v>
      </c>
      <c r="P73" s="71" t="s">
        <v>16380</v>
      </c>
      <c r="Q73" s="71" t="s">
        <v>16381</v>
      </c>
      <c r="R73" s="75"/>
      <c r="S73" s="82" t="s">
        <v>27</v>
      </c>
      <c r="T73" s="82" t="s">
        <v>18</v>
      </c>
      <c r="U73" s="71">
        <v>22.0</v>
      </c>
      <c r="V73" s="74">
        <f>COUNTIFS(
  Interns!AA:AA, "*" &amp; B73 &amp; "*",
  Interns!AC:AC, "*" &amp; S73 &amp; "*",
  Interns!AE:AE, "*" &amp; T73 &amp; "*"
)</f>
        <v>20</v>
      </c>
      <c r="W73" s="74">
        <f t="shared" si="6"/>
        <v>2</v>
      </c>
      <c r="X73" s="74"/>
      <c r="Y73" s="74"/>
      <c r="Z73" s="74"/>
      <c r="AA73" s="74"/>
      <c r="AB73" s="74"/>
      <c r="AC73" s="74"/>
      <c r="AD73" s="74"/>
      <c r="AE73" s="74"/>
      <c r="AF73" s="74"/>
      <c r="AG73" s="74"/>
      <c r="AH73" s="74"/>
      <c r="AI73" s="74"/>
      <c r="AJ73" s="74"/>
      <c r="AK73" s="74"/>
    </row>
    <row r="74">
      <c r="A74" s="72" t="s">
        <v>16123</v>
      </c>
      <c r="B74" s="71" t="s">
        <v>5287</v>
      </c>
      <c r="C74" s="72" t="s">
        <v>16124</v>
      </c>
      <c r="D74" s="72" t="s">
        <v>1173</v>
      </c>
      <c r="E74" s="72" t="s">
        <v>272</v>
      </c>
      <c r="F74" s="77" t="s">
        <v>16125</v>
      </c>
      <c r="G74" s="77" t="s">
        <v>16112</v>
      </c>
      <c r="H74" s="77" t="s">
        <v>16126</v>
      </c>
      <c r="I74" s="77" t="s">
        <v>16127</v>
      </c>
      <c r="J74" s="73"/>
      <c r="K74" s="76"/>
      <c r="L74" s="73"/>
      <c r="M74" s="73"/>
      <c r="N74" s="77"/>
      <c r="O74" s="77"/>
      <c r="P74" s="77"/>
      <c r="Q74" s="77"/>
      <c r="R74" s="78"/>
      <c r="S74" s="80" t="s">
        <v>27</v>
      </c>
      <c r="T74" s="80" t="s">
        <v>19</v>
      </c>
      <c r="U74" s="72"/>
      <c r="V74" s="74">
        <f>COUNTIFS(
  Interns!AA:AA, "*" &amp; B74 &amp; "*",
  Interns!AC:AC, "*" &amp; S74 &amp; "*",
  Interns!AE:AE, "*" &amp; T74 &amp; "*"
)</f>
        <v>23</v>
      </c>
      <c r="W74" s="74">
        <f t="shared" si="6"/>
        <v>-23</v>
      </c>
      <c r="X74" s="72"/>
      <c r="Y74" s="72"/>
      <c r="Z74" s="72"/>
      <c r="AA74" s="72"/>
      <c r="AB74" s="72"/>
      <c r="AC74" s="72"/>
      <c r="AD74" s="72"/>
      <c r="AE74" s="72"/>
      <c r="AF74" s="72"/>
      <c r="AG74" s="72"/>
      <c r="AH74" s="72"/>
      <c r="AI74" s="72"/>
      <c r="AJ74" s="72"/>
      <c r="AK74" s="72"/>
    </row>
    <row r="75">
      <c r="A75" s="71" t="s">
        <v>16371</v>
      </c>
      <c r="B75" s="71" t="s">
        <v>6863</v>
      </c>
      <c r="C75" s="71" t="s">
        <v>16372</v>
      </c>
      <c r="D75" s="71" t="s">
        <v>271</v>
      </c>
      <c r="E75" s="71" t="s">
        <v>272</v>
      </c>
      <c r="F75" s="71" t="s">
        <v>16373</v>
      </c>
      <c r="G75" s="71" t="s">
        <v>16147</v>
      </c>
      <c r="H75" s="71" t="s">
        <v>16374</v>
      </c>
      <c r="I75" s="71" t="s">
        <v>16375</v>
      </c>
      <c r="J75" s="71" t="s">
        <v>16376</v>
      </c>
      <c r="K75" s="71" t="s">
        <v>16377</v>
      </c>
      <c r="L75" s="71" t="s">
        <v>16378</v>
      </c>
      <c r="M75" s="71" t="s">
        <v>16379</v>
      </c>
      <c r="N75" s="71" t="s">
        <v>16376</v>
      </c>
      <c r="O75" s="71" t="s">
        <v>16377</v>
      </c>
      <c r="P75" s="71" t="s">
        <v>16380</v>
      </c>
      <c r="Q75" s="71" t="s">
        <v>16381</v>
      </c>
      <c r="R75" s="75"/>
      <c r="S75" s="82" t="s">
        <v>27</v>
      </c>
      <c r="T75" s="82" t="s">
        <v>19</v>
      </c>
      <c r="U75" s="74"/>
      <c r="V75" s="74">
        <f>COUNTIFS(
  Interns!AA:AA, "*" &amp; B75 &amp; "*",
  Interns!AC:AC, "*" &amp; S75 &amp; "*",
  Interns!AE:AE, "*" &amp; T75 &amp; "*"
)</f>
        <v>12</v>
      </c>
      <c r="W75" s="74"/>
      <c r="X75" s="74"/>
      <c r="Y75" s="74"/>
      <c r="Z75" s="74"/>
      <c r="AA75" s="74"/>
      <c r="AB75" s="74"/>
      <c r="AC75" s="74"/>
      <c r="AD75" s="74"/>
      <c r="AE75" s="74"/>
      <c r="AF75" s="74"/>
      <c r="AG75" s="74"/>
      <c r="AH75" s="74"/>
      <c r="AI75" s="74"/>
      <c r="AJ75" s="74"/>
      <c r="AK75" s="74"/>
    </row>
    <row r="76">
      <c r="A76" s="71" t="s">
        <v>16382</v>
      </c>
      <c r="B76" s="71" t="s">
        <v>16383</v>
      </c>
      <c r="C76" s="71" t="s">
        <v>16384</v>
      </c>
      <c r="D76" s="71" t="s">
        <v>859</v>
      </c>
      <c r="E76" s="71" t="s">
        <v>272</v>
      </c>
      <c r="F76" s="73" t="s">
        <v>16385</v>
      </c>
      <c r="G76" s="73" t="s">
        <v>16386</v>
      </c>
      <c r="H76" s="73" t="s">
        <v>16387</v>
      </c>
      <c r="I76" s="73">
        <v>9.144472287E9</v>
      </c>
      <c r="J76" s="73" t="s">
        <v>16388</v>
      </c>
      <c r="K76" s="73" t="s">
        <v>16112</v>
      </c>
      <c r="L76" s="73" t="s">
        <v>16389</v>
      </c>
      <c r="M76" s="81"/>
      <c r="N76" s="73" t="s">
        <v>16390</v>
      </c>
      <c r="O76" s="73" t="s">
        <v>16391</v>
      </c>
      <c r="P76" s="73" t="s">
        <v>16392</v>
      </c>
      <c r="Q76" s="73" t="s">
        <v>16393</v>
      </c>
      <c r="R76" s="75"/>
      <c r="S76" s="71" t="s">
        <v>16394</v>
      </c>
      <c r="T76" s="71" t="s">
        <v>10</v>
      </c>
      <c r="U76" s="74"/>
      <c r="V76" s="74">
        <f>COUNTIFS(
  Interns!AA:AA, "*" &amp; B76 &amp; "*",
  Interns!AC:AC, "*" &amp; S76 &amp; "*",
  Interns!AE:AE, "*" &amp; T76 &amp; "*"
)</f>
        <v>0</v>
      </c>
      <c r="W76" s="74"/>
      <c r="X76" s="74"/>
      <c r="Y76" s="74"/>
      <c r="Z76" s="74"/>
      <c r="AA76" s="74"/>
      <c r="AB76" s="74"/>
      <c r="AC76" s="74"/>
      <c r="AD76" s="74"/>
      <c r="AE76" s="74"/>
      <c r="AF76" s="74"/>
      <c r="AG76" s="74"/>
      <c r="AH76" s="74"/>
      <c r="AI76" s="74"/>
      <c r="AJ76" s="74"/>
      <c r="AK76" s="74"/>
    </row>
    <row r="77">
      <c r="A77" s="71" t="s">
        <v>16098</v>
      </c>
      <c r="B77" s="71" t="s">
        <v>5404</v>
      </c>
      <c r="C77" s="71" t="s">
        <v>16099</v>
      </c>
      <c r="D77" s="72" t="s">
        <v>1173</v>
      </c>
      <c r="E77" s="72" t="s">
        <v>272</v>
      </c>
      <c r="F77" s="73" t="s">
        <v>16100</v>
      </c>
      <c r="G77" s="73" t="s">
        <v>16101</v>
      </c>
      <c r="H77" s="73" t="s">
        <v>16102</v>
      </c>
      <c r="I77" s="73">
        <v>7.188696935E9</v>
      </c>
      <c r="J77" s="73" t="s">
        <v>16233</v>
      </c>
      <c r="K77" s="73" t="s">
        <v>16101</v>
      </c>
      <c r="L77" s="73" t="s">
        <v>16102</v>
      </c>
      <c r="M77" s="73"/>
      <c r="N77" s="74"/>
      <c r="O77" s="74"/>
      <c r="P77" s="74"/>
      <c r="Q77" s="74"/>
      <c r="R77" s="84" t="s">
        <v>16395</v>
      </c>
      <c r="S77" s="71" t="s">
        <v>28</v>
      </c>
      <c r="T77" s="71" t="s">
        <v>8</v>
      </c>
      <c r="U77" s="74"/>
      <c r="V77" s="74">
        <f>COUNTIFS(
  Interns!AA:AA, "*" &amp; B77 &amp; "*",
  Interns!AC:AC, "*" &amp; S77 &amp; "*",
  Interns!AE:AE, "*" &amp; T77 &amp; "*"
)</f>
        <v>0</v>
      </c>
      <c r="W77" s="74"/>
      <c r="X77" s="74"/>
      <c r="Y77" s="74"/>
      <c r="Z77" s="74"/>
      <c r="AA77" s="74"/>
      <c r="AB77" s="74"/>
      <c r="AC77" s="74"/>
      <c r="AD77" s="74"/>
      <c r="AE77" s="74"/>
      <c r="AF77" s="74"/>
      <c r="AG77" s="74"/>
      <c r="AH77" s="74"/>
      <c r="AI77" s="74"/>
      <c r="AJ77" s="74"/>
      <c r="AK77" s="74"/>
    </row>
    <row r="78">
      <c r="A78" s="71" t="s">
        <v>16199</v>
      </c>
      <c r="B78" s="71" t="s">
        <v>362</v>
      </c>
      <c r="C78" s="71" t="s">
        <v>16200</v>
      </c>
      <c r="D78" s="71" t="s">
        <v>859</v>
      </c>
      <c r="E78" s="71" t="s">
        <v>272</v>
      </c>
      <c r="F78" s="73" t="s">
        <v>16201</v>
      </c>
      <c r="G78" s="73" t="s">
        <v>16202</v>
      </c>
      <c r="H78" s="73" t="s">
        <v>16203</v>
      </c>
      <c r="I78" s="74"/>
      <c r="J78" s="73" t="s">
        <v>16396</v>
      </c>
      <c r="K78" s="73" t="s">
        <v>16397</v>
      </c>
      <c r="L78" s="73" t="s">
        <v>16398</v>
      </c>
      <c r="M78" s="73" t="s">
        <v>16268</v>
      </c>
      <c r="N78" s="74"/>
      <c r="O78" s="74"/>
      <c r="P78" s="74"/>
      <c r="Q78" s="74"/>
      <c r="R78" s="75"/>
      <c r="S78" s="71" t="s">
        <v>28</v>
      </c>
      <c r="T78" s="71" t="s">
        <v>8</v>
      </c>
      <c r="U78" s="74"/>
      <c r="V78" s="74">
        <f>COUNTIFS(
  Interns!AA:AA, "*" &amp; B78 &amp; "*",
  Interns!AC:AC, "*" &amp; S78 &amp; "*",
  Interns!AE:AE, "*" &amp; T78 &amp; "*"
)</f>
        <v>1</v>
      </c>
      <c r="W78" s="74"/>
      <c r="X78" s="74"/>
      <c r="Y78" s="74"/>
      <c r="Z78" s="74"/>
      <c r="AA78" s="74"/>
      <c r="AB78" s="74"/>
      <c r="AC78" s="74"/>
      <c r="AD78" s="74"/>
      <c r="AE78" s="74"/>
      <c r="AF78" s="74"/>
      <c r="AG78" s="74"/>
      <c r="AH78" s="74"/>
      <c r="AI78" s="74"/>
      <c r="AJ78" s="74"/>
      <c r="AK78" s="74"/>
    </row>
    <row r="79">
      <c r="A79" s="71" t="s">
        <v>16270</v>
      </c>
      <c r="B79" s="71" t="s">
        <v>2033</v>
      </c>
      <c r="C79" s="71" t="s">
        <v>16271</v>
      </c>
      <c r="D79" s="71" t="s">
        <v>294</v>
      </c>
      <c r="E79" s="71" t="s">
        <v>272</v>
      </c>
      <c r="F79" s="73" t="s">
        <v>16272</v>
      </c>
      <c r="G79" s="73" t="s">
        <v>16273</v>
      </c>
      <c r="H79" s="73" t="s">
        <v>16274</v>
      </c>
      <c r="I79" s="73" t="s">
        <v>16275</v>
      </c>
      <c r="J79" s="73" t="s">
        <v>16276</v>
      </c>
      <c r="K79" s="73"/>
      <c r="L79" s="73" t="s">
        <v>16277</v>
      </c>
      <c r="M79" s="74"/>
      <c r="N79" s="74"/>
      <c r="O79" s="74"/>
      <c r="P79" s="74"/>
      <c r="Q79" s="74"/>
      <c r="R79" s="75"/>
      <c r="S79" s="71" t="s">
        <v>28</v>
      </c>
      <c r="T79" s="71" t="s">
        <v>8</v>
      </c>
      <c r="U79" s="74"/>
      <c r="V79" s="74">
        <f>COUNTIFS(
  Interns!AA:AA, "*" &amp; B79 &amp; "*",
  Interns!AC:AC, "*" &amp; S79 &amp; "*",
  Interns!AE:AE, "*" &amp; T79 &amp; "*"
)</f>
        <v>0</v>
      </c>
      <c r="W79" s="74"/>
      <c r="X79" s="74"/>
      <c r="Y79" s="74"/>
      <c r="Z79" s="74"/>
      <c r="AA79" s="74"/>
      <c r="AB79" s="74"/>
      <c r="AC79" s="74"/>
      <c r="AD79" s="74"/>
      <c r="AE79" s="74"/>
      <c r="AF79" s="74"/>
      <c r="AG79" s="74"/>
      <c r="AH79" s="74"/>
      <c r="AI79" s="74"/>
      <c r="AJ79" s="74"/>
      <c r="AK79" s="74"/>
    </row>
    <row r="80">
      <c r="A80" s="71" t="s">
        <v>16207</v>
      </c>
      <c r="B80" s="71" t="s">
        <v>5559</v>
      </c>
      <c r="C80" s="71" t="s">
        <v>16208</v>
      </c>
      <c r="D80" s="71" t="s">
        <v>271</v>
      </c>
      <c r="E80" s="71" t="s">
        <v>272</v>
      </c>
      <c r="F80" s="73" t="s">
        <v>16209</v>
      </c>
      <c r="G80" s="73" t="s">
        <v>16210</v>
      </c>
      <c r="H80" s="73" t="s">
        <v>16211</v>
      </c>
      <c r="I80" s="74"/>
      <c r="J80" s="73" t="s">
        <v>16212</v>
      </c>
      <c r="K80" s="73" t="s">
        <v>11776</v>
      </c>
      <c r="L80" s="73" t="s">
        <v>16213</v>
      </c>
      <c r="M80" s="73" t="s">
        <v>16214</v>
      </c>
      <c r="N80" s="81"/>
      <c r="O80" s="81"/>
      <c r="P80" s="81"/>
      <c r="Q80" s="81"/>
      <c r="R80" s="75"/>
      <c r="S80" s="71" t="s">
        <v>28</v>
      </c>
      <c r="T80" s="71" t="s">
        <v>8</v>
      </c>
      <c r="U80" s="71">
        <v>15.0</v>
      </c>
      <c r="V80" s="74">
        <f>COUNTIFS(
  Interns!AA:AA, "*" &amp; B80 &amp; "*",
  Interns!AC:AC, "*" &amp; S80 &amp; "*",
  Interns!AE:AE, "*" &amp; T80 &amp; "*"
)</f>
        <v>0</v>
      </c>
      <c r="W80" s="74">
        <f>U80-V80</f>
        <v>15</v>
      </c>
      <c r="X80" s="74"/>
      <c r="Y80" s="74"/>
      <c r="Z80" s="74"/>
      <c r="AA80" s="74"/>
      <c r="AB80" s="74"/>
      <c r="AC80" s="74"/>
      <c r="AD80" s="74"/>
      <c r="AE80" s="74"/>
      <c r="AF80" s="74"/>
      <c r="AG80" s="74"/>
      <c r="AH80" s="74"/>
      <c r="AI80" s="74"/>
      <c r="AJ80" s="74"/>
      <c r="AK80" s="74"/>
    </row>
    <row r="81">
      <c r="A81" s="71" t="s">
        <v>16199</v>
      </c>
      <c r="B81" s="71" t="s">
        <v>362</v>
      </c>
      <c r="C81" s="71" t="s">
        <v>16200</v>
      </c>
      <c r="D81" s="71" t="s">
        <v>859</v>
      </c>
      <c r="E81" s="71" t="s">
        <v>272</v>
      </c>
      <c r="F81" s="73" t="s">
        <v>16201</v>
      </c>
      <c r="G81" s="73" t="s">
        <v>16202</v>
      </c>
      <c r="H81" s="73" t="s">
        <v>16203</v>
      </c>
      <c r="I81" s="74"/>
      <c r="J81" s="73" t="s">
        <v>16396</v>
      </c>
      <c r="K81" s="73" t="s">
        <v>16397</v>
      </c>
      <c r="L81" s="73" t="s">
        <v>16398</v>
      </c>
      <c r="M81" s="73" t="s">
        <v>16268</v>
      </c>
      <c r="N81" s="74"/>
      <c r="O81" s="74"/>
      <c r="P81" s="74"/>
      <c r="Q81" s="74"/>
      <c r="R81" s="75"/>
      <c r="S81" s="71" t="s">
        <v>28</v>
      </c>
      <c r="T81" s="71" t="s">
        <v>10</v>
      </c>
      <c r="U81" s="74"/>
      <c r="V81" s="74">
        <f>COUNTIFS(
  Interns!AA:AA, "*" &amp; B81 &amp; "*",
  Interns!AC:AC, "*" &amp; S81 &amp; "*",
  Interns!AE:AE, "*" &amp; T81 &amp; "*"
)</f>
        <v>0</v>
      </c>
      <c r="W81" s="74"/>
      <c r="X81" s="74"/>
      <c r="Y81" s="74"/>
      <c r="Z81" s="74"/>
      <c r="AA81" s="74"/>
      <c r="AB81" s="74"/>
      <c r="AC81" s="74"/>
      <c r="AD81" s="74"/>
      <c r="AE81" s="74"/>
      <c r="AF81" s="74"/>
      <c r="AG81" s="74"/>
      <c r="AH81" s="74"/>
      <c r="AI81" s="74"/>
      <c r="AJ81" s="74"/>
      <c r="AK81" s="74"/>
    </row>
    <row r="82">
      <c r="A82" s="71" t="s">
        <v>16106</v>
      </c>
      <c r="B82" s="71" t="s">
        <v>477</v>
      </c>
      <c r="C82" s="71" t="s">
        <v>16107</v>
      </c>
      <c r="D82" s="71" t="s">
        <v>859</v>
      </c>
      <c r="E82" s="71" t="s">
        <v>272</v>
      </c>
      <c r="F82" s="73" t="s">
        <v>16108</v>
      </c>
      <c r="G82" s="73" t="s">
        <v>16109</v>
      </c>
      <c r="H82" s="73" t="s">
        <v>16110</v>
      </c>
      <c r="I82" s="74"/>
      <c r="J82" s="71" t="s">
        <v>16111</v>
      </c>
      <c r="K82" s="73" t="s">
        <v>16112</v>
      </c>
      <c r="L82" s="73" t="s">
        <v>16113</v>
      </c>
      <c r="M82" s="73">
        <v>9.175025177E9</v>
      </c>
      <c r="N82" s="74"/>
      <c r="O82" s="74"/>
      <c r="P82" s="74"/>
      <c r="Q82" s="74"/>
      <c r="R82" s="75"/>
      <c r="S82" s="71" t="s">
        <v>28</v>
      </c>
      <c r="T82" s="71" t="s">
        <v>10</v>
      </c>
      <c r="U82" s="74"/>
      <c r="V82" s="74">
        <f>COUNTIFS(
  Interns!AA:AA, "*" &amp; B82 &amp; "*",
  Interns!AC:AC, "*" &amp; S82 &amp; "*",
  Interns!AE:AE, "*" &amp; T82 &amp; "*"
)</f>
        <v>0</v>
      </c>
      <c r="W82" s="74"/>
      <c r="X82" s="74"/>
      <c r="Y82" s="74"/>
      <c r="Z82" s="74"/>
      <c r="AA82" s="74"/>
      <c r="AB82" s="74"/>
      <c r="AC82" s="74"/>
      <c r="AD82" s="74"/>
      <c r="AE82" s="74"/>
      <c r="AF82" s="74"/>
      <c r="AG82" s="74"/>
      <c r="AH82" s="74"/>
      <c r="AI82" s="74"/>
      <c r="AJ82" s="74"/>
      <c r="AK82" s="74"/>
    </row>
    <row r="83">
      <c r="A83" s="71" t="s">
        <v>16270</v>
      </c>
      <c r="B83" s="71" t="s">
        <v>2033</v>
      </c>
      <c r="C83" s="71" t="s">
        <v>16271</v>
      </c>
      <c r="D83" s="71" t="s">
        <v>294</v>
      </c>
      <c r="E83" s="71" t="s">
        <v>272</v>
      </c>
      <c r="F83" s="73" t="s">
        <v>16272</v>
      </c>
      <c r="G83" s="73" t="s">
        <v>16273</v>
      </c>
      <c r="H83" s="73" t="s">
        <v>16274</v>
      </c>
      <c r="I83" s="73" t="s">
        <v>16275</v>
      </c>
      <c r="J83" s="73" t="s">
        <v>16276</v>
      </c>
      <c r="K83" s="73"/>
      <c r="L83" s="73" t="s">
        <v>16277</v>
      </c>
      <c r="M83" s="74"/>
      <c r="N83" s="74"/>
      <c r="O83" s="74"/>
      <c r="P83" s="74"/>
      <c r="Q83" s="74"/>
      <c r="R83" s="75"/>
      <c r="S83" s="71" t="s">
        <v>28</v>
      </c>
      <c r="T83" s="71" t="s">
        <v>10</v>
      </c>
      <c r="U83" s="74"/>
      <c r="V83" s="74">
        <f>COUNTIFS(
  Interns!AA:AA, "*" &amp; B83 &amp; "*",
  Interns!AC:AC, "*" &amp; S83 &amp; "*",
  Interns!AE:AE, "*" &amp; T83 &amp; "*"
)</f>
        <v>0</v>
      </c>
      <c r="W83" s="74"/>
      <c r="X83" s="74"/>
      <c r="Y83" s="74"/>
      <c r="Z83" s="74"/>
      <c r="AA83" s="74"/>
      <c r="AB83" s="74"/>
      <c r="AC83" s="74"/>
      <c r="AD83" s="74"/>
      <c r="AE83" s="74"/>
      <c r="AF83" s="74"/>
      <c r="AG83" s="74"/>
      <c r="AH83" s="74"/>
      <c r="AI83" s="74"/>
      <c r="AJ83" s="74"/>
      <c r="AK83" s="74"/>
    </row>
    <row r="84">
      <c r="A84" s="71" t="s">
        <v>16234</v>
      </c>
      <c r="B84" s="71" t="s">
        <v>619</v>
      </c>
      <c r="C84" s="71" t="s">
        <v>16235</v>
      </c>
      <c r="D84" s="71" t="s">
        <v>1173</v>
      </c>
      <c r="E84" s="71" t="s">
        <v>272</v>
      </c>
      <c r="F84" s="73" t="s">
        <v>16236</v>
      </c>
      <c r="G84" s="73" t="s">
        <v>16112</v>
      </c>
      <c r="H84" s="73" t="s">
        <v>16237</v>
      </c>
      <c r="I84" s="73" t="s">
        <v>16238</v>
      </c>
      <c r="J84" s="76" t="s">
        <v>16399</v>
      </c>
      <c r="K84" s="73" t="s">
        <v>16400</v>
      </c>
      <c r="L84" s="73" t="s">
        <v>16401</v>
      </c>
      <c r="M84" s="74"/>
      <c r="N84" s="74"/>
      <c r="O84" s="74"/>
      <c r="P84" s="74"/>
      <c r="Q84" s="74"/>
      <c r="R84" s="75"/>
      <c r="S84" s="71" t="s">
        <v>28</v>
      </c>
      <c r="T84" s="71" t="s">
        <v>10</v>
      </c>
      <c r="U84" s="74"/>
      <c r="V84" s="74">
        <f>COUNTIFS(
  Interns!AA:AA, "*" &amp; B84 &amp; "*",
  Interns!AC:AC, "*" &amp; S84 &amp; "*",
  Interns!AE:AE, "*" &amp; T84 &amp; "*"
)</f>
        <v>0</v>
      </c>
      <c r="W84" s="74"/>
      <c r="X84" s="74"/>
      <c r="Y84" s="74"/>
      <c r="Z84" s="74"/>
      <c r="AA84" s="74"/>
      <c r="AB84" s="74"/>
      <c r="AC84" s="74"/>
      <c r="AD84" s="74"/>
      <c r="AE84" s="74"/>
      <c r="AF84" s="74"/>
      <c r="AG84" s="74"/>
      <c r="AH84" s="74"/>
      <c r="AI84" s="74"/>
      <c r="AJ84" s="74"/>
      <c r="AK84" s="74"/>
    </row>
    <row r="85">
      <c r="A85" s="71" t="s">
        <v>16215</v>
      </c>
      <c r="B85" s="71" t="s">
        <v>2141</v>
      </c>
      <c r="C85" s="71" t="s">
        <v>16216</v>
      </c>
      <c r="D85" s="71" t="s">
        <v>859</v>
      </c>
      <c r="E85" s="71" t="s">
        <v>272</v>
      </c>
      <c r="F85" s="73" t="s">
        <v>16217</v>
      </c>
      <c r="G85" s="73" t="s">
        <v>16218</v>
      </c>
      <c r="H85" s="73" t="s">
        <v>16219</v>
      </c>
      <c r="I85" s="73" t="s">
        <v>16220</v>
      </c>
      <c r="J85" s="73" t="s">
        <v>16221</v>
      </c>
      <c r="K85" s="73" t="s">
        <v>16222</v>
      </c>
      <c r="L85" s="73" t="s">
        <v>16223</v>
      </c>
      <c r="M85" s="73" t="s">
        <v>16224</v>
      </c>
      <c r="N85" s="74"/>
      <c r="O85" s="74"/>
      <c r="P85" s="74"/>
      <c r="Q85" s="74"/>
      <c r="R85" s="84" t="s">
        <v>16402</v>
      </c>
      <c r="S85" s="71" t="s">
        <v>28</v>
      </c>
      <c r="T85" s="71" t="s">
        <v>10</v>
      </c>
      <c r="U85" s="71">
        <v>14.0</v>
      </c>
      <c r="V85" s="74">
        <f>COUNTIFS(
  Interns!AA:AA, "*" &amp; B85 &amp; "*",
  Interns!AC:AC, "*" &amp; S85 &amp; "*",
  Interns!AE:AE, "*" &amp; T85 &amp; "*"
)</f>
        <v>6</v>
      </c>
      <c r="W85" s="74">
        <f t="shared" ref="W85:W87" si="7">U85-V85</f>
        <v>8</v>
      </c>
      <c r="X85" s="74"/>
      <c r="Y85" s="74"/>
      <c r="Z85" s="74"/>
      <c r="AA85" s="74"/>
      <c r="AB85" s="74"/>
      <c r="AC85" s="74"/>
      <c r="AD85" s="74"/>
      <c r="AE85" s="74"/>
      <c r="AF85" s="74"/>
      <c r="AG85" s="74"/>
      <c r="AH85" s="74"/>
      <c r="AI85" s="74"/>
      <c r="AJ85" s="74"/>
      <c r="AK85" s="74"/>
    </row>
    <row r="86">
      <c r="A86" s="71" t="s">
        <v>16114</v>
      </c>
      <c r="B86" s="71" t="s">
        <v>704</v>
      </c>
      <c r="C86" s="71" t="s">
        <v>16115</v>
      </c>
      <c r="D86" s="71" t="s">
        <v>271</v>
      </c>
      <c r="E86" s="71" t="s">
        <v>272</v>
      </c>
      <c r="F86" s="73" t="s">
        <v>16116</v>
      </c>
      <c r="G86" s="73" t="s">
        <v>16117</v>
      </c>
      <c r="H86" s="73" t="s">
        <v>16118</v>
      </c>
      <c r="I86" s="73" t="s">
        <v>16119</v>
      </c>
      <c r="J86" s="88" t="s">
        <v>16403</v>
      </c>
      <c r="K86" s="73" t="s">
        <v>16404</v>
      </c>
      <c r="L86" s="73" t="s">
        <v>16405</v>
      </c>
      <c r="M86" s="73" t="s">
        <v>16406</v>
      </c>
      <c r="N86" s="74"/>
      <c r="O86" s="74"/>
      <c r="P86" s="74"/>
      <c r="Q86" s="74"/>
      <c r="R86" s="75"/>
      <c r="S86" s="71" t="s">
        <v>28</v>
      </c>
      <c r="T86" s="71" t="s">
        <v>10</v>
      </c>
      <c r="U86" s="71">
        <v>26.0</v>
      </c>
      <c r="V86" s="74">
        <f>COUNTIFS(
  Interns!AA:AA, "*" &amp; B86 &amp; "*",
  Interns!AC:AC, "*" &amp; S86 &amp; "*",
  Interns!AE:AE, "*" &amp; T86 &amp; "*"
)</f>
        <v>24</v>
      </c>
      <c r="W86" s="74">
        <f t="shared" si="7"/>
        <v>2</v>
      </c>
      <c r="X86" s="74"/>
      <c r="Y86" s="74"/>
      <c r="Z86" s="74"/>
      <c r="AA86" s="74"/>
      <c r="AB86" s="74"/>
      <c r="AC86" s="74"/>
      <c r="AD86" s="74"/>
      <c r="AE86" s="74"/>
      <c r="AF86" s="74"/>
      <c r="AG86" s="74"/>
      <c r="AH86" s="74"/>
      <c r="AI86" s="74"/>
      <c r="AJ86" s="74"/>
      <c r="AK86" s="74"/>
    </row>
    <row r="87">
      <c r="A87" s="71" t="s">
        <v>16407</v>
      </c>
      <c r="B87" s="71" t="s">
        <v>16408</v>
      </c>
      <c r="C87" s="71" t="s">
        <v>16409</v>
      </c>
      <c r="D87" s="71" t="s">
        <v>859</v>
      </c>
      <c r="E87" s="71" t="s">
        <v>272</v>
      </c>
      <c r="F87" s="73" t="s">
        <v>16410</v>
      </c>
      <c r="G87" s="73" t="s">
        <v>16411</v>
      </c>
      <c r="H87" s="73" t="s">
        <v>16412</v>
      </c>
      <c r="I87" s="73">
        <v>9.178554568E9</v>
      </c>
      <c r="J87" s="73" t="s">
        <v>16410</v>
      </c>
      <c r="K87" s="73" t="s">
        <v>16411</v>
      </c>
      <c r="L87" s="73" t="s">
        <v>16412</v>
      </c>
      <c r="M87" s="73">
        <v>9.178554568E9</v>
      </c>
      <c r="N87" s="81"/>
      <c r="O87" s="81"/>
      <c r="P87" s="81"/>
      <c r="Q87" s="81"/>
      <c r="R87" s="75"/>
      <c r="S87" s="71" t="s">
        <v>28</v>
      </c>
      <c r="T87" s="71" t="s">
        <v>10</v>
      </c>
      <c r="U87" s="71">
        <v>16.0</v>
      </c>
      <c r="V87" s="74">
        <f>COUNTIFS(
  Interns!AA:AA, "*" &amp; B87 &amp; "*",
  Interns!AC:AC, "*" &amp; S87 &amp; "*",
  Interns!AE:AE, "*" &amp; T87 &amp; "*"
)</f>
        <v>0</v>
      </c>
      <c r="W87" s="74">
        <f t="shared" si="7"/>
        <v>16</v>
      </c>
      <c r="X87" s="74"/>
      <c r="Y87" s="74"/>
      <c r="Z87" s="74"/>
      <c r="AA87" s="74"/>
      <c r="AB87" s="74"/>
      <c r="AC87" s="74"/>
      <c r="AD87" s="74"/>
      <c r="AE87" s="74"/>
      <c r="AF87" s="74"/>
      <c r="AG87" s="74"/>
      <c r="AH87" s="74"/>
      <c r="AI87" s="74"/>
      <c r="AJ87" s="74"/>
      <c r="AK87" s="74"/>
    </row>
    <row r="88">
      <c r="A88" s="71" t="s">
        <v>16413</v>
      </c>
      <c r="B88" s="71" t="s">
        <v>16414</v>
      </c>
      <c r="C88" s="74"/>
      <c r="D88" s="74"/>
      <c r="E88" s="71" t="s">
        <v>272</v>
      </c>
      <c r="F88" s="73" t="s">
        <v>16415</v>
      </c>
      <c r="G88" s="73" t="s">
        <v>16416</v>
      </c>
      <c r="H88" s="73" t="s">
        <v>16417</v>
      </c>
      <c r="I88" s="73" t="s">
        <v>16418</v>
      </c>
      <c r="J88" s="73" t="s">
        <v>16415</v>
      </c>
      <c r="K88" s="73" t="s">
        <v>16416</v>
      </c>
      <c r="L88" s="73" t="s">
        <v>16417</v>
      </c>
      <c r="M88" s="73" t="s">
        <v>16419</v>
      </c>
      <c r="N88" s="74"/>
      <c r="O88" s="74"/>
      <c r="P88" s="74"/>
      <c r="Q88" s="74"/>
      <c r="R88" s="75"/>
      <c r="S88" s="71" t="s">
        <v>28</v>
      </c>
      <c r="T88" s="71" t="s">
        <v>10</v>
      </c>
      <c r="U88" s="74"/>
      <c r="V88" s="74">
        <f>COUNTIFS(
  Interns!AA:AA, "*" &amp; B88 &amp; "*",
  Interns!AC:AC, "*" &amp; S88 &amp; "*",
  Interns!AE:AE, "*" &amp; T88 &amp; "*"
)</f>
        <v>0</v>
      </c>
      <c r="W88" s="74"/>
      <c r="X88" s="74"/>
      <c r="Y88" s="74"/>
      <c r="Z88" s="74"/>
      <c r="AA88" s="74"/>
      <c r="AB88" s="74"/>
      <c r="AC88" s="74"/>
      <c r="AD88" s="74"/>
      <c r="AE88" s="74"/>
      <c r="AF88" s="74"/>
      <c r="AG88" s="74"/>
      <c r="AH88" s="74"/>
      <c r="AI88" s="74"/>
      <c r="AJ88" s="74"/>
      <c r="AK88" s="74"/>
    </row>
    <row r="89">
      <c r="A89" s="71" t="s">
        <v>16420</v>
      </c>
      <c r="B89" s="71" t="s">
        <v>16421</v>
      </c>
      <c r="C89" s="71" t="s">
        <v>16422</v>
      </c>
      <c r="D89" s="71" t="s">
        <v>271</v>
      </c>
      <c r="E89" s="71" t="s">
        <v>272</v>
      </c>
      <c r="F89" s="71" t="s">
        <v>16423</v>
      </c>
      <c r="G89" s="85" t="s">
        <v>16424</v>
      </c>
      <c r="H89" s="85" t="s">
        <v>16425</v>
      </c>
      <c r="I89" s="85" t="s">
        <v>16426</v>
      </c>
      <c r="J89" s="85" t="s">
        <v>16427</v>
      </c>
      <c r="K89" s="85" t="s">
        <v>16428</v>
      </c>
      <c r="L89" s="71" t="s">
        <v>16429</v>
      </c>
      <c r="M89" s="81"/>
      <c r="N89" s="85" t="s">
        <v>16430</v>
      </c>
      <c r="O89" s="74"/>
      <c r="P89" s="85" t="s">
        <v>16431</v>
      </c>
      <c r="Q89" s="74"/>
      <c r="R89" s="75"/>
      <c r="S89" s="82" t="s">
        <v>28</v>
      </c>
      <c r="T89" s="82" t="s">
        <v>10</v>
      </c>
      <c r="U89" s="74"/>
      <c r="V89" s="74">
        <f>COUNTIFS(
  Interns!AA:AA, "*" &amp; B89 &amp; "*",
  Interns!AC:AC, "*" &amp; S89 &amp; "*",
  Interns!AE:AE, "*" &amp; T89 &amp; "*"
)</f>
        <v>0</v>
      </c>
      <c r="W89" s="74"/>
      <c r="X89" s="74"/>
      <c r="Y89" s="74"/>
      <c r="Z89" s="74"/>
      <c r="AA89" s="74"/>
      <c r="AB89" s="74"/>
      <c r="AC89" s="74"/>
      <c r="AD89" s="74"/>
      <c r="AE89" s="74"/>
      <c r="AF89" s="74"/>
      <c r="AG89" s="74"/>
      <c r="AH89" s="74"/>
      <c r="AI89" s="74"/>
      <c r="AJ89" s="74"/>
      <c r="AK89" s="74"/>
    </row>
    <row r="90">
      <c r="A90" s="71" t="s">
        <v>16432</v>
      </c>
      <c r="B90" s="71" t="s">
        <v>1584</v>
      </c>
      <c r="C90" s="71" t="s">
        <v>16433</v>
      </c>
      <c r="D90" s="71" t="s">
        <v>294</v>
      </c>
      <c r="E90" s="71" t="s">
        <v>272</v>
      </c>
      <c r="F90" s="71" t="s">
        <v>16434</v>
      </c>
      <c r="G90" s="73" t="s">
        <v>16435</v>
      </c>
      <c r="H90" s="73" t="s">
        <v>16436</v>
      </c>
      <c r="I90" s="73" t="s">
        <v>16437</v>
      </c>
      <c r="J90" s="73" t="s">
        <v>16438</v>
      </c>
      <c r="K90" s="73" t="s">
        <v>16112</v>
      </c>
      <c r="L90" s="73" t="s">
        <v>16439</v>
      </c>
      <c r="M90" s="73" t="s">
        <v>16440</v>
      </c>
      <c r="N90" s="71" t="s">
        <v>16441</v>
      </c>
      <c r="O90" s="73" t="s">
        <v>16442</v>
      </c>
      <c r="P90" s="73" t="s">
        <v>16443</v>
      </c>
      <c r="Q90" s="73" t="s">
        <v>16444</v>
      </c>
      <c r="R90" s="75"/>
      <c r="S90" s="82" t="s">
        <v>28</v>
      </c>
      <c r="T90" s="82" t="s">
        <v>15</v>
      </c>
      <c r="U90" s="71">
        <v>32.0</v>
      </c>
      <c r="V90" s="74">
        <f>COUNTIFS(
  Interns!AA:AA, "*" &amp; B90 &amp; "*",
  Interns!AC:AC, "*" &amp; S90 &amp; "*",
  Interns!AE:AE, "*" &amp; T90 &amp; "*"
)</f>
        <v>0</v>
      </c>
      <c r="W90" s="74">
        <f>U90-V90</f>
        <v>32</v>
      </c>
      <c r="X90" s="74"/>
      <c r="Y90" s="74"/>
      <c r="Z90" s="74"/>
      <c r="AA90" s="74"/>
      <c r="AB90" s="74"/>
      <c r="AC90" s="74"/>
      <c r="AD90" s="74"/>
      <c r="AE90" s="74"/>
      <c r="AF90" s="74"/>
      <c r="AG90" s="74"/>
      <c r="AH90" s="74"/>
      <c r="AI90" s="74"/>
      <c r="AJ90" s="74"/>
      <c r="AK90" s="74"/>
    </row>
    <row r="91">
      <c r="A91" s="71" t="s">
        <v>16106</v>
      </c>
      <c r="B91" s="71" t="s">
        <v>477</v>
      </c>
      <c r="C91" s="71" t="s">
        <v>16107</v>
      </c>
      <c r="D91" s="71" t="s">
        <v>859</v>
      </c>
      <c r="E91" s="71" t="s">
        <v>272</v>
      </c>
      <c r="F91" s="73" t="s">
        <v>16108</v>
      </c>
      <c r="G91" s="73" t="s">
        <v>16109</v>
      </c>
      <c r="H91" s="73" t="s">
        <v>16110</v>
      </c>
      <c r="I91" s="74"/>
      <c r="J91" s="71" t="s">
        <v>16111</v>
      </c>
      <c r="K91" s="73" t="s">
        <v>16112</v>
      </c>
      <c r="L91" s="73" t="s">
        <v>16113</v>
      </c>
      <c r="M91" s="73">
        <v>9.175025177E9</v>
      </c>
      <c r="N91" s="74"/>
      <c r="O91" s="74"/>
      <c r="P91" s="74"/>
      <c r="Q91" s="74"/>
      <c r="R91" s="75"/>
      <c r="S91" s="71" t="s">
        <v>28</v>
      </c>
      <c r="T91" s="71" t="s">
        <v>15</v>
      </c>
      <c r="U91" s="74"/>
      <c r="V91" s="74">
        <f>COUNTIFS(
  Interns!AA:AA, "*" &amp; B91 &amp; "*",
  Interns!AC:AC, "*" &amp; S91 &amp; "*",
  Interns!AE:AE, "*" &amp; T91 &amp; "*"
)</f>
        <v>0</v>
      </c>
      <c r="W91" s="74"/>
      <c r="X91" s="74"/>
      <c r="Y91" s="74"/>
      <c r="Z91" s="74"/>
      <c r="AA91" s="74"/>
      <c r="AB91" s="74"/>
      <c r="AC91" s="74"/>
      <c r="AD91" s="74"/>
      <c r="AE91" s="74"/>
      <c r="AF91" s="74"/>
      <c r="AG91" s="74"/>
      <c r="AH91" s="74"/>
      <c r="AI91" s="74"/>
      <c r="AJ91" s="74"/>
      <c r="AK91" s="74"/>
    </row>
    <row r="92">
      <c r="A92" s="71" t="s">
        <v>16445</v>
      </c>
      <c r="B92" s="71" t="s">
        <v>15966</v>
      </c>
      <c r="C92" s="71" t="s">
        <v>16446</v>
      </c>
      <c r="D92" s="71" t="s">
        <v>271</v>
      </c>
      <c r="E92" s="71" t="s">
        <v>272</v>
      </c>
      <c r="F92" s="71" t="s">
        <v>16447</v>
      </c>
      <c r="G92" s="71" t="s">
        <v>16448</v>
      </c>
      <c r="H92" s="71" t="s">
        <v>16449</v>
      </c>
      <c r="I92" s="71" t="s">
        <v>16450</v>
      </c>
      <c r="J92" s="74"/>
      <c r="K92" s="74"/>
      <c r="L92" s="74"/>
      <c r="M92" s="74"/>
      <c r="N92" s="74"/>
      <c r="O92" s="74"/>
      <c r="P92" s="74"/>
      <c r="Q92" s="74"/>
      <c r="R92" s="75"/>
      <c r="S92" s="82" t="s">
        <v>28</v>
      </c>
      <c r="T92" s="82" t="s">
        <v>15</v>
      </c>
      <c r="U92" s="71">
        <v>14.0</v>
      </c>
      <c r="V92" s="74">
        <f>COUNTIFS(
  Interns!AA:AA, "*" &amp; B92 &amp; "*",
  Interns!AC:AC, "*" &amp; S92 &amp; "*",
  Interns!AE:AE, "*" &amp; T92 &amp; "*"
)</f>
        <v>0</v>
      </c>
      <c r="W92" s="74">
        <f>U92-V92</f>
        <v>14</v>
      </c>
      <c r="X92" s="74"/>
      <c r="Y92" s="74"/>
      <c r="Z92" s="74"/>
      <c r="AA92" s="74"/>
      <c r="AB92" s="74"/>
      <c r="AC92" s="74"/>
      <c r="AD92" s="74"/>
      <c r="AE92" s="74"/>
      <c r="AF92" s="74"/>
      <c r="AG92" s="74"/>
      <c r="AH92" s="74"/>
      <c r="AI92" s="74"/>
      <c r="AJ92" s="74"/>
      <c r="AK92" s="74"/>
    </row>
    <row r="93">
      <c r="A93" s="71" t="s">
        <v>16451</v>
      </c>
      <c r="B93" s="71" t="s">
        <v>3619</v>
      </c>
      <c r="C93" s="71" t="s">
        <v>16452</v>
      </c>
      <c r="D93" s="71" t="s">
        <v>859</v>
      </c>
      <c r="E93" s="71" t="s">
        <v>272</v>
      </c>
      <c r="F93" s="71" t="s">
        <v>16453</v>
      </c>
      <c r="G93" s="71" t="s">
        <v>16454</v>
      </c>
      <c r="H93" s="71" t="s">
        <v>16455</v>
      </c>
      <c r="I93" s="71" t="s">
        <v>16456</v>
      </c>
      <c r="J93" s="71" t="s">
        <v>16457</v>
      </c>
      <c r="K93" s="71" t="s">
        <v>16458</v>
      </c>
      <c r="L93" s="71" t="s">
        <v>16459</v>
      </c>
      <c r="M93" s="74"/>
      <c r="N93" s="71" t="s">
        <v>16460</v>
      </c>
      <c r="O93" s="71" t="s">
        <v>16461</v>
      </c>
      <c r="P93" s="71" t="s">
        <v>16462</v>
      </c>
      <c r="Q93" s="74"/>
      <c r="R93" s="75"/>
      <c r="S93" s="82" t="s">
        <v>28</v>
      </c>
      <c r="T93" s="82" t="s">
        <v>15</v>
      </c>
      <c r="U93" s="71">
        <v>26.0</v>
      </c>
      <c r="V93" s="74">
        <f>COUNTIFS(
  Interns!AA:AA, "*" &amp; B93 &amp; "*",
  Interns!AC:AC, "*" &amp; S93 &amp; "*",
  Interns!AE:AE, "*" &amp; T93 &amp; "*"
)</f>
        <v>0</v>
      </c>
      <c r="W93" s="74"/>
      <c r="X93" s="74"/>
      <c r="Y93" s="74"/>
      <c r="Z93" s="74"/>
      <c r="AA93" s="74"/>
      <c r="AB93" s="74"/>
      <c r="AC93" s="74"/>
      <c r="AD93" s="74"/>
      <c r="AE93" s="74"/>
      <c r="AF93" s="74"/>
      <c r="AG93" s="74"/>
      <c r="AH93" s="74"/>
      <c r="AI93" s="74"/>
      <c r="AJ93" s="74"/>
      <c r="AK93" s="74"/>
    </row>
    <row r="94">
      <c r="A94" s="71" t="s">
        <v>16114</v>
      </c>
      <c r="B94" s="71" t="s">
        <v>704</v>
      </c>
      <c r="C94" s="71" t="s">
        <v>16115</v>
      </c>
      <c r="D94" s="71" t="s">
        <v>271</v>
      </c>
      <c r="E94" s="71" t="s">
        <v>272</v>
      </c>
      <c r="F94" s="73" t="s">
        <v>16116</v>
      </c>
      <c r="G94" s="73" t="s">
        <v>16117</v>
      </c>
      <c r="H94" s="73" t="s">
        <v>16118</v>
      </c>
      <c r="I94" s="73" t="s">
        <v>16119</v>
      </c>
      <c r="J94" s="73" t="s">
        <v>16463</v>
      </c>
      <c r="K94" s="73" t="s">
        <v>16404</v>
      </c>
      <c r="L94" s="73" t="s">
        <v>16405</v>
      </c>
      <c r="M94" s="73" t="s">
        <v>16406</v>
      </c>
      <c r="N94" s="74"/>
      <c r="O94" s="74"/>
      <c r="P94" s="74"/>
      <c r="Q94" s="74"/>
      <c r="R94" s="75"/>
      <c r="S94" s="71" t="s">
        <v>28</v>
      </c>
      <c r="T94" s="71" t="s">
        <v>15</v>
      </c>
      <c r="U94" s="71">
        <v>18.0</v>
      </c>
      <c r="V94" s="74">
        <f>COUNTIFS(
  Interns!AA:AA, "*" &amp; B94 &amp; "*",
  Interns!AC:AC, "*" &amp; S94 &amp; "*",
  Interns!AE:AE, "*" &amp; T94 &amp; "*"
)</f>
        <v>18</v>
      </c>
      <c r="W94" s="74">
        <f t="shared" ref="W94:W95" si="8">U94-V94</f>
        <v>0</v>
      </c>
      <c r="X94" s="74"/>
      <c r="Y94" s="74"/>
      <c r="Z94" s="74"/>
      <c r="AA94" s="74"/>
      <c r="AB94" s="74"/>
      <c r="AC94" s="74"/>
      <c r="AD94" s="74"/>
      <c r="AE94" s="74"/>
      <c r="AF94" s="74"/>
      <c r="AG94" s="74"/>
      <c r="AH94" s="74"/>
      <c r="AI94" s="74"/>
      <c r="AJ94" s="74"/>
      <c r="AK94" s="74"/>
    </row>
    <row r="95">
      <c r="A95" s="71" t="s">
        <v>16160</v>
      </c>
      <c r="B95" s="71" t="s">
        <v>1085</v>
      </c>
      <c r="C95" s="71" t="s">
        <v>16161</v>
      </c>
      <c r="D95" s="71" t="s">
        <v>271</v>
      </c>
      <c r="E95" s="71" t="s">
        <v>272</v>
      </c>
      <c r="F95" s="73" t="s">
        <v>16162</v>
      </c>
      <c r="G95" s="73" t="s">
        <v>16163</v>
      </c>
      <c r="H95" s="73" t="s">
        <v>16164</v>
      </c>
      <c r="I95" s="73" t="s">
        <v>16165</v>
      </c>
      <c r="J95" s="73" t="s">
        <v>16464</v>
      </c>
      <c r="K95" s="73" t="s">
        <v>16266</v>
      </c>
      <c r="L95" s="73" t="s">
        <v>16465</v>
      </c>
      <c r="M95" s="73" t="s">
        <v>16466</v>
      </c>
      <c r="N95" s="74"/>
      <c r="O95" s="74"/>
      <c r="P95" s="74"/>
      <c r="Q95" s="74"/>
      <c r="R95" s="75"/>
      <c r="S95" s="71" t="s">
        <v>28</v>
      </c>
      <c r="T95" s="71" t="s">
        <v>15</v>
      </c>
      <c r="U95" s="71">
        <v>43.0</v>
      </c>
      <c r="V95" s="74">
        <f>COUNTIFS(
  Interns!AA:AA, "*" &amp; B95 &amp; "*",
  Interns!AC:AC, "*" &amp; S95 &amp; "*",
  Interns!AE:AE, "*" &amp; T95 &amp; "*"
)</f>
        <v>22</v>
      </c>
      <c r="W95" s="74">
        <f t="shared" si="8"/>
        <v>21</v>
      </c>
      <c r="X95" s="74"/>
      <c r="Y95" s="74"/>
      <c r="Z95" s="74"/>
      <c r="AA95" s="74"/>
      <c r="AB95" s="74"/>
      <c r="AC95" s="74"/>
      <c r="AD95" s="74"/>
      <c r="AE95" s="74"/>
      <c r="AF95" s="74"/>
      <c r="AG95" s="74"/>
      <c r="AH95" s="74"/>
      <c r="AI95" s="74"/>
      <c r="AJ95" s="74"/>
      <c r="AK95" s="74"/>
    </row>
    <row r="96">
      <c r="A96" s="74"/>
      <c r="B96" s="74"/>
      <c r="C96" s="74"/>
      <c r="D96" s="74"/>
      <c r="E96" s="74"/>
      <c r="F96" s="74"/>
      <c r="G96" s="74"/>
      <c r="H96" s="74"/>
      <c r="I96" s="74"/>
      <c r="J96" s="74"/>
      <c r="K96" s="74"/>
      <c r="L96" s="74"/>
      <c r="M96" s="74"/>
      <c r="N96" s="74"/>
      <c r="O96" s="74"/>
      <c r="P96" s="74"/>
      <c r="Q96" s="74"/>
      <c r="R96" s="75"/>
      <c r="S96" s="74"/>
      <c r="T96" s="74"/>
      <c r="U96" s="74"/>
      <c r="V96" s="74"/>
      <c r="W96" s="74"/>
      <c r="X96" s="74"/>
      <c r="Y96" s="74"/>
      <c r="Z96" s="74"/>
      <c r="AA96" s="74"/>
      <c r="AB96" s="74"/>
      <c r="AC96" s="74"/>
      <c r="AD96" s="74"/>
      <c r="AE96" s="74"/>
      <c r="AF96" s="74"/>
      <c r="AG96" s="74"/>
      <c r="AH96" s="74"/>
      <c r="AI96" s="74"/>
      <c r="AJ96" s="74"/>
      <c r="AK96" s="74"/>
    </row>
    <row r="97">
      <c r="A97" s="74"/>
      <c r="B97" s="74"/>
      <c r="C97" s="74"/>
      <c r="D97" s="74"/>
      <c r="E97" s="74"/>
      <c r="F97" s="74"/>
      <c r="G97" s="74"/>
      <c r="H97" s="74"/>
      <c r="I97" s="74"/>
      <c r="J97" s="74"/>
      <c r="K97" s="74"/>
      <c r="L97" s="74"/>
      <c r="M97" s="74"/>
      <c r="N97" s="74"/>
      <c r="O97" s="74"/>
      <c r="P97" s="74"/>
      <c r="Q97" s="74"/>
      <c r="R97" s="75"/>
      <c r="S97" s="74"/>
      <c r="T97" s="74"/>
      <c r="U97" s="74"/>
      <c r="V97" s="74"/>
      <c r="W97" s="74"/>
      <c r="X97" s="74"/>
      <c r="Y97" s="74"/>
      <c r="Z97" s="74"/>
      <c r="AA97" s="74"/>
      <c r="AB97" s="74"/>
      <c r="AC97" s="74"/>
      <c r="AD97" s="74"/>
      <c r="AE97" s="74"/>
      <c r="AF97" s="74"/>
      <c r="AG97" s="74"/>
      <c r="AH97" s="74"/>
      <c r="AI97" s="74"/>
      <c r="AJ97" s="74"/>
      <c r="AK97" s="74"/>
    </row>
    <row r="98">
      <c r="A98" s="74"/>
      <c r="B98" s="74"/>
      <c r="C98" s="74"/>
      <c r="D98" s="74"/>
      <c r="E98" s="74"/>
      <c r="F98" s="74"/>
      <c r="G98" s="74"/>
      <c r="H98" s="74"/>
      <c r="I98" s="74"/>
      <c r="J98" s="74"/>
      <c r="K98" s="74"/>
      <c r="L98" s="74"/>
      <c r="M98" s="74"/>
      <c r="N98" s="74"/>
      <c r="O98" s="74"/>
      <c r="P98" s="74"/>
      <c r="Q98" s="74"/>
      <c r="R98" s="75"/>
      <c r="S98" s="74"/>
      <c r="T98" s="74"/>
      <c r="U98" s="74"/>
      <c r="V98" s="74"/>
      <c r="W98" s="74"/>
      <c r="X98" s="74"/>
      <c r="Y98" s="74"/>
      <c r="Z98" s="74"/>
      <c r="AA98" s="74"/>
      <c r="AB98" s="74"/>
      <c r="AC98" s="74"/>
      <c r="AD98" s="74"/>
      <c r="AE98" s="74"/>
      <c r="AF98" s="74"/>
      <c r="AG98" s="74"/>
      <c r="AH98" s="74"/>
      <c r="AI98" s="74"/>
      <c r="AJ98" s="74"/>
      <c r="AK98" s="74"/>
    </row>
    <row r="99">
      <c r="A99" s="74"/>
      <c r="B99" s="74"/>
      <c r="C99" s="74"/>
      <c r="D99" s="74"/>
      <c r="E99" s="74"/>
      <c r="F99" s="74"/>
      <c r="G99" s="74"/>
      <c r="H99" s="74"/>
      <c r="I99" s="74"/>
      <c r="J99" s="74"/>
      <c r="K99" s="74"/>
      <c r="L99" s="74"/>
      <c r="M99" s="74"/>
      <c r="N99" s="74"/>
      <c r="O99" s="74"/>
      <c r="P99" s="74"/>
      <c r="Q99" s="74"/>
      <c r="R99" s="75"/>
      <c r="S99" s="74"/>
      <c r="T99" s="74"/>
      <c r="U99" s="74"/>
      <c r="V99" s="74"/>
      <c r="W99" s="74"/>
      <c r="X99" s="74"/>
      <c r="Y99" s="74"/>
      <c r="Z99" s="74"/>
      <c r="AA99" s="74"/>
      <c r="AB99" s="74"/>
      <c r="AC99" s="74"/>
      <c r="AD99" s="74"/>
      <c r="AE99" s="74"/>
      <c r="AF99" s="74"/>
      <c r="AG99" s="74"/>
      <c r="AH99" s="74"/>
      <c r="AI99" s="74"/>
      <c r="AJ99" s="74"/>
      <c r="AK99" s="74"/>
    </row>
    <row r="100">
      <c r="A100" s="74"/>
      <c r="B100" s="74"/>
      <c r="C100" s="74"/>
      <c r="D100" s="74"/>
      <c r="E100" s="74"/>
      <c r="F100" s="74"/>
      <c r="G100" s="74"/>
      <c r="H100" s="74"/>
      <c r="I100" s="74"/>
      <c r="J100" s="74"/>
      <c r="K100" s="74"/>
      <c r="L100" s="74"/>
      <c r="M100" s="74"/>
      <c r="N100" s="74"/>
      <c r="O100" s="74"/>
      <c r="P100" s="74"/>
      <c r="Q100" s="74"/>
      <c r="R100" s="75"/>
      <c r="S100" s="74"/>
      <c r="T100" s="74"/>
      <c r="U100" s="74"/>
      <c r="V100" s="74"/>
      <c r="W100" s="74"/>
      <c r="X100" s="74"/>
      <c r="Y100" s="74"/>
      <c r="Z100" s="74"/>
      <c r="AA100" s="74"/>
      <c r="AB100" s="74"/>
      <c r="AC100" s="74"/>
      <c r="AD100" s="74"/>
      <c r="AE100" s="74"/>
      <c r="AF100" s="74"/>
      <c r="AG100" s="74"/>
      <c r="AH100" s="74"/>
      <c r="AI100" s="74"/>
      <c r="AJ100" s="74"/>
      <c r="AK100" s="74"/>
    </row>
    <row r="101">
      <c r="A101" s="74"/>
      <c r="B101" s="74"/>
      <c r="C101" s="74"/>
      <c r="D101" s="74"/>
      <c r="E101" s="74"/>
      <c r="F101" s="74"/>
      <c r="G101" s="74"/>
      <c r="H101" s="74"/>
      <c r="I101" s="74"/>
      <c r="J101" s="74"/>
      <c r="K101" s="74"/>
      <c r="L101" s="74"/>
      <c r="M101" s="74"/>
      <c r="N101" s="74"/>
      <c r="O101" s="74"/>
      <c r="P101" s="74"/>
      <c r="Q101" s="74"/>
      <c r="R101" s="75"/>
      <c r="S101" s="74"/>
      <c r="T101" s="74"/>
      <c r="U101" s="74"/>
      <c r="V101" s="74"/>
      <c r="W101" s="74"/>
      <c r="X101" s="74"/>
      <c r="Y101" s="74"/>
      <c r="Z101" s="74"/>
      <c r="AA101" s="74"/>
      <c r="AB101" s="74"/>
      <c r="AC101" s="74"/>
      <c r="AD101" s="74"/>
      <c r="AE101" s="74"/>
      <c r="AF101" s="74"/>
      <c r="AG101" s="74"/>
      <c r="AH101" s="74"/>
      <c r="AI101" s="74"/>
      <c r="AJ101" s="74"/>
      <c r="AK101" s="74"/>
    </row>
    <row r="102">
      <c r="A102" s="74"/>
      <c r="B102" s="74"/>
      <c r="C102" s="74"/>
      <c r="D102" s="74"/>
      <c r="E102" s="74"/>
      <c r="F102" s="74"/>
      <c r="G102" s="74"/>
      <c r="H102" s="74"/>
      <c r="I102" s="74"/>
      <c r="J102" s="74"/>
      <c r="K102" s="74"/>
      <c r="L102" s="74"/>
      <c r="M102" s="74"/>
      <c r="N102" s="74"/>
      <c r="O102" s="74"/>
      <c r="P102" s="74"/>
      <c r="Q102" s="74"/>
      <c r="R102" s="75"/>
      <c r="S102" s="74"/>
      <c r="T102" s="74"/>
      <c r="U102" s="74"/>
      <c r="V102" s="74"/>
      <c r="W102" s="74"/>
      <c r="X102" s="74"/>
      <c r="Y102" s="74"/>
      <c r="Z102" s="74"/>
      <c r="AA102" s="74"/>
      <c r="AB102" s="74"/>
      <c r="AC102" s="74"/>
      <c r="AD102" s="74"/>
      <c r="AE102" s="74"/>
      <c r="AF102" s="74"/>
      <c r="AG102" s="74"/>
      <c r="AH102" s="74"/>
      <c r="AI102" s="74"/>
      <c r="AJ102" s="74"/>
      <c r="AK102" s="74"/>
    </row>
    <row r="103">
      <c r="A103" s="74"/>
      <c r="B103" s="74"/>
      <c r="C103" s="74"/>
      <c r="D103" s="74"/>
      <c r="E103" s="74"/>
      <c r="F103" s="74"/>
      <c r="G103" s="74"/>
      <c r="H103" s="74"/>
      <c r="I103" s="74"/>
      <c r="J103" s="74"/>
      <c r="K103" s="74"/>
      <c r="L103" s="74"/>
      <c r="M103" s="74"/>
      <c r="N103" s="74"/>
      <c r="O103" s="74"/>
      <c r="P103" s="74"/>
      <c r="Q103" s="74"/>
      <c r="R103" s="75"/>
      <c r="S103" s="74"/>
      <c r="T103" s="74"/>
      <c r="U103" s="74"/>
      <c r="V103" s="74"/>
      <c r="W103" s="74"/>
      <c r="X103" s="74"/>
      <c r="Y103" s="74"/>
      <c r="Z103" s="74"/>
      <c r="AA103" s="74"/>
      <c r="AB103" s="74"/>
      <c r="AC103" s="74"/>
      <c r="AD103" s="74"/>
      <c r="AE103" s="74"/>
      <c r="AF103" s="74"/>
      <c r="AG103" s="74"/>
      <c r="AH103" s="74"/>
      <c r="AI103" s="74"/>
      <c r="AJ103" s="74"/>
      <c r="AK103" s="74"/>
    </row>
    <row r="104">
      <c r="A104" s="74"/>
      <c r="B104" s="74"/>
      <c r="C104" s="74"/>
      <c r="D104" s="74"/>
      <c r="E104" s="74"/>
      <c r="F104" s="74"/>
      <c r="G104" s="74"/>
      <c r="H104" s="74"/>
      <c r="I104" s="74"/>
      <c r="J104" s="74"/>
      <c r="K104" s="74"/>
      <c r="L104" s="74"/>
      <c r="M104" s="74"/>
      <c r="N104" s="74"/>
      <c r="O104" s="74"/>
      <c r="P104" s="74"/>
      <c r="Q104" s="74"/>
      <c r="R104" s="75"/>
      <c r="S104" s="74"/>
      <c r="T104" s="74"/>
      <c r="U104" s="74"/>
      <c r="V104" s="74"/>
      <c r="W104" s="74"/>
      <c r="X104" s="74"/>
      <c r="Y104" s="74"/>
      <c r="Z104" s="74"/>
      <c r="AA104" s="74"/>
      <c r="AB104" s="74"/>
      <c r="AC104" s="74"/>
      <c r="AD104" s="74"/>
      <c r="AE104" s="74"/>
      <c r="AF104" s="74"/>
      <c r="AG104" s="74"/>
      <c r="AH104" s="74"/>
      <c r="AI104" s="74"/>
      <c r="AJ104" s="74"/>
      <c r="AK104" s="74"/>
    </row>
    <row r="105">
      <c r="A105" s="74"/>
      <c r="B105" s="74"/>
      <c r="C105" s="74"/>
      <c r="D105" s="74"/>
      <c r="E105" s="74"/>
      <c r="F105" s="74"/>
      <c r="G105" s="74"/>
      <c r="H105" s="74"/>
      <c r="I105" s="74"/>
      <c r="J105" s="74"/>
      <c r="K105" s="74"/>
      <c r="L105" s="74"/>
      <c r="M105" s="74"/>
      <c r="N105" s="74"/>
      <c r="O105" s="74"/>
      <c r="P105" s="74"/>
      <c r="Q105" s="74"/>
      <c r="R105" s="75"/>
      <c r="S105" s="74"/>
      <c r="T105" s="74"/>
      <c r="U105" s="74"/>
      <c r="V105" s="74"/>
      <c r="W105" s="74"/>
      <c r="X105" s="74"/>
      <c r="Y105" s="74"/>
      <c r="Z105" s="74"/>
      <c r="AA105" s="74"/>
      <c r="AB105" s="74"/>
      <c r="AC105" s="74"/>
      <c r="AD105" s="74"/>
      <c r="AE105" s="74"/>
      <c r="AF105" s="74"/>
      <c r="AG105" s="74"/>
      <c r="AH105" s="74"/>
      <c r="AI105" s="74"/>
      <c r="AJ105" s="74"/>
      <c r="AK105" s="74"/>
    </row>
    <row r="106">
      <c r="A106" s="74"/>
      <c r="B106" s="74"/>
      <c r="C106" s="74"/>
      <c r="D106" s="74"/>
      <c r="E106" s="74"/>
      <c r="F106" s="74"/>
      <c r="G106" s="74"/>
      <c r="H106" s="74"/>
      <c r="I106" s="74"/>
      <c r="J106" s="74"/>
      <c r="K106" s="74"/>
      <c r="L106" s="74"/>
      <c r="M106" s="74"/>
      <c r="N106" s="74"/>
      <c r="O106" s="74"/>
      <c r="P106" s="74"/>
      <c r="Q106" s="74"/>
      <c r="R106" s="75"/>
      <c r="S106" s="74"/>
      <c r="T106" s="74"/>
      <c r="U106" s="74"/>
      <c r="V106" s="74"/>
      <c r="W106" s="74"/>
      <c r="X106" s="74"/>
      <c r="Y106" s="74"/>
      <c r="Z106" s="74"/>
      <c r="AA106" s="74"/>
      <c r="AB106" s="74"/>
      <c r="AC106" s="74"/>
      <c r="AD106" s="74"/>
      <c r="AE106" s="74"/>
      <c r="AF106" s="74"/>
      <c r="AG106" s="74"/>
      <c r="AH106" s="74"/>
      <c r="AI106" s="74"/>
      <c r="AJ106" s="74"/>
      <c r="AK106" s="74"/>
    </row>
    <row r="107">
      <c r="A107" s="74"/>
      <c r="B107" s="74"/>
      <c r="C107" s="74"/>
      <c r="D107" s="74"/>
      <c r="E107" s="74"/>
      <c r="F107" s="74"/>
      <c r="G107" s="74"/>
      <c r="H107" s="74"/>
      <c r="I107" s="74"/>
      <c r="J107" s="74"/>
      <c r="K107" s="74"/>
      <c r="L107" s="74"/>
      <c r="M107" s="74"/>
      <c r="N107" s="74"/>
      <c r="O107" s="74"/>
      <c r="P107" s="74"/>
      <c r="Q107" s="74"/>
      <c r="R107" s="75"/>
      <c r="S107" s="74"/>
      <c r="T107" s="74"/>
      <c r="U107" s="74"/>
      <c r="V107" s="74"/>
      <c r="W107" s="74"/>
      <c r="X107" s="74"/>
      <c r="Y107" s="74"/>
      <c r="Z107" s="74"/>
      <c r="AA107" s="74"/>
      <c r="AB107" s="74"/>
      <c r="AC107" s="74"/>
      <c r="AD107" s="74"/>
      <c r="AE107" s="74"/>
      <c r="AF107" s="74"/>
      <c r="AG107" s="74"/>
      <c r="AH107" s="74"/>
      <c r="AI107" s="74"/>
      <c r="AJ107" s="74"/>
      <c r="AK107" s="74"/>
    </row>
    <row r="108">
      <c r="A108" s="74"/>
      <c r="B108" s="74"/>
      <c r="C108" s="74"/>
      <c r="D108" s="74"/>
      <c r="E108" s="74"/>
      <c r="F108" s="74"/>
      <c r="G108" s="74"/>
      <c r="H108" s="74"/>
      <c r="I108" s="74"/>
      <c r="J108" s="74"/>
      <c r="K108" s="74"/>
      <c r="L108" s="74"/>
      <c r="M108" s="74"/>
      <c r="N108" s="74"/>
      <c r="O108" s="74"/>
      <c r="P108" s="74"/>
      <c r="Q108" s="74"/>
      <c r="R108" s="75"/>
      <c r="S108" s="74"/>
      <c r="T108" s="74"/>
      <c r="U108" s="74"/>
      <c r="V108" s="74"/>
      <c r="W108" s="74"/>
      <c r="X108" s="74"/>
      <c r="Y108" s="74"/>
      <c r="Z108" s="74"/>
      <c r="AA108" s="74"/>
      <c r="AB108" s="74"/>
      <c r="AC108" s="74"/>
      <c r="AD108" s="74"/>
      <c r="AE108" s="74"/>
      <c r="AF108" s="74"/>
      <c r="AG108" s="74"/>
      <c r="AH108" s="74"/>
      <c r="AI108" s="74"/>
      <c r="AJ108" s="74"/>
      <c r="AK108" s="74"/>
    </row>
    <row r="109">
      <c r="A109" s="74"/>
      <c r="B109" s="74"/>
      <c r="C109" s="74"/>
      <c r="D109" s="74"/>
      <c r="E109" s="74"/>
      <c r="F109" s="74"/>
      <c r="G109" s="74"/>
      <c r="H109" s="74"/>
      <c r="I109" s="74"/>
      <c r="J109" s="74"/>
      <c r="K109" s="74"/>
      <c r="L109" s="74"/>
      <c r="M109" s="74"/>
      <c r="N109" s="74"/>
      <c r="O109" s="74"/>
      <c r="P109" s="74"/>
      <c r="Q109" s="74"/>
      <c r="R109" s="75"/>
      <c r="S109" s="74"/>
      <c r="T109" s="74"/>
      <c r="U109" s="74"/>
      <c r="V109" s="74"/>
      <c r="W109" s="74"/>
      <c r="X109" s="74"/>
      <c r="Y109" s="74"/>
      <c r="Z109" s="74"/>
      <c r="AA109" s="74"/>
      <c r="AB109" s="74"/>
      <c r="AC109" s="74"/>
      <c r="AD109" s="74"/>
      <c r="AE109" s="74"/>
      <c r="AF109" s="74"/>
      <c r="AG109" s="74"/>
      <c r="AH109" s="74"/>
      <c r="AI109" s="74"/>
      <c r="AJ109" s="74"/>
      <c r="AK109" s="74"/>
    </row>
    <row r="110">
      <c r="A110" s="74"/>
      <c r="B110" s="74"/>
      <c r="C110" s="74"/>
      <c r="D110" s="74"/>
      <c r="E110" s="74"/>
      <c r="F110" s="74"/>
      <c r="G110" s="74"/>
      <c r="H110" s="74"/>
      <c r="I110" s="74"/>
      <c r="J110" s="74"/>
      <c r="K110" s="74"/>
      <c r="L110" s="74"/>
      <c r="M110" s="74"/>
      <c r="N110" s="74"/>
      <c r="O110" s="74"/>
      <c r="P110" s="74"/>
      <c r="Q110" s="74"/>
      <c r="R110" s="75"/>
      <c r="S110" s="74"/>
      <c r="T110" s="74"/>
      <c r="U110" s="74"/>
      <c r="V110" s="74"/>
      <c r="W110" s="74"/>
      <c r="X110" s="74"/>
      <c r="Y110" s="74"/>
      <c r="Z110" s="74"/>
      <c r="AA110" s="74"/>
      <c r="AB110" s="74"/>
      <c r="AC110" s="74"/>
      <c r="AD110" s="74"/>
      <c r="AE110" s="74"/>
      <c r="AF110" s="74"/>
      <c r="AG110" s="74"/>
      <c r="AH110" s="74"/>
      <c r="AI110" s="74"/>
      <c r="AJ110" s="74"/>
      <c r="AK110" s="74"/>
    </row>
    <row r="111">
      <c r="A111" s="74"/>
      <c r="B111" s="74"/>
      <c r="C111" s="74"/>
      <c r="D111" s="74"/>
      <c r="E111" s="74"/>
      <c r="F111" s="74"/>
      <c r="G111" s="74"/>
      <c r="H111" s="74"/>
      <c r="I111" s="74"/>
      <c r="J111" s="74"/>
      <c r="K111" s="74"/>
      <c r="L111" s="74"/>
      <c r="M111" s="74"/>
      <c r="N111" s="74"/>
      <c r="O111" s="74"/>
      <c r="P111" s="74"/>
      <c r="Q111" s="74"/>
      <c r="R111" s="75"/>
      <c r="S111" s="74"/>
      <c r="T111" s="74"/>
      <c r="U111" s="74"/>
      <c r="V111" s="74"/>
      <c r="W111" s="74"/>
      <c r="X111" s="74"/>
      <c r="Y111" s="74"/>
      <c r="Z111" s="74"/>
      <c r="AA111" s="74"/>
      <c r="AB111" s="74"/>
      <c r="AC111" s="74"/>
      <c r="AD111" s="74"/>
      <c r="AE111" s="74"/>
      <c r="AF111" s="74"/>
      <c r="AG111" s="74"/>
      <c r="AH111" s="74"/>
      <c r="AI111" s="74"/>
      <c r="AJ111" s="74"/>
      <c r="AK111" s="74"/>
    </row>
    <row r="112">
      <c r="A112" s="74"/>
      <c r="B112" s="74"/>
      <c r="C112" s="74"/>
      <c r="D112" s="74"/>
      <c r="E112" s="74"/>
      <c r="F112" s="74"/>
      <c r="G112" s="74"/>
      <c r="H112" s="74"/>
      <c r="I112" s="74"/>
      <c r="J112" s="74"/>
      <c r="K112" s="74"/>
      <c r="L112" s="74"/>
      <c r="M112" s="74"/>
      <c r="N112" s="74"/>
      <c r="O112" s="74"/>
      <c r="P112" s="74"/>
      <c r="Q112" s="74"/>
      <c r="R112" s="75"/>
      <c r="S112" s="74"/>
      <c r="T112" s="74"/>
      <c r="U112" s="74"/>
      <c r="V112" s="74"/>
      <c r="W112" s="74"/>
      <c r="X112" s="74"/>
      <c r="Y112" s="74"/>
      <c r="Z112" s="74"/>
      <c r="AA112" s="74"/>
      <c r="AB112" s="74"/>
      <c r="AC112" s="74"/>
      <c r="AD112" s="74"/>
      <c r="AE112" s="74"/>
      <c r="AF112" s="74"/>
      <c r="AG112" s="74"/>
      <c r="AH112" s="74"/>
      <c r="AI112" s="74"/>
      <c r="AJ112" s="74"/>
      <c r="AK112" s="74"/>
    </row>
    <row r="113">
      <c r="A113" s="74"/>
      <c r="B113" s="74"/>
      <c r="C113" s="74"/>
      <c r="D113" s="74"/>
      <c r="E113" s="74"/>
      <c r="F113" s="74"/>
      <c r="G113" s="74"/>
      <c r="H113" s="74"/>
      <c r="I113" s="74"/>
      <c r="J113" s="74"/>
      <c r="K113" s="74"/>
      <c r="L113" s="74"/>
      <c r="M113" s="74"/>
      <c r="N113" s="74"/>
      <c r="O113" s="74"/>
      <c r="P113" s="74"/>
      <c r="Q113" s="74"/>
      <c r="R113" s="75"/>
      <c r="S113" s="74"/>
      <c r="T113" s="74"/>
      <c r="U113" s="74"/>
      <c r="V113" s="74"/>
      <c r="W113" s="74"/>
      <c r="X113" s="74"/>
      <c r="Y113" s="74"/>
      <c r="Z113" s="74"/>
      <c r="AA113" s="74"/>
      <c r="AB113" s="74"/>
      <c r="AC113" s="74"/>
      <c r="AD113" s="74"/>
      <c r="AE113" s="74"/>
      <c r="AF113" s="74"/>
      <c r="AG113" s="74"/>
      <c r="AH113" s="74"/>
      <c r="AI113" s="74"/>
      <c r="AJ113" s="74"/>
      <c r="AK113" s="74"/>
    </row>
    <row r="114">
      <c r="A114" s="74"/>
      <c r="B114" s="74"/>
      <c r="C114" s="74"/>
      <c r="D114" s="74"/>
      <c r="E114" s="74"/>
      <c r="F114" s="74"/>
      <c r="G114" s="74"/>
      <c r="H114" s="74"/>
      <c r="I114" s="74"/>
      <c r="J114" s="74"/>
      <c r="K114" s="74"/>
      <c r="L114" s="74"/>
      <c r="M114" s="74"/>
      <c r="N114" s="74"/>
      <c r="O114" s="74"/>
      <c r="P114" s="74"/>
      <c r="Q114" s="74"/>
      <c r="R114" s="75"/>
      <c r="S114" s="74"/>
      <c r="T114" s="74"/>
      <c r="U114" s="74"/>
      <c r="V114" s="74"/>
      <c r="W114" s="74"/>
      <c r="X114" s="74"/>
      <c r="Y114" s="74"/>
      <c r="Z114" s="74"/>
      <c r="AA114" s="74"/>
      <c r="AB114" s="74"/>
      <c r="AC114" s="74"/>
      <c r="AD114" s="74"/>
      <c r="AE114" s="74"/>
      <c r="AF114" s="74"/>
      <c r="AG114" s="74"/>
      <c r="AH114" s="74"/>
      <c r="AI114" s="74"/>
      <c r="AJ114" s="74"/>
      <c r="AK114" s="74"/>
    </row>
    <row r="115">
      <c r="A115" s="74"/>
      <c r="B115" s="74"/>
      <c r="C115" s="74"/>
      <c r="D115" s="74"/>
      <c r="E115" s="74"/>
      <c r="F115" s="74"/>
      <c r="G115" s="74"/>
      <c r="H115" s="74"/>
      <c r="I115" s="74"/>
      <c r="J115" s="74"/>
      <c r="K115" s="74"/>
      <c r="L115" s="74"/>
      <c r="M115" s="74"/>
      <c r="N115" s="74"/>
      <c r="O115" s="74"/>
      <c r="P115" s="74"/>
      <c r="Q115" s="74"/>
      <c r="R115" s="75"/>
      <c r="S115" s="74"/>
      <c r="T115" s="74"/>
      <c r="U115" s="74"/>
      <c r="V115" s="74"/>
      <c r="W115" s="74"/>
      <c r="X115" s="74"/>
      <c r="Y115" s="74"/>
      <c r="Z115" s="74"/>
      <c r="AA115" s="74"/>
      <c r="AB115" s="74"/>
      <c r="AC115" s="74"/>
      <c r="AD115" s="74"/>
      <c r="AE115" s="74"/>
      <c r="AF115" s="74"/>
      <c r="AG115" s="74"/>
      <c r="AH115" s="74"/>
      <c r="AI115" s="74"/>
      <c r="AJ115" s="74"/>
      <c r="AK115" s="74"/>
    </row>
    <row r="116">
      <c r="A116" s="74"/>
      <c r="B116" s="74"/>
      <c r="C116" s="74"/>
      <c r="D116" s="74"/>
      <c r="E116" s="74"/>
      <c r="F116" s="74"/>
      <c r="G116" s="74"/>
      <c r="H116" s="74"/>
      <c r="I116" s="74"/>
      <c r="J116" s="74"/>
      <c r="K116" s="74"/>
      <c r="L116" s="74"/>
      <c r="M116" s="74"/>
      <c r="N116" s="74"/>
      <c r="O116" s="74"/>
      <c r="P116" s="74"/>
      <c r="Q116" s="74"/>
      <c r="R116" s="75"/>
      <c r="S116" s="74"/>
      <c r="T116" s="74"/>
      <c r="U116" s="74"/>
      <c r="V116" s="74"/>
      <c r="W116" s="74"/>
      <c r="X116" s="74"/>
      <c r="Y116" s="74"/>
      <c r="Z116" s="74"/>
      <c r="AA116" s="74"/>
      <c r="AB116" s="74"/>
      <c r="AC116" s="74"/>
      <c r="AD116" s="74"/>
      <c r="AE116" s="74"/>
      <c r="AF116" s="74"/>
      <c r="AG116" s="74"/>
      <c r="AH116" s="74"/>
      <c r="AI116" s="74"/>
      <c r="AJ116" s="74"/>
      <c r="AK116" s="74"/>
    </row>
    <row r="117">
      <c r="A117" s="74"/>
      <c r="B117" s="74"/>
      <c r="C117" s="74"/>
      <c r="D117" s="74"/>
      <c r="E117" s="74"/>
      <c r="F117" s="74"/>
      <c r="G117" s="74"/>
      <c r="H117" s="74"/>
      <c r="I117" s="74"/>
      <c r="J117" s="74"/>
      <c r="K117" s="74"/>
      <c r="L117" s="74"/>
      <c r="M117" s="74"/>
      <c r="N117" s="74"/>
      <c r="O117" s="74"/>
      <c r="P117" s="74"/>
      <c r="Q117" s="74"/>
      <c r="R117" s="75"/>
      <c r="S117" s="74"/>
      <c r="T117" s="74"/>
      <c r="U117" s="74"/>
      <c r="V117" s="74"/>
      <c r="W117" s="74"/>
      <c r="X117" s="74"/>
      <c r="Y117" s="74"/>
      <c r="Z117" s="74"/>
      <c r="AA117" s="74"/>
      <c r="AB117" s="74"/>
      <c r="AC117" s="74"/>
      <c r="AD117" s="74"/>
      <c r="AE117" s="74"/>
      <c r="AF117" s="74"/>
      <c r="AG117" s="74"/>
      <c r="AH117" s="74"/>
      <c r="AI117" s="74"/>
      <c r="AJ117" s="74"/>
      <c r="AK117" s="74"/>
    </row>
    <row r="118">
      <c r="A118" s="74"/>
      <c r="B118" s="74"/>
      <c r="C118" s="74"/>
      <c r="D118" s="74"/>
      <c r="E118" s="74"/>
      <c r="F118" s="74"/>
      <c r="G118" s="74"/>
      <c r="H118" s="74"/>
      <c r="I118" s="74"/>
      <c r="J118" s="74"/>
      <c r="K118" s="74"/>
      <c r="L118" s="74"/>
      <c r="M118" s="74"/>
      <c r="N118" s="74"/>
      <c r="O118" s="74"/>
      <c r="P118" s="74"/>
      <c r="Q118" s="74"/>
      <c r="R118" s="75"/>
      <c r="S118" s="74"/>
      <c r="T118" s="74"/>
      <c r="U118" s="74"/>
      <c r="V118" s="74"/>
      <c r="W118" s="74"/>
      <c r="X118" s="74"/>
      <c r="Y118" s="74"/>
      <c r="Z118" s="74"/>
      <c r="AA118" s="74"/>
      <c r="AB118" s="74"/>
      <c r="AC118" s="74"/>
      <c r="AD118" s="74"/>
      <c r="AE118" s="74"/>
      <c r="AF118" s="74"/>
      <c r="AG118" s="74"/>
      <c r="AH118" s="74"/>
      <c r="AI118" s="74"/>
      <c r="AJ118" s="74"/>
      <c r="AK118" s="74"/>
    </row>
    <row r="119">
      <c r="A119" s="74"/>
      <c r="B119" s="74"/>
      <c r="C119" s="74"/>
      <c r="D119" s="74"/>
      <c r="E119" s="74"/>
      <c r="F119" s="74"/>
      <c r="G119" s="74"/>
      <c r="H119" s="74"/>
      <c r="I119" s="74"/>
      <c r="J119" s="74"/>
      <c r="K119" s="74"/>
      <c r="L119" s="74"/>
      <c r="M119" s="74"/>
      <c r="N119" s="74"/>
      <c r="O119" s="74"/>
      <c r="P119" s="74"/>
      <c r="Q119" s="74"/>
      <c r="R119" s="75"/>
      <c r="S119" s="74"/>
      <c r="T119" s="74"/>
      <c r="U119" s="74"/>
      <c r="V119" s="74"/>
      <c r="W119" s="74"/>
      <c r="X119" s="74"/>
      <c r="Y119" s="74"/>
      <c r="Z119" s="74"/>
      <c r="AA119" s="74"/>
      <c r="AB119" s="74"/>
      <c r="AC119" s="74"/>
      <c r="AD119" s="74"/>
      <c r="AE119" s="74"/>
      <c r="AF119" s="74"/>
      <c r="AG119" s="74"/>
      <c r="AH119" s="74"/>
      <c r="AI119" s="74"/>
      <c r="AJ119" s="74"/>
      <c r="AK119" s="74"/>
    </row>
    <row r="120">
      <c r="A120" s="74"/>
      <c r="B120" s="74"/>
      <c r="C120" s="74"/>
      <c r="D120" s="74"/>
      <c r="E120" s="74"/>
      <c r="F120" s="74"/>
      <c r="G120" s="74"/>
      <c r="H120" s="74"/>
      <c r="I120" s="74"/>
      <c r="J120" s="74"/>
      <c r="K120" s="74"/>
      <c r="L120" s="74"/>
      <c r="M120" s="74"/>
      <c r="N120" s="74"/>
      <c r="O120" s="74"/>
      <c r="P120" s="74"/>
      <c r="Q120" s="74"/>
      <c r="R120" s="75"/>
      <c r="S120" s="74"/>
      <c r="T120" s="74"/>
      <c r="U120" s="74"/>
      <c r="V120" s="74"/>
      <c r="W120" s="74"/>
      <c r="X120" s="74"/>
      <c r="Y120" s="74"/>
      <c r="Z120" s="74"/>
      <c r="AA120" s="74"/>
      <c r="AB120" s="74"/>
      <c r="AC120" s="74"/>
      <c r="AD120" s="74"/>
      <c r="AE120" s="74"/>
      <c r="AF120" s="74"/>
      <c r="AG120" s="74"/>
      <c r="AH120" s="74"/>
      <c r="AI120" s="74"/>
      <c r="AJ120" s="74"/>
      <c r="AK120" s="74"/>
    </row>
    <row r="121">
      <c r="A121" s="74"/>
      <c r="B121" s="74"/>
      <c r="C121" s="74"/>
      <c r="D121" s="74"/>
      <c r="E121" s="74"/>
      <c r="F121" s="74"/>
      <c r="G121" s="74"/>
      <c r="H121" s="74"/>
      <c r="I121" s="74"/>
      <c r="J121" s="74"/>
      <c r="K121" s="74"/>
      <c r="L121" s="74"/>
      <c r="M121" s="74"/>
      <c r="N121" s="74"/>
      <c r="O121" s="74"/>
      <c r="P121" s="74"/>
      <c r="Q121" s="74"/>
      <c r="R121" s="75"/>
      <c r="S121" s="74"/>
      <c r="T121" s="74"/>
      <c r="U121" s="74"/>
      <c r="V121" s="74"/>
      <c r="W121" s="74"/>
      <c r="X121" s="74"/>
      <c r="Y121" s="74"/>
      <c r="Z121" s="74"/>
      <c r="AA121" s="74"/>
      <c r="AB121" s="74"/>
      <c r="AC121" s="74"/>
      <c r="AD121" s="74"/>
      <c r="AE121" s="74"/>
      <c r="AF121" s="74"/>
      <c r="AG121" s="74"/>
      <c r="AH121" s="74"/>
      <c r="AI121" s="74"/>
      <c r="AJ121" s="74"/>
      <c r="AK121" s="74"/>
    </row>
    <row r="122">
      <c r="A122" s="74"/>
      <c r="B122" s="74"/>
      <c r="C122" s="74"/>
      <c r="D122" s="74"/>
      <c r="E122" s="74"/>
      <c r="F122" s="74"/>
      <c r="G122" s="74"/>
      <c r="H122" s="74"/>
      <c r="I122" s="74"/>
      <c r="J122" s="74"/>
      <c r="K122" s="74"/>
      <c r="L122" s="74"/>
      <c r="M122" s="74"/>
      <c r="N122" s="74"/>
      <c r="O122" s="74"/>
      <c r="P122" s="74"/>
      <c r="Q122" s="74"/>
      <c r="R122" s="75"/>
      <c r="S122" s="74"/>
      <c r="T122" s="74"/>
      <c r="U122" s="74"/>
      <c r="V122" s="74"/>
      <c r="W122" s="74"/>
      <c r="X122" s="74"/>
      <c r="Y122" s="74"/>
      <c r="Z122" s="74"/>
      <c r="AA122" s="74"/>
      <c r="AB122" s="74"/>
      <c r="AC122" s="74"/>
      <c r="AD122" s="74"/>
      <c r="AE122" s="74"/>
      <c r="AF122" s="74"/>
      <c r="AG122" s="74"/>
      <c r="AH122" s="74"/>
      <c r="AI122" s="74"/>
      <c r="AJ122" s="74"/>
      <c r="AK122" s="74"/>
    </row>
    <row r="123">
      <c r="A123" s="74"/>
      <c r="B123" s="74"/>
      <c r="C123" s="74"/>
      <c r="D123" s="74"/>
      <c r="E123" s="74"/>
      <c r="F123" s="74"/>
      <c r="G123" s="74"/>
      <c r="H123" s="74"/>
      <c r="I123" s="74"/>
      <c r="J123" s="74"/>
      <c r="K123" s="74"/>
      <c r="L123" s="74"/>
      <c r="M123" s="74"/>
      <c r="N123" s="74"/>
      <c r="O123" s="74"/>
      <c r="P123" s="74"/>
      <c r="Q123" s="74"/>
      <c r="R123" s="75"/>
      <c r="S123" s="74"/>
      <c r="T123" s="74"/>
      <c r="U123" s="74"/>
      <c r="V123" s="74"/>
      <c r="W123" s="74"/>
      <c r="X123" s="74"/>
      <c r="Y123" s="74"/>
      <c r="Z123" s="74"/>
      <c r="AA123" s="74"/>
      <c r="AB123" s="74"/>
      <c r="AC123" s="74"/>
      <c r="AD123" s="74"/>
      <c r="AE123" s="74"/>
      <c r="AF123" s="74"/>
      <c r="AG123" s="74"/>
      <c r="AH123" s="74"/>
      <c r="AI123" s="74"/>
      <c r="AJ123" s="74"/>
      <c r="AK123" s="74"/>
    </row>
    <row r="124">
      <c r="A124" s="74"/>
      <c r="B124" s="74"/>
      <c r="C124" s="74"/>
      <c r="D124" s="74"/>
      <c r="E124" s="74"/>
      <c r="F124" s="74"/>
      <c r="G124" s="74"/>
      <c r="H124" s="74"/>
      <c r="I124" s="74"/>
      <c r="J124" s="74"/>
      <c r="K124" s="74"/>
      <c r="L124" s="74"/>
      <c r="M124" s="74"/>
      <c r="N124" s="74"/>
      <c r="O124" s="74"/>
      <c r="P124" s="74"/>
      <c r="Q124" s="74"/>
      <c r="R124" s="75"/>
      <c r="S124" s="74"/>
      <c r="T124" s="74"/>
      <c r="U124" s="74"/>
      <c r="V124" s="74"/>
      <c r="W124" s="74"/>
      <c r="X124" s="74"/>
      <c r="Y124" s="74"/>
      <c r="Z124" s="74"/>
      <c r="AA124" s="74"/>
      <c r="AB124" s="74"/>
      <c r="AC124" s="74"/>
      <c r="AD124" s="74"/>
      <c r="AE124" s="74"/>
      <c r="AF124" s="74"/>
      <c r="AG124" s="74"/>
      <c r="AH124" s="74"/>
      <c r="AI124" s="74"/>
      <c r="AJ124" s="74"/>
      <c r="AK124" s="74"/>
    </row>
    <row r="125">
      <c r="A125" s="74"/>
      <c r="B125" s="74"/>
      <c r="C125" s="74"/>
      <c r="D125" s="74"/>
      <c r="E125" s="74"/>
      <c r="F125" s="74"/>
      <c r="G125" s="74"/>
      <c r="H125" s="74"/>
      <c r="I125" s="74"/>
      <c r="J125" s="74"/>
      <c r="K125" s="74"/>
      <c r="L125" s="74"/>
      <c r="M125" s="74"/>
      <c r="N125" s="74"/>
      <c r="O125" s="74"/>
      <c r="P125" s="74"/>
      <c r="Q125" s="74"/>
      <c r="R125" s="75"/>
      <c r="S125" s="74"/>
      <c r="T125" s="74"/>
      <c r="U125" s="74"/>
      <c r="V125" s="74"/>
      <c r="W125" s="74"/>
      <c r="X125" s="74"/>
      <c r="Y125" s="74"/>
      <c r="Z125" s="74"/>
      <c r="AA125" s="74"/>
      <c r="AB125" s="74"/>
      <c r="AC125" s="74"/>
      <c r="AD125" s="74"/>
      <c r="AE125" s="74"/>
      <c r="AF125" s="74"/>
      <c r="AG125" s="74"/>
      <c r="AH125" s="74"/>
      <c r="AI125" s="74"/>
      <c r="AJ125" s="74"/>
      <c r="AK125" s="74"/>
    </row>
    <row r="126">
      <c r="A126" s="74"/>
      <c r="B126" s="74"/>
      <c r="C126" s="74"/>
      <c r="D126" s="74"/>
      <c r="E126" s="74"/>
      <c r="F126" s="74"/>
      <c r="G126" s="74"/>
      <c r="H126" s="74"/>
      <c r="I126" s="74"/>
      <c r="J126" s="74"/>
      <c r="K126" s="74"/>
      <c r="L126" s="74"/>
      <c r="M126" s="74"/>
      <c r="N126" s="74"/>
      <c r="O126" s="74"/>
      <c r="P126" s="74"/>
      <c r="Q126" s="74"/>
      <c r="R126" s="75"/>
      <c r="S126" s="74"/>
      <c r="T126" s="74"/>
      <c r="U126" s="74"/>
      <c r="V126" s="74"/>
      <c r="W126" s="74"/>
      <c r="X126" s="74"/>
      <c r="Y126" s="74"/>
      <c r="Z126" s="74"/>
      <c r="AA126" s="74"/>
      <c r="AB126" s="74"/>
      <c r="AC126" s="74"/>
      <c r="AD126" s="74"/>
      <c r="AE126" s="74"/>
      <c r="AF126" s="74"/>
      <c r="AG126" s="74"/>
      <c r="AH126" s="74"/>
      <c r="AI126" s="74"/>
      <c r="AJ126" s="74"/>
      <c r="AK126" s="74"/>
    </row>
    <row r="127">
      <c r="A127" s="74"/>
      <c r="B127" s="74"/>
      <c r="C127" s="74"/>
      <c r="D127" s="74"/>
      <c r="E127" s="74"/>
      <c r="F127" s="74"/>
      <c r="G127" s="74"/>
      <c r="H127" s="74"/>
      <c r="I127" s="74"/>
      <c r="J127" s="74"/>
      <c r="K127" s="74"/>
      <c r="L127" s="74"/>
      <c r="M127" s="74"/>
      <c r="N127" s="74"/>
      <c r="O127" s="74"/>
      <c r="P127" s="74"/>
      <c r="Q127" s="74"/>
      <c r="R127" s="75"/>
      <c r="S127" s="74"/>
      <c r="T127" s="74"/>
      <c r="U127" s="74"/>
      <c r="V127" s="74"/>
      <c r="W127" s="74"/>
      <c r="X127" s="74"/>
      <c r="Y127" s="74"/>
      <c r="Z127" s="74"/>
      <c r="AA127" s="74"/>
      <c r="AB127" s="74"/>
      <c r="AC127" s="74"/>
      <c r="AD127" s="74"/>
      <c r="AE127" s="74"/>
      <c r="AF127" s="74"/>
      <c r="AG127" s="74"/>
      <c r="AH127" s="74"/>
      <c r="AI127" s="74"/>
      <c r="AJ127" s="74"/>
      <c r="AK127" s="74"/>
    </row>
    <row r="128">
      <c r="A128" s="74"/>
      <c r="B128" s="74"/>
      <c r="C128" s="74"/>
      <c r="D128" s="74"/>
      <c r="E128" s="74"/>
      <c r="F128" s="74"/>
      <c r="G128" s="74"/>
      <c r="H128" s="74"/>
      <c r="I128" s="74"/>
      <c r="J128" s="74"/>
      <c r="K128" s="74"/>
      <c r="L128" s="74"/>
      <c r="M128" s="74"/>
      <c r="N128" s="74"/>
      <c r="O128" s="74"/>
      <c r="P128" s="74"/>
      <c r="Q128" s="74"/>
      <c r="R128" s="75"/>
      <c r="S128" s="74"/>
      <c r="T128" s="74"/>
      <c r="U128" s="74"/>
      <c r="V128" s="74"/>
      <c r="W128" s="74"/>
      <c r="X128" s="74"/>
      <c r="Y128" s="74"/>
      <c r="Z128" s="74"/>
      <c r="AA128" s="74"/>
      <c r="AB128" s="74"/>
      <c r="AC128" s="74"/>
      <c r="AD128" s="74"/>
      <c r="AE128" s="74"/>
      <c r="AF128" s="74"/>
      <c r="AG128" s="74"/>
      <c r="AH128" s="74"/>
      <c r="AI128" s="74"/>
      <c r="AJ128" s="74"/>
      <c r="AK128" s="74"/>
    </row>
    <row r="129">
      <c r="A129" s="74"/>
      <c r="B129" s="74"/>
      <c r="C129" s="74"/>
      <c r="D129" s="74"/>
      <c r="E129" s="74"/>
      <c r="F129" s="74"/>
      <c r="G129" s="74"/>
      <c r="H129" s="74"/>
      <c r="I129" s="74"/>
      <c r="J129" s="74"/>
      <c r="K129" s="74"/>
      <c r="L129" s="74"/>
      <c r="M129" s="74"/>
      <c r="N129" s="74"/>
      <c r="O129" s="74"/>
      <c r="P129" s="74"/>
      <c r="Q129" s="74"/>
      <c r="R129" s="75"/>
      <c r="S129" s="74"/>
      <c r="T129" s="74"/>
      <c r="U129" s="74"/>
      <c r="V129" s="74"/>
      <c r="W129" s="74"/>
      <c r="X129" s="74"/>
      <c r="Y129" s="74"/>
      <c r="Z129" s="74"/>
      <c r="AA129" s="74"/>
      <c r="AB129" s="74"/>
      <c r="AC129" s="74"/>
      <c r="AD129" s="74"/>
      <c r="AE129" s="74"/>
      <c r="AF129" s="74"/>
      <c r="AG129" s="74"/>
      <c r="AH129" s="74"/>
      <c r="AI129" s="74"/>
      <c r="AJ129" s="74"/>
      <c r="AK129" s="74"/>
    </row>
    <row r="130">
      <c r="A130" s="74"/>
      <c r="B130" s="74"/>
      <c r="C130" s="74"/>
      <c r="D130" s="74"/>
      <c r="E130" s="74"/>
      <c r="F130" s="74"/>
      <c r="G130" s="74"/>
      <c r="H130" s="74"/>
      <c r="I130" s="74"/>
      <c r="J130" s="74"/>
      <c r="K130" s="74"/>
      <c r="L130" s="74"/>
      <c r="M130" s="74"/>
      <c r="N130" s="74"/>
      <c r="O130" s="74"/>
      <c r="P130" s="74"/>
      <c r="Q130" s="74"/>
      <c r="R130" s="75"/>
      <c r="S130" s="74"/>
      <c r="T130" s="74"/>
      <c r="U130" s="74"/>
      <c r="V130" s="74"/>
      <c r="W130" s="74"/>
      <c r="X130" s="74"/>
      <c r="Y130" s="74"/>
      <c r="Z130" s="74"/>
      <c r="AA130" s="74"/>
      <c r="AB130" s="74"/>
      <c r="AC130" s="74"/>
      <c r="AD130" s="74"/>
      <c r="AE130" s="74"/>
      <c r="AF130" s="74"/>
      <c r="AG130" s="74"/>
      <c r="AH130" s="74"/>
      <c r="AI130" s="74"/>
      <c r="AJ130" s="74"/>
      <c r="AK130" s="74"/>
    </row>
    <row r="131">
      <c r="A131" s="74"/>
      <c r="B131" s="74"/>
      <c r="C131" s="74"/>
      <c r="D131" s="74"/>
      <c r="E131" s="74"/>
      <c r="F131" s="74"/>
      <c r="G131" s="74"/>
      <c r="H131" s="74"/>
      <c r="I131" s="74"/>
      <c r="J131" s="74"/>
      <c r="K131" s="74"/>
      <c r="L131" s="74"/>
      <c r="M131" s="74"/>
      <c r="N131" s="74"/>
      <c r="O131" s="74"/>
      <c r="P131" s="74"/>
      <c r="Q131" s="74"/>
      <c r="R131" s="75"/>
      <c r="S131" s="74"/>
      <c r="T131" s="74"/>
      <c r="U131" s="74"/>
      <c r="V131" s="74"/>
      <c r="W131" s="74"/>
      <c r="X131" s="74"/>
      <c r="Y131" s="74"/>
      <c r="Z131" s="74"/>
      <c r="AA131" s="74"/>
      <c r="AB131" s="74"/>
      <c r="AC131" s="74"/>
      <c r="AD131" s="74"/>
      <c r="AE131" s="74"/>
      <c r="AF131" s="74"/>
      <c r="AG131" s="74"/>
      <c r="AH131" s="74"/>
      <c r="AI131" s="74"/>
      <c r="AJ131" s="74"/>
      <c r="AK131" s="74"/>
    </row>
    <row r="132">
      <c r="A132" s="74"/>
      <c r="B132" s="74"/>
      <c r="C132" s="74"/>
      <c r="D132" s="74"/>
      <c r="E132" s="74"/>
      <c r="F132" s="74"/>
      <c r="G132" s="74"/>
      <c r="H132" s="74"/>
      <c r="I132" s="74"/>
      <c r="J132" s="74"/>
      <c r="K132" s="74"/>
      <c r="L132" s="74"/>
      <c r="M132" s="74"/>
      <c r="N132" s="74"/>
      <c r="O132" s="74"/>
      <c r="P132" s="74"/>
      <c r="Q132" s="74"/>
      <c r="R132" s="75"/>
      <c r="S132" s="74"/>
      <c r="T132" s="74"/>
      <c r="U132" s="74"/>
      <c r="V132" s="74"/>
      <c r="W132" s="74"/>
      <c r="X132" s="74"/>
      <c r="Y132" s="74"/>
      <c r="Z132" s="74"/>
      <c r="AA132" s="74"/>
      <c r="AB132" s="74"/>
      <c r="AC132" s="74"/>
      <c r="AD132" s="74"/>
      <c r="AE132" s="74"/>
      <c r="AF132" s="74"/>
      <c r="AG132" s="74"/>
      <c r="AH132" s="74"/>
      <c r="AI132" s="74"/>
      <c r="AJ132" s="74"/>
      <c r="AK132" s="74"/>
    </row>
    <row r="133">
      <c r="A133" s="74"/>
      <c r="B133" s="74"/>
      <c r="C133" s="74"/>
      <c r="D133" s="74"/>
      <c r="E133" s="74"/>
      <c r="F133" s="74"/>
      <c r="G133" s="74"/>
      <c r="H133" s="74"/>
      <c r="I133" s="74"/>
      <c r="J133" s="74"/>
      <c r="K133" s="74"/>
      <c r="L133" s="74"/>
      <c r="M133" s="74"/>
      <c r="N133" s="74"/>
      <c r="O133" s="74"/>
      <c r="P133" s="74"/>
      <c r="Q133" s="74"/>
      <c r="R133" s="75"/>
      <c r="S133" s="74"/>
      <c r="T133" s="74"/>
      <c r="U133" s="74"/>
      <c r="V133" s="74"/>
      <c r="W133" s="74"/>
      <c r="X133" s="74"/>
      <c r="Y133" s="74"/>
      <c r="Z133" s="74"/>
      <c r="AA133" s="74"/>
      <c r="AB133" s="74"/>
      <c r="AC133" s="74"/>
      <c r="AD133" s="74"/>
      <c r="AE133" s="74"/>
      <c r="AF133" s="74"/>
      <c r="AG133" s="74"/>
      <c r="AH133" s="74"/>
      <c r="AI133" s="74"/>
      <c r="AJ133" s="74"/>
      <c r="AK133" s="74"/>
    </row>
    <row r="134">
      <c r="A134" s="74"/>
      <c r="B134" s="74"/>
      <c r="C134" s="74"/>
      <c r="D134" s="74"/>
      <c r="E134" s="74"/>
      <c r="F134" s="74"/>
      <c r="G134" s="74"/>
      <c r="H134" s="74"/>
      <c r="I134" s="74"/>
      <c r="J134" s="74"/>
      <c r="K134" s="74"/>
      <c r="L134" s="74"/>
      <c r="M134" s="74"/>
      <c r="N134" s="74"/>
      <c r="O134" s="74"/>
      <c r="P134" s="74"/>
      <c r="Q134" s="74"/>
      <c r="R134" s="75"/>
      <c r="S134" s="74"/>
      <c r="T134" s="74"/>
      <c r="U134" s="74"/>
      <c r="V134" s="74"/>
      <c r="W134" s="74"/>
      <c r="X134" s="74"/>
      <c r="Y134" s="74"/>
      <c r="Z134" s="74"/>
      <c r="AA134" s="74"/>
      <c r="AB134" s="74"/>
      <c r="AC134" s="74"/>
      <c r="AD134" s="74"/>
      <c r="AE134" s="74"/>
      <c r="AF134" s="74"/>
      <c r="AG134" s="74"/>
      <c r="AH134" s="74"/>
      <c r="AI134" s="74"/>
      <c r="AJ134" s="74"/>
      <c r="AK134" s="74"/>
    </row>
    <row r="135">
      <c r="A135" s="74"/>
      <c r="B135" s="74"/>
      <c r="C135" s="74"/>
      <c r="D135" s="74"/>
      <c r="E135" s="74"/>
      <c r="F135" s="74"/>
      <c r="G135" s="74"/>
      <c r="H135" s="74"/>
      <c r="I135" s="74"/>
      <c r="J135" s="74"/>
      <c r="K135" s="74"/>
      <c r="L135" s="74"/>
      <c r="M135" s="74"/>
      <c r="N135" s="74"/>
      <c r="O135" s="74"/>
      <c r="P135" s="74"/>
      <c r="Q135" s="74"/>
      <c r="R135" s="75"/>
      <c r="S135" s="74"/>
      <c r="T135" s="74"/>
      <c r="U135" s="74"/>
      <c r="V135" s="74"/>
      <c r="W135" s="74"/>
      <c r="X135" s="74"/>
      <c r="Y135" s="74"/>
      <c r="Z135" s="74"/>
      <c r="AA135" s="74"/>
      <c r="AB135" s="74"/>
      <c r="AC135" s="74"/>
      <c r="AD135" s="74"/>
      <c r="AE135" s="74"/>
      <c r="AF135" s="74"/>
      <c r="AG135" s="74"/>
      <c r="AH135" s="74"/>
      <c r="AI135" s="74"/>
      <c r="AJ135" s="74"/>
      <c r="AK135" s="74"/>
    </row>
    <row r="136">
      <c r="A136" s="74"/>
      <c r="B136" s="74"/>
      <c r="C136" s="74"/>
      <c r="D136" s="74"/>
      <c r="E136" s="74"/>
      <c r="F136" s="74"/>
      <c r="G136" s="74"/>
      <c r="H136" s="74"/>
      <c r="I136" s="74"/>
      <c r="J136" s="74"/>
      <c r="K136" s="74"/>
      <c r="L136" s="74"/>
      <c r="M136" s="74"/>
      <c r="N136" s="74"/>
      <c r="O136" s="74"/>
      <c r="P136" s="74"/>
      <c r="Q136" s="74"/>
      <c r="R136" s="75"/>
      <c r="S136" s="74"/>
      <c r="T136" s="74"/>
      <c r="U136" s="74"/>
      <c r="V136" s="74"/>
      <c r="W136" s="74"/>
      <c r="X136" s="74"/>
      <c r="Y136" s="74"/>
      <c r="Z136" s="74"/>
      <c r="AA136" s="74"/>
      <c r="AB136" s="74"/>
      <c r="AC136" s="74"/>
      <c r="AD136" s="74"/>
      <c r="AE136" s="74"/>
      <c r="AF136" s="74"/>
      <c r="AG136" s="74"/>
      <c r="AH136" s="74"/>
      <c r="AI136" s="74"/>
      <c r="AJ136" s="74"/>
      <c r="AK136" s="74"/>
    </row>
    <row r="137">
      <c r="A137" s="74"/>
      <c r="B137" s="74"/>
      <c r="C137" s="74"/>
      <c r="D137" s="74"/>
      <c r="E137" s="74"/>
      <c r="F137" s="74"/>
      <c r="G137" s="74"/>
      <c r="H137" s="74"/>
      <c r="I137" s="74"/>
      <c r="J137" s="74"/>
      <c r="K137" s="74"/>
      <c r="L137" s="74"/>
      <c r="M137" s="74"/>
      <c r="N137" s="74"/>
      <c r="O137" s="74"/>
      <c r="P137" s="74"/>
      <c r="Q137" s="74"/>
      <c r="R137" s="75"/>
      <c r="S137" s="74"/>
      <c r="T137" s="74"/>
      <c r="U137" s="74"/>
      <c r="V137" s="74"/>
      <c r="W137" s="74"/>
      <c r="X137" s="74"/>
      <c r="Y137" s="74"/>
      <c r="Z137" s="74"/>
      <c r="AA137" s="74"/>
      <c r="AB137" s="74"/>
      <c r="AC137" s="74"/>
      <c r="AD137" s="74"/>
      <c r="AE137" s="74"/>
      <c r="AF137" s="74"/>
      <c r="AG137" s="74"/>
      <c r="AH137" s="74"/>
      <c r="AI137" s="74"/>
      <c r="AJ137" s="74"/>
      <c r="AK137" s="74"/>
    </row>
    <row r="138">
      <c r="A138" s="74"/>
      <c r="B138" s="74"/>
      <c r="C138" s="74"/>
      <c r="D138" s="74"/>
      <c r="E138" s="74"/>
      <c r="F138" s="74"/>
      <c r="G138" s="74"/>
      <c r="H138" s="74"/>
      <c r="I138" s="74"/>
      <c r="J138" s="74"/>
      <c r="K138" s="74"/>
      <c r="L138" s="74"/>
      <c r="M138" s="74"/>
      <c r="N138" s="74"/>
      <c r="O138" s="74"/>
      <c r="P138" s="74"/>
      <c r="Q138" s="74"/>
      <c r="R138" s="75"/>
      <c r="S138" s="74"/>
      <c r="T138" s="74"/>
      <c r="U138" s="74"/>
      <c r="V138" s="74"/>
      <c r="W138" s="74"/>
      <c r="X138" s="74"/>
      <c r="Y138" s="74"/>
      <c r="Z138" s="74"/>
      <c r="AA138" s="74"/>
      <c r="AB138" s="74"/>
      <c r="AC138" s="74"/>
      <c r="AD138" s="74"/>
      <c r="AE138" s="74"/>
      <c r="AF138" s="74"/>
      <c r="AG138" s="74"/>
      <c r="AH138" s="74"/>
      <c r="AI138" s="74"/>
      <c r="AJ138" s="74"/>
      <c r="AK138" s="74"/>
    </row>
    <row r="139">
      <c r="A139" s="74"/>
      <c r="B139" s="74"/>
      <c r="C139" s="74"/>
      <c r="D139" s="74"/>
      <c r="E139" s="74"/>
      <c r="F139" s="74"/>
      <c r="G139" s="74"/>
      <c r="H139" s="74"/>
      <c r="I139" s="74"/>
      <c r="J139" s="74"/>
      <c r="K139" s="74"/>
      <c r="L139" s="74"/>
      <c r="M139" s="74"/>
      <c r="N139" s="74"/>
      <c r="O139" s="74"/>
      <c r="P139" s="74"/>
      <c r="Q139" s="74"/>
      <c r="R139" s="75"/>
      <c r="S139" s="74"/>
      <c r="T139" s="74"/>
      <c r="U139" s="74"/>
      <c r="V139" s="74"/>
      <c r="W139" s="74"/>
      <c r="X139" s="74"/>
      <c r="Y139" s="74"/>
      <c r="Z139" s="74"/>
      <c r="AA139" s="74"/>
      <c r="AB139" s="74"/>
      <c r="AC139" s="74"/>
      <c r="AD139" s="74"/>
      <c r="AE139" s="74"/>
      <c r="AF139" s="74"/>
      <c r="AG139" s="74"/>
      <c r="AH139" s="74"/>
      <c r="AI139" s="74"/>
      <c r="AJ139" s="74"/>
      <c r="AK139" s="74"/>
    </row>
    <row r="140">
      <c r="A140" s="74"/>
      <c r="B140" s="74"/>
      <c r="C140" s="74"/>
      <c r="D140" s="74"/>
      <c r="E140" s="74"/>
      <c r="F140" s="74"/>
      <c r="G140" s="74"/>
      <c r="H140" s="74"/>
      <c r="I140" s="74"/>
      <c r="J140" s="74"/>
      <c r="K140" s="74"/>
      <c r="L140" s="74"/>
      <c r="M140" s="74"/>
      <c r="N140" s="74"/>
      <c r="O140" s="74"/>
      <c r="P140" s="74"/>
      <c r="Q140" s="74"/>
      <c r="R140" s="75"/>
      <c r="S140" s="74"/>
      <c r="T140" s="74"/>
      <c r="U140" s="74"/>
      <c r="V140" s="74"/>
      <c r="W140" s="74"/>
      <c r="X140" s="74"/>
      <c r="Y140" s="74"/>
      <c r="Z140" s="74"/>
      <c r="AA140" s="74"/>
      <c r="AB140" s="74"/>
      <c r="AC140" s="74"/>
      <c r="AD140" s="74"/>
      <c r="AE140" s="74"/>
      <c r="AF140" s="74"/>
      <c r="AG140" s="74"/>
      <c r="AH140" s="74"/>
      <c r="AI140" s="74"/>
      <c r="AJ140" s="74"/>
      <c r="AK140" s="74"/>
    </row>
    <row r="141">
      <c r="A141" s="74"/>
      <c r="B141" s="74"/>
      <c r="C141" s="74"/>
      <c r="D141" s="74"/>
      <c r="E141" s="74"/>
      <c r="F141" s="74"/>
      <c r="G141" s="74"/>
      <c r="H141" s="74"/>
      <c r="I141" s="74"/>
      <c r="J141" s="74"/>
      <c r="K141" s="74"/>
      <c r="L141" s="74"/>
      <c r="M141" s="74"/>
      <c r="N141" s="74"/>
      <c r="O141" s="74"/>
      <c r="P141" s="74"/>
      <c r="Q141" s="74"/>
      <c r="R141" s="75"/>
      <c r="S141" s="74"/>
      <c r="T141" s="74"/>
      <c r="U141" s="74"/>
      <c r="V141" s="74"/>
      <c r="W141" s="74"/>
      <c r="X141" s="74"/>
      <c r="Y141" s="74"/>
      <c r="Z141" s="74"/>
      <c r="AA141" s="74"/>
      <c r="AB141" s="74"/>
      <c r="AC141" s="74"/>
      <c r="AD141" s="74"/>
      <c r="AE141" s="74"/>
      <c r="AF141" s="74"/>
      <c r="AG141" s="74"/>
      <c r="AH141" s="74"/>
      <c r="AI141" s="74"/>
      <c r="AJ141" s="74"/>
      <c r="AK141" s="74"/>
    </row>
    <row r="142">
      <c r="A142" s="74"/>
      <c r="B142" s="74"/>
      <c r="C142" s="74"/>
      <c r="D142" s="74"/>
      <c r="E142" s="74"/>
      <c r="F142" s="74"/>
      <c r="G142" s="74"/>
      <c r="H142" s="74"/>
      <c r="I142" s="74"/>
      <c r="J142" s="74"/>
      <c r="K142" s="74"/>
      <c r="L142" s="74"/>
      <c r="M142" s="74"/>
      <c r="N142" s="74"/>
      <c r="O142" s="74"/>
      <c r="P142" s="74"/>
      <c r="Q142" s="74"/>
      <c r="R142" s="75"/>
      <c r="S142" s="74"/>
      <c r="T142" s="74"/>
      <c r="U142" s="74"/>
      <c r="V142" s="74"/>
      <c r="W142" s="74"/>
      <c r="X142" s="74"/>
      <c r="Y142" s="74"/>
      <c r="Z142" s="74"/>
      <c r="AA142" s="74"/>
      <c r="AB142" s="74"/>
      <c r="AC142" s="74"/>
      <c r="AD142" s="74"/>
      <c r="AE142" s="74"/>
      <c r="AF142" s="74"/>
      <c r="AG142" s="74"/>
      <c r="AH142" s="74"/>
      <c r="AI142" s="74"/>
      <c r="AJ142" s="74"/>
      <c r="AK142" s="74"/>
    </row>
    <row r="143">
      <c r="A143" s="74"/>
      <c r="B143" s="74"/>
      <c r="C143" s="74"/>
      <c r="D143" s="74"/>
      <c r="E143" s="74"/>
      <c r="F143" s="74"/>
      <c r="G143" s="74"/>
      <c r="H143" s="74"/>
      <c r="I143" s="74"/>
      <c r="J143" s="74"/>
      <c r="K143" s="74"/>
      <c r="L143" s="74"/>
      <c r="M143" s="74"/>
      <c r="N143" s="74"/>
      <c r="O143" s="74"/>
      <c r="P143" s="74"/>
      <c r="Q143" s="74"/>
      <c r="R143" s="75"/>
      <c r="S143" s="74"/>
      <c r="T143" s="74"/>
      <c r="U143" s="74"/>
      <c r="V143" s="74"/>
      <c r="W143" s="74"/>
      <c r="X143" s="74"/>
      <c r="Y143" s="74"/>
      <c r="Z143" s="74"/>
      <c r="AA143" s="74"/>
      <c r="AB143" s="74"/>
      <c r="AC143" s="74"/>
      <c r="AD143" s="74"/>
      <c r="AE143" s="74"/>
      <c r="AF143" s="74"/>
      <c r="AG143" s="74"/>
      <c r="AH143" s="74"/>
      <c r="AI143" s="74"/>
      <c r="AJ143" s="74"/>
      <c r="AK143" s="74"/>
    </row>
    <row r="144">
      <c r="A144" s="74"/>
      <c r="B144" s="74"/>
      <c r="C144" s="74"/>
      <c r="D144" s="74"/>
      <c r="E144" s="74"/>
      <c r="F144" s="74"/>
      <c r="G144" s="74"/>
      <c r="H144" s="74"/>
      <c r="I144" s="74"/>
      <c r="J144" s="74"/>
      <c r="K144" s="74"/>
      <c r="L144" s="74"/>
      <c r="M144" s="74"/>
      <c r="N144" s="74"/>
      <c r="O144" s="74"/>
      <c r="P144" s="74"/>
      <c r="Q144" s="74"/>
      <c r="R144" s="75"/>
      <c r="S144" s="74"/>
      <c r="T144" s="74"/>
      <c r="U144" s="74"/>
      <c r="V144" s="74"/>
      <c r="W144" s="74"/>
      <c r="X144" s="74"/>
      <c r="Y144" s="74"/>
      <c r="Z144" s="74"/>
      <c r="AA144" s="74"/>
      <c r="AB144" s="74"/>
      <c r="AC144" s="74"/>
      <c r="AD144" s="74"/>
      <c r="AE144" s="74"/>
      <c r="AF144" s="74"/>
      <c r="AG144" s="74"/>
      <c r="AH144" s="74"/>
      <c r="AI144" s="74"/>
      <c r="AJ144" s="74"/>
      <c r="AK144" s="74"/>
    </row>
    <row r="145">
      <c r="A145" s="74"/>
      <c r="B145" s="74"/>
      <c r="C145" s="74"/>
      <c r="D145" s="74"/>
      <c r="E145" s="74"/>
      <c r="F145" s="74"/>
      <c r="G145" s="74"/>
      <c r="H145" s="74"/>
      <c r="I145" s="74"/>
      <c r="J145" s="74"/>
      <c r="K145" s="74"/>
      <c r="L145" s="74"/>
      <c r="M145" s="74"/>
      <c r="N145" s="74"/>
      <c r="O145" s="74"/>
      <c r="P145" s="74"/>
      <c r="Q145" s="74"/>
      <c r="R145" s="75"/>
      <c r="S145" s="74"/>
      <c r="T145" s="74"/>
      <c r="U145" s="74"/>
      <c r="V145" s="74"/>
      <c r="W145" s="74"/>
      <c r="X145" s="74"/>
      <c r="Y145" s="74"/>
      <c r="Z145" s="74"/>
      <c r="AA145" s="74"/>
      <c r="AB145" s="74"/>
      <c r="AC145" s="74"/>
      <c r="AD145" s="74"/>
      <c r="AE145" s="74"/>
      <c r="AF145" s="74"/>
      <c r="AG145" s="74"/>
      <c r="AH145" s="74"/>
      <c r="AI145" s="74"/>
      <c r="AJ145" s="74"/>
      <c r="AK145" s="74"/>
    </row>
    <row r="146">
      <c r="A146" s="74"/>
      <c r="B146" s="74"/>
      <c r="C146" s="74"/>
      <c r="D146" s="74"/>
      <c r="E146" s="74"/>
      <c r="F146" s="74"/>
      <c r="G146" s="74"/>
      <c r="H146" s="74"/>
      <c r="I146" s="74"/>
      <c r="J146" s="74"/>
      <c r="K146" s="74"/>
      <c r="L146" s="74"/>
      <c r="M146" s="74"/>
      <c r="N146" s="74"/>
      <c r="O146" s="74"/>
      <c r="P146" s="74"/>
      <c r="Q146" s="74"/>
      <c r="R146" s="75"/>
      <c r="S146" s="74"/>
      <c r="T146" s="74"/>
      <c r="U146" s="74"/>
      <c r="V146" s="74"/>
      <c r="W146" s="74"/>
      <c r="X146" s="74"/>
      <c r="Y146" s="74"/>
      <c r="Z146" s="74"/>
      <c r="AA146" s="74"/>
      <c r="AB146" s="74"/>
      <c r="AC146" s="74"/>
      <c r="AD146" s="74"/>
      <c r="AE146" s="74"/>
      <c r="AF146" s="74"/>
      <c r="AG146" s="74"/>
      <c r="AH146" s="74"/>
      <c r="AI146" s="74"/>
      <c r="AJ146" s="74"/>
      <c r="AK146" s="74"/>
    </row>
    <row r="147">
      <c r="A147" s="74"/>
      <c r="B147" s="74"/>
      <c r="C147" s="74"/>
      <c r="D147" s="74"/>
      <c r="E147" s="74"/>
      <c r="F147" s="74"/>
      <c r="G147" s="74"/>
      <c r="H147" s="74"/>
      <c r="I147" s="74"/>
      <c r="J147" s="74"/>
      <c r="K147" s="74"/>
      <c r="L147" s="74"/>
      <c r="M147" s="74"/>
      <c r="N147" s="74"/>
      <c r="O147" s="74"/>
      <c r="P147" s="74"/>
      <c r="Q147" s="74"/>
      <c r="R147" s="75"/>
      <c r="S147" s="74"/>
      <c r="T147" s="74"/>
      <c r="U147" s="74"/>
      <c r="V147" s="74"/>
      <c r="W147" s="74"/>
      <c r="X147" s="74"/>
      <c r="Y147" s="74"/>
      <c r="Z147" s="74"/>
      <c r="AA147" s="74"/>
      <c r="AB147" s="74"/>
      <c r="AC147" s="74"/>
      <c r="AD147" s="74"/>
      <c r="AE147" s="74"/>
      <c r="AF147" s="74"/>
      <c r="AG147" s="74"/>
      <c r="AH147" s="74"/>
      <c r="AI147" s="74"/>
      <c r="AJ147" s="74"/>
      <c r="AK147" s="74"/>
    </row>
    <row r="148">
      <c r="A148" s="74"/>
      <c r="B148" s="74"/>
      <c r="C148" s="74"/>
      <c r="D148" s="74"/>
      <c r="E148" s="74"/>
      <c r="F148" s="74"/>
      <c r="G148" s="74"/>
      <c r="H148" s="74"/>
      <c r="I148" s="74"/>
      <c r="J148" s="74"/>
      <c r="K148" s="74"/>
      <c r="L148" s="74"/>
      <c r="M148" s="74"/>
      <c r="N148" s="74"/>
      <c r="O148" s="74"/>
      <c r="P148" s="74"/>
      <c r="Q148" s="74"/>
      <c r="R148" s="75"/>
      <c r="S148" s="74"/>
      <c r="T148" s="74"/>
      <c r="U148" s="74"/>
      <c r="V148" s="74"/>
      <c r="W148" s="74"/>
      <c r="X148" s="74"/>
      <c r="Y148" s="74"/>
      <c r="Z148" s="74"/>
      <c r="AA148" s="74"/>
      <c r="AB148" s="74"/>
      <c r="AC148" s="74"/>
      <c r="AD148" s="74"/>
      <c r="AE148" s="74"/>
      <c r="AF148" s="74"/>
      <c r="AG148" s="74"/>
      <c r="AH148" s="74"/>
      <c r="AI148" s="74"/>
      <c r="AJ148" s="74"/>
      <c r="AK148" s="74"/>
    </row>
    <row r="149">
      <c r="A149" s="74"/>
      <c r="B149" s="74"/>
      <c r="C149" s="74"/>
      <c r="D149" s="74"/>
      <c r="E149" s="74"/>
      <c r="F149" s="74"/>
      <c r="G149" s="74"/>
      <c r="H149" s="74"/>
      <c r="I149" s="74"/>
      <c r="J149" s="74"/>
      <c r="K149" s="74"/>
      <c r="L149" s="74"/>
      <c r="M149" s="74"/>
      <c r="N149" s="74"/>
      <c r="O149" s="74"/>
      <c r="P149" s="74"/>
      <c r="Q149" s="74"/>
      <c r="R149" s="75"/>
      <c r="S149" s="74"/>
      <c r="T149" s="74"/>
      <c r="U149" s="74"/>
      <c r="V149" s="74"/>
      <c r="W149" s="74"/>
      <c r="X149" s="74"/>
      <c r="Y149" s="74"/>
      <c r="Z149" s="74"/>
      <c r="AA149" s="74"/>
      <c r="AB149" s="74"/>
      <c r="AC149" s="74"/>
      <c r="AD149" s="74"/>
      <c r="AE149" s="74"/>
      <c r="AF149" s="74"/>
      <c r="AG149" s="74"/>
      <c r="AH149" s="74"/>
      <c r="AI149" s="74"/>
      <c r="AJ149" s="74"/>
      <c r="AK149" s="74"/>
    </row>
    <row r="150">
      <c r="A150" s="74"/>
      <c r="B150" s="74"/>
      <c r="C150" s="74"/>
      <c r="D150" s="74"/>
      <c r="E150" s="74"/>
      <c r="F150" s="74"/>
      <c r="G150" s="74"/>
      <c r="H150" s="74"/>
      <c r="I150" s="74"/>
      <c r="J150" s="74"/>
      <c r="K150" s="74"/>
      <c r="L150" s="74"/>
      <c r="M150" s="74"/>
      <c r="N150" s="74"/>
      <c r="O150" s="74"/>
      <c r="P150" s="74"/>
      <c r="Q150" s="74"/>
      <c r="R150" s="75"/>
      <c r="S150" s="74"/>
      <c r="T150" s="74"/>
      <c r="U150" s="74"/>
      <c r="V150" s="74"/>
      <c r="W150" s="74"/>
      <c r="X150" s="74"/>
      <c r="Y150" s="74"/>
      <c r="Z150" s="74"/>
      <c r="AA150" s="74"/>
      <c r="AB150" s="74"/>
      <c r="AC150" s="74"/>
      <c r="AD150" s="74"/>
      <c r="AE150" s="74"/>
      <c r="AF150" s="74"/>
      <c r="AG150" s="74"/>
      <c r="AH150" s="74"/>
      <c r="AI150" s="74"/>
      <c r="AJ150" s="74"/>
      <c r="AK150" s="74"/>
    </row>
    <row r="151">
      <c r="A151" s="74"/>
      <c r="B151" s="74"/>
      <c r="C151" s="74"/>
      <c r="D151" s="74"/>
      <c r="E151" s="74"/>
      <c r="F151" s="74"/>
      <c r="G151" s="74"/>
      <c r="H151" s="74"/>
      <c r="I151" s="74"/>
      <c r="J151" s="74"/>
      <c r="K151" s="74"/>
      <c r="L151" s="74"/>
      <c r="M151" s="74"/>
      <c r="N151" s="74"/>
      <c r="O151" s="74"/>
      <c r="P151" s="74"/>
      <c r="Q151" s="74"/>
      <c r="R151" s="75"/>
      <c r="S151" s="74"/>
      <c r="T151" s="74"/>
      <c r="U151" s="74"/>
      <c r="V151" s="74"/>
      <c r="W151" s="74"/>
      <c r="X151" s="74"/>
      <c r="Y151" s="74"/>
      <c r="Z151" s="74"/>
      <c r="AA151" s="74"/>
      <c r="AB151" s="74"/>
      <c r="AC151" s="74"/>
      <c r="AD151" s="74"/>
      <c r="AE151" s="74"/>
      <c r="AF151" s="74"/>
      <c r="AG151" s="74"/>
      <c r="AH151" s="74"/>
      <c r="AI151" s="74"/>
      <c r="AJ151" s="74"/>
      <c r="AK151" s="74"/>
    </row>
    <row r="152">
      <c r="A152" s="74"/>
      <c r="B152" s="74"/>
      <c r="C152" s="74"/>
      <c r="D152" s="74"/>
      <c r="E152" s="74"/>
      <c r="F152" s="74"/>
      <c r="G152" s="74"/>
      <c r="H152" s="74"/>
      <c r="I152" s="74"/>
      <c r="J152" s="74"/>
      <c r="K152" s="74"/>
      <c r="L152" s="74"/>
      <c r="M152" s="74"/>
      <c r="N152" s="74"/>
      <c r="O152" s="74"/>
      <c r="P152" s="74"/>
      <c r="Q152" s="74"/>
      <c r="R152" s="75"/>
      <c r="S152" s="74"/>
      <c r="T152" s="74"/>
      <c r="U152" s="74"/>
      <c r="V152" s="74"/>
      <c r="W152" s="74"/>
      <c r="X152" s="74"/>
      <c r="Y152" s="74"/>
      <c r="Z152" s="74"/>
      <c r="AA152" s="74"/>
      <c r="AB152" s="74"/>
      <c r="AC152" s="74"/>
      <c r="AD152" s="74"/>
      <c r="AE152" s="74"/>
      <c r="AF152" s="74"/>
      <c r="AG152" s="74"/>
      <c r="AH152" s="74"/>
      <c r="AI152" s="74"/>
      <c r="AJ152" s="74"/>
      <c r="AK152" s="74"/>
    </row>
    <row r="153">
      <c r="A153" s="74"/>
      <c r="B153" s="74"/>
      <c r="C153" s="74"/>
      <c r="D153" s="74"/>
      <c r="E153" s="74"/>
      <c r="F153" s="74"/>
      <c r="G153" s="74"/>
      <c r="H153" s="74"/>
      <c r="I153" s="74"/>
      <c r="J153" s="74"/>
      <c r="K153" s="74"/>
      <c r="L153" s="74"/>
      <c r="M153" s="74"/>
      <c r="N153" s="74"/>
      <c r="O153" s="74"/>
      <c r="P153" s="74"/>
      <c r="Q153" s="74"/>
      <c r="R153" s="75"/>
      <c r="S153" s="74"/>
      <c r="T153" s="74"/>
      <c r="U153" s="74"/>
      <c r="V153" s="74"/>
      <c r="W153" s="74"/>
      <c r="X153" s="74"/>
      <c r="Y153" s="74"/>
      <c r="Z153" s="74"/>
      <c r="AA153" s="74"/>
      <c r="AB153" s="74"/>
      <c r="AC153" s="74"/>
      <c r="AD153" s="74"/>
      <c r="AE153" s="74"/>
      <c r="AF153" s="74"/>
      <c r="AG153" s="74"/>
      <c r="AH153" s="74"/>
      <c r="AI153" s="74"/>
      <c r="AJ153" s="74"/>
      <c r="AK153" s="74"/>
    </row>
    <row r="154">
      <c r="A154" s="74"/>
      <c r="B154" s="74"/>
      <c r="C154" s="74"/>
      <c r="D154" s="74"/>
      <c r="E154" s="74"/>
      <c r="F154" s="74"/>
      <c r="G154" s="74"/>
      <c r="H154" s="74"/>
      <c r="I154" s="74"/>
      <c r="J154" s="74"/>
      <c r="K154" s="74"/>
      <c r="L154" s="74"/>
      <c r="M154" s="74"/>
      <c r="N154" s="74"/>
      <c r="O154" s="74"/>
      <c r="P154" s="74"/>
      <c r="Q154" s="74"/>
      <c r="R154" s="75"/>
      <c r="S154" s="74"/>
      <c r="T154" s="74"/>
      <c r="U154" s="74"/>
      <c r="V154" s="74"/>
      <c r="W154" s="74"/>
      <c r="X154" s="74"/>
      <c r="Y154" s="74"/>
      <c r="Z154" s="74"/>
      <c r="AA154" s="74"/>
      <c r="AB154" s="74"/>
      <c r="AC154" s="74"/>
      <c r="AD154" s="74"/>
      <c r="AE154" s="74"/>
      <c r="AF154" s="74"/>
      <c r="AG154" s="74"/>
      <c r="AH154" s="74"/>
      <c r="AI154" s="74"/>
      <c r="AJ154" s="74"/>
      <c r="AK154" s="74"/>
    </row>
    <row r="155">
      <c r="A155" s="74"/>
      <c r="B155" s="74"/>
      <c r="C155" s="74"/>
      <c r="D155" s="74"/>
      <c r="E155" s="74"/>
      <c r="F155" s="74"/>
      <c r="G155" s="74"/>
      <c r="H155" s="74"/>
      <c r="I155" s="74"/>
      <c r="J155" s="74"/>
      <c r="K155" s="74"/>
      <c r="L155" s="74"/>
      <c r="M155" s="74"/>
      <c r="N155" s="74"/>
      <c r="O155" s="74"/>
      <c r="P155" s="74"/>
      <c r="Q155" s="74"/>
      <c r="R155" s="75"/>
      <c r="S155" s="74"/>
      <c r="T155" s="74"/>
      <c r="U155" s="74"/>
      <c r="V155" s="74"/>
      <c r="W155" s="74"/>
      <c r="X155" s="74"/>
      <c r="Y155" s="74"/>
      <c r="Z155" s="74"/>
      <c r="AA155" s="74"/>
      <c r="AB155" s="74"/>
      <c r="AC155" s="74"/>
      <c r="AD155" s="74"/>
      <c r="AE155" s="74"/>
      <c r="AF155" s="74"/>
      <c r="AG155" s="74"/>
      <c r="AH155" s="74"/>
      <c r="AI155" s="74"/>
      <c r="AJ155" s="74"/>
      <c r="AK155" s="74"/>
    </row>
    <row r="156">
      <c r="A156" s="74"/>
      <c r="B156" s="74"/>
      <c r="C156" s="74"/>
      <c r="D156" s="74"/>
      <c r="E156" s="74"/>
      <c r="F156" s="74"/>
      <c r="G156" s="74"/>
      <c r="H156" s="74"/>
      <c r="I156" s="74"/>
      <c r="J156" s="74"/>
      <c r="K156" s="74"/>
      <c r="L156" s="74"/>
      <c r="M156" s="74"/>
      <c r="N156" s="74"/>
      <c r="O156" s="74"/>
      <c r="P156" s="74"/>
      <c r="Q156" s="74"/>
      <c r="R156" s="75"/>
      <c r="S156" s="74"/>
      <c r="T156" s="74"/>
      <c r="U156" s="74"/>
      <c r="V156" s="74"/>
      <c r="W156" s="74"/>
      <c r="X156" s="74"/>
      <c r="Y156" s="74"/>
      <c r="Z156" s="74"/>
      <c r="AA156" s="74"/>
      <c r="AB156" s="74"/>
      <c r="AC156" s="74"/>
      <c r="AD156" s="74"/>
      <c r="AE156" s="74"/>
      <c r="AF156" s="74"/>
      <c r="AG156" s="74"/>
      <c r="AH156" s="74"/>
      <c r="AI156" s="74"/>
      <c r="AJ156" s="74"/>
      <c r="AK156" s="74"/>
    </row>
    <row r="157">
      <c r="A157" s="74"/>
      <c r="B157" s="74"/>
      <c r="C157" s="74"/>
      <c r="D157" s="74"/>
      <c r="E157" s="74"/>
      <c r="F157" s="74"/>
      <c r="G157" s="74"/>
      <c r="H157" s="74"/>
      <c r="I157" s="74"/>
      <c r="J157" s="74"/>
      <c r="K157" s="74"/>
      <c r="L157" s="74"/>
      <c r="M157" s="74"/>
      <c r="N157" s="74"/>
      <c r="O157" s="74"/>
      <c r="P157" s="74"/>
      <c r="Q157" s="74"/>
      <c r="R157" s="75"/>
      <c r="S157" s="74"/>
      <c r="T157" s="74"/>
      <c r="U157" s="74"/>
      <c r="V157" s="74"/>
      <c r="W157" s="74"/>
      <c r="X157" s="74"/>
      <c r="Y157" s="74"/>
      <c r="Z157" s="74"/>
      <c r="AA157" s="74"/>
      <c r="AB157" s="74"/>
      <c r="AC157" s="74"/>
      <c r="AD157" s="74"/>
      <c r="AE157" s="74"/>
      <c r="AF157" s="74"/>
      <c r="AG157" s="74"/>
      <c r="AH157" s="74"/>
      <c r="AI157" s="74"/>
      <c r="AJ157" s="74"/>
      <c r="AK157" s="74"/>
    </row>
    <row r="158">
      <c r="A158" s="74"/>
      <c r="B158" s="74"/>
      <c r="C158" s="74"/>
      <c r="D158" s="74"/>
      <c r="E158" s="74"/>
      <c r="F158" s="74"/>
      <c r="G158" s="74"/>
      <c r="H158" s="74"/>
      <c r="I158" s="74"/>
      <c r="J158" s="74"/>
      <c r="K158" s="74"/>
      <c r="L158" s="74"/>
      <c r="M158" s="74"/>
      <c r="N158" s="74"/>
      <c r="O158" s="74"/>
      <c r="P158" s="74"/>
      <c r="Q158" s="74"/>
      <c r="R158" s="75"/>
      <c r="S158" s="74"/>
      <c r="T158" s="74"/>
      <c r="U158" s="74"/>
      <c r="V158" s="74"/>
      <c r="W158" s="74"/>
      <c r="X158" s="74"/>
      <c r="Y158" s="74"/>
      <c r="Z158" s="74"/>
      <c r="AA158" s="74"/>
      <c r="AB158" s="74"/>
      <c r="AC158" s="74"/>
      <c r="AD158" s="74"/>
      <c r="AE158" s="74"/>
      <c r="AF158" s="74"/>
      <c r="AG158" s="74"/>
      <c r="AH158" s="74"/>
      <c r="AI158" s="74"/>
      <c r="AJ158" s="74"/>
      <c r="AK158" s="74"/>
    </row>
    <row r="159">
      <c r="A159" s="74"/>
      <c r="B159" s="74"/>
      <c r="C159" s="74"/>
      <c r="D159" s="74"/>
      <c r="E159" s="74"/>
      <c r="F159" s="74"/>
      <c r="G159" s="74"/>
      <c r="H159" s="74"/>
      <c r="I159" s="74"/>
      <c r="J159" s="74"/>
      <c r="K159" s="74"/>
      <c r="L159" s="74"/>
      <c r="M159" s="74"/>
      <c r="N159" s="74"/>
      <c r="O159" s="74"/>
      <c r="P159" s="74"/>
      <c r="Q159" s="74"/>
      <c r="R159" s="75"/>
      <c r="S159" s="74"/>
      <c r="T159" s="74"/>
      <c r="U159" s="74"/>
      <c r="V159" s="74"/>
      <c r="W159" s="74"/>
      <c r="X159" s="74"/>
      <c r="Y159" s="74"/>
      <c r="Z159" s="74"/>
      <c r="AA159" s="74"/>
      <c r="AB159" s="74"/>
      <c r="AC159" s="74"/>
      <c r="AD159" s="74"/>
      <c r="AE159" s="74"/>
      <c r="AF159" s="74"/>
      <c r="AG159" s="74"/>
      <c r="AH159" s="74"/>
      <c r="AI159" s="74"/>
      <c r="AJ159" s="74"/>
      <c r="AK159" s="74"/>
    </row>
    <row r="160">
      <c r="A160" s="74"/>
      <c r="B160" s="74"/>
      <c r="C160" s="74"/>
      <c r="D160" s="74"/>
      <c r="E160" s="74"/>
      <c r="F160" s="74"/>
      <c r="G160" s="74"/>
      <c r="H160" s="74"/>
      <c r="I160" s="74"/>
      <c r="J160" s="74"/>
      <c r="K160" s="74"/>
      <c r="L160" s="74"/>
      <c r="M160" s="74"/>
      <c r="N160" s="74"/>
      <c r="O160" s="74"/>
      <c r="P160" s="74"/>
      <c r="Q160" s="74"/>
      <c r="R160" s="75"/>
      <c r="S160" s="74"/>
      <c r="T160" s="74"/>
      <c r="U160" s="74"/>
      <c r="V160" s="74"/>
      <c r="W160" s="74"/>
      <c r="X160" s="74"/>
      <c r="Y160" s="74"/>
      <c r="Z160" s="74"/>
      <c r="AA160" s="74"/>
      <c r="AB160" s="74"/>
      <c r="AC160" s="74"/>
      <c r="AD160" s="74"/>
      <c r="AE160" s="74"/>
      <c r="AF160" s="74"/>
      <c r="AG160" s="74"/>
      <c r="AH160" s="74"/>
      <c r="AI160" s="74"/>
      <c r="AJ160" s="74"/>
      <c r="AK160" s="74"/>
    </row>
    <row r="161">
      <c r="A161" s="74"/>
      <c r="B161" s="74"/>
      <c r="C161" s="74"/>
      <c r="D161" s="74"/>
      <c r="E161" s="74"/>
      <c r="F161" s="74"/>
      <c r="G161" s="74"/>
      <c r="H161" s="74"/>
      <c r="I161" s="74"/>
      <c r="J161" s="74"/>
      <c r="K161" s="74"/>
      <c r="L161" s="74"/>
      <c r="M161" s="74"/>
      <c r="N161" s="74"/>
      <c r="O161" s="74"/>
      <c r="P161" s="74"/>
      <c r="Q161" s="74"/>
      <c r="R161" s="75"/>
      <c r="S161" s="74"/>
      <c r="T161" s="74"/>
      <c r="U161" s="74"/>
      <c r="V161" s="74"/>
      <c r="W161" s="74"/>
      <c r="X161" s="74"/>
      <c r="Y161" s="74"/>
      <c r="Z161" s="74"/>
      <c r="AA161" s="74"/>
      <c r="AB161" s="74"/>
      <c r="AC161" s="74"/>
      <c r="AD161" s="74"/>
      <c r="AE161" s="74"/>
      <c r="AF161" s="74"/>
      <c r="AG161" s="74"/>
      <c r="AH161" s="74"/>
      <c r="AI161" s="74"/>
      <c r="AJ161" s="74"/>
      <c r="AK161" s="74"/>
    </row>
    <row r="162">
      <c r="A162" s="74"/>
      <c r="B162" s="74"/>
      <c r="C162" s="74"/>
      <c r="D162" s="74"/>
      <c r="E162" s="74"/>
      <c r="F162" s="74"/>
      <c r="G162" s="74"/>
      <c r="H162" s="74"/>
      <c r="I162" s="74"/>
      <c r="J162" s="74"/>
      <c r="K162" s="74"/>
      <c r="L162" s="74"/>
      <c r="M162" s="74"/>
      <c r="N162" s="74"/>
      <c r="O162" s="74"/>
      <c r="P162" s="74"/>
      <c r="Q162" s="74"/>
      <c r="R162" s="75"/>
      <c r="S162" s="74"/>
      <c r="T162" s="74"/>
      <c r="U162" s="74"/>
      <c r="V162" s="74"/>
      <c r="W162" s="74"/>
      <c r="X162" s="74"/>
      <c r="Y162" s="74"/>
      <c r="Z162" s="74"/>
      <c r="AA162" s="74"/>
      <c r="AB162" s="74"/>
      <c r="AC162" s="74"/>
      <c r="AD162" s="74"/>
      <c r="AE162" s="74"/>
      <c r="AF162" s="74"/>
      <c r="AG162" s="74"/>
      <c r="AH162" s="74"/>
      <c r="AI162" s="74"/>
      <c r="AJ162" s="74"/>
      <c r="AK162" s="74"/>
    </row>
    <row r="163">
      <c r="A163" s="74"/>
      <c r="B163" s="74"/>
      <c r="C163" s="74"/>
      <c r="D163" s="74"/>
      <c r="E163" s="74"/>
      <c r="F163" s="74"/>
      <c r="G163" s="74"/>
      <c r="H163" s="74"/>
      <c r="I163" s="74"/>
      <c r="J163" s="74"/>
      <c r="K163" s="74"/>
      <c r="L163" s="74"/>
      <c r="M163" s="74"/>
      <c r="N163" s="74"/>
      <c r="O163" s="74"/>
      <c r="P163" s="74"/>
      <c r="Q163" s="74"/>
      <c r="R163" s="75"/>
      <c r="S163" s="74"/>
      <c r="T163" s="74"/>
      <c r="U163" s="74"/>
      <c r="V163" s="74"/>
      <c r="W163" s="74"/>
      <c r="X163" s="74"/>
      <c r="Y163" s="74"/>
      <c r="Z163" s="74"/>
      <c r="AA163" s="74"/>
      <c r="AB163" s="74"/>
      <c r="AC163" s="74"/>
      <c r="AD163" s="74"/>
      <c r="AE163" s="74"/>
      <c r="AF163" s="74"/>
      <c r="AG163" s="74"/>
      <c r="AH163" s="74"/>
      <c r="AI163" s="74"/>
      <c r="AJ163" s="74"/>
      <c r="AK163" s="74"/>
    </row>
    <row r="164">
      <c r="A164" s="74"/>
      <c r="B164" s="74"/>
      <c r="C164" s="74"/>
      <c r="D164" s="74"/>
      <c r="E164" s="74"/>
      <c r="F164" s="74"/>
      <c r="G164" s="74"/>
      <c r="H164" s="74"/>
      <c r="I164" s="74"/>
      <c r="J164" s="74"/>
      <c r="K164" s="74"/>
      <c r="L164" s="74"/>
      <c r="M164" s="74"/>
      <c r="N164" s="74"/>
      <c r="O164" s="74"/>
      <c r="P164" s="74"/>
      <c r="Q164" s="74"/>
      <c r="R164" s="75"/>
      <c r="S164" s="74"/>
      <c r="T164" s="74"/>
      <c r="U164" s="74"/>
      <c r="V164" s="74"/>
      <c r="W164" s="74"/>
      <c r="X164" s="74"/>
      <c r="Y164" s="74"/>
      <c r="Z164" s="74"/>
      <c r="AA164" s="74"/>
      <c r="AB164" s="74"/>
      <c r="AC164" s="74"/>
      <c r="AD164" s="74"/>
      <c r="AE164" s="74"/>
      <c r="AF164" s="74"/>
      <c r="AG164" s="74"/>
      <c r="AH164" s="74"/>
      <c r="AI164" s="74"/>
      <c r="AJ164" s="74"/>
      <c r="AK164" s="74"/>
    </row>
    <row r="165">
      <c r="A165" s="74"/>
      <c r="B165" s="74"/>
      <c r="C165" s="74"/>
      <c r="D165" s="74"/>
      <c r="E165" s="74"/>
      <c r="F165" s="74"/>
      <c r="G165" s="74"/>
      <c r="H165" s="74"/>
      <c r="I165" s="74"/>
      <c r="J165" s="74"/>
      <c r="K165" s="74"/>
      <c r="L165" s="74"/>
      <c r="M165" s="74"/>
      <c r="N165" s="74"/>
      <c r="O165" s="74"/>
      <c r="P165" s="74"/>
      <c r="Q165" s="74"/>
      <c r="R165" s="75"/>
      <c r="S165" s="74"/>
      <c r="T165" s="74"/>
      <c r="U165" s="74"/>
      <c r="V165" s="74"/>
      <c r="W165" s="74"/>
      <c r="X165" s="74"/>
      <c r="Y165" s="74"/>
      <c r="Z165" s="74"/>
      <c r="AA165" s="74"/>
      <c r="AB165" s="74"/>
      <c r="AC165" s="74"/>
      <c r="AD165" s="74"/>
      <c r="AE165" s="74"/>
      <c r="AF165" s="74"/>
      <c r="AG165" s="74"/>
      <c r="AH165" s="74"/>
      <c r="AI165" s="74"/>
      <c r="AJ165" s="74"/>
      <c r="AK165" s="74"/>
    </row>
    <row r="166">
      <c r="A166" s="74"/>
      <c r="B166" s="74"/>
      <c r="C166" s="74"/>
      <c r="D166" s="74"/>
      <c r="E166" s="74"/>
      <c r="F166" s="74"/>
      <c r="G166" s="74"/>
      <c r="H166" s="74"/>
      <c r="I166" s="74"/>
      <c r="J166" s="74"/>
      <c r="K166" s="74"/>
      <c r="L166" s="74"/>
      <c r="M166" s="74"/>
      <c r="N166" s="74"/>
      <c r="O166" s="74"/>
      <c r="P166" s="74"/>
      <c r="Q166" s="74"/>
      <c r="R166" s="75"/>
      <c r="S166" s="74"/>
      <c r="T166" s="74"/>
      <c r="U166" s="74"/>
      <c r="V166" s="74"/>
      <c r="W166" s="74"/>
      <c r="X166" s="74"/>
      <c r="Y166" s="74"/>
      <c r="Z166" s="74"/>
      <c r="AA166" s="74"/>
      <c r="AB166" s="74"/>
      <c r="AC166" s="74"/>
      <c r="AD166" s="74"/>
      <c r="AE166" s="74"/>
      <c r="AF166" s="74"/>
      <c r="AG166" s="74"/>
      <c r="AH166" s="74"/>
      <c r="AI166" s="74"/>
      <c r="AJ166" s="74"/>
      <c r="AK166" s="74"/>
    </row>
    <row r="167">
      <c r="A167" s="74"/>
      <c r="B167" s="74"/>
      <c r="C167" s="74"/>
      <c r="D167" s="74"/>
      <c r="E167" s="74"/>
      <c r="F167" s="74"/>
      <c r="G167" s="74"/>
      <c r="H167" s="74"/>
      <c r="I167" s="74"/>
      <c r="J167" s="74"/>
      <c r="K167" s="74"/>
      <c r="L167" s="74"/>
      <c r="M167" s="74"/>
      <c r="N167" s="74"/>
      <c r="O167" s="74"/>
      <c r="P167" s="74"/>
      <c r="Q167" s="74"/>
      <c r="R167" s="75"/>
      <c r="S167" s="74"/>
      <c r="T167" s="74"/>
      <c r="U167" s="74"/>
      <c r="V167" s="74"/>
      <c r="W167" s="74"/>
      <c r="X167" s="74"/>
      <c r="Y167" s="74"/>
      <c r="Z167" s="74"/>
      <c r="AA167" s="74"/>
      <c r="AB167" s="74"/>
      <c r="AC167" s="74"/>
      <c r="AD167" s="74"/>
      <c r="AE167" s="74"/>
      <c r="AF167" s="74"/>
      <c r="AG167" s="74"/>
      <c r="AH167" s="74"/>
      <c r="AI167" s="74"/>
      <c r="AJ167" s="74"/>
      <c r="AK167" s="74"/>
    </row>
    <row r="168">
      <c r="A168" s="74"/>
      <c r="B168" s="74"/>
      <c r="C168" s="74"/>
      <c r="D168" s="74"/>
      <c r="E168" s="74"/>
      <c r="F168" s="74"/>
      <c r="G168" s="74"/>
      <c r="H168" s="74"/>
      <c r="I168" s="74"/>
      <c r="J168" s="74"/>
      <c r="K168" s="74"/>
      <c r="L168" s="74"/>
      <c r="M168" s="74"/>
      <c r="N168" s="74"/>
      <c r="O168" s="74"/>
      <c r="P168" s="74"/>
      <c r="Q168" s="74"/>
      <c r="R168" s="75"/>
      <c r="S168" s="74"/>
      <c r="T168" s="74"/>
      <c r="U168" s="74"/>
      <c r="V168" s="74"/>
      <c r="W168" s="74"/>
      <c r="X168" s="74"/>
      <c r="Y168" s="74"/>
      <c r="Z168" s="74"/>
      <c r="AA168" s="74"/>
      <c r="AB168" s="74"/>
      <c r="AC168" s="74"/>
      <c r="AD168" s="74"/>
      <c r="AE168" s="74"/>
      <c r="AF168" s="74"/>
      <c r="AG168" s="74"/>
      <c r="AH168" s="74"/>
      <c r="AI168" s="74"/>
      <c r="AJ168" s="74"/>
      <c r="AK168" s="74"/>
    </row>
    <row r="169">
      <c r="A169" s="74"/>
      <c r="B169" s="74"/>
      <c r="C169" s="74"/>
      <c r="D169" s="74"/>
      <c r="E169" s="74"/>
      <c r="F169" s="74"/>
      <c r="G169" s="74"/>
      <c r="H169" s="74"/>
      <c r="I169" s="74"/>
      <c r="J169" s="74"/>
      <c r="K169" s="74"/>
      <c r="L169" s="74"/>
      <c r="M169" s="74"/>
      <c r="N169" s="74"/>
      <c r="O169" s="74"/>
      <c r="P169" s="74"/>
      <c r="Q169" s="74"/>
      <c r="R169" s="75"/>
      <c r="S169" s="74"/>
      <c r="T169" s="74"/>
      <c r="U169" s="74"/>
      <c r="V169" s="74"/>
      <c r="W169" s="74"/>
      <c r="X169" s="74"/>
      <c r="Y169" s="74"/>
      <c r="Z169" s="74"/>
      <c r="AA169" s="74"/>
      <c r="AB169" s="74"/>
      <c r="AC169" s="74"/>
      <c r="AD169" s="74"/>
      <c r="AE169" s="74"/>
      <c r="AF169" s="74"/>
      <c r="AG169" s="74"/>
      <c r="AH169" s="74"/>
      <c r="AI169" s="74"/>
      <c r="AJ169" s="74"/>
      <c r="AK169" s="74"/>
    </row>
    <row r="170">
      <c r="A170" s="74"/>
      <c r="B170" s="74"/>
      <c r="C170" s="74"/>
      <c r="D170" s="74"/>
      <c r="E170" s="74"/>
      <c r="F170" s="74"/>
      <c r="G170" s="74"/>
      <c r="H170" s="74"/>
      <c r="I170" s="74"/>
      <c r="J170" s="74"/>
      <c r="K170" s="74"/>
      <c r="L170" s="74"/>
      <c r="M170" s="74"/>
      <c r="N170" s="74"/>
      <c r="O170" s="74"/>
      <c r="P170" s="74"/>
      <c r="Q170" s="74"/>
      <c r="R170" s="75"/>
      <c r="S170" s="74"/>
      <c r="T170" s="74"/>
      <c r="U170" s="74"/>
      <c r="V170" s="74"/>
      <c r="W170" s="74"/>
      <c r="X170" s="74"/>
      <c r="Y170" s="74"/>
      <c r="Z170" s="74"/>
      <c r="AA170" s="74"/>
      <c r="AB170" s="74"/>
      <c r="AC170" s="74"/>
      <c r="AD170" s="74"/>
      <c r="AE170" s="74"/>
      <c r="AF170" s="74"/>
      <c r="AG170" s="74"/>
      <c r="AH170" s="74"/>
      <c r="AI170" s="74"/>
      <c r="AJ170" s="74"/>
      <c r="AK170" s="74"/>
    </row>
    <row r="171">
      <c r="A171" s="74"/>
      <c r="B171" s="74"/>
      <c r="C171" s="74"/>
      <c r="D171" s="74"/>
      <c r="E171" s="74"/>
      <c r="F171" s="74"/>
      <c r="G171" s="74"/>
      <c r="H171" s="74"/>
      <c r="I171" s="74"/>
      <c r="J171" s="74"/>
      <c r="K171" s="74"/>
      <c r="L171" s="74"/>
      <c r="M171" s="74"/>
      <c r="N171" s="74"/>
      <c r="O171" s="74"/>
      <c r="P171" s="74"/>
      <c r="Q171" s="74"/>
      <c r="R171" s="75"/>
      <c r="S171" s="74"/>
      <c r="T171" s="74"/>
      <c r="U171" s="74"/>
      <c r="V171" s="74"/>
      <c r="W171" s="74"/>
      <c r="X171" s="74"/>
      <c r="Y171" s="74"/>
      <c r="Z171" s="74"/>
      <c r="AA171" s="74"/>
      <c r="AB171" s="74"/>
      <c r="AC171" s="74"/>
      <c r="AD171" s="74"/>
      <c r="AE171" s="74"/>
      <c r="AF171" s="74"/>
      <c r="AG171" s="74"/>
      <c r="AH171" s="74"/>
      <c r="AI171" s="74"/>
      <c r="AJ171" s="74"/>
      <c r="AK171" s="74"/>
    </row>
    <row r="172">
      <c r="A172" s="74"/>
      <c r="B172" s="74"/>
      <c r="C172" s="74"/>
      <c r="D172" s="74"/>
      <c r="E172" s="74"/>
      <c r="F172" s="74"/>
      <c r="G172" s="74"/>
      <c r="H172" s="74"/>
      <c r="I172" s="74"/>
      <c r="J172" s="74"/>
      <c r="K172" s="74"/>
      <c r="L172" s="74"/>
      <c r="M172" s="74"/>
      <c r="N172" s="74"/>
      <c r="O172" s="74"/>
      <c r="P172" s="74"/>
      <c r="Q172" s="74"/>
      <c r="R172" s="75"/>
      <c r="S172" s="74"/>
      <c r="T172" s="74"/>
      <c r="U172" s="74"/>
      <c r="V172" s="74"/>
      <c r="W172" s="74"/>
      <c r="X172" s="74"/>
      <c r="Y172" s="74"/>
      <c r="Z172" s="74"/>
      <c r="AA172" s="74"/>
      <c r="AB172" s="74"/>
      <c r="AC172" s="74"/>
      <c r="AD172" s="74"/>
      <c r="AE172" s="74"/>
      <c r="AF172" s="74"/>
      <c r="AG172" s="74"/>
      <c r="AH172" s="74"/>
      <c r="AI172" s="74"/>
      <c r="AJ172" s="74"/>
      <c r="AK172" s="74"/>
    </row>
    <row r="173">
      <c r="A173" s="74"/>
      <c r="B173" s="74"/>
      <c r="C173" s="74"/>
      <c r="D173" s="74"/>
      <c r="E173" s="74"/>
      <c r="F173" s="74"/>
      <c r="G173" s="74"/>
      <c r="H173" s="74"/>
      <c r="I173" s="74"/>
      <c r="J173" s="74"/>
      <c r="K173" s="74"/>
      <c r="L173" s="74"/>
      <c r="M173" s="74"/>
      <c r="N173" s="74"/>
      <c r="O173" s="74"/>
      <c r="P173" s="74"/>
      <c r="Q173" s="74"/>
      <c r="R173" s="75"/>
      <c r="S173" s="74"/>
      <c r="T173" s="74"/>
      <c r="U173" s="74"/>
      <c r="V173" s="74"/>
      <c r="W173" s="74"/>
      <c r="X173" s="74"/>
      <c r="Y173" s="74"/>
      <c r="Z173" s="74"/>
      <c r="AA173" s="74"/>
      <c r="AB173" s="74"/>
      <c r="AC173" s="74"/>
      <c r="AD173" s="74"/>
      <c r="AE173" s="74"/>
      <c r="AF173" s="74"/>
      <c r="AG173" s="74"/>
      <c r="AH173" s="74"/>
      <c r="AI173" s="74"/>
      <c r="AJ173" s="74"/>
      <c r="AK173" s="74"/>
    </row>
    <row r="174">
      <c r="A174" s="74"/>
      <c r="B174" s="74"/>
      <c r="C174" s="74"/>
      <c r="D174" s="74"/>
      <c r="E174" s="74"/>
      <c r="F174" s="74"/>
      <c r="G174" s="74"/>
      <c r="H174" s="74"/>
      <c r="I174" s="74"/>
      <c r="J174" s="74"/>
      <c r="K174" s="74"/>
      <c r="L174" s="74"/>
      <c r="M174" s="74"/>
      <c r="N174" s="74"/>
      <c r="O174" s="74"/>
      <c r="P174" s="74"/>
      <c r="Q174" s="74"/>
      <c r="R174" s="75"/>
      <c r="S174" s="74"/>
      <c r="T174" s="74"/>
      <c r="U174" s="74"/>
      <c r="V174" s="74"/>
      <c r="W174" s="74"/>
      <c r="X174" s="74"/>
      <c r="Y174" s="74"/>
      <c r="Z174" s="74"/>
      <c r="AA174" s="74"/>
      <c r="AB174" s="74"/>
      <c r="AC174" s="74"/>
      <c r="AD174" s="74"/>
      <c r="AE174" s="74"/>
      <c r="AF174" s="74"/>
      <c r="AG174" s="74"/>
      <c r="AH174" s="74"/>
      <c r="AI174" s="74"/>
      <c r="AJ174" s="74"/>
      <c r="AK174" s="74"/>
    </row>
    <row r="175">
      <c r="A175" s="74"/>
      <c r="B175" s="74"/>
      <c r="C175" s="74"/>
      <c r="D175" s="74"/>
      <c r="E175" s="74"/>
      <c r="F175" s="74"/>
      <c r="G175" s="74"/>
      <c r="H175" s="74"/>
      <c r="I175" s="74"/>
      <c r="J175" s="74"/>
      <c r="K175" s="74"/>
      <c r="L175" s="74"/>
      <c r="M175" s="74"/>
      <c r="N175" s="74"/>
      <c r="O175" s="74"/>
      <c r="P175" s="74"/>
      <c r="Q175" s="74"/>
      <c r="R175" s="75"/>
      <c r="S175" s="74"/>
      <c r="T175" s="74"/>
      <c r="U175" s="74"/>
      <c r="V175" s="74"/>
      <c r="W175" s="74"/>
      <c r="X175" s="74"/>
      <c r="Y175" s="74"/>
      <c r="Z175" s="74"/>
      <c r="AA175" s="74"/>
      <c r="AB175" s="74"/>
      <c r="AC175" s="74"/>
      <c r="AD175" s="74"/>
      <c r="AE175" s="74"/>
      <c r="AF175" s="74"/>
      <c r="AG175" s="74"/>
      <c r="AH175" s="74"/>
      <c r="AI175" s="74"/>
      <c r="AJ175" s="74"/>
      <c r="AK175" s="74"/>
    </row>
    <row r="176">
      <c r="A176" s="74"/>
      <c r="B176" s="74"/>
      <c r="C176" s="74"/>
      <c r="D176" s="74"/>
      <c r="E176" s="74"/>
      <c r="F176" s="74"/>
      <c r="G176" s="74"/>
      <c r="H176" s="74"/>
      <c r="I176" s="74"/>
      <c r="J176" s="74"/>
      <c r="K176" s="74"/>
      <c r="L176" s="74"/>
      <c r="M176" s="74"/>
      <c r="N176" s="74"/>
      <c r="O176" s="74"/>
      <c r="P176" s="74"/>
      <c r="Q176" s="74"/>
      <c r="R176" s="75"/>
      <c r="S176" s="74"/>
      <c r="T176" s="74"/>
      <c r="U176" s="74"/>
      <c r="V176" s="74"/>
      <c r="W176" s="74"/>
      <c r="X176" s="74"/>
      <c r="Y176" s="74"/>
      <c r="Z176" s="74"/>
      <c r="AA176" s="74"/>
      <c r="AB176" s="74"/>
      <c r="AC176" s="74"/>
      <c r="AD176" s="74"/>
      <c r="AE176" s="74"/>
      <c r="AF176" s="74"/>
      <c r="AG176" s="74"/>
      <c r="AH176" s="74"/>
      <c r="AI176" s="74"/>
      <c r="AJ176" s="74"/>
      <c r="AK176" s="74"/>
    </row>
    <row r="177">
      <c r="A177" s="74"/>
      <c r="B177" s="74"/>
      <c r="C177" s="74"/>
      <c r="D177" s="74"/>
      <c r="E177" s="74"/>
      <c r="F177" s="74"/>
      <c r="G177" s="74"/>
      <c r="H177" s="74"/>
      <c r="I177" s="74"/>
      <c r="J177" s="74"/>
      <c r="K177" s="74"/>
      <c r="L177" s="74"/>
      <c r="M177" s="74"/>
      <c r="N177" s="74"/>
      <c r="O177" s="74"/>
      <c r="P177" s="74"/>
      <c r="Q177" s="74"/>
      <c r="R177" s="75"/>
      <c r="S177" s="74"/>
      <c r="T177" s="74"/>
      <c r="U177" s="74"/>
      <c r="V177" s="74"/>
      <c r="W177" s="74"/>
      <c r="X177" s="74"/>
      <c r="Y177" s="74"/>
      <c r="Z177" s="74"/>
      <c r="AA177" s="74"/>
      <c r="AB177" s="74"/>
      <c r="AC177" s="74"/>
      <c r="AD177" s="74"/>
      <c r="AE177" s="74"/>
      <c r="AF177" s="74"/>
      <c r="AG177" s="74"/>
      <c r="AH177" s="74"/>
      <c r="AI177" s="74"/>
      <c r="AJ177" s="74"/>
      <c r="AK177" s="74"/>
    </row>
    <row r="178">
      <c r="A178" s="74"/>
      <c r="B178" s="74"/>
      <c r="C178" s="74"/>
      <c r="D178" s="74"/>
      <c r="E178" s="74"/>
      <c r="F178" s="74"/>
      <c r="G178" s="74"/>
      <c r="H178" s="74"/>
      <c r="I178" s="74"/>
      <c r="J178" s="74"/>
      <c r="K178" s="74"/>
      <c r="L178" s="74"/>
      <c r="M178" s="74"/>
      <c r="N178" s="74"/>
      <c r="O178" s="74"/>
      <c r="P178" s="74"/>
      <c r="Q178" s="74"/>
      <c r="R178" s="75"/>
      <c r="S178" s="74"/>
      <c r="T178" s="74"/>
      <c r="U178" s="74"/>
      <c r="V178" s="74"/>
      <c r="W178" s="74"/>
      <c r="X178" s="74"/>
      <c r="Y178" s="74"/>
      <c r="Z178" s="74"/>
      <c r="AA178" s="74"/>
      <c r="AB178" s="74"/>
      <c r="AC178" s="74"/>
      <c r="AD178" s="74"/>
      <c r="AE178" s="74"/>
      <c r="AF178" s="74"/>
      <c r="AG178" s="74"/>
      <c r="AH178" s="74"/>
      <c r="AI178" s="74"/>
      <c r="AJ178" s="74"/>
      <c r="AK178" s="74"/>
    </row>
    <row r="179">
      <c r="A179" s="74"/>
      <c r="B179" s="74"/>
      <c r="C179" s="74"/>
      <c r="D179" s="74"/>
      <c r="E179" s="74"/>
      <c r="F179" s="74"/>
      <c r="G179" s="74"/>
      <c r="H179" s="74"/>
      <c r="I179" s="74"/>
      <c r="J179" s="74"/>
      <c r="K179" s="74"/>
      <c r="L179" s="74"/>
      <c r="M179" s="74"/>
      <c r="N179" s="74"/>
      <c r="O179" s="74"/>
      <c r="P179" s="74"/>
      <c r="Q179" s="74"/>
      <c r="R179" s="75"/>
      <c r="S179" s="74"/>
      <c r="T179" s="74"/>
      <c r="U179" s="74"/>
      <c r="V179" s="74"/>
      <c r="W179" s="74"/>
      <c r="X179" s="74"/>
      <c r="Y179" s="74"/>
      <c r="Z179" s="74"/>
      <c r="AA179" s="74"/>
      <c r="AB179" s="74"/>
      <c r="AC179" s="74"/>
      <c r="AD179" s="74"/>
      <c r="AE179" s="74"/>
      <c r="AF179" s="74"/>
      <c r="AG179" s="74"/>
      <c r="AH179" s="74"/>
      <c r="AI179" s="74"/>
      <c r="AJ179" s="74"/>
      <c r="AK179" s="74"/>
    </row>
    <row r="180">
      <c r="A180" s="74"/>
      <c r="B180" s="74"/>
      <c r="C180" s="74"/>
      <c r="D180" s="74"/>
      <c r="E180" s="74"/>
      <c r="F180" s="74"/>
      <c r="G180" s="74"/>
      <c r="H180" s="74"/>
      <c r="I180" s="74"/>
      <c r="J180" s="74"/>
      <c r="K180" s="74"/>
      <c r="L180" s="74"/>
      <c r="M180" s="74"/>
      <c r="N180" s="74"/>
      <c r="O180" s="74"/>
      <c r="P180" s="74"/>
      <c r="Q180" s="74"/>
      <c r="R180" s="75"/>
      <c r="S180" s="74"/>
      <c r="T180" s="74"/>
      <c r="U180" s="74"/>
      <c r="V180" s="74"/>
      <c r="W180" s="74"/>
      <c r="X180" s="74"/>
      <c r="Y180" s="74"/>
      <c r="Z180" s="74"/>
      <c r="AA180" s="74"/>
      <c r="AB180" s="74"/>
      <c r="AC180" s="74"/>
      <c r="AD180" s="74"/>
      <c r="AE180" s="74"/>
      <c r="AF180" s="74"/>
      <c r="AG180" s="74"/>
      <c r="AH180" s="74"/>
      <c r="AI180" s="74"/>
      <c r="AJ180" s="74"/>
      <c r="AK180" s="74"/>
    </row>
    <row r="181">
      <c r="A181" s="74"/>
      <c r="B181" s="74"/>
      <c r="C181" s="74"/>
      <c r="D181" s="74"/>
      <c r="E181" s="74"/>
      <c r="F181" s="74"/>
      <c r="G181" s="74"/>
      <c r="H181" s="74"/>
      <c r="I181" s="74"/>
      <c r="J181" s="74"/>
      <c r="K181" s="74"/>
      <c r="L181" s="74"/>
      <c r="M181" s="74"/>
      <c r="N181" s="74"/>
      <c r="O181" s="74"/>
      <c r="P181" s="74"/>
      <c r="Q181" s="74"/>
      <c r="R181" s="75"/>
      <c r="S181" s="74"/>
      <c r="T181" s="74"/>
      <c r="U181" s="74"/>
      <c r="V181" s="74"/>
      <c r="W181" s="74"/>
      <c r="X181" s="74"/>
      <c r="Y181" s="74"/>
      <c r="Z181" s="74"/>
      <c r="AA181" s="74"/>
      <c r="AB181" s="74"/>
      <c r="AC181" s="74"/>
      <c r="AD181" s="74"/>
      <c r="AE181" s="74"/>
      <c r="AF181" s="74"/>
      <c r="AG181" s="74"/>
      <c r="AH181" s="74"/>
      <c r="AI181" s="74"/>
      <c r="AJ181" s="74"/>
      <c r="AK181" s="74"/>
    </row>
    <row r="182">
      <c r="A182" s="74"/>
      <c r="B182" s="74"/>
      <c r="C182" s="74"/>
      <c r="D182" s="74"/>
      <c r="E182" s="74"/>
      <c r="F182" s="74"/>
      <c r="G182" s="74"/>
      <c r="H182" s="74"/>
      <c r="I182" s="74"/>
      <c r="J182" s="74"/>
      <c r="K182" s="74"/>
      <c r="L182" s="74"/>
      <c r="M182" s="74"/>
      <c r="N182" s="74"/>
      <c r="O182" s="74"/>
      <c r="P182" s="74"/>
      <c r="Q182" s="74"/>
      <c r="R182" s="75"/>
      <c r="S182" s="74"/>
      <c r="T182" s="74"/>
      <c r="U182" s="74"/>
      <c r="V182" s="74"/>
      <c r="W182" s="74"/>
      <c r="X182" s="74"/>
      <c r="Y182" s="74"/>
      <c r="Z182" s="74"/>
      <c r="AA182" s="74"/>
      <c r="AB182" s="74"/>
      <c r="AC182" s="74"/>
      <c r="AD182" s="74"/>
      <c r="AE182" s="74"/>
      <c r="AF182" s="74"/>
      <c r="AG182" s="74"/>
      <c r="AH182" s="74"/>
      <c r="AI182" s="74"/>
      <c r="AJ182" s="74"/>
      <c r="AK182" s="74"/>
    </row>
    <row r="183">
      <c r="A183" s="74"/>
      <c r="B183" s="74"/>
      <c r="C183" s="74"/>
      <c r="D183" s="74"/>
      <c r="E183" s="74"/>
      <c r="F183" s="74"/>
      <c r="G183" s="74"/>
      <c r="H183" s="74"/>
      <c r="I183" s="74"/>
      <c r="J183" s="74"/>
      <c r="K183" s="74"/>
      <c r="L183" s="74"/>
      <c r="M183" s="74"/>
      <c r="N183" s="74"/>
      <c r="O183" s="74"/>
      <c r="P183" s="74"/>
      <c r="Q183" s="74"/>
      <c r="R183" s="75"/>
      <c r="S183" s="74"/>
      <c r="T183" s="74"/>
      <c r="U183" s="74"/>
      <c r="V183" s="74"/>
      <c r="W183" s="74"/>
      <c r="X183" s="74"/>
      <c r="Y183" s="74"/>
      <c r="Z183" s="74"/>
      <c r="AA183" s="74"/>
      <c r="AB183" s="74"/>
      <c r="AC183" s="74"/>
      <c r="AD183" s="74"/>
      <c r="AE183" s="74"/>
      <c r="AF183" s="74"/>
      <c r="AG183" s="74"/>
      <c r="AH183" s="74"/>
      <c r="AI183" s="74"/>
      <c r="AJ183" s="74"/>
      <c r="AK183" s="74"/>
    </row>
    <row r="184">
      <c r="A184" s="74"/>
      <c r="B184" s="74"/>
      <c r="C184" s="74"/>
      <c r="D184" s="74"/>
      <c r="E184" s="74"/>
      <c r="F184" s="74"/>
      <c r="G184" s="74"/>
      <c r="H184" s="74"/>
      <c r="I184" s="74"/>
      <c r="J184" s="74"/>
      <c r="K184" s="74"/>
      <c r="L184" s="74"/>
      <c r="M184" s="74"/>
      <c r="N184" s="74"/>
      <c r="O184" s="74"/>
      <c r="P184" s="74"/>
      <c r="Q184" s="74"/>
      <c r="R184" s="75"/>
      <c r="S184" s="74"/>
      <c r="T184" s="74"/>
      <c r="U184" s="74"/>
      <c r="V184" s="74"/>
      <c r="W184" s="74"/>
      <c r="X184" s="74"/>
      <c r="Y184" s="74"/>
      <c r="Z184" s="74"/>
      <c r="AA184" s="74"/>
      <c r="AB184" s="74"/>
      <c r="AC184" s="74"/>
      <c r="AD184" s="74"/>
      <c r="AE184" s="74"/>
      <c r="AF184" s="74"/>
      <c r="AG184" s="74"/>
      <c r="AH184" s="74"/>
      <c r="AI184" s="74"/>
      <c r="AJ184" s="74"/>
      <c r="AK184" s="74"/>
    </row>
    <row r="185">
      <c r="A185" s="74"/>
      <c r="B185" s="74"/>
      <c r="C185" s="74"/>
      <c r="D185" s="74"/>
      <c r="E185" s="74"/>
      <c r="F185" s="74"/>
      <c r="G185" s="74"/>
      <c r="H185" s="74"/>
      <c r="I185" s="74"/>
      <c r="J185" s="74"/>
      <c r="K185" s="74"/>
      <c r="L185" s="74"/>
      <c r="M185" s="74"/>
      <c r="N185" s="74"/>
      <c r="O185" s="74"/>
      <c r="P185" s="74"/>
      <c r="Q185" s="74"/>
      <c r="R185" s="75"/>
      <c r="S185" s="74"/>
      <c r="T185" s="74"/>
      <c r="U185" s="74"/>
      <c r="V185" s="74"/>
      <c r="W185" s="74"/>
      <c r="X185" s="74"/>
      <c r="Y185" s="74"/>
      <c r="Z185" s="74"/>
      <c r="AA185" s="74"/>
      <c r="AB185" s="74"/>
      <c r="AC185" s="74"/>
      <c r="AD185" s="74"/>
      <c r="AE185" s="74"/>
      <c r="AF185" s="74"/>
      <c r="AG185" s="74"/>
      <c r="AH185" s="74"/>
      <c r="AI185" s="74"/>
      <c r="AJ185" s="74"/>
      <c r="AK185" s="74"/>
    </row>
    <row r="186">
      <c r="A186" s="74"/>
      <c r="B186" s="74"/>
      <c r="C186" s="74"/>
      <c r="D186" s="74"/>
      <c r="E186" s="74"/>
      <c r="F186" s="74"/>
      <c r="G186" s="74"/>
      <c r="H186" s="74"/>
      <c r="I186" s="74"/>
      <c r="J186" s="74"/>
      <c r="K186" s="74"/>
      <c r="L186" s="74"/>
      <c r="M186" s="74"/>
      <c r="N186" s="74"/>
      <c r="O186" s="74"/>
      <c r="P186" s="74"/>
      <c r="Q186" s="74"/>
      <c r="R186" s="75"/>
      <c r="S186" s="74"/>
      <c r="T186" s="74"/>
      <c r="U186" s="74"/>
      <c r="V186" s="74"/>
      <c r="W186" s="74"/>
      <c r="X186" s="74"/>
      <c r="Y186" s="74"/>
      <c r="Z186" s="74"/>
      <c r="AA186" s="74"/>
      <c r="AB186" s="74"/>
      <c r="AC186" s="74"/>
      <c r="AD186" s="74"/>
      <c r="AE186" s="74"/>
      <c r="AF186" s="74"/>
      <c r="AG186" s="74"/>
      <c r="AH186" s="74"/>
      <c r="AI186" s="74"/>
      <c r="AJ186" s="74"/>
      <c r="AK186" s="74"/>
    </row>
    <row r="187">
      <c r="A187" s="74"/>
      <c r="B187" s="74"/>
      <c r="C187" s="74"/>
      <c r="D187" s="74"/>
      <c r="E187" s="74"/>
      <c r="F187" s="74"/>
      <c r="G187" s="74"/>
      <c r="H187" s="74"/>
      <c r="I187" s="74"/>
      <c r="J187" s="74"/>
      <c r="K187" s="74"/>
      <c r="L187" s="74"/>
      <c r="M187" s="74"/>
      <c r="N187" s="74"/>
      <c r="O187" s="74"/>
      <c r="P187" s="74"/>
      <c r="Q187" s="74"/>
      <c r="R187" s="75"/>
      <c r="S187" s="74"/>
      <c r="T187" s="74"/>
      <c r="U187" s="74"/>
      <c r="V187" s="74"/>
      <c r="W187" s="74"/>
      <c r="X187" s="74"/>
      <c r="Y187" s="74"/>
      <c r="Z187" s="74"/>
      <c r="AA187" s="74"/>
      <c r="AB187" s="74"/>
      <c r="AC187" s="74"/>
      <c r="AD187" s="74"/>
      <c r="AE187" s="74"/>
      <c r="AF187" s="74"/>
      <c r="AG187" s="74"/>
      <c r="AH187" s="74"/>
      <c r="AI187" s="74"/>
      <c r="AJ187" s="74"/>
      <c r="AK187" s="74"/>
    </row>
    <row r="188">
      <c r="A188" s="74"/>
      <c r="B188" s="74"/>
      <c r="C188" s="74"/>
      <c r="D188" s="74"/>
      <c r="E188" s="74"/>
      <c r="F188" s="74"/>
      <c r="G188" s="74"/>
      <c r="H188" s="74"/>
      <c r="I188" s="74"/>
      <c r="J188" s="74"/>
      <c r="K188" s="74"/>
      <c r="L188" s="74"/>
      <c r="M188" s="74"/>
      <c r="N188" s="74"/>
      <c r="O188" s="74"/>
      <c r="P188" s="74"/>
      <c r="Q188" s="74"/>
      <c r="R188" s="75"/>
      <c r="S188" s="74"/>
      <c r="T188" s="74"/>
      <c r="U188" s="74"/>
      <c r="V188" s="74"/>
      <c r="W188" s="74"/>
      <c r="X188" s="74"/>
      <c r="Y188" s="74"/>
      <c r="Z188" s="74"/>
      <c r="AA188" s="74"/>
      <c r="AB188" s="74"/>
      <c r="AC188" s="74"/>
      <c r="AD188" s="74"/>
      <c r="AE188" s="74"/>
      <c r="AF188" s="74"/>
      <c r="AG188" s="74"/>
      <c r="AH188" s="74"/>
      <c r="AI188" s="74"/>
      <c r="AJ188" s="74"/>
      <c r="AK188" s="74"/>
    </row>
    <row r="189">
      <c r="A189" s="74"/>
      <c r="B189" s="74"/>
      <c r="C189" s="74"/>
      <c r="D189" s="74"/>
      <c r="E189" s="74"/>
      <c r="F189" s="74"/>
      <c r="G189" s="74"/>
      <c r="H189" s="74"/>
      <c r="I189" s="74"/>
      <c r="J189" s="74"/>
      <c r="K189" s="74"/>
      <c r="L189" s="74"/>
      <c r="M189" s="74"/>
      <c r="N189" s="74"/>
      <c r="O189" s="74"/>
      <c r="P189" s="74"/>
      <c r="Q189" s="74"/>
      <c r="R189" s="75"/>
      <c r="S189" s="74"/>
      <c r="T189" s="74"/>
      <c r="U189" s="74"/>
      <c r="V189" s="74"/>
      <c r="W189" s="74"/>
      <c r="X189" s="74"/>
      <c r="Y189" s="74"/>
      <c r="Z189" s="74"/>
      <c r="AA189" s="74"/>
      <c r="AB189" s="74"/>
      <c r="AC189" s="74"/>
      <c r="AD189" s="74"/>
      <c r="AE189" s="74"/>
      <c r="AF189" s="74"/>
      <c r="AG189" s="74"/>
      <c r="AH189" s="74"/>
      <c r="AI189" s="74"/>
      <c r="AJ189" s="74"/>
      <c r="AK189" s="74"/>
    </row>
    <row r="190">
      <c r="A190" s="74"/>
      <c r="B190" s="74"/>
      <c r="C190" s="74"/>
      <c r="D190" s="74"/>
      <c r="E190" s="74"/>
      <c r="F190" s="74"/>
      <c r="G190" s="74"/>
      <c r="H190" s="74"/>
      <c r="I190" s="74"/>
      <c r="J190" s="74"/>
      <c r="K190" s="74"/>
      <c r="L190" s="74"/>
      <c r="M190" s="74"/>
      <c r="N190" s="74"/>
      <c r="O190" s="74"/>
      <c r="P190" s="74"/>
      <c r="Q190" s="74"/>
      <c r="R190" s="75"/>
      <c r="S190" s="74"/>
      <c r="T190" s="74"/>
      <c r="U190" s="74"/>
      <c r="V190" s="74"/>
      <c r="W190" s="74"/>
      <c r="X190" s="74"/>
      <c r="Y190" s="74"/>
      <c r="Z190" s="74"/>
      <c r="AA190" s="74"/>
      <c r="AB190" s="74"/>
      <c r="AC190" s="74"/>
      <c r="AD190" s="74"/>
      <c r="AE190" s="74"/>
      <c r="AF190" s="74"/>
      <c r="AG190" s="74"/>
      <c r="AH190" s="74"/>
      <c r="AI190" s="74"/>
      <c r="AJ190" s="74"/>
      <c r="AK190" s="74"/>
    </row>
    <row r="191">
      <c r="A191" s="74"/>
      <c r="B191" s="74"/>
      <c r="C191" s="74"/>
      <c r="D191" s="74"/>
      <c r="E191" s="74"/>
      <c r="F191" s="74"/>
      <c r="G191" s="74"/>
      <c r="H191" s="74"/>
      <c r="I191" s="74"/>
      <c r="J191" s="74"/>
      <c r="K191" s="74"/>
      <c r="L191" s="74"/>
      <c r="M191" s="74"/>
      <c r="N191" s="74"/>
      <c r="O191" s="74"/>
      <c r="P191" s="74"/>
      <c r="Q191" s="74"/>
      <c r="R191" s="75"/>
      <c r="S191" s="74"/>
      <c r="T191" s="74"/>
      <c r="U191" s="74"/>
      <c r="V191" s="74"/>
      <c r="W191" s="74"/>
      <c r="X191" s="74"/>
      <c r="Y191" s="74"/>
      <c r="Z191" s="74"/>
      <c r="AA191" s="74"/>
      <c r="AB191" s="74"/>
      <c r="AC191" s="74"/>
      <c r="AD191" s="74"/>
      <c r="AE191" s="74"/>
      <c r="AF191" s="74"/>
      <c r="AG191" s="74"/>
      <c r="AH191" s="74"/>
      <c r="AI191" s="74"/>
      <c r="AJ191" s="74"/>
      <c r="AK191" s="74"/>
    </row>
    <row r="192">
      <c r="A192" s="74"/>
      <c r="B192" s="74"/>
      <c r="C192" s="74"/>
      <c r="D192" s="74"/>
      <c r="E192" s="74"/>
      <c r="F192" s="74"/>
      <c r="G192" s="74"/>
      <c r="H192" s="74"/>
      <c r="I192" s="74"/>
      <c r="J192" s="74"/>
      <c r="K192" s="74"/>
      <c r="L192" s="74"/>
      <c r="M192" s="74"/>
      <c r="N192" s="74"/>
      <c r="O192" s="74"/>
      <c r="P192" s="74"/>
      <c r="Q192" s="74"/>
      <c r="R192" s="75"/>
      <c r="S192" s="74"/>
      <c r="T192" s="74"/>
      <c r="U192" s="74"/>
      <c r="V192" s="74"/>
      <c r="W192" s="74"/>
      <c r="X192" s="74"/>
      <c r="Y192" s="74"/>
      <c r="Z192" s="74"/>
      <c r="AA192" s="74"/>
      <c r="AB192" s="74"/>
      <c r="AC192" s="74"/>
      <c r="AD192" s="74"/>
      <c r="AE192" s="74"/>
      <c r="AF192" s="74"/>
      <c r="AG192" s="74"/>
      <c r="AH192" s="74"/>
      <c r="AI192" s="74"/>
      <c r="AJ192" s="74"/>
      <c r="AK192" s="74"/>
    </row>
    <row r="193">
      <c r="A193" s="74"/>
      <c r="B193" s="74"/>
      <c r="C193" s="74"/>
      <c r="D193" s="74"/>
      <c r="E193" s="74"/>
      <c r="F193" s="74"/>
      <c r="G193" s="74"/>
      <c r="H193" s="74"/>
      <c r="I193" s="74"/>
      <c r="J193" s="74"/>
      <c r="K193" s="74"/>
      <c r="L193" s="74"/>
      <c r="M193" s="74"/>
      <c r="N193" s="74"/>
      <c r="O193" s="74"/>
      <c r="P193" s="74"/>
      <c r="Q193" s="74"/>
      <c r="R193" s="75"/>
      <c r="S193" s="74"/>
      <c r="T193" s="74"/>
      <c r="U193" s="74"/>
      <c r="V193" s="74"/>
      <c r="W193" s="74"/>
      <c r="X193" s="74"/>
      <c r="Y193" s="74"/>
      <c r="Z193" s="74"/>
      <c r="AA193" s="74"/>
      <c r="AB193" s="74"/>
      <c r="AC193" s="74"/>
      <c r="AD193" s="74"/>
      <c r="AE193" s="74"/>
      <c r="AF193" s="74"/>
      <c r="AG193" s="74"/>
      <c r="AH193" s="74"/>
      <c r="AI193" s="74"/>
      <c r="AJ193" s="74"/>
      <c r="AK193" s="74"/>
    </row>
    <row r="194">
      <c r="A194" s="74"/>
      <c r="B194" s="74"/>
      <c r="C194" s="74"/>
      <c r="D194" s="74"/>
      <c r="E194" s="74"/>
      <c r="F194" s="74"/>
      <c r="G194" s="74"/>
      <c r="H194" s="74"/>
      <c r="I194" s="74"/>
      <c r="J194" s="74"/>
      <c r="K194" s="74"/>
      <c r="L194" s="74"/>
      <c r="M194" s="74"/>
      <c r="N194" s="74"/>
      <c r="O194" s="74"/>
      <c r="P194" s="74"/>
      <c r="Q194" s="74"/>
      <c r="R194" s="75"/>
      <c r="S194" s="74"/>
      <c r="T194" s="74"/>
      <c r="U194" s="74"/>
      <c r="V194" s="74"/>
      <c r="W194" s="74"/>
      <c r="X194" s="74"/>
      <c r="Y194" s="74"/>
      <c r="Z194" s="74"/>
      <c r="AA194" s="74"/>
      <c r="AB194" s="74"/>
      <c r="AC194" s="74"/>
      <c r="AD194" s="74"/>
      <c r="AE194" s="74"/>
      <c r="AF194" s="74"/>
      <c r="AG194" s="74"/>
      <c r="AH194" s="74"/>
      <c r="AI194" s="74"/>
      <c r="AJ194" s="74"/>
      <c r="AK194" s="74"/>
    </row>
    <row r="195">
      <c r="A195" s="74"/>
      <c r="B195" s="74"/>
      <c r="C195" s="74"/>
      <c r="D195" s="74"/>
      <c r="E195" s="74"/>
      <c r="F195" s="74"/>
      <c r="G195" s="74"/>
      <c r="H195" s="74"/>
      <c r="I195" s="74"/>
      <c r="J195" s="74"/>
      <c r="K195" s="74"/>
      <c r="L195" s="74"/>
      <c r="M195" s="74"/>
      <c r="N195" s="74"/>
      <c r="O195" s="74"/>
      <c r="P195" s="74"/>
      <c r="Q195" s="74"/>
      <c r="R195" s="75"/>
      <c r="S195" s="74"/>
      <c r="T195" s="74"/>
      <c r="U195" s="74"/>
      <c r="V195" s="74"/>
      <c r="W195" s="74"/>
      <c r="X195" s="74"/>
      <c r="Y195" s="74"/>
      <c r="Z195" s="74"/>
      <c r="AA195" s="74"/>
      <c r="AB195" s="74"/>
      <c r="AC195" s="74"/>
      <c r="AD195" s="74"/>
      <c r="AE195" s="74"/>
      <c r="AF195" s="74"/>
      <c r="AG195" s="74"/>
      <c r="AH195" s="74"/>
      <c r="AI195" s="74"/>
      <c r="AJ195" s="74"/>
      <c r="AK195" s="74"/>
    </row>
    <row r="196">
      <c r="A196" s="74"/>
      <c r="B196" s="74"/>
      <c r="C196" s="74"/>
      <c r="D196" s="74"/>
      <c r="E196" s="74"/>
      <c r="F196" s="74"/>
      <c r="G196" s="74"/>
      <c r="H196" s="74"/>
      <c r="I196" s="74"/>
      <c r="J196" s="74"/>
      <c r="K196" s="74"/>
      <c r="L196" s="74"/>
      <c r="M196" s="74"/>
      <c r="N196" s="74"/>
      <c r="O196" s="74"/>
      <c r="P196" s="74"/>
      <c r="Q196" s="74"/>
      <c r="R196" s="75"/>
      <c r="S196" s="74"/>
      <c r="T196" s="74"/>
      <c r="U196" s="74"/>
      <c r="V196" s="74"/>
      <c r="W196" s="74"/>
      <c r="X196" s="74"/>
      <c r="Y196" s="74"/>
      <c r="Z196" s="74"/>
      <c r="AA196" s="74"/>
      <c r="AB196" s="74"/>
      <c r="AC196" s="74"/>
      <c r="AD196" s="74"/>
      <c r="AE196" s="74"/>
      <c r="AF196" s="74"/>
      <c r="AG196" s="74"/>
      <c r="AH196" s="74"/>
      <c r="AI196" s="74"/>
      <c r="AJ196" s="74"/>
      <c r="AK196" s="74"/>
    </row>
    <row r="197">
      <c r="A197" s="74"/>
      <c r="B197" s="74"/>
      <c r="C197" s="74"/>
      <c r="D197" s="74"/>
      <c r="E197" s="74"/>
      <c r="F197" s="74"/>
      <c r="G197" s="74"/>
      <c r="H197" s="74"/>
      <c r="I197" s="74"/>
      <c r="J197" s="74"/>
      <c r="K197" s="74"/>
      <c r="L197" s="74"/>
      <c r="M197" s="74"/>
      <c r="N197" s="74"/>
      <c r="O197" s="74"/>
      <c r="P197" s="74"/>
      <c r="Q197" s="74"/>
      <c r="R197" s="75"/>
      <c r="S197" s="74"/>
      <c r="T197" s="74"/>
      <c r="U197" s="74"/>
      <c r="V197" s="74"/>
      <c r="W197" s="74"/>
      <c r="X197" s="74"/>
      <c r="Y197" s="74"/>
      <c r="Z197" s="74"/>
      <c r="AA197" s="74"/>
      <c r="AB197" s="74"/>
      <c r="AC197" s="74"/>
      <c r="AD197" s="74"/>
      <c r="AE197" s="74"/>
      <c r="AF197" s="74"/>
      <c r="AG197" s="74"/>
      <c r="AH197" s="74"/>
      <c r="AI197" s="74"/>
      <c r="AJ197" s="74"/>
      <c r="AK197" s="74"/>
    </row>
    <row r="198">
      <c r="A198" s="74"/>
      <c r="B198" s="74"/>
      <c r="C198" s="74"/>
      <c r="D198" s="74"/>
      <c r="E198" s="74"/>
      <c r="F198" s="74"/>
      <c r="G198" s="74"/>
      <c r="H198" s="74"/>
      <c r="I198" s="74"/>
      <c r="J198" s="74"/>
      <c r="K198" s="74"/>
      <c r="L198" s="74"/>
      <c r="M198" s="74"/>
      <c r="N198" s="74"/>
      <c r="O198" s="74"/>
      <c r="P198" s="74"/>
      <c r="Q198" s="74"/>
      <c r="R198" s="75"/>
      <c r="S198" s="74"/>
      <c r="T198" s="74"/>
      <c r="U198" s="74"/>
      <c r="V198" s="74"/>
      <c r="W198" s="74"/>
      <c r="X198" s="74"/>
      <c r="Y198" s="74"/>
      <c r="Z198" s="74"/>
      <c r="AA198" s="74"/>
      <c r="AB198" s="74"/>
      <c r="AC198" s="74"/>
      <c r="AD198" s="74"/>
      <c r="AE198" s="74"/>
      <c r="AF198" s="74"/>
      <c r="AG198" s="74"/>
      <c r="AH198" s="74"/>
      <c r="AI198" s="74"/>
      <c r="AJ198" s="74"/>
      <c r="AK198" s="74"/>
    </row>
    <row r="199">
      <c r="A199" s="74"/>
      <c r="B199" s="74"/>
      <c r="C199" s="74"/>
      <c r="D199" s="74"/>
      <c r="E199" s="74"/>
      <c r="F199" s="74"/>
      <c r="G199" s="74"/>
      <c r="H199" s="74"/>
      <c r="I199" s="74"/>
      <c r="J199" s="74"/>
      <c r="K199" s="74"/>
      <c r="L199" s="74"/>
      <c r="M199" s="74"/>
      <c r="N199" s="74"/>
      <c r="O199" s="74"/>
      <c r="P199" s="74"/>
      <c r="Q199" s="74"/>
      <c r="R199" s="75"/>
      <c r="S199" s="74"/>
      <c r="T199" s="74"/>
      <c r="U199" s="74"/>
      <c r="V199" s="74"/>
      <c r="W199" s="74"/>
      <c r="X199" s="74"/>
      <c r="Y199" s="74"/>
      <c r="Z199" s="74"/>
      <c r="AA199" s="74"/>
      <c r="AB199" s="74"/>
      <c r="AC199" s="74"/>
      <c r="AD199" s="74"/>
      <c r="AE199" s="74"/>
      <c r="AF199" s="74"/>
      <c r="AG199" s="74"/>
      <c r="AH199" s="74"/>
      <c r="AI199" s="74"/>
      <c r="AJ199" s="74"/>
      <c r="AK199" s="74"/>
    </row>
    <row r="200">
      <c r="A200" s="74"/>
      <c r="B200" s="74"/>
      <c r="C200" s="74"/>
      <c r="D200" s="74"/>
      <c r="E200" s="74"/>
      <c r="F200" s="74"/>
      <c r="G200" s="74"/>
      <c r="H200" s="74"/>
      <c r="I200" s="74"/>
      <c r="J200" s="74"/>
      <c r="K200" s="74"/>
      <c r="L200" s="74"/>
      <c r="M200" s="74"/>
      <c r="N200" s="74"/>
      <c r="O200" s="74"/>
      <c r="P200" s="74"/>
      <c r="Q200" s="74"/>
      <c r="R200" s="75"/>
      <c r="S200" s="74"/>
      <c r="T200" s="74"/>
      <c r="U200" s="74"/>
      <c r="V200" s="74"/>
      <c r="W200" s="74"/>
      <c r="X200" s="74"/>
      <c r="Y200" s="74"/>
      <c r="Z200" s="74"/>
      <c r="AA200" s="74"/>
      <c r="AB200" s="74"/>
      <c r="AC200" s="74"/>
      <c r="AD200" s="74"/>
      <c r="AE200" s="74"/>
      <c r="AF200" s="74"/>
      <c r="AG200" s="74"/>
      <c r="AH200" s="74"/>
      <c r="AI200" s="74"/>
      <c r="AJ200" s="74"/>
      <c r="AK200" s="74"/>
    </row>
    <row r="201">
      <c r="A201" s="74"/>
      <c r="B201" s="74"/>
      <c r="C201" s="74"/>
      <c r="D201" s="74"/>
      <c r="E201" s="74"/>
      <c r="F201" s="74"/>
      <c r="G201" s="74"/>
      <c r="H201" s="74"/>
      <c r="I201" s="74"/>
      <c r="J201" s="74"/>
      <c r="K201" s="74"/>
      <c r="L201" s="74"/>
      <c r="M201" s="74"/>
      <c r="N201" s="74"/>
      <c r="O201" s="74"/>
      <c r="P201" s="74"/>
      <c r="Q201" s="74"/>
      <c r="R201" s="75"/>
      <c r="S201" s="74"/>
      <c r="T201" s="74"/>
      <c r="U201" s="74"/>
      <c r="V201" s="74"/>
      <c r="W201" s="74"/>
      <c r="X201" s="74"/>
      <c r="Y201" s="74"/>
      <c r="Z201" s="74"/>
      <c r="AA201" s="74"/>
      <c r="AB201" s="74"/>
      <c r="AC201" s="74"/>
      <c r="AD201" s="74"/>
      <c r="AE201" s="74"/>
      <c r="AF201" s="74"/>
      <c r="AG201" s="74"/>
      <c r="AH201" s="74"/>
      <c r="AI201" s="74"/>
      <c r="AJ201" s="74"/>
      <c r="AK201" s="74"/>
    </row>
    <row r="202">
      <c r="A202" s="74"/>
      <c r="B202" s="74"/>
      <c r="C202" s="74"/>
      <c r="D202" s="74"/>
      <c r="E202" s="74"/>
      <c r="F202" s="74"/>
      <c r="G202" s="74"/>
      <c r="H202" s="74"/>
      <c r="I202" s="74"/>
      <c r="J202" s="74"/>
      <c r="K202" s="74"/>
      <c r="L202" s="74"/>
      <c r="M202" s="74"/>
      <c r="N202" s="74"/>
      <c r="O202" s="74"/>
      <c r="P202" s="74"/>
      <c r="Q202" s="74"/>
      <c r="R202" s="75"/>
      <c r="S202" s="74"/>
      <c r="T202" s="74"/>
      <c r="U202" s="74"/>
      <c r="V202" s="74"/>
      <c r="W202" s="74"/>
      <c r="X202" s="74"/>
      <c r="Y202" s="74"/>
      <c r="Z202" s="74"/>
      <c r="AA202" s="74"/>
      <c r="AB202" s="74"/>
      <c r="AC202" s="74"/>
      <c r="AD202" s="74"/>
      <c r="AE202" s="74"/>
      <c r="AF202" s="74"/>
      <c r="AG202" s="74"/>
      <c r="AH202" s="74"/>
      <c r="AI202" s="74"/>
      <c r="AJ202" s="74"/>
      <c r="AK202" s="74"/>
    </row>
    <row r="203">
      <c r="A203" s="74"/>
      <c r="B203" s="74"/>
      <c r="C203" s="74"/>
      <c r="D203" s="74"/>
      <c r="E203" s="74"/>
      <c r="F203" s="74"/>
      <c r="G203" s="74"/>
      <c r="H203" s="74"/>
      <c r="I203" s="74"/>
      <c r="J203" s="74"/>
      <c r="K203" s="74"/>
      <c r="L203" s="74"/>
      <c r="M203" s="74"/>
      <c r="N203" s="74"/>
      <c r="O203" s="74"/>
      <c r="P203" s="74"/>
      <c r="Q203" s="74"/>
      <c r="R203" s="75"/>
      <c r="S203" s="74"/>
      <c r="T203" s="74"/>
      <c r="U203" s="74"/>
      <c r="V203" s="74"/>
      <c r="W203" s="74"/>
      <c r="X203" s="74"/>
      <c r="Y203" s="74"/>
      <c r="Z203" s="74"/>
      <c r="AA203" s="74"/>
      <c r="AB203" s="74"/>
      <c r="AC203" s="74"/>
      <c r="AD203" s="74"/>
      <c r="AE203" s="74"/>
      <c r="AF203" s="74"/>
      <c r="AG203" s="74"/>
      <c r="AH203" s="74"/>
      <c r="AI203" s="74"/>
      <c r="AJ203" s="74"/>
      <c r="AK203" s="74"/>
    </row>
    <row r="204">
      <c r="A204" s="74"/>
      <c r="B204" s="74"/>
      <c r="C204" s="74"/>
      <c r="D204" s="74"/>
      <c r="E204" s="74"/>
      <c r="F204" s="74"/>
      <c r="G204" s="74"/>
      <c r="H204" s="74"/>
      <c r="I204" s="74"/>
      <c r="J204" s="74"/>
      <c r="K204" s="74"/>
      <c r="L204" s="74"/>
      <c r="M204" s="74"/>
      <c r="N204" s="74"/>
      <c r="O204" s="74"/>
      <c r="P204" s="74"/>
      <c r="Q204" s="74"/>
      <c r="R204" s="75"/>
      <c r="S204" s="74"/>
      <c r="T204" s="74"/>
      <c r="U204" s="74"/>
      <c r="V204" s="74"/>
      <c r="W204" s="74"/>
      <c r="X204" s="74"/>
      <c r="Y204" s="74"/>
      <c r="Z204" s="74"/>
      <c r="AA204" s="74"/>
      <c r="AB204" s="74"/>
      <c r="AC204" s="74"/>
      <c r="AD204" s="74"/>
      <c r="AE204" s="74"/>
      <c r="AF204" s="74"/>
      <c r="AG204" s="74"/>
      <c r="AH204" s="74"/>
      <c r="AI204" s="74"/>
      <c r="AJ204" s="74"/>
      <c r="AK204" s="74"/>
    </row>
    <row r="205">
      <c r="A205" s="74"/>
      <c r="B205" s="74"/>
      <c r="C205" s="74"/>
      <c r="D205" s="74"/>
      <c r="E205" s="74"/>
      <c r="F205" s="74"/>
      <c r="G205" s="74"/>
      <c r="H205" s="74"/>
      <c r="I205" s="74"/>
      <c r="J205" s="74"/>
      <c r="K205" s="74"/>
      <c r="L205" s="74"/>
      <c r="M205" s="74"/>
      <c r="N205" s="74"/>
      <c r="O205" s="74"/>
      <c r="P205" s="74"/>
      <c r="Q205" s="74"/>
      <c r="R205" s="75"/>
      <c r="S205" s="74"/>
      <c r="T205" s="74"/>
      <c r="U205" s="74"/>
      <c r="V205" s="74"/>
      <c r="W205" s="74"/>
      <c r="X205" s="74"/>
      <c r="Y205" s="74"/>
      <c r="Z205" s="74"/>
      <c r="AA205" s="74"/>
      <c r="AB205" s="74"/>
      <c r="AC205" s="74"/>
      <c r="AD205" s="74"/>
      <c r="AE205" s="74"/>
      <c r="AF205" s="74"/>
      <c r="AG205" s="74"/>
      <c r="AH205" s="74"/>
      <c r="AI205" s="74"/>
      <c r="AJ205" s="74"/>
      <c r="AK205" s="74"/>
    </row>
    <row r="206">
      <c r="A206" s="74"/>
      <c r="B206" s="74"/>
      <c r="C206" s="74"/>
      <c r="D206" s="74"/>
      <c r="E206" s="74"/>
      <c r="F206" s="74"/>
      <c r="G206" s="74"/>
      <c r="H206" s="74"/>
      <c r="I206" s="74"/>
      <c r="J206" s="74"/>
      <c r="K206" s="74"/>
      <c r="L206" s="74"/>
      <c r="M206" s="74"/>
      <c r="N206" s="74"/>
      <c r="O206" s="74"/>
      <c r="P206" s="74"/>
      <c r="Q206" s="74"/>
      <c r="R206" s="75"/>
      <c r="S206" s="74"/>
      <c r="T206" s="74"/>
      <c r="U206" s="74"/>
      <c r="V206" s="74"/>
      <c r="W206" s="74"/>
      <c r="X206" s="74"/>
      <c r="Y206" s="74"/>
      <c r="Z206" s="74"/>
      <c r="AA206" s="74"/>
      <c r="AB206" s="74"/>
      <c r="AC206" s="74"/>
      <c r="AD206" s="74"/>
      <c r="AE206" s="74"/>
      <c r="AF206" s="74"/>
      <c r="AG206" s="74"/>
      <c r="AH206" s="74"/>
      <c r="AI206" s="74"/>
      <c r="AJ206" s="74"/>
      <c r="AK206" s="74"/>
    </row>
    <row r="207">
      <c r="A207" s="74"/>
      <c r="B207" s="74"/>
      <c r="C207" s="74"/>
      <c r="D207" s="74"/>
      <c r="E207" s="74"/>
      <c r="F207" s="74"/>
      <c r="G207" s="74"/>
      <c r="H207" s="74"/>
      <c r="I207" s="74"/>
      <c r="J207" s="74"/>
      <c r="K207" s="74"/>
      <c r="L207" s="74"/>
      <c r="M207" s="74"/>
      <c r="N207" s="74"/>
      <c r="O207" s="74"/>
      <c r="P207" s="74"/>
      <c r="Q207" s="74"/>
      <c r="R207" s="75"/>
      <c r="S207" s="74"/>
      <c r="T207" s="74"/>
      <c r="U207" s="74"/>
      <c r="V207" s="74"/>
      <c r="W207" s="74"/>
      <c r="X207" s="74"/>
      <c r="Y207" s="74"/>
      <c r="Z207" s="74"/>
      <c r="AA207" s="74"/>
      <c r="AB207" s="74"/>
      <c r="AC207" s="74"/>
      <c r="AD207" s="74"/>
      <c r="AE207" s="74"/>
      <c r="AF207" s="74"/>
      <c r="AG207" s="74"/>
      <c r="AH207" s="74"/>
      <c r="AI207" s="74"/>
      <c r="AJ207" s="74"/>
      <c r="AK207" s="74"/>
    </row>
    <row r="208">
      <c r="A208" s="74"/>
      <c r="B208" s="74"/>
      <c r="C208" s="74"/>
      <c r="D208" s="74"/>
      <c r="E208" s="74"/>
      <c r="F208" s="74"/>
      <c r="G208" s="74"/>
      <c r="H208" s="74"/>
      <c r="I208" s="74"/>
      <c r="J208" s="74"/>
      <c r="K208" s="74"/>
      <c r="L208" s="74"/>
      <c r="M208" s="74"/>
      <c r="N208" s="74"/>
      <c r="O208" s="74"/>
      <c r="P208" s="74"/>
      <c r="Q208" s="74"/>
      <c r="R208" s="75"/>
      <c r="S208" s="74"/>
      <c r="T208" s="74"/>
      <c r="U208" s="74"/>
      <c r="V208" s="74"/>
      <c r="W208" s="74"/>
      <c r="X208" s="74"/>
      <c r="Y208" s="74"/>
      <c r="Z208" s="74"/>
      <c r="AA208" s="74"/>
      <c r="AB208" s="74"/>
      <c r="AC208" s="74"/>
      <c r="AD208" s="74"/>
      <c r="AE208" s="74"/>
      <c r="AF208" s="74"/>
      <c r="AG208" s="74"/>
      <c r="AH208" s="74"/>
      <c r="AI208" s="74"/>
      <c r="AJ208" s="74"/>
      <c r="AK208" s="74"/>
    </row>
    <row r="209">
      <c r="A209" s="74"/>
      <c r="B209" s="74"/>
      <c r="C209" s="74"/>
      <c r="D209" s="74"/>
      <c r="E209" s="74"/>
      <c r="F209" s="74"/>
      <c r="G209" s="74"/>
      <c r="H209" s="74"/>
      <c r="I209" s="74"/>
      <c r="J209" s="74"/>
      <c r="K209" s="74"/>
      <c r="L209" s="74"/>
      <c r="M209" s="74"/>
      <c r="N209" s="74"/>
      <c r="O209" s="74"/>
      <c r="P209" s="74"/>
      <c r="Q209" s="74"/>
      <c r="R209" s="75"/>
      <c r="S209" s="74"/>
      <c r="T209" s="74"/>
      <c r="U209" s="74"/>
      <c r="V209" s="74"/>
      <c r="W209" s="74"/>
      <c r="X209" s="74"/>
      <c r="Y209" s="74"/>
      <c r="Z209" s="74"/>
      <c r="AA209" s="74"/>
      <c r="AB209" s="74"/>
      <c r="AC209" s="74"/>
      <c r="AD209" s="74"/>
      <c r="AE209" s="74"/>
      <c r="AF209" s="74"/>
      <c r="AG209" s="74"/>
      <c r="AH209" s="74"/>
      <c r="AI209" s="74"/>
      <c r="AJ209" s="74"/>
      <c r="AK209" s="74"/>
    </row>
    <row r="210">
      <c r="A210" s="74"/>
      <c r="B210" s="74"/>
      <c r="C210" s="74"/>
      <c r="D210" s="74"/>
      <c r="E210" s="74"/>
      <c r="F210" s="74"/>
      <c r="G210" s="74"/>
      <c r="H210" s="74"/>
      <c r="I210" s="74"/>
      <c r="J210" s="74"/>
      <c r="K210" s="74"/>
      <c r="L210" s="74"/>
      <c r="M210" s="74"/>
      <c r="N210" s="74"/>
      <c r="O210" s="74"/>
      <c r="P210" s="74"/>
      <c r="Q210" s="74"/>
      <c r="R210" s="75"/>
      <c r="S210" s="74"/>
      <c r="T210" s="74"/>
      <c r="U210" s="74"/>
      <c r="V210" s="74"/>
      <c r="W210" s="74"/>
      <c r="X210" s="74"/>
      <c r="Y210" s="74"/>
      <c r="Z210" s="74"/>
      <c r="AA210" s="74"/>
      <c r="AB210" s="74"/>
      <c r="AC210" s="74"/>
      <c r="AD210" s="74"/>
      <c r="AE210" s="74"/>
      <c r="AF210" s="74"/>
      <c r="AG210" s="74"/>
      <c r="AH210" s="74"/>
      <c r="AI210" s="74"/>
      <c r="AJ210" s="74"/>
      <c r="AK210" s="74"/>
    </row>
    <row r="211">
      <c r="A211" s="74"/>
      <c r="B211" s="74"/>
      <c r="C211" s="74"/>
      <c r="D211" s="74"/>
      <c r="E211" s="74"/>
      <c r="F211" s="74"/>
      <c r="G211" s="74"/>
      <c r="H211" s="74"/>
      <c r="I211" s="74"/>
      <c r="J211" s="74"/>
      <c r="K211" s="74"/>
      <c r="L211" s="74"/>
      <c r="M211" s="74"/>
      <c r="N211" s="74"/>
      <c r="O211" s="74"/>
      <c r="P211" s="74"/>
      <c r="Q211" s="74"/>
      <c r="R211" s="75"/>
      <c r="S211" s="74"/>
      <c r="T211" s="74"/>
      <c r="U211" s="74"/>
      <c r="V211" s="74"/>
      <c r="W211" s="74"/>
      <c r="X211" s="74"/>
      <c r="Y211" s="74"/>
      <c r="Z211" s="74"/>
      <c r="AA211" s="74"/>
      <c r="AB211" s="74"/>
      <c r="AC211" s="74"/>
      <c r="AD211" s="74"/>
      <c r="AE211" s="74"/>
      <c r="AF211" s="74"/>
      <c r="AG211" s="74"/>
      <c r="AH211" s="74"/>
      <c r="AI211" s="74"/>
      <c r="AJ211" s="74"/>
      <c r="AK211" s="74"/>
    </row>
    <row r="212">
      <c r="A212" s="74"/>
      <c r="B212" s="74"/>
      <c r="C212" s="74"/>
      <c r="D212" s="74"/>
      <c r="E212" s="74"/>
      <c r="F212" s="74"/>
      <c r="G212" s="74"/>
      <c r="H212" s="74"/>
      <c r="I212" s="74"/>
      <c r="J212" s="74"/>
      <c r="K212" s="74"/>
      <c r="L212" s="74"/>
      <c r="M212" s="74"/>
      <c r="N212" s="74"/>
      <c r="O212" s="74"/>
      <c r="P212" s="74"/>
      <c r="Q212" s="74"/>
      <c r="R212" s="75"/>
      <c r="S212" s="74"/>
      <c r="T212" s="74"/>
      <c r="U212" s="74"/>
      <c r="V212" s="74"/>
      <c r="W212" s="74"/>
      <c r="X212" s="74"/>
      <c r="Y212" s="74"/>
      <c r="Z212" s="74"/>
      <c r="AA212" s="74"/>
      <c r="AB212" s="74"/>
      <c r="AC212" s="74"/>
      <c r="AD212" s="74"/>
      <c r="AE212" s="74"/>
      <c r="AF212" s="74"/>
      <c r="AG212" s="74"/>
      <c r="AH212" s="74"/>
      <c r="AI212" s="74"/>
      <c r="AJ212" s="74"/>
      <c r="AK212" s="74"/>
    </row>
    <row r="213">
      <c r="A213" s="74"/>
      <c r="B213" s="74"/>
      <c r="C213" s="74"/>
      <c r="D213" s="74"/>
      <c r="E213" s="74"/>
      <c r="F213" s="74"/>
      <c r="G213" s="74"/>
      <c r="H213" s="74"/>
      <c r="I213" s="74"/>
      <c r="J213" s="74"/>
      <c r="K213" s="74"/>
      <c r="L213" s="74"/>
      <c r="M213" s="74"/>
      <c r="N213" s="74"/>
      <c r="O213" s="74"/>
      <c r="P213" s="74"/>
      <c r="Q213" s="74"/>
      <c r="R213" s="75"/>
      <c r="S213" s="74"/>
      <c r="T213" s="74"/>
      <c r="U213" s="74"/>
      <c r="V213" s="74"/>
      <c r="W213" s="74"/>
      <c r="X213" s="74"/>
      <c r="Y213" s="74"/>
      <c r="Z213" s="74"/>
      <c r="AA213" s="74"/>
      <c r="AB213" s="74"/>
      <c r="AC213" s="74"/>
      <c r="AD213" s="74"/>
      <c r="AE213" s="74"/>
      <c r="AF213" s="74"/>
      <c r="AG213" s="74"/>
      <c r="AH213" s="74"/>
      <c r="AI213" s="74"/>
      <c r="AJ213" s="74"/>
      <c r="AK213" s="74"/>
    </row>
    <row r="214">
      <c r="A214" s="74"/>
      <c r="B214" s="74"/>
      <c r="C214" s="74"/>
      <c r="D214" s="74"/>
      <c r="E214" s="74"/>
      <c r="F214" s="74"/>
      <c r="G214" s="74"/>
      <c r="H214" s="74"/>
      <c r="I214" s="74"/>
      <c r="J214" s="74"/>
      <c r="K214" s="74"/>
      <c r="L214" s="74"/>
      <c r="M214" s="74"/>
      <c r="N214" s="74"/>
      <c r="O214" s="74"/>
      <c r="P214" s="74"/>
      <c r="Q214" s="74"/>
      <c r="R214" s="75"/>
      <c r="S214" s="74"/>
      <c r="T214" s="74"/>
      <c r="U214" s="74"/>
      <c r="V214" s="74"/>
      <c r="W214" s="74"/>
      <c r="X214" s="74"/>
      <c r="Y214" s="74"/>
      <c r="Z214" s="74"/>
      <c r="AA214" s="74"/>
      <c r="AB214" s="74"/>
      <c r="AC214" s="74"/>
      <c r="AD214" s="74"/>
      <c r="AE214" s="74"/>
      <c r="AF214" s="74"/>
      <c r="AG214" s="74"/>
      <c r="AH214" s="74"/>
      <c r="AI214" s="74"/>
      <c r="AJ214" s="74"/>
      <c r="AK214" s="74"/>
    </row>
    <row r="215">
      <c r="A215" s="74"/>
      <c r="B215" s="74"/>
      <c r="C215" s="74"/>
      <c r="D215" s="74"/>
      <c r="E215" s="74"/>
      <c r="F215" s="74"/>
      <c r="G215" s="74"/>
      <c r="H215" s="74"/>
      <c r="I215" s="74"/>
      <c r="J215" s="74"/>
      <c r="K215" s="74"/>
      <c r="L215" s="74"/>
      <c r="M215" s="74"/>
      <c r="N215" s="74"/>
      <c r="O215" s="74"/>
      <c r="P215" s="74"/>
      <c r="Q215" s="74"/>
      <c r="R215" s="75"/>
      <c r="S215" s="74"/>
      <c r="T215" s="74"/>
      <c r="U215" s="74"/>
      <c r="V215" s="74"/>
      <c r="W215" s="74"/>
      <c r="X215" s="74"/>
      <c r="Y215" s="74"/>
      <c r="Z215" s="74"/>
      <c r="AA215" s="74"/>
      <c r="AB215" s="74"/>
      <c r="AC215" s="74"/>
      <c r="AD215" s="74"/>
      <c r="AE215" s="74"/>
      <c r="AF215" s="74"/>
      <c r="AG215" s="74"/>
      <c r="AH215" s="74"/>
      <c r="AI215" s="74"/>
      <c r="AJ215" s="74"/>
      <c r="AK215" s="74"/>
    </row>
    <row r="216">
      <c r="A216" s="74"/>
      <c r="B216" s="74"/>
      <c r="C216" s="74"/>
      <c r="D216" s="74"/>
      <c r="E216" s="74"/>
      <c r="F216" s="74"/>
      <c r="G216" s="74"/>
      <c r="H216" s="74"/>
      <c r="I216" s="74"/>
      <c r="J216" s="74"/>
      <c r="K216" s="74"/>
      <c r="L216" s="74"/>
      <c r="M216" s="74"/>
      <c r="N216" s="74"/>
      <c r="O216" s="74"/>
      <c r="P216" s="74"/>
      <c r="Q216" s="74"/>
      <c r="R216" s="75"/>
      <c r="S216" s="74"/>
      <c r="T216" s="74"/>
      <c r="U216" s="74"/>
      <c r="V216" s="74"/>
      <c r="W216" s="74"/>
      <c r="X216" s="74"/>
      <c r="Y216" s="74"/>
      <c r="Z216" s="74"/>
      <c r="AA216" s="74"/>
      <c r="AB216" s="74"/>
      <c r="AC216" s="74"/>
      <c r="AD216" s="74"/>
      <c r="AE216" s="74"/>
      <c r="AF216" s="74"/>
      <c r="AG216" s="74"/>
      <c r="AH216" s="74"/>
      <c r="AI216" s="74"/>
      <c r="AJ216" s="74"/>
      <c r="AK216" s="74"/>
    </row>
    <row r="217">
      <c r="A217" s="74"/>
      <c r="B217" s="74"/>
      <c r="C217" s="74"/>
      <c r="D217" s="74"/>
      <c r="E217" s="74"/>
      <c r="F217" s="74"/>
      <c r="G217" s="74"/>
      <c r="H217" s="74"/>
      <c r="I217" s="74"/>
      <c r="J217" s="74"/>
      <c r="K217" s="74"/>
      <c r="L217" s="74"/>
      <c r="M217" s="74"/>
      <c r="N217" s="74"/>
      <c r="O217" s="74"/>
      <c r="P217" s="74"/>
      <c r="Q217" s="74"/>
      <c r="R217" s="75"/>
      <c r="S217" s="74"/>
      <c r="T217" s="74"/>
      <c r="U217" s="74"/>
      <c r="V217" s="74"/>
      <c r="W217" s="74"/>
      <c r="X217" s="74"/>
      <c r="Y217" s="74"/>
      <c r="Z217" s="74"/>
      <c r="AA217" s="74"/>
      <c r="AB217" s="74"/>
      <c r="AC217" s="74"/>
      <c r="AD217" s="74"/>
      <c r="AE217" s="74"/>
      <c r="AF217" s="74"/>
      <c r="AG217" s="74"/>
      <c r="AH217" s="74"/>
      <c r="AI217" s="74"/>
      <c r="AJ217" s="74"/>
      <c r="AK217" s="74"/>
    </row>
    <row r="218">
      <c r="A218" s="74"/>
      <c r="B218" s="74"/>
      <c r="C218" s="74"/>
      <c r="D218" s="74"/>
      <c r="E218" s="74"/>
      <c r="F218" s="74"/>
      <c r="G218" s="74"/>
      <c r="H218" s="74"/>
      <c r="I218" s="74"/>
      <c r="J218" s="74"/>
      <c r="K218" s="74"/>
      <c r="L218" s="74"/>
      <c r="M218" s="74"/>
      <c r="N218" s="74"/>
      <c r="O218" s="74"/>
      <c r="P218" s="74"/>
      <c r="Q218" s="74"/>
      <c r="R218" s="75"/>
      <c r="S218" s="74"/>
      <c r="T218" s="74"/>
      <c r="U218" s="74"/>
      <c r="V218" s="74"/>
      <c r="W218" s="74"/>
      <c r="X218" s="74"/>
      <c r="Y218" s="74"/>
      <c r="Z218" s="74"/>
      <c r="AA218" s="74"/>
      <c r="AB218" s="74"/>
      <c r="AC218" s="74"/>
      <c r="AD218" s="74"/>
      <c r="AE218" s="74"/>
      <c r="AF218" s="74"/>
      <c r="AG218" s="74"/>
      <c r="AH218" s="74"/>
      <c r="AI218" s="74"/>
      <c r="AJ218" s="74"/>
      <c r="AK218" s="74"/>
    </row>
    <row r="219">
      <c r="A219" s="74"/>
      <c r="B219" s="74"/>
      <c r="C219" s="74"/>
      <c r="D219" s="74"/>
      <c r="E219" s="74"/>
      <c r="F219" s="74"/>
      <c r="G219" s="74"/>
      <c r="H219" s="74"/>
      <c r="I219" s="74"/>
      <c r="J219" s="74"/>
      <c r="K219" s="74"/>
      <c r="L219" s="74"/>
      <c r="M219" s="74"/>
      <c r="N219" s="74"/>
      <c r="O219" s="74"/>
      <c r="P219" s="74"/>
      <c r="Q219" s="74"/>
      <c r="R219" s="75"/>
      <c r="S219" s="74"/>
      <c r="T219" s="74"/>
      <c r="U219" s="74"/>
      <c r="V219" s="74"/>
      <c r="W219" s="74"/>
      <c r="X219" s="74"/>
      <c r="Y219" s="74"/>
      <c r="Z219" s="74"/>
      <c r="AA219" s="74"/>
      <c r="AB219" s="74"/>
      <c r="AC219" s="74"/>
      <c r="AD219" s="74"/>
      <c r="AE219" s="74"/>
      <c r="AF219" s="74"/>
      <c r="AG219" s="74"/>
      <c r="AH219" s="74"/>
      <c r="AI219" s="74"/>
      <c r="AJ219" s="74"/>
      <c r="AK219" s="74"/>
    </row>
    <row r="220">
      <c r="A220" s="74"/>
      <c r="B220" s="74"/>
      <c r="C220" s="74"/>
      <c r="D220" s="74"/>
      <c r="E220" s="74"/>
      <c r="F220" s="74"/>
      <c r="G220" s="74"/>
      <c r="H220" s="74"/>
      <c r="I220" s="74"/>
      <c r="J220" s="74"/>
      <c r="K220" s="74"/>
      <c r="L220" s="74"/>
      <c r="M220" s="74"/>
      <c r="N220" s="74"/>
      <c r="O220" s="74"/>
      <c r="P220" s="74"/>
      <c r="Q220" s="74"/>
      <c r="R220" s="75"/>
      <c r="S220" s="74"/>
      <c r="T220" s="74"/>
      <c r="U220" s="74"/>
      <c r="V220" s="74"/>
      <c r="W220" s="74"/>
      <c r="X220" s="74"/>
      <c r="Y220" s="74"/>
      <c r="Z220" s="74"/>
      <c r="AA220" s="74"/>
      <c r="AB220" s="74"/>
      <c r="AC220" s="74"/>
      <c r="AD220" s="74"/>
      <c r="AE220" s="74"/>
      <c r="AF220" s="74"/>
      <c r="AG220" s="74"/>
      <c r="AH220" s="74"/>
      <c r="AI220" s="74"/>
      <c r="AJ220" s="74"/>
      <c r="AK220" s="74"/>
    </row>
    <row r="221">
      <c r="A221" s="74"/>
      <c r="B221" s="74"/>
      <c r="C221" s="74"/>
      <c r="D221" s="74"/>
      <c r="E221" s="74"/>
      <c r="F221" s="74"/>
      <c r="G221" s="74"/>
      <c r="H221" s="74"/>
      <c r="I221" s="74"/>
      <c r="J221" s="74"/>
      <c r="K221" s="74"/>
      <c r="L221" s="74"/>
      <c r="M221" s="74"/>
      <c r="N221" s="74"/>
      <c r="O221" s="74"/>
      <c r="P221" s="74"/>
      <c r="Q221" s="74"/>
      <c r="R221" s="75"/>
      <c r="S221" s="74"/>
      <c r="T221" s="74"/>
      <c r="U221" s="74"/>
      <c r="V221" s="74"/>
      <c r="W221" s="74"/>
      <c r="X221" s="74"/>
      <c r="Y221" s="74"/>
      <c r="Z221" s="74"/>
      <c r="AA221" s="74"/>
      <c r="AB221" s="74"/>
      <c r="AC221" s="74"/>
      <c r="AD221" s="74"/>
      <c r="AE221" s="74"/>
      <c r="AF221" s="74"/>
      <c r="AG221" s="74"/>
      <c r="AH221" s="74"/>
      <c r="AI221" s="74"/>
      <c r="AJ221" s="74"/>
      <c r="AK221" s="74"/>
    </row>
    <row r="222">
      <c r="A222" s="74"/>
      <c r="B222" s="74"/>
      <c r="C222" s="74"/>
      <c r="D222" s="74"/>
      <c r="E222" s="74"/>
      <c r="F222" s="74"/>
      <c r="G222" s="74"/>
      <c r="H222" s="74"/>
      <c r="I222" s="74"/>
      <c r="J222" s="74"/>
      <c r="K222" s="74"/>
      <c r="L222" s="74"/>
      <c r="M222" s="74"/>
      <c r="N222" s="74"/>
      <c r="O222" s="74"/>
      <c r="P222" s="74"/>
      <c r="Q222" s="74"/>
      <c r="R222" s="75"/>
      <c r="S222" s="74"/>
      <c r="T222" s="74"/>
      <c r="U222" s="74"/>
      <c r="V222" s="74"/>
      <c r="W222" s="74"/>
      <c r="X222" s="74"/>
      <c r="Y222" s="74"/>
      <c r="Z222" s="74"/>
      <c r="AA222" s="74"/>
      <c r="AB222" s="74"/>
      <c r="AC222" s="74"/>
      <c r="AD222" s="74"/>
      <c r="AE222" s="74"/>
      <c r="AF222" s="74"/>
      <c r="AG222" s="74"/>
      <c r="AH222" s="74"/>
      <c r="AI222" s="74"/>
      <c r="AJ222" s="74"/>
      <c r="AK222" s="74"/>
    </row>
    <row r="223">
      <c r="A223" s="74"/>
      <c r="B223" s="74"/>
      <c r="C223" s="74"/>
      <c r="D223" s="74"/>
      <c r="E223" s="74"/>
      <c r="F223" s="74"/>
      <c r="G223" s="74"/>
      <c r="H223" s="74"/>
      <c r="I223" s="74"/>
      <c r="J223" s="74"/>
      <c r="K223" s="74"/>
      <c r="L223" s="74"/>
      <c r="M223" s="74"/>
      <c r="N223" s="74"/>
      <c r="O223" s="74"/>
      <c r="P223" s="74"/>
      <c r="Q223" s="74"/>
      <c r="R223" s="75"/>
      <c r="S223" s="74"/>
      <c r="T223" s="74"/>
      <c r="U223" s="74"/>
      <c r="V223" s="74"/>
      <c r="W223" s="74"/>
      <c r="X223" s="74"/>
      <c r="Y223" s="74"/>
      <c r="Z223" s="74"/>
      <c r="AA223" s="74"/>
      <c r="AB223" s="74"/>
      <c r="AC223" s="74"/>
      <c r="AD223" s="74"/>
      <c r="AE223" s="74"/>
      <c r="AF223" s="74"/>
      <c r="AG223" s="74"/>
      <c r="AH223" s="74"/>
      <c r="AI223" s="74"/>
      <c r="AJ223" s="74"/>
      <c r="AK223" s="74"/>
    </row>
    <row r="224">
      <c r="A224" s="74"/>
      <c r="B224" s="74"/>
      <c r="C224" s="74"/>
      <c r="D224" s="74"/>
      <c r="E224" s="74"/>
      <c r="F224" s="74"/>
      <c r="G224" s="74"/>
      <c r="H224" s="74"/>
      <c r="I224" s="74"/>
      <c r="J224" s="74"/>
      <c r="K224" s="74"/>
      <c r="L224" s="74"/>
      <c r="M224" s="74"/>
      <c r="N224" s="74"/>
      <c r="O224" s="74"/>
      <c r="P224" s="74"/>
      <c r="Q224" s="74"/>
      <c r="R224" s="75"/>
      <c r="S224" s="74"/>
      <c r="T224" s="74"/>
      <c r="U224" s="74"/>
      <c r="V224" s="74"/>
      <c r="W224" s="74"/>
      <c r="X224" s="74"/>
      <c r="Y224" s="74"/>
      <c r="Z224" s="74"/>
      <c r="AA224" s="74"/>
      <c r="AB224" s="74"/>
      <c r="AC224" s="74"/>
      <c r="AD224" s="74"/>
      <c r="AE224" s="74"/>
      <c r="AF224" s="74"/>
      <c r="AG224" s="74"/>
      <c r="AH224" s="74"/>
      <c r="AI224" s="74"/>
      <c r="AJ224" s="74"/>
      <c r="AK224" s="74"/>
    </row>
    <row r="225">
      <c r="A225" s="74"/>
      <c r="B225" s="74"/>
      <c r="C225" s="74"/>
      <c r="D225" s="74"/>
      <c r="E225" s="74"/>
      <c r="F225" s="74"/>
      <c r="G225" s="74"/>
      <c r="H225" s="74"/>
      <c r="I225" s="74"/>
      <c r="J225" s="74"/>
      <c r="K225" s="74"/>
      <c r="L225" s="74"/>
      <c r="M225" s="74"/>
      <c r="N225" s="74"/>
      <c r="O225" s="74"/>
      <c r="P225" s="74"/>
      <c r="Q225" s="74"/>
      <c r="R225" s="75"/>
      <c r="S225" s="74"/>
      <c r="T225" s="74"/>
      <c r="U225" s="74"/>
      <c r="V225" s="74"/>
      <c r="W225" s="74"/>
      <c r="X225" s="74"/>
      <c r="Y225" s="74"/>
      <c r="Z225" s="74"/>
      <c r="AA225" s="74"/>
      <c r="AB225" s="74"/>
      <c r="AC225" s="74"/>
      <c r="AD225" s="74"/>
      <c r="AE225" s="74"/>
      <c r="AF225" s="74"/>
      <c r="AG225" s="74"/>
      <c r="AH225" s="74"/>
      <c r="AI225" s="74"/>
      <c r="AJ225" s="74"/>
      <c r="AK225" s="74"/>
    </row>
    <row r="226">
      <c r="A226" s="74"/>
      <c r="B226" s="74"/>
      <c r="C226" s="74"/>
      <c r="D226" s="74"/>
      <c r="E226" s="74"/>
      <c r="F226" s="74"/>
      <c r="G226" s="74"/>
      <c r="H226" s="74"/>
      <c r="I226" s="74"/>
      <c r="J226" s="74"/>
      <c r="K226" s="74"/>
      <c r="L226" s="74"/>
      <c r="M226" s="74"/>
      <c r="N226" s="74"/>
      <c r="O226" s="74"/>
      <c r="P226" s="74"/>
      <c r="Q226" s="74"/>
      <c r="R226" s="75"/>
      <c r="S226" s="74"/>
      <c r="T226" s="74"/>
      <c r="U226" s="74"/>
      <c r="V226" s="74"/>
      <c r="W226" s="74"/>
      <c r="X226" s="74"/>
      <c r="Y226" s="74"/>
      <c r="Z226" s="74"/>
      <c r="AA226" s="74"/>
      <c r="AB226" s="74"/>
      <c r="AC226" s="74"/>
      <c r="AD226" s="74"/>
      <c r="AE226" s="74"/>
      <c r="AF226" s="74"/>
      <c r="AG226" s="74"/>
      <c r="AH226" s="74"/>
      <c r="AI226" s="74"/>
      <c r="AJ226" s="74"/>
      <c r="AK226" s="74"/>
    </row>
    <row r="227">
      <c r="A227" s="74"/>
      <c r="B227" s="74"/>
      <c r="C227" s="74"/>
      <c r="D227" s="74"/>
      <c r="E227" s="74"/>
      <c r="F227" s="74"/>
      <c r="G227" s="74"/>
      <c r="H227" s="74"/>
      <c r="I227" s="74"/>
      <c r="J227" s="74"/>
      <c r="K227" s="74"/>
      <c r="L227" s="74"/>
      <c r="M227" s="74"/>
      <c r="N227" s="74"/>
      <c r="O227" s="74"/>
      <c r="P227" s="74"/>
      <c r="Q227" s="74"/>
      <c r="R227" s="75"/>
      <c r="S227" s="74"/>
      <c r="T227" s="74"/>
      <c r="U227" s="74"/>
      <c r="V227" s="74"/>
      <c r="W227" s="74"/>
      <c r="X227" s="74"/>
      <c r="Y227" s="74"/>
      <c r="Z227" s="74"/>
      <c r="AA227" s="74"/>
      <c r="AB227" s="74"/>
      <c r="AC227" s="74"/>
      <c r="AD227" s="74"/>
      <c r="AE227" s="74"/>
      <c r="AF227" s="74"/>
      <c r="AG227" s="74"/>
      <c r="AH227" s="74"/>
      <c r="AI227" s="74"/>
      <c r="AJ227" s="74"/>
      <c r="AK227" s="74"/>
    </row>
    <row r="228">
      <c r="A228" s="74"/>
      <c r="B228" s="74"/>
      <c r="C228" s="74"/>
      <c r="D228" s="74"/>
      <c r="E228" s="74"/>
      <c r="F228" s="74"/>
      <c r="G228" s="74"/>
      <c r="H228" s="74"/>
      <c r="I228" s="74"/>
      <c r="J228" s="74"/>
      <c r="K228" s="74"/>
      <c r="L228" s="74"/>
      <c r="M228" s="74"/>
      <c r="N228" s="74"/>
      <c r="O228" s="74"/>
      <c r="P228" s="74"/>
      <c r="Q228" s="74"/>
      <c r="R228" s="75"/>
      <c r="S228" s="74"/>
      <c r="T228" s="74"/>
      <c r="U228" s="74"/>
      <c r="V228" s="74"/>
      <c r="W228" s="74"/>
      <c r="X228" s="74"/>
      <c r="Y228" s="74"/>
      <c r="Z228" s="74"/>
      <c r="AA228" s="74"/>
      <c r="AB228" s="74"/>
      <c r="AC228" s="74"/>
      <c r="AD228" s="74"/>
      <c r="AE228" s="74"/>
      <c r="AF228" s="74"/>
      <c r="AG228" s="74"/>
      <c r="AH228" s="74"/>
      <c r="AI228" s="74"/>
      <c r="AJ228" s="74"/>
      <c r="AK228" s="74"/>
    </row>
    <row r="229">
      <c r="A229" s="74"/>
      <c r="B229" s="74"/>
      <c r="C229" s="74"/>
      <c r="D229" s="74"/>
      <c r="E229" s="74"/>
      <c r="F229" s="74"/>
      <c r="G229" s="74"/>
      <c r="H229" s="74"/>
      <c r="I229" s="74"/>
      <c r="J229" s="74"/>
      <c r="K229" s="74"/>
      <c r="L229" s="74"/>
      <c r="M229" s="74"/>
      <c r="N229" s="74"/>
      <c r="O229" s="74"/>
      <c r="P229" s="74"/>
      <c r="Q229" s="74"/>
      <c r="R229" s="75"/>
      <c r="S229" s="74"/>
      <c r="T229" s="74"/>
      <c r="U229" s="74"/>
      <c r="V229" s="74"/>
      <c r="W229" s="74"/>
      <c r="X229" s="74"/>
      <c r="Y229" s="74"/>
      <c r="Z229" s="74"/>
      <c r="AA229" s="74"/>
      <c r="AB229" s="74"/>
      <c r="AC229" s="74"/>
      <c r="AD229" s="74"/>
      <c r="AE229" s="74"/>
      <c r="AF229" s="74"/>
      <c r="AG229" s="74"/>
      <c r="AH229" s="74"/>
      <c r="AI229" s="74"/>
      <c r="AJ229" s="74"/>
      <c r="AK229" s="74"/>
    </row>
    <row r="230">
      <c r="A230" s="74"/>
      <c r="B230" s="74"/>
      <c r="C230" s="74"/>
      <c r="D230" s="74"/>
      <c r="E230" s="74"/>
      <c r="F230" s="74"/>
      <c r="G230" s="74"/>
      <c r="H230" s="74"/>
      <c r="I230" s="74"/>
      <c r="J230" s="74"/>
      <c r="K230" s="74"/>
      <c r="L230" s="74"/>
      <c r="M230" s="74"/>
      <c r="N230" s="74"/>
      <c r="O230" s="74"/>
      <c r="P230" s="74"/>
      <c r="Q230" s="74"/>
      <c r="R230" s="75"/>
      <c r="S230" s="74"/>
      <c r="T230" s="74"/>
      <c r="U230" s="74"/>
      <c r="V230" s="74"/>
      <c r="W230" s="74"/>
      <c r="X230" s="74"/>
      <c r="Y230" s="74"/>
      <c r="Z230" s="74"/>
      <c r="AA230" s="74"/>
      <c r="AB230" s="74"/>
      <c r="AC230" s="74"/>
      <c r="AD230" s="74"/>
      <c r="AE230" s="74"/>
      <c r="AF230" s="74"/>
      <c r="AG230" s="74"/>
      <c r="AH230" s="74"/>
      <c r="AI230" s="74"/>
      <c r="AJ230" s="74"/>
      <c r="AK230" s="74"/>
    </row>
    <row r="231">
      <c r="A231" s="74"/>
      <c r="B231" s="74"/>
      <c r="C231" s="74"/>
      <c r="D231" s="74"/>
      <c r="E231" s="74"/>
      <c r="F231" s="74"/>
      <c r="G231" s="74"/>
      <c r="H231" s="74"/>
      <c r="I231" s="74"/>
      <c r="J231" s="74"/>
      <c r="K231" s="74"/>
      <c r="L231" s="74"/>
      <c r="M231" s="74"/>
      <c r="N231" s="74"/>
      <c r="O231" s="74"/>
      <c r="P231" s="74"/>
      <c r="Q231" s="74"/>
      <c r="R231" s="75"/>
      <c r="S231" s="74"/>
      <c r="T231" s="74"/>
      <c r="U231" s="74"/>
      <c r="V231" s="74"/>
      <c r="W231" s="74"/>
      <c r="X231" s="74"/>
      <c r="Y231" s="74"/>
      <c r="Z231" s="74"/>
      <c r="AA231" s="74"/>
      <c r="AB231" s="74"/>
      <c r="AC231" s="74"/>
      <c r="AD231" s="74"/>
      <c r="AE231" s="74"/>
      <c r="AF231" s="74"/>
      <c r="AG231" s="74"/>
      <c r="AH231" s="74"/>
      <c r="AI231" s="74"/>
      <c r="AJ231" s="74"/>
      <c r="AK231" s="74"/>
    </row>
    <row r="232">
      <c r="A232" s="74"/>
      <c r="B232" s="74"/>
      <c r="C232" s="74"/>
      <c r="D232" s="74"/>
      <c r="E232" s="74"/>
      <c r="F232" s="74"/>
      <c r="G232" s="74"/>
      <c r="H232" s="74"/>
      <c r="I232" s="74"/>
      <c r="J232" s="74"/>
      <c r="K232" s="74"/>
      <c r="L232" s="74"/>
      <c r="M232" s="74"/>
      <c r="N232" s="74"/>
      <c r="O232" s="74"/>
      <c r="P232" s="74"/>
      <c r="Q232" s="74"/>
      <c r="R232" s="75"/>
      <c r="S232" s="74"/>
      <c r="T232" s="74"/>
      <c r="U232" s="74"/>
      <c r="V232" s="74"/>
      <c r="W232" s="74"/>
      <c r="X232" s="74"/>
      <c r="Y232" s="74"/>
      <c r="Z232" s="74"/>
      <c r="AA232" s="74"/>
      <c r="AB232" s="74"/>
      <c r="AC232" s="74"/>
      <c r="AD232" s="74"/>
      <c r="AE232" s="74"/>
      <c r="AF232" s="74"/>
      <c r="AG232" s="74"/>
      <c r="AH232" s="74"/>
      <c r="AI232" s="74"/>
      <c r="AJ232" s="74"/>
      <c r="AK232" s="74"/>
    </row>
    <row r="233">
      <c r="A233" s="74"/>
      <c r="B233" s="74"/>
      <c r="C233" s="74"/>
      <c r="D233" s="74"/>
      <c r="E233" s="74"/>
      <c r="F233" s="74"/>
      <c r="G233" s="74"/>
      <c r="H233" s="74"/>
      <c r="I233" s="74"/>
      <c r="J233" s="74"/>
      <c r="K233" s="74"/>
      <c r="L233" s="74"/>
      <c r="M233" s="74"/>
      <c r="N233" s="74"/>
      <c r="O233" s="74"/>
      <c r="P233" s="74"/>
      <c r="Q233" s="74"/>
      <c r="R233" s="75"/>
      <c r="S233" s="74"/>
      <c r="T233" s="74"/>
      <c r="U233" s="74"/>
      <c r="V233" s="74"/>
      <c r="W233" s="74"/>
      <c r="X233" s="74"/>
      <c r="Y233" s="74"/>
      <c r="Z233" s="74"/>
      <c r="AA233" s="74"/>
      <c r="AB233" s="74"/>
      <c r="AC233" s="74"/>
      <c r="AD233" s="74"/>
      <c r="AE233" s="74"/>
      <c r="AF233" s="74"/>
      <c r="AG233" s="74"/>
      <c r="AH233" s="74"/>
      <c r="AI233" s="74"/>
      <c r="AJ233" s="74"/>
      <c r="AK233" s="74"/>
    </row>
    <row r="234">
      <c r="A234" s="74"/>
      <c r="B234" s="74"/>
      <c r="C234" s="74"/>
      <c r="D234" s="74"/>
      <c r="E234" s="74"/>
      <c r="F234" s="74"/>
      <c r="G234" s="74"/>
      <c r="H234" s="74"/>
      <c r="I234" s="74"/>
      <c r="J234" s="74"/>
      <c r="K234" s="74"/>
      <c r="L234" s="74"/>
      <c r="M234" s="74"/>
      <c r="N234" s="74"/>
      <c r="O234" s="74"/>
      <c r="P234" s="74"/>
      <c r="Q234" s="74"/>
      <c r="R234" s="75"/>
      <c r="S234" s="74"/>
      <c r="T234" s="74"/>
      <c r="U234" s="74"/>
      <c r="V234" s="74"/>
      <c r="W234" s="74"/>
      <c r="X234" s="74"/>
      <c r="Y234" s="74"/>
      <c r="Z234" s="74"/>
      <c r="AA234" s="74"/>
      <c r="AB234" s="74"/>
      <c r="AC234" s="74"/>
      <c r="AD234" s="74"/>
      <c r="AE234" s="74"/>
      <c r="AF234" s="74"/>
      <c r="AG234" s="74"/>
      <c r="AH234" s="74"/>
      <c r="AI234" s="74"/>
      <c r="AJ234" s="74"/>
      <c r="AK234" s="74"/>
    </row>
    <row r="235">
      <c r="A235" s="74"/>
      <c r="B235" s="74"/>
      <c r="C235" s="74"/>
      <c r="D235" s="74"/>
      <c r="E235" s="74"/>
      <c r="F235" s="74"/>
      <c r="G235" s="74"/>
      <c r="H235" s="74"/>
      <c r="I235" s="74"/>
      <c r="J235" s="74"/>
      <c r="K235" s="74"/>
      <c r="L235" s="74"/>
      <c r="M235" s="74"/>
      <c r="N235" s="74"/>
      <c r="O235" s="74"/>
      <c r="P235" s="74"/>
      <c r="Q235" s="74"/>
      <c r="R235" s="75"/>
      <c r="S235" s="74"/>
      <c r="T235" s="74"/>
      <c r="U235" s="74"/>
      <c r="V235" s="74"/>
      <c r="W235" s="74"/>
      <c r="X235" s="74"/>
      <c r="Y235" s="74"/>
      <c r="Z235" s="74"/>
      <c r="AA235" s="74"/>
      <c r="AB235" s="74"/>
      <c r="AC235" s="74"/>
      <c r="AD235" s="74"/>
      <c r="AE235" s="74"/>
      <c r="AF235" s="74"/>
      <c r="AG235" s="74"/>
      <c r="AH235" s="74"/>
      <c r="AI235" s="74"/>
      <c r="AJ235" s="74"/>
      <c r="AK235" s="74"/>
    </row>
    <row r="236">
      <c r="A236" s="74"/>
      <c r="B236" s="74"/>
      <c r="C236" s="74"/>
      <c r="D236" s="74"/>
      <c r="E236" s="74"/>
      <c r="F236" s="74"/>
      <c r="G236" s="74"/>
      <c r="H236" s="74"/>
      <c r="I236" s="74"/>
      <c r="J236" s="74"/>
      <c r="K236" s="74"/>
      <c r="L236" s="74"/>
      <c r="M236" s="74"/>
      <c r="N236" s="74"/>
      <c r="O236" s="74"/>
      <c r="P236" s="74"/>
      <c r="Q236" s="74"/>
      <c r="R236" s="75"/>
      <c r="S236" s="74"/>
      <c r="T236" s="74"/>
      <c r="U236" s="74"/>
      <c r="V236" s="74"/>
      <c r="W236" s="74"/>
      <c r="X236" s="74"/>
      <c r="Y236" s="74"/>
      <c r="Z236" s="74"/>
      <c r="AA236" s="74"/>
      <c r="AB236" s="74"/>
      <c r="AC236" s="74"/>
      <c r="AD236" s="74"/>
      <c r="AE236" s="74"/>
      <c r="AF236" s="74"/>
      <c r="AG236" s="74"/>
      <c r="AH236" s="74"/>
      <c r="AI236" s="74"/>
      <c r="AJ236" s="74"/>
      <c r="AK236" s="74"/>
    </row>
    <row r="237">
      <c r="A237" s="74"/>
      <c r="B237" s="74"/>
      <c r="C237" s="74"/>
      <c r="D237" s="74"/>
      <c r="E237" s="74"/>
      <c r="F237" s="74"/>
      <c r="G237" s="74"/>
      <c r="H237" s="74"/>
      <c r="I237" s="74"/>
      <c r="J237" s="74"/>
      <c r="K237" s="74"/>
      <c r="L237" s="74"/>
      <c r="M237" s="74"/>
      <c r="N237" s="74"/>
      <c r="O237" s="74"/>
      <c r="P237" s="74"/>
      <c r="Q237" s="74"/>
      <c r="R237" s="75"/>
      <c r="S237" s="74"/>
      <c r="T237" s="74"/>
      <c r="U237" s="74"/>
      <c r="V237" s="74"/>
      <c r="W237" s="74"/>
      <c r="X237" s="74"/>
      <c r="Y237" s="74"/>
      <c r="Z237" s="74"/>
      <c r="AA237" s="74"/>
      <c r="AB237" s="74"/>
      <c r="AC237" s="74"/>
      <c r="AD237" s="74"/>
      <c r="AE237" s="74"/>
      <c r="AF237" s="74"/>
      <c r="AG237" s="74"/>
      <c r="AH237" s="74"/>
      <c r="AI237" s="74"/>
      <c r="AJ237" s="74"/>
      <c r="AK237" s="74"/>
    </row>
    <row r="238">
      <c r="A238" s="74"/>
      <c r="B238" s="74"/>
      <c r="C238" s="74"/>
      <c r="D238" s="74"/>
      <c r="E238" s="74"/>
      <c r="F238" s="74"/>
      <c r="G238" s="74"/>
      <c r="H238" s="74"/>
      <c r="I238" s="74"/>
      <c r="J238" s="74"/>
      <c r="K238" s="74"/>
      <c r="L238" s="74"/>
      <c r="M238" s="74"/>
      <c r="N238" s="74"/>
      <c r="O238" s="74"/>
      <c r="P238" s="74"/>
      <c r="Q238" s="74"/>
      <c r="R238" s="75"/>
      <c r="S238" s="74"/>
      <c r="T238" s="74"/>
      <c r="U238" s="74"/>
      <c r="V238" s="74"/>
      <c r="W238" s="74"/>
      <c r="X238" s="74"/>
      <c r="Y238" s="74"/>
      <c r="Z238" s="74"/>
      <c r="AA238" s="74"/>
      <c r="AB238" s="74"/>
      <c r="AC238" s="74"/>
      <c r="AD238" s="74"/>
      <c r="AE238" s="74"/>
      <c r="AF238" s="74"/>
      <c r="AG238" s="74"/>
      <c r="AH238" s="74"/>
      <c r="AI238" s="74"/>
      <c r="AJ238" s="74"/>
      <c r="AK238" s="74"/>
    </row>
    <row r="239">
      <c r="A239" s="74"/>
      <c r="B239" s="74"/>
      <c r="C239" s="74"/>
      <c r="D239" s="74"/>
      <c r="E239" s="74"/>
      <c r="F239" s="74"/>
      <c r="G239" s="74"/>
      <c r="H239" s="74"/>
      <c r="I239" s="74"/>
      <c r="J239" s="74"/>
      <c r="K239" s="74"/>
      <c r="L239" s="74"/>
      <c r="M239" s="74"/>
      <c r="N239" s="74"/>
      <c r="O239" s="74"/>
      <c r="P239" s="74"/>
      <c r="Q239" s="74"/>
      <c r="R239" s="75"/>
      <c r="S239" s="74"/>
      <c r="T239" s="74"/>
      <c r="U239" s="74"/>
      <c r="V239" s="74"/>
      <c r="W239" s="74"/>
      <c r="X239" s="74"/>
      <c r="Y239" s="74"/>
      <c r="Z239" s="74"/>
      <c r="AA239" s="74"/>
      <c r="AB239" s="74"/>
      <c r="AC239" s="74"/>
      <c r="AD239" s="74"/>
      <c r="AE239" s="74"/>
      <c r="AF239" s="74"/>
      <c r="AG239" s="74"/>
      <c r="AH239" s="74"/>
      <c r="AI239" s="74"/>
      <c r="AJ239" s="74"/>
      <c r="AK239" s="74"/>
    </row>
    <row r="240">
      <c r="A240" s="74"/>
      <c r="B240" s="74"/>
      <c r="C240" s="74"/>
      <c r="D240" s="74"/>
      <c r="E240" s="74"/>
      <c r="F240" s="74"/>
      <c r="G240" s="74"/>
      <c r="H240" s="74"/>
      <c r="I240" s="74"/>
      <c r="J240" s="74"/>
      <c r="K240" s="74"/>
      <c r="L240" s="74"/>
      <c r="M240" s="74"/>
      <c r="N240" s="74"/>
      <c r="O240" s="74"/>
      <c r="P240" s="74"/>
      <c r="Q240" s="74"/>
      <c r="R240" s="75"/>
      <c r="S240" s="74"/>
      <c r="T240" s="74"/>
      <c r="U240" s="74"/>
      <c r="V240" s="74"/>
      <c r="W240" s="74"/>
      <c r="X240" s="74"/>
      <c r="Y240" s="74"/>
      <c r="Z240" s="74"/>
      <c r="AA240" s="74"/>
      <c r="AB240" s="74"/>
      <c r="AC240" s="74"/>
      <c r="AD240" s="74"/>
      <c r="AE240" s="74"/>
      <c r="AF240" s="74"/>
      <c r="AG240" s="74"/>
      <c r="AH240" s="74"/>
      <c r="AI240" s="74"/>
      <c r="AJ240" s="74"/>
      <c r="AK240" s="74"/>
    </row>
    <row r="241">
      <c r="A241" s="74"/>
      <c r="B241" s="74"/>
      <c r="C241" s="74"/>
      <c r="D241" s="74"/>
      <c r="E241" s="74"/>
      <c r="F241" s="74"/>
      <c r="G241" s="74"/>
      <c r="H241" s="74"/>
      <c r="I241" s="74"/>
      <c r="J241" s="74"/>
      <c r="K241" s="74"/>
      <c r="L241" s="74"/>
      <c r="M241" s="74"/>
      <c r="N241" s="74"/>
      <c r="O241" s="74"/>
      <c r="P241" s="74"/>
      <c r="Q241" s="74"/>
      <c r="R241" s="75"/>
      <c r="S241" s="74"/>
      <c r="T241" s="74"/>
      <c r="U241" s="74"/>
      <c r="V241" s="74"/>
      <c r="W241" s="74"/>
      <c r="X241" s="74"/>
      <c r="Y241" s="74"/>
      <c r="Z241" s="74"/>
      <c r="AA241" s="74"/>
      <c r="AB241" s="74"/>
      <c r="AC241" s="74"/>
      <c r="AD241" s="74"/>
      <c r="AE241" s="74"/>
      <c r="AF241" s="74"/>
      <c r="AG241" s="74"/>
      <c r="AH241" s="74"/>
      <c r="AI241" s="74"/>
      <c r="AJ241" s="74"/>
      <c r="AK241" s="74"/>
    </row>
    <row r="242">
      <c r="A242" s="74"/>
      <c r="B242" s="74"/>
      <c r="C242" s="74"/>
      <c r="D242" s="74"/>
      <c r="E242" s="74"/>
      <c r="F242" s="74"/>
      <c r="G242" s="74"/>
      <c r="H242" s="74"/>
      <c r="I242" s="74"/>
      <c r="J242" s="74"/>
      <c r="K242" s="74"/>
      <c r="L242" s="74"/>
      <c r="M242" s="74"/>
      <c r="N242" s="74"/>
      <c r="O242" s="74"/>
      <c r="P242" s="74"/>
      <c r="Q242" s="74"/>
      <c r="R242" s="75"/>
      <c r="S242" s="74"/>
      <c r="T242" s="74"/>
      <c r="U242" s="74"/>
      <c r="V242" s="74"/>
      <c r="W242" s="74"/>
      <c r="X242" s="74"/>
      <c r="Y242" s="74"/>
      <c r="Z242" s="74"/>
      <c r="AA242" s="74"/>
      <c r="AB242" s="74"/>
      <c r="AC242" s="74"/>
      <c r="AD242" s="74"/>
      <c r="AE242" s="74"/>
      <c r="AF242" s="74"/>
      <c r="AG242" s="74"/>
      <c r="AH242" s="74"/>
      <c r="AI242" s="74"/>
      <c r="AJ242" s="74"/>
      <c r="AK242" s="74"/>
    </row>
    <row r="243">
      <c r="A243" s="74"/>
      <c r="B243" s="74"/>
      <c r="C243" s="74"/>
      <c r="D243" s="74"/>
      <c r="E243" s="74"/>
      <c r="F243" s="74"/>
      <c r="G243" s="74"/>
      <c r="H243" s="74"/>
      <c r="I243" s="74"/>
      <c r="J243" s="74"/>
      <c r="K243" s="74"/>
      <c r="L243" s="74"/>
      <c r="M243" s="74"/>
      <c r="N243" s="74"/>
      <c r="O243" s="74"/>
      <c r="P243" s="74"/>
      <c r="Q243" s="74"/>
      <c r="R243" s="75"/>
      <c r="S243" s="74"/>
      <c r="T243" s="74"/>
      <c r="U243" s="74"/>
      <c r="V243" s="74"/>
      <c r="W243" s="74"/>
      <c r="X243" s="74"/>
      <c r="Y243" s="74"/>
      <c r="Z243" s="74"/>
      <c r="AA243" s="74"/>
      <c r="AB243" s="74"/>
      <c r="AC243" s="74"/>
      <c r="AD243" s="74"/>
      <c r="AE243" s="74"/>
      <c r="AF243" s="74"/>
      <c r="AG243" s="74"/>
      <c r="AH243" s="74"/>
      <c r="AI243" s="74"/>
      <c r="AJ243" s="74"/>
      <c r="AK243" s="74"/>
    </row>
    <row r="244">
      <c r="A244" s="74"/>
      <c r="B244" s="74"/>
      <c r="C244" s="74"/>
      <c r="D244" s="74"/>
      <c r="E244" s="74"/>
      <c r="F244" s="74"/>
      <c r="G244" s="74"/>
      <c r="H244" s="74"/>
      <c r="I244" s="74"/>
      <c r="J244" s="74"/>
      <c r="K244" s="74"/>
      <c r="L244" s="74"/>
      <c r="M244" s="74"/>
      <c r="N244" s="74"/>
      <c r="O244" s="74"/>
      <c r="P244" s="74"/>
      <c r="Q244" s="74"/>
      <c r="R244" s="75"/>
      <c r="S244" s="74"/>
      <c r="T244" s="74"/>
      <c r="U244" s="74"/>
      <c r="V244" s="74"/>
      <c r="W244" s="74"/>
      <c r="X244" s="74"/>
      <c r="Y244" s="74"/>
      <c r="Z244" s="74"/>
      <c r="AA244" s="74"/>
      <c r="AB244" s="74"/>
      <c r="AC244" s="74"/>
      <c r="AD244" s="74"/>
      <c r="AE244" s="74"/>
      <c r="AF244" s="74"/>
      <c r="AG244" s="74"/>
      <c r="AH244" s="74"/>
      <c r="AI244" s="74"/>
      <c r="AJ244" s="74"/>
      <c r="AK244" s="74"/>
    </row>
    <row r="245">
      <c r="A245" s="74"/>
      <c r="B245" s="74"/>
      <c r="C245" s="74"/>
      <c r="D245" s="74"/>
      <c r="E245" s="74"/>
      <c r="F245" s="74"/>
      <c r="G245" s="74"/>
      <c r="H245" s="74"/>
      <c r="I245" s="74"/>
      <c r="J245" s="74"/>
      <c r="K245" s="74"/>
      <c r="L245" s="74"/>
      <c r="M245" s="74"/>
      <c r="N245" s="74"/>
      <c r="O245" s="74"/>
      <c r="P245" s="74"/>
      <c r="Q245" s="74"/>
      <c r="R245" s="75"/>
      <c r="S245" s="74"/>
      <c r="T245" s="74"/>
      <c r="U245" s="74"/>
      <c r="V245" s="74"/>
      <c r="W245" s="74"/>
      <c r="X245" s="74"/>
      <c r="Y245" s="74"/>
      <c r="Z245" s="74"/>
      <c r="AA245" s="74"/>
      <c r="AB245" s="74"/>
      <c r="AC245" s="74"/>
      <c r="AD245" s="74"/>
      <c r="AE245" s="74"/>
      <c r="AF245" s="74"/>
      <c r="AG245" s="74"/>
      <c r="AH245" s="74"/>
      <c r="AI245" s="74"/>
      <c r="AJ245" s="74"/>
      <c r="AK245" s="74"/>
    </row>
    <row r="246">
      <c r="A246" s="74"/>
      <c r="B246" s="74"/>
      <c r="C246" s="74"/>
      <c r="D246" s="74"/>
      <c r="E246" s="74"/>
      <c r="F246" s="74"/>
      <c r="G246" s="74"/>
      <c r="H246" s="74"/>
      <c r="I246" s="74"/>
      <c r="J246" s="74"/>
      <c r="K246" s="74"/>
      <c r="L246" s="74"/>
      <c r="M246" s="74"/>
      <c r="N246" s="74"/>
      <c r="O246" s="74"/>
      <c r="P246" s="74"/>
      <c r="Q246" s="74"/>
      <c r="R246" s="75"/>
      <c r="S246" s="74"/>
      <c r="T246" s="74"/>
      <c r="U246" s="74"/>
      <c r="V246" s="74"/>
      <c r="W246" s="74"/>
      <c r="X246" s="74"/>
      <c r="Y246" s="74"/>
      <c r="Z246" s="74"/>
      <c r="AA246" s="74"/>
      <c r="AB246" s="74"/>
      <c r="AC246" s="74"/>
      <c r="AD246" s="74"/>
      <c r="AE246" s="74"/>
      <c r="AF246" s="74"/>
      <c r="AG246" s="74"/>
      <c r="AH246" s="74"/>
      <c r="AI246" s="74"/>
      <c r="AJ246" s="74"/>
      <c r="AK246" s="74"/>
    </row>
    <row r="247">
      <c r="A247" s="74"/>
      <c r="B247" s="74"/>
      <c r="C247" s="74"/>
      <c r="D247" s="74"/>
      <c r="E247" s="74"/>
      <c r="F247" s="74"/>
      <c r="G247" s="74"/>
      <c r="H247" s="74"/>
      <c r="I247" s="74"/>
      <c r="J247" s="74"/>
      <c r="K247" s="74"/>
      <c r="L247" s="74"/>
      <c r="M247" s="74"/>
      <c r="N247" s="74"/>
      <c r="O247" s="74"/>
      <c r="P247" s="74"/>
      <c r="Q247" s="74"/>
      <c r="R247" s="75"/>
      <c r="S247" s="74"/>
      <c r="T247" s="74"/>
      <c r="U247" s="74"/>
      <c r="V247" s="74"/>
      <c r="W247" s="74"/>
      <c r="X247" s="74"/>
      <c r="Y247" s="74"/>
      <c r="Z247" s="74"/>
      <c r="AA247" s="74"/>
      <c r="AB247" s="74"/>
      <c r="AC247" s="74"/>
      <c r="AD247" s="74"/>
      <c r="AE247" s="74"/>
      <c r="AF247" s="74"/>
      <c r="AG247" s="74"/>
      <c r="AH247" s="74"/>
      <c r="AI247" s="74"/>
      <c r="AJ247" s="74"/>
      <c r="AK247" s="74"/>
    </row>
    <row r="248">
      <c r="A248" s="74"/>
      <c r="B248" s="74"/>
      <c r="C248" s="74"/>
      <c r="D248" s="74"/>
      <c r="E248" s="74"/>
      <c r="F248" s="74"/>
      <c r="G248" s="74"/>
      <c r="H248" s="74"/>
      <c r="I248" s="74"/>
      <c r="J248" s="74"/>
      <c r="K248" s="74"/>
      <c r="L248" s="74"/>
      <c r="M248" s="74"/>
      <c r="N248" s="74"/>
      <c r="O248" s="74"/>
      <c r="P248" s="74"/>
      <c r="Q248" s="74"/>
      <c r="R248" s="75"/>
      <c r="S248" s="74"/>
      <c r="T248" s="74"/>
      <c r="U248" s="74"/>
      <c r="V248" s="74"/>
      <c r="W248" s="74"/>
      <c r="X248" s="74"/>
      <c r="Y248" s="74"/>
      <c r="Z248" s="74"/>
      <c r="AA248" s="74"/>
      <c r="AB248" s="74"/>
      <c r="AC248" s="74"/>
      <c r="AD248" s="74"/>
      <c r="AE248" s="74"/>
      <c r="AF248" s="74"/>
      <c r="AG248" s="74"/>
      <c r="AH248" s="74"/>
      <c r="AI248" s="74"/>
      <c r="AJ248" s="74"/>
      <c r="AK248" s="74"/>
    </row>
    <row r="249">
      <c r="A249" s="74"/>
      <c r="B249" s="74"/>
      <c r="C249" s="74"/>
      <c r="D249" s="74"/>
      <c r="E249" s="74"/>
      <c r="F249" s="74"/>
      <c r="G249" s="74"/>
      <c r="H249" s="74"/>
      <c r="I249" s="74"/>
      <c r="J249" s="74"/>
      <c r="K249" s="74"/>
      <c r="L249" s="74"/>
      <c r="M249" s="74"/>
      <c r="N249" s="74"/>
      <c r="O249" s="74"/>
      <c r="P249" s="74"/>
      <c r="Q249" s="74"/>
      <c r="R249" s="75"/>
      <c r="S249" s="74"/>
      <c r="T249" s="74"/>
      <c r="U249" s="74"/>
      <c r="V249" s="74"/>
      <c r="W249" s="74"/>
      <c r="X249" s="74"/>
      <c r="Y249" s="74"/>
      <c r="Z249" s="74"/>
      <c r="AA249" s="74"/>
      <c r="AB249" s="74"/>
      <c r="AC249" s="74"/>
      <c r="AD249" s="74"/>
      <c r="AE249" s="74"/>
      <c r="AF249" s="74"/>
      <c r="AG249" s="74"/>
      <c r="AH249" s="74"/>
      <c r="AI249" s="74"/>
      <c r="AJ249" s="74"/>
      <c r="AK249" s="74"/>
    </row>
    <row r="250">
      <c r="A250" s="74"/>
      <c r="B250" s="74"/>
      <c r="C250" s="74"/>
      <c r="D250" s="74"/>
      <c r="E250" s="74"/>
      <c r="F250" s="74"/>
      <c r="G250" s="74"/>
      <c r="H250" s="74"/>
      <c r="I250" s="74"/>
      <c r="J250" s="74"/>
      <c r="K250" s="74"/>
      <c r="L250" s="74"/>
      <c r="M250" s="74"/>
      <c r="N250" s="74"/>
      <c r="O250" s="74"/>
      <c r="P250" s="74"/>
      <c r="Q250" s="74"/>
      <c r="R250" s="75"/>
      <c r="S250" s="74"/>
      <c r="T250" s="74"/>
      <c r="U250" s="74"/>
      <c r="V250" s="74"/>
      <c r="W250" s="74"/>
      <c r="X250" s="74"/>
      <c r="Y250" s="74"/>
      <c r="Z250" s="74"/>
      <c r="AA250" s="74"/>
      <c r="AB250" s="74"/>
      <c r="AC250" s="74"/>
      <c r="AD250" s="74"/>
      <c r="AE250" s="74"/>
      <c r="AF250" s="74"/>
      <c r="AG250" s="74"/>
      <c r="AH250" s="74"/>
      <c r="AI250" s="74"/>
      <c r="AJ250" s="74"/>
      <c r="AK250" s="74"/>
    </row>
    <row r="251">
      <c r="A251" s="74"/>
      <c r="B251" s="74"/>
      <c r="C251" s="74"/>
      <c r="D251" s="74"/>
      <c r="E251" s="74"/>
      <c r="F251" s="74"/>
      <c r="G251" s="74"/>
      <c r="H251" s="74"/>
      <c r="I251" s="74"/>
      <c r="J251" s="74"/>
      <c r="K251" s="74"/>
      <c r="L251" s="74"/>
      <c r="M251" s="74"/>
      <c r="N251" s="74"/>
      <c r="O251" s="74"/>
      <c r="P251" s="74"/>
      <c r="Q251" s="74"/>
      <c r="R251" s="75"/>
      <c r="S251" s="74"/>
      <c r="T251" s="74"/>
      <c r="U251" s="74"/>
      <c r="V251" s="74"/>
      <c r="W251" s="74"/>
      <c r="X251" s="74"/>
      <c r="Y251" s="74"/>
      <c r="Z251" s="74"/>
      <c r="AA251" s="74"/>
      <c r="AB251" s="74"/>
      <c r="AC251" s="74"/>
      <c r="AD251" s="74"/>
      <c r="AE251" s="74"/>
      <c r="AF251" s="74"/>
      <c r="AG251" s="74"/>
      <c r="AH251" s="74"/>
      <c r="AI251" s="74"/>
      <c r="AJ251" s="74"/>
      <c r="AK251" s="74"/>
    </row>
    <row r="252">
      <c r="A252" s="74"/>
      <c r="B252" s="74"/>
      <c r="C252" s="74"/>
      <c r="D252" s="74"/>
      <c r="E252" s="74"/>
      <c r="F252" s="74"/>
      <c r="G252" s="74"/>
      <c r="H252" s="74"/>
      <c r="I252" s="74"/>
      <c r="J252" s="74"/>
      <c r="K252" s="74"/>
      <c r="L252" s="74"/>
      <c r="M252" s="74"/>
      <c r="N252" s="74"/>
      <c r="O252" s="74"/>
      <c r="P252" s="74"/>
      <c r="Q252" s="74"/>
      <c r="R252" s="75"/>
      <c r="S252" s="74"/>
      <c r="T252" s="74"/>
      <c r="U252" s="74"/>
      <c r="V252" s="74"/>
      <c r="W252" s="74"/>
      <c r="X252" s="74"/>
      <c r="Y252" s="74"/>
      <c r="Z252" s="74"/>
      <c r="AA252" s="74"/>
      <c r="AB252" s="74"/>
      <c r="AC252" s="74"/>
      <c r="AD252" s="74"/>
      <c r="AE252" s="74"/>
      <c r="AF252" s="74"/>
      <c r="AG252" s="74"/>
      <c r="AH252" s="74"/>
      <c r="AI252" s="74"/>
      <c r="AJ252" s="74"/>
      <c r="AK252" s="74"/>
    </row>
    <row r="253">
      <c r="A253" s="74"/>
      <c r="B253" s="74"/>
      <c r="C253" s="74"/>
      <c r="D253" s="74"/>
      <c r="E253" s="74"/>
      <c r="F253" s="74"/>
      <c r="G253" s="74"/>
      <c r="H253" s="74"/>
      <c r="I253" s="74"/>
      <c r="J253" s="74"/>
      <c r="K253" s="74"/>
      <c r="L253" s="74"/>
      <c r="M253" s="74"/>
      <c r="N253" s="74"/>
      <c r="O253" s="74"/>
      <c r="P253" s="74"/>
      <c r="Q253" s="74"/>
      <c r="R253" s="75"/>
      <c r="S253" s="74"/>
      <c r="T253" s="74"/>
      <c r="U253" s="74"/>
      <c r="V253" s="74"/>
      <c r="W253" s="74"/>
      <c r="X253" s="74"/>
      <c r="Y253" s="74"/>
      <c r="Z253" s="74"/>
      <c r="AA253" s="74"/>
      <c r="AB253" s="74"/>
      <c r="AC253" s="74"/>
      <c r="AD253" s="74"/>
      <c r="AE253" s="74"/>
      <c r="AF253" s="74"/>
      <c r="AG253" s="74"/>
      <c r="AH253" s="74"/>
      <c r="AI253" s="74"/>
      <c r="AJ253" s="74"/>
      <c r="AK253" s="74"/>
    </row>
    <row r="254">
      <c r="A254" s="74"/>
      <c r="B254" s="74"/>
      <c r="C254" s="74"/>
      <c r="D254" s="74"/>
      <c r="E254" s="74"/>
      <c r="F254" s="74"/>
      <c r="G254" s="74"/>
      <c r="H254" s="74"/>
      <c r="I254" s="74"/>
      <c r="J254" s="74"/>
      <c r="K254" s="74"/>
      <c r="L254" s="74"/>
      <c r="M254" s="74"/>
      <c r="N254" s="74"/>
      <c r="O254" s="74"/>
      <c r="P254" s="74"/>
      <c r="Q254" s="74"/>
      <c r="R254" s="75"/>
      <c r="S254" s="74"/>
      <c r="T254" s="74"/>
      <c r="U254" s="74"/>
      <c r="V254" s="74"/>
      <c r="W254" s="74"/>
      <c r="X254" s="74"/>
      <c r="Y254" s="74"/>
      <c r="Z254" s="74"/>
      <c r="AA254" s="74"/>
      <c r="AB254" s="74"/>
      <c r="AC254" s="74"/>
      <c r="AD254" s="74"/>
      <c r="AE254" s="74"/>
      <c r="AF254" s="74"/>
      <c r="AG254" s="74"/>
      <c r="AH254" s="74"/>
      <c r="AI254" s="74"/>
      <c r="AJ254" s="74"/>
      <c r="AK254" s="74"/>
    </row>
    <row r="255">
      <c r="A255" s="74"/>
      <c r="B255" s="74"/>
      <c r="C255" s="74"/>
      <c r="D255" s="74"/>
      <c r="E255" s="74"/>
      <c r="F255" s="74"/>
      <c r="G255" s="74"/>
      <c r="H255" s="74"/>
      <c r="I255" s="74"/>
      <c r="J255" s="74"/>
      <c r="K255" s="74"/>
      <c r="L255" s="74"/>
      <c r="M255" s="74"/>
      <c r="N255" s="74"/>
      <c r="O255" s="74"/>
      <c r="P255" s="74"/>
      <c r="Q255" s="74"/>
      <c r="R255" s="75"/>
      <c r="S255" s="74"/>
      <c r="T255" s="74"/>
      <c r="U255" s="74"/>
      <c r="V255" s="74"/>
      <c r="W255" s="74"/>
      <c r="X255" s="74"/>
      <c r="Y255" s="74"/>
      <c r="Z255" s="74"/>
      <c r="AA255" s="74"/>
      <c r="AB255" s="74"/>
      <c r="AC255" s="74"/>
      <c r="AD255" s="74"/>
      <c r="AE255" s="74"/>
      <c r="AF255" s="74"/>
      <c r="AG255" s="74"/>
      <c r="AH255" s="74"/>
      <c r="AI255" s="74"/>
      <c r="AJ255" s="74"/>
      <c r="AK255" s="74"/>
    </row>
    <row r="256">
      <c r="A256" s="74"/>
      <c r="B256" s="74"/>
      <c r="C256" s="74"/>
      <c r="D256" s="74"/>
      <c r="E256" s="74"/>
      <c r="F256" s="74"/>
      <c r="G256" s="74"/>
      <c r="H256" s="74"/>
      <c r="I256" s="74"/>
      <c r="J256" s="74"/>
      <c r="K256" s="74"/>
      <c r="L256" s="74"/>
      <c r="M256" s="74"/>
      <c r="N256" s="74"/>
      <c r="O256" s="74"/>
      <c r="P256" s="74"/>
      <c r="Q256" s="74"/>
      <c r="R256" s="75"/>
      <c r="S256" s="74"/>
      <c r="T256" s="74"/>
      <c r="U256" s="74"/>
      <c r="V256" s="74"/>
      <c r="W256" s="74"/>
      <c r="X256" s="74"/>
      <c r="Y256" s="74"/>
      <c r="Z256" s="74"/>
      <c r="AA256" s="74"/>
      <c r="AB256" s="74"/>
      <c r="AC256" s="74"/>
      <c r="AD256" s="74"/>
      <c r="AE256" s="74"/>
      <c r="AF256" s="74"/>
      <c r="AG256" s="74"/>
      <c r="AH256" s="74"/>
      <c r="AI256" s="74"/>
      <c r="AJ256" s="74"/>
      <c r="AK256" s="74"/>
    </row>
    <row r="257">
      <c r="A257" s="74"/>
      <c r="B257" s="74"/>
      <c r="C257" s="74"/>
      <c r="D257" s="74"/>
      <c r="E257" s="74"/>
      <c r="F257" s="74"/>
      <c r="G257" s="74"/>
      <c r="H257" s="74"/>
      <c r="I257" s="74"/>
      <c r="J257" s="74"/>
      <c r="K257" s="74"/>
      <c r="L257" s="74"/>
      <c r="M257" s="74"/>
      <c r="N257" s="74"/>
      <c r="O257" s="74"/>
      <c r="P257" s="74"/>
      <c r="Q257" s="74"/>
      <c r="R257" s="75"/>
      <c r="S257" s="74"/>
      <c r="T257" s="74"/>
      <c r="U257" s="74"/>
      <c r="V257" s="74"/>
      <c r="W257" s="74"/>
      <c r="X257" s="74"/>
      <c r="Y257" s="74"/>
      <c r="Z257" s="74"/>
      <c r="AA257" s="74"/>
      <c r="AB257" s="74"/>
      <c r="AC257" s="74"/>
      <c r="AD257" s="74"/>
      <c r="AE257" s="74"/>
      <c r="AF257" s="74"/>
      <c r="AG257" s="74"/>
      <c r="AH257" s="74"/>
      <c r="AI257" s="74"/>
      <c r="AJ257" s="74"/>
      <c r="AK257" s="74"/>
    </row>
    <row r="258">
      <c r="A258" s="74"/>
      <c r="B258" s="74"/>
      <c r="C258" s="74"/>
      <c r="D258" s="74"/>
      <c r="E258" s="74"/>
      <c r="F258" s="74"/>
      <c r="G258" s="74"/>
      <c r="H258" s="74"/>
      <c r="I258" s="74"/>
      <c r="J258" s="74"/>
      <c r="K258" s="74"/>
      <c r="L258" s="74"/>
      <c r="M258" s="74"/>
      <c r="N258" s="74"/>
      <c r="O258" s="74"/>
      <c r="P258" s="74"/>
      <c r="Q258" s="74"/>
      <c r="R258" s="75"/>
      <c r="S258" s="74"/>
      <c r="T258" s="74"/>
      <c r="U258" s="74"/>
      <c r="V258" s="74"/>
      <c r="W258" s="74"/>
      <c r="X258" s="74"/>
      <c r="Y258" s="74"/>
      <c r="Z258" s="74"/>
      <c r="AA258" s="74"/>
      <c r="AB258" s="74"/>
      <c r="AC258" s="74"/>
      <c r="AD258" s="74"/>
      <c r="AE258" s="74"/>
      <c r="AF258" s="74"/>
      <c r="AG258" s="74"/>
      <c r="AH258" s="74"/>
      <c r="AI258" s="74"/>
      <c r="AJ258" s="74"/>
      <c r="AK258" s="74"/>
    </row>
    <row r="259">
      <c r="A259" s="74"/>
      <c r="B259" s="74"/>
      <c r="C259" s="74"/>
      <c r="D259" s="74"/>
      <c r="E259" s="74"/>
      <c r="F259" s="74"/>
      <c r="G259" s="74"/>
      <c r="H259" s="74"/>
      <c r="I259" s="74"/>
      <c r="J259" s="74"/>
      <c r="K259" s="74"/>
      <c r="L259" s="74"/>
      <c r="M259" s="74"/>
      <c r="N259" s="74"/>
      <c r="O259" s="74"/>
      <c r="P259" s="74"/>
      <c r="Q259" s="74"/>
      <c r="R259" s="75"/>
      <c r="S259" s="74"/>
      <c r="T259" s="74"/>
      <c r="U259" s="74"/>
      <c r="V259" s="74"/>
      <c r="W259" s="74"/>
      <c r="X259" s="74"/>
      <c r="Y259" s="74"/>
      <c r="Z259" s="74"/>
      <c r="AA259" s="74"/>
      <c r="AB259" s="74"/>
      <c r="AC259" s="74"/>
      <c r="AD259" s="74"/>
      <c r="AE259" s="74"/>
      <c r="AF259" s="74"/>
      <c r="AG259" s="74"/>
      <c r="AH259" s="74"/>
      <c r="AI259" s="74"/>
      <c r="AJ259" s="74"/>
      <c r="AK259" s="74"/>
    </row>
    <row r="260">
      <c r="A260" s="74"/>
      <c r="B260" s="74"/>
      <c r="C260" s="74"/>
      <c r="D260" s="74"/>
      <c r="E260" s="74"/>
      <c r="F260" s="74"/>
      <c r="G260" s="74"/>
      <c r="H260" s="74"/>
      <c r="I260" s="74"/>
      <c r="J260" s="74"/>
      <c r="K260" s="74"/>
      <c r="L260" s="74"/>
      <c r="M260" s="74"/>
      <c r="N260" s="74"/>
      <c r="O260" s="74"/>
      <c r="P260" s="74"/>
      <c r="Q260" s="74"/>
      <c r="R260" s="75"/>
      <c r="S260" s="74"/>
      <c r="T260" s="74"/>
      <c r="U260" s="74"/>
      <c r="V260" s="74"/>
      <c r="W260" s="74"/>
      <c r="X260" s="74"/>
      <c r="Y260" s="74"/>
      <c r="Z260" s="74"/>
      <c r="AA260" s="74"/>
      <c r="AB260" s="74"/>
      <c r="AC260" s="74"/>
      <c r="AD260" s="74"/>
      <c r="AE260" s="74"/>
      <c r="AF260" s="74"/>
      <c r="AG260" s="74"/>
      <c r="AH260" s="74"/>
      <c r="AI260" s="74"/>
      <c r="AJ260" s="74"/>
      <c r="AK260" s="74"/>
    </row>
    <row r="261">
      <c r="A261" s="74"/>
      <c r="B261" s="74"/>
      <c r="C261" s="74"/>
      <c r="D261" s="74"/>
      <c r="E261" s="74"/>
      <c r="F261" s="74"/>
      <c r="G261" s="74"/>
      <c r="H261" s="74"/>
      <c r="I261" s="74"/>
      <c r="J261" s="74"/>
      <c r="K261" s="74"/>
      <c r="L261" s="74"/>
      <c r="M261" s="74"/>
      <c r="N261" s="74"/>
      <c r="O261" s="74"/>
      <c r="P261" s="74"/>
      <c r="Q261" s="74"/>
      <c r="R261" s="75"/>
      <c r="S261" s="74"/>
      <c r="T261" s="74"/>
      <c r="U261" s="74"/>
      <c r="V261" s="74"/>
      <c r="W261" s="74"/>
      <c r="X261" s="74"/>
      <c r="Y261" s="74"/>
      <c r="Z261" s="74"/>
      <c r="AA261" s="74"/>
      <c r="AB261" s="74"/>
      <c r="AC261" s="74"/>
      <c r="AD261" s="74"/>
      <c r="AE261" s="74"/>
      <c r="AF261" s="74"/>
      <c r="AG261" s="74"/>
      <c r="AH261" s="74"/>
      <c r="AI261" s="74"/>
      <c r="AJ261" s="74"/>
      <c r="AK261" s="74"/>
    </row>
    <row r="262">
      <c r="A262" s="74"/>
      <c r="B262" s="74"/>
      <c r="C262" s="74"/>
      <c r="D262" s="74"/>
      <c r="E262" s="74"/>
      <c r="F262" s="74"/>
      <c r="G262" s="74"/>
      <c r="H262" s="74"/>
      <c r="I262" s="74"/>
      <c r="J262" s="74"/>
      <c r="K262" s="74"/>
      <c r="L262" s="74"/>
      <c r="M262" s="74"/>
      <c r="N262" s="74"/>
      <c r="O262" s="74"/>
      <c r="P262" s="74"/>
      <c r="Q262" s="74"/>
      <c r="R262" s="75"/>
      <c r="S262" s="74"/>
      <c r="T262" s="74"/>
      <c r="U262" s="74"/>
      <c r="V262" s="74"/>
      <c r="W262" s="74"/>
      <c r="X262" s="74"/>
      <c r="Y262" s="74"/>
      <c r="Z262" s="74"/>
      <c r="AA262" s="74"/>
      <c r="AB262" s="74"/>
      <c r="AC262" s="74"/>
      <c r="AD262" s="74"/>
      <c r="AE262" s="74"/>
      <c r="AF262" s="74"/>
      <c r="AG262" s="74"/>
      <c r="AH262" s="74"/>
      <c r="AI262" s="74"/>
      <c r="AJ262" s="74"/>
      <c r="AK262" s="74"/>
    </row>
    <row r="263">
      <c r="A263" s="74"/>
      <c r="B263" s="74"/>
      <c r="C263" s="74"/>
      <c r="D263" s="74"/>
      <c r="E263" s="74"/>
      <c r="F263" s="74"/>
      <c r="G263" s="74"/>
      <c r="H263" s="74"/>
      <c r="I263" s="74"/>
      <c r="J263" s="74"/>
      <c r="K263" s="74"/>
      <c r="L263" s="74"/>
      <c r="M263" s="74"/>
      <c r="N263" s="74"/>
      <c r="O263" s="74"/>
      <c r="P263" s="74"/>
      <c r="Q263" s="74"/>
      <c r="R263" s="75"/>
      <c r="S263" s="74"/>
      <c r="T263" s="74"/>
      <c r="U263" s="74"/>
      <c r="V263" s="74"/>
      <c r="W263" s="74"/>
      <c r="X263" s="74"/>
      <c r="Y263" s="74"/>
      <c r="Z263" s="74"/>
      <c r="AA263" s="74"/>
      <c r="AB263" s="74"/>
      <c r="AC263" s="74"/>
      <c r="AD263" s="74"/>
      <c r="AE263" s="74"/>
      <c r="AF263" s="74"/>
      <c r="AG263" s="74"/>
      <c r="AH263" s="74"/>
      <c r="AI263" s="74"/>
      <c r="AJ263" s="74"/>
      <c r="AK263" s="74"/>
    </row>
    <row r="264">
      <c r="A264" s="74"/>
      <c r="B264" s="74"/>
      <c r="C264" s="74"/>
      <c r="D264" s="74"/>
      <c r="E264" s="74"/>
      <c r="F264" s="74"/>
      <c r="G264" s="74"/>
      <c r="H264" s="74"/>
      <c r="I264" s="74"/>
      <c r="J264" s="74"/>
      <c r="K264" s="74"/>
      <c r="L264" s="74"/>
      <c r="M264" s="74"/>
      <c r="N264" s="74"/>
      <c r="O264" s="74"/>
      <c r="P264" s="74"/>
      <c r="Q264" s="74"/>
      <c r="R264" s="75"/>
      <c r="S264" s="74"/>
      <c r="T264" s="74"/>
      <c r="U264" s="74"/>
      <c r="V264" s="74"/>
      <c r="W264" s="74"/>
      <c r="X264" s="74"/>
      <c r="Y264" s="74"/>
      <c r="Z264" s="74"/>
      <c r="AA264" s="74"/>
      <c r="AB264" s="74"/>
      <c r="AC264" s="74"/>
      <c r="AD264" s="74"/>
      <c r="AE264" s="74"/>
      <c r="AF264" s="74"/>
      <c r="AG264" s="74"/>
      <c r="AH264" s="74"/>
      <c r="AI264" s="74"/>
      <c r="AJ264" s="74"/>
      <c r="AK264" s="74"/>
    </row>
    <row r="265">
      <c r="A265" s="74"/>
      <c r="B265" s="74"/>
      <c r="C265" s="74"/>
      <c r="D265" s="74"/>
      <c r="E265" s="74"/>
      <c r="F265" s="74"/>
      <c r="G265" s="74"/>
      <c r="H265" s="74"/>
      <c r="I265" s="74"/>
      <c r="J265" s="74"/>
      <c r="K265" s="74"/>
      <c r="L265" s="74"/>
      <c r="M265" s="74"/>
      <c r="N265" s="74"/>
      <c r="O265" s="74"/>
      <c r="P265" s="74"/>
      <c r="Q265" s="74"/>
      <c r="R265" s="75"/>
      <c r="S265" s="74"/>
      <c r="T265" s="74"/>
      <c r="U265" s="74"/>
      <c r="V265" s="74"/>
      <c r="W265" s="74"/>
      <c r="X265" s="74"/>
      <c r="Y265" s="74"/>
      <c r="Z265" s="74"/>
      <c r="AA265" s="74"/>
      <c r="AB265" s="74"/>
      <c r="AC265" s="74"/>
      <c r="AD265" s="74"/>
      <c r="AE265" s="74"/>
      <c r="AF265" s="74"/>
      <c r="AG265" s="74"/>
      <c r="AH265" s="74"/>
      <c r="AI265" s="74"/>
      <c r="AJ265" s="74"/>
      <c r="AK265" s="74"/>
    </row>
    <row r="266">
      <c r="A266" s="74"/>
      <c r="B266" s="74"/>
      <c r="C266" s="74"/>
      <c r="D266" s="74"/>
      <c r="E266" s="74"/>
      <c r="F266" s="74"/>
      <c r="G266" s="74"/>
      <c r="H266" s="74"/>
      <c r="I266" s="74"/>
      <c r="J266" s="74"/>
      <c r="K266" s="74"/>
      <c r="L266" s="74"/>
      <c r="M266" s="74"/>
      <c r="N266" s="74"/>
      <c r="O266" s="74"/>
      <c r="P266" s="74"/>
      <c r="Q266" s="74"/>
      <c r="R266" s="75"/>
      <c r="S266" s="74"/>
      <c r="T266" s="74"/>
      <c r="U266" s="74"/>
      <c r="V266" s="74"/>
      <c r="W266" s="74"/>
      <c r="X266" s="74"/>
      <c r="Y266" s="74"/>
      <c r="Z266" s="74"/>
      <c r="AA266" s="74"/>
      <c r="AB266" s="74"/>
      <c r="AC266" s="74"/>
      <c r="AD266" s="74"/>
      <c r="AE266" s="74"/>
      <c r="AF266" s="74"/>
      <c r="AG266" s="74"/>
      <c r="AH266" s="74"/>
      <c r="AI266" s="74"/>
      <c r="AJ266" s="74"/>
      <c r="AK266" s="74"/>
    </row>
    <row r="267">
      <c r="A267" s="74"/>
      <c r="B267" s="74"/>
      <c r="C267" s="74"/>
      <c r="D267" s="74"/>
      <c r="E267" s="74"/>
      <c r="F267" s="74"/>
      <c r="G267" s="74"/>
      <c r="H267" s="74"/>
      <c r="I267" s="74"/>
      <c r="J267" s="74"/>
      <c r="K267" s="74"/>
      <c r="L267" s="74"/>
      <c r="M267" s="74"/>
      <c r="N267" s="74"/>
      <c r="O267" s="74"/>
      <c r="P267" s="74"/>
      <c r="Q267" s="74"/>
      <c r="R267" s="75"/>
      <c r="S267" s="74"/>
      <c r="T267" s="74"/>
      <c r="U267" s="74"/>
      <c r="V267" s="74"/>
      <c r="W267" s="74"/>
      <c r="X267" s="74"/>
      <c r="Y267" s="74"/>
      <c r="Z267" s="74"/>
      <c r="AA267" s="74"/>
      <c r="AB267" s="74"/>
      <c r="AC267" s="74"/>
      <c r="AD267" s="74"/>
      <c r="AE267" s="74"/>
      <c r="AF267" s="74"/>
      <c r="AG267" s="74"/>
      <c r="AH267" s="74"/>
      <c r="AI267" s="74"/>
      <c r="AJ267" s="74"/>
      <c r="AK267" s="74"/>
    </row>
    <row r="268">
      <c r="A268" s="74"/>
      <c r="B268" s="74"/>
      <c r="C268" s="74"/>
      <c r="D268" s="74"/>
      <c r="E268" s="74"/>
      <c r="F268" s="74"/>
      <c r="G268" s="74"/>
      <c r="H268" s="74"/>
      <c r="I268" s="74"/>
      <c r="J268" s="74"/>
      <c r="K268" s="74"/>
      <c r="L268" s="74"/>
      <c r="M268" s="74"/>
      <c r="N268" s="74"/>
      <c r="O268" s="74"/>
      <c r="P268" s="74"/>
      <c r="Q268" s="74"/>
      <c r="R268" s="75"/>
      <c r="S268" s="74"/>
      <c r="T268" s="74"/>
      <c r="U268" s="74"/>
      <c r="V268" s="74"/>
      <c r="W268" s="74"/>
      <c r="X268" s="74"/>
      <c r="Y268" s="74"/>
      <c r="Z268" s="74"/>
      <c r="AA268" s="74"/>
      <c r="AB268" s="74"/>
      <c r="AC268" s="74"/>
      <c r="AD268" s="74"/>
      <c r="AE268" s="74"/>
      <c r="AF268" s="74"/>
      <c r="AG268" s="74"/>
      <c r="AH268" s="74"/>
      <c r="AI268" s="74"/>
      <c r="AJ268" s="74"/>
      <c r="AK268" s="74"/>
    </row>
    <row r="269">
      <c r="A269" s="74"/>
      <c r="B269" s="74"/>
      <c r="C269" s="74"/>
      <c r="D269" s="74"/>
      <c r="E269" s="74"/>
      <c r="F269" s="74"/>
      <c r="G269" s="74"/>
      <c r="H269" s="74"/>
      <c r="I269" s="74"/>
      <c r="J269" s="74"/>
      <c r="K269" s="74"/>
      <c r="L269" s="74"/>
      <c r="M269" s="74"/>
      <c r="N269" s="74"/>
      <c r="O269" s="74"/>
      <c r="P269" s="74"/>
      <c r="Q269" s="74"/>
      <c r="R269" s="75"/>
      <c r="S269" s="74"/>
      <c r="T269" s="74"/>
      <c r="U269" s="74"/>
      <c r="V269" s="74"/>
      <c r="W269" s="74"/>
      <c r="X269" s="74"/>
      <c r="Y269" s="74"/>
      <c r="Z269" s="74"/>
      <c r="AA269" s="74"/>
      <c r="AB269" s="74"/>
      <c r="AC269" s="74"/>
      <c r="AD269" s="74"/>
      <c r="AE269" s="74"/>
      <c r="AF269" s="74"/>
      <c r="AG269" s="74"/>
      <c r="AH269" s="74"/>
      <c r="AI269" s="74"/>
      <c r="AJ269" s="74"/>
      <c r="AK269" s="74"/>
    </row>
    <row r="270">
      <c r="A270" s="74"/>
      <c r="B270" s="74"/>
      <c r="C270" s="74"/>
      <c r="D270" s="74"/>
      <c r="E270" s="74"/>
      <c r="F270" s="74"/>
      <c r="G270" s="74"/>
      <c r="H270" s="74"/>
      <c r="I270" s="74"/>
      <c r="J270" s="74"/>
      <c r="K270" s="74"/>
      <c r="L270" s="74"/>
      <c r="M270" s="74"/>
      <c r="N270" s="74"/>
      <c r="O270" s="74"/>
      <c r="P270" s="74"/>
      <c r="Q270" s="74"/>
      <c r="R270" s="75"/>
      <c r="S270" s="74"/>
      <c r="T270" s="74"/>
      <c r="U270" s="74"/>
      <c r="V270" s="74"/>
      <c r="W270" s="74"/>
      <c r="X270" s="74"/>
      <c r="Y270" s="74"/>
      <c r="Z270" s="74"/>
      <c r="AA270" s="74"/>
      <c r="AB270" s="74"/>
      <c r="AC270" s="74"/>
      <c r="AD270" s="74"/>
      <c r="AE270" s="74"/>
      <c r="AF270" s="74"/>
      <c r="AG270" s="74"/>
      <c r="AH270" s="74"/>
      <c r="AI270" s="74"/>
      <c r="AJ270" s="74"/>
      <c r="AK270" s="74"/>
    </row>
    <row r="271">
      <c r="A271" s="74"/>
      <c r="B271" s="74"/>
      <c r="C271" s="74"/>
      <c r="D271" s="74"/>
      <c r="E271" s="74"/>
      <c r="F271" s="74"/>
      <c r="G271" s="74"/>
      <c r="H271" s="74"/>
      <c r="I271" s="74"/>
      <c r="J271" s="74"/>
      <c r="K271" s="74"/>
      <c r="L271" s="74"/>
      <c r="M271" s="74"/>
      <c r="N271" s="74"/>
      <c r="O271" s="74"/>
      <c r="P271" s="74"/>
      <c r="Q271" s="74"/>
      <c r="R271" s="75"/>
      <c r="S271" s="74"/>
      <c r="T271" s="74"/>
      <c r="U271" s="74"/>
      <c r="V271" s="74"/>
      <c r="W271" s="74"/>
      <c r="X271" s="74"/>
      <c r="Y271" s="74"/>
      <c r="Z271" s="74"/>
      <c r="AA271" s="74"/>
      <c r="AB271" s="74"/>
      <c r="AC271" s="74"/>
      <c r="AD271" s="74"/>
      <c r="AE271" s="74"/>
      <c r="AF271" s="74"/>
      <c r="AG271" s="74"/>
      <c r="AH271" s="74"/>
      <c r="AI271" s="74"/>
      <c r="AJ271" s="74"/>
      <c r="AK271" s="74"/>
    </row>
    <row r="272">
      <c r="A272" s="74"/>
      <c r="B272" s="74"/>
      <c r="C272" s="74"/>
      <c r="D272" s="74"/>
      <c r="E272" s="74"/>
      <c r="F272" s="74"/>
      <c r="G272" s="74"/>
      <c r="H272" s="74"/>
      <c r="I272" s="74"/>
      <c r="J272" s="74"/>
      <c r="K272" s="74"/>
      <c r="L272" s="74"/>
      <c r="M272" s="74"/>
      <c r="N272" s="74"/>
      <c r="O272" s="74"/>
      <c r="P272" s="74"/>
      <c r="Q272" s="74"/>
      <c r="R272" s="75"/>
      <c r="S272" s="74"/>
      <c r="T272" s="74"/>
      <c r="U272" s="74"/>
      <c r="V272" s="74"/>
      <c r="W272" s="74"/>
      <c r="X272" s="74"/>
      <c r="Y272" s="74"/>
      <c r="Z272" s="74"/>
      <c r="AA272" s="74"/>
      <c r="AB272" s="74"/>
      <c r="AC272" s="74"/>
      <c r="AD272" s="74"/>
      <c r="AE272" s="74"/>
      <c r="AF272" s="74"/>
      <c r="AG272" s="74"/>
      <c r="AH272" s="74"/>
      <c r="AI272" s="74"/>
      <c r="AJ272" s="74"/>
      <c r="AK272" s="74"/>
    </row>
    <row r="273">
      <c r="A273" s="74"/>
      <c r="B273" s="74"/>
      <c r="C273" s="74"/>
      <c r="D273" s="74"/>
      <c r="E273" s="74"/>
      <c r="F273" s="74"/>
      <c r="G273" s="74"/>
      <c r="H273" s="74"/>
      <c r="I273" s="74"/>
      <c r="J273" s="74"/>
      <c r="K273" s="74"/>
      <c r="L273" s="74"/>
      <c r="M273" s="74"/>
      <c r="N273" s="74"/>
      <c r="O273" s="74"/>
      <c r="P273" s="74"/>
      <c r="Q273" s="74"/>
      <c r="R273" s="75"/>
      <c r="S273" s="74"/>
      <c r="T273" s="74"/>
      <c r="U273" s="74"/>
      <c r="V273" s="74"/>
      <c r="W273" s="74"/>
      <c r="X273" s="74"/>
      <c r="Y273" s="74"/>
      <c r="Z273" s="74"/>
      <c r="AA273" s="74"/>
      <c r="AB273" s="74"/>
      <c r="AC273" s="74"/>
      <c r="AD273" s="74"/>
      <c r="AE273" s="74"/>
      <c r="AF273" s="74"/>
      <c r="AG273" s="74"/>
      <c r="AH273" s="74"/>
      <c r="AI273" s="74"/>
      <c r="AJ273" s="74"/>
      <c r="AK273" s="74"/>
    </row>
    <row r="274">
      <c r="A274" s="74"/>
      <c r="B274" s="74"/>
      <c r="C274" s="74"/>
      <c r="D274" s="74"/>
      <c r="E274" s="74"/>
      <c r="F274" s="74"/>
      <c r="G274" s="74"/>
      <c r="H274" s="74"/>
      <c r="I274" s="74"/>
      <c r="J274" s="74"/>
      <c r="K274" s="74"/>
      <c r="L274" s="74"/>
      <c r="M274" s="74"/>
      <c r="N274" s="74"/>
      <c r="O274" s="74"/>
      <c r="P274" s="74"/>
      <c r="Q274" s="74"/>
      <c r="R274" s="75"/>
      <c r="S274" s="74"/>
      <c r="T274" s="74"/>
      <c r="U274" s="74"/>
      <c r="V274" s="74"/>
      <c r="W274" s="74"/>
      <c r="X274" s="74"/>
      <c r="Y274" s="74"/>
      <c r="Z274" s="74"/>
      <c r="AA274" s="74"/>
      <c r="AB274" s="74"/>
      <c r="AC274" s="74"/>
      <c r="AD274" s="74"/>
      <c r="AE274" s="74"/>
      <c r="AF274" s="74"/>
      <c r="AG274" s="74"/>
      <c r="AH274" s="74"/>
      <c r="AI274" s="74"/>
      <c r="AJ274" s="74"/>
      <c r="AK274" s="74"/>
    </row>
    <row r="275">
      <c r="A275" s="74"/>
      <c r="B275" s="74"/>
      <c r="C275" s="74"/>
      <c r="D275" s="74"/>
      <c r="E275" s="74"/>
      <c r="F275" s="74"/>
      <c r="G275" s="74"/>
      <c r="H275" s="74"/>
      <c r="I275" s="74"/>
      <c r="J275" s="74"/>
      <c r="K275" s="74"/>
      <c r="L275" s="74"/>
      <c r="M275" s="74"/>
      <c r="N275" s="74"/>
      <c r="O275" s="74"/>
      <c r="P275" s="74"/>
      <c r="Q275" s="74"/>
      <c r="R275" s="75"/>
      <c r="S275" s="74"/>
      <c r="T275" s="74"/>
      <c r="U275" s="74"/>
      <c r="V275" s="74"/>
      <c r="W275" s="74"/>
      <c r="X275" s="74"/>
      <c r="Y275" s="74"/>
      <c r="Z275" s="74"/>
      <c r="AA275" s="74"/>
      <c r="AB275" s="74"/>
      <c r="AC275" s="74"/>
      <c r="AD275" s="74"/>
      <c r="AE275" s="74"/>
      <c r="AF275" s="74"/>
      <c r="AG275" s="74"/>
      <c r="AH275" s="74"/>
      <c r="AI275" s="74"/>
      <c r="AJ275" s="74"/>
      <c r="AK275" s="74"/>
    </row>
    <row r="276">
      <c r="A276" s="74"/>
      <c r="B276" s="74"/>
      <c r="C276" s="74"/>
      <c r="D276" s="74"/>
      <c r="E276" s="74"/>
      <c r="F276" s="74"/>
      <c r="G276" s="74"/>
      <c r="H276" s="74"/>
      <c r="I276" s="74"/>
      <c r="J276" s="74"/>
      <c r="K276" s="74"/>
      <c r="L276" s="74"/>
      <c r="M276" s="74"/>
      <c r="N276" s="74"/>
      <c r="O276" s="74"/>
      <c r="P276" s="74"/>
      <c r="Q276" s="74"/>
      <c r="R276" s="75"/>
      <c r="S276" s="74"/>
      <c r="T276" s="74"/>
      <c r="U276" s="74"/>
      <c r="V276" s="74"/>
      <c r="W276" s="74"/>
      <c r="X276" s="74"/>
      <c r="Y276" s="74"/>
      <c r="Z276" s="74"/>
      <c r="AA276" s="74"/>
      <c r="AB276" s="74"/>
      <c r="AC276" s="74"/>
      <c r="AD276" s="74"/>
      <c r="AE276" s="74"/>
      <c r="AF276" s="74"/>
      <c r="AG276" s="74"/>
      <c r="AH276" s="74"/>
      <c r="AI276" s="74"/>
      <c r="AJ276" s="74"/>
      <c r="AK276" s="74"/>
    </row>
    <row r="277">
      <c r="A277" s="74"/>
      <c r="B277" s="74"/>
      <c r="C277" s="74"/>
      <c r="D277" s="74"/>
      <c r="E277" s="74"/>
      <c r="F277" s="74"/>
      <c r="G277" s="74"/>
      <c r="H277" s="74"/>
      <c r="I277" s="74"/>
      <c r="J277" s="74"/>
      <c r="K277" s="74"/>
      <c r="L277" s="74"/>
      <c r="M277" s="74"/>
      <c r="N277" s="74"/>
      <c r="O277" s="74"/>
      <c r="P277" s="74"/>
      <c r="Q277" s="74"/>
      <c r="R277" s="75"/>
      <c r="S277" s="74"/>
      <c r="T277" s="74"/>
      <c r="U277" s="74"/>
      <c r="V277" s="74"/>
      <c r="W277" s="74"/>
      <c r="X277" s="74"/>
      <c r="Y277" s="74"/>
      <c r="Z277" s="74"/>
      <c r="AA277" s="74"/>
      <c r="AB277" s="74"/>
      <c r="AC277" s="74"/>
      <c r="AD277" s="74"/>
      <c r="AE277" s="74"/>
      <c r="AF277" s="74"/>
      <c r="AG277" s="74"/>
      <c r="AH277" s="74"/>
      <c r="AI277" s="74"/>
      <c r="AJ277" s="74"/>
      <c r="AK277" s="74"/>
    </row>
    <row r="278">
      <c r="A278" s="74"/>
      <c r="B278" s="74"/>
      <c r="C278" s="74"/>
      <c r="D278" s="74"/>
      <c r="E278" s="74"/>
      <c r="F278" s="74"/>
      <c r="G278" s="74"/>
      <c r="H278" s="74"/>
      <c r="I278" s="74"/>
      <c r="J278" s="74"/>
      <c r="K278" s="74"/>
      <c r="L278" s="74"/>
      <c r="M278" s="74"/>
      <c r="N278" s="74"/>
      <c r="O278" s="74"/>
      <c r="P278" s="74"/>
      <c r="Q278" s="74"/>
      <c r="R278" s="75"/>
      <c r="S278" s="74"/>
      <c r="T278" s="74"/>
      <c r="U278" s="74"/>
      <c r="V278" s="74"/>
      <c r="W278" s="74"/>
      <c r="X278" s="74"/>
      <c r="Y278" s="74"/>
      <c r="Z278" s="74"/>
      <c r="AA278" s="74"/>
      <c r="AB278" s="74"/>
      <c r="AC278" s="74"/>
      <c r="AD278" s="74"/>
      <c r="AE278" s="74"/>
      <c r="AF278" s="74"/>
      <c r="AG278" s="74"/>
      <c r="AH278" s="74"/>
      <c r="AI278" s="74"/>
      <c r="AJ278" s="74"/>
      <c r="AK278" s="74"/>
    </row>
    <row r="279">
      <c r="A279" s="74"/>
      <c r="B279" s="74"/>
      <c r="C279" s="74"/>
      <c r="D279" s="74"/>
      <c r="E279" s="74"/>
      <c r="F279" s="74"/>
      <c r="G279" s="74"/>
      <c r="H279" s="74"/>
      <c r="I279" s="74"/>
      <c r="J279" s="74"/>
      <c r="K279" s="74"/>
      <c r="L279" s="74"/>
      <c r="M279" s="74"/>
      <c r="N279" s="74"/>
      <c r="O279" s="74"/>
      <c r="P279" s="74"/>
      <c r="Q279" s="74"/>
      <c r="R279" s="75"/>
      <c r="S279" s="74"/>
      <c r="T279" s="74"/>
      <c r="U279" s="74"/>
      <c r="V279" s="74"/>
      <c r="W279" s="74"/>
      <c r="X279" s="74"/>
      <c r="Y279" s="74"/>
      <c r="Z279" s="74"/>
      <c r="AA279" s="74"/>
      <c r="AB279" s="74"/>
      <c r="AC279" s="74"/>
      <c r="AD279" s="74"/>
      <c r="AE279" s="74"/>
      <c r="AF279" s="74"/>
      <c r="AG279" s="74"/>
      <c r="AH279" s="74"/>
      <c r="AI279" s="74"/>
      <c r="AJ279" s="74"/>
      <c r="AK279" s="74"/>
    </row>
    <row r="280">
      <c r="A280" s="74"/>
      <c r="B280" s="74"/>
      <c r="C280" s="74"/>
      <c r="D280" s="74"/>
      <c r="E280" s="74"/>
      <c r="F280" s="74"/>
      <c r="G280" s="74"/>
      <c r="H280" s="74"/>
      <c r="I280" s="74"/>
      <c r="J280" s="74"/>
      <c r="K280" s="74"/>
      <c r="L280" s="74"/>
      <c r="M280" s="74"/>
      <c r="N280" s="74"/>
      <c r="O280" s="74"/>
      <c r="P280" s="74"/>
      <c r="Q280" s="74"/>
      <c r="R280" s="75"/>
      <c r="S280" s="74"/>
      <c r="T280" s="74"/>
      <c r="U280" s="74"/>
      <c r="V280" s="74"/>
      <c r="W280" s="74"/>
      <c r="X280" s="74"/>
      <c r="Y280" s="74"/>
      <c r="Z280" s="74"/>
      <c r="AA280" s="74"/>
      <c r="AB280" s="74"/>
      <c r="AC280" s="74"/>
      <c r="AD280" s="74"/>
      <c r="AE280" s="74"/>
      <c r="AF280" s="74"/>
      <c r="AG280" s="74"/>
      <c r="AH280" s="74"/>
      <c r="AI280" s="74"/>
      <c r="AJ280" s="74"/>
      <c r="AK280" s="74"/>
    </row>
    <row r="281">
      <c r="A281" s="74"/>
      <c r="B281" s="74"/>
      <c r="C281" s="74"/>
      <c r="D281" s="74"/>
      <c r="E281" s="74"/>
      <c r="F281" s="74"/>
      <c r="G281" s="74"/>
      <c r="H281" s="74"/>
      <c r="I281" s="74"/>
      <c r="J281" s="74"/>
      <c r="K281" s="74"/>
      <c r="L281" s="74"/>
      <c r="M281" s="74"/>
      <c r="N281" s="74"/>
      <c r="O281" s="74"/>
      <c r="P281" s="74"/>
      <c r="Q281" s="74"/>
      <c r="R281" s="75"/>
      <c r="S281" s="74"/>
      <c r="T281" s="74"/>
      <c r="U281" s="74"/>
      <c r="V281" s="74"/>
      <c r="W281" s="74"/>
      <c r="X281" s="74"/>
      <c r="Y281" s="74"/>
      <c r="Z281" s="74"/>
      <c r="AA281" s="74"/>
      <c r="AB281" s="74"/>
      <c r="AC281" s="74"/>
      <c r="AD281" s="74"/>
      <c r="AE281" s="74"/>
      <c r="AF281" s="74"/>
      <c r="AG281" s="74"/>
      <c r="AH281" s="74"/>
      <c r="AI281" s="74"/>
      <c r="AJ281" s="74"/>
      <c r="AK281" s="74"/>
    </row>
    <row r="282">
      <c r="A282" s="74"/>
      <c r="B282" s="74"/>
      <c r="C282" s="74"/>
      <c r="D282" s="74"/>
      <c r="E282" s="74"/>
      <c r="F282" s="74"/>
      <c r="G282" s="74"/>
      <c r="H282" s="74"/>
      <c r="I282" s="74"/>
      <c r="J282" s="74"/>
      <c r="K282" s="74"/>
      <c r="L282" s="74"/>
      <c r="M282" s="74"/>
      <c r="N282" s="74"/>
      <c r="O282" s="74"/>
      <c r="P282" s="74"/>
      <c r="Q282" s="74"/>
      <c r="R282" s="75"/>
      <c r="S282" s="74"/>
      <c r="T282" s="74"/>
      <c r="U282" s="74"/>
      <c r="V282" s="74"/>
      <c r="W282" s="74"/>
      <c r="X282" s="74"/>
      <c r="Y282" s="74"/>
      <c r="Z282" s="74"/>
      <c r="AA282" s="74"/>
      <c r="AB282" s="74"/>
      <c r="AC282" s="74"/>
      <c r="AD282" s="74"/>
      <c r="AE282" s="74"/>
      <c r="AF282" s="74"/>
      <c r="AG282" s="74"/>
      <c r="AH282" s="74"/>
      <c r="AI282" s="74"/>
      <c r="AJ282" s="74"/>
      <c r="AK282" s="74"/>
    </row>
    <row r="283">
      <c r="A283" s="74"/>
      <c r="B283" s="74"/>
      <c r="C283" s="74"/>
      <c r="D283" s="74"/>
      <c r="E283" s="74"/>
      <c r="F283" s="74"/>
      <c r="G283" s="74"/>
      <c r="H283" s="74"/>
      <c r="I283" s="74"/>
      <c r="J283" s="74"/>
      <c r="K283" s="74"/>
      <c r="L283" s="74"/>
      <c r="M283" s="74"/>
      <c r="N283" s="74"/>
      <c r="O283" s="74"/>
      <c r="P283" s="74"/>
      <c r="Q283" s="74"/>
      <c r="R283" s="75"/>
      <c r="S283" s="74"/>
      <c r="T283" s="74"/>
      <c r="U283" s="74"/>
      <c r="V283" s="74"/>
      <c r="W283" s="74"/>
      <c r="X283" s="74"/>
      <c r="Y283" s="74"/>
      <c r="Z283" s="74"/>
      <c r="AA283" s="74"/>
      <c r="AB283" s="74"/>
      <c r="AC283" s="74"/>
      <c r="AD283" s="74"/>
      <c r="AE283" s="74"/>
      <c r="AF283" s="74"/>
      <c r="AG283" s="74"/>
      <c r="AH283" s="74"/>
      <c r="AI283" s="74"/>
      <c r="AJ283" s="74"/>
      <c r="AK283" s="74"/>
    </row>
    <row r="284">
      <c r="A284" s="74"/>
      <c r="B284" s="74"/>
      <c r="C284" s="74"/>
      <c r="D284" s="74"/>
      <c r="E284" s="74"/>
      <c r="F284" s="74"/>
      <c r="G284" s="74"/>
      <c r="H284" s="74"/>
      <c r="I284" s="74"/>
      <c r="J284" s="74"/>
      <c r="K284" s="74"/>
      <c r="L284" s="74"/>
      <c r="M284" s="74"/>
      <c r="N284" s="74"/>
      <c r="O284" s="74"/>
      <c r="P284" s="74"/>
      <c r="Q284" s="74"/>
      <c r="R284" s="75"/>
      <c r="S284" s="74"/>
      <c r="T284" s="74"/>
      <c r="U284" s="74"/>
      <c r="V284" s="74"/>
      <c r="W284" s="74"/>
      <c r="X284" s="74"/>
      <c r="Y284" s="74"/>
      <c r="Z284" s="74"/>
      <c r="AA284" s="74"/>
      <c r="AB284" s="74"/>
      <c r="AC284" s="74"/>
      <c r="AD284" s="74"/>
      <c r="AE284" s="74"/>
      <c r="AF284" s="74"/>
      <c r="AG284" s="74"/>
      <c r="AH284" s="74"/>
      <c r="AI284" s="74"/>
      <c r="AJ284" s="74"/>
      <c r="AK284" s="74"/>
    </row>
    <row r="285">
      <c r="A285" s="74"/>
      <c r="B285" s="74"/>
      <c r="C285" s="74"/>
      <c r="D285" s="74"/>
      <c r="E285" s="74"/>
      <c r="F285" s="74"/>
      <c r="G285" s="74"/>
      <c r="H285" s="74"/>
      <c r="I285" s="74"/>
      <c r="J285" s="74"/>
      <c r="K285" s="74"/>
      <c r="L285" s="74"/>
      <c r="M285" s="74"/>
      <c r="N285" s="74"/>
      <c r="O285" s="74"/>
      <c r="P285" s="74"/>
      <c r="Q285" s="74"/>
      <c r="R285" s="75"/>
      <c r="S285" s="74"/>
      <c r="T285" s="74"/>
      <c r="U285" s="74"/>
      <c r="V285" s="74"/>
      <c r="W285" s="74"/>
      <c r="X285" s="74"/>
      <c r="Y285" s="74"/>
      <c r="Z285" s="74"/>
      <c r="AA285" s="74"/>
      <c r="AB285" s="74"/>
      <c r="AC285" s="74"/>
      <c r="AD285" s="74"/>
      <c r="AE285" s="74"/>
      <c r="AF285" s="74"/>
      <c r="AG285" s="74"/>
      <c r="AH285" s="74"/>
      <c r="AI285" s="74"/>
      <c r="AJ285" s="74"/>
      <c r="AK285" s="74"/>
    </row>
    <row r="286">
      <c r="A286" s="74"/>
      <c r="B286" s="74"/>
      <c r="C286" s="74"/>
      <c r="D286" s="74"/>
      <c r="E286" s="74"/>
      <c r="F286" s="74"/>
      <c r="G286" s="74"/>
      <c r="H286" s="74"/>
      <c r="I286" s="74"/>
      <c r="J286" s="74"/>
      <c r="K286" s="74"/>
      <c r="L286" s="74"/>
      <c r="M286" s="74"/>
      <c r="N286" s="74"/>
      <c r="O286" s="74"/>
      <c r="P286" s="74"/>
      <c r="Q286" s="74"/>
      <c r="R286" s="75"/>
      <c r="S286" s="74"/>
      <c r="T286" s="74"/>
      <c r="U286" s="74"/>
      <c r="V286" s="74"/>
      <c r="W286" s="74"/>
      <c r="X286" s="74"/>
      <c r="Y286" s="74"/>
      <c r="Z286" s="74"/>
      <c r="AA286" s="74"/>
      <c r="AB286" s="74"/>
      <c r="AC286" s="74"/>
      <c r="AD286" s="74"/>
      <c r="AE286" s="74"/>
      <c r="AF286" s="74"/>
      <c r="AG286" s="74"/>
      <c r="AH286" s="74"/>
      <c r="AI286" s="74"/>
      <c r="AJ286" s="74"/>
      <c r="AK286" s="74"/>
    </row>
    <row r="287">
      <c r="A287" s="74"/>
      <c r="B287" s="74"/>
      <c r="C287" s="74"/>
      <c r="D287" s="74"/>
      <c r="E287" s="74"/>
      <c r="F287" s="74"/>
      <c r="G287" s="74"/>
      <c r="H287" s="74"/>
      <c r="I287" s="74"/>
      <c r="J287" s="74"/>
      <c r="K287" s="74"/>
      <c r="L287" s="74"/>
      <c r="M287" s="74"/>
      <c r="N287" s="74"/>
      <c r="O287" s="74"/>
      <c r="P287" s="74"/>
      <c r="Q287" s="74"/>
      <c r="R287" s="75"/>
      <c r="S287" s="74"/>
      <c r="T287" s="74"/>
      <c r="U287" s="74"/>
      <c r="V287" s="74"/>
      <c r="W287" s="74"/>
      <c r="X287" s="74"/>
      <c r="Y287" s="74"/>
      <c r="Z287" s="74"/>
      <c r="AA287" s="74"/>
      <c r="AB287" s="74"/>
      <c r="AC287" s="74"/>
      <c r="AD287" s="74"/>
      <c r="AE287" s="74"/>
      <c r="AF287" s="74"/>
      <c r="AG287" s="74"/>
      <c r="AH287" s="74"/>
      <c r="AI287" s="74"/>
      <c r="AJ287" s="74"/>
      <c r="AK287" s="74"/>
    </row>
    <row r="288">
      <c r="A288" s="74"/>
      <c r="B288" s="74"/>
      <c r="C288" s="74"/>
      <c r="D288" s="74"/>
      <c r="E288" s="74"/>
      <c r="F288" s="74"/>
      <c r="G288" s="74"/>
      <c r="H288" s="74"/>
      <c r="I288" s="74"/>
      <c r="J288" s="74"/>
      <c r="K288" s="74"/>
      <c r="L288" s="74"/>
      <c r="M288" s="74"/>
      <c r="N288" s="74"/>
      <c r="O288" s="74"/>
      <c r="P288" s="74"/>
      <c r="Q288" s="74"/>
      <c r="R288" s="75"/>
      <c r="S288" s="74"/>
      <c r="T288" s="74"/>
      <c r="U288" s="74"/>
      <c r="V288" s="74"/>
      <c r="W288" s="74"/>
      <c r="X288" s="74"/>
      <c r="Y288" s="74"/>
      <c r="Z288" s="74"/>
      <c r="AA288" s="74"/>
      <c r="AB288" s="74"/>
      <c r="AC288" s="74"/>
      <c r="AD288" s="74"/>
      <c r="AE288" s="74"/>
      <c r="AF288" s="74"/>
      <c r="AG288" s="74"/>
      <c r="AH288" s="74"/>
      <c r="AI288" s="74"/>
      <c r="AJ288" s="74"/>
      <c r="AK288" s="74"/>
    </row>
    <row r="289">
      <c r="A289" s="74"/>
      <c r="B289" s="74"/>
      <c r="C289" s="74"/>
      <c r="D289" s="74"/>
      <c r="E289" s="74"/>
      <c r="F289" s="74"/>
      <c r="G289" s="74"/>
      <c r="H289" s="74"/>
      <c r="I289" s="74"/>
      <c r="J289" s="74"/>
      <c r="K289" s="74"/>
      <c r="L289" s="74"/>
      <c r="M289" s="74"/>
      <c r="N289" s="74"/>
      <c r="O289" s="74"/>
      <c r="P289" s="74"/>
      <c r="Q289" s="74"/>
      <c r="R289" s="75"/>
      <c r="S289" s="74"/>
      <c r="T289" s="74"/>
      <c r="U289" s="74"/>
      <c r="V289" s="74"/>
      <c r="W289" s="74"/>
      <c r="X289" s="74"/>
      <c r="Y289" s="74"/>
      <c r="Z289" s="74"/>
      <c r="AA289" s="74"/>
      <c r="AB289" s="74"/>
      <c r="AC289" s="74"/>
      <c r="AD289" s="74"/>
      <c r="AE289" s="74"/>
      <c r="AF289" s="74"/>
      <c r="AG289" s="74"/>
      <c r="AH289" s="74"/>
      <c r="AI289" s="74"/>
      <c r="AJ289" s="74"/>
      <c r="AK289" s="74"/>
    </row>
    <row r="290">
      <c r="A290" s="74"/>
      <c r="B290" s="74"/>
      <c r="C290" s="74"/>
      <c r="D290" s="74"/>
      <c r="E290" s="74"/>
      <c r="F290" s="74"/>
      <c r="G290" s="74"/>
      <c r="H290" s="74"/>
      <c r="I290" s="74"/>
      <c r="J290" s="74"/>
      <c r="K290" s="74"/>
      <c r="L290" s="74"/>
      <c r="M290" s="74"/>
      <c r="N290" s="74"/>
      <c r="O290" s="74"/>
      <c r="P290" s="74"/>
      <c r="Q290" s="74"/>
      <c r="R290" s="75"/>
      <c r="S290" s="74"/>
      <c r="T290" s="74"/>
      <c r="U290" s="74"/>
      <c r="V290" s="74"/>
      <c r="W290" s="74"/>
      <c r="X290" s="74"/>
      <c r="Y290" s="74"/>
      <c r="Z290" s="74"/>
      <c r="AA290" s="74"/>
      <c r="AB290" s="74"/>
      <c r="AC290" s="74"/>
      <c r="AD290" s="74"/>
      <c r="AE290" s="74"/>
      <c r="AF290" s="74"/>
      <c r="AG290" s="74"/>
      <c r="AH290" s="74"/>
      <c r="AI290" s="74"/>
      <c r="AJ290" s="74"/>
      <c r="AK290" s="74"/>
    </row>
    <row r="291">
      <c r="A291" s="74"/>
      <c r="B291" s="74"/>
      <c r="C291" s="74"/>
      <c r="D291" s="74"/>
      <c r="E291" s="74"/>
      <c r="F291" s="74"/>
      <c r="G291" s="74"/>
      <c r="H291" s="74"/>
      <c r="I291" s="74"/>
      <c r="J291" s="74"/>
      <c r="K291" s="74"/>
      <c r="L291" s="74"/>
      <c r="M291" s="74"/>
      <c r="N291" s="74"/>
      <c r="O291" s="74"/>
      <c r="P291" s="74"/>
      <c r="Q291" s="74"/>
      <c r="R291" s="75"/>
      <c r="S291" s="74"/>
      <c r="T291" s="74"/>
      <c r="U291" s="74"/>
      <c r="V291" s="74"/>
      <c r="W291" s="74"/>
      <c r="X291" s="74"/>
      <c r="Y291" s="74"/>
      <c r="Z291" s="74"/>
      <c r="AA291" s="74"/>
      <c r="AB291" s="74"/>
      <c r="AC291" s="74"/>
      <c r="AD291" s="74"/>
      <c r="AE291" s="74"/>
      <c r="AF291" s="74"/>
      <c r="AG291" s="74"/>
      <c r="AH291" s="74"/>
      <c r="AI291" s="74"/>
      <c r="AJ291" s="74"/>
      <c r="AK291" s="74"/>
    </row>
    <row r="292">
      <c r="A292" s="74"/>
      <c r="B292" s="74"/>
      <c r="C292" s="74"/>
      <c r="D292" s="74"/>
      <c r="E292" s="74"/>
      <c r="F292" s="74"/>
      <c r="G292" s="74"/>
      <c r="H292" s="74"/>
      <c r="I292" s="74"/>
      <c r="J292" s="74"/>
      <c r="K292" s="74"/>
      <c r="L292" s="74"/>
      <c r="M292" s="74"/>
      <c r="N292" s="74"/>
      <c r="O292" s="74"/>
      <c r="P292" s="74"/>
      <c r="Q292" s="74"/>
      <c r="R292" s="75"/>
      <c r="S292" s="74"/>
      <c r="T292" s="74"/>
      <c r="U292" s="74"/>
      <c r="V292" s="74"/>
      <c r="W292" s="74"/>
      <c r="X292" s="74"/>
      <c r="Y292" s="74"/>
      <c r="Z292" s="74"/>
      <c r="AA292" s="74"/>
      <c r="AB292" s="74"/>
      <c r="AC292" s="74"/>
      <c r="AD292" s="74"/>
      <c r="AE292" s="74"/>
      <c r="AF292" s="74"/>
      <c r="AG292" s="74"/>
      <c r="AH292" s="74"/>
      <c r="AI292" s="74"/>
      <c r="AJ292" s="74"/>
      <c r="AK292" s="74"/>
    </row>
    <row r="293">
      <c r="A293" s="74"/>
      <c r="B293" s="74"/>
      <c r="C293" s="74"/>
      <c r="D293" s="74"/>
      <c r="E293" s="74"/>
      <c r="F293" s="74"/>
      <c r="G293" s="74"/>
      <c r="H293" s="74"/>
      <c r="I293" s="74"/>
      <c r="J293" s="74"/>
      <c r="K293" s="74"/>
      <c r="L293" s="74"/>
      <c r="M293" s="74"/>
      <c r="N293" s="74"/>
      <c r="O293" s="74"/>
      <c r="P293" s="74"/>
      <c r="Q293" s="74"/>
      <c r="R293" s="75"/>
      <c r="S293" s="74"/>
      <c r="T293" s="74"/>
      <c r="U293" s="74"/>
      <c r="V293" s="74"/>
      <c r="W293" s="74"/>
      <c r="X293" s="74"/>
      <c r="Y293" s="74"/>
      <c r="Z293" s="74"/>
      <c r="AA293" s="74"/>
      <c r="AB293" s="74"/>
      <c r="AC293" s="74"/>
      <c r="AD293" s="74"/>
      <c r="AE293" s="74"/>
      <c r="AF293" s="74"/>
      <c r="AG293" s="74"/>
      <c r="AH293" s="74"/>
      <c r="AI293" s="74"/>
      <c r="AJ293" s="74"/>
      <c r="AK293" s="74"/>
    </row>
    <row r="294">
      <c r="A294" s="74"/>
      <c r="B294" s="74"/>
      <c r="C294" s="74"/>
      <c r="D294" s="74"/>
      <c r="E294" s="74"/>
      <c r="F294" s="74"/>
      <c r="G294" s="74"/>
      <c r="H294" s="74"/>
      <c r="I294" s="74"/>
      <c r="J294" s="74"/>
      <c r="K294" s="74"/>
      <c r="L294" s="74"/>
      <c r="M294" s="74"/>
      <c r="N294" s="74"/>
      <c r="O294" s="74"/>
      <c r="P294" s="74"/>
      <c r="Q294" s="74"/>
      <c r="R294" s="75"/>
      <c r="S294" s="74"/>
      <c r="T294" s="74"/>
      <c r="U294" s="74"/>
      <c r="V294" s="74"/>
      <c r="W294" s="74"/>
      <c r="X294" s="74"/>
      <c r="Y294" s="74"/>
      <c r="Z294" s="74"/>
      <c r="AA294" s="74"/>
      <c r="AB294" s="74"/>
      <c r="AC294" s="74"/>
      <c r="AD294" s="74"/>
      <c r="AE294" s="74"/>
      <c r="AF294" s="74"/>
      <c r="AG294" s="74"/>
      <c r="AH294" s="74"/>
      <c r="AI294" s="74"/>
      <c r="AJ294" s="74"/>
      <c r="AK294" s="74"/>
    </row>
    <row r="295">
      <c r="A295" s="74"/>
      <c r="B295" s="74"/>
      <c r="C295" s="74"/>
      <c r="D295" s="74"/>
      <c r="E295" s="74"/>
      <c r="F295" s="74"/>
      <c r="G295" s="74"/>
      <c r="H295" s="74"/>
      <c r="I295" s="74"/>
      <c r="J295" s="74"/>
      <c r="K295" s="74"/>
      <c r="L295" s="74"/>
      <c r="M295" s="74"/>
      <c r="N295" s="74"/>
      <c r="O295" s="74"/>
      <c r="P295" s="74"/>
      <c r="Q295" s="74"/>
      <c r="R295" s="75"/>
      <c r="S295" s="74"/>
      <c r="T295" s="74"/>
      <c r="U295" s="74"/>
      <c r="V295" s="74"/>
      <c r="W295" s="74"/>
      <c r="X295" s="74"/>
      <c r="Y295" s="74"/>
      <c r="Z295" s="74"/>
      <c r="AA295" s="74"/>
      <c r="AB295" s="74"/>
      <c r="AC295" s="74"/>
      <c r="AD295" s="74"/>
      <c r="AE295" s="74"/>
      <c r="AF295" s="74"/>
      <c r="AG295" s="74"/>
      <c r="AH295" s="74"/>
      <c r="AI295" s="74"/>
      <c r="AJ295" s="74"/>
      <c r="AK295" s="74"/>
    </row>
    <row r="296">
      <c r="A296" s="74"/>
      <c r="B296" s="74"/>
      <c r="C296" s="74"/>
      <c r="D296" s="74"/>
      <c r="E296" s="74"/>
      <c r="F296" s="74"/>
      <c r="G296" s="74"/>
      <c r="H296" s="74"/>
      <c r="I296" s="74"/>
      <c r="J296" s="74"/>
      <c r="K296" s="74"/>
      <c r="L296" s="74"/>
      <c r="M296" s="74"/>
      <c r="N296" s="74"/>
      <c r="O296" s="74"/>
      <c r="P296" s="74"/>
      <c r="Q296" s="74"/>
      <c r="R296" s="75"/>
      <c r="S296" s="74"/>
      <c r="T296" s="74"/>
      <c r="U296" s="74"/>
      <c r="V296" s="74"/>
      <c r="W296" s="74"/>
      <c r="X296" s="74"/>
      <c r="Y296" s="74"/>
      <c r="Z296" s="74"/>
      <c r="AA296" s="74"/>
      <c r="AB296" s="74"/>
      <c r="AC296" s="74"/>
      <c r="AD296" s="74"/>
      <c r="AE296" s="74"/>
      <c r="AF296" s="74"/>
      <c r="AG296" s="74"/>
      <c r="AH296" s="74"/>
      <c r="AI296" s="74"/>
      <c r="AJ296" s="74"/>
      <c r="AK296" s="74"/>
    </row>
    <row r="297">
      <c r="A297" s="74"/>
      <c r="B297" s="74"/>
      <c r="C297" s="74"/>
      <c r="D297" s="74"/>
      <c r="E297" s="74"/>
      <c r="F297" s="74"/>
      <c r="G297" s="74"/>
      <c r="H297" s="74"/>
      <c r="I297" s="74"/>
      <c r="J297" s="74"/>
      <c r="K297" s="74"/>
      <c r="L297" s="74"/>
      <c r="M297" s="74"/>
      <c r="N297" s="74"/>
      <c r="O297" s="74"/>
      <c r="P297" s="74"/>
      <c r="Q297" s="74"/>
      <c r="R297" s="75"/>
      <c r="S297" s="74"/>
      <c r="T297" s="74"/>
      <c r="U297" s="74"/>
      <c r="V297" s="74"/>
      <c r="W297" s="74"/>
      <c r="X297" s="74"/>
      <c r="Y297" s="74"/>
      <c r="Z297" s="74"/>
      <c r="AA297" s="74"/>
      <c r="AB297" s="74"/>
      <c r="AC297" s="74"/>
      <c r="AD297" s="74"/>
      <c r="AE297" s="74"/>
      <c r="AF297" s="74"/>
      <c r="AG297" s="74"/>
      <c r="AH297" s="74"/>
      <c r="AI297" s="74"/>
      <c r="AJ297" s="74"/>
      <c r="AK297" s="74"/>
    </row>
    <row r="298">
      <c r="A298" s="74"/>
      <c r="B298" s="74"/>
      <c r="C298" s="74"/>
      <c r="D298" s="74"/>
      <c r="E298" s="74"/>
      <c r="F298" s="74"/>
      <c r="G298" s="74"/>
      <c r="H298" s="74"/>
      <c r="I298" s="74"/>
      <c r="J298" s="74"/>
      <c r="K298" s="74"/>
      <c r="L298" s="74"/>
      <c r="M298" s="74"/>
      <c r="N298" s="74"/>
      <c r="O298" s="74"/>
      <c r="P298" s="74"/>
      <c r="Q298" s="74"/>
      <c r="R298" s="75"/>
      <c r="S298" s="74"/>
      <c r="T298" s="74"/>
      <c r="U298" s="74"/>
      <c r="V298" s="74"/>
      <c r="W298" s="74"/>
      <c r="X298" s="74"/>
      <c r="Y298" s="74"/>
      <c r="Z298" s="74"/>
      <c r="AA298" s="74"/>
      <c r="AB298" s="74"/>
      <c r="AC298" s="74"/>
      <c r="AD298" s="74"/>
      <c r="AE298" s="74"/>
      <c r="AF298" s="74"/>
      <c r="AG298" s="74"/>
      <c r="AH298" s="74"/>
      <c r="AI298" s="74"/>
      <c r="AJ298" s="74"/>
      <c r="AK298" s="74"/>
    </row>
    <row r="299">
      <c r="A299" s="74"/>
      <c r="B299" s="74"/>
      <c r="C299" s="74"/>
      <c r="D299" s="74"/>
      <c r="E299" s="74"/>
      <c r="F299" s="74"/>
      <c r="G299" s="74"/>
      <c r="H299" s="74"/>
      <c r="I299" s="74"/>
      <c r="J299" s="74"/>
      <c r="K299" s="74"/>
      <c r="L299" s="74"/>
      <c r="M299" s="74"/>
      <c r="N299" s="74"/>
      <c r="O299" s="74"/>
      <c r="P299" s="74"/>
      <c r="Q299" s="74"/>
      <c r="R299" s="75"/>
      <c r="S299" s="74"/>
      <c r="T299" s="74"/>
      <c r="U299" s="74"/>
      <c r="V299" s="74"/>
      <c r="W299" s="74"/>
      <c r="X299" s="74"/>
      <c r="Y299" s="74"/>
      <c r="Z299" s="74"/>
      <c r="AA299" s="74"/>
      <c r="AB299" s="74"/>
      <c r="AC299" s="74"/>
      <c r="AD299" s="74"/>
      <c r="AE299" s="74"/>
      <c r="AF299" s="74"/>
      <c r="AG299" s="74"/>
      <c r="AH299" s="74"/>
      <c r="AI299" s="74"/>
      <c r="AJ299" s="74"/>
      <c r="AK299" s="74"/>
    </row>
    <row r="300">
      <c r="A300" s="74"/>
      <c r="B300" s="74"/>
      <c r="C300" s="74"/>
      <c r="D300" s="74"/>
      <c r="E300" s="74"/>
      <c r="F300" s="74"/>
      <c r="G300" s="74"/>
      <c r="H300" s="74"/>
      <c r="I300" s="74"/>
      <c r="J300" s="74"/>
      <c r="K300" s="74"/>
      <c r="L300" s="74"/>
      <c r="M300" s="74"/>
      <c r="N300" s="74"/>
      <c r="O300" s="74"/>
      <c r="P300" s="74"/>
      <c r="Q300" s="74"/>
      <c r="R300" s="75"/>
      <c r="S300" s="74"/>
      <c r="T300" s="74"/>
      <c r="U300" s="74"/>
      <c r="V300" s="74"/>
      <c r="W300" s="74"/>
      <c r="X300" s="74"/>
      <c r="Y300" s="74"/>
      <c r="Z300" s="74"/>
      <c r="AA300" s="74"/>
      <c r="AB300" s="74"/>
      <c r="AC300" s="74"/>
      <c r="AD300" s="74"/>
      <c r="AE300" s="74"/>
      <c r="AF300" s="74"/>
      <c r="AG300" s="74"/>
      <c r="AH300" s="74"/>
      <c r="AI300" s="74"/>
      <c r="AJ300" s="74"/>
      <c r="AK300" s="74"/>
    </row>
    <row r="301">
      <c r="A301" s="74"/>
      <c r="B301" s="74"/>
      <c r="C301" s="74"/>
      <c r="D301" s="74"/>
      <c r="E301" s="74"/>
      <c r="F301" s="74"/>
      <c r="G301" s="74"/>
      <c r="H301" s="74"/>
      <c r="I301" s="74"/>
      <c r="J301" s="74"/>
      <c r="K301" s="74"/>
      <c r="L301" s="74"/>
      <c r="M301" s="74"/>
      <c r="N301" s="74"/>
      <c r="O301" s="74"/>
      <c r="P301" s="74"/>
      <c r="Q301" s="74"/>
      <c r="R301" s="75"/>
      <c r="S301" s="74"/>
      <c r="T301" s="74"/>
      <c r="U301" s="74"/>
      <c r="V301" s="74"/>
      <c r="W301" s="74"/>
      <c r="X301" s="74"/>
      <c r="Y301" s="74"/>
      <c r="Z301" s="74"/>
      <c r="AA301" s="74"/>
      <c r="AB301" s="74"/>
      <c r="AC301" s="74"/>
      <c r="AD301" s="74"/>
      <c r="AE301" s="74"/>
      <c r="AF301" s="74"/>
      <c r="AG301" s="74"/>
      <c r="AH301" s="74"/>
      <c r="AI301" s="74"/>
      <c r="AJ301" s="74"/>
      <c r="AK301" s="74"/>
    </row>
    <row r="302">
      <c r="A302" s="74"/>
      <c r="B302" s="74"/>
      <c r="C302" s="74"/>
      <c r="D302" s="74"/>
      <c r="E302" s="74"/>
      <c r="F302" s="74"/>
      <c r="G302" s="74"/>
      <c r="H302" s="74"/>
      <c r="I302" s="74"/>
      <c r="J302" s="74"/>
      <c r="K302" s="74"/>
      <c r="L302" s="74"/>
      <c r="M302" s="74"/>
      <c r="N302" s="74"/>
      <c r="O302" s="74"/>
      <c r="P302" s="74"/>
      <c r="Q302" s="74"/>
      <c r="R302" s="75"/>
      <c r="S302" s="74"/>
      <c r="T302" s="74"/>
      <c r="U302" s="74"/>
      <c r="V302" s="74"/>
      <c r="W302" s="74"/>
      <c r="X302" s="74"/>
      <c r="Y302" s="74"/>
      <c r="Z302" s="74"/>
      <c r="AA302" s="74"/>
      <c r="AB302" s="74"/>
      <c r="AC302" s="74"/>
      <c r="AD302" s="74"/>
      <c r="AE302" s="74"/>
      <c r="AF302" s="74"/>
      <c r="AG302" s="74"/>
      <c r="AH302" s="74"/>
      <c r="AI302" s="74"/>
      <c r="AJ302" s="74"/>
      <c r="AK302" s="74"/>
    </row>
    <row r="303">
      <c r="A303" s="74"/>
      <c r="B303" s="74"/>
      <c r="C303" s="74"/>
      <c r="D303" s="74"/>
      <c r="E303" s="74"/>
      <c r="F303" s="74"/>
      <c r="G303" s="74"/>
      <c r="H303" s="74"/>
      <c r="I303" s="74"/>
      <c r="J303" s="74"/>
      <c r="K303" s="74"/>
      <c r="L303" s="74"/>
      <c r="M303" s="74"/>
      <c r="N303" s="74"/>
      <c r="O303" s="74"/>
      <c r="P303" s="74"/>
      <c r="Q303" s="74"/>
      <c r="R303" s="75"/>
      <c r="S303" s="74"/>
      <c r="T303" s="74"/>
      <c r="U303" s="74"/>
      <c r="V303" s="74"/>
      <c r="W303" s="74"/>
      <c r="X303" s="74"/>
      <c r="Y303" s="74"/>
      <c r="Z303" s="74"/>
      <c r="AA303" s="74"/>
      <c r="AB303" s="74"/>
      <c r="AC303" s="74"/>
      <c r="AD303" s="74"/>
      <c r="AE303" s="74"/>
      <c r="AF303" s="74"/>
      <c r="AG303" s="74"/>
      <c r="AH303" s="74"/>
      <c r="AI303" s="74"/>
      <c r="AJ303" s="74"/>
      <c r="AK303" s="74"/>
    </row>
    <row r="304">
      <c r="A304" s="74"/>
      <c r="B304" s="74"/>
      <c r="C304" s="74"/>
      <c r="D304" s="74"/>
      <c r="E304" s="74"/>
      <c r="F304" s="74"/>
      <c r="G304" s="74"/>
      <c r="H304" s="74"/>
      <c r="I304" s="74"/>
      <c r="J304" s="74"/>
      <c r="K304" s="74"/>
      <c r="L304" s="74"/>
      <c r="M304" s="74"/>
      <c r="N304" s="74"/>
      <c r="O304" s="74"/>
      <c r="P304" s="74"/>
      <c r="Q304" s="74"/>
      <c r="R304" s="75"/>
      <c r="S304" s="74"/>
      <c r="T304" s="74"/>
      <c r="U304" s="74"/>
      <c r="V304" s="74"/>
      <c r="W304" s="74"/>
      <c r="X304" s="74"/>
      <c r="Y304" s="74"/>
      <c r="Z304" s="74"/>
      <c r="AA304" s="74"/>
      <c r="AB304" s="74"/>
      <c r="AC304" s="74"/>
      <c r="AD304" s="74"/>
      <c r="AE304" s="74"/>
      <c r="AF304" s="74"/>
      <c r="AG304" s="74"/>
      <c r="AH304" s="74"/>
      <c r="AI304" s="74"/>
      <c r="AJ304" s="74"/>
      <c r="AK304" s="74"/>
    </row>
    <row r="305">
      <c r="A305" s="74"/>
      <c r="B305" s="74"/>
      <c r="C305" s="74"/>
      <c r="D305" s="74"/>
      <c r="E305" s="74"/>
      <c r="F305" s="74"/>
      <c r="G305" s="74"/>
      <c r="H305" s="74"/>
      <c r="I305" s="74"/>
      <c r="J305" s="74"/>
      <c r="K305" s="74"/>
      <c r="L305" s="74"/>
      <c r="M305" s="74"/>
      <c r="N305" s="74"/>
      <c r="O305" s="74"/>
      <c r="P305" s="74"/>
      <c r="Q305" s="74"/>
      <c r="R305" s="75"/>
      <c r="S305" s="74"/>
      <c r="T305" s="74"/>
      <c r="U305" s="74"/>
      <c r="V305" s="74"/>
      <c r="W305" s="74"/>
      <c r="X305" s="74"/>
      <c r="Y305" s="74"/>
      <c r="Z305" s="74"/>
      <c r="AA305" s="74"/>
      <c r="AB305" s="74"/>
      <c r="AC305" s="74"/>
      <c r="AD305" s="74"/>
      <c r="AE305" s="74"/>
      <c r="AF305" s="74"/>
      <c r="AG305" s="74"/>
      <c r="AH305" s="74"/>
      <c r="AI305" s="74"/>
      <c r="AJ305" s="74"/>
      <c r="AK305" s="74"/>
    </row>
    <row r="306">
      <c r="A306" s="74"/>
      <c r="B306" s="74"/>
      <c r="C306" s="74"/>
      <c r="D306" s="74"/>
      <c r="E306" s="74"/>
      <c r="F306" s="74"/>
      <c r="G306" s="74"/>
      <c r="H306" s="74"/>
      <c r="I306" s="74"/>
      <c r="J306" s="74"/>
      <c r="K306" s="74"/>
      <c r="L306" s="74"/>
      <c r="M306" s="74"/>
      <c r="N306" s="74"/>
      <c r="O306" s="74"/>
      <c r="P306" s="74"/>
      <c r="Q306" s="74"/>
      <c r="R306" s="75"/>
      <c r="S306" s="74"/>
      <c r="T306" s="74"/>
      <c r="U306" s="74"/>
      <c r="V306" s="74"/>
      <c r="W306" s="74"/>
      <c r="X306" s="74"/>
      <c r="Y306" s="74"/>
      <c r="Z306" s="74"/>
      <c r="AA306" s="74"/>
      <c r="AB306" s="74"/>
      <c r="AC306" s="74"/>
      <c r="AD306" s="74"/>
      <c r="AE306" s="74"/>
      <c r="AF306" s="74"/>
      <c r="AG306" s="74"/>
      <c r="AH306" s="74"/>
      <c r="AI306" s="74"/>
      <c r="AJ306" s="74"/>
      <c r="AK306" s="74"/>
    </row>
    <row r="307">
      <c r="A307" s="74"/>
      <c r="B307" s="74"/>
      <c r="C307" s="74"/>
      <c r="D307" s="74"/>
      <c r="E307" s="74"/>
      <c r="F307" s="74"/>
      <c r="G307" s="74"/>
      <c r="H307" s="74"/>
      <c r="I307" s="74"/>
      <c r="J307" s="74"/>
      <c r="K307" s="74"/>
      <c r="L307" s="74"/>
      <c r="M307" s="74"/>
      <c r="N307" s="74"/>
      <c r="O307" s="74"/>
      <c r="P307" s="74"/>
      <c r="Q307" s="74"/>
      <c r="R307" s="75"/>
      <c r="S307" s="74"/>
      <c r="T307" s="74"/>
      <c r="U307" s="74"/>
      <c r="V307" s="74"/>
      <c r="W307" s="74"/>
      <c r="X307" s="74"/>
      <c r="Y307" s="74"/>
      <c r="Z307" s="74"/>
      <c r="AA307" s="74"/>
      <c r="AB307" s="74"/>
      <c r="AC307" s="74"/>
      <c r="AD307" s="74"/>
      <c r="AE307" s="74"/>
      <c r="AF307" s="74"/>
      <c r="AG307" s="74"/>
      <c r="AH307" s="74"/>
      <c r="AI307" s="74"/>
      <c r="AJ307" s="74"/>
      <c r="AK307" s="74"/>
    </row>
    <row r="308">
      <c r="A308" s="74"/>
      <c r="B308" s="74"/>
      <c r="C308" s="74"/>
      <c r="D308" s="74"/>
      <c r="E308" s="74"/>
      <c r="F308" s="74"/>
      <c r="G308" s="74"/>
      <c r="H308" s="74"/>
      <c r="I308" s="74"/>
      <c r="J308" s="74"/>
      <c r="K308" s="74"/>
      <c r="L308" s="74"/>
      <c r="M308" s="74"/>
      <c r="N308" s="74"/>
      <c r="O308" s="74"/>
      <c r="P308" s="74"/>
      <c r="Q308" s="74"/>
      <c r="R308" s="75"/>
      <c r="S308" s="74"/>
      <c r="T308" s="74"/>
      <c r="U308" s="74"/>
      <c r="V308" s="74"/>
      <c r="W308" s="74"/>
      <c r="X308" s="74"/>
      <c r="Y308" s="74"/>
      <c r="Z308" s="74"/>
      <c r="AA308" s="74"/>
      <c r="AB308" s="74"/>
      <c r="AC308" s="74"/>
      <c r="AD308" s="74"/>
      <c r="AE308" s="74"/>
      <c r="AF308" s="74"/>
      <c r="AG308" s="74"/>
      <c r="AH308" s="74"/>
      <c r="AI308" s="74"/>
      <c r="AJ308" s="74"/>
      <c r="AK308" s="74"/>
    </row>
    <row r="309">
      <c r="A309" s="74"/>
      <c r="B309" s="74"/>
      <c r="C309" s="74"/>
      <c r="D309" s="74"/>
      <c r="E309" s="74"/>
      <c r="F309" s="74"/>
      <c r="G309" s="74"/>
      <c r="H309" s="74"/>
      <c r="I309" s="74"/>
      <c r="J309" s="74"/>
      <c r="K309" s="74"/>
      <c r="L309" s="74"/>
      <c r="M309" s="74"/>
      <c r="N309" s="74"/>
      <c r="O309" s="74"/>
      <c r="P309" s="74"/>
      <c r="Q309" s="74"/>
      <c r="R309" s="75"/>
      <c r="S309" s="74"/>
      <c r="T309" s="74"/>
      <c r="U309" s="74"/>
      <c r="V309" s="74"/>
      <c r="W309" s="74"/>
      <c r="X309" s="74"/>
      <c r="Y309" s="74"/>
      <c r="Z309" s="74"/>
      <c r="AA309" s="74"/>
      <c r="AB309" s="74"/>
      <c r="AC309" s="74"/>
      <c r="AD309" s="74"/>
      <c r="AE309" s="74"/>
      <c r="AF309" s="74"/>
      <c r="AG309" s="74"/>
      <c r="AH309" s="74"/>
      <c r="AI309" s="74"/>
      <c r="AJ309" s="74"/>
      <c r="AK309" s="74"/>
    </row>
    <row r="310">
      <c r="A310" s="74"/>
      <c r="B310" s="74"/>
      <c r="C310" s="74"/>
      <c r="D310" s="74"/>
      <c r="E310" s="74"/>
      <c r="F310" s="74"/>
      <c r="G310" s="74"/>
      <c r="H310" s="74"/>
      <c r="I310" s="74"/>
      <c r="J310" s="74"/>
      <c r="K310" s="74"/>
      <c r="L310" s="74"/>
      <c r="M310" s="74"/>
      <c r="N310" s="74"/>
      <c r="O310" s="74"/>
      <c r="P310" s="74"/>
      <c r="Q310" s="74"/>
      <c r="R310" s="75"/>
      <c r="S310" s="74"/>
      <c r="T310" s="74"/>
      <c r="U310" s="74"/>
      <c r="V310" s="74"/>
      <c r="W310" s="74"/>
      <c r="X310" s="74"/>
      <c r="Y310" s="74"/>
      <c r="Z310" s="74"/>
      <c r="AA310" s="74"/>
      <c r="AB310" s="74"/>
      <c r="AC310" s="74"/>
      <c r="AD310" s="74"/>
      <c r="AE310" s="74"/>
      <c r="AF310" s="74"/>
      <c r="AG310" s="74"/>
      <c r="AH310" s="74"/>
      <c r="AI310" s="74"/>
      <c r="AJ310" s="74"/>
      <c r="AK310" s="74"/>
    </row>
    <row r="311">
      <c r="A311" s="74"/>
      <c r="B311" s="74"/>
      <c r="C311" s="74"/>
      <c r="D311" s="74"/>
      <c r="E311" s="74"/>
      <c r="F311" s="74"/>
      <c r="G311" s="74"/>
      <c r="H311" s="74"/>
      <c r="I311" s="74"/>
      <c r="J311" s="74"/>
      <c r="K311" s="74"/>
      <c r="L311" s="74"/>
      <c r="M311" s="74"/>
      <c r="N311" s="74"/>
      <c r="O311" s="74"/>
      <c r="P311" s="74"/>
      <c r="Q311" s="74"/>
      <c r="R311" s="75"/>
      <c r="S311" s="74"/>
      <c r="T311" s="74"/>
      <c r="U311" s="74"/>
      <c r="V311" s="74"/>
      <c r="W311" s="74"/>
      <c r="X311" s="74"/>
      <c r="Y311" s="74"/>
      <c r="Z311" s="74"/>
      <c r="AA311" s="74"/>
      <c r="AB311" s="74"/>
      <c r="AC311" s="74"/>
      <c r="AD311" s="74"/>
      <c r="AE311" s="74"/>
      <c r="AF311" s="74"/>
      <c r="AG311" s="74"/>
      <c r="AH311" s="74"/>
      <c r="AI311" s="74"/>
      <c r="AJ311" s="74"/>
      <c r="AK311" s="74"/>
    </row>
    <row r="312">
      <c r="A312" s="74"/>
      <c r="B312" s="74"/>
      <c r="C312" s="74"/>
      <c r="D312" s="74"/>
      <c r="E312" s="74"/>
      <c r="F312" s="74"/>
      <c r="G312" s="74"/>
      <c r="H312" s="74"/>
      <c r="I312" s="74"/>
      <c r="J312" s="74"/>
      <c r="K312" s="74"/>
      <c r="L312" s="74"/>
      <c r="M312" s="74"/>
      <c r="N312" s="74"/>
      <c r="O312" s="74"/>
      <c r="P312" s="74"/>
      <c r="Q312" s="74"/>
      <c r="R312" s="75"/>
      <c r="S312" s="74"/>
      <c r="T312" s="74"/>
      <c r="U312" s="74"/>
      <c r="V312" s="74"/>
      <c r="W312" s="74"/>
      <c r="X312" s="74"/>
      <c r="Y312" s="74"/>
      <c r="Z312" s="74"/>
      <c r="AA312" s="74"/>
      <c r="AB312" s="74"/>
      <c r="AC312" s="74"/>
      <c r="AD312" s="74"/>
      <c r="AE312" s="74"/>
      <c r="AF312" s="74"/>
      <c r="AG312" s="74"/>
      <c r="AH312" s="74"/>
      <c r="AI312" s="74"/>
      <c r="AJ312" s="74"/>
      <c r="AK312" s="74"/>
    </row>
    <row r="313">
      <c r="A313" s="74"/>
      <c r="B313" s="74"/>
      <c r="C313" s="74"/>
      <c r="D313" s="74"/>
      <c r="E313" s="74"/>
      <c r="F313" s="74"/>
      <c r="G313" s="74"/>
      <c r="H313" s="74"/>
      <c r="I313" s="74"/>
      <c r="J313" s="74"/>
      <c r="K313" s="74"/>
      <c r="L313" s="74"/>
      <c r="M313" s="74"/>
      <c r="N313" s="74"/>
      <c r="O313" s="74"/>
      <c r="P313" s="74"/>
      <c r="Q313" s="74"/>
      <c r="R313" s="75"/>
      <c r="S313" s="74"/>
      <c r="T313" s="74"/>
      <c r="U313" s="74"/>
      <c r="V313" s="74"/>
      <c r="W313" s="74"/>
      <c r="X313" s="74"/>
      <c r="Y313" s="74"/>
      <c r="Z313" s="74"/>
      <c r="AA313" s="74"/>
      <c r="AB313" s="74"/>
      <c r="AC313" s="74"/>
      <c r="AD313" s="74"/>
      <c r="AE313" s="74"/>
      <c r="AF313" s="74"/>
      <c r="AG313" s="74"/>
      <c r="AH313" s="74"/>
      <c r="AI313" s="74"/>
      <c r="AJ313" s="74"/>
      <c r="AK313" s="74"/>
    </row>
    <row r="314">
      <c r="A314" s="74"/>
      <c r="B314" s="74"/>
      <c r="C314" s="74"/>
      <c r="D314" s="74"/>
      <c r="E314" s="74"/>
      <c r="F314" s="74"/>
      <c r="G314" s="74"/>
      <c r="H314" s="74"/>
      <c r="I314" s="74"/>
      <c r="J314" s="74"/>
      <c r="K314" s="74"/>
      <c r="L314" s="74"/>
      <c r="M314" s="74"/>
      <c r="N314" s="74"/>
      <c r="O314" s="74"/>
      <c r="P314" s="74"/>
      <c r="Q314" s="74"/>
      <c r="R314" s="75"/>
      <c r="S314" s="74"/>
      <c r="T314" s="74"/>
      <c r="U314" s="74"/>
      <c r="V314" s="74"/>
      <c r="W314" s="74"/>
      <c r="X314" s="74"/>
      <c r="Y314" s="74"/>
      <c r="Z314" s="74"/>
      <c r="AA314" s="74"/>
      <c r="AB314" s="74"/>
      <c r="AC314" s="74"/>
      <c r="AD314" s="74"/>
      <c r="AE314" s="74"/>
      <c r="AF314" s="74"/>
      <c r="AG314" s="74"/>
      <c r="AH314" s="74"/>
      <c r="AI314" s="74"/>
      <c r="AJ314" s="74"/>
      <c r="AK314" s="74"/>
    </row>
    <row r="315">
      <c r="A315" s="74"/>
      <c r="B315" s="74"/>
      <c r="C315" s="74"/>
      <c r="D315" s="74"/>
      <c r="E315" s="74"/>
      <c r="F315" s="74"/>
      <c r="G315" s="74"/>
      <c r="H315" s="74"/>
      <c r="I315" s="74"/>
      <c r="J315" s="74"/>
      <c r="K315" s="74"/>
      <c r="L315" s="74"/>
      <c r="M315" s="74"/>
      <c r="N315" s="74"/>
      <c r="O315" s="74"/>
      <c r="P315" s="74"/>
      <c r="Q315" s="74"/>
      <c r="R315" s="75"/>
      <c r="S315" s="74"/>
      <c r="T315" s="74"/>
      <c r="U315" s="74"/>
      <c r="V315" s="74"/>
      <c r="W315" s="74"/>
      <c r="X315" s="74"/>
      <c r="Y315" s="74"/>
      <c r="Z315" s="74"/>
      <c r="AA315" s="74"/>
      <c r="AB315" s="74"/>
      <c r="AC315" s="74"/>
      <c r="AD315" s="74"/>
      <c r="AE315" s="74"/>
      <c r="AF315" s="74"/>
      <c r="AG315" s="74"/>
      <c r="AH315" s="74"/>
      <c r="AI315" s="74"/>
      <c r="AJ315" s="74"/>
      <c r="AK315" s="74"/>
    </row>
    <row r="316">
      <c r="A316" s="74"/>
      <c r="B316" s="74"/>
      <c r="C316" s="74"/>
      <c r="D316" s="74"/>
      <c r="E316" s="74"/>
      <c r="F316" s="74"/>
      <c r="G316" s="74"/>
      <c r="H316" s="74"/>
      <c r="I316" s="74"/>
      <c r="J316" s="74"/>
      <c r="K316" s="74"/>
      <c r="L316" s="74"/>
      <c r="M316" s="74"/>
      <c r="N316" s="74"/>
      <c r="O316" s="74"/>
      <c r="P316" s="74"/>
      <c r="Q316" s="74"/>
      <c r="R316" s="75"/>
      <c r="S316" s="74"/>
      <c r="T316" s="74"/>
      <c r="U316" s="74"/>
      <c r="V316" s="74"/>
      <c r="W316" s="74"/>
      <c r="X316" s="74"/>
      <c r="Y316" s="74"/>
      <c r="Z316" s="74"/>
      <c r="AA316" s="74"/>
      <c r="AB316" s="74"/>
      <c r="AC316" s="74"/>
      <c r="AD316" s="74"/>
      <c r="AE316" s="74"/>
      <c r="AF316" s="74"/>
      <c r="AG316" s="74"/>
      <c r="AH316" s="74"/>
      <c r="AI316" s="74"/>
      <c r="AJ316" s="74"/>
      <c r="AK316" s="74"/>
    </row>
    <row r="317">
      <c r="A317" s="74"/>
      <c r="B317" s="74"/>
      <c r="C317" s="74"/>
      <c r="D317" s="74"/>
      <c r="E317" s="74"/>
      <c r="F317" s="74"/>
      <c r="G317" s="74"/>
      <c r="H317" s="74"/>
      <c r="I317" s="74"/>
      <c r="J317" s="74"/>
      <c r="K317" s="74"/>
      <c r="L317" s="74"/>
      <c r="M317" s="74"/>
      <c r="N317" s="74"/>
      <c r="O317" s="74"/>
      <c r="P317" s="74"/>
      <c r="Q317" s="74"/>
      <c r="R317" s="75"/>
      <c r="S317" s="74"/>
      <c r="T317" s="74"/>
      <c r="U317" s="74"/>
      <c r="V317" s="74"/>
      <c r="W317" s="74"/>
      <c r="X317" s="74"/>
      <c r="Y317" s="74"/>
      <c r="Z317" s="74"/>
      <c r="AA317" s="74"/>
      <c r="AB317" s="74"/>
      <c r="AC317" s="74"/>
      <c r="AD317" s="74"/>
      <c r="AE317" s="74"/>
      <c r="AF317" s="74"/>
      <c r="AG317" s="74"/>
      <c r="AH317" s="74"/>
      <c r="AI317" s="74"/>
      <c r="AJ317" s="74"/>
      <c r="AK317" s="74"/>
    </row>
    <row r="318">
      <c r="A318" s="74"/>
      <c r="B318" s="74"/>
      <c r="C318" s="74"/>
      <c r="D318" s="74"/>
      <c r="E318" s="74"/>
      <c r="F318" s="74"/>
      <c r="G318" s="74"/>
      <c r="H318" s="74"/>
      <c r="I318" s="74"/>
      <c r="J318" s="74"/>
      <c r="K318" s="74"/>
      <c r="L318" s="74"/>
      <c r="M318" s="74"/>
      <c r="N318" s="74"/>
      <c r="O318" s="74"/>
      <c r="P318" s="74"/>
      <c r="Q318" s="74"/>
      <c r="R318" s="75"/>
      <c r="S318" s="74"/>
      <c r="T318" s="74"/>
      <c r="U318" s="74"/>
      <c r="V318" s="74"/>
      <c r="W318" s="74"/>
      <c r="X318" s="74"/>
      <c r="Y318" s="74"/>
      <c r="Z318" s="74"/>
      <c r="AA318" s="74"/>
      <c r="AB318" s="74"/>
      <c r="AC318" s="74"/>
      <c r="AD318" s="74"/>
      <c r="AE318" s="74"/>
      <c r="AF318" s="74"/>
      <c r="AG318" s="74"/>
      <c r="AH318" s="74"/>
      <c r="AI318" s="74"/>
      <c r="AJ318" s="74"/>
      <c r="AK318" s="74"/>
    </row>
    <row r="319">
      <c r="A319" s="74"/>
      <c r="B319" s="74"/>
      <c r="C319" s="74"/>
      <c r="D319" s="74"/>
      <c r="E319" s="74"/>
      <c r="F319" s="74"/>
      <c r="G319" s="74"/>
      <c r="H319" s="74"/>
      <c r="I319" s="74"/>
      <c r="J319" s="74"/>
      <c r="K319" s="74"/>
      <c r="L319" s="74"/>
      <c r="M319" s="74"/>
      <c r="N319" s="74"/>
      <c r="O319" s="74"/>
      <c r="P319" s="74"/>
      <c r="Q319" s="74"/>
      <c r="R319" s="75"/>
      <c r="S319" s="74"/>
      <c r="T319" s="74"/>
      <c r="U319" s="74"/>
      <c r="V319" s="74"/>
      <c r="W319" s="74"/>
      <c r="X319" s="74"/>
      <c r="Y319" s="74"/>
      <c r="Z319" s="74"/>
      <c r="AA319" s="74"/>
      <c r="AB319" s="74"/>
      <c r="AC319" s="74"/>
      <c r="AD319" s="74"/>
      <c r="AE319" s="74"/>
      <c r="AF319" s="74"/>
      <c r="AG319" s="74"/>
      <c r="AH319" s="74"/>
      <c r="AI319" s="74"/>
      <c r="AJ319" s="74"/>
      <c r="AK319" s="74"/>
    </row>
    <row r="320">
      <c r="A320" s="74"/>
      <c r="B320" s="74"/>
      <c r="C320" s="74"/>
      <c r="D320" s="74"/>
      <c r="E320" s="74"/>
      <c r="F320" s="74"/>
      <c r="G320" s="74"/>
      <c r="H320" s="74"/>
      <c r="I320" s="74"/>
      <c r="J320" s="74"/>
      <c r="K320" s="74"/>
      <c r="L320" s="74"/>
      <c r="M320" s="74"/>
      <c r="N320" s="74"/>
      <c r="O320" s="74"/>
      <c r="P320" s="74"/>
      <c r="Q320" s="74"/>
      <c r="R320" s="75"/>
      <c r="S320" s="74"/>
      <c r="T320" s="74"/>
      <c r="U320" s="74"/>
      <c r="V320" s="74"/>
      <c r="W320" s="74"/>
      <c r="X320" s="74"/>
      <c r="Y320" s="74"/>
      <c r="Z320" s="74"/>
      <c r="AA320" s="74"/>
      <c r="AB320" s="74"/>
      <c r="AC320" s="74"/>
      <c r="AD320" s="74"/>
      <c r="AE320" s="74"/>
      <c r="AF320" s="74"/>
      <c r="AG320" s="74"/>
      <c r="AH320" s="74"/>
      <c r="AI320" s="74"/>
      <c r="AJ320" s="74"/>
      <c r="AK320" s="74"/>
    </row>
    <row r="321">
      <c r="A321" s="74"/>
      <c r="B321" s="74"/>
      <c r="C321" s="74"/>
      <c r="D321" s="74"/>
      <c r="E321" s="74"/>
      <c r="F321" s="74"/>
      <c r="G321" s="74"/>
      <c r="H321" s="74"/>
      <c r="I321" s="74"/>
      <c r="J321" s="74"/>
      <c r="K321" s="74"/>
      <c r="L321" s="74"/>
      <c r="M321" s="74"/>
      <c r="N321" s="74"/>
      <c r="O321" s="74"/>
      <c r="P321" s="74"/>
      <c r="Q321" s="74"/>
      <c r="R321" s="75"/>
      <c r="S321" s="74"/>
      <c r="T321" s="74"/>
      <c r="U321" s="74"/>
      <c r="V321" s="74"/>
      <c r="W321" s="74"/>
      <c r="X321" s="74"/>
      <c r="Y321" s="74"/>
      <c r="Z321" s="74"/>
      <c r="AA321" s="74"/>
      <c r="AB321" s="74"/>
      <c r="AC321" s="74"/>
      <c r="AD321" s="74"/>
      <c r="AE321" s="74"/>
      <c r="AF321" s="74"/>
      <c r="AG321" s="74"/>
      <c r="AH321" s="74"/>
      <c r="AI321" s="74"/>
      <c r="AJ321" s="74"/>
      <c r="AK321" s="74"/>
    </row>
    <row r="322">
      <c r="A322" s="74"/>
      <c r="B322" s="74"/>
      <c r="C322" s="74"/>
      <c r="D322" s="74"/>
      <c r="E322" s="74"/>
      <c r="F322" s="74"/>
      <c r="G322" s="74"/>
      <c r="H322" s="74"/>
      <c r="I322" s="74"/>
      <c r="J322" s="74"/>
      <c r="K322" s="74"/>
      <c r="L322" s="74"/>
      <c r="M322" s="74"/>
      <c r="N322" s="74"/>
      <c r="O322" s="74"/>
      <c r="P322" s="74"/>
      <c r="Q322" s="74"/>
      <c r="R322" s="75"/>
      <c r="S322" s="74"/>
      <c r="T322" s="74"/>
      <c r="U322" s="74"/>
      <c r="V322" s="74"/>
      <c r="W322" s="74"/>
      <c r="X322" s="74"/>
      <c r="Y322" s="74"/>
      <c r="Z322" s="74"/>
      <c r="AA322" s="74"/>
      <c r="AB322" s="74"/>
      <c r="AC322" s="74"/>
      <c r="AD322" s="74"/>
      <c r="AE322" s="74"/>
      <c r="AF322" s="74"/>
      <c r="AG322" s="74"/>
      <c r="AH322" s="74"/>
      <c r="AI322" s="74"/>
      <c r="AJ322" s="74"/>
      <c r="AK322" s="74"/>
    </row>
    <row r="323">
      <c r="A323" s="74"/>
      <c r="B323" s="74"/>
      <c r="C323" s="74"/>
      <c r="D323" s="74"/>
      <c r="E323" s="74"/>
      <c r="F323" s="74"/>
      <c r="G323" s="74"/>
      <c r="H323" s="74"/>
      <c r="I323" s="74"/>
      <c r="J323" s="74"/>
      <c r="K323" s="74"/>
      <c r="L323" s="74"/>
      <c r="M323" s="74"/>
      <c r="N323" s="74"/>
      <c r="O323" s="74"/>
      <c r="P323" s="74"/>
      <c r="Q323" s="74"/>
      <c r="R323" s="75"/>
      <c r="S323" s="74"/>
      <c r="T323" s="74"/>
      <c r="U323" s="74"/>
      <c r="V323" s="74"/>
      <c r="W323" s="74"/>
      <c r="X323" s="74"/>
      <c r="Y323" s="74"/>
      <c r="Z323" s="74"/>
      <c r="AA323" s="74"/>
      <c r="AB323" s="74"/>
      <c r="AC323" s="74"/>
      <c r="AD323" s="74"/>
      <c r="AE323" s="74"/>
      <c r="AF323" s="74"/>
      <c r="AG323" s="74"/>
      <c r="AH323" s="74"/>
      <c r="AI323" s="74"/>
      <c r="AJ323" s="74"/>
      <c r="AK323" s="74"/>
    </row>
    <row r="324">
      <c r="A324" s="74"/>
      <c r="B324" s="74"/>
      <c r="C324" s="74"/>
      <c r="D324" s="74"/>
      <c r="E324" s="74"/>
      <c r="F324" s="74"/>
      <c r="G324" s="74"/>
      <c r="H324" s="74"/>
      <c r="I324" s="74"/>
      <c r="J324" s="74"/>
      <c r="K324" s="74"/>
      <c r="L324" s="74"/>
      <c r="M324" s="74"/>
      <c r="N324" s="74"/>
      <c r="O324" s="74"/>
      <c r="P324" s="74"/>
      <c r="Q324" s="74"/>
      <c r="R324" s="75"/>
      <c r="S324" s="74"/>
      <c r="T324" s="74"/>
      <c r="U324" s="74"/>
      <c r="V324" s="74"/>
      <c r="W324" s="74"/>
      <c r="X324" s="74"/>
      <c r="Y324" s="74"/>
      <c r="Z324" s="74"/>
      <c r="AA324" s="74"/>
      <c r="AB324" s="74"/>
      <c r="AC324" s="74"/>
      <c r="AD324" s="74"/>
      <c r="AE324" s="74"/>
      <c r="AF324" s="74"/>
      <c r="AG324" s="74"/>
      <c r="AH324" s="74"/>
      <c r="AI324" s="74"/>
      <c r="AJ324" s="74"/>
      <c r="AK324" s="74"/>
    </row>
    <row r="325">
      <c r="A325" s="74"/>
      <c r="B325" s="74"/>
      <c r="C325" s="74"/>
      <c r="D325" s="74"/>
      <c r="E325" s="74"/>
      <c r="F325" s="74"/>
      <c r="G325" s="74"/>
      <c r="H325" s="74"/>
      <c r="I325" s="74"/>
      <c r="J325" s="74"/>
      <c r="K325" s="74"/>
      <c r="L325" s="74"/>
      <c r="M325" s="74"/>
      <c r="N325" s="74"/>
      <c r="O325" s="74"/>
      <c r="P325" s="74"/>
      <c r="Q325" s="74"/>
      <c r="R325" s="75"/>
      <c r="S325" s="74"/>
      <c r="T325" s="74"/>
      <c r="U325" s="74"/>
      <c r="V325" s="74"/>
      <c r="W325" s="74"/>
      <c r="X325" s="74"/>
      <c r="Y325" s="74"/>
      <c r="Z325" s="74"/>
      <c r="AA325" s="74"/>
      <c r="AB325" s="74"/>
      <c r="AC325" s="74"/>
      <c r="AD325" s="74"/>
      <c r="AE325" s="74"/>
      <c r="AF325" s="74"/>
      <c r="AG325" s="74"/>
      <c r="AH325" s="74"/>
      <c r="AI325" s="74"/>
      <c r="AJ325" s="74"/>
      <c r="AK325" s="74"/>
    </row>
    <row r="326">
      <c r="A326" s="74"/>
      <c r="B326" s="74"/>
      <c r="C326" s="74"/>
      <c r="D326" s="74"/>
      <c r="E326" s="74"/>
      <c r="F326" s="74"/>
      <c r="G326" s="74"/>
      <c r="H326" s="74"/>
      <c r="I326" s="74"/>
      <c r="J326" s="74"/>
      <c r="K326" s="74"/>
      <c r="L326" s="74"/>
      <c r="M326" s="74"/>
      <c r="N326" s="74"/>
      <c r="O326" s="74"/>
      <c r="P326" s="74"/>
      <c r="Q326" s="74"/>
      <c r="R326" s="75"/>
      <c r="S326" s="74"/>
      <c r="T326" s="74"/>
      <c r="U326" s="74"/>
      <c r="V326" s="74"/>
      <c r="W326" s="74"/>
      <c r="X326" s="74"/>
      <c r="Y326" s="74"/>
      <c r="Z326" s="74"/>
      <c r="AA326" s="74"/>
      <c r="AB326" s="74"/>
      <c r="AC326" s="74"/>
      <c r="AD326" s="74"/>
      <c r="AE326" s="74"/>
      <c r="AF326" s="74"/>
      <c r="AG326" s="74"/>
      <c r="AH326" s="74"/>
      <c r="AI326" s="74"/>
      <c r="AJ326" s="74"/>
      <c r="AK326" s="74"/>
    </row>
    <row r="327">
      <c r="A327" s="74"/>
      <c r="B327" s="74"/>
      <c r="C327" s="74"/>
      <c r="D327" s="74"/>
      <c r="E327" s="74"/>
      <c r="F327" s="74"/>
      <c r="G327" s="74"/>
      <c r="H327" s="74"/>
      <c r="I327" s="74"/>
      <c r="J327" s="74"/>
      <c r="K327" s="74"/>
      <c r="L327" s="74"/>
      <c r="M327" s="74"/>
      <c r="N327" s="74"/>
      <c r="O327" s="74"/>
      <c r="P327" s="74"/>
      <c r="Q327" s="74"/>
      <c r="R327" s="75"/>
      <c r="S327" s="74"/>
      <c r="T327" s="74"/>
      <c r="U327" s="74"/>
      <c r="V327" s="74"/>
      <c r="W327" s="74"/>
      <c r="X327" s="74"/>
      <c r="Y327" s="74"/>
      <c r="Z327" s="74"/>
      <c r="AA327" s="74"/>
      <c r="AB327" s="74"/>
      <c r="AC327" s="74"/>
      <c r="AD327" s="74"/>
      <c r="AE327" s="74"/>
      <c r="AF327" s="74"/>
      <c r="AG327" s="74"/>
      <c r="AH327" s="74"/>
      <c r="AI327" s="74"/>
      <c r="AJ327" s="74"/>
      <c r="AK327" s="74"/>
    </row>
    <row r="328">
      <c r="A328" s="74"/>
      <c r="B328" s="74"/>
      <c r="C328" s="74"/>
      <c r="D328" s="74"/>
      <c r="E328" s="74"/>
      <c r="F328" s="74"/>
      <c r="G328" s="74"/>
      <c r="H328" s="74"/>
      <c r="I328" s="74"/>
      <c r="J328" s="74"/>
      <c r="K328" s="74"/>
      <c r="L328" s="74"/>
      <c r="M328" s="74"/>
      <c r="N328" s="74"/>
      <c r="O328" s="74"/>
      <c r="P328" s="74"/>
      <c r="Q328" s="74"/>
      <c r="R328" s="75"/>
      <c r="S328" s="74"/>
      <c r="T328" s="74"/>
      <c r="U328" s="74"/>
      <c r="V328" s="74"/>
      <c r="W328" s="74"/>
      <c r="X328" s="74"/>
      <c r="Y328" s="74"/>
      <c r="Z328" s="74"/>
      <c r="AA328" s="74"/>
      <c r="AB328" s="74"/>
      <c r="AC328" s="74"/>
      <c r="AD328" s="74"/>
      <c r="AE328" s="74"/>
      <c r="AF328" s="74"/>
      <c r="AG328" s="74"/>
      <c r="AH328" s="74"/>
      <c r="AI328" s="74"/>
      <c r="AJ328" s="74"/>
      <c r="AK328" s="74"/>
    </row>
    <row r="329">
      <c r="A329" s="74"/>
      <c r="B329" s="74"/>
      <c r="C329" s="74"/>
      <c r="D329" s="74"/>
      <c r="E329" s="74"/>
      <c r="F329" s="74"/>
      <c r="G329" s="74"/>
      <c r="H329" s="74"/>
      <c r="I329" s="74"/>
      <c r="J329" s="74"/>
      <c r="K329" s="74"/>
      <c r="L329" s="74"/>
      <c r="M329" s="74"/>
      <c r="N329" s="74"/>
      <c r="O329" s="74"/>
      <c r="P329" s="74"/>
      <c r="Q329" s="74"/>
      <c r="R329" s="75"/>
      <c r="S329" s="74"/>
      <c r="T329" s="74"/>
      <c r="U329" s="74"/>
      <c r="V329" s="74"/>
      <c r="W329" s="74"/>
      <c r="X329" s="74"/>
      <c r="Y329" s="74"/>
      <c r="Z329" s="74"/>
      <c r="AA329" s="74"/>
      <c r="AB329" s="74"/>
      <c r="AC329" s="74"/>
      <c r="AD329" s="74"/>
      <c r="AE329" s="74"/>
      <c r="AF329" s="74"/>
      <c r="AG329" s="74"/>
      <c r="AH329" s="74"/>
      <c r="AI329" s="74"/>
      <c r="AJ329" s="74"/>
      <c r="AK329" s="74"/>
    </row>
    <row r="330">
      <c r="A330" s="74"/>
      <c r="B330" s="74"/>
      <c r="C330" s="74"/>
      <c r="D330" s="74"/>
      <c r="E330" s="74"/>
      <c r="F330" s="74"/>
      <c r="G330" s="74"/>
      <c r="H330" s="74"/>
      <c r="I330" s="74"/>
      <c r="J330" s="74"/>
      <c r="K330" s="74"/>
      <c r="L330" s="74"/>
      <c r="M330" s="74"/>
      <c r="N330" s="74"/>
      <c r="O330" s="74"/>
      <c r="P330" s="74"/>
      <c r="Q330" s="74"/>
      <c r="R330" s="75"/>
      <c r="S330" s="74"/>
      <c r="T330" s="74"/>
      <c r="U330" s="74"/>
      <c r="V330" s="74"/>
      <c r="W330" s="74"/>
      <c r="X330" s="74"/>
      <c r="Y330" s="74"/>
      <c r="Z330" s="74"/>
      <c r="AA330" s="74"/>
      <c r="AB330" s="74"/>
      <c r="AC330" s="74"/>
      <c r="AD330" s="74"/>
      <c r="AE330" s="74"/>
      <c r="AF330" s="74"/>
      <c r="AG330" s="74"/>
      <c r="AH330" s="74"/>
      <c r="AI330" s="74"/>
      <c r="AJ330" s="74"/>
      <c r="AK330" s="74"/>
    </row>
    <row r="331">
      <c r="A331" s="74"/>
      <c r="B331" s="74"/>
      <c r="C331" s="74"/>
      <c r="D331" s="74"/>
      <c r="E331" s="74"/>
      <c r="F331" s="74"/>
      <c r="G331" s="74"/>
      <c r="H331" s="74"/>
      <c r="I331" s="74"/>
      <c r="J331" s="74"/>
      <c r="K331" s="74"/>
      <c r="L331" s="74"/>
      <c r="M331" s="74"/>
      <c r="N331" s="74"/>
      <c r="O331" s="74"/>
      <c r="P331" s="74"/>
      <c r="Q331" s="74"/>
      <c r="R331" s="75"/>
      <c r="S331" s="74"/>
      <c r="T331" s="74"/>
      <c r="U331" s="74"/>
      <c r="V331" s="74"/>
      <c r="W331" s="74"/>
      <c r="X331" s="74"/>
      <c r="Y331" s="74"/>
      <c r="Z331" s="74"/>
      <c r="AA331" s="74"/>
      <c r="AB331" s="74"/>
      <c r="AC331" s="74"/>
      <c r="AD331" s="74"/>
      <c r="AE331" s="74"/>
      <c r="AF331" s="74"/>
      <c r="AG331" s="74"/>
      <c r="AH331" s="74"/>
      <c r="AI331" s="74"/>
      <c r="AJ331" s="74"/>
      <c r="AK331" s="74"/>
    </row>
    <row r="332">
      <c r="A332" s="74"/>
      <c r="B332" s="74"/>
      <c r="C332" s="74"/>
      <c r="D332" s="74"/>
      <c r="E332" s="74"/>
      <c r="F332" s="74"/>
      <c r="G332" s="74"/>
      <c r="H332" s="74"/>
      <c r="I332" s="74"/>
      <c r="J332" s="74"/>
      <c r="K332" s="74"/>
      <c r="L332" s="74"/>
      <c r="M332" s="74"/>
      <c r="N332" s="74"/>
      <c r="O332" s="74"/>
      <c r="P332" s="74"/>
      <c r="Q332" s="74"/>
      <c r="R332" s="75"/>
      <c r="S332" s="74"/>
      <c r="T332" s="74"/>
      <c r="U332" s="74"/>
      <c r="V332" s="74"/>
      <c r="W332" s="74"/>
      <c r="X332" s="74"/>
      <c r="Y332" s="74"/>
      <c r="Z332" s="74"/>
      <c r="AA332" s="74"/>
      <c r="AB332" s="74"/>
      <c r="AC332" s="74"/>
      <c r="AD332" s="74"/>
      <c r="AE332" s="74"/>
      <c r="AF332" s="74"/>
      <c r="AG332" s="74"/>
      <c r="AH332" s="74"/>
      <c r="AI332" s="74"/>
      <c r="AJ332" s="74"/>
      <c r="AK332" s="74"/>
    </row>
    <row r="333">
      <c r="A333" s="74"/>
      <c r="B333" s="74"/>
      <c r="C333" s="74"/>
      <c r="D333" s="74"/>
      <c r="E333" s="74"/>
      <c r="F333" s="74"/>
      <c r="G333" s="74"/>
      <c r="H333" s="74"/>
      <c r="I333" s="74"/>
      <c r="J333" s="74"/>
      <c r="K333" s="74"/>
      <c r="L333" s="74"/>
      <c r="M333" s="74"/>
      <c r="N333" s="74"/>
      <c r="O333" s="74"/>
      <c r="P333" s="74"/>
      <c r="Q333" s="74"/>
      <c r="R333" s="75"/>
      <c r="S333" s="74"/>
      <c r="T333" s="74"/>
      <c r="U333" s="74"/>
      <c r="V333" s="74"/>
      <c r="W333" s="74"/>
      <c r="X333" s="74"/>
      <c r="Y333" s="74"/>
      <c r="Z333" s="74"/>
      <c r="AA333" s="74"/>
      <c r="AB333" s="74"/>
      <c r="AC333" s="74"/>
      <c r="AD333" s="74"/>
      <c r="AE333" s="74"/>
      <c r="AF333" s="74"/>
      <c r="AG333" s="74"/>
      <c r="AH333" s="74"/>
      <c r="AI333" s="74"/>
      <c r="AJ333" s="74"/>
      <c r="AK333" s="74"/>
    </row>
    <row r="334">
      <c r="A334" s="74"/>
      <c r="B334" s="74"/>
      <c r="C334" s="74"/>
      <c r="D334" s="74"/>
      <c r="E334" s="74"/>
      <c r="F334" s="74"/>
      <c r="G334" s="74"/>
      <c r="H334" s="74"/>
      <c r="I334" s="74"/>
      <c r="J334" s="74"/>
      <c r="K334" s="74"/>
      <c r="L334" s="74"/>
      <c r="M334" s="74"/>
      <c r="N334" s="74"/>
      <c r="O334" s="74"/>
      <c r="P334" s="74"/>
      <c r="Q334" s="74"/>
      <c r="R334" s="75"/>
      <c r="S334" s="74"/>
      <c r="T334" s="74"/>
      <c r="U334" s="74"/>
      <c r="V334" s="74"/>
      <c r="W334" s="74"/>
      <c r="X334" s="74"/>
      <c r="Y334" s="74"/>
      <c r="Z334" s="74"/>
      <c r="AA334" s="74"/>
      <c r="AB334" s="74"/>
      <c r="AC334" s="74"/>
      <c r="AD334" s="74"/>
      <c r="AE334" s="74"/>
      <c r="AF334" s="74"/>
      <c r="AG334" s="74"/>
      <c r="AH334" s="74"/>
      <c r="AI334" s="74"/>
      <c r="AJ334" s="74"/>
      <c r="AK334" s="74"/>
    </row>
    <row r="335">
      <c r="A335" s="74"/>
      <c r="B335" s="74"/>
      <c r="C335" s="74"/>
      <c r="D335" s="74"/>
      <c r="E335" s="74"/>
      <c r="F335" s="74"/>
      <c r="G335" s="74"/>
      <c r="H335" s="74"/>
      <c r="I335" s="74"/>
      <c r="J335" s="74"/>
      <c r="K335" s="74"/>
      <c r="L335" s="74"/>
      <c r="M335" s="74"/>
      <c r="N335" s="74"/>
      <c r="O335" s="74"/>
      <c r="P335" s="74"/>
      <c r="Q335" s="74"/>
      <c r="R335" s="75"/>
      <c r="S335" s="74"/>
      <c r="T335" s="74"/>
      <c r="U335" s="74"/>
      <c r="V335" s="74"/>
      <c r="W335" s="74"/>
      <c r="X335" s="74"/>
      <c r="Y335" s="74"/>
      <c r="Z335" s="74"/>
      <c r="AA335" s="74"/>
      <c r="AB335" s="74"/>
      <c r="AC335" s="74"/>
      <c r="AD335" s="74"/>
      <c r="AE335" s="74"/>
      <c r="AF335" s="74"/>
      <c r="AG335" s="74"/>
      <c r="AH335" s="74"/>
      <c r="AI335" s="74"/>
      <c r="AJ335" s="74"/>
      <c r="AK335" s="74"/>
    </row>
    <row r="336">
      <c r="A336" s="74"/>
      <c r="B336" s="74"/>
      <c r="C336" s="74"/>
      <c r="D336" s="74"/>
      <c r="E336" s="74"/>
      <c r="F336" s="74"/>
      <c r="G336" s="74"/>
      <c r="H336" s="74"/>
      <c r="I336" s="74"/>
      <c r="J336" s="74"/>
      <c r="K336" s="74"/>
      <c r="L336" s="74"/>
      <c r="M336" s="74"/>
      <c r="N336" s="74"/>
      <c r="O336" s="74"/>
      <c r="P336" s="74"/>
      <c r="Q336" s="74"/>
      <c r="R336" s="75"/>
      <c r="S336" s="74"/>
      <c r="T336" s="74"/>
      <c r="U336" s="74"/>
      <c r="V336" s="74"/>
      <c r="W336" s="74"/>
      <c r="X336" s="74"/>
      <c r="Y336" s="74"/>
      <c r="Z336" s="74"/>
      <c r="AA336" s="74"/>
      <c r="AB336" s="74"/>
      <c r="AC336" s="74"/>
      <c r="AD336" s="74"/>
      <c r="AE336" s="74"/>
      <c r="AF336" s="74"/>
      <c r="AG336" s="74"/>
      <c r="AH336" s="74"/>
      <c r="AI336" s="74"/>
      <c r="AJ336" s="74"/>
      <c r="AK336" s="74"/>
    </row>
    <row r="337">
      <c r="A337" s="74"/>
      <c r="B337" s="74"/>
      <c r="C337" s="74"/>
      <c r="D337" s="74"/>
      <c r="E337" s="74"/>
      <c r="F337" s="74"/>
      <c r="G337" s="74"/>
      <c r="H337" s="74"/>
      <c r="I337" s="74"/>
      <c r="J337" s="74"/>
      <c r="K337" s="74"/>
      <c r="L337" s="74"/>
      <c r="M337" s="74"/>
      <c r="N337" s="74"/>
      <c r="O337" s="74"/>
      <c r="P337" s="74"/>
      <c r="Q337" s="74"/>
      <c r="R337" s="75"/>
      <c r="S337" s="74"/>
      <c r="T337" s="74"/>
      <c r="U337" s="74"/>
      <c r="V337" s="74"/>
      <c r="W337" s="74"/>
      <c r="X337" s="74"/>
      <c r="Y337" s="74"/>
      <c r="Z337" s="74"/>
      <c r="AA337" s="74"/>
      <c r="AB337" s="74"/>
      <c r="AC337" s="74"/>
      <c r="AD337" s="74"/>
      <c r="AE337" s="74"/>
      <c r="AF337" s="74"/>
      <c r="AG337" s="74"/>
      <c r="AH337" s="74"/>
      <c r="AI337" s="74"/>
      <c r="AJ337" s="74"/>
      <c r="AK337" s="74"/>
    </row>
    <row r="338">
      <c r="A338" s="74"/>
      <c r="B338" s="74"/>
      <c r="C338" s="74"/>
      <c r="D338" s="74"/>
      <c r="E338" s="74"/>
      <c r="F338" s="74"/>
      <c r="G338" s="74"/>
      <c r="H338" s="74"/>
      <c r="I338" s="74"/>
      <c r="J338" s="74"/>
      <c r="K338" s="74"/>
      <c r="L338" s="74"/>
      <c r="M338" s="74"/>
      <c r="N338" s="74"/>
      <c r="O338" s="74"/>
      <c r="P338" s="74"/>
      <c r="Q338" s="74"/>
      <c r="R338" s="75"/>
      <c r="S338" s="74"/>
      <c r="T338" s="74"/>
      <c r="U338" s="74"/>
      <c r="V338" s="74"/>
      <c r="W338" s="74"/>
      <c r="X338" s="74"/>
      <c r="Y338" s="74"/>
      <c r="Z338" s="74"/>
      <c r="AA338" s="74"/>
      <c r="AB338" s="74"/>
      <c r="AC338" s="74"/>
      <c r="AD338" s="74"/>
      <c r="AE338" s="74"/>
      <c r="AF338" s="74"/>
      <c r="AG338" s="74"/>
      <c r="AH338" s="74"/>
      <c r="AI338" s="74"/>
      <c r="AJ338" s="74"/>
      <c r="AK338" s="74"/>
    </row>
    <row r="339">
      <c r="A339" s="74"/>
      <c r="B339" s="74"/>
      <c r="C339" s="74"/>
      <c r="D339" s="74"/>
      <c r="E339" s="74"/>
      <c r="F339" s="74"/>
      <c r="G339" s="74"/>
      <c r="H339" s="74"/>
      <c r="I339" s="74"/>
      <c r="J339" s="74"/>
      <c r="K339" s="74"/>
      <c r="L339" s="74"/>
      <c r="M339" s="74"/>
      <c r="N339" s="74"/>
      <c r="O339" s="74"/>
      <c r="P339" s="74"/>
      <c r="Q339" s="74"/>
      <c r="R339" s="75"/>
      <c r="S339" s="74"/>
      <c r="T339" s="74"/>
      <c r="U339" s="74"/>
      <c r="V339" s="74"/>
      <c r="W339" s="74"/>
      <c r="X339" s="74"/>
      <c r="Y339" s="74"/>
      <c r="Z339" s="74"/>
      <c r="AA339" s="74"/>
      <c r="AB339" s="74"/>
      <c r="AC339" s="74"/>
      <c r="AD339" s="74"/>
      <c r="AE339" s="74"/>
      <c r="AF339" s="74"/>
      <c r="AG339" s="74"/>
      <c r="AH339" s="74"/>
      <c r="AI339" s="74"/>
      <c r="AJ339" s="74"/>
      <c r="AK339" s="74"/>
    </row>
    <row r="340">
      <c r="A340" s="74"/>
      <c r="B340" s="74"/>
      <c r="C340" s="74"/>
      <c r="D340" s="74"/>
      <c r="E340" s="74"/>
      <c r="F340" s="74"/>
      <c r="G340" s="74"/>
      <c r="H340" s="74"/>
      <c r="I340" s="74"/>
      <c r="J340" s="74"/>
      <c r="K340" s="74"/>
      <c r="L340" s="74"/>
      <c r="M340" s="74"/>
      <c r="N340" s="74"/>
      <c r="O340" s="74"/>
      <c r="P340" s="74"/>
      <c r="Q340" s="74"/>
      <c r="R340" s="75"/>
      <c r="S340" s="74"/>
      <c r="T340" s="74"/>
      <c r="U340" s="74"/>
      <c r="V340" s="74"/>
      <c r="W340" s="74"/>
      <c r="X340" s="74"/>
      <c r="Y340" s="74"/>
      <c r="Z340" s="74"/>
      <c r="AA340" s="74"/>
      <c r="AB340" s="74"/>
      <c r="AC340" s="74"/>
      <c r="AD340" s="74"/>
      <c r="AE340" s="74"/>
      <c r="AF340" s="74"/>
      <c r="AG340" s="74"/>
      <c r="AH340" s="74"/>
      <c r="AI340" s="74"/>
      <c r="AJ340" s="74"/>
      <c r="AK340" s="74"/>
    </row>
    <row r="341">
      <c r="A341" s="74"/>
      <c r="B341" s="74"/>
      <c r="C341" s="74"/>
      <c r="D341" s="74"/>
      <c r="E341" s="74"/>
      <c r="F341" s="74"/>
      <c r="G341" s="74"/>
      <c r="H341" s="74"/>
      <c r="I341" s="74"/>
      <c r="J341" s="74"/>
      <c r="K341" s="74"/>
      <c r="L341" s="74"/>
      <c r="M341" s="74"/>
      <c r="N341" s="74"/>
      <c r="O341" s="74"/>
      <c r="P341" s="74"/>
      <c r="Q341" s="74"/>
      <c r="R341" s="75"/>
      <c r="S341" s="74"/>
      <c r="T341" s="74"/>
      <c r="U341" s="74"/>
      <c r="V341" s="74"/>
      <c r="W341" s="74"/>
      <c r="X341" s="74"/>
      <c r="Y341" s="74"/>
      <c r="Z341" s="74"/>
      <c r="AA341" s="74"/>
      <c r="AB341" s="74"/>
      <c r="AC341" s="74"/>
      <c r="AD341" s="74"/>
      <c r="AE341" s="74"/>
      <c r="AF341" s="74"/>
      <c r="AG341" s="74"/>
      <c r="AH341" s="74"/>
      <c r="AI341" s="74"/>
      <c r="AJ341" s="74"/>
      <c r="AK341" s="74"/>
    </row>
    <row r="342">
      <c r="A342" s="74"/>
      <c r="B342" s="74"/>
      <c r="C342" s="74"/>
      <c r="D342" s="74"/>
      <c r="E342" s="74"/>
      <c r="F342" s="74"/>
      <c r="G342" s="74"/>
      <c r="H342" s="74"/>
      <c r="I342" s="74"/>
      <c r="J342" s="74"/>
      <c r="K342" s="74"/>
      <c r="L342" s="74"/>
      <c r="M342" s="74"/>
      <c r="N342" s="74"/>
      <c r="O342" s="74"/>
      <c r="P342" s="74"/>
      <c r="Q342" s="74"/>
      <c r="R342" s="75"/>
      <c r="S342" s="74"/>
      <c r="T342" s="74"/>
      <c r="U342" s="74"/>
      <c r="V342" s="74"/>
      <c r="W342" s="74"/>
      <c r="X342" s="74"/>
      <c r="Y342" s="74"/>
      <c r="Z342" s="74"/>
      <c r="AA342" s="74"/>
      <c r="AB342" s="74"/>
      <c r="AC342" s="74"/>
      <c r="AD342" s="74"/>
      <c r="AE342" s="74"/>
      <c r="AF342" s="74"/>
      <c r="AG342" s="74"/>
      <c r="AH342" s="74"/>
      <c r="AI342" s="74"/>
      <c r="AJ342" s="74"/>
      <c r="AK342" s="74"/>
    </row>
    <row r="343">
      <c r="A343" s="74"/>
      <c r="B343" s="74"/>
      <c r="C343" s="74"/>
      <c r="D343" s="74"/>
      <c r="E343" s="74"/>
      <c r="F343" s="74"/>
      <c r="G343" s="74"/>
      <c r="H343" s="74"/>
      <c r="I343" s="74"/>
      <c r="J343" s="74"/>
      <c r="K343" s="74"/>
      <c r="L343" s="74"/>
      <c r="M343" s="74"/>
      <c r="N343" s="74"/>
      <c r="O343" s="74"/>
      <c r="P343" s="74"/>
      <c r="Q343" s="74"/>
      <c r="R343" s="75"/>
      <c r="S343" s="74"/>
      <c r="T343" s="74"/>
      <c r="U343" s="74"/>
      <c r="V343" s="74"/>
      <c r="W343" s="74"/>
      <c r="X343" s="74"/>
      <c r="Y343" s="74"/>
      <c r="Z343" s="74"/>
      <c r="AA343" s="74"/>
      <c r="AB343" s="74"/>
      <c r="AC343" s="74"/>
      <c r="AD343" s="74"/>
      <c r="AE343" s="74"/>
      <c r="AF343" s="74"/>
      <c r="AG343" s="74"/>
      <c r="AH343" s="74"/>
      <c r="AI343" s="74"/>
      <c r="AJ343" s="74"/>
      <c r="AK343" s="74"/>
    </row>
    <row r="344">
      <c r="A344" s="74"/>
      <c r="B344" s="74"/>
      <c r="C344" s="74"/>
      <c r="D344" s="74"/>
      <c r="E344" s="74"/>
      <c r="F344" s="74"/>
      <c r="G344" s="74"/>
      <c r="H344" s="74"/>
      <c r="I344" s="74"/>
      <c r="J344" s="74"/>
      <c r="K344" s="74"/>
      <c r="L344" s="74"/>
      <c r="M344" s="74"/>
      <c r="N344" s="74"/>
      <c r="O344" s="74"/>
      <c r="P344" s="74"/>
      <c r="Q344" s="74"/>
      <c r="R344" s="75"/>
      <c r="S344" s="74"/>
      <c r="T344" s="74"/>
      <c r="U344" s="74"/>
      <c r="V344" s="74"/>
      <c r="W344" s="74"/>
      <c r="X344" s="74"/>
      <c r="Y344" s="74"/>
      <c r="Z344" s="74"/>
      <c r="AA344" s="74"/>
      <c r="AB344" s="74"/>
      <c r="AC344" s="74"/>
      <c r="AD344" s="74"/>
      <c r="AE344" s="74"/>
      <c r="AF344" s="74"/>
      <c r="AG344" s="74"/>
      <c r="AH344" s="74"/>
      <c r="AI344" s="74"/>
      <c r="AJ344" s="74"/>
      <c r="AK344" s="74"/>
    </row>
    <row r="345">
      <c r="A345" s="74"/>
      <c r="B345" s="74"/>
      <c r="C345" s="74"/>
      <c r="D345" s="74"/>
      <c r="E345" s="74"/>
      <c r="F345" s="74"/>
      <c r="G345" s="74"/>
      <c r="H345" s="74"/>
      <c r="I345" s="74"/>
      <c r="J345" s="74"/>
      <c r="K345" s="74"/>
      <c r="L345" s="74"/>
      <c r="M345" s="74"/>
      <c r="N345" s="74"/>
      <c r="O345" s="74"/>
      <c r="P345" s="74"/>
      <c r="Q345" s="74"/>
      <c r="R345" s="75"/>
      <c r="S345" s="74"/>
      <c r="T345" s="74"/>
      <c r="U345" s="74"/>
      <c r="V345" s="74"/>
      <c r="W345" s="74"/>
      <c r="X345" s="74"/>
      <c r="Y345" s="74"/>
      <c r="Z345" s="74"/>
      <c r="AA345" s="74"/>
      <c r="AB345" s="74"/>
      <c r="AC345" s="74"/>
      <c r="AD345" s="74"/>
      <c r="AE345" s="74"/>
      <c r="AF345" s="74"/>
      <c r="AG345" s="74"/>
      <c r="AH345" s="74"/>
      <c r="AI345" s="74"/>
      <c r="AJ345" s="74"/>
      <c r="AK345" s="74"/>
    </row>
    <row r="346">
      <c r="A346" s="74"/>
      <c r="B346" s="74"/>
      <c r="C346" s="74"/>
      <c r="D346" s="74"/>
      <c r="E346" s="74"/>
      <c r="F346" s="74"/>
      <c r="G346" s="74"/>
      <c r="H346" s="74"/>
      <c r="I346" s="74"/>
      <c r="J346" s="74"/>
      <c r="K346" s="74"/>
      <c r="L346" s="74"/>
      <c r="M346" s="74"/>
      <c r="N346" s="74"/>
      <c r="O346" s="74"/>
      <c r="P346" s="74"/>
      <c r="Q346" s="74"/>
      <c r="R346" s="75"/>
      <c r="S346" s="74"/>
      <c r="T346" s="74"/>
      <c r="U346" s="74"/>
      <c r="V346" s="74"/>
      <c r="W346" s="74"/>
      <c r="X346" s="74"/>
      <c r="Y346" s="74"/>
      <c r="Z346" s="74"/>
      <c r="AA346" s="74"/>
      <c r="AB346" s="74"/>
      <c r="AC346" s="74"/>
      <c r="AD346" s="74"/>
      <c r="AE346" s="74"/>
      <c r="AF346" s="74"/>
      <c r="AG346" s="74"/>
      <c r="AH346" s="74"/>
      <c r="AI346" s="74"/>
      <c r="AJ346" s="74"/>
      <c r="AK346" s="74"/>
    </row>
    <row r="347">
      <c r="A347" s="74"/>
      <c r="B347" s="74"/>
      <c r="C347" s="74"/>
      <c r="D347" s="74"/>
      <c r="E347" s="74"/>
      <c r="F347" s="74"/>
      <c r="G347" s="74"/>
      <c r="H347" s="74"/>
      <c r="I347" s="74"/>
      <c r="J347" s="74"/>
      <c r="K347" s="74"/>
      <c r="L347" s="74"/>
      <c r="M347" s="74"/>
      <c r="N347" s="74"/>
      <c r="O347" s="74"/>
      <c r="P347" s="74"/>
      <c r="Q347" s="74"/>
      <c r="R347" s="75"/>
      <c r="S347" s="74"/>
      <c r="T347" s="74"/>
      <c r="U347" s="74"/>
      <c r="V347" s="74"/>
      <c r="W347" s="74"/>
      <c r="X347" s="74"/>
      <c r="Y347" s="74"/>
      <c r="Z347" s="74"/>
      <c r="AA347" s="74"/>
      <c r="AB347" s="74"/>
      <c r="AC347" s="74"/>
      <c r="AD347" s="74"/>
      <c r="AE347" s="74"/>
      <c r="AF347" s="74"/>
      <c r="AG347" s="74"/>
      <c r="AH347" s="74"/>
      <c r="AI347" s="74"/>
      <c r="AJ347" s="74"/>
      <c r="AK347" s="74"/>
    </row>
    <row r="348">
      <c r="A348" s="74"/>
      <c r="B348" s="74"/>
      <c r="C348" s="74"/>
      <c r="D348" s="74"/>
      <c r="E348" s="74"/>
      <c r="F348" s="74"/>
      <c r="G348" s="74"/>
      <c r="H348" s="74"/>
      <c r="I348" s="74"/>
      <c r="J348" s="74"/>
      <c r="K348" s="74"/>
      <c r="L348" s="74"/>
      <c r="M348" s="74"/>
      <c r="N348" s="74"/>
      <c r="O348" s="74"/>
      <c r="P348" s="74"/>
      <c r="Q348" s="74"/>
      <c r="R348" s="75"/>
      <c r="S348" s="74"/>
      <c r="T348" s="74"/>
      <c r="U348" s="74"/>
      <c r="V348" s="74"/>
      <c r="W348" s="74"/>
      <c r="X348" s="74"/>
      <c r="Y348" s="74"/>
      <c r="Z348" s="74"/>
      <c r="AA348" s="74"/>
      <c r="AB348" s="74"/>
      <c r="AC348" s="74"/>
      <c r="AD348" s="74"/>
      <c r="AE348" s="74"/>
      <c r="AF348" s="74"/>
      <c r="AG348" s="74"/>
      <c r="AH348" s="74"/>
      <c r="AI348" s="74"/>
      <c r="AJ348" s="74"/>
      <c r="AK348" s="74"/>
    </row>
    <row r="349">
      <c r="A349" s="74"/>
      <c r="B349" s="74"/>
      <c r="C349" s="74"/>
      <c r="D349" s="74"/>
      <c r="E349" s="74"/>
      <c r="F349" s="74"/>
      <c r="G349" s="74"/>
      <c r="H349" s="74"/>
      <c r="I349" s="74"/>
      <c r="J349" s="74"/>
      <c r="K349" s="74"/>
      <c r="L349" s="74"/>
      <c r="M349" s="74"/>
      <c r="N349" s="74"/>
      <c r="O349" s="74"/>
      <c r="P349" s="74"/>
      <c r="Q349" s="74"/>
      <c r="R349" s="75"/>
      <c r="S349" s="74"/>
      <c r="T349" s="74"/>
      <c r="U349" s="74"/>
      <c r="V349" s="74"/>
      <c r="W349" s="74"/>
      <c r="X349" s="74"/>
      <c r="Y349" s="74"/>
      <c r="Z349" s="74"/>
      <c r="AA349" s="74"/>
      <c r="AB349" s="74"/>
      <c r="AC349" s="74"/>
      <c r="AD349" s="74"/>
      <c r="AE349" s="74"/>
      <c r="AF349" s="74"/>
      <c r="AG349" s="74"/>
      <c r="AH349" s="74"/>
      <c r="AI349" s="74"/>
      <c r="AJ349" s="74"/>
      <c r="AK349" s="74"/>
    </row>
    <row r="350">
      <c r="A350" s="74"/>
      <c r="B350" s="74"/>
      <c r="C350" s="74"/>
      <c r="D350" s="74"/>
      <c r="E350" s="74"/>
      <c r="F350" s="74"/>
      <c r="G350" s="74"/>
      <c r="H350" s="74"/>
      <c r="I350" s="74"/>
      <c r="J350" s="74"/>
      <c r="K350" s="74"/>
      <c r="L350" s="74"/>
      <c r="M350" s="74"/>
      <c r="N350" s="74"/>
      <c r="O350" s="74"/>
      <c r="P350" s="74"/>
      <c r="Q350" s="74"/>
      <c r="R350" s="75"/>
      <c r="S350" s="74"/>
      <c r="T350" s="74"/>
      <c r="U350" s="74"/>
      <c r="V350" s="74"/>
      <c r="W350" s="74"/>
      <c r="X350" s="74"/>
      <c r="Y350" s="74"/>
      <c r="Z350" s="74"/>
      <c r="AA350" s="74"/>
      <c r="AB350" s="74"/>
      <c r="AC350" s="74"/>
      <c r="AD350" s="74"/>
      <c r="AE350" s="74"/>
      <c r="AF350" s="74"/>
      <c r="AG350" s="74"/>
      <c r="AH350" s="74"/>
      <c r="AI350" s="74"/>
      <c r="AJ350" s="74"/>
      <c r="AK350" s="74"/>
    </row>
    <row r="351">
      <c r="A351" s="74"/>
      <c r="B351" s="74"/>
      <c r="C351" s="74"/>
      <c r="D351" s="74"/>
      <c r="E351" s="74"/>
      <c r="F351" s="74"/>
      <c r="G351" s="74"/>
      <c r="H351" s="74"/>
      <c r="I351" s="74"/>
      <c r="J351" s="74"/>
      <c r="K351" s="74"/>
      <c r="L351" s="74"/>
      <c r="M351" s="74"/>
      <c r="N351" s="74"/>
      <c r="O351" s="74"/>
      <c r="P351" s="74"/>
      <c r="Q351" s="74"/>
      <c r="R351" s="75"/>
      <c r="S351" s="74"/>
      <c r="T351" s="74"/>
      <c r="U351" s="74"/>
      <c r="V351" s="74"/>
      <c r="W351" s="74"/>
      <c r="X351" s="74"/>
      <c r="Y351" s="74"/>
      <c r="Z351" s="74"/>
      <c r="AA351" s="74"/>
      <c r="AB351" s="74"/>
      <c r="AC351" s="74"/>
      <c r="AD351" s="74"/>
      <c r="AE351" s="74"/>
      <c r="AF351" s="74"/>
      <c r="AG351" s="74"/>
      <c r="AH351" s="74"/>
      <c r="AI351" s="74"/>
      <c r="AJ351" s="74"/>
      <c r="AK351" s="74"/>
    </row>
    <row r="352">
      <c r="A352" s="74"/>
      <c r="B352" s="74"/>
      <c r="C352" s="74"/>
      <c r="D352" s="74"/>
      <c r="E352" s="74"/>
      <c r="F352" s="74"/>
      <c r="G352" s="74"/>
      <c r="H352" s="74"/>
      <c r="I352" s="74"/>
      <c r="J352" s="74"/>
      <c r="K352" s="74"/>
      <c r="L352" s="74"/>
      <c r="M352" s="74"/>
      <c r="N352" s="74"/>
      <c r="O352" s="74"/>
      <c r="P352" s="74"/>
      <c r="Q352" s="74"/>
      <c r="R352" s="75"/>
      <c r="S352" s="74"/>
      <c r="T352" s="74"/>
      <c r="U352" s="74"/>
      <c r="V352" s="74"/>
      <c r="W352" s="74"/>
      <c r="X352" s="74"/>
      <c r="Y352" s="74"/>
      <c r="Z352" s="74"/>
      <c r="AA352" s="74"/>
      <c r="AB352" s="74"/>
      <c r="AC352" s="74"/>
      <c r="AD352" s="74"/>
      <c r="AE352" s="74"/>
      <c r="AF352" s="74"/>
      <c r="AG352" s="74"/>
      <c r="AH352" s="74"/>
      <c r="AI352" s="74"/>
      <c r="AJ352" s="74"/>
      <c r="AK352" s="74"/>
    </row>
    <row r="353">
      <c r="A353" s="74"/>
      <c r="B353" s="74"/>
      <c r="C353" s="74"/>
      <c r="D353" s="74"/>
      <c r="E353" s="74"/>
      <c r="F353" s="74"/>
      <c r="G353" s="74"/>
      <c r="H353" s="74"/>
      <c r="I353" s="74"/>
      <c r="J353" s="74"/>
      <c r="K353" s="74"/>
      <c r="L353" s="74"/>
      <c r="M353" s="74"/>
      <c r="N353" s="74"/>
      <c r="O353" s="74"/>
      <c r="P353" s="74"/>
      <c r="Q353" s="74"/>
      <c r="R353" s="75"/>
      <c r="S353" s="74"/>
      <c r="T353" s="74"/>
      <c r="U353" s="74"/>
      <c r="V353" s="74"/>
      <c r="W353" s="74"/>
      <c r="X353" s="74"/>
      <c r="Y353" s="74"/>
      <c r="Z353" s="74"/>
      <c r="AA353" s="74"/>
      <c r="AB353" s="74"/>
      <c r="AC353" s="74"/>
      <c r="AD353" s="74"/>
      <c r="AE353" s="74"/>
      <c r="AF353" s="74"/>
      <c r="AG353" s="74"/>
      <c r="AH353" s="74"/>
      <c r="AI353" s="74"/>
      <c r="AJ353" s="74"/>
      <c r="AK353" s="74"/>
    </row>
    <row r="354">
      <c r="A354" s="74"/>
      <c r="B354" s="74"/>
      <c r="C354" s="74"/>
      <c r="D354" s="74"/>
      <c r="E354" s="74"/>
      <c r="F354" s="74"/>
      <c r="G354" s="74"/>
      <c r="H354" s="74"/>
      <c r="I354" s="74"/>
      <c r="J354" s="74"/>
      <c r="K354" s="74"/>
      <c r="L354" s="74"/>
      <c r="M354" s="74"/>
      <c r="N354" s="74"/>
      <c r="O354" s="74"/>
      <c r="P354" s="74"/>
      <c r="Q354" s="74"/>
      <c r="R354" s="75"/>
      <c r="S354" s="74"/>
      <c r="T354" s="74"/>
      <c r="U354" s="74"/>
      <c r="V354" s="74"/>
      <c r="W354" s="74"/>
      <c r="X354" s="74"/>
      <c r="Y354" s="74"/>
      <c r="Z354" s="74"/>
      <c r="AA354" s="74"/>
      <c r="AB354" s="74"/>
      <c r="AC354" s="74"/>
      <c r="AD354" s="74"/>
      <c r="AE354" s="74"/>
      <c r="AF354" s="74"/>
      <c r="AG354" s="74"/>
      <c r="AH354" s="74"/>
      <c r="AI354" s="74"/>
      <c r="AJ354" s="74"/>
      <c r="AK354" s="74"/>
    </row>
    <row r="355">
      <c r="A355" s="74"/>
      <c r="B355" s="74"/>
      <c r="C355" s="74"/>
      <c r="D355" s="74"/>
      <c r="E355" s="74"/>
      <c r="F355" s="74"/>
      <c r="G355" s="74"/>
      <c r="H355" s="74"/>
      <c r="I355" s="74"/>
      <c r="J355" s="74"/>
      <c r="K355" s="74"/>
      <c r="L355" s="74"/>
      <c r="M355" s="74"/>
      <c r="N355" s="74"/>
      <c r="O355" s="74"/>
      <c r="P355" s="74"/>
      <c r="Q355" s="74"/>
      <c r="R355" s="75"/>
      <c r="S355" s="74"/>
      <c r="T355" s="74"/>
      <c r="U355" s="74"/>
      <c r="V355" s="74"/>
      <c r="W355" s="74"/>
      <c r="X355" s="74"/>
      <c r="Y355" s="74"/>
      <c r="Z355" s="74"/>
      <c r="AA355" s="74"/>
      <c r="AB355" s="74"/>
      <c r="AC355" s="74"/>
      <c r="AD355" s="74"/>
      <c r="AE355" s="74"/>
      <c r="AF355" s="74"/>
      <c r="AG355" s="74"/>
      <c r="AH355" s="74"/>
      <c r="AI355" s="74"/>
      <c r="AJ355" s="74"/>
      <c r="AK355" s="74"/>
    </row>
    <row r="356">
      <c r="A356" s="74"/>
      <c r="B356" s="74"/>
      <c r="C356" s="74"/>
      <c r="D356" s="74"/>
      <c r="E356" s="74"/>
      <c r="F356" s="74"/>
      <c r="G356" s="74"/>
      <c r="H356" s="74"/>
      <c r="I356" s="74"/>
      <c r="J356" s="74"/>
      <c r="K356" s="74"/>
      <c r="L356" s="74"/>
      <c r="M356" s="74"/>
      <c r="N356" s="74"/>
      <c r="O356" s="74"/>
      <c r="P356" s="74"/>
      <c r="Q356" s="74"/>
      <c r="R356" s="75"/>
      <c r="S356" s="74"/>
      <c r="T356" s="74"/>
      <c r="U356" s="74"/>
      <c r="V356" s="74"/>
      <c r="W356" s="74"/>
      <c r="X356" s="74"/>
      <c r="Y356" s="74"/>
      <c r="Z356" s="74"/>
      <c r="AA356" s="74"/>
      <c r="AB356" s="74"/>
      <c r="AC356" s="74"/>
      <c r="AD356" s="74"/>
      <c r="AE356" s="74"/>
      <c r="AF356" s="74"/>
      <c r="AG356" s="74"/>
      <c r="AH356" s="74"/>
      <c r="AI356" s="74"/>
      <c r="AJ356" s="74"/>
      <c r="AK356" s="74"/>
    </row>
    <row r="357">
      <c r="A357" s="74"/>
      <c r="B357" s="74"/>
      <c r="C357" s="74"/>
      <c r="D357" s="74"/>
      <c r="E357" s="74"/>
      <c r="F357" s="74"/>
      <c r="G357" s="74"/>
      <c r="H357" s="74"/>
      <c r="I357" s="74"/>
      <c r="J357" s="74"/>
      <c r="K357" s="74"/>
      <c r="L357" s="74"/>
      <c r="M357" s="74"/>
      <c r="N357" s="74"/>
      <c r="O357" s="74"/>
      <c r="P357" s="74"/>
      <c r="Q357" s="74"/>
      <c r="R357" s="75"/>
      <c r="S357" s="74"/>
      <c r="T357" s="74"/>
      <c r="U357" s="74"/>
      <c r="V357" s="74"/>
      <c r="W357" s="74"/>
      <c r="X357" s="74"/>
      <c r="Y357" s="74"/>
      <c r="Z357" s="74"/>
      <c r="AA357" s="74"/>
      <c r="AB357" s="74"/>
      <c r="AC357" s="74"/>
      <c r="AD357" s="74"/>
      <c r="AE357" s="74"/>
      <c r="AF357" s="74"/>
      <c r="AG357" s="74"/>
      <c r="AH357" s="74"/>
      <c r="AI357" s="74"/>
      <c r="AJ357" s="74"/>
      <c r="AK357" s="74"/>
    </row>
    <row r="358">
      <c r="A358" s="74"/>
      <c r="B358" s="74"/>
      <c r="C358" s="74"/>
      <c r="D358" s="74"/>
      <c r="E358" s="74"/>
      <c r="F358" s="74"/>
      <c r="G358" s="74"/>
      <c r="H358" s="74"/>
      <c r="I358" s="74"/>
      <c r="J358" s="74"/>
      <c r="K358" s="74"/>
      <c r="L358" s="74"/>
      <c r="M358" s="74"/>
      <c r="N358" s="74"/>
      <c r="O358" s="74"/>
      <c r="P358" s="74"/>
      <c r="Q358" s="74"/>
      <c r="R358" s="75"/>
      <c r="S358" s="74"/>
      <c r="T358" s="74"/>
      <c r="U358" s="74"/>
      <c r="V358" s="74"/>
      <c r="W358" s="74"/>
      <c r="X358" s="74"/>
      <c r="Y358" s="74"/>
      <c r="Z358" s="74"/>
      <c r="AA358" s="74"/>
      <c r="AB358" s="74"/>
      <c r="AC358" s="74"/>
      <c r="AD358" s="74"/>
      <c r="AE358" s="74"/>
      <c r="AF358" s="74"/>
      <c r="AG358" s="74"/>
      <c r="AH358" s="74"/>
      <c r="AI358" s="74"/>
      <c r="AJ358" s="74"/>
      <c r="AK358" s="74"/>
    </row>
    <row r="359">
      <c r="A359" s="74"/>
      <c r="B359" s="74"/>
      <c r="C359" s="74"/>
      <c r="D359" s="74"/>
      <c r="E359" s="74"/>
      <c r="F359" s="74"/>
      <c r="G359" s="74"/>
      <c r="H359" s="74"/>
      <c r="I359" s="74"/>
      <c r="J359" s="74"/>
      <c r="K359" s="74"/>
      <c r="L359" s="74"/>
      <c r="M359" s="74"/>
      <c r="N359" s="74"/>
      <c r="O359" s="74"/>
      <c r="P359" s="74"/>
      <c r="Q359" s="74"/>
      <c r="R359" s="75"/>
      <c r="S359" s="74"/>
      <c r="T359" s="74"/>
      <c r="U359" s="74"/>
      <c r="V359" s="74"/>
      <c r="W359" s="74"/>
      <c r="X359" s="74"/>
      <c r="Y359" s="74"/>
      <c r="Z359" s="74"/>
      <c r="AA359" s="74"/>
      <c r="AB359" s="74"/>
      <c r="AC359" s="74"/>
      <c r="AD359" s="74"/>
      <c r="AE359" s="74"/>
      <c r="AF359" s="74"/>
      <c r="AG359" s="74"/>
      <c r="AH359" s="74"/>
      <c r="AI359" s="74"/>
      <c r="AJ359" s="74"/>
      <c r="AK359" s="74"/>
    </row>
    <row r="360">
      <c r="A360" s="74"/>
      <c r="B360" s="74"/>
      <c r="C360" s="74"/>
      <c r="D360" s="74"/>
      <c r="E360" s="74"/>
      <c r="F360" s="74"/>
      <c r="G360" s="74"/>
      <c r="H360" s="74"/>
      <c r="I360" s="74"/>
      <c r="J360" s="74"/>
      <c r="K360" s="74"/>
      <c r="L360" s="74"/>
      <c r="M360" s="74"/>
      <c r="N360" s="74"/>
      <c r="O360" s="74"/>
      <c r="P360" s="74"/>
      <c r="Q360" s="74"/>
      <c r="R360" s="75"/>
      <c r="S360" s="74"/>
      <c r="T360" s="74"/>
      <c r="U360" s="74"/>
      <c r="V360" s="74"/>
      <c r="W360" s="74"/>
      <c r="X360" s="74"/>
      <c r="Y360" s="74"/>
      <c r="Z360" s="74"/>
      <c r="AA360" s="74"/>
      <c r="AB360" s="74"/>
      <c r="AC360" s="74"/>
      <c r="AD360" s="74"/>
      <c r="AE360" s="74"/>
      <c r="AF360" s="74"/>
      <c r="AG360" s="74"/>
      <c r="AH360" s="74"/>
      <c r="AI360" s="74"/>
      <c r="AJ360" s="74"/>
      <c r="AK360" s="74"/>
    </row>
    <row r="361">
      <c r="A361" s="74"/>
      <c r="B361" s="74"/>
      <c r="C361" s="74"/>
      <c r="D361" s="74"/>
      <c r="E361" s="74"/>
      <c r="F361" s="74"/>
      <c r="G361" s="74"/>
      <c r="H361" s="74"/>
      <c r="I361" s="74"/>
      <c r="J361" s="74"/>
      <c r="K361" s="74"/>
      <c r="L361" s="74"/>
      <c r="M361" s="74"/>
      <c r="N361" s="74"/>
      <c r="O361" s="74"/>
      <c r="P361" s="74"/>
      <c r="Q361" s="74"/>
      <c r="R361" s="75"/>
      <c r="S361" s="74"/>
      <c r="T361" s="74"/>
      <c r="U361" s="74"/>
      <c r="V361" s="74"/>
      <c r="W361" s="74"/>
      <c r="X361" s="74"/>
      <c r="Y361" s="74"/>
      <c r="Z361" s="74"/>
      <c r="AA361" s="74"/>
      <c r="AB361" s="74"/>
      <c r="AC361" s="74"/>
      <c r="AD361" s="74"/>
      <c r="AE361" s="74"/>
      <c r="AF361" s="74"/>
      <c r="AG361" s="74"/>
      <c r="AH361" s="74"/>
      <c r="AI361" s="74"/>
      <c r="AJ361" s="74"/>
      <c r="AK361" s="74"/>
    </row>
    <row r="362">
      <c r="A362" s="74"/>
      <c r="B362" s="74"/>
      <c r="C362" s="74"/>
      <c r="D362" s="74"/>
      <c r="E362" s="74"/>
      <c r="F362" s="74"/>
      <c r="G362" s="74"/>
      <c r="H362" s="74"/>
      <c r="I362" s="74"/>
      <c r="J362" s="74"/>
      <c r="K362" s="74"/>
      <c r="L362" s="74"/>
      <c r="M362" s="74"/>
      <c r="N362" s="74"/>
      <c r="O362" s="74"/>
      <c r="P362" s="74"/>
      <c r="Q362" s="74"/>
      <c r="R362" s="75"/>
      <c r="S362" s="74"/>
      <c r="T362" s="74"/>
      <c r="U362" s="74"/>
      <c r="V362" s="74"/>
      <c r="W362" s="74"/>
      <c r="X362" s="74"/>
      <c r="Y362" s="74"/>
      <c r="Z362" s="74"/>
      <c r="AA362" s="74"/>
      <c r="AB362" s="74"/>
      <c r="AC362" s="74"/>
      <c r="AD362" s="74"/>
      <c r="AE362" s="74"/>
      <c r="AF362" s="74"/>
      <c r="AG362" s="74"/>
      <c r="AH362" s="74"/>
      <c r="AI362" s="74"/>
      <c r="AJ362" s="74"/>
      <c r="AK362" s="74"/>
    </row>
    <row r="363">
      <c r="A363" s="74"/>
      <c r="B363" s="74"/>
      <c r="C363" s="74"/>
      <c r="D363" s="74"/>
      <c r="E363" s="74"/>
      <c r="F363" s="74"/>
      <c r="G363" s="74"/>
      <c r="H363" s="74"/>
      <c r="I363" s="74"/>
      <c r="J363" s="74"/>
      <c r="K363" s="74"/>
      <c r="L363" s="74"/>
      <c r="M363" s="74"/>
      <c r="N363" s="74"/>
      <c r="O363" s="74"/>
      <c r="P363" s="74"/>
      <c r="Q363" s="74"/>
      <c r="R363" s="75"/>
      <c r="S363" s="74"/>
      <c r="T363" s="74"/>
      <c r="U363" s="74"/>
      <c r="V363" s="74"/>
      <c r="W363" s="74"/>
      <c r="X363" s="74"/>
      <c r="Y363" s="74"/>
      <c r="Z363" s="74"/>
      <c r="AA363" s="74"/>
      <c r="AB363" s="74"/>
      <c r="AC363" s="74"/>
      <c r="AD363" s="74"/>
      <c r="AE363" s="74"/>
      <c r="AF363" s="74"/>
      <c r="AG363" s="74"/>
      <c r="AH363" s="74"/>
      <c r="AI363" s="74"/>
      <c r="AJ363" s="74"/>
      <c r="AK363" s="74"/>
    </row>
    <row r="364">
      <c r="A364" s="74"/>
      <c r="B364" s="74"/>
      <c r="C364" s="74"/>
      <c r="D364" s="74"/>
      <c r="E364" s="74"/>
      <c r="F364" s="74"/>
      <c r="G364" s="74"/>
      <c r="H364" s="74"/>
      <c r="I364" s="74"/>
      <c r="J364" s="74"/>
      <c r="K364" s="74"/>
      <c r="L364" s="74"/>
      <c r="M364" s="74"/>
      <c r="N364" s="74"/>
      <c r="O364" s="74"/>
      <c r="P364" s="74"/>
      <c r="Q364" s="74"/>
      <c r="R364" s="75"/>
      <c r="S364" s="74"/>
      <c r="T364" s="74"/>
      <c r="U364" s="74"/>
      <c r="V364" s="74"/>
      <c r="W364" s="74"/>
      <c r="X364" s="74"/>
      <c r="Y364" s="74"/>
      <c r="Z364" s="74"/>
      <c r="AA364" s="74"/>
      <c r="AB364" s="74"/>
      <c r="AC364" s="74"/>
      <c r="AD364" s="74"/>
      <c r="AE364" s="74"/>
      <c r="AF364" s="74"/>
      <c r="AG364" s="74"/>
      <c r="AH364" s="74"/>
      <c r="AI364" s="74"/>
      <c r="AJ364" s="74"/>
      <c r="AK364" s="74"/>
    </row>
    <row r="365">
      <c r="A365" s="74"/>
      <c r="B365" s="74"/>
      <c r="C365" s="74"/>
      <c r="D365" s="74"/>
      <c r="E365" s="74"/>
      <c r="F365" s="74"/>
      <c r="G365" s="74"/>
      <c r="H365" s="74"/>
      <c r="I365" s="74"/>
      <c r="J365" s="74"/>
      <c r="K365" s="74"/>
      <c r="L365" s="74"/>
      <c r="M365" s="74"/>
      <c r="N365" s="74"/>
      <c r="O365" s="74"/>
      <c r="P365" s="74"/>
      <c r="Q365" s="74"/>
      <c r="R365" s="75"/>
      <c r="S365" s="74"/>
      <c r="T365" s="74"/>
      <c r="U365" s="74"/>
      <c r="V365" s="74"/>
      <c r="W365" s="74"/>
      <c r="X365" s="74"/>
      <c r="Y365" s="74"/>
      <c r="Z365" s="74"/>
      <c r="AA365" s="74"/>
      <c r="AB365" s="74"/>
      <c r="AC365" s="74"/>
      <c r="AD365" s="74"/>
      <c r="AE365" s="74"/>
      <c r="AF365" s="74"/>
      <c r="AG365" s="74"/>
      <c r="AH365" s="74"/>
      <c r="AI365" s="74"/>
      <c r="AJ365" s="74"/>
      <c r="AK365" s="74"/>
    </row>
    <row r="366">
      <c r="A366" s="74"/>
      <c r="B366" s="74"/>
      <c r="C366" s="74"/>
      <c r="D366" s="74"/>
      <c r="E366" s="74"/>
      <c r="F366" s="74"/>
      <c r="G366" s="74"/>
      <c r="H366" s="74"/>
      <c r="I366" s="74"/>
      <c r="J366" s="74"/>
      <c r="K366" s="74"/>
      <c r="L366" s="74"/>
      <c r="M366" s="74"/>
      <c r="N366" s="74"/>
      <c r="O366" s="74"/>
      <c r="P366" s="74"/>
      <c r="Q366" s="74"/>
      <c r="R366" s="75"/>
      <c r="S366" s="74"/>
      <c r="T366" s="74"/>
      <c r="U366" s="74"/>
      <c r="V366" s="74"/>
      <c r="W366" s="74"/>
      <c r="X366" s="74"/>
      <c r="Y366" s="74"/>
      <c r="Z366" s="74"/>
      <c r="AA366" s="74"/>
      <c r="AB366" s="74"/>
      <c r="AC366" s="74"/>
      <c r="AD366" s="74"/>
      <c r="AE366" s="74"/>
      <c r="AF366" s="74"/>
      <c r="AG366" s="74"/>
      <c r="AH366" s="74"/>
      <c r="AI366" s="74"/>
      <c r="AJ366" s="74"/>
      <c r="AK366" s="74"/>
    </row>
    <row r="367">
      <c r="A367" s="74"/>
      <c r="B367" s="74"/>
      <c r="C367" s="74"/>
      <c r="D367" s="74"/>
      <c r="E367" s="74"/>
      <c r="F367" s="74"/>
      <c r="G367" s="74"/>
      <c r="H367" s="74"/>
      <c r="I367" s="74"/>
      <c r="J367" s="74"/>
      <c r="K367" s="74"/>
      <c r="L367" s="74"/>
      <c r="M367" s="74"/>
      <c r="N367" s="74"/>
      <c r="O367" s="74"/>
      <c r="P367" s="74"/>
      <c r="Q367" s="74"/>
      <c r="R367" s="75"/>
      <c r="S367" s="74"/>
      <c r="T367" s="74"/>
      <c r="U367" s="74"/>
      <c r="V367" s="74"/>
      <c r="W367" s="74"/>
      <c r="X367" s="74"/>
      <c r="Y367" s="74"/>
      <c r="Z367" s="74"/>
      <c r="AA367" s="74"/>
      <c r="AB367" s="74"/>
      <c r="AC367" s="74"/>
      <c r="AD367" s="74"/>
      <c r="AE367" s="74"/>
      <c r="AF367" s="74"/>
      <c r="AG367" s="74"/>
      <c r="AH367" s="74"/>
      <c r="AI367" s="74"/>
      <c r="AJ367" s="74"/>
      <c r="AK367" s="74"/>
    </row>
    <row r="368">
      <c r="A368" s="74"/>
      <c r="B368" s="74"/>
      <c r="C368" s="74"/>
      <c r="D368" s="74"/>
      <c r="E368" s="74"/>
      <c r="F368" s="74"/>
      <c r="G368" s="74"/>
      <c r="H368" s="74"/>
      <c r="I368" s="74"/>
      <c r="J368" s="74"/>
      <c r="K368" s="74"/>
      <c r="L368" s="74"/>
      <c r="M368" s="74"/>
      <c r="N368" s="74"/>
      <c r="O368" s="74"/>
      <c r="P368" s="74"/>
      <c r="Q368" s="74"/>
      <c r="R368" s="75"/>
      <c r="S368" s="74"/>
      <c r="T368" s="74"/>
      <c r="U368" s="74"/>
      <c r="V368" s="74"/>
      <c r="W368" s="74"/>
      <c r="X368" s="74"/>
      <c r="Y368" s="74"/>
      <c r="Z368" s="74"/>
      <c r="AA368" s="74"/>
      <c r="AB368" s="74"/>
      <c r="AC368" s="74"/>
      <c r="AD368" s="74"/>
      <c r="AE368" s="74"/>
      <c r="AF368" s="74"/>
      <c r="AG368" s="74"/>
      <c r="AH368" s="74"/>
      <c r="AI368" s="74"/>
      <c r="AJ368" s="74"/>
      <c r="AK368" s="74"/>
    </row>
    <row r="369">
      <c r="A369" s="74"/>
      <c r="B369" s="74"/>
      <c r="C369" s="74"/>
      <c r="D369" s="74"/>
      <c r="E369" s="74"/>
      <c r="F369" s="74"/>
      <c r="G369" s="74"/>
      <c r="H369" s="74"/>
      <c r="I369" s="74"/>
      <c r="J369" s="74"/>
      <c r="K369" s="74"/>
      <c r="L369" s="74"/>
      <c r="M369" s="74"/>
      <c r="N369" s="74"/>
      <c r="O369" s="74"/>
      <c r="P369" s="74"/>
      <c r="Q369" s="74"/>
      <c r="R369" s="75"/>
      <c r="S369" s="74"/>
      <c r="T369" s="74"/>
      <c r="U369" s="74"/>
      <c r="V369" s="74"/>
      <c r="W369" s="74"/>
      <c r="X369" s="74"/>
      <c r="Y369" s="74"/>
      <c r="Z369" s="74"/>
      <c r="AA369" s="74"/>
      <c r="AB369" s="74"/>
      <c r="AC369" s="74"/>
      <c r="AD369" s="74"/>
      <c r="AE369" s="74"/>
      <c r="AF369" s="74"/>
      <c r="AG369" s="74"/>
      <c r="AH369" s="74"/>
      <c r="AI369" s="74"/>
      <c r="AJ369" s="74"/>
      <c r="AK369" s="74"/>
    </row>
    <row r="370">
      <c r="A370" s="74"/>
      <c r="B370" s="74"/>
      <c r="C370" s="74"/>
      <c r="D370" s="74"/>
      <c r="E370" s="74"/>
      <c r="F370" s="74"/>
      <c r="G370" s="74"/>
      <c r="H370" s="74"/>
      <c r="I370" s="74"/>
      <c r="J370" s="74"/>
      <c r="K370" s="74"/>
      <c r="L370" s="74"/>
      <c r="M370" s="74"/>
      <c r="N370" s="74"/>
      <c r="O370" s="74"/>
      <c r="P370" s="74"/>
      <c r="Q370" s="74"/>
      <c r="R370" s="75"/>
      <c r="S370" s="74"/>
      <c r="T370" s="74"/>
      <c r="U370" s="74"/>
      <c r="V370" s="74"/>
      <c r="W370" s="74"/>
      <c r="X370" s="74"/>
      <c r="Y370" s="74"/>
      <c r="Z370" s="74"/>
      <c r="AA370" s="74"/>
      <c r="AB370" s="74"/>
      <c r="AC370" s="74"/>
      <c r="AD370" s="74"/>
      <c r="AE370" s="74"/>
      <c r="AF370" s="74"/>
      <c r="AG370" s="74"/>
      <c r="AH370" s="74"/>
      <c r="AI370" s="74"/>
      <c r="AJ370" s="74"/>
      <c r="AK370" s="74"/>
    </row>
    <row r="371">
      <c r="A371" s="74"/>
      <c r="B371" s="74"/>
      <c r="C371" s="74"/>
      <c r="D371" s="74"/>
      <c r="E371" s="74"/>
      <c r="F371" s="74"/>
      <c r="G371" s="74"/>
      <c r="H371" s="74"/>
      <c r="I371" s="74"/>
      <c r="J371" s="74"/>
      <c r="K371" s="74"/>
      <c r="L371" s="74"/>
      <c r="M371" s="74"/>
      <c r="N371" s="74"/>
      <c r="O371" s="74"/>
      <c r="P371" s="74"/>
      <c r="Q371" s="74"/>
      <c r="R371" s="75"/>
      <c r="S371" s="74"/>
      <c r="T371" s="74"/>
      <c r="U371" s="74"/>
      <c r="V371" s="74"/>
      <c r="W371" s="74"/>
      <c r="X371" s="74"/>
      <c r="Y371" s="74"/>
      <c r="Z371" s="74"/>
      <c r="AA371" s="74"/>
      <c r="AB371" s="74"/>
      <c r="AC371" s="74"/>
      <c r="AD371" s="74"/>
      <c r="AE371" s="74"/>
      <c r="AF371" s="74"/>
      <c r="AG371" s="74"/>
      <c r="AH371" s="74"/>
      <c r="AI371" s="74"/>
      <c r="AJ371" s="74"/>
      <c r="AK371" s="74"/>
    </row>
    <row r="372">
      <c r="A372" s="74"/>
      <c r="B372" s="74"/>
      <c r="C372" s="74"/>
      <c r="D372" s="74"/>
      <c r="E372" s="74"/>
      <c r="F372" s="74"/>
      <c r="G372" s="74"/>
      <c r="H372" s="74"/>
      <c r="I372" s="74"/>
      <c r="J372" s="74"/>
      <c r="K372" s="74"/>
      <c r="L372" s="74"/>
      <c r="M372" s="74"/>
      <c r="N372" s="74"/>
      <c r="O372" s="74"/>
      <c r="P372" s="74"/>
      <c r="Q372" s="74"/>
      <c r="R372" s="75"/>
      <c r="S372" s="74"/>
      <c r="T372" s="74"/>
      <c r="U372" s="74"/>
      <c r="V372" s="74"/>
      <c r="W372" s="74"/>
      <c r="X372" s="74"/>
      <c r="Y372" s="74"/>
      <c r="Z372" s="74"/>
      <c r="AA372" s="74"/>
      <c r="AB372" s="74"/>
      <c r="AC372" s="74"/>
      <c r="AD372" s="74"/>
      <c r="AE372" s="74"/>
      <c r="AF372" s="74"/>
      <c r="AG372" s="74"/>
      <c r="AH372" s="74"/>
      <c r="AI372" s="74"/>
      <c r="AJ372" s="74"/>
      <c r="AK372" s="74"/>
    </row>
    <row r="373">
      <c r="A373" s="74"/>
      <c r="B373" s="74"/>
      <c r="C373" s="74"/>
      <c r="D373" s="74"/>
      <c r="E373" s="74"/>
      <c r="F373" s="74"/>
      <c r="G373" s="74"/>
      <c r="H373" s="74"/>
      <c r="I373" s="74"/>
      <c r="J373" s="74"/>
      <c r="K373" s="74"/>
      <c r="L373" s="74"/>
      <c r="M373" s="74"/>
      <c r="N373" s="74"/>
      <c r="O373" s="74"/>
      <c r="P373" s="74"/>
      <c r="Q373" s="74"/>
      <c r="R373" s="75"/>
      <c r="S373" s="74"/>
      <c r="T373" s="74"/>
      <c r="U373" s="74"/>
      <c r="V373" s="74"/>
      <c r="W373" s="74"/>
      <c r="X373" s="74"/>
      <c r="Y373" s="74"/>
      <c r="Z373" s="74"/>
      <c r="AA373" s="74"/>
      <c r="AB373" s="74"/>
      <c r="AC373" s="74"/>
      <c r="AD373" s="74"/>
      <c r="AE373" s="74"/>
      <c r="AF373" s="74"/>
      <c r="AG373" s="74"/>
      <c r="AH373" s="74"/>
      <c r="AI373" s="74"/>
      <c r="AJ373" s="74"/>
      <c r="AK373" s="74"/>
    </row>
    <row r="374">
      <c r="A374" s="74"/>
      <c r="B374" s="74"/>
      <c r="C374" s="74"/>
      <c r="D374" s="74"/>
      <c r="E374" s="74"/>
      <c r="F374" s="74"/>
      <c r="G374" s="74"/>
      <c r="H374" s="74"/>
      <c r="I374" s="74"/>
      <c r="J374" s="74"/>
      <c r="K374" s="74"/>
      <c r="L374" s="74"/>
      <c r="M374" s="74"/>
      <c r="N374" s="74"/>
      <c r="O374" s="74"/>
      <c r="P374" s="74"/>
      <c r="Q374" s="74"/>
      <c r="R374" s="75"/>
      <c r="S374" s="74"/>
      <c r="T374" s="74"/>
      <c r="U374" s="74"/>
      <c r="V374" s="74"/>
      <c r="W374" s="74"/>
      <c r="X374" s="74"/>
      <c r="Y374" s="74"/>
      <c r="Z374" s="74"/>
      <c r="AA374" s="74"/>
      <c r="AB374" s="74"/>
      <c r="AC374" s="74"/>
      <c r="AD374" s="74"/>
      <c r="AE374" s="74"/>
      <c r="AF374" s="74"/>
      <c r="AG374" s="74"/>
      <c r="AH374" s="74"/>
      <c r="AI374" s="74"/>
      <c r="AJ374" s="74"/>
      <c r="AK374" s="74"/>
    </row>
    <row r="375">
      <c r="A375" s="74"/>
      <c r="B375" s="74"/>
      <c r="C375" s="74"/>
      <c r="D375" s="74"/>
      <c r="E375" s="74"/>
      <c r="F375" s="74"/>
      <c r="G375" s="74"/>
      <c r="H375" s="74"/>
      <c r="I375" s="74"/>
      <c r="J375" s="74"/>
      <c r="K375" s="74"/>
      <c r="L375" s="74"/>
      <c r="M375" s="74"/>
      <c r="N375" s="74"/>
      <c r="O375" s="74"/>
      <c r="P375" s="74"/>
      <c r="Q375" s="74"/>
      <c r="R375" s="75"/>
      <c r="S375" s="74"/>
      <c r="T375" s="74"/>
      <c r="U375" s="74"/>
      <c r="V375" s="74"/>
      <c r="W375" s="74"/>
      <c r="X375" s="74"/>
      <c r="Y375" s="74"/>
      <c r="Z375" s="74"/>
      <c r="AA375" s="74"/>
      <c r="AB375" s="74"/>
      <c r="AC375" s="74"/>
      <c r="AD375" s="74"/>
      <c r="AE375" s="74"/>
      <c r="AF375" s="74"/>
      <c r="AG375" s="74"/>
      <c r="AH375" s="74"/>
      <c r="AI375" s="74"/>
      <c r="AJ375" s="74"/>
      <c r="AK375" s="74"/>
    </row>
    <row r="376">
      <c r="A376" s="74"/>
      <c r="B376" s="74"/>
      <c r="C376" s="74"/>
      <c r="D376" s="74"/>
      <c r="E376" s="74"/>
      <c r="F376" s="74"/>
      <c r="G376" s="74"/>
      <c r="H376" s="74"/>
      <c r="I376" s="74"/>
      <c r="J376" s="74"/>
      <c r="K376" s="74"/>
      <c r="L376" s="74"/>
      <c r="M376" s="74"/>
      <c r="N376" s="74"/>
      <c r="O376" s="74"/>
      <c r="P376" s="74"/>
      <c r="Q376" s="74"/>
      <c r="R376" s="75"/>
      <c r="S376" s="74"/>
      <c r="T376" s="74"/>
      <c r="U376" s="74"/>
      <c r="V376" s="74"/>
      <c r="W376" s="74"/>
      <c r="X376" s="74"/>
      <c r="Y376" s="74"/>
      <c r="Z376" s="74"/>
      <c r="AA376" s="74"/>
      <c r="AB376" s="74"/>
      <c r="AC376" s="74"/>
      <c r="AD376" s="74"/>
      <c r="AE376" s="74"/>
      <c r="AF376" s="74"/>
      <c r="AG376" s="74"/>
      <c r="AH376" s="74"/>
      <c r="AI376" s="74"/>
      <c r="AJ376" s="74"/>
      <c r="AK376" s="74"/>
    </row>
    <row r="377">
      <c r="A377" s="74"/>
      <c r="B377" s="74"/>
      <c r="C377" s="74"/>
      <c r="D377" s="74"/>
      <c r="E377" s="74"/>
      <c r="F377" s="74"/>
      <c r="G377" s="74"/>
      <c r="H377" s="74"/>
      <c r="I377" s="74"/>
      <c r="J377" s="74"/>
      <c r="K377" s="74"/>
      <c r="L377" s="74"/>
      <c r="M377" s="74"/>
      <c r="N377" s="74"/>
      <c r="O377" s="74"/>
      <c r="P377" s="74"/>
      <c r="Q377" s="74"/>
      <c r="R377" s="75"/>
      <c r="S377" s="74"/>
      <c r="T377" s="74"/>
      <c r="U377" s="74"/>
      <c r="V377" s="74"/>
      <c r="W377" s="74"/>
      <c r="X377" s="74"/>
      <c r="Y377" s="74"/>
      <c r="Z377" s="74"/>
      <c r="AA377" s="74"/>
      <c r="AB377" s="74"/>
      <c r="AC377" s="74"/>
      <c r="AD377" s="74"/>
      <c r="AE377" s="74"/>
      <c r="AF377" s="74"/>
      <c r="AG377" s="74"/>
      <c r="AH377" s="74"/>
      <c r="AI377" s="74"/>
      <c r="AJ377" s="74"/>
      <c r="AK377" s="74"/>
    </row>
    <row r="378">
      <c r="A378" s="74"/>
      <c r="B378" s="74"/>
      <c r="C378" s="74"/>
      <c r="D378" s="74"/>
      <c r="E378" s="74"/>
      <c r="F378" s="74"/>
      <c r="G378" s="74"/>
      <c r="H378" s="74"/>
      <c r="I378" s="74"/>
      <c r="J378" s="74"/>
      <c r="K378" s="74"/>
      <c r="L378" s="74"/>
      <c r="M378" s="74"/>
      <c r="N378" s="74"/>
      <c r="O378" s="74"/>
      <c r="P378" s="74"/>
      <c r="Q378" s="74"/>
      <c r="R378" s="75"/>
      <c r="S378" s="74"/>
      <c r="T378" s="74"/>
      <c r="U378" s="74"/>
      <c r="V378" s="74"/>
      <c r="W378" s="74"/>
      <c r="X378" s="74"/>
      <c r="Y378" s="74"/>
      <c r="Z378" s="74"/>
      <c r="AA378" s="74"/>
      <c r="AB378" s="74"/>
      <c r="AC378" s="74"/>
      <c r="AD378" s="74"/>
      <c r="AE378" s="74"/>
      <c r="AF378" s="74"/>
      <c r="AG378" s="74"/>
      <c r="AH378" s="74"/>
      <c r="AI378" s="74"/>
      <c r="AJ378" s="74"/>
      <c r="AK378" s="74"/>
    </row>
    <row r="379">
      <c r="A379" s="74"/>
      <c r="B379" s="74"/>
      <c r="C379" s="74"/>
      <c r="D379" s="74"/>
      <c r="E379" s="74"/>
      <c r="F379" s="74"/>
      <c r="G379" s="74"/>
      <c r="H379" s="74"/>
      <c r="I379" s="74"/>
      <c r="J379" s="74"/>
      <c r="K379" s="74"/>
      <c r="L379" s="74"/>
      <c r="M379" s="74"/>
      <c r="N379" s="74"/>
      <c r="O379" s="74"/>
      <c r="P379" s="74"/>
      <c r="Q379" s="74"/>
      <c r="R379" s="75"/>
      <c r="S379" s="74"/>
      <c r="T379" s="74"/>
      <c r="U379" s="74"/>
      <c r="V379" s="74"/>
      <c r="W379" s="74"/>
      <c r="X379" s="74"/>
      <c r="Y379" s="74"/>
      <c r="Z379" s="74"/>
      <c r="AA379" s="74"/>
      <c r="AB379" s="74"/>
      <c r="AC379" s="74"/>
      <c r="AD379" s="74"/>
      <c r="AE379" s="74"/>
      <c r="AF379" s="74"/>
      <c r="AG379" s="74"/>
      <c r="AH379" s="74"/>
      <c r="AI379" s="74"/>
      <c r="AJ379" s="74"/>
      <c r="AK379" s="74"/>
    </row>
    <row r="380">
      <c r="A380" s="74"/>
      <c r="B380" s="74"/>
      <c r="C380" s="74"/>
      <c r="D380" s="74"/>
      <c r="E380" s="74"/>
      <c r="F380" s="74"/>
      <c r="G380" s="74"/>
      <c r="H380" s="74"/>
      <c r="I380" s="74"/>
      <c r="J380" s="74"/>
      <c r="K380" s="74"/>
      <c r="L380" s="74"/>
      <c r="M380" s="74"/>
      <c r="N380" s="74"/>
      <c r="O380" s="74"/>
      <c r="P380" s="74"/>
      <c r="Q380" s="74"/>
      <c r="R380" s="75"/>
      <c r="S380" s="74"/>
      <c r="T380" s="74"/>
      <c r="U380" s="74"/>
      <c r="V380" s="74"/>
      <c r="W380" s="74"/>
      <c r="X380" s="74"/>
      <c r="Y380" s="74"/>
      <c r="Z380" s="74"/>
      <c r="AA380" s="74"/>
      <c r="AB380" s="74"/>
      <c r="AC380" s="74"/>
      <c r="AD380" s="74"/>
      <c r="AE380" s="74"/>
      <c r="AF380" s="74"/>
      <c r="AG380" s="74"/>
      <c r="AH380" s="74"/>
      <c r="AI380" s="74"/>
      <c r="AJ380" s="74"/>
      <c r="AK380" s="74"/>
    </row>
    <row r="381">
      <c r="A381" s="74"/>
      <c r="B381" s="74"/>
      <c r="C381" s="74"/>
      <c r="D381" s="74"/>
      <c r="E381" s="74"/>
      <c r="F381" s="74"/>
      <c r="G381" s="74"/>
      <c r="H381" s="74"/>
      <c r="I381" s="74"/>
      <c r="J381" s="74"/>
      <c r="K381" s="74"/>
      <c r="L381" s="74"/>
      <c r="M381" s="74"/>
      <c r="N381" s="74"/>
      <c r="O381" s="74"/>
      <c r="P381" s="74"/>
      <c r="Q381" s="74"/>
      <c r="R381" s="75"/>
      <c r="S381" s="74"/>
      <c r="T381" s="74"/>
      <c r="U381" s="74"/>
      <c r="V381" s="74"/>
      <c r="W381" s="74"/>
      <c r="X381" s="74"/>
      <c r="Y381" s="74"/>
      <c r="Z381" s="74"/>
      <c r="AA381" s="74"/>
      <c r="AB381" s="74"/>
      <c r="AC381" s="74"/>
      <c r="AD381" s="74"/>
      <c r="AE381" s="74"/>
      <c r="AF381" s="74"/>
      <c r="AG381" s="74"/>
      <c r="AH381" s="74"/>
      <c r="AI381" s="74"/>
      <c r="AJ381" s="74"/>
      <c r="AK381" s="74"/>
    </row>
    <row r="382">
      <c r="A382" s="74"/>
      <c r="B382" s="74"/>
      <c r="C382" s="74"/>
      <c r="D382" s="74"/>
      <c r="E382" s="74"/>
      <c r="F382" s="74"/>
      <c r="G382" s="74"/>
      <c r="H382" s="74"/>
      <c r="I382" s="74"/>
      <c r="J382" s="74"/>
      <c r="K382" s="74"/>
      <c r="L382" s="74"/>
      <c r="M382" s="74"/>
      <c r="N382" s="74"/>
      <c r="O382" s="74"/>
      <c r="P382" s="74"/>
      <c r="Q382" s="74"/>
      <c r="R382" s="75"/>
      <c r="S382" s="74"/>
      <c r="T382" s="74"/>
      <c r="U382" s="74"/>
      <c r="V382" s="74"/>
      <c r="W382" s="74"/>
      <c r="X382" s="74"/>
      <c r="Y382" s="74"/>
      <c r="Z382" s="74"/>
      <c r="AA382" s="74"/>
      <c r="AB382" s="74"/>
      <c r="AC382" s="74"/>
      <c r="AD382" s="74"/>
      <c r="AE382" s="74"/>
      <c r="AF382" s="74"/>
      <c r="AG382" s="74"/>
      <c r="AH382" s="74"/>
      <c r="AI382" s="74"/>
      <c r="AJ382" s="74"/>
      <c r="AK382" s="74"/>
    </row>
    <row r="383">
      <c r="A383" s="74"/>
      <c r="B383" s="74"/>
      <c r="C383" s="74"/>
      <c r="D383" s="74"/>
      <c r="E383" s="74"/>
      <c r="F383" s="74"/>
      <c r="G383" s="74"/>
      <c r="H383" s="74"/>
      <c r="I383" s="74"/>
      <c r="J383" s="74"/>
      <c r="K383" s="74"/>
      <c r="L383" s="74"/>
      <c r="M383" s="74"/>
      <c r="N383" s="74"/>
      <c r="O383" s="74"/>
      <c r="P383" s="74"/>
      <c r="Q383" s="74"/>
      <c r="R383" s="75"/>
      <c r="S383" s="74"/>
      <c r="T383" s="74"/>
      <c r="U383" s="74"/>
      <c r="V383" s="74"/>
      <c r="W383" s="74"/>
      <c r="X383" s="74"/>
      <c r="Y383" s="74"/>
      <c r="Z383" s="74"/>
      <c r="AA383" s="74"/>
      <c r="AB383" s="74"/>
      <c r="AC383" s="74"/>
      <c r="AD383" s="74"/>
      <c r="AE383" s="74"/>
      <c r="AF383" s="74"/>
      <c r="AG383" s="74"/>
      <c r="AH383" s="74"/>
      <c r="AI383" s="74"/>
      <c r="AJ383" s="74"/>
      <c r="AK383" s="74"/>
    </row>
    <row r="384">
      <c r="A384" s="74"/>
      <c r="B384" s="74"/>
      <c r="C384" s="74"/>
      <c r="D384" s="74"/>
      <c r="E384" s="74"/>
      <c r="F384" s="74"/>
      <c r="G384" s="74"/>
      <c r="H384" s="74"/>
      <c r="I384" s="74"/>
      <c r="J384" s="74"/>
      <c r="K384" s="74"/>
      <c r="L384" s="74"/>
      <c r="M384" s="74"/>
      <c r="N384" s="74"/>
      <c r="O384" s="74"/>
      <c r="P384" s="74"/>
      <c r="Q384" s="74"/>
      <c r="R384" s="75"/>
      <c r="S384" s="74"/>
      <c r="T384" s="74"/>
      <c r="U384" s="74"/>
      <c r="V384" s="74"/>
      <c r="W384" s="74"/>
      <c r="X384" s="74"/>
      <c r="Y384" s="74"/>
      <c r="Z384" s="74"/>
      <c r="AA384" s="74"/>
      <c r="AB384" s="74"/>
      <c r="AC384" s="74"/>
      <c r="AD384" s="74"/>
      <c r="AE384" s="74"/>
      <c r="AF384" s="74"/>
      <c r="AG384" s="74"/>
      <c r="AH384" s="74"/>
      <c r="AI384" s="74"/>
      <c r="AJ384" s="74"/>
      <c r="AK384" s="74"/>
    </row>
    <row r="385">
      <c r="A385" s="74"/>
      <c r="B385" s="74"/>
      <c r="C385" s="74"/>
      <c r="D385" s="74"/>
      <c r="E385" s="74"/>
      <c r="F385" s="74"/>
      <c r="G385" s="74"/>
      <c r="H385" s="74"/>
      <c r="I385" s="74"/>
      <c r="J385" s="74"/>
      <c r="K385" s="74"/>
      <c r="L385" s="74"/>
      <c r="M385" s="74"/>
      <c r="N385" s="74"/>
      <c r="O385" s="74"/>
      <c r="P385" s="74"/>
      <c r="Q385" s="74"/>
      <c r="R385" s="75"/>
      <c r="S385" s="74"/>
      <c r="T385" s="74"/>
      <c r="U385" s="74"/>
      <c r="V385" s="74"/>
      <c r="W385" s="74"/>
      <c r="X385" s="74"/>
      <c r="Y385" s="74"/>
      <c r="Z385" s="74"/>
      <c r="AA385" s="74"/>
      <c r="AB385" s="74"/>
      <c r="AC385" s="74"/>
      <c r="AD385" s="74"/>
      <c r="AE385" s="74"/>
      <c r="AF385" s="74"/>
      <c r="AG385" s="74"/>
      <c r="AH385" s="74"/>
      <c r="AI385" s="74"/>
      <c r="AJ385" s="74"/>
      <c r="AK385" s="74"/>
    </row>
    <row r="386">
      <c r="A386" s="74"/>
      <c r="B386" s="74"/>
      <c r="C386" s="74"/>
      <c r="D386" s="74"/>
      <c r="E386" s="74"/>
      <c r="F386" s="74"/>
      <c r="G386" s="74"/>
      <c r="H386" s="74"/>
      <c r="I386" s="74"/>
      <c r="J386" s="74"/>
      <c r="K386" s="74"/>
      <c r="L386" s="74"/>
      <c r="M386" s="74"/>
      <c r="N386" s="74"/>
      <c r="O386" s="74"/>
      <c r="P386" s="74"/>
      <c r="Q386" s="74"/>
      <c r="R386" s="75"/>
      <c r="S386" s="74"/>
      <c r="T386" s="74"/>
      <c r="U386" s="74"/>
      <c r="V386" s="74"/>
      <c r="W386" s="74"/>
      <c r="X386" s="74"/>
      <c r="Y386" s="74"/>
      <c r="Z386" s="74"/>
      <c r="AA386" s="74"/>
      <c r="AB386" s="74"/>
      <c r="AC386" s="74"/>
      <c r="AD386" s="74"/>
      <c r="AE386" s="74"/>
      <c r="AF386" s="74"/>
      <c r="AG386" s="74"/>
      <c r="AH386" s="74"/>
      <c r="AI386" s="74"/>
      <c r="AJ386" s="74"/>
      <c r="AK386" s="74"/>
    </row>
    <row r="387">
      <c r="A387" s="74"/>
      <c r="B387" s="74"/>
      <c r="C387" s="74"/>
      <c r="D387" s="74"/>
      <c r="E387" s="74"/>
      <c r="F387" s="74"/>
      <c r="G387" s="74"/>
      <c r="H387" s="74"/>
      <c r="I387" s="74"/>
      <c r="J387" s="74"/>
      <c r="K387" s="74"/>
      <c r="L387" s="74"/>
      <c r="M387" s="74"/>
      <c r="N387" s="74"/>
      <c r="O387" s="74"/>
      <c r="P387" s="74"/>
      <c r="Q387" s="74"/>
      <c r="R387" s="75"/>
      <c r="S387" s="74"/>
      <c r="T387" s="74"/>
      <c r="U387" s="74"/>
      <c r="V387" s="74"/>
      <c r="W387" s="74"/>
      <c r="X387" s="74"/>
      <c r="Y387" s="74"/>
      <c r="Z387" s="74"/>
      <c r="AA387" s="74"/>
      <c r="AB387" s="74"/>
      <c r="AC387" s="74"/>
      <c r="AD387" s="74"/>
      <c r="AE387" s="74"/>
      <c r="AF387" s="74"/>
      <c r="AG387" s="74"/>
      <c r="AH387" s="74"/>
      <c r="AI387" s="74"/>
      <c r="AJ387" s="74"/>
      <c r="AK387" s="74"/>
    </row>
    <row r="388">
      <c r="A388" s="74"/>
      <c r="B388" s="74"/>
      <c r="C388" s="74"/>
      <c r="D388" s="74"/>
      <c r="E388" s="74"/>
      <c r="F388" s="74"/>
      <c r="G388" s="74"/>
      <c r="H388" s="74"/>
      <c r="I388" s="74"/>
      <c r="J388" s="74"/>
      <c r="K388" s="74"/>
      <c r="L388" s="74"/>
      <c r="M388" s="74"/>
      <c r="N388" s="74"/>
      <c r="O388" s="74"/>
      <c r="P388" s="74"/>
      <c r="Q388" s="74"/>
      <c r="R388" s="75"/>
      <c r="S388" s="74"/>
      <c r="T388" s="74"/>
      <c r="U388" s="74"/>
      <c r="V388" s="74"/>
      <c r="W388" s="74"/>
      <c r="X388" s="74"/>
      <c r="Y388" s="74"/>
      <c r="Z388" s="74"/>
      <c r="AA388" s="74"/>
      <c r="AB388" s="74"/>
      <c r="AC388" s="74"/>
      <c r="AD388" s="74"/>
      <c r="AE388" s="74"/>
      <c r="AF388" s="74"/>
      <c r="AG388" s="74"/>
      <c r="AH388" s="74"/>
      <c r="AI388" s="74"/>
      <c r="AJ388" s="74"/>
      <c r="AK388" s="74"/>
    </row>
    <row r="389">
      <c r="A389" s="74"/>
      <c r="B389" s="74"/>
      <c r="C389" s="74"/>
      <c r="D389" s="74"/>
      <c r="E389" s="74"/>
      <c r="F389" s="74"/>
      <c r="G389" s="74"/>
      <c r="H389" s="74"/>
      <c r="I389" s="74"/>
      <c r="J389" s="74"/>
      <c r="K389" s="74"/>
      <c r="L389" s="74"/>
      <c r="M389" s="74"/>
      <c r="N389" s="74"/>
      <c r="O389" s="74"/>
      <c r="P389" s="74"/>
      <c r="Q389" s="74"/>
      <c r="R389" s="75"/>
      <c r="S389" s="74"/>
      <c r="T389" s="74"/>
      <c r="U389" s="74"/>
      <c r="V389" s="74"/>
      <c r="W389" s="74"/>
      <c r="X389" s="74"/>
      <c r="Y389" s="74"/>
      <c r="Z389" s="74"/>
      <c r="AA389" s="74"/>
      <c r="AB389" s="74"/>
      <c r="AC389" s="74"/>
      <c r="AD389" s="74"/>
      <c r="AE389" s="74"/>
      <c r="AF389" s="74"/>
      <c r="AG389" s="74"/>
      <c r="AH389" s="74"/>
      <c r="AI389" s="74"/>
      <c r="AJ389" s="74"/>
      <c r="AK389" s="74"/>
    </row>
    <row r="390">
      <c r="A390" s="74"/>
      <c r="B390" s="74"/>
      <c r="C390" s="74"/>
      <c r="D390" s="74"/>
      <c r="E390" s="74"/>
      <c r="F390" s="74"/>
      <c r="G390" s="74"/>
      <c r="H390" s="74"/>
      <c r="I390" s="74"/>
      <c r="J390" s="74"/>
      <c r="K390" s="74"/>
      <c r="L390" s="74"/>
      <c r="M390" s="74"/>
      <c r="N390" s="74"/>
      <c r="O390" s="74"/>
      <c r="P390" s="74"/>
      <c r="Q390" s="74"/>
      <c r="R390" s="75"/>
      <c r="S390" s="74"/>
      <c r="T390" s="74"/>
      <c r="U390" s="74"/>
      <c r="V390" s="74"/>
      <c r="W390" s="74"/>
      <c r="X390" s="74"/>
      <c r="Y390" s="74"/>
      <c r="Z390" s="74"/>
      <c r="AA390" s="74"/>
      <c r="AB390" s="74"/>
      <c r="AC390" s="74"/>
      <c r="AD390" s="74"/>
      <c r="AE390" s="74"/>
      <c r="AF390" s="74"/>
      <c r="AG390" s="74"/>
      <c r="AH390" s="74"/>
      <c r="AI390" s="74"/>
      <c r="AJ390" s="74"/>
      <c r="AK390" s="74"/>
    </row>
    <row r="391">
      <c r="A391" s="74"/>
      <c r="B391" s="74"/>
      <c r="C391" s="74"/>
      <c r="D391" s="74"/>
      <c r="E391" s="74"/>
      <c r="F391" s="74"/>
      <c r="G391" s="74"/>
      <c r="H391" s="74"/>
      <c r="I391" s="74"/>
      <c r="J391" s="74"/>
      <c r="K391" s="74"/>
      <c r="L391" s="74"/>
      <c r="M391" s="74"/>
      <c r="N391" s="74"/>
      <c r="O391" s="74"/>
      <c r="P391" s="74"/>
      <c r="Q391" s="74"/>
      <c r="R391" s="75"/>
      <c r="S391" s="74"/>
      <c r="T391" s="74"/>
      <c r="U391" s="74"/>
      <c r="V391" s="74"/>
      <c r="W391" s="74"/>
      <c r="X391" s="74"/>
      <c r="Y391" s="74"/>
      <c r="Z391" s="74"/>
      <c r="AA391" s="74"/>
      <c r="AB391" s="74"/>
      <c r="AC391" s="74"/>
      <c r="AD391" s="74"/>
      <c r="AE391" s="74"/>
      <c r="AF391" s="74"/>
      <c r="AG391" s="74"/>
      <c r="AH391" s="74"/>
      <c r="AI391" s="74"/>
      <c r="AJ391" s="74"/>
      <c r="AK391" s="74"/>
    </row>
    <row r="392">
      <c r="A392" s="74"/>
      <c r="B392" s="74"/>
      <c r="C392" s="74"/>
      <c r="D392" s="74"/>
      <c r="E392" s="74"/>
      <c r="F392" s="74"/>
      <c r="G392" s="74"/>
      <c r="H392" s="74"/>
      <c r="I392" s="74"/>
      <c r="J392" s="74"/>
      <c r="K392" s="74"/>
      <c r="L392" s="74"/>
      <c r="M392" s="74"/>
      <c r="N392" s="74"/>
      <c r="O392" s="74"/>
      <c r="P392" s="74"/>
      <c r="Q392" s="74"/>
      <c r="R392" s="75"/>
      <c r="S392" s="74"/>
      <c r="T392" s="74"/>
      <c r="U392" s="74"/>
      <c r="V392" s="74"/>
      <c r="W392" s="74"/>
      <c r="X392" s="74"/>
      <c r="Y392" s="74"/>
      <c r="Z392" s="74"/>
      <c r="AA392" s="74"/>
      <c r="AB392" s="74"/>
      <c r="AC392" s="74"/>
      <c r="AD392" s="74"/>
      <c r="AE392" s="74"/>
      <c r="AF392" s="74"/>
      <c r="AG392" s="74"/>
      <c r="AH392" s="74"/>
      <c r="AI392" s="74"/>
      <c r="AJ392" s="74"/>
      <c r="AK392" s="74"/>
    </row>
    <row r="393">
      <c r="A393" s="74"/>
      <c r="B393" s="74"/>
      <c r="C393" s="74"/>
      <c r="D393" s="74"/>
      <c r="E393" s="74"/>
      <c r="F393" s="74"/>
      <c r="G393" s="74"/>
      <c r="H393" s="74"/>
      <c r="I393" s="74"/>
      <c r="J393" s="74"/>
      <c r="K393" s="74"/>
      <c r="L393" s="74"/>
      <c r="M393" s="74"/>
      <c r="N393" s="74"/>
      <c r="O393" s="74"/>
      <c r="P393" s="74"/>
      <c r="Q393" s="74"/>
      <c r="R393" s="75"/>
      <c r="S393" s="74"/>
      <c r="T393" s="74"/>
      <c r="U393" s="74"/>
      <c r="V393" s="74"/>
      <c r="W393" s="74"/>
      <c r="X393" s="74"/>
      <c r="Y393" s="74"/>
      <c r="Z393" s="74"/>
      <c r="AA393" s="74"/>
      <c r="AB393" s="74"/>
      <c r="AC393" s="74"/>
      <c r="AD393" s="74"/>
      <c r="AE393" s="74"/>
      <c r="AF393" s="74"/>
      <c r="AG393" s="74"/>
      <c r="AH393" s="74"/>
      <c r="AI393" s="74"/>
      <c r="AJ393" s="74"/>
      <c r="AK393" s="74"/>
    </row>
    <row r="394">
      <c r="A394" s="74"/>
      <c r="B394" s="74"/>
      <c r="C394" s="74"/>
      <c r="D394" s="74"/>
      <c r="E394" s="74"/>
      <c r="F394" s="74"/>
      <c r="G394" s="74"/>
      <c r="H394" s="74"/>
      <c r="I394" s="74"/>
      <c r="J394" s="74"/>
      <c r="K394" s="74"/>
      <c r="L394" s="74"/>
      <c r="M394" s="74"/>
      <c r="N394" s="74"/>
      <c r="O394" s="74"/>
      <c r="P394" s="74"/>
      <c r="Q394" s="74"/>
      <c r="R394" s="75"/>
      <c r="S394" s="74"/>
      <c r="T394" s="74"/>
      <c r="U394" s="74"/>
      <c r="V394" s="74"/>
      <c r="W394" s="74"/>
      <c r="X394" s="74"/>
      <c r="Y394" s="74"/>
      <c r="Z394" s="74"/>
      <c r="AA394" s="74"/>
      <c r="AB394" s="74"/>
      <c r="AC394" s="74"/>
      <c r="AD394" s="74"/>
      <c r="AE394" s="74"/>
      <c r="AF394" s="74"/>
      <c r="AG394" s="74"/>
      <c r="AH394" s="74"/>
      <c r="AI394" s="74"/>
      <c r="AJ394" s="74"/>
      <c r="AK394" s="74"/>
    </row>
    <row r="395">
      <c r="A395" s="74"/>
      <c r="B395" s="74"/>
      <c r="C395" s="74"/>
      <c r="D395" s="74"/>
      <c r="E395" s="74"/>
      <c r="F395" s="74"/>
      <c r="G395" s="74"/>
      <c r="H395" s="74"/>
      <c r="I395" s="74"/>
      <c r="J395" s="74"/>
      <c r="K395" s="74"/>
      <c r="L395" s="74"/>
      <c r="M395" s="74"/>
      <c r="N395" s="74"/>
      <c r="O395" s="74"/>
      <c r="P395" s="74"/>
      <c r="Q395" s="74"/>
      <c r="R395" s="75"/>
      <c r="S395" s="74"/>
      <c r="T395" s="74"/>
      <c r="U395" s="74"/>
      <c r="V395" s="74"/>
      <c r="W395" s="74"/>
      <c r="X395" s="74"/>
      <c r="Y395" s="74"/>
      <c r="Z395" s="74"/>
      <c r="AA395" s="74"/>
      <c r="AB395" s="74"/>
      <c r="AC395" s="74"/>
      <c r="AD395" s="74"/>
      <c r="AE395" s="74"/>
      <c r="AF395" s="74"/>
      <c r="AG395" s="74"/>
      <c r="AH395" s="74"/>
      <c r="AI395" s="74"/>
      <c r="AJ395" s="74"/>
      <c r="AK395" s="74"/>
    </row>
    <row r="396">
      <c r="A396" s="74"/>
      <c r="B396" s="74"/>
      <c r="C396" s="74"/>
      <c r="D396" s="74"/>
      <c r="E396" s="74"/>
      <c r="F396" s="74"/>
      <c r="G396" s="74"/>
      <c r="H396" s="74"/>
      <c r="I396" s="74"/>
      <c r="J396" s="74"/>
      <c r="K396" s="74"/>
      <c r="L396" s="74"/>
      <c r="M396" s="74"/>
      <c r="N396" s="74"/>
      <c r="O396" s="74"/>
      <c r="P396" s="74"/>
      <c r="Q396" s="74"/>
      <c r="R396" s="75"/>
      <c r="S396" s="74"/>
      <c r="T396" s="74"/>
      <c r="U396" s="74"/>
      <c r="V396" s="74"/>
      <c r="W396" s="74"/>
      <c r="X396" s="74"/>
      <c r="Y396" s="74"/>
      <c r="Z396" s="74"/>
      <c r="AA396" s="74"/>
      <c r="AB396" s="74"/>
      <c r="AC396" s="74"/>
      <c r="AD396" s="74"/>
      <c r="AE396" s="74"/>
      <c r="AF396" s="74"/>
      <c r="AG396" s="74"/>
      <c r="AH396" s="74"/>
      <c r="AI396" s="74"/>
      <c r="AJ396" s="74"/>
      <c r="AK396" s="74"/>
    </row>
    <row r="397">
      <c r="A397" s="74"/>
      <c r="B397" s="74"/>
      <c r="C397" s="74"/>
      <c r="D397" s="74"/>
      <c r="E397" s="74"/>
      <c r="F397" s="74"/>
      <c r="G397" s="74"/>
      <c r="H397" s="74"/>
      <c r="I397" s="74"/>
      <c r="J397" s="74"/>
      <c r="K397" s="74"/>
      <c r="L397" s="74"/>
      <c r="M397" s="74"/>
      <c r="N397" s="74"/>
      <c r="O397" s="74"/>
      <c r="P397" s="74"/>
      <c r="Q397" s="74"/>
      <c r="R397" s="75"/>
      <c r="S397" s="74"/>
      <c r="T397" s="74"/>
      <c r="U397" s="74"/>
      <c r="V397" s="74"/>
      <c r="W397" s="74"/>
      <c r="X397" s="74"/>
      <c r="Y397" s="74"/>
      <c r="Z397" s="74"/>
      <c r="AA397" s="74"/>
      <c r="AB397" s="74"/>
      <c r="AC397" s="74"/>
      <c r="AD397" s="74"/>
      <c r="AE397" s="74"/>
      <c r="AF397" s="74"/>
      <c r="AG397" s="74"/>
      <c r="AH397" s="74"/>
      <c r="AI397" s="74"/>
      <c r="AJ397" s="74"/>
      <c r="AK397" s="74"/>
    </row>
    <row r="398">
      <c r="A398" s="74"/>
      <c r="B398" s="74"/>
      <c r="C398" s="74"/>
      <c r="D398" s="74"/>
      <c r="E398" s="74"/>
      <c r="F398" s="74"/>
      <c r="G398" s="74"/>
      <c r="H398" s="74"/>
      <c r="I398" s="74"/>
      <c r="J398" s="74"/>
      <c r="K398" s="74"/>
      <c r="L398" s="74"/>
      <c r="M398" s="74"/>
      <c r="N398" s="74"/>
      <c r="O398" s="74"/>
      <c r="P398" s="74"/>
      <c r="Q398" s="74"/>
      <c r="R398" s="75"/>
      <c r="S398" s="74"/>
      <c r="T398" s="74"/>
      <c r="U398" s="74"/>
      <c r="V398" s="74"/>
      <c r="W398" s="74"/>
      <c r="X398" s="74"/>
      <c r="Y398" s="74"/>
      <c r="Z398" s="74"/>
      <c r="AA398" s="74"/>
      <c r="AB398" s="74"/>
      <c r="AC398" s="74"/>
      <c r="AD398" s="74"/>
      <c r="AE398" s="74"/>
      <c r="AF398" s="74"/>
      <c r="AG398" s="74"/>
      <c r="AH398" s="74"/>
      <c r="AI398" s="74"/>
      <c r="AJ398" s="74"/>
      <c r="AK398" s="74"/>
    </row>
    <row r="399">
      <c r="A399" s="74"/>
      <c r="B399" s="74"/>
      <c r="C399" s="74"/>
      <c r="D399" s="74"/>
      <c r="E399" s="74"/>
      <c r="F399" s="74"/>
      <c r="G399" s="74"/>
      <c r="H399" s="74"/>
      <c r="I399" s="74"/>
      <c r="J399" s="74"/>
      <c r="K399" s="74"/>
      <c r="L399" s="74"/>
      <c r="M399" s="74"/>
      <c r="N399" s="74"/>
      <c r="O399" s="74"/>
      <c r="P399" s="74"/>
      <c r="Q399" s="74"/>
      <c r="R399" s="75"/>
      <c r="S399" s="74"/>
      <c r="T399" s="74"/>
      <c r="U399" s="74"/>
      <c r="V399" s="74"/>
      <c r="W399" s="74"/>
      <c r="X399" s="74"/>
      <c r="Y399" s="74"/>
      <c r="Z399" s="74"/>
      <c r="AA399" s="74"/>
      <c r="AB399" s="74"/>
      <c r="AC399" s="74"/>
      <c r="AD399" s="74"/>
      <c r="AE399" s="74"/>
      <c r="AF399" s="74"/>
      <c r="AG399" s="74"/>
      <c r="AH399" s="74"/>
      <c r="AI399" s="74"/>
      <c r="AJ399" s="74"/>
      <c r="AK399" s="74"/>
    </row>
    <row r="400">
      <c r="A400" s="74"/>
      <c r="B400" s="74"/>
      <c r="C400" s="74"/>
      <c r="D400" s="74"/>
      <c r="E400" s="74"/>
      <c r="F400" s="74"/>
      <c r="G400" s="74"/>
      <c r="H400" s="74"/>
      <c r="I400" s="74"/>
      <c r="J400" s="74"/>
      <c r="K400" s="74"/>
      <c r="L400" s="74"/>
      <c r="M400" s="74"/>
      <c r="N400" s="74"/>
      <c r="O400" s="74"/>
      <c r="P400" s="74"/>
      <c r="Q400" s="74"/>
      <c r="R400" s="75"/>
      <c r="S400" s="74"/>
      <c r="T400" s="74"/>
      <c r="U400" s="74"/>
      <c r="V400" s="74"/>
      <c r="W400" s="74"/>
      <c r="X400" s="74"/>
      <c r="Y400" s="74"/>
      <c r="Z400" s="74"/>
      <c r="AA400" s="74"/>
      <c r="AB400" s="74"/>
      <c r="AC400" s="74"/>
      <c r="AD400" s="74"/>
      <c r="AE400" s="74"/>
      <c r="AF400" s="74"/>
      <c r="AG400" s="74"/>
      <c r="AH400" s="74"/>
      <c r="AI400" s="74"/>
      <c r="AJ400" s="74"/>
      <c r="AK400" s="74"/>
    </row>
    <row r="401">
      <c r="A401" s="74"/>
      <c r="B401" s="74"/>
      <c r="C401" s="74"/>
      <c r="D401" s="74"/>
      <c r="E401" s="74"/>
      <c r="F401" s="74"/>
      <c r="G401" s="74"/>
      <c r="H401" s="74"/>
      <c r="I401" s="74"/>
      <c r="J401" s="74"/>
      <c r="K401" s="74"/>
      <c r="L401" s="74"/>
      <c r="M401" s="74"/>
      <c r="N401" s="74"/>
      <c r="O401" s="74"/>
      <c r="P401" s="74"/>
      <c r="Q401" s="74"/>
      <c r="R401" s="75"/>
      <c r="S401" s="74"/>
      <c r="T401" s="74"/>
      <c r="U401" s="74"/>
      <c r="V401" s="74"/>
      <c r="W401" s="74"/>
      <c r="X401" s="74"/>
      <c r="Y401" s="74"/>
      <c r="Z401" s="74"/>
      <c r="AA401" s="74"/>
      <c r="AB401" s="74"/>
      <c r="AC401" s="74"/>
      <c r="AD401" s="74"/>
      <c r="AE401" s="74"/>
      <c r="AF401" s="74"/>
      <c r="AG401" s="74"/>
      <c r="AH401" s="74"/>
      <c r="AI401" s="74"/>
      <c r="AJ401" s="74"/>
      <c r="AK401" s="74"/>
    </row>
    <row r="402">
      <c r="A402" s="74"/>
      <c r="B402" s="74"/>
      <c r="C402" s="74"/>
      <c r="D402" s="74"/>
      <c r="E402" s="74"/>
      <c r="F402" s="74"/>
      <c r="G402" s="74"/>
      <c r="H402" s="74"/>
      <c r="I402" s="74"/>
      <c r="J402" s="74"/>
      <c r="K402" s="74"/>
      <c r="L402" s="74"/>
      <c r="M402" s="74"/>
      <c r="N402" s="74"/>
      <c r="O402" s="74"/>
      <c r="P402" s="74"/>
      <c r="Q402" s="74"/>
      <c r="R402" s="75"/>
      <c r="S402" s="74"/>
      <c r="T402" s="74"/>
      <c r="U402" s="74"/>
      <c r="V402" s="74"/>
      <c r="W402" s="74"/>
      <c r="X402" s="74"/>
      <c r="Y402" s="74"/>
      <c r="Z402" s="74"/>
      <c r="AA402" s="74"/>
      <c r="AB402" s="74"/>
      <c r="AC402" s="74"/>
      <c r="AD402" s="74"/>
      <c r="AE402" s="74"/>
      <c r="AF402" s="74"/>
      <c r="AG402" s="74"/>
      <c r="AH402" s="74"/>
      <c r="AI402" s="74"/>
      <c r="AJ402" s="74"/>
      <c r="AK402" s="74"/>
    </row>
    <row r="403">
      <c r="A403" s="74"/>
      <c r="B403" s="74"/>
      <c r="C403" s="74"/>
      <c r="D403" s="74"/>
      <c r="E403" s="74"/>
      <c r="F403" s="74"/>
      <c r="G403" s="74"/>
      <c r="H403" s="74"/>
      <c r="I403" s="74"/>
      <c r="J403" s="74"/>
      <c r="K403" s="74"/>
      <c r="L403" s="74"/>
      <c r="M403" s="74"/>
      <c r="N403" s="74"/>
      <c r="O403" s="74"/>
      <c r="P403" s="74"/>
      <c r="Q403" s="74"/>
      <c r="R403" s="75"/>
      <c r="S403" s="74"/>
      <c r="T403" s="74"/>
      <c r="U403" s="74"/>
      <c r="V403" s="74"/>
      <c r="W403" s="74"/>
      <c r="X403" s="74"/>
      <c r="Y403" s="74"/>
      <c r="Z403" s="74"/>
      <c r="AA403" s="74"/>
      <c r="AB403" s="74"/>
      <c r="AC403" s="74"/>
      <c r="AD403" s="74"/>
      <c r="AE403" s="74"/>
      <c r="AF403" s="74"/>
      <c r="AG403" s="74"/>
      <c r="AH403" s="74"/>
      <c r="AI403" s="74"/>
      <c r="AJ403" s="74"/>
      <c r="AK403" s="74"/>
    </row>
    <row r="404">
      <c r="A404" s="74"/>
      <c r="B404" s="74"/>
      <c r="C404" s="74"/>
      <c r="D404" s="74"/>
      <c r="E404" s="74"/>
      <c r="F404" s="74"/>
      <c r="G404" s="74"/>
      <c r="H404" s="74"/>
      <c r="I404" s="74"/>
      <c r="J404" s="74"/>
      <c r="K404" s="74"/>
      <c r="L404" s="74"/>
      <c r="M404" s="74"/>
      <c r="N404" s="74"/>
      <c r="O404" s="74"/>
      <c r="P404" s="74"/>
      <c r="Q404" s="74"/>
      <c r="R404" s="75"/>
      <c r="S404" s="74"/>
      <c r="T404" s="74"/>
      <c r="U404" s="74"/>
      <c r="V404" s="74"/>
      <c r="W404" s="74"/>
      <c r="X404" s="74"/>
      <c r="Y404" s="74"/>
      <c r="Z404" s="74"/>
      <c r="AA404" s="74"/>
      <c r="AB404" s="74"/>
      <c r="AC404" s="74"/>
      <c r="AD404" s="74"/>
      <c r="AE404" s="74"/>
      <c r="AF404" s="74"/>
      <c r="AG404" s="74"/>
      <c r="AH404" s="74"/>
      <c r="AI404" s="74"/>
      <c r="AJ404" s="74"/>
      <c r="AK404" s="74"/>
    </row>
    <row r="405">
      <c r="A405" s="74"/>
      <c r="B405" s="74"/>
      <c r="C405" s="74"/>
      <c r="D405" s="74"/>
      <c r="E405" s="74"/>
      <c r="F405" s="74"/>
      <c r="G405" s="74"/>
      <c r="H405" s="74"/>
      <c r="I405" s="74"/>
      <c r="J405" s="74"/>
      <c r="K405" s="74"/>
      <c r="L405" s="74"/>
      <c r="M405" s="74"/>
      <c r="N405" s="74"/>
      <c r="O405" s="74"/>
      <c r="P405" s="74"/>
      <c r="Q405" s="74"/>
      <c r="R405" s="75"/>
      <c r="S405" s="74"/>
      <c r="T405" s="74"/>
      <c r="U405" s="74"/>
      <c r="V405" s="74"/>
      <c r="W405" s="74"/>
      <c r="X405" s="74"/>
      <c r="Y405" s="74"/>
      <c r="Z405" s="74"/>
      <c r="AA405" s="74"/>
      <c r="AB405" s="74"/>
      <c r="AC405" s="74"/>
      <c r="AD405" s="74"/>
      <c r="AE405" s="74"/>
      <c r="AF405" s="74"/>
      <c r="AG405" s="74"/>
      <c r="AH405" s="74"/>
      <c r="AI405" s="74"/>
      <c r="AJ405" s="74"/>
      <c r="AK405" s="74"/>
    </row>
    <row r="406">
      <c r="A406" s="74"/>
      <c r="B406" s="74"/>
      <c r="C406" s="74"/>
      <c r="D406" s="74"/>
      <c r="E406" s="74"/>
      <c r="F406" s="74"/>
      <c r="G406" s="74"/>
      <c r="H406" s="74"/>
      <c r="I406" s="74"/>
      <c r="J406" s="74"/>
      <c r="K406" s="74"/>
      <c r="L406" s="74"/>
      <c r="M406" s="74"/>
      <c r="N406" s="74"/>
      <c r="O406" s="74"/>
      <c r="P406" s="74"/>
      <c r="Q406" s="74"/>
      <c r="R406" s="75"/>
      <c r="S406" s="74"/>
      <c r="T406" s="74"/>
      <c r="U406" s="74"/>
      <c r="V406" s="74"/>
      <c r="W406" s="74"/>
      <c r="X406" s="74"/>
      <c r="Y406" s="74"/>
      <c r="Z406" s="74"/>
      <c r="AA406" s="74"/>
      <c r="AB406" s="74"/>
      <c r="AC406" s="74"/>
      <c r="AD406" s="74"/>
      <c r="AE406" s="74"/>
      <c r="AF406" s="74"/>
      <c r="AG406" s="74"/>
      <c r="AH406" s="74"/>
      <c r="AI406" s="74"/>
      <c r="AJ406" s="74"/>
      <c r="AK406" s="74"/>
    </row>
    <row r="407">
      <c r="A407" s="74"/>
      <c r="B407" s="74"/>
      <c r="C407" s="74"/>
      <c r="D407" s="74"/>
      <c r="E407" s="74"/>
      <c r="F407" s="74"/>
      <c r="G407" s="74"/>
      <c r="H407" s="74"/>
      <c r="I407" s="74"/>
      <c r="J407" s="74"/>
      <c r="K407" s="74"/>
      <c r="L407" s="74"/>
      <c r="M407" s="74"/>
      <c r="N407" s="74"/>
      <c r="O407" s="74"/>
      <c r="P407" s="74"/>
      <c r="Q407" s="74"/>
      <c r="R407" s="75"/>
      <c r="S407" s="74"/>
      <c r="T407" s="74"/>
      <c r="U407" s="74"/>
      <c r="V407" s="74"/>
      <c r="W407" s="74"/>
      <c r="X407" s="74"/>
      <c r="Y407" s="74"/>
      <c r="Z407" s="74"/>
      <c r="AA407" s="74"/>
      <c r="AB407" s="74"/>
      <c r="AC407" s="74"/>
      <c r="AD407" s="74"/>
      <c r="AE407" s="74"/>
      <c r="AF407" s="74"/>
      <c r="AG407" s="74"/>
      <c r="AH407" s="74"/>
      <c r="AI407" s="74"/>
      <c r="AJ407" s="74"/>
      <c r="AK407" s="74"/>
    </row>
    <row r="408">
      <c r="A408" s="74"/>
      <c r="B408" s="74"/>
      <c r="C408" s="74"/>
      <c r="D408" s="74"/>
      <c r="E408" s="74"/>
      <c r="F408" s="74"/>
      <c r="G408" s="74"/>
      <c r="H408" s="74"/>
      <c r="I408" s="74"/>
      <c r="J408" s="74"/>
      <c r="K408" s="74"/>
      <c r="L408" s="74"/>
      <c r="M408" s="74"/>
      <c r="N408" s="74"/>
      <c r="O408" s="74"/>
      <c r="P408" s="74"/>
      <c r="Q408" s="74"/>
      <c r="R408" s="75"/>
      <c r="S408" s="74"/>
      <c r="T408" s="74"/>
      <c r="U408" s="74"/>
      <c r="V408" s="74"/>
      <c r="W408" s="74"/>
      <c r="X408" s="74"/>
      <c r="Y408" s="74"/>
      <c r="Z408" s="74"/>
      <c r="AA408" s="74"/>
      <c r="AB408" s="74"/>
      <c r="AC408" s="74"/>
      <c r="AD408" s="74"/>
      <c r="AE408" s="74"/>
      <c r="AF408" s="74"/>
      <c r="AG408" s="74"/>
      <c r="AH408" s="74"/>
      <c r="AI408" s="74"/>
      <c r="AJ408" s="74"/>
      <c r="AK408" s="74"/>
    </row>
    <row r="409">
      <c r="A409" s="74"/>
      <c r="B409" s="74"/>
      <c r="C409" s="74"/>
      <c r="D409" s="74"/>
      <c r="E409" s="74"/>
      <c r="F409" s="74"/>
      <c r="G409" s="74"/>
      <c r="H409" s="74"/>
      <c r="I409" s="74"/>
      <c r="J409" s="74"/>
      <c r="K409" s="74"/>
      <c r="L409" s="74"/>
      <c r="M409" s="74"/>
      <c r="N409" s="74"/>
      <c r="O409" s="74"/>
      <c r="P409" s="74"/>
      <c r="Q409" s="74"/>
      <c r="R409" s="75"/>
      <c r="S409" s="74"/>
      <c r="T409" s="74"/>
      <c r="U409" s="74"/>
      <c r="V409" s="74"/>
      <c r="W409" s="74"/>
      <c r="X409" s="74"/>
      <c r="Y409" s="74"/>
      <c r="Z409" s="74"/>
      <c r="AA409" s="74"/>
      <c r="AB409" s="74"/>
      <c r="AC409" s="74"/>
      <c r="AD409" s="74"/>
      <c r="AE409" s="74"/>
      <c r="AF409" s="74"/>
      <c r="AG409" s="74"/>
      <c r="AH409" s="74"/>
      <c r="AI409" s="74"/>
      <c r="AJ409" s="74"/>
      <c r="AK409" s="74"/>
    </row>
    <row r="410">
      <c r="A410" s="74"/>
      <c r="B410" s="74"/>
      <c r="C410" s="74"/>
      <c r="D410" s="74"/>
      <c r="E410" s="74"/>
      <c r="F410" s="74"/>
      <c r="G410" s="74"/>
      <c r="H410" s="74"/>
      <c r="I410" s="74"/>
      <c r="J410" s="74"/>
      <c r="K410" s="74"/>
      <c r="L410" s="74"/>
      <c r="M410" s="74"/>
      <c r="N410" s="74"/>
      <c r="O410" s="74"/>
      <c r="P410" s="74"/>
      <c r="Q410" s="74"/>
      <c r="R410" s="75"/>
      <c r="S410" s="74"/>
      <c r="T410" s="74"/>
      <c r="U410" s="74"/>
      <c r="V410" s="74"/>
      <c r="W410" s="74"/>
      <c r="X410" s="74"/>
      <c r="Y410" s="74"/>
      <c r="Z410" s="74"/>
      <c r="AA410" s="74"/>
      <c r="AB410" s="74"/>
      <c r="AC410" s="74"/>
      <c r="AD410" s="74"/>
      <c r="AE410" s="74"/>
      <c r="AF410" s="74"/>
      <c r="AG410" s="74"/>
      <c r="AH410" s="74"/>
      <c r="AI410" s="74"/>
      <c r="AJ410" s="74"/>
      <c r="AK410" s="74"/>
    </row>
    <row r="411">
      <c r="A411" s="74"/>
      <c r="B411" s="74"/>
      <c r="C411" s="74"/>
      <c r="D411" s="74"/>
      <c r="E411" s="74"/>
      <c r="F411" s="74"/>
      <c r="G411" s="74"/>
      <c r="H411" s="74"/>
      <c r="I411" s="74"/>
      <c r="J411" s="74"/>
      <c r="K411" s="74"/>
      <c r="L411" s="74"/>
      <c r="M411" s="74"/>
      <c r="N411" s="74"/>
      <c r="O411" s="74"/>
      <c r="P411" s="74"/>
      <c r="Q411" s="74"/>
      <c r="R411" s="75"/>
      <c r="S411" s="74"/>
      <c r="T411" s="74"/>
      <c r="U411" s="74"/>
      <c r="V411" s="74"/>
      <c r="W411" s="74"/>
      <c r="X411" s="74"/>
      <c r="Y411" s="74"/>
      <c r="Z411" s="74"/>
      <c r="AA411" s="74"/>
      <c r="AB411" s="74"/>
      <c r="AC411" s="74"/>
      <c r="AD411" s="74"/>
      <c r="AE411" s="74"/>
      <c r="AF411" s="74"/>
      <c r="AG411" s="74"/>
      <c r="AH411" s="74"/>
      <c r="AI411" s="74"/>
      <c r="AJ411" s="74"/>
      <c r="AK411" s="74"/>
    </row>
    <row r="412">
      <c r="A412" s="74"/>
      <c r="B412" s="74"/>
      <c r="C412" s="74"/>
      <c r="D412" s="74"/>
      <c r="E412" s="74"/>
      <c r="F412" s="74"/>
      <c r="G412" s="74"/>
      <c r="H412" s="74"/>
      <c r="I412" s="74"/>
      <c r="J412" s="74"/>
      <c r="K412" s="74"/>
      <c r="L412" s="74"/>
      <c r="M412" s="74"/>
      <c r="N412" s="74"/>
      <c r="O412" s="74"/>
      <c r="P412" s="74"/>
      <c r="Q412" s="74"/>
      <c r="R412" s="75"/>
      <c r="S412" s="74"/>
      <c r="T412" s="74"/>
      <c r="U412" s="74"/>
      <c r="V412" s="74"/>
      <c r="W412" s="74"/>
      <c r="X412" s="74"/>
      <c r="Y412" s="74"/>
      <c r="Z412" s="74"/>
      <c r="AA412" s="74"/>
      <c r="AB412" s="74"/>
      <c r="AC412" s="74"/>
      <c r="AD412" s="74"/>
      <c r="AE412" s="74"/>
      <c r="AF412" s="74"/>
      <c r="AG412" s="74"/>
      <c r="AH412" s="74"/>
      <c r="AI412" s="74"/>
      <c r="AJ412" s="74"/>
      <c r="AK412" s="74"/>
    </row>
    <row r="413">
      <c r="A413" s="74"/>
      <c r="B413" s="74"/>
      <c r="C413" s="74"/>
      <c r="D413" s="74"/>
      <c r="E413" s="74"/>
      <c r="F413" s="74"/>
      <c r="G413" s="74"/>
      <c r="H413" s="74"/>
      <c r="I413" s="74"/>
      <c r="J413" s="74"/>
      <c r="K413" s="74"/>
      <c r="L413" s="74"/>
      <c r="M413" s="74"/>
      <c r="N413" s="74"/>
      <c r="O413" s="74"/>
      <c r="P413" s="74"/>
      <c r="Q413" s="74"/>
      <c r="R413" s="75"/>
      <c r="S413" s="74"/>
      <c r="T413" s="74"/>
      <c r="U413" s="74"/>
      <c r="V413" s="74"/>
      <c r="W413" s="74"/>
      <c r="X413" s="74"/>
      <c r="Y413" s="74"/>
      <c r="Z413" s="74"/>
      <c r="AA413" s="74"/>
      <c r="AB413" s="74"/>
      <c r="AC413" s="74"/>
      <c r="AD413" s="74"/>
      <c r="AE413" s="74"/>
      <c r="AF413" s="74"/>
      <c r="AG413" s="74"/>
      <c r="AH413" s="74"/>
      <c r="AI413" s="74"/>
      <c r="AJ413" s="74"/>
      <c r="AK413" s="74"/>
    </row>
    <row r="414">
      <c r="A414" s="74"/>
      <c r="B414" s="74"/>
      <c r="C414" s="74"/>
      <c r="D414" s="74"/>
      <c r="E414" s="74"/>
      <c r="F414" s="74"/>
      <c r="G414" s="74"/>
      <c r="H414" s="74"/>
      <c r="I414" s="74"/>
      <c r="J414" s="74"/>
      <c r="K414" s="74"/>
      <c r="L414" s="74"/>
      <c r="M414" s="74"/>
      <c r="N414" s="74"/>
      <c r="O414" s="74"/>
      <c r="P414" s="74"/>
      <c r="Q414" s="74"/>
      <c r="R414" s="75"/>
      <c r="S414" s="74"/>
      <c r="T414" s="74"/>
      <c r="U414" s="74"/>
      <c r="V414" s="74"/>
      <c r="W414" s="74"/>
      <c r="X414" s="74"/>
      <c r="Y414" s="74"/>
      <c r="Z414" s="74"/>
      <c r="AA414" s="74"/>
      <c r="AB414" s="74"/>
      <c r="AC414" s="74"/>
      <c r="AD414" s="74"/>
      <c r="AE414" s="74"/>
      <c r="AF414" s="74"/>
      <c r="AG414" s="74"/>
      <c r="AH414" s="74"/>
      <c r="AI414" s="74"/>
      <c r="AJ414" s="74"/>
      <c r="AK414" s="74"/>
    </row>
    <row r="415">
      <c r="A415" s="74"/>
      <c r="B415" s="74"/>
      <c r="C415" s="74"/>
      <c r="D415" s="74"/>
      <c r="E415" s="74"/>
      <c r="F415" s="74"/>
      <c r="G415" s="74"/>
      <c r="H415" s="74"/>
      <c r="I415" s="74"/>
      <c r="J415" s="74"/>
      <c r="K415" s="74"/>
      <c r="L415" s="74"/>
      <c r="M415" s="74"/>
      <c r="N415" s="74"/>
      <c r="O415" s="74"/>
      <c r="P415" s="74"/>
      <c r="Q415" s="74"/>
      <c r="R415" s="75"/>
      <c r="S415" s="74"/>
      <c r="T415" s="74"/>
      <c r="U415" s="74"/>
      <c r="V415" s="74"/>
      <c r="W415" s="74"/>
      <c r="X415" s="74"/>
      <c r="Y415" s="74"/>
      <c r="Z415" s="74"/>
      <c r="AA415" s="74"/>
      <c r="AB415" s="74"/>
      <c r="AC415" s="74"/>
      <c r="AD415" s="74"/>
      <c r="AE415" s="74"/>
      <c r="AF415" s="74"/>
      <c r="AG415" s="74"/>
      <c r="AH415" s="74"/>
      <c r="AI415" s="74"/>
      <c r="AJ415" s="74"/>
      <c r="AK415" s="74"/>
    </row>
    <row r="416">
      <c r="A416" s="74"/>
      <c r="B416" s="74"/>
      <c r="C416" s="74"/>
      <c r="D416" s="74"/>
      <c r="E416" s="74"/>
      <c r="F416" s="74"/>
      <c r="G416" s="74"/>
      <c r="H416" s="74"/>
      <c r="I416" s="74"/>
      <c r="J416" s="74"/>
      <c r="K416" s="74"/>
      <c r="L416" s="74"/>
      <c r="M416" s="74"/>
      <c r="N416" s="74"/>
      <c r="O416" s="74"/>
      <c r="P416" s="74"/>
      <c r="Q416" s="74"/>
      <c r="R416" s="75"/>
      <c r="S416" s="74"/>
      <c r="T416" s="74"/>
      <c r="U416" s="74"/>
      <c r="V416" s="74"/>
      <c r="W416" s="74"/>
      <c r="X416" s="74"/>
      <c r="Y416" s="74"/>
      <c r="Z416" s="74"/>
      <c r="AA416" s="74"/>
      <c r="AB416" s="74"/>
      <c r="AC416" s="74"/>
      <c r="AD416" s="74"/>
      <c r="AE416" s="74"/>
      <c r="AF416" s="74"/>
      <c r="AG416" s="74"/>
      <c r="AH416" s="74"/>
      <c r="AI416" s="74"/>
      <c r="AJ416" s="74"/>
      <c r="AK416" s="74"/>
    </row>
    <row r="417">
      <c r="A417" s="74"/>
      <c r="B417" s="74"/>
      <c r="C417" s="74"/>
      <c r="D417" s="74"/>
      <c r="E417" s="74"/>
      <c r="F417" s="74"/>
      <c r="G417" s="74"/>
      <c r="H417" s="74"/>
      <c r="I417" s="74"/>
      <c r="J417" s="74"/>
      <c r="K417" s="74"/>
      <c r="L417" s="74"/>
      <c r="M417" s="74"/>
      <c r="N417" s="74"/>
      <c r="O417" s="74"/>
      <c r="P417" s="74"/>
      <c r="Q417" s="74"/>
      <c r="R417" s="75"/>
      <c r="S417" s="74"/>
      <c r="T417" s="74"/>
      <c r="U417" s="74"/>
      <c r="V417" s="74"/>
      <c r="W417" s="74"/>
      <c r="X417" s="74"/>
      <c r="Y417" s="74"/>
      <c r="Z417" s="74"/>
      <c r="AA417" s="74"/>
      <c r="AB417" s="74"/>
      <c r="AC417" s="74"/>
      <c r="AD417" s="74"/>
      <c r="AE417" s="74"/>
      <c r="AF417" s="74"/>
      <c r="AG417" s="74"/>
      <c r="AH417" s="74"/>
      <c r="AI417" s="74"/>
      <c r="AJ417" s="74"/>
      <c r="AK417" s="74"/>
    </row>
    <row r="418">
      <c r="A418" s="74"/>
      <c r="B418" s="74"/>
      <c r="C418" s="74"/>
      <c r="D418" s="74"/>
      <c r="E418" s="74"/>
      <c r="F418" s="74"/>
      <c r="G418" s="74"/>
      <c r="H418" s="74"/>
      <c r="I418" s="74"/>
      <c r="J418" s="74"/>
      <c r="K418" s="74"/>
      <c r="L418" s="74"/>
      <c r="M418" s="74"/>
      <c r="N418" s="74"/>
      <c r="O418" s="74"/>
      <c r="P418" s="74"/>
      <c r="Q418" s="74"/>
      <c r="R418" s="75"/>
      <c r="S418" s="74"/>
      <c r="T418" s="74"/>
      <c r="U418" s="74"/>
      <c r="V418" s="74"/>
      <c r="W418" s="74"/>
      <c r="X418" s="74"/>
      <c r="Y418" s="74"/>
      <c r="Z418" s="74"/>
      <c r="AA418" s="74"/>
      <c r="AB418" s="74"/>
      <c r="AC418" s="74"/>
      <c r="AD418" s="74"/>
      <c r="AE418" s="74"/>
      <c r="AF418" s="74"/>
      <c r="AG418" s="74"/>
      <c r="AH418" s="74"/>
      <c r="AI418" s="74"/>
      <c r="AJ418" s="74"/>
      <c r="AK418" s="74"/>
    </row>
    <row r="419">
      <c r="A419" s="74"/>
      <c r="B419" s="74"/>
      <c r="C419" s="74"/>
      <c r="D419" s="74"/>
      <c r="E419" s="74"/>
      <c r="F419" s="74"/>
      <c r="G419" s="74"/>
      <c r="H419" s="74"/>
      <c r="I419" s="74"/>
      <c r="J419" s="74"/>
      <c r="K419" s="74"/>
      <c r="L419" s="74"/>
      <c r="M419" s="74"/>
      <c r="N419" s="74"/>
      <c r="O419" s="74"/>
      <c r="P419" s="74"/>
      <c r="Q419" s="74"/>
      <c r="R419" s="75"/>
      <c r="S419" s="74"/>
      <c r="T419" s="74"/>
      <c r="U419" s="74"/>
      <c r="V419" s="74"/>
      <c r="W419" s="74"/>
      <c r="X419" s="74"/>
      <c r="Y419" s="74"/>
      <c r="Z419" s="74"/>
      <c r="AA419" s="74"/>
      <c r="AB419" s="74"/>
      <c r="AC419" s="74"/>
      <c r="AD419" s="74"/>
      <c r="AE419" s="74"/>
      <c r="AF419" s="74"/>
      <c r="AG419" s="74"/>
      <c r="AH419" s="74"/>
      <c r="AI419" s="74"/>
      <c r="AJ419" s="74"/>
      <c r="AK419" s="74"/>
    </row>
    <row r="420">
      <c r="A420" s="74"/>
      <c r="B420" s="74"/>
      <c r="C420" s="74"/>
      <c r="D420" s="74"/>
      <c r="E420" s="74"/>
      <c r="F420" s="74"/>
      <c r="G420" s="74"/>
      <c r="H420" s="74"/>
      <c r="I420" s="74"/>
      <c r="J420" s="74"/>
      <c r="K420" s="74"/>
      <c r="L420" s="74"/>
      <c r="M420" s="74"/>
      <c r="N420" s="74"/>
      <c r="O420" s="74"/>
      <c r="P420" s="74"/>
      <c r="Q420" s="74"/>
      <c r="R420" s="75"/>
      <c r="S420" s="74"/>
      <c r="T420" s="74"/>
      <c r="U420" s="74"/>
      <c r="V420" s="74"/>
      <c r="W420" s="74"/>
      <c r="X420" s="74"/>
      <c r="Y420" s="74"/>
      <c r="Z420" s="74"/>
      <c r="AA420" s="74"/>
      <c r="AB420" s="74"/>
      <c r="AC420" s="74"/>
      <c r="AD420" s="74"/>
      <c r="AE420" s="74"/>
      <c r="AF420" s="74"/>
      <c r="AG420" s="74"/>
      <c r="AH420" s="74"/>
      <c r="AI420" s="74"/>
      <c r="AJ420" s="74"/>
      <c r="AK420" s="74"/>
    </row>
    <row r="421">
      <c r="A421" s="74"/>
      <c r="B421" s="74"/>
      <c r="C421" s="74"/>
      <c r="D421" s="74"/>
      <c r="E421" s="74"/>
      <c r="F421" s="74"/>
      <c r="G421" s="74"/>
      <c r="H421" s="74"/>
      <c r="I421" s="74"/>
      <c r="J421" s="74"/>
      <c r="K421" s="74"/>
      <c r="L421" s="74"/>
      <c r="M421" s="74"/>
      <c r="N421" s="74"/>
      <c r="O421" s="74"/>
      <c r="P421" s="74"/>
      <c r="Q421" s="74"/>
      <c r="R421" s="75"/>
      <c r="S421" s="74"/>
      <c r="T421" s="74"/>
      <c r="U421" s="74"/>
      <c r="V421" s="74"/>
      <c r="W421" s="74"/>
      <c r="X421" s="74"/>
      <c r="Y421" s="74"/>
      <c r="Z421" s="74"/>
      <c r="AA421" s="74"/>
      <c r="AB421" s="74"/>
      <c r="AC421" s="74"/>
      <c r="AD421" s="74"/>
      <c r="AE421" s="74"/>
      <c r="AF421" s="74"/>
      <c r="AG421" s="74"/>
      <c r="AH421" s="74"/>
      <c r="AI421" s="74"/>
      <c r="AJ421" s="74"/>
      <c r="AK421" s="74"/>
    </row>
    <row r="422">
      <c r="A422" s="74"/>
      <c r="B422" s="74"/>
      <c r="C422" s="74"/>
      <c r="D422" s="74"/>
      <c r="E422" s="74"/>
      <c r="F422" s="74"/>
      <c r="G422" s="74"/>
      <c r="H422" s="74"/>
      <c r="I422" s="74"/>
      <c r="J422" s="74"/>
      <c r="K422" s="74"/>
      <c r="L422" s="74"/>
      <c r="M422" s="74"/>
      <c r="N422" s="74"/>
      <c r="O422" s="74"/>
      <c r="P422" s="74"/>
      <c r="Q422" s="74"/>
      <c r="R422" s="75"/>
      <c r="S422" s="74"/>
      <c r="T422" s="74"/>
      <c r="U422" s="74"/>
      <c r="V422" s="74"/>
      <c r="W422" s="74"/>
      <c r="X422" s="74"/>
      <c r="Y422" s="74"/>
      <c r="Z422" s="74"/>
      <c r="AA422" s="74"/>
      <c r="AB422" s="74"/>
      <c r="AC422" s="74"/>
      <c r="AD422" s="74"/>
      <c r="AE422" s="74"/>
      <c r="AF422" s="74"/>
      <c r="AG422" s="74"/>
      <c r="AH422" s="74"/>
      <c r="AI422" s="74"/>
      <c r="AJ422" s="74"/>
      <c r="AK422" s="74"/>
    </row>
    <row r="423">
      <c r="A423" s="74"/>
      <c r="B423" s="74"/>
      <c r="C423" s="74"/>
      <c r="D423" s="74"/>
      <c r="E423" s="74"/>
      <c r="F423" s="74"/>
      <c r="G423" s="74"/>
      <c r="H423" s="74"/>
      <c r="I423" s="74"/>
      <c r="J423" s="74"/>
      <c r="K423" s="74"/>
      <c r="L423" s="74"/>
      <c r="M423" s="74"/>
      <c r="N423" s="74"/>
      <c r="O423" s="74"/>
      <c r="P423" s="74"/>
      <c r="Q423" s="74"/>
      <c r="R423" s="75"/>
      <c r="S423" s="74"/>
      <c r="T423" s="74"/>
      <c r="U423" s="74"/>
      <c r="V423" s="74"/>
      <c r="W423" s="74"/>
      <c r="X423" s="74"/>
      <c r="Y423" s="74"/>
      <c r="Z423" s="74"/>
      <c r="AA423" s="74"/>
      <c r="AB423" s="74"/>
      <c r="AC423" s="74"/>
      <c r="AD423" s="74"/>
      <c r="AE423" s="74"/>
      <c r="AF423" s="74"/>
      <c r="AG423" s="74"/>
      <c r="AH423" s="74"/>
      <c r="AI423" s="74"/>
      <c r="AJ423" s="74"/>
      <c r="AK423" s="74"/>
    </row>
    <row r="424">
      <c r="A424" s="74"/>
      <c r="B424" s="74"/>
      <c r="C424" s="74"/>
      <c r="D424" s="74"/>
      <c r="E424" s="74"/>
      <c r="F424" s="74"/>
      <c r="G424" s="74"/>
      <c r="H424" s="74"/>
      <c r="I424" s="74"/>
      <c r="J424" s="74"/>
      <c r="K424" s="74"/>
      <c r="L424" s="74"/>
      <c r="M424" s="74"/>
      <c r="N424" s="74"/>
      <c r="O424" s="74"/>
      <c r="P424" s="74"/>
      <c r="Q424" s="74"/>
      <c r="R424" s="75"/>
      <c r="S424" s="74"/>
      <c r="T424" s="74"/>
      <c r="U424" s="74"/>
      <c r="V424" s="74"/>
      <c r="W424" s="74"/>
      <c r="X424" s="74"/>
      <c r="Y424" s="74"/>
      <c r="Z424" s="74"/>
      <c r="AA424" s="74"/>
      <c r="AB424" s="74"/>
      <c r="AC424" s="74"/>
      <c r="AD424" s="74"/>
      <c r="AE424" s="74"/>
      <c r="AF424" s="74"/>
      <c r="AG424" s="74"/>
      <c r="AH424" s="74"/>
      <c r="AI424" s="74"/>
      <c r="AJ424" s="74"/>
      <c r="AK424" s="74"/>
    </row>
    <row r="425">
      <c r="A425" s="74"/>
      <c r="B425" s="74"/>
      <c r="C425" s="74"/>
      <c r="D425" s="74"/>
      <c r="E425" s="74"/>
      <c r="F425" s="74"/>
      <c r="G425" s="74"/>
      <c r="H425" s="74"/>
      <c r="I425" s="74"/>
      <c r="J425" s="74"/>
      <c r="K425" s="74"/>
      <c r="L425" s="74"/>
      <c r="M425" s="74"/>
      <c r="N425" s="74"/>
      <c r="O425" s="74"/>
      <c r="P425" s="74"/>
      <c r="Q425" s="74"/>
      <c r="R425" s="75"/>
      <c r="S425" s="74"/>
      <c r="T425" s="74"/>
      <c r="U425" s="74"/>
      <c r="V425" s="74"/>
      <c r="W425" s="74"/>
      <c r="X425" s="74"/>
      <c r="Y425" s="74"/>
      <c r="Z425" s="74"/>
      <c r="AA425" s="74"/>
      <c r="AB425" s="74"/>
      <c r="AC425" s="74"/>
      <c r="AD425" s="74"/>
      <c r="AE425" s="74"/>
      <c r="AF425" s="74"/>
      <c r="AG425" s="74"/>
      <c r="AH425" s="74"/>
      <c r="AI425" s="74"/>
      <c r="AJ425" s="74"/>
      <c r="AK425" s="74"/>
    </row>
    <row r="426">
      <c r="A426" s="74"/>
      <c r="B426" s="74"/>
      <c r="C426" s="74"/>
      <c r="D426" s="74"/>
      <c r="E426" s="74"/>
      <c r="F426" s="74"/>
      <c r="G426" s="74"/>
      <c r="H426" s="74"/>
      <c r="I426" s="74"/>
      <c r="J426" s="74"/>
      <c r="K426" s="74"/>
      <c r="L426" s="74"/>
      <c r="M426" s="74"/>
      <c r="N426" s="74"/>
      <c r="O426" s="74"/>
      <c r="P426" s="74"/>
      <c r="Q426" s="74"/>
      <c r="R426" s="75"/>
      <c r="S426" s="74"/>
      <c r="T426" s="74"/>
      <c r="U426" s="74"/>
      <c r="V426" s="74"/>
      <c r="W426" s="74"/>
      <c r="X426" s="74"/>
      <c r="Y426" s="74"/>
      <c r="Z426" s="74"/>
      <c r="AA426" s="74"/>
      <c r="AB426" s="74"/>
      <c r="AC426" s="74"/>
      <c r="AD426" s="74"/>
      <c r="AE426" s="74"/>
      <c r="AF426" s="74"/>
      <c r="AG426" s="74"/>
      <c r="AH426" s="74"/>
      <c r="AI426" s="74"/>
      <c r="AJ426" s="74"/>
      <c r="AK426" s="74"/>
    </row>
    <row r="427">
      <c r="A427" s="74"/>
      <c r="B427" s="74"/>
      <c r="C427" s="74"/>
      <c r="D427" s="74"/>
      <c r="E427" s="74"/>
      <c r="F427" s="74"/>
      <c r="G427" s="74"/>
      <c r="H427" s="74"/>
      <c r="I427" s="74"/>
      <c r="J427" s="74"/>
      <c r="K427" s="74"/>
      <c r="L427" s="74"/>
      <c r="M427" s="74"/>
      <c r="N427" s="74"/>
      <c r="O427" s="74"/>
      <c r="P427" s="74"/>
      <c r="Q427" s="74"/>
      <c r="R427" s="75"/>
      <c r="S427" s="74"/>
      <c r="T427" s="74"/>
      <c r="U427" s="74"/>
      <c r="V427" s="74"/>
      <c r="W427" s="74"/>
      <c r="X427" s="74"/>
      <c r="Y427" s="74"/>
      <c r="Z427" s="74"/>
      <c r="AA427" s="74"/>
      <c r="AB427" s="74"/>
      <c r="AC427" s="74"/>
      <c r="AD427" s="74"/>
      <c r="AE427" s="74"/>
      <c r="AF427" s="74"/>
      <c r="AG427" s="74"/>
      <c r="AH427" s="74"/>
      <c r="AI427" s="74"/>
      <c r="AJ427" s="74"/>
      <c r="AK427" s="74"/>
    </row>
    <row r="428">
      <c r="A428" s="74"/>
      <c r="B428" s="74"/>
      <c r="C428" s="74"/>
      <c r="D428" s="74"/>
      <c r="E428" s="74"/>
      <c r="F428" s="74"/>
      <c r="G428" s="74"/>
      <c r="H428" s="74"/>
      <c r="I428" s="74"/>
      <c r="J428" s="74"/>
      <c r="K428" s="74"/>
      <c r="L428" s="74"/>
      <c r="M428" s="74"/>
      <c r="N428" s="74"/>
      <c r="O428" s="74"/>
      <c r="P428" s="74"/>
      <c r="Q428" s="74"/>
      <c r="R428" s="75"/>
      <c r="S428" s="74"/>
      <c r="T428" s="74"/>
      <c r="U428" s="74"/>
      <c r="V428" s="74"/>
      <c r="W428" s="74"/>
      <c r="X428" s="74"/>
      <c r="Y428" s="74"/>
      <c r="Z428" s="74"/>
      <c r="AA428" s="74"/>
      <c r="AB428" s="74"/>
      <c r="AC428" s="74"/>
      <c r="AD428" s="74"/>
      <c r="AE428" s="74"/>
      <c r="AF428" s="74"/>
      <c r="AG428" s="74"/>
      <c r="AH428" s="74"/>
      <c r="AI428" s="74"/>
      <c r="AJ428" s="74"/>
      <c r="AK428" s="74"/>
    </row>
    <row r="429">
      <c r="A429" s="74"/>
      <c r="B429" s="74"/>
      <c r="C429" s="74"/>
      <c r="D429" s="74"/>
      <c r="E429" s="74"/>
      <c r="F429" s="74"/>
      <c r="G429" s="74"/>
      <c r="H429" s="74"/>
      <c r="I429" s="74"/>
      <c r="J429" s="74"/>
      <c r="K429" s="74"/>
      <c r="L429" s="74"/>
      <c r="M429" s="74"/>
      <c r="N429" s="74"/>
      <c r="O429" s="74"/>
      <c r="P429" s="74"/>
      <c r="Q429" s="74"/>
      <c r="R429" s="75"/>
      <c r="S429" s="74"/>
      <c r="T429" s="74"/>
      <c r="U429" s="74"/>
      <c r="V429" s="74"/>
      <c r="W429" s="74"/>
      <c r="X429" s="74"/>
      <c r="Y429" s="74"/>
      <c r="Z429" s="74"/>
      <c r="AA429" s="74"/>
      <c r="AB429" s="74"/>
      <c r="AC429" s="74"/>
      <c r="AD429" s="74"/>
      <c r="AE429" s="74"/>
      <c r="AF429" s="74"/>
      <c r="AG429" s="74"/>
      <c r="AH429" s="74"/>
      <c r="AI429" s="74"/>
      <c r="AJ429" s="74"/>
      <c r="AK429" s="74"/>
    </row>
    <row r="430">
      <c r="A430" s="74"/>
      <c r="B430" s="74"/>
      <c r="C430" s="74"/>
      <c r="D430" s="74"/>
      <c r="E430" s="74"/>
      <c r="F430" s="74"/>
      <c r="G430" s="74"/>
      <c r="H430" s="74"/>
      <c r="I430" s="74"/>
      <c r="J430" s="74"/>
      <c r="K430" s="74"/>
      <c r="L430" s="74"/>
      <c r="M430" s="74"/>
      <c r="N430" s="74"/>
      <c r="O430" s="74"/>
      <c r="P430" s="74"/>
      <c r="Q430" s="74"/>
      <c r="R430" s="75"/>
      <c r="S430" s="74"/>
      <c r="T430" s="74"/>
      <c r="U430" s="74"/>
      <c r="V430" s="74"/>
      <c r="W430" s="74"/>
      <c r="X430" s="74"/>
      <c r="Y430" s="74"/>
      <c r="Z430" s="74"/>
      <c r="AA430" s="74"/>
      <c r="AB430" s="74"/>
      <c r="AC430" s="74"/>
      <c r="AD430" s="74"/>
      <c r="AE430" s="74"/>
      <c r="AF430" s="74"/>
      <c r="AG430" s="74"/>
      <c r="AH430" s="74"/>
      <c r="AI430" s="74"/>
      <c r="AJ430" s="74"/>
      <c r="AK430" s="74"/>
    </row>
    <row r="431">
      <c r="A431" s="74"/>
      <c r="B431" s="74"/>
      <c r="C431" s="74"/>
      <c r="D431" s="74"/>
      <c r="E431" s="74"/>
      <c r="F431" s="74"/>
      <c r="G431" s="74"/>
      <c r="H431" s="74"/>
      <c r="I431" s="74"/>
      <c r="J431" s="74"/>
      <c r="K431" s="74"/>
      <c r="L431" s="74"/>
      <c r="M431" s="74"/>
      <c r="N431" s="74"/>
      <c r="O431" s="74"/>
      <c r="P431" s="74"/>
      <c r="Q431" s="74"/>
      <c r="R431" s="75"/>
      <c r="S431" s="74"/>
      <c r="T431" s="74"/>
      <c r="U431" s="74"/>
      <c r="V431" s="74"/>
      <c r="W431" s="74"/>
      <c r="X431" s="74"/>
      <c r="Y431" s="74"/>
      <c r="Z431" s="74"/>
      <c r="AA431" s="74"/>
      <c r="AB431" s="74"/>
      <c r="AC431" s="74"/>
      <c r="AD431" s="74"/>
      <c r="AE431" s="74"/>
      <c r="AF431" s="74"/>
      <c r="AG431" s="74"/>
      <c r="AH431" s="74"/>
      <c r="AI431" s="74"/>
      <c r="AJ431" s="74"/>
      <c r="AK431" s="74"/>
    </row>
    <row r="432">
      <c r="A432" s="74"/>
      <c r="B432" s="74"/>
      <c r="C432" s="74"/>
      <c r="D432" s="74"/>
      <c r="E432" s="74"/>
      <c r="F432" s="74"/>
      <c r="G432" s="74"/>
      <c r="H432" s="74"/>
      <c r="I432" s="74"/>
      <c r="J432" s="74"/>
      <c r="K432" s="74"/>
      <c r="L432" s="74"/>
      <c r="M432" s="74"/>
      <c r="N432" s="74"/>
      <c r="O432" s="74"/>
      <c r="P432" s="74"/>
      <c r="Q432" s="74"/>
      <c r="R432" s="75"/>
      <c r="S432" s="74"/>
      <c r="T432" s="74"/>
      <c r="U432" s="74"/>
      <c r="V432" s="74"/>
      <c r="W432" s="74"/>
      <c r="X432" s="74"/>
      <c r="Y432" s="74"/>
      <c r="Z432" s="74"/>
      <c r="AA432" s="74"/>
      <c r="AB432" s="74"/>
      <c r="AC432" s="74"/>
      <c r="AD432" s="74"/>
      <c r="AE432" s="74"/>
      <c r="AF432" s="74"/>
      <c r="AG432" s="74"/>
      <c r="AH432" s="74"/>
      <c r="AI432" s="74"/>
      <c r="AJ432" s="74"/>
      <c r="AK432" s="74"/>
    </row>
    <row r="433">
      <c r="A433" s="74"/>
      <c r="B433" s="74"/>
      <c r="C433" s="74"/>
      <c r="D433" s="74"/>
      <c r="E433" s="74"/>
      <c r="F433" s="74"/>
      <c r="G433" s="74"/>
      <c r="H433" s="74"/>
      <c r="I433" s="74"/>
      <c r="J433" s="74"/>
      <c r="K433" s="74"/>
      <c r="L433" s="74"/>
      <c r="M433" s="74"/>
      <c r="N433" s="74"/>
      <c r="O433" s="74"/>
      <c r="P433" s="74"/>
      <c r="Q433" s="74"/>
      <c r="R433" s="75"/>
      <c r="S433" s="74"/>
      <c r="T433" s="74"/>
      <c r="U433" s="74"/>
      <c r="V433" s="74"/>
      <c r="W433" s="74"/>
      <c r="X433" s="74"/>
      <c r="Y433" s="74"/>
      <c r="Z433" s="74"/>
      <c r="AA433" s="74"/>
      <c r="AB433" s="74"/>
      <c r="AC433" s="74"/>
      <c r="AD433" s="74"/>
      <c r="AE433" s="74"/>
      <c r="AF433" s="74"/>
      <c r="AG433" s="74"/>
      <c r="AH433" s="74"/>
      <c r="AI433" s="74"/>
      <c r="AJ433" s="74"/>
      <c r="AK433" s="74"/>
    </row>
    <row r="434">
      <c r="A434" s="74"/>
      <c r="B434" s="74"/>
      <c r="C434" s="74"/>
      <c r="D434" s="74"/>
      <c r="E434" s="74"/>
      <c r="F434" s="74"/>
      <c r="G434" s="74"/>
      <c r="H434" s="74"/>
      <c r="I434" s="74"/>
      <c r="J434" s="74"/>
      <c r="K434" s="74"/>
      <c r="L434" s="74"/>
      <c r="M434" s="74"/>
      <c r="N434" s="74"/>
      <c r="O434" s="74"/>
      <c r="P434" s="74"/>
      <c r="Q434" s="74"/>
      <c r="R434" s="75"/>
      <c r="S434" s="74"/>
      <c r="T434" s="74"/>
      <c r="U434" s="74"/>
      <c r="V434" s="74"/>
      <c r="W434" s="74"/>
      <c r="X434" s="74"/>
      <c r="Y434" s="74"/>
      <c r="Z434" s="74"/>
      <c r="AA434" s="74"/>
      <c r="AB434" s="74"/>
      <c r="AC434" s="74"/>
      <c r="AD434" s="74"/>
      <c r="AE434" s="74"/>
      <c r="AF434" s="74"/>
      <c r="AG434" s="74"/>
      <c r="AH434" s="74"/>
      <c r="AI434" s="74"/>
      <c r="AJ434" s="74"/>
      <c r="AK434" s="74"/>
    </row>
    <row r="435">
      <c r="A435" s="74"/>
      <c r="B435" s="74"/>
      <c r="C435" s="74"/>
      <c r="D435" s="74"/>
      <c r="E435" s="74"/>
      <c r="F435" s="74"/>
      <c r="G435" s="74"/>
      <c r="H435" s="74"/>
      <c r="I435" s="74"/>
      <c r="J435" s="74"/>
      <c r="K435" s="74"/>
      <c r="L435" s="74"/>
      <c r="M435" s="74"/>
      <c r="N435" s="74"/>
      <c r="O435" s="74"/>
      <c r="P435" s="74"/>
      <c r="Q435" s="74"/>
      <c r="R435" s="75"/>
      <c r="S435" s="74"/>
      <c r="T435" s="74"/>
      <c r="U435" s="74"/>
      <c r="V435" s="74"/>
      <c r="W435" s="74"/>
      <c r="X435" s="74"/>
      <c r="Y435" s="74"/>
      <c r="Z435" s="74"/>
      <c r="AA435" s="74"/>
      <c r="AB435" s="74"/>
      <c r="AC435" s="74"/>
      <c r="AD435" s="74"/>
      <c r="AE435" s="74"/>
      <c r="AF435" s="74"/>
      <c r="AG435" s="74"/>
      <c r="AH435" s="74"/>
      <c r="AI435" s="74"/>
      <c r="AJ435" s="74"/>
      <c r="AK435" s="74"/>
    </row>
    <row r="436">
      <c r="A436" s="74"/>
      <c r="B436" s="74"/>
      <c r="C436" s="74"/>
      <c r="D436" s="74"/>
      <c r="E436" s="74"/>
      <c r="F436" s="74"/>
      <c r="G436" s="74"/>
      <c r="H436" s="74"/>
      <c r="I436" s="74"/>
      <c r="J436" s="74"/>
      <c r="K436" s="74"/>
      <c r="L436" s="74"/>
      <c r="M436" s="74"/>
      <c r="N436" s="74"/>
      <c r="O436" s="74"/>
      <c r="P436" s="74"/>
      <c r="Q436" s="74"/>
      <c r="R436" s="75"/>
      <c r="S436" s="74"/>
      <c r="T436" s="74"/>
      <c r="U436" s="74"/>
      <c r="V436" s="74"/>
      <c r="W436" s="74"/>
      <c r="X436" s="74"/>
      <c r="Y436" s="74"/>
      <c r="Z436" s="74"/>
      <c r="AA436" s="74"/>
      <c r="AB436" s="74"/>
      <c r="AC436" s="74"/>
      <c r="AD436" s="74"/>
      <c r="AE436" s="74"/>
      <c r="AF436" s="74"/>
      <c r="AG436" s="74"/>
      <c r="AH436" s="74"/>
      <c r="AI436" s="74"/>
      <c r="AJ436" s="74"/>
      <c r="AK436" s="74"/>
    </row>
    <row r="437">
      <c r="A437" s="74"/>
      <c r="B437" s="74"/>
      <c r="C437" s="74"/>
      <c r="D437" s="74"/>
      <c r="E437" s="74"/>
      <c r="F437" s="74"/>
      <c r="G437" s="74"/>
      <c r="H437" s="74"/>
      <c r="I437" s="74"/>
      <c r="J437" s="74"/>
      <c r="K437" s="74"/>
      <c r="L437" s="74"/>
      <c r="M437" s="74"/>
      <c r="N437" s="74"/>
      <c r="O437" s="74"/>
      <c r="P437" s="74"/>
      <c r="Q437" s="74"/>
      <c r="R437" s="75"/>
      <c r="S437" s="74"/>
      <c r="T437" s="74"/>
      <c r="U437" s="74"/>
      <c r="V437" s="74"/>
      <c r="W437" s="74"/>
      <c r="X437" s="74"/>
      <c r="Y437" s="74"/>
      <c r="Z437" s="74"/>
      <c r="AA437" s="74"/>
      <c r="AB437" s="74"/>
      <c r="AC437" s="74"/>
      <c r="AD437" s="74"/>
      <c r="AE437" s="74"/>
      <c r="AF437" s="74"/>
      <c r="AG437" s="74"/>
      <c r="AH437" s="74"/>
      <c r="AI437" s="74"/>
      <c r="AJ437" s="74"/>
      <c r="AK437" s="74"/>
    </row>
    <row r="438">
      <c r="A438" s="74"/>
      <c r="B438" s="74"/>
      <c r="C438" s="74"/>
      <c r="D438" s="74"/>
      <c r="E438" s="74"/>
      <c r="F438" s="74"/>
      <c r="G438" s="74"/>
      <c r="H438" s="74"/>
      <c r="I438" s="74"/>
      <c r="J438" s="74"/>
      <c r="K438" s="74"/>
      <c r="L438" s="74"/>
      <c r="M438" s="74"/>
      <c r="N438" s="74"/>
      <c r="O438" s="74"/>
      <c r="P438" s="74"/>
      <c r="Q438" s="74"/>
      <c r="R438" s="75"/>
      <c r="S438" s="74"/>
      <c r="T438" s="74"/>
      <c r="U438" s="74"/>
      <c r="V438" s="74"/>
      <c r="W438" s="74"/>
      <c r="X438" s="74"/>
      <c r="Y438" s="74"/>
      <c r="Z438" s="74"/>
      <c r="AA438" s="74"/>
      <c r="AB438" s="74"/>
      <c r="AC438" s="74"/>
      <c r="AD438" s="74"/>
      <c r="AE438" s="74"/>
      <c r="AF438" s="74"/>
      <c r="AG438" s="74"/>
      <c r="AH438" s="74"/>
      <c r="AI438" s="74"/>
      <c r="AJ438" s="74"/>
      <c r="AK438" s="74"/>
    </row>
    <row r="439">
      <c r="A439" s="74"/>
      <c r="B439" s="74"/>
      <c r="C439" s="74"/>
      <c r="D439" s="74"/>
      <c r="E439" s="74"/>
      <c r="F439" s="74"/>
      <c r="G439" s="74"/>
      <c r="H439" s="74"/>
      <c r="I439" s="74"/>
      <c r="J439" s="74"/>
      <c r="K439" s="74"/>
      <c r="L439" s="74"/>
      <c r="M439" s="74"/>
      <c r="N439" s="74"/>
      <c r="O439" s="74"/>
      <c r="P439" s="74"/>
      <c r="Q439" s="74"/>
      <c r="R439" s="75"/>
      <c r="S439" s="74"/>
      <c r="T439" s="74"/>
      <c r="U439" s="74"/>
      <c r="V439" s="74"/>
      <c r="W439" s="74"/>
      <c r="X439" s="74"/>
      <c r="Y439" s="74"/>
      <c r="Z439" s="74"/>
      <c r="AA439" s="74"/>
      <c r="AB439" s="74"/>
      <c r="AC439" s="74"/>
      <c r="AD439" s="74"/>
      <c r="AE439" s="74"/>
      <c r="AF439" s="74"/>
      <c r="AG439" s="74"/>
      <c r="AH439" s="74"/>
      <c r="AI439" s="74"/>
      <c r="AJ439" s="74"/>
      <c r="AK439" s="74"/>
    </row>
    <row r="440">
      <c r="A440" s="74"/>
      <c r="B440" s="74"/>
      <c r="C440" s="74"/>
      <c r="D440" s="74"/>
      <c r="E440" s="74"/>
      <c r="F440" s="74"/>
      <c r="G440" s="74"/>
      <c r="H440" s="74"/>
      <c r="I440" s="74"/>
      <c r="J440" s="74"/>
      <c r="K440" s="74"/>
      <c r="L440" s="74"/>
      <c r="M440" s="74"/>
      <c r="N440" s="74"/>
      <c r="O440" s="74"/>
      <c r="P440" s="74"/>
      <c r="Q440" s="74"/>
      <c r="R440" s="75"/>
      <c r="S440" s="74"/>
      <c r="T440" s="74"/>
      <c r="U440" s="74"/>
      <c r="V440" s="74"/>
      <c r="W440" s="74"/>
      <c r="X440" s="74"/>
      <c r="Y440" s="74"/>
      <c r="Z440" s="74"/>
      <c r="AA440" s="74"/>
      <c r="AB440" s="74"/>
      <c r="AC440" s="74"/>
      <c r="AD440" s="74"/>
      <c r="AE440" s="74"/>
      <c r="AF440" s="74"/>
      <c r="AG440" s="74"/>
      <c r="AH440" s="74"/>
      <c r="AI440" s="74"/>
      <c r="AJ440" s="74"/>
      <c r="AK440" s="74"/>
    </row>
    <row r="441">
      <c r="A441" s="74"/>
      <c r="B441" s="74"/>
      <c r="C441" s="74"/>
      <c r="D441" s="74"/>
      <c r="E441" s="74"/>
      <c r="F441" s="74"/>
      <c r="G441" s="74"/>
      <c r="H441" s="74"/>
      <c r="I441" s="74"/>
      <c r="J441" s="74"/>
      <c r="K441" s="74"/>
      <c r="L441" s="74"/>
      <c r="M441" s="74"/>
      <c r="N441" s="74"/>
      <c r="O441" s="74"/>
      <c r="P441" s="74"/>
      <c r="Q441" s="74"/>
      <c r="R441" s="75"/>
      <c r="S441" s="74"/>
      <c r="T441" s="74"/>
      <c r="U441" s="74"/>
      <c r="V441" s="74"/>
      <c r="W441" s="74"/>
      <c r="X441" s="74"/>
      <c r="Y441" s="74"/>
      <c r="Z441" s="74"/>
      <c r="AA441" s="74"/>
      <c r="AB441" s="74"/>
      <c r="AC441" s="74"/>
      <c r="AD441" s="74"/>
      <c r="AE441" s="74"/>
      <c r="AF441" s="74"/>
      <c r="AG441" s="74"/>
      <c r="AH441" s="74"/>
      <c r="AI441" s="74"/>
      <c r="AJ441" s="74"/>
      <c r="AK441" s="74"/>
    </row>
    <row r="442">
      <c r="A442" s="74"/>
      <c r="B442" s="74"/>
      <c r="C442" s="74"/>
      <c r="D442" s="74"/>
      <c r="E442" s="74"/>
      <c r="F442" s="74"/>
      <c r="G442" s="74"/>
      <c r="H442" s="74"/>
      <c r="I442" s="74"/>
      <c r="J442" s="74"/>
      <c r="K442" s="74"/>
      <c r="L442" s="74"/>
      <c r="M442" s="74"/>
      <c r="N442" s="74"/>
      <c r="O442" s="74"/>
      <c r="P442" s="74"/>
      <c r="Q442" s="74"/>
      <c r="R442" s="75"/>
      <c r="S442" s="74"/>
      <c r="T442" s="74"/>
      <c r="U442" s="74"/>
      <c r="V442" s="74"/>
      <c r="W442" s="74"/>
      <c r="X442" s="74"/>
      <c r="Y442" s="74"/>
      <c r="Z442" s="74"/>
      <c r="AA442" s="74"/>
      <c r="AB442" s="74"/>
      <c r="AC442" s="74"/>
      <c r="AD442" s="74"/>
      <c r="AE442" s="74"/>
      <c r="AF442" s="74"/>
      <c r="AG442" s="74"/>
      <c r="AH442" s="74"/>
      <c r="AI442" s="74"/>
      <c r="AJ442" s="74"/>
      <c r="AK442" s="74"/>
    </row>
    <row r="443">
      <c r="A443" s="74"/>
      <c r="B443" s="74"/>
      <c r="C443" s="74"/>
      <c r="D443" s="74"/>
      <c r="E443" s="74"/>
      <c r="F443" s="74"/>
      <c r="G443" s="74"/>
      <c r="H443" s="74"/>
      <c r="I443" s="74"/>
      <c r="J443" s="74"/>
      <c r="K443" s="74"/>
      <c r="L443" s="74"/>
      <c r="M443" s="74"/>
      <c r="N443" s="74"/>
      <c r="O443" s="74"/>
      <c r="P443" s="74"/>
      <c r="Q443" s="74"/>
      <c r="R443" s="75"/>
      <c r="S443" s="74"/>
      <c r="T443" s="74"/>
      <c r="U443" s="74"/>
      <c r="V443" s="74"/>
      <c r="W443" s="74"/>
      <c r="X443" s="74"/>
      <c r="Y443" s="74"/>
      <c r="Z443" s="74"/>
      <c r="AA443" s="74"/>
      <c r="AB443" s="74"/>
      <c r="AC443" s="74"/>
      <c r="AD443" s="74"/>
      <c r="AE443" s="74"/>
      <c r="AF443" s="74"/>
      <c r="AG443" s="74"/>
      <c r="AH443" s="74"/>
      <c r="AI443" s="74"/>
      <c r="AJ443" s="74"/>
      <c r="AK443" s="74"/>
    </row>
    <row r="444">
      <c r="A444" s="74"/>
      <c r="B444" s="74"/>
      <c r="C444" s="74"/>
      <c r="D444" s="74"/>
      <c r="E444" s="74"/>
      <c r="F444" s="74"/>
      <c r="G444" s="74"/>
      <c r="H444" s="74"/>
      <c r="I444" s="74"/>
      <c r="J444" s="74"/>
      <c r="K444" s="74"/>
      <c r="L444" s="74"/>
      <c r="M444" s="74"/>
      <c r="N444" s="74"/>
      <c r="O444" s="74"/>
      <c r="P444" s="74"/>
      <c r="Q444" s="74"/>
      <c r="R444" s="75"/>
      <c r="S444" s="74"/>
      <c r="T444" s="74"/>
      <c r="U444" s="74"/>
      <c r="V444" s="74"/>
      <c r="W444" s="74"/>
      <c r="X444" s="74"/>
      <c r="Y444" s="74"/>
      <c r="Z444" s="74"/>
      <c r="AA444" s="74"/>
      <c r="AB444" s="74"/>
      <c r="AC444" s="74"/>
      <c r="AD444" s="74"/>
      <c r="AE444" s="74"/>
      <c r="AF444" s="74"/>
      <c r="AG444" s="74"/>
      <c r="AH444" s="74"/>
      <c r="AI444" s="74"/>
      <c r="AJ444" s="74"/>
      <c r="AK444" s="74"/>
    </row>
    <row r="445">
      <c r="A445" s="74"/>
      <c r="B445" s="74"/>
      <c r="C445" s="74"/>
      <c r="D445" s="74"/>
      <c r="E445" s="74"/>
      <c r="F445" s="74"/>
      <c r="G445" s="74"/>
      <c r="H445" s="74"/>
      <c r="I445" s="74"/>
      <c r="J445" s="74"/>
      <c r="K445" s="74"/>
      <c r="L445" s="74"/>
      <c r="M445" s="74"/>
      <c r="N445" s="74"/>
      <c r="O445" s="74"/>
      <c r="P445" s="74"/>
      <c r="Q445" s="74"/>
      <c r="R445" s="75"/>
      <c r="S445" s="74"/>
      <c r="T445" s="74"/>
      <c r="U445" s="74"/>
      <c r="V445" s="74"/>
      <c r="W445" s="74"/>
      <c r="X445" s="74"/>
      <c r="Y445" s="74"/>
      <c r="Z445" s="74"/>
      <c r="AA445" s="74"/>
      <c r="AB445" s="74"/>
      <c r="AC445" s="74"/>
      <c r="AD445" s="74"/>
      <c r="AE445" s="74"/>
      <c r="AF445" s="74"/>
      <c r="AG445" s="74"/>
      <c r="AH445" s="74"/>
      <c r="AI445" s="74"/>
      <c r="AJ445" s="74"/>
      <c r="AK445" s="74"/>
    </row>
    <row r="446">
      <c r="A446" s="74"/>
      <c r="B446" s="74"/>
      <c r="C446" s="74"/>
      <c r="D446" s="74"/>
      <c r="E446" s="74"/>
      <c r="F446" s="74"/>
      <c r="G446" s="74"/>
      <c r="H446" s="74"/>
      <c r="I446" s="74"/>
      <c r="J446" s="74"/>
      <c r="K446" s="74"/>
      <c r="L446" s="74"/>
      <c r="M446" s="74"/>
      <c r="N446" s="74"/>
      <c r="O446" s="74"/>
      <c r="P446" s="74"/>
      <c r="Q446" s="74"/>
      <c r="R446" s="75"/>
      <c r="S446" s="74"/>
      <c r="T446" s="74"/>
      <c r="U446" s="74"/>
      <c r="V446" s="74"/>
      <c r="W446" s="74"/>
      <c r="X446" s="74"/>
      <c r="Y446" s="74"/>
      <c r="Z446" s="74"/>
      <c r="AA446" s="74"/>
      <c r="AB446" s="74"/>
      <c r="AC446" s="74"/>
      <c r="AD446" s="74"/>
      <c r="AE446" s="74"/>
      <c r="AF446" s="74"/>
      <c r="AG446" s="74"/>
      <c r="AH446" s="74"/>
      <c r="AI446" s="74"/>
      <c r="AJ446" s="74"/>
      <c r="AK446" s="74"/>
    </row>
    <row r="447">
      <c r="A447" s="74"/>
      <c r="B447" s="74"/>
      <c r="C447" s="74"/>
      <c r="D447" s="74"/>
      <c r="E447" s="74"/>
      <c r="F447" s="74"/>
      <c r="G447" s="74"/>
      <c r="H447" s="74"/>
      <c r="I447" s="74"/>
      <c r="J447" s="74"/>
      <c r="K447" s="74"/>
      <c r="L447" s="74"/>
      <c r="M447" s="74"/>
      <c r="N447" s="74"/>
      <c r="O447" s="74"/>
      <c r="P447" s="74"/>
      <c r="Q447" s="74"/>
      <c r="R447" s="75"/>
      <c r="S447" s="74"/>
      <c r="T447" s="74"/>
      <c r="U447" s="74"/>
      <c r="V447" s="74"/>
      <c r="W447" s="74"/>
      <c r="X447" s="74"/>
      <c r="Y447" s="74"/>
      <c r="Z447" s="74"/>
      <c r="AA447" s="74"/>
      <c r="AB447" s="74"/>
      <c r="AC447" s="74"/>
      <c r="AD447" s="74"/>
      <c r="AE447" s="74"/>
      <c r="AF447" s="74"/>
      <c r="AG447" s="74"/>
      <c r="AH447" s="74"/>
      <c r="AI447" s="74"/>
      <c r="AJ447" s="74"/>
      <c r="AK447" s="74"/>
    </row>
    <row r="448">
      <c r="A448" s="74"/>
      <c r="B448" s="74"/>
      <c r="C448" s="74"/>
      <c r="D448" s="74"/>
      <c r="E448" s="74"/>
      <c r="F448" s="74"/>
      <c r="G448" s="74"/>
      <c r="H448" s="74"/>
      <c r="I448" s="74"/>
      <c r="J448" s="74"/>
      <c r="K448" s="74"/>
      <c r="L448" s="74"/>
      <c r="M448" s="74"/>
      <c r="N448" s="74"/>
      <c r="O448" s="74"/>
      <c r="P448" s="74"/>
      <c r="Q448" s="74"/>
      <c r="R448" s="75"/>
      <c r="S448" s="74"/>
      <c r="T448" s="74"/>
      <c r="U448" s="74"/>
      <c r="V448" s="74"/>
      <c r="W448" s="74"/>
      <c r="X448" s="74"/>
      <c r="Y448" s="74"/>
      <c r="Z448" s="74"/>
      <c r="AA448" s="74"/>
      <c r="AB448" s="74"/>
      <c r="AC448" s="74"/>
      <c r="AD448" s="74"/>
      <c r="AE448" s="74"/>
      <c r="AF448" s="74"/>
      <c r="AG448" s="74"/>
      <c r="AH448" s="74"/>
      <c r="AI448" s="74"/>
      <c r="AJ448" s="74"/>
      <c r="AK448" s="74"/>
    </row>
    <row r="449">
      <c r="A449" s="74"/>
      <c r="B449" s="74"/>
      <c r="C449" s="74"/>
      <c r="D449" s="74"/>
      <c r="E449" s="74"/>
      <c r="F449" s="74"/>
      <c r="G449" s="74"/>
      <c r="H449" s="74"/>
      <c r="I449" s="74"/>
      <c r="J449" s="74"/>
      <c r="K449" s="74"/>
      <c r="L449" s="74"/>
      <c r="M449" s="74"/>
      <c r="N449" s="74"/>
      <c r="O449" s="74"/>
      <c r="P449" s="74"/>
      <c r="Q449" s="74"/>
      <c r="R449" s="75"/>
      <c r="S449" s="74"/>
      <c r="T449" s="74"/>
      <c r="U449" s="74"/>
      <c r="V449" s="74"/>
      <c r="W449" s="74"/>
      <c r="X449" s="74"/>
      <c r="Y449" s="74"/>
      <c r="Z449" s="74"/>
      <c r="AA449" s="74"/>
      <c r="AB449" s="74"/>
      <c r="AC449" s="74"/>
      <c r="AD449" s="74"/>
      <c r="AE449" s="74"/>
      <c r="AF449" s="74"/>
      <c r="AG449" s="74"/>
      <c r="AH449" s="74"/>
      <c r="AI449" s="74"/>
      <c r="AJ449" s="74"/>
      <c r="AK449" s="74"/>
    </row>
    <row r="450">
      <c r="A450" s="74"/>
      <c r="B450" s="74"/>
      <c r="C450" s="74"/>
      <c r="D450" s="74"/>
      <c r="E450" s="74"/>
      <c r="F450" s="74"/>
      <c r="G450" s="74"/>
      <c r="H450" s="74"/>
      <c r="I450" s="74"/>
      <c r="J450" s="74"/>
      <c r="K450" s="74"/>
      <c r="L450" s="74"/>
      <c r="M450" s="74"/>
      <c r="N450" s="74"/>
      <c r="O450" s="74"/>
      <c r="P450" s="74"/>
      <c r="Q450" s="74"/>
      <c r="R450" s="75"/>
      <c r="S450" s="74"/>
      <c r="T450" s="74"/>
      <c r="U450" s="74"/>
      <c r="V450" s="74"/>
      <c r="W450" s="74"/>
      <c r="X450" s="74"/>
      <c r="Y450" s="74"/>
      <c r="Z450" s="74"/>
      <c r="AA450" s="74"/>
      <c r="AB450" s="74"/>
      <c r="AC450" s="74"/>
      <c r="AD450" s="74"/>
      <c r="AE450" s="74"/>
      <c r="AF450" s="74"/>
      <c r="AG450" s="74"/>
      <c r="AH450" s="74"/>
      <c r="AI450" s="74"/>
      <c r="AJ450" s="74"/>
      <c r="AK450" s="74"/>
    </row>
    <row r="451">
      <c r="A451" s="74"/>
      <c r="B451" s="74"/>
      <c r="C451" s="74"/>
      <c r="D451" s="74"/>
      <c r="E451" s="74"/>
      <c r="F451" s="74"/>
      <c r="G451" s="74"/>
      <c r="H451" s="74"/>
      <c r="I451" s="74"/>
      <c r="J451" s="74"/>
      <c r="K451" s="74"/>
      <c r="L451" s="74"/>
      <c r="M451" s="74"/>
      <c r="N451" s="74"/>
      <c r="O451" s="74"/>
      <c r="P451" s="74"/>
      <c r="Q451" s="74"/>
      <c r="R451" s="75"/>
      <c r="S451" s="74"/>
      <c r="T451" s="74"/>
      <c r="U451" s="74"/>
      <c r="V451" s="74"/>
      <c r="W451" s="74"/>
      <c r="X451" s="74"/>
      <c r="Y451" s="74"/>
      <c r="Z451" s="74"/>
      <c r="AA451" s="74"/>
      <c r="AB451" s="74"/>
      <c r="AC451" s="74"/>
      <c r="AD451" s="74"/>
      <c r="AE451" s="74"/>
      <c r="AF451" s="74"/>
      <c r="AG451" s="74"/>
      <c r="AH451" s="74"/>
      <c r="AI451" s="74"/>
      <c r="AJ451" s="74"/>
      <c r="AK451" s="74"/>
    </row>
    <row r="452">
      <c r="A452" s="74"/>
      <c r="B452" s="74"/>
      <c r="C452" s="74"/>
      <c r="D452" s="74"/>
      <c r="E452" s="74"/>
      <c r="F452" s="74"/>
      <c r="G452" s="74"/>
      <c r="H452" s="74"/>
      <c r="I452" s="74"/>
      <c r="J452" s="74"/>
      <c r="K452" s="74"/>
      <c r="L452" s="74"/>
      <c r="M452" s="74"/>
      <c r="N452" s="74"/>
      <c r="O452" s="74"/>
      <c r="P452" s="74"/>
      <c r="Q452" s="74"/>
      <c r="R452" s="75"/>
      <c r="S452" s="74"/>
      <c r="T452" s="74"/>
      <c r="U452" s="74"/>
      <c r="V452" s="74"/>
      <c r="W452" s="74"/>
      <c r="X452" s="74"/>
      <c r="Y452" s="74"/>
      <c r="Z452" s="74"/>
      <c r="AA452" s="74"/>
      <c r="AB452" s="74"/>
      <c r="AC452" s="74"/>
      <c r="AD452" s="74"/>
      <c r="AE452" s="74"/>
      <c r="AF452" s="74"/>
      <c r="AG452" s="74"/>
      <c r="AH452" s="74"/>
      <c r="AI452" s="74"/>
      <c r="AJ452" s="74"/>
      <c r="AK452" s="74"/>
    </row>
    <row r="453">
      <c r="A453" s="74"/>
      <c r="B453" s="74"/>
      <c r="C453" s="74"/>
      <c r="D453" s="74"/>
      <c r="E453" s="74"/>
      <c r="F453" s="74"/>
      <c r="G453" s="74"/>
      <c r="H453" s="74"/>
      <c r="I453" s="74"/>
      <c r="J453" s="74"/>
      <c r="K453" s="74"/>
      <c r="L453" s="74"/>
      <c r="M453" s="74"/>
      <c r="N453" s="74"/>
      <c r="O453" s="74"/>
      <c r="P453" s="74"/>
      <c r="Q453" s="74"/>
      <c r="R453" s="75"/>
      <c r="S453" s="74"/>
      <c r="T453" s="74"/>
      <c r="U453" s="74"/>
      <c r="V453" s="74"/>
      <c r="W453" s="74"/>
      <c r="X453" s="74"/>
      <c r="Y453" s="74"/>
      <c r="Z453" s="74"/>
      <c r="AA453" s="74"/>
      <c r="AB453" s="74"/>
      <c r="AC453" s="74"/>
      <c r="AD453" s="74"/>
      <c r="AE453" s="74"/>
      <c r="AF453" s="74"/>
      <c r="AG453" s="74"/>
      <c r="AH453" s="74"/>
      <c r="AI453" s="74"/>
      <c r="AJ453" s="74"/>
      <c r="AK453" s="74"/>
    </row>
    <row r="454">
      <c r="A454" s="74"/>
      <c r="B454" s="74"/>
      <c r="C454" s="74"/>
      <c r="D454" s="74"/>
      <c r="E454" s="74"/>
      <c r="F454" s="74"/>
      <c r="G454" s="74"/>
      <c r="H454" s="74"/>
      <c r="I454" s="74"/>
      <c r="J454" s="74"/>
      <c r="K454" s="74"/>
      <c r="L454" s="74"/>
      <c r="M454" s="74"/>
      <c r="N454" s="74"/>
      <c r="O454" s="74"/>
      <c r="P454" s="74"/>
      <c r="Q454" s="74"/>
      <c r="R454" s="75"/>
      <c r="S454" s="74"/>
      <c r="T454" s="74"/>
      <c r="U454" s="74"/>
      <c r="V454" s="74"/>
      <c r="W454" s="74"/>
      <c r="X454" s="74"/>
      <c r="Y454" s="74"/>
      <c r="Z454" s="74"/>
      <c r="AA454" s="74"/>
      <c r="AB454" s="74"/>
      <c r="AC454" s="74"/>
      <c r="AD454" s="74"/>
      <c r="AE454" s="74"/>
      <c r="AF454" s="74"/>
      <c r="AG454" s="74"/>
      <c r="AH454" s="74"/>
      <c r="AI454" s="74"/>
      <c r="AJ454" s="74"/>
      <c r="AK454" s="74"/>
    </row>
    <row r="455">
      <c r="A455" s="74"/>
      <c r="B455" s="74"/>
      <c r="C455" s="74"/>
      <c r="D455" s="74"/>
      <c r="E455" s="74"/>
      <c r="F455" s="74"/>
      <c r="G455" s="74"/>
      <c r="H455" s="74"/>
      <c r="I455" s="74"/>
      <c r="J455" s="74"/>
      <c r="K455" s="74"/>
      <c r="L455" s="74"/>
      <c r="M455" s="74"/>
      <c r="N455" s="74"/>
      <c r="O455" s="74"/>
      <c r="P455" s="74"/>
      <c r="Q455" s="74"/>
      <c r="R455" s="75"/>
      <c r="S455" s="74"/>
      <c r="T455" s="74"/>
      <c r="U455" s="74"/>
      <c r="V455" s="74"/>
      <c r="W455" s="74"/>
      <c r="X455" s="74"/>
      <c r="Y455" s="74"/>
      <c r="Z455" s="74"/>
      <c r="AA455" s="74"/>
      <c r="AB455" s="74"/>
      <c r="AC455" s="74"/>
      <c r="AD455" s="74"/>
      <c r="AE455" s="74"/>
      <c r="AF455" s="74"/>
      <c r="AG455" s="74"/>
      <c r="AH455" s="74"/>
      <c r="AI455" s="74"/>
      <c r="AJ455" s="74"/>
      <c r="AK455" s="74"/>
    </row>
    <row r="456">
      <c r="A456" s="74"/>
      <c r="B456" s="74"/>
      <c r="C456" s="74"/>
      <c r="D456" s="74"/>
      <c r="E456" s="74"/>
      <c r="F456" s="74"/>
      <c r="G456" s="74"/>
      <c r="H456" s="74"/>
      <c r="I456" s="74"/>
      <c r="J456" s="74"/>
      <c r="K456" s="74"/>
      <c r="L456" s="74"/>
      <c r="M456" s="74"/>
      <c r="N456" s="74"/>
      <c r="O456" s="74"/>
      <c r="P456" s="74"/>
      <c r="Q456" s="74"/>
      <c r="R456" s="75"/>
      <c r="S456" s="74"/>
      <c r="T456" s="74"/>
      <c r="U456" s="74"/>
      <c r="V456" s="74"/>
      <c r="W456" s="74"/>
      <c r="X456" s="74"/>
      <c r="Y456" s="74"/>
      <c r="Z456" s="74"/>
      <c r="AA456" s="74"/>
      <c r="AB456" s="74"/>
      <c r="AC456" s="74"/>
      <c r="AD456" s="74"/>
      <c r="AE456" s="74"/>
      <c r="AF456" s="74"/>
      <c r="AG456" s="74"/>
      <c r="AH456" s="74"/>
      <c r="AI456" s="74"/>
      <c r="AJ456" s="74"/>
      <c r="AK456" s="74"/>
    </row>
    <row r="457">
      <c r="A457" s="74"/>
      <c r="B457" s="74"/>
      <c r="C457" s="74"/>
      <c r="D457" s="74"/>
      <c r="E457" s="74"/>
      <c r="F457" s="74"/>
      <c r="G457" s="74"/>
      <c r="H457" s="74"/>
      <c r="I457" s="74"/>
      <c r="J457" s="74"/>
      <c r="K457" s="74"/>
      <c r="L457" s="74"/>
      <c r="M457" s="74"/>
      <c r="N457" s="74"/>
      <c r="O457" s="74"/>
      <c r="P457" s="74"/>
      <c r="Q457" s="74"/>
      <c r="R457" s="75"/>
      <c r="S457" s="74"/>
      <c r="T457" s="74"/>
      <c r="U457" s="74"/>
      <c r="V457" s="74"/>
      <c r="W457" s="74"/>
      <c r="X457" s="74"/>
      <c r="Y457" s="74"/>
      <c r="Z457" s="74"/>
      <c r="AA457" s="74"/>
      <c r="AB457" s="74"/>
      <c r="AC457" s="74"/>
      <c r="AD457" s="74"/>
      <c r="AE457" s="74"/>
      <c r="AF457" s="74"/>
      <c r="AG457" s="74"/>
      <c r="AH457" s="74"/>
      <c r="AI457" s="74"/>
      <c r="AJ457" s="74"/>
      <c r="AK457" s="74"/>
    </row>
    <row r="458">
      <c r="A458" s="74"/>
      <c r="B458" s="74"/>
      <c r="C458" s="74"/>
      <c r="D458" s="74"/>
      <c r="E458" s="74"/>
      <c r="F458" s="74"/>
      <c r="G458" s="74"/>
      <c r="H458" s="74"/>
      <c r="I458" s="74"/>
      <c r="J458" s="74"/>
      <c r="K458" s="74"/>
      <c r="L458" s="74"/>
      <c r="M458" s="74"/>
      <c r="N458" s="74"/>
      <c r="O458" s="74"/>
      <c r="P458" s="74"/>
      <c r="Q458" s="74"/>
      <c r="R458" s="75"/>
      <c r="S458" s="74"/>
      <c r="T458" s="74"/>
      <c r="U458" s="74"/>
      <c r="V458" s="74"/>
      <c r="W458" s="74"/>
      <c r="X458" s="74"/>
      <c r="Y458" s="74"/>
      <c r="Z458" s="74"/>
      <c r="AA458" s="74"/>
      <c r="AB458" s="74"/>
      <c r="AC458" s="74"/>
      <c r="AD458" s="74"/>
      <c r="AE458" s="74"/>
      <c r="AF458" s="74"/>
      <c r="AG458" s="74"/>
      <c r="AH458" s="74"/>
      <c r="AI458" s="74"/>
      <c r="AJ458" s="74"/>
      <c r="AK458" s="74"/>
    </row>
    <row r="459">
      <c r="A459" s="74"/>
      <c r="B459" s="74"/>
      <c r="C459" s="74"/>
      <c r="D459" s="74"/>
      <c r="E459" s="74"/>
      <c r="F459" s="74"/>
      <c r="G459" s="74"/>
      <c r="H459" s="74"/>
      <c r="I459" s="74"/>
      <c r="J459" s="74"/>
      <c r="K459" s="74"/>
      <c r="L459" s="74"/>
      <c r="M459" s="74"/>
      <c r="N459" s="74"/>
      <c r="O459" s="74"/>
      <c r="P459" s="74"/>
      <c r="Q459" s="74"/>
      <c r="R459" s="75"/>
      <c r="S459" s="74"/>
      <c r="T459" s="74"/>
      <c r="U459" s="74"/>
      <c r="V459" s="74"/>
      <c r="W459" s="74"/>
      <c r="X459" s="74"/>
      <c r="Y459" s="74"/>
      <c r="Z459" s="74"/>
      <c r="AA459" s="74"/>
      <c r="AB459" s="74"/>
      <c r="AC459" s="74"/>
      <c r="AD459" s="74"/>
      <c r="AE459" s="74"/>
      <c r="AF459" s="74"/>
      <c r="AG459" s="74"/>
      <c r="AH459" s="74"/>
      <c r="AI459" s="74"/>
      <c r="AJ459" s="74"/>
      <c r="AK459" s="74"/>
    </row>
    <row r="460">
      <c r="A460" s="74"/>
      <c r="B460" s="74"/>
      <c r="C460" s="74"/>
      <c r="D460" s="74"/>
      <c r="E460" s="74"/>
      <c r="F460" s="74"/>
      <c r="G460" s="74"/>
      <c r="H460" s="74"/>
      <c r="I460" s="74"/>
      <c r="J460" s="74"/>
      <c r="K460" s="74"/>
      <c r="L460" s="74"/>
      <c r="M460" s="74"/>
      <c r="N460" s="74"/>
      <c r="O460" s="74"/>
      <c r="P460" s="74"/>
      <c r="Q460" s="74"/>
      <c r="R460" s="75"/>
      <c r="S460" s="74"/>
      <c r="T460" s="74"/>
      <c r="U460" s="74"/>
      <c r="V460" s="74"/>
      <c r="W460" s="74"/>
      <c r="X460" s="74"/>
      <c r="Y460" s="74"/>
      <c r="Z460" s="74"/>
      <c r="AA460" s="74"/>
      <c r="AB460" s="74"/>
      <c r="AC460" s="74"/>
      <c r="AD460" s="74"/>
      <c r="AE460" s="74"/>
      <c r="AF460" s="74"/>
      <c r="AG460" s="74"/>
      <c r="AH460" s="74"/>
      <c r="AI460" s="74"/>
      <c r="AJ460" s="74"/>
      <c r="AK460" s="74"/>
    </row>
    <row r="461">
      <c r="A461" s="74"/>
      <c r="B461" s="74"/>
      <c r="C461" s="74"/>
      <c r="D461" s="74"/>
      <c r="E461" s="74"/>
      <c r="F461" s="74"/>
      <c r="G461" s="74"/>
      <c r="H461" s="74"/>
      <c r="I461" s="74"/>
      <c r="J461" s="74"/>
      <c r="K461" s="74"/>
      <c r="L461" s="74"/>
      <c r="M461" s="74"/>
      <c r="N461" s="74"/>
      <c r="O461" s="74"/>
      <c r="P461" s="74"/>
      <c r="Q461" s="74"/>
      <c r="R461" s="75"/>
      <c r="S461" s="74"/>
      <c r="T461" s="74"/>
      <c r="U461" s="74"/>
      <c r="V461" s="74"/>
      <c r="W461" s="74"/>
      <c r="X461" s="74"/>
      <c r="Y461" s="74"/>
      <c r="Z461" s="74"/>
      <c r="AA461" s="74"/>
      <c r="AB461" s="74"/>
      <c r="AC461" s="74"/>
      <c r="AD461" s="74"/>
      <c r="AE461" s="74"/>
      <c r="AF461" s="74"/>
      <c r="AG461" s="74"/>
      <c r="AH461" s="74"/>
      <c r="AI461" s="74"/>
      <c r="AJ461" s="74"/>
      <c r="AK461" s="74"/>
    </row>
    <row r="462">
      <c r="A462" s="74"/>
      <c r="B462" s="74"/>
      <c r="C462" s="74"/>
      <c r="D462" s="74"/>
      <c r="E462" s="74"/>
      <c r="F462" s="74"/>
      <c r="G462" s="74"/>
      <c r="H462" s="74"/>
      <c r="I462" s="74"/>
      <c r="J462" s="74"/>
      <c r="K462" s="74"/>
      <c r="L462" s="74"/>
      <c r="M462" s="74"/>
      <c r="N462" s="74"/>
      <c r="O462" s="74"/>
      <c r="P462" s="74"/>
      <c r="Q462" s="74"/>
      <c r="R462" s="75"/>
      <c r="S462" s="74"/>
      <c r="T462" s="74"/>
      <c r="U462" s="74"/>
      <c r="V462" s="74"/>
      <c r="W462" s="74"/>
      <c r="X462" s="74"/>
      <c r="Y462" s="74"/>
      <c r="Z462" s="74"/>
      <c r="AA462" s="74"/>
      <c r="AB462" s="74"/>
      <c r="AC462" s="74"/>
      <c r="AD462" s="74"/>
      <c r="AE462" s="74"/>
      <c r="AF462" s="74"/>
      <c r="AG462" s="74"/>
      <c r="AH462" s="74"/>
      <c r="AI462" s="74"/>
      <c r="AJ462" s="74"/>
      <c r="AK462" s="74"/>
    </row>
    <row r="463">
      <c r="A463" s="74"/>
      <c r="B463" s="74"/>
      <c r="C463" s="74"/>
      <c r="D463" s="74"/>
      <c r="E463" s="74"/>
      <c r="F463" s="74"/>
      <c r="G463" s="74"/>
      <c r="H463" s="74"/>
      <c r="I463" s="74"/>
      <c r="J463" s="74"/>
      <c r="K463" s="74"/>
      <c r="L463" s="74"/>
      <c r="M463" s="74"/>
      <c r="N463" s="74"/>
      <c r="O463" s="74"/>
      <c r="P463" s="74"/>
      <c r="Q463" s="74"/>
      <c r="R463" s="75"/>
      <c r="S463" s="74"/>
      <c r="T463" s="74"/>
      <c r="U463" s="74"/>
      <c r="V463" s="74"/>
      <c r="W463" s="74"/>
      <c r="X463" s="74"/>
      <c r="Y463" s="74"/>
      <c r="Z463" s="74"/>
      <c r="AA463" s="74"/>
      <c r="AB463" s="74"/>
      <c r="AC463" s="74"/>
      <c r="AD463" s="74"/>
      <c r="AE463" s="74"/>
      <c r="AF463" s="74"/>
      <c r="AG463" s="74"/>
      <c r="AH463" s="74"/>
      <c r="AI463" s="74"/>
      <c r="AJ463" s="74"/>
      <c r="AK463" s="74"/>
    </row>
    <row r="464">
      <c r="A464" s="74"/>
      <c r="B464" s="74"/>
      <c r="C464" s="74"/>
      <c r="D464" s="74"/>
      <c r="E464" s="74"/>
      <c r="F464" s="74"/>
      <c r="G464" s="74"/>
      <c r="H464" s="74"/>
      <c r="I464" s="74"/>
      <c r="J464" s="74"/>
      <c r="K464" s="74"/>
      <c r="L464" s="74"/>
      <c r="M464" s="74"/>
      <c r="N464" s="74"/>
      <c r="O464" s="74"/>
      <c r="P464" s="74"/>
      <c r="Q464" s="74"/>
      <c r="R464" s="75"/>
      <c r="S464" s="74"/>
      <c r="T464" s="74"/>
      <c r="U464" s="74"/>
      <c r="V464" s="74"/>
      <c r="W464" s="74"/>
      <c r="X464" s="74"/>
      <c r="Y464" s="74"/>
      <c r="Z464" s="74"/>
      <c r="AA464" s="74"/>
      <c r="AB464" s="74"/>
      <c r="AC464" s="74"/>
      <c r="AD464" s="74"/>
      <c r="AE464" s="74"/>
      <c r="AF464" s="74"/>
      <c r="AG464" s="74"/>
      <c r="AH464" s="74"/>
      <c r="AI464" s="74"/>
      <c r="AJ464" s="74"/>
      <c r="AK464" s="74"/>
    </row>
    <row r="465">
      <c r="A465" s="74"/>
      <c r="B465" s="74"/>
      <c r="C465" s="74"/>
      <c r="D465" s="74"/>
      <c r="E465" s="74"/>
      <c r="F465" s="74"/>
      <c r="G465" s="74"/>
      <c r="H465" s="74"/>
      <c r="I465" s="74"/>
      <c r="J465" s="74"/>
      <c r="K465" s="74"/>
      <c r="L465" s="74"/>
      <c r="M465" s="74"/>
      <c r="N465" s="74"/>
      <c r="O465" s="74"/>
      <c r="P465" s="74"/>
      <c r="Q465" s="74"/>
      <c r="R465" s="75"/>
      <c r="S465" s="74"/>
      <c r="T465" s="74"/>
      <c r="U465" s="74"/>
      <c r="V465" s="74"/>
      <c r="W465" s="74"/>
      <c r="X465" s="74"/>
      <c r="Y465" s="74"/>
      <c r="Z465" s="74"/>
      <c r="AA465" s="74"/>
      <c r="AB465" s="74"/>
      <c r="AC465" s="74"/>
      <c r="AD465" s="74"/>
      <c r="AE465" s="74"/>
      <c r="AF465" s="74"/>
      <c r="AG465" s="74"/>
      <c r="AH465" s="74"/>
      <c r="AI465" s="74"/>
      <c r="AJ465" s="74"/>
      <c r="AK465" s="74"/>
    </row>
    <row r="466">
      <c r="A466" s="74"/>
      <c r="B466" s="74"/>
      <c r="C466" s="74"/>
      <c r="D466" s="74"/>
      <c r="E466" s="74"/>
      <c r="F466" s="74"/>
      <c r="G466" s="74"/>
      <c r="H466" s="74"/>
      <c r="I466" s="74"/>
      <c r="J466" s="74"/>
      <c r="K466" s="74"/>
      <c r="L466" s="74"/>
      <c r="M466" s="74"/>
      <c r="N466" s="74"/>
      <c r="O466" s="74"/>
      <c r="P466" s="74"/>
      <c r="Q466" s="74"/>
      <c r="R466" s="75"/>
      <c r="S466" s="74"/>
      <c r="T466" s="74"/>
      <c r="U466" s="74"/>
      <c r="V466" s="74"/>
      <c r="W466" s="74"/>
      <c r="X466" s="74"/>
      <c r="Y466" s="74"/>
      <c r="Z466" s="74"/>
      <c r="AA466" s="74"/>
      <c r="AB466" s="74"/>
      <c r="AC466" s="74"/>
      <c r="AD466" s="74"/>
      <c r="AE466" s="74"/>
      <c r="AF466" s="74"/>
      <c r="AG466" s="74"/>
      <c r="AH466" s="74"/>
      <c r="AI466" s="74"/>
      <c r="AJ466" s="74"/>
      <c r="AK466" s="74"/>
    </row>
    <row r="467">
      <c r="A467" s="74"/>
      <c r="B467" s="74"/>
      <c r="C467" s="74"/>
      <c r="D467" s="74"/>
      <c r="E467" s="74"/>
      <c r="F467" s="74"/>
      <c r="G467" s="74"/>
      <c r="H467" s="74"/>
      <c r="I467" s="74"/>
      <c r="J467" s="74"/>
      <c r="K467" s="74"/>
      <c r="L467" s="74"/>
      <c r="M467" s="74"/>
      <c r="N467" s="74"/>
      <c r="O467" s="74"/>
      <c r="P467" s="74"/>
      <c r="Q467" s="74"/>
      <c r="R467" s="75"/>
      <c r="S467" s="74"/>
      <c r="T467" s="74"/>
      <c r="U467" s="74"/>
      <c r="V467" s="74"/>
      <c r="W467" s="74"/>
      <c r="X467" s="74"/>
      <c r="Y467" s="74"/>
      <c r="Z467" s="74"/>
      <c r="AA467" s="74"/>
      <c r="AB467" s="74"/>
      <c r="AC467" s="74"/>
      <c r="AD467" s="74"/>
      <c r="AE467" s="74"/>
      <c r="AF467" s="74"/>
      <c r="AG467" s="74"/>
      <c r="AH467" s="74"/>
      <c r="AI467" s="74"/>
      <c r="AJ467" s="74"/>
      <c r="AK467" s="74"/>
    </row>
    <row r="468">
      <c r="A468" s="74"/>
      <c r="B468" s="74"/>
      <c r="C468" s="74"/>
      <c r="D468" s="74"/>
      <c r="E468" s="74"/>
      <c r="F468" s="74"/>
      <c r="G468" s="74"/>
      <c r="H468" s="74"/>
      <c r="I468" s="74"/>
      <c r="J468" s="74"/>
      <c r="K468" s="74"/>
      <c r="L468" s="74"/>
      <c r="M468" s="74"/>
      <c r="N468" s="74"/>
      <c r="O468" s="74"/>
      <c r="P468" s="74"/>
      <c r="Q468" s="74"/>
      <c r="R468" s="75"/>
      <c r="S468" s="74"/>
      <c r="T468" s="74"/>
      <c r="U468" s="74"/>
      <c r="V468" s="74"/>
      <c r="W468" s="74"/>
      <c r="X468" s="74"/>
      <c r="Y468" s="74"/>
      <c r="Z468" s="74"/>
      <c r="AA468" s="74"/>
      <c r="AB468" s="74"/>
      <c r="AC468" s="74"/>
      <c r="AD468" s="74"/>
      <c r="AE468" s="74"/>
      <c r="AF468" s="74"/>
      <c r="AG468" s="74"/>
      <c r="AH468" s="74"/>
      <c r="AI468" s="74"/>
      <c r="AJ468" s="74"/>
      <c r="AK468" s="74"/>
    </row>
    <row r="469">
      <c r="A469" s="74"/>
      <c r="B469" s="74"/>
      <c r="C469" s="74"/>
      <c r="D469" s="74"/>
      <c r="E469" s="74"/>
      <c r="F469" s="74"/>
      <c r="G469" s="74"/>
      <c r="H469" s="74"/>
      <c r="I469" s="74"/>
      <c r="J469" s="74"/>
      <c r="K469" s="74"/>
      <c r="L469" s="74"/>
      <c r="M469" s="74"/>
      <c r="N469" s="74"/>
      <c r="O469" s="74"/>
      <c r="P469" s="74"/>
      <c r="Q469" s="74"/>
      <c r="R469" s="75"/>
      <c r="S469" s="74"/>
      <c r="T469" s="74"/>
      <c r="U469" s="74"/>
      <c r="V469" s="74"/>
      <c r="W469" s="74"/>
      <c r="X469" s="74"/>
      <c r="Y469" s="74"/>
      <c r="Z469" s="74"/>
      <c r="AA469" s="74"/>
      <c r="AB469" s="74"/>
      <c r="AC469" s="74"/>
      <c r="AD469" s="74"/>
      <c r="AE469" s="74"/>
      <c r="AF469" s="74"/>
      <c r="AG469" s="74"/>
      <c r="AH469" s="74"/>
      <c r="AI469" s="74"/>
      <c r="AJ469" s="74"/>
      <c r="AK469" s="74"/>
    </row>
    <row r="470">
      <c r="A470" s="74"/>
      <c r="B470" s="74"/>
      <c r="C470" s="74"/>
      <c r="D470" s="74"/>
      <c r="E470" s="74"/>
      <c r="F470" s="74"/>
      <c r="G470" s="74"/>
      <c r="H470" s="74"/>
      <c r="I470" s="74"/>
      <c r="J470" s="74"/>
      <c r="K470" s="74"/>
      <c r="L470" s="74"/>
      <c r="M470" s="74"/>
      <c r="N470" s="74"/>
      <c r="O470" s="74"/>
      <c r="P470" s="74"/>
      <c r="Q470" s="74"/>
      <c r="R470" s="75"/>
      <c r="S470" s="74"/>
      <c r="T470" s="74"/>
      <c r="U470" s="74"/>
      <c r="V470" s="74"/>
      <c r="W470" s="74"/>
      <c r="X470" s="74"/>
      <c r="Y470" s="74"/>
      <c r="Z470" s="74"/>
      <c r="AA470" s="74"/>
      <c r="AB470" s="74"/>
      <c r="AC470" s="74"/>
      <c r="AD470" s="74"/>
      <c r="AE470" s="74"/>
      <c r="AF470" s="74"/>
      <c r="AG470" s="74"/>
      <c r="AH470" s="74"/>
      <c r="AI470" s="74"/>
      <c r="AJ470" s="74"/>
      <c r="AK470" s="74"/>
    </row>
    <row r="471">
      <c r="A471" s="74"/>
      <c r="B471" s="74"/>
      <c r="C471" s="74"/>
      <c r="D471" s="74"/>
      <c r="E471" s="74"/>
      <c r="F471" s="74"/>
      <c r="G471" s="74"/>
      <c r="H471" s="74"/>
      <c r="I471" s="74"/>
      <c r="J471" s="74"/>
      <c r="K471" s="74"/>
      <c r="L471" s="74"/>
      <c r="M471" s="74"/>
      <c r="N471" s="74"/>
      <c r="O471" s="74"/>
      <c r="P471" s="74"/>
      <c r="Q471" s="74"/>
      <c r="R471" s="75"/>
      <c r="S471" s="74"/>
      <c r="T471" s="74"/>
      <c r="U471" s="74"/>
      <c r="V471" s="74"/>
      <c r="W471" s="74"/>
      <c r="X471" s="74"/>
      <c r="Y471" s="74"/>
      <c r="Z471" s="74"/>
      <c r="AA471" s="74"/>
      <c r="AB471" s="74"/>
      <c r="AC471" s="74"/>
      <c r="AD471" s="74"/>
      <c r="AE471" s="74"/>
      <c r="AF471" s="74"/>
      <c r="AG471" s="74"/>
      <c r="AH471" s="74"/>
      <c r="AI471" s="74"/>
      <c r="AJ471" s="74"/>
      <c r="AK471" s="74"/>
    </row>
    <row r="472">
      <c r="A472" s="74"/>
      <c r="B472" s="74"/>
      <c r="C472" s="74"/>
      <c r="D472" s="74"/>
      <c r="E472" s="74"/>
      <c r="F472" s="74"/>
      <c r="G472" s="74"/>
      <c r="H472" s="74"/>
      <c r="I472" s="74"/>
      <c r="J472" s="74"/>
      <c r="K472" s="74"/>
      <c r="L472" s="74"/>
      <c r="M472" s="74"/>
      <c r="N472" s="74"/>
      <c r="O472" s="74"/>
      <c r="P472" s="74"/>
      <c r="Q472" s="74"/>
      <c r="R472" s="75"/>
      <c r="S472" s="74"/>
      <c r="T472" s="74"/>
      <c r="U472" s="74"/>
      <c r="V472" s="74"/>
      <c r="W472" s="74"/>
      <c r="X472" s="74"/>
      <c r="Y472" s="74"/>
      <c r="Z472" s="74"/>
      <c r="AA472" s="74"/>
      <c r="AB472" s="74"/>
      <c r="AC472" s="74"/>
      <c r="AD472" s="74"/>
      <c r="AE472" s="74"/>
      <c r="AF472" s="74"/>
      <c r="AG472" s="74"/>
      <c r="AH472" s="74"/>
      <c r="AI472" s="74"/>
      <c r="AJ472" s="74"/>
      <c r="AK472" s="74"/>
    </row>
    <row r="473">
      <c r="A473" s="74"/>
      <c r="B473" s="74"/>
      <c r="C473" s="74"/>
      <c r="D473" s="74"/>
      <c r="E473" s="74"/>
      <c r="F473" s="74"/>
      <c r="G473" s="74"/>
      <c r="H473" s="74"/>
      <c r="I473" s="74"/>
      <c r="J473" s="74"/>
      <c r="K473" s="74"/>
      <c r="L473" s="74"/>
      <c r="M473" s="74"/>
      <c r="N473" s="74"/>
      <c r="O473" s="74"/>
      <c r="P473" s="74"/>
      <c r="Q473" s="74"/>
      <c r="R473" s="75"/>
      <c r="S473" s="74"/>
      <c r="T473" s="74"/>
      <c r="U473" s="74"/>
      <c r="V473" s="74"/>
      <c r="W473" s="74"/>
      <c r="X473" s="74"/>
      <c r="Y473" s="74"/>
      <c r="Z473" s="74"/>
      <c r="AA473" s="74"/>
      <c r="AB473" s="74"/>
      <c r="AC473" s="74"/>
      <c r="AD473" s="74"/>
      <c r="AE473" s="74"/>
      <c r="AF473" s="74"/>
      <c r="AG473" s="74"/>
      <c r="AH473" s="74"/>
      <c r="AI473" s="74"/>
      <c r="AJ473" s="74"/>
      <c r="AK473" s="74"/>
    </row>
    <row r="474">
      <c r="A474" s="74"/>
      <c r="B474" s="74"/>
      <c r="C474" s="74"/>
      <c r="D474" s="74"/>
      <c r="E474" s="74"/>
      <c r="F474" s="74"/>
      <c r="G474" s="74"/>
      <c r="H474" s="74"/>
      <c r="I474" s="74"/>
      <c r="J474" s="74"/>
      <c r="K474" s="74"/>
      <c r="L474" s="74"/>
      <c r="M474" s="74"/>
      <c r="N474" s="74"/>
      <c r="O474" s="74"/>
      <c r="P474" s="74"/>
      <c r="Q474" s="74"/>
      <c r="R474" s="75"/>
      <c r="S474" s="74"/>
      <c r="T474" s="74"/>
      <c r="U474" s="74"/>
      <c r="V474" s="74"/>
      <c r="W474" s="74"/>
      <c r="X474" s="74"/>
      <c r="Y474" s="74"/>
      <c r="Z474" s="74"/>
      <c r="AA474" s="74"/>
      <c r="AB474" s="74"/>
      <c r="AC474" s="74"/>
      <c r="AD474" s="74"/>
      <c r="AE474" s="74"/>
      <c r="AF474" s="74"/>
      <c r="AG474" s="74"/>
      <c r="AH474" s="74"/>
      <c r="AI474" s="74"/>
      <c r="AJ474" s="74"/>
      <c r="AK474" s="74"/>
    </row>
    <row r="475">
      <c r="A475" s="74"/>
      <c r="B475" s="74"/>
      <c r="C475" s="74"/>
      <c r="D475" s="74"/>
      <c r="E475" s="74"/>
      <c r="F475" s="74"/>
      <c r="G475" s="74"/>
      <c r="H475" s="74"/>
      <c r="I475" s="74"/>
      <c r="J475" s="74"/>
      <c r="K475" s="74"/>
      <c r="L475" s="74"/>
      <c r="M475" s="74"/>
      <c r="N475" s="74"/>
      <c r="O475" s="74"/>
      <c r="P475" s="74"/>
      <c r="Q475" s="74"/>
      <c r="R475" s="75"/>
      <c r="S475" s="74"/>
      <c r="T475" s="74"/>
      <c r="U475" s="74"/>
      <c r="V475" s="74"/>
      <c r="W475" s="74"/>
      <c r="X475" s="74"/>
      <c r="Y475" s="74"/>
      <c r="Z475" s="74"/>
      <c r="AA475" s="74"/>
      <c r="AB475" s="74"/>
      <c r="AC475" s="74"/>
      <c r="AD475" s="74"/>
      <c r="AE475" s="74"/>
      <c r="AF475" s="74"/>
      <c r="AG475" s="74"/>
      <c r="AH475" s="74"/>
      <c r="AI475" s="74"/>
      <c r="AJ475" s="74"/>
      <c r="AK475" s="74"/>
    </row>
    <row r="476">
      <c r="A476" s="74"/>
      <c r="B476" s="74"/>
      <c r="C476" s="74"/>
      <c r="D476" s="74"/>
      <c r="E476" s="74"/>
      <c r="F476" s="74"/>
      <c r="G476" s="74"/>
      <c r="H476" s="74"/>
      <c r="I476" s="74"/>
      <c r="J476" s="74"/>
      <c r="K476" s="74"/>
      <c r="L476" s="74"/>
      <c r="M476" s="74"/>
      <c r="N476" s="74"/>
      <c r="O476" s="74"/>
      <c r="P476" s="74"/>
      <c r="Q476" s="74"/>
      <c r="R476" s="75"/>
      <c r="S476" s="74"/>
      <c r="T476" s="74"/>
      <c r="U476" s="74"/>
      <c r="V476" s="74"/>
      <c r="W476" s="74"/>
      <c r="X476" s="74"/>
      <c r="Y476" s="74"/>
      <c r="Z476" s="74"/>
      <c r="AA476" s="74"/>
      <c r="AB476" s="74"/>
      <c r="AC476" s="74"/>
      <c r="AD476" s="74"/>
      <c r="AE476" s="74"/>
      <c r="AF476" s="74"/>
      <c r="AG476" s="74"/>
      <c r="AH476" s="74"/>
      <c r="AI476" s="74"/>
      <c r="AJ476" s="74"/>
      <c r="AK476" s="74"/>
    </row>
    <row r="477">
      <c r="A477" s="74"/>
      <c r="B477" s="74"/>
      <c r="C477" s="74"/>
      <c r="D477" s="74"/>
      <c r="E477" s="74"/>
      <c r="F477" s="74"/>
      <c r="G477" s="74"/>
      <c r="H477" s="74"/>
      <c r="I477" s="74"/>
      <c r="J477" s="74"/>
      <c r="K477" s="74"/>
      <c r="L477" s="74"/>
      <c r="M477" s="74"/>
      <c r="N477" s="74"/>
      <c r="O477" s="74"/>
      <c r="P477" s="74"/>
      <c r="Q477" s="74"/>
      <c r="R477" s="75"/>
      <c r="S477" s="74"/>
      <c r="T477" s="74"/>
      <c r="U477" s="74"/>
      <c r="V477" s="74"/>
      <c r="W477" s="74"/>
      <c r="X477" s="74"/>
      <c r="Y477" s="74"/>
      <c r="Z477" s="74"/>
      <c r="AA477" s="74"/>
      <c r="AB477" s="74"/>
      <c r="AC477" s="74"/>
      <c r="AD477" s="74"/>
      <c r="AE477" s="74"/>
      <c r="AF477" s="74"/>
      <c r="AG477" s="74"/>
      <c r="AH477" s="74"/>
      <c r="AI477" s="74"/>
      <c r="AJ477" s="74"/>
      <c r="AK477" s="74"/>
    </row>
    <row r="478">
      <c r="A478" s="74"/>
      <c r="B478" s="74"/>
      <c r="C478" s="74"/>
      <c r="D478" s="74"/>
      <c r="E478" s="74"/>
      <c r="F478" s="74"/>
      <c r="G478" s="74"/>
      <c r="H478" s="74"/>
      <c r="I478" s="74"/>
      <c r="J478" s="74"/>
      <c r="K478" s="74"/>
      <c r="L478" s="74"/>
      <c r="M478" s="74"/>
      <c r="N478" s="74"/>
      <c r="O478" s="74"/>
      <c r="P478" s="74"/>
      <c r="Q478" s="74"/>
      <c r="R478" s="75"/>
      <c r="S478" s="74"/>
      <c r="T478" s="74"/>
      <c r="U478" s="74"/>
      <c r="V478" s="74"/>
      <c r="W478" s="74"/>
      <c r="X478" s="74"/>
      <c r="Y478" s="74"/>
      <c r="Z478" s="74"/>
      <c r="AA478" s="74"/>
      <c r="AB478" s="74"/>
      <c r="AC478" s="74"/>
      <c r="AD478" s="74"/>
      <c r="AE478" s="74"/>
      <c r="AF478" s="74"/>
      <c r="AG478" s="74"/>
      <c r="AH478" s="74"/>
      <c r="AI478" s="74"/>
      <c r="AJ478" s="74"/>
      <c r="AK478" s="74"/>
    </row>
    <row r="479">
      <c r="A479" s="74"/>
      <c r="B479" s="74"/>
      <c r="C479" s="74"/>
      <c r="D479" s="74"/>
      <c r="E479" s="74"/>
      <c r="F479" s="74"/>
      <c r="G479" s="74"/>
      <c r="H479" s="74"/>
      <c r="I479" s="74"/>
      <c r="J479" s="74"/>
      <c r="K479" s="74"/>
      <c r="L479" s="74"/>
      <c r="M479" s="74"/>
      <c r="N479" s="74"/>
      <c r="O479" s="74"/>
      <c r="P479" s="74"/>
      <c r="Q479" s="74"/>
      <c r="R479" s="75"/>
      <c r="S479" s="74"/>
      <c r="T479" s="74"/>
      <c r="U479" s="74"/>
      <c r="V479" s="74"/>
      <c r="W479" s="74"/>
      <c r="X479" s="74"/>
      <c r="Y479" s="74"/>
      <c r="Z479" s="74"/>
      <c r="AA479" s="74"/>
      <c r="AB479" s="74"/>
      <c r="AC479" s="74"/>
      <c r="AD479" s="74"/>
      <c r="AE479" s="74"/>
      <c r="AF479" s="74"/>
      <c r="AG479" s="74"/>
      <c r="AH479" s="74"/>
      <c r="AI479" s="74"/>
      <c r="AJ479" s="74"/>
      <c r="AK479" s="74"/>
    </row>
    <row r="480">
      <c r="A480" s="74"/>
      <c r="B480" s="74"/>
      <c r="C480" s="74"/>
      <c r="D480" s="74"/>
      <c r="E480" s="74"/>
      <c r="F480" s="74"/>
      <c r="G480" s="74"/>
      <c r="H480" s="74"/>
      <c r="I480" s="74"/>
      <c r="J480" s="74"/>
      <c r="K480" s="74"/>
      <c r="L480" s="74"/>
      <c r="M480" s="74"/>
      <c r="N480" s="74"/>
      <c r="O480" s="74"/>
      <c r="P480" s="74"/>
      <c r="Q480" s="74"/>
      <c r="R480" s="75"/>
      <c r="S480" s="74"/>
      <c r="T480" s="74"/>
      <c r="U480" s="74"/>
      <c r="V480" s="74"/>
      <c r="W480" s="74"/>
      <c r="X480" s="74"/>
      <c r="Y480" s="74"/>
      <c r="Z480" s="74"/>
      <c r="AA480" s="74"/>
      <c r="AB480" s="74"/>
      <c r="AC480" s="74"/>
      <c r="AD480" s="74"/>
      <c r="AE480" s="74"/>
      <c r="AF480" s="74"/>
      <c r="AG480" s="74"/>
      <c r="AH480" s="74"/>
      <c r="AI480" s="74"/>
      <c r="AJ480" s="74"/>
      <c r="AK480" s="74"/>
    </row>
    <row r="481">
      <c r="A481" s="74"/>
      <c r="B481" s="74"/>
      <c r="C481" s="74"/>
      <c r="D481" s="74"/>
      <c r="E481" s="74"/>
      <c r="F481" s="74"/>
      <c r="G481" s="74"/>
      <c r="H481" s="74"/>
      <c r="I481" s="74"/>
      <c r="J481" s="74"/>
      <c r="K481" s="74"/>
      <c r="L481" s="74"/>
      <c r="M481" s="74"/>
      <c r="N481" s="74"/>
      <c r="O481" s="74"/>
      <c r="P481" s="74"/>
      <c r="Q481" s="74"/>
      <c r="R481" s="75"/>
      <c r="S481" s="74"/>
      <c r="T481" s="74"/>
      <c r="U481" s="74"/>
      <c r="V481" s="74"/>
      <c r="W481" s="74"/>
      <c r="X481" s="74"/>
      <c r="Y481" s="74"/>
      <c r="Z481" s="74"/>
      <c r="AA481" s="74"/>
      <c r="AB481" s="74"/>
      <c r="AC481" s="74"/>
      <c r="AD481" s="74"/>
      <c r="AE481" s="74"/>
      <c r="AF481" s="74"/>
      <c r="AG481" s="74"/>
      <c r="AH481" s="74"/>
      <c r="AI481" s="74"/>
      <c r="AJ481" s="74"/>
      <c r="AK481" s="74"/>
    </row>
    <row r="482">
      <c r="A482" s="74"/>
      <c r="B482" s="74"/>
      <c r="C482" s="74"/>
      <c r="D482" s="74"/>
      <c r="E482" s="74"/>
      <c r="F482" s="74"/>
      <c r="G482" s="74"/>
      <c r="H482" s="74"/>
      <c r="I482" s="74"/>
      <c r="J482" s="74"/>
      <c r="K482" s="74"/>
      <c r="L482" s="74"/>
      <c r="M482" s="74"/>
      <c r="N482" s="74"/>
      <c r="O482" s="74"/>
      <c r="P482" s="74"/>
      <c r="Q482" s="74"/>
      <c r="R482" s="75"/>
      <c r="S482" s="74"/>
      <c r="T482" s="74"/>
      <c r="U482" s="74"/>
      <c r="V482" s="74"/>
      <c r="W482" s="74"/>
      <c r="X482" s="74"/>
      <c r="Y482" s="74"/>
      <c r="Z482" s="74"/>
      <c r="AA482" s="74"/>
      <c r="AB482" s="74"/>
      <c r="AC482" s="74"/>
      <c r="AD482" s="74"/>
      <c r="AE482" s="74"/>
      <c r="AF482" s="74"/>
      <c r="AG482" s="74"/>
      <c r="AH482" s="74"/>
      <c r="AI482" s="74"/>
      <c r="AJ482" s="74"/>
      <c r="AK482" s="74"/>
    </row>
    <row r="483">
      <c r="A483" s="74"/>
      <c r="B483" s="74"/>
      <c r="C483" s="74"/>
      <c r="D483" s="74"/>
      <c r="E483" s="74"/>
      <c r="F483" s="74"/>
      <c r="G483" s="74"/>
      <c r="H483" s="74"/>
      <c r="I483" s="74"/>
      <c r="J483" s="74"/>
      <c r="K483" s="74"/>
      <c r="L483" s="74"/>
      <c r="M483" s="74"/>
      <c r="N483" s="74"/>
      <c r="O483" s="74"/>
      <c r="P483" s="74"/>
      <c r="Q483" s="74"/>
      <c r="R483" s="75"/>
      <c r="S483" s="74"/>
      <c r="T483" s="74"/>
      <c r="U483" s="74"/>
      <c r="V483" s="74"/>
      <c r="W483" s="74"/>
      <c r="X483" s="74"/>
      <c r="Y483" s="74"/>
      <c r="Z483" s="74"/>
      <c r="AA483" s="74"/>
      <c r="AB483" s="74"/>
      <c r="AC483" s="74"/>
      <c r="AD483" s="74"/>
      <c r="AE483" s="74"/>
      <c r="AF483" s="74"/>
      <c r="AG483" s="74"/>
      <c r="AH483" s="74"/>
      <c r="AI483" s="74"/>
      <c r="AJ483" s="74"/>
      <c r="AK483" s="74"/>
    </row>
    <row r="484">
      <c r="A484" s="74"/>
      <c r="B484" s="74"/>
      <c r="C484" s="74"/>
      <c r="D484" s="74"/>
      <c r="E484" s="74"/>
      <c r="F484" s="74"/>
      <c r="G484" s="74"/>
      <c r="H484" s="74"/>
      <c r="I484" s="74"/>
      <c r="J484" s="74"/>
      <c r="K484" s="74"/>
      <c r="L484" s="74"/>
      <c r="M484" s="74"/>
      <c r="N484" s="74"/>
      <c r="O484" s="74"/>
      <c r="P484" s="74"/>
      <c r="Q484" s="74"/>
      <c r="R484" s="75"/>
      <c r="S484" s="74"/>
      <c r="T484" s="74"/>
      <c r="U484" s="74"/>
      <c r="V484" s="74"/>
      <c r="W484" s="74"/>
      <c r="X484" s="74"/>
      <c r="Y484" s="74"/>
      <c r="Z484" s="74"/>
      <c r="AA484" s="74"/>
      <c r="AB484" s="74"/>
      <c r="AC484" s="74"/>
      <c r="AD484" s="74"/>
      <c r="AE484" s="74"/>
      <c r="AF484" s="74"/>
      <c r="AG484" s="74"/>
      <c r="AH484" s="74"/>
      <c r="AI484" s="74"/>
      <c r="AJ484" s="74"/>
      <c r="AK484" s="74"/>
    </row>
    <row r="485">
      <c r="A485" s="74"/>
      <c r="B485" s="74"/>
      <c r="C485" s="74"/>
      <c r="D485" s="74"/>
      <c r="E485" s="74"/>
      <c r="F485" s="74"/>
      <c r="G485" s="74"/>
      <c r="H485" s="74"/>
      <c r="I485" s="74"/>
      <c r="J485" s="74"/>
      <c r="K485" s="74"/>
      <c r="L485" s="74"/>
      <c r="M485" s="74"/>
      <c r="N485" s="74"/>
      <c r="O485" s="74"/>
      <c r="P485" s="74"/>
      <c r="Q485" s="74"/>
      <c r="R485" s="75"/>
      <c r="S485" s="74"/>
      <c r="T485" s="74"/>
      <c r="U485" s="74"/>
      <c r="V485" s="74"/>
      <c r="W485" s="74"/>
      <c r="X485" s="74"/>
      <c r="Y485" s="74"/>
      <c r="Z485" s="74"/>
      <c r="AA485" s="74"/>
      <c r="AB485" s="74"/>
      <c r="AC485" s="74"/>
      <c r="AD485" s="74"/>
      <c r="AE485" s="74"/>
      <c r="AF485" s="74"/>
      <c r="AG485" s="74"/>
      <c r="AH485" s="74"/>
      <c r="AI485" s="74"/>
      <c r="AJ485" s="74"/>
      <c r="AK485" s="74"/>
    </row>
    <row r="486">
      <c r="A486" s="74"/>
      <c r="B486" s="74"/>
      <c r="C486" s="74"/>
      <c r="D486" s="74"/>
      <c r="E486" s="74"/>
      <c r="F486" s="74"/>
      <c r="G486" s="74"/>
      <c r="H486" s="74"/>
      <c r="I486" s="74"/>
      <c r="J486" s="74"/>
      <c r="K486" s="74"/>
      <c r="L486" s="74"/>
      <c r="M486" s="74"/>
      <c r="N486" s="74"/>
      <c r="O486" s="74"/>
      <c r="P486" s="74"/>
      <c r="Q486" s="74"/>
      <c r="R486" s="75"/>
      <c r="S486" s="74"/>
      <c r="T486" s="74"/>
      <c r="U486" s="74"/>
      <c r="V486" s="74"/>
      <c r="W486" s="74"/>
      <c r="X486" s="74"/>
      <c r="Y486" s="74"/>
      <c r="Z486" s="74"/>
      <c r="AA486" s="74"/>
      <c r="AB486" s="74"/>
      <c r="AC486" s="74"/>
      <c r="AD486" s="74"/>
      <c r="AE486" s="74"/>
      <c r="AF486" s="74"/>
      <c r="AG486" s="74"/>
      <c r="AH486" s="74"/>
      <c r="AI486" s="74"/>
      <c r="AJ486" s="74"/>
      <c r="AK486" s="74"/>
    </row>
    <row r="487">
      <c r="A487" s="74"/>
      <c r="B487" s="74"/>
      <c r="C487" s="74"/>
      <c r="D487" s="74"/>
      <c r="E487" s="74"/>
      <c r="F487" s="74"/>
      <c r="G487" s="74"/>
      <c r="H487" s="74"/>
      <c r="I487" s="74"/>
      <c r="J487" s="74"/>
      <c r="K487" s="74"/>
      <c r="L487" s="74"/>
      <c r="M487" s="74"/>
      <c r="N487" s="74"/>
      <c r="O487" s="74"/>
      <c r="P487" s="74"/>
      <c r="Q487" s="74"/>
      <c r="R487" s="75"/>
      <c r="S487" s="74"/>
      <c r="T487" s="74"/>
      <c r="U487" s="74"/>
      <c r="V487" s="74"/>
      <c r="W487" s="74"/>
      <c r="X487" s="74"/>
      <c r="Y487" s="74"/>
      <c r="Z487" s="74"/>
      <c r="AA487" s="74"/>
      <c r="AB487" s="74"/>
      <c r="AC487" s="74"/>
      <c r="AD487" s="74"/>
      <c r="AE487" s="74"/>
      <c r="AF487" s="74"/>
      <c r="AG487" s="74"/>
      <c r="AH487" s="74"/>
      <c r="AI487" s="74"/>
      <c r="AJ487" s="74"/>
      <c r="AK487" s="74"/>
    </row>
    <row r="488">
      <c r="A488" s="74"/>
      <c r="B488" s="74"/>
      <c r="C488" s="74"/>
      <c r="D488" s="74"/>
      <c r="E488" s="74"/>
      <c r="F488" s="74"/>
      <c r="G488" s="74"/>
      <c r="H488" s="74"/>
      <c r="I488" s="74"/>
      <c r="J488" s="74"/>
      <c r="K488" s="74"/>
      <c r="L488" s="74"/>
      <c r="M488" s="74"/>
      <c r="N488" s="74"/>
      <c r="O488" s="74"/>
      <c r="P488" s="74"/>
      <c r="Q488" s="74"/>
      <c r="R488" s="75"/>
      <c r="S488" s="74"/>
      <c r="T488" s="74"/>
      <c r="U488" s="74"/>
      <c r="V488" s="74"/>
      <c r="W488" s="74"/>
      <c r="X488" s="74"/>
      <c r="Y488" s="74"/>
      <c r="Z488" s="74"/>
      <c r="AA488" s="74"/>
      <c r="AB488" s="74"/>
      <c r="AC488" s="74"/>
      <c r="AD488" s="74"/>
      <c r="AE488" s="74"/>
      <c r="AF488" s="74"/>
      <c r="AG488" s="74"/>
      <c r="AH488" s="74"/>
      <c r="AI488" s="74"/>
      <c r="AJ488" s="74"/>
      <c r="AK488" s="74"/>
    </row>
    <row r="489">
      <c r="A489" s="74"/>
      <c r="B489" s="74"/>
      <c r="C489" s="74"/>
      <c r="D489" s="74"/>
      <c r="E489" s="74"/>
      <c r="F489" s="74"/>
      <c r="G489" s="74"/>
      <c r="H489" s="74"/>
      <c r="I489" s="74"/>
      <c r="J489" s="74"/>
      <c r="K489" s="74"/>
      <c r="L489" s="74"/>
      <c r="M489" s="74"/>
      <c r="N489" s="74"/>
      <c r="O489" s="74"/>
      <c r="P489" s="74"/>
      <c r="Q489" s="74"/>
      <c r="R489" s="75"/>
      <c r="S489" s="74"/>
      <c r="T489" s="74"/>
      <c r="U489" s="74"/>
      <c r="V489" s="74"/>
      <c r="W489" s="74"/>
      <c r="X489" s="74"/>
      <c r="Y489" s="74"/>
      <c r="Z489" s="74"/>
      <c r="AA489" s="74"/>
      <c r="AB489" s="74"/>
      <c r="AC489" s="74"/>
      <c r="AD489" s="74"/>
      <c r="AE489" s="74"/>
      <c r="AF489" s="74"/>
      <c r="AG489" s="74"/>
      <c r="AH489" s="74"/>
      <c r="AI489" s="74"/>
      <c r="AJ489" s="74"/>
      <c r="AK489" s="74"/>
    </row>
    <row r="490">
      <c r="A490" s="74"/>
      <c r="B490" s="74"/>
      <c r="C490" s="74"/>
      <c r="D490" s="74"/>
      <c r="E490" s="74"/>
      <c r="F490" s="74"/>
      <c r="G490" s="74"/>
      <c r="H490" s="74"/>
      <c r="I490" s="74"/>
      <c r="J490" s="74"/>
      <c r="K490" s="74"/>
      <c r="L490" s="74"/>
      <c r="M490" s="74"/>
      <c r="N490" s="74"/>
      <c r="O490" s="74"/>
      <c r="P490" s="74"/>
      <c r="Q490" s="74"/>
      <c r="R490" s="75"/>
      <c r="S490" s="74"/>
      <c r="T490" s="74"/>
      <c r="U490" s="74"/>
      <c r="V490" s="74"/>
      <c r="W490" s="74"/>
      <c r="X490" s="74"/>
      <c r="Y490" s="74"/>
      <c r="Z490" s="74"/>
      <c r="AA490" s="74"/>
      <c r="AB490" s="74"/>
      <c r="AC490" s="74"/>
      <c r="AD490" s="74"/>
      <c r="AE490" s="74"/>
      <c r="AF490" s="74"/>
      <c r="AG490" s="74"/>
      <c r="AH490" s="74"/>
      <c r="AI490" s="74"/>
      <c r="AJ490" s="74"/>
      <c r="AK490" s="74"/>
    </row>
    <row r="491">
      <c r="A491" s="74"/>
      <c r="B491" s="74"/>
      <c r="C491" s="74"/>
      <c r="D491" s="74"/>
      <c r="E491" s="74"/>
      <c r="F491" s="74"/>
      <c r="G491" s="74"/>
      <c r="H491" s="74"/>
      <c r="I491" s="74"/>
      <c r="J491" s="74"/>
      <c r="K491" s="74"/>
      <c r="L491" s="74"/>
      <c r="M491" s="74"/>
      <c r="N491" s="74"/>
      <c r="O491" s="74"/>
      <c r="P491" s="74"/>
      <c r="Q491" s="74"/>
      <c r="R491" s="75"/>
      <c r="S491" s="74"/>
      <c r="T491" s="74"/>
      <c r="U491" s="74"/>
      <c r="V491" s="74"/>
      <c r="W491" s="74"/>
      <c r="X491" s="74"/>
      <c r="Y491" s="74"/>
      <c r="Z491" s="74"/>
      <c r="AA491" s="74"/>
      <c r="AB491" s="74"/>
      <c r="AC491" s="74"/>
      <c r="AD491" s="74"/>
      <c r="AE491" s="74"/>
      <c r="AF491" s="74"/>
      <c r="AG491" s="74"/>
      <c r="AH491" s="74"/>
      <c r="AI491" s="74"/>
      <c r="AJ491" s="74"/>
      <c r="AK491" s="74"/>
    </row>
    <row r="492">
      <c r="A492" s="74"/>
      <c r="B492" s="74"/>
      <c r="C492" s="74"/>
      <c r="D492" s="74"/>
      <c r="E492" s="74"/>
      <c r="F492" s="74"/>
      <c r="G492" s="74"/>
      <c r="H492" s="74"/>
      <c r="I492" s="74"/>
      <c r="J492" s="74"/>
      <c r="K492" s="74"/>
      <c r="L492" s="74"/>
      <c r="M492" s="74"/>
      <c r="N492" s="74"/>
      <c r="O492" s="74"/>
      <c r="P492" s="74"/>
      <c r="Q492" s="74"/>
      <c r="R492" s="75"/>
      <c r="S492" s="74"/>
      <c r="T492" s="74"/>
      <c r="U492" s="74"/>
      <c r="V492" s="74"/>
      <c r="W492" s="74"/>
      <c r="X492" s="74"/>
      <c r="Y492" s="74"/>
      <c r="Z492" s="74"/>
      <c r="AA492" s="74"/>
      <c r="AB492" s="74"/>
      <c r="AC492" s="74"/>
      <c r="AD492" s="74"/>
      <c r="AE492" s="74"/>
      <c r="AF492" s="74"/>
      <c r="AG492" s="74"/>
      <c r="AH492" s="74"/>
      <c r="AI492" s="74"/>
      <c r="AJ492" s="74"/>
      <c r="AK492" s="74"/>
    </row>
    <row r="493">
      <c r="A493" s="74"/>
      <c r="B493" s="74"/>
      <c r="C493" s="74"/>
      <c r="D493" s="74"/>
      <c r="E493" s="74"/>
      <c r="F493" s="74"/>
      <c r="G493" s="74"/>
      <c r="H493" s="74"/>
      <c r="I493" s="74"/>
      <c r="J493" s="74"/>
      <c r="K493" s="74"/>
      <c r="L493" s="74"/>
      <c r="M493" s="74"/>
      <c r="N493" s="74"/>
      <c r="O493" s="74"/>
      <c r="P493" s="74"/>
      <c r="Q493" s="74"/>
      <c r="R493" s="75"/>
      <c r="S493" s="74"/>
      <c r="T493" s="74"/>
      <c r="U493" s="74"/>
      <c r="V493" s="74"/>
      <c r="W493" s="74"/>
      <c r="X493" s="74"/>
      <c r="Y493" s="74"/>
      <c r="Z493" s="74"/>
      <c r="AA493" s="74"/>
      <c r="AB493" s="74"/>
      <c r="AC493" s="74"/>
      <c r="AD493" s="74"/>
      <c r="AE493" s="74"/>
      <c r="AF493" s="74"/>
      <c r="AG493" s="74"/>
      <c r="AH493" s="74"/>
      <c r="AI493" s="74"/>
      <c r="AJ493" s="74"/>
      <c r="AK493" s="74"/>
    </row>
    <row r="494">
      <c r="A494" s="74"/>
      <c r="B494" s="74"/>
      <c r="C494" s="74"/>
      <c r="D494" s="74"/>
      <c r="E494" s="74"/>
      <c r="F494" s="74"/>
      <c r="G494" s="74"/>
      <c r="H494" s="74"/>
      <c r="I494" s="74"/>
      <c r="J494" s="74"/>
      <c r="K494" s="74"/>
      <c r="L494" s="74"/>
      <c r="M494" s="74"/>
      <c r="N494" s="74"/>
      <c r="O494" s="74"/>
      <c r="P494" s="74"/>
      <c r="Q494" s="74"/>
      <c r="R494" s="75"/>
      <c r="S494" s="74"/>
      <c r="T494" s="74"/>
      <c r="U494" s="74"/>
      <c r="V494" s="74"/>
      <c r="W494" s="74"/>
      <c r="X494" s="74"/>
      <c r="Y494" s="74"/>
      <c r="Z494" s="74"/>
      <c r="AA494" s="74"/>
      <c r="AB494" s="74"/>
      <c r="AC494" s="74"/>
      <c r="AD494" s="74"/>
      <c r="AE494" s="74"/>
      <c r="AF494" s="74"/>
      <c r="AG494" s="74"/>
      <c r="AH494" s="74"/>
      <c r="AI494" s="74"/>
      <c r="AJ494" s="74"/>
      <c r="AK494" s="74"/>
    </row>
    <row r="495">
      <c r="A495" s="74"/>
      <c r="B495" s="74"/>
      <c r="C495" s="74"/>
      <c r="D495" s="74"/>
      <c r="E495" s="74"/>
      <c r="F495" s="74"/>
      <c r="G495" s="74"/>
      <c r="H495" s="74"/>
      <c r="I495" s="74"/>
      <c r="J495" s="74"/>
      <c r="K495" s="74"/>
      <c r="L495" s="74"/>
      <c r="M495" s="74"/>
      <c r="N495" s="74"/>
      <c r="O495" s="74"/>
      <c r="P495" s="74"/>
      <c r="Q495" s="74"/>
      <c r="R495" s="75"/>
      <c r="S495" s="74"/>
      <c r="T495" s="74"/>
      <c r="U495" s="74"/>
      <c r="V495" s="74"/>
      <c r="W495" s="74"/>
      <c r="X495" s="74"/>
      <c r="Y495" s="74"/>
      <c r="Z495" s="74"/>
      <c r="AA495" s="74"/>
      <c r="AB495" s="74"/>
      <c r="AC495" s="74"/>
      <c r="AD495" s="74"/>
      <c r="AE495" s="74"/>
      <c r="AF495" s="74"/>
      <c r="AG495" s="74"/>
      <c r="AH495" s="74"/>
      <c r="AI495" s="74"/>
      <c r="AJ495" s="74"/>
      <c r="AK495" s="74"/>
    </row>
    <row r="496">
      <c r="A496" s="74"/>
      <c r="B496" s="74"/>
      <c r="C496" s="74"/>
      <c r="D496" s="74"/>
      <c r="E496" s="74"/>
      <c r="F496" s="74"/>
      <c r="G496" s="74"/>
      <c r="H496" s="74"/>
      <c r="I496" s="74"/>
      <c r="J496" s="74"/>
      <c r="K496" s="74"/>
      <c r="L496" s="74"/>
      <c r="M496" s="74"/>
      <c r="N496" s="74"/>
      <c r="O496" s="74"/>
      <c r="P496" s="74"/>
      <c r="Q496" s="74"/>
      <c r="R496" s="75"/>
      <c r="S496" s="74"/>
      <c r="T496" s="74"/>
      <c r="U496" s="74"/>
      <c r="V496" s="74"/>
      <c r="W496" s="74"/>
      <c r="X496" s="74"/>
      <c r="Y496" s="74"/>
      <c r="Z496" s="74"/>
      <c r="AA496" s="74"/>
      <c r="AB496" s="74"/>
      <c r="AC496" s="74"/>
      <c r="AD496" s="74"/>
      <c r="AE496" s="74"/>
      <c r="AF496" s="74"/>
      <c r="AG496" s="74"/>
      <c r="AH496" s="74"/>
      <c r="AI496" s="74"/>
      <c r="AJ496" s="74"/>
      <c r="AK496" s="74"/>
    </row>
    <row r="497">
      <c r="A497" s="74"/>
      <c r="B497" s="74"/>
      <c r="C497" s="74"/>
      <c r="D497" s="74"/>
      <c r="E497" s="74"/>
      <c r="F497" s="74"/>
      <c r="G497" s="74"/>
      <c r="H497" s="74"/>
      <c r="I497" s="74"/>
      <c r="J497" s="74"/>
      <c r="K497" s="74"/>
      <c r="L497" s="74"/>
      <c r="M497" s="74"/>
      <c r="N497" s="74"/>
      <c r="O497" s="74"/>
      <c r="P497" s="74"/>
      <c r="Q497" s="74"/>
      <c r="R497" s="75"/>
      <c r="S497" s="74"/>
      <c r="T497" s="74"/>
      <c r="U497" s="74"/>
      <c r="V497" s="74"/>
      <c r="W497" s="74"/>
      <c r="X497" s="74"/>
      <c r="Y497" s="74"/>
      <c r="Z497" s="74"/>
      <c r="AA497" s="74"/>
      <c r="AB497" s="74"/>
      <c r="AC497" s="74"/>
      <c r="AD497" s="74"/>
      <c r="AE497" s="74"/>
      <c r="AF497" s="74"/>
      <c r="AG497" s="74"/>
      <c r="AH497" s="74"/>
      <c r="AI497" s="74"/>
      <c r="AJ497" s="74"/>
      <c r="AK497" s="74"/>
    </row>
    <row r="498">
      <c r="A498" s="74"/>
      <c r="B498" s="74"/>
      <c r="C498" s="74"/>
      <c r="D498" s="74"/>
      <c r="E498" s="74"/>
      <c r="F498" s="74"/>
      <c r="G498" s="74"/>
      <c r="H498" s="74"/>
      <c r="I498" s="74"/>
      <c r="J498" s="74"/>
      <c r="K498" s="74"/>
      <c r="L498" s="74"/>
      <c r="M498" s="74"/>
      <c r="N498" s="74"/>
      <c r="O498" s="74"/>
      <c r="P498" s="74"/>
      <c r="Q498" s="74"/>
      <c r="R498" s="75"/>
      <c r="S498" s="74"/>
      <c r="T498" s="74"/>
      <c r="U498" s="74"/>
      <c r="V498" s="74"/>
      <c r="W498" s="74"/>
      <c r="X498" s="74"/>
      <c r="Y498" s="74"/>
      <c r="Z498" s="74"/>
      <c r="AA498" s="74"/>
      <c r="AB498" s="74"/>
      <c r="AC498" s="74"/>
      <c r="AD498" s="74"/>
      <c r="AE498" s="74"/>
      <c r="AF498" s="74"/>
      <c r="AG498" s="74"/>
      <c r="AH498" s="74"/>
      <c r="AI498" s="74"/>
      <c r="AJ498" s="74"/>
      <c r="AK498" s="74"/>
    </row>
    <row r="499">
      <c r="A499" s="74"/>
      <c r="B499" s="74"/>
      <c r="C499" s="74"/>
      <c r="D499" s="74"/>
      <c r="E499" s="74"/>
      <c r="F499" s="74"/>
      <c r="G499" s="74"/>
      <c r="H499" s="74"/>
      <c r="I499" s="74"/>
      <c r="J499" s="74"/>
      <c r="K499" s="74"/>
      <c r="L499" s="74"/>
      <c r="M499" s="74"/>
      <c r="N499" s="74"/>
      <c r="O499" s="74"/>
      <c r="P499" s="74"/>
      <c r="Q499" s="74"/>
      <c r="R499" s="75"/>
      <c r="S499" s="74"/>
      <c r="T499" s="74"/>
      <c r="U499" s="74"/>
      <c r="V499" s="74"/>
      <c r="W499" s="74"/>
      <c r="X499" s="74"/>
      <c r="Y499" s="74"/>
      <c r="Z499" s="74"/>
      <c r="AA499" s="74"/>
      <c r="AB499" s="74"/>
      <c r="AC499" s="74"/>
      <c r="AD499" s="74"/>
      <c r="AE499" s="74"/>
      <c r="AF499" s="74"/>
      <c r="AG499" s="74"/>
      <c r="AH499" s="74"/>
      <c r="AI499" s="74"/>
      <c r="AJ499" s="74"/>
      <c r="AK499" s="74"/>
    </row>
    <row r="500">
      <c r="A500" s="74"/>
      <c r="B500" s="74"/>
      <c r="C500" s="74"/>
      <c r="D500" s="74"/>
      <c r="E500" s="74"/>
      <c r="F500" s="74"/>
      <c r="G500" s="74"/>
      <c r="H500" s="74"/>
      <c r="I500" s="74"/>
      <c r="J500" s="74"/>
      <c r="K500" s="74"/>
      <c r="L500" s="74"/>
      <c r="M500" s="74"/>
      <c r="N500" s="74"/>
      <c r="O500" s="74"/>
      <c r="P500" s="74"/>
      <c r="Q500" s="74"/>
      <c r="R500" s="75"/>
      <c r="S500" s="74"/>
      <c r="T500" s="74"/>
      <c r="U500" s="74"/>
      <c r="V500" s="74"/>
      <c r="W500" s="74"/>
      <c r="X500" s="74"/>
      <c r="Y500" s="74"/>
      <c r="Z500" s="74"/>
      <c r="AA500" s="74"/>
      <c r="AB500" s="74"/>
      <c r="AC500" s="74"/>
      <c r="AD500" s="74"/>
      <c r="AE500" s="74"/>
      <c r="AF500" s="74"/>
      <c r="AG500" s="74"/>
      <c r="AH500" s="74"/>
      <c r="AI500" s="74"/>
      <c r="AJ500" s="74"/>
      <c r="AK500" s="74"/>
    </row>
    <row r="501">
      <c r="A501" s="74"/>
      <c r="B501" s="74"/>
      <c r="C501" s="74"/>
      <c r="D501" s="74"/>
      <c r="E501" s="74"/>
      <c r="F501" s="74"/>
      <c r="G501" s="74"/>
      <c r="H501" s="74"/>
      <c r="I501" s="74"/>
      <c r="J501" s="74"/>
      <c r="K501" s="74"/>
      <c r="L501" s="74"/>
      <c r="M501" s="74"/>
      <c r="N501" s="74"/>
      <c r="O501" s="74"/>
      <c r="P501" s="74"/>
      <c r="Q501" s="74"/>
      <c r="R501" s="75"/>
      <c r="S501" s="74"/>
      <c r="T501" s="74"/>
      <c r="U501" s="74"/>
      <c r="V501" s="74"/>
      <c r="W501" s="74"/>
      <c r="X501" s="74"/>
      <c r="Y501" s="74"/>
      <c r="Z501" s="74"/>
      <c r="AA501" s="74"/>
      <c r="AB501" s="74"/>
      <c r="AC501" s="74"/>
      <c r="AD501" s="74"/>
      <c r="AE501" s="74"/>
      <c r="AF501" s="74"/>
      <c r="AG501" s="74"/>
      <c r="AH501" s="74"/>
      <c r="AI501" s="74"/>
      <c r="AJ501" s="74"/>
      <c r="AK501" s="74"/>
    </row>
    <row r="502">
      <c r="A502" s="74"/>
      <c r="B502" s="74"/>
      <c r="C502" s="74"/>
      <c r="D502" s="74"/>
      <c r="E502" s="74"/>
      <c r="F502" s="74"/>
      <c r="G502" s="74"/>
      <c r="H502" s="74"/>
      <c r="I502" s="74"/>
      <c r="J502" s="74"/>
      <c r="K502" s="74"/>
      <c r="L502" s="74"/>
      <c r="M502" s="74"/>
      <c r="N502" s="74"/>
      <c r="O502" s="74"/>
      <c r="P502" s="74"/>
      <c r="Q502" s="74"/>
      <c r="R502" s="75"/>
      <c r="S502" s="74"/>
      <c r="T502" s="74"/>
      <c r="U502" s="74"/>
      <c r="V502" s="74"/>
      <c r="W502" s="74"/>
      <c r="X502" s="74"/>
      <c r="Y502" s="74"/>
      <c r="Z502" s="74"/>
      <c r="AA502" s="74"/>
      <c r="AB502" s="74"/>
      <c r="AC502" s="74"/>
      <c r="AD502" s="74"/>
      <c r="AE502" s="74"/>
      <c r="AF502" s="74"/>
      <c r="AG502" s="74"/>
      <c r="AH502" s="74"/>
      <c r="AI502" s="74"/>
      <c r="AJ502" s="74"/>
      <c r="AK502" s="74"/>
    </row>
    <row r="503">
      <c r="A503" s="74"/>
      <c r="B503" s="74"/>
      <c r="C503" s="74"/>
      <c r="D503" s="74"/>
      <c r="E503" s="74"/>
      <c r="F503" s="74"/>
      <c r="G503" s="74"/>
      <c r="H503" s="74"/>
      <c r="I503" s="74"/>
      <c r="J503" s="74"/>
      <c r="K503" s="74"/>
      <c r="L503" s="74"/>
      <c r="M503" s="74"/>
      <c r="N503" s="74"/>
      <c r="O503" s="74"/>
      <c r="P503" s="74"/>
      <c r="Q503" s="74"/>
      <c r="R503" s="75"/>
      <c r="S503" s="74"/>
      <c r="T503" s="74"/>
      <c r="U503" s="74"/>
      <c r="V503" s="74"/>
      <c r="W503" s="74"/>
      <c r="X503" s="74"/>
      <c r="Y503" s="74"/>
      <c r="Z503" s="74"/>
      <c r="AA503" s="74"/>
      <c r="AB503" s="74"/>
      <c r="AC503" s="74"/>
      <c r="AD503" s="74"/>
      <c r="AE503" s="74"/>
      <c r="AF503" s="74"/>
      <c r="AG503" s="74"/>
      <c r="AH503" s="74"/>
      <c r="AI503" s="74"/>
      <c r="AJ503" s="74"/>
      <c r="AK503" s="74"/>
    </row>
    <row r="504">
      <c r="A504" s="74"/>
      <c r="B504" s="74"/>
      <c r="C504" s="74"/>
      <c r="D504" s="74"/>
      <c r="E504" s="74"/>
      <c r="F504" s="74"/>
      <c r="G504" s="74"/>
      <c r="H504" s="74"/>
      <c r="I504" s="74"/>
      <c r="J504" s="74"/>
      <c r="K504" s="74"/>
      <c r="L504" s="74"/>
      <c r="M504" s="74"/>
      <c r="N504" s="74"/>
      <c r="O504" s="74"/>
      <c r="P504" s="74"/>
      <c r="Q504" s="74"/>
      <c r="R504" s="75"/>
      <c r="S504" s="74"/>
      <c r="T504" s="74"/>
      <c r="U504" s="74"/>
      <c r="V504" s="74"/>
      <c r="W504" s="74"/>
      <c r="X504" s="74"/>
      <c r="Y504" s="74"/>
      <c r="Z504" s="74"/>
      <c r="AA504" s="74"/>
      <c r="AB504" s="74"/>
      <c r="AC504" s="74"/>
      <c r="AD504" s="74"/>
      <c r="AE504" s="74"/>
      <c r="AF504" s="74"/>
      <c r="AG504" s="74"/>
      <c r="AH504" s="74"/>
      <c r="AI504" s="74"/>
      <c r="AJ504" s="74"/>
      <c r="AK504" s="74"/>
    </row>
    <row r="505">
      <c r="A505" s="74"/>
      <c r="B505" s="74"/>
      <c r="C505" s="74"/>
      <c r="D505" s="74"/>
      <c r="E505" s="74"/>
      <c r="F505" s="74"/>
      <c r="G505" s="74"/>
      <c r="H505" s="74"/>
      <c r="I505" s="74"/>
      <c r="J505" s="74"/>
      <c r="K505" s="74"/>
      <c r="L505" s="74"/>
      <c r="M505" s="74"/>
      <c r="N505" s="74"/>
      <c r="O505" s="74"/>
      <c r="P505" s="74"/>
      <c r="Q505" s="74"/>
      <c r="R505" s="75"/>
      <c r="S505" s="74"/>
      <c r="T505" s="74"/>
      <c r="U505" s="74"/>
      <c r="V505" s="74"/>
      <c r="W505" s="74"/>
      <c r="X505" s="74"/>
      <c r="Y505" s="74"/>
      <c r="Z505" s="74"/>
      <c r="AA505" s="74"/>
      <c r="AB505" s="74"/>
      <c r="AC505" s="74"/>
      <c r="AD505" s="74"/>
      <c r="AE505" s="74"/>
      <c r="AF505" s="74"/>
      <c r="AG505" s="74"/>
      <c r="AH505" s="74"/>
      <c r="AI505" s="74"/>
      <c r="AJ505" s="74"/>
      <c r="AK505" s="74"/>
    </row>
    <row r="506">
      <c r="A506" s="74"/>
      <c r="B506" s="74"/>
      <c r="C506" s="74"/>
      <c r="D506" s="74"/>
      <c r="E506" s="74"/>
      <c r="F506" s="74"/>
      <c r="G506" s="74"/>
      <c r="H506" s="74"/>
      <c r="I506" s="74"/>
      <c r="J506" s="74"/>
      <c r="K506" s="74"/>
      <c r="L506" s="74"/>
      <c r="M506" s="74"/>
      <c r="N506" s="74"/>
      <c r="O506" s="74"/>
      <c r="P506" s="74"/>
      <c r="Q506" s="74"/>
      <c r="R506" s="75"/>
      <c r="S506" s="74"/>
      <c r="T506" s="74"/>
      <c r="U506" s="74"/>
      <c r="V506" s="74"/>
      <c r="W506" s="74"/>
      <c r="X506" s="74"/>
      <c r="Y506" s="74"/>
      <c r="Z506" s="74"/>
      <c r="AA506" s="74"/>
      <c r="AB506" s="74"/>
      <c r="AC506" s="74"/>
      <c r="AD506" s="74"/>
      <c r="AE506" s="74"/>
      <c r="AF506" s="74"/>
      <c r="AG506" s="74"/>
      <c r="AH506" s="74"/>
      <c r="AI506" s="74"/>
      <c r="AJ506" s="74"/>
      <c r="AK506" s="74"/>
    </row>
    <row r="507">
      <c r="A507" s="74"/>
      <c r="B507" s="74"/>
      <c r="C507" s="74"/>
      <c r="D507" s="74"/>
      <c r="E507" s="74"/>
      <c r="F507" s="74"/>
      <c r="G507" s="74"/>
      <c r="H507" s="74"/>
      <c r="I507" s="74"/>
      <c r="J507" s="74"/>
      <c r="K507" s="74"/>
      <c r="L507" s="74"/>
      <c r="M507" s="74"/>
      <c r="N507" s="74"/>
      <c r="O507" s="74"/>
      <c r="P507" s="74"/>
      <c r="Q507" s="74"/>
      <c r="R507" s="75"/>
      <c r="S507" s="74"/>
      <c r="T507" s="74"/>
      <c r="U507" s="74"/>
      <c r="V507" s="74"/>
      <c r="W507" s="74"/>
      <c r="X507" s="74"/>
      <c r="Y507" s="74"/>
      <c r="Z507" s="74"/>
      <c r="AA507" s="74"/>
      <c r="AB507" s="74"/>
      <c r="AC507" s="74"/>
      <c r="AD507" s="74"/>
      <c r="AE507" s="74"/>
      <c r="AF507" s="74"/>
      <c r="AG507" s="74"/>
      <c r="AH507" s="74"/>
      <c r="AI507" s="74"/>
      <c r="AJ507" s="74"/>
      <c r="AK507" s="74"/>
    </row>
    <row r="508">
      <c r="A508" s="74"/>
      <c r="B508" s="74"/>
      <c r="C508" s="74"/>
      <c r="D508" s="74"/>
      <c r="E508" s="74"/>
      <c r="F508" s="74"/>
      <c r="G508" s="74"/>
      <c r="H508" s="74"/>
      <c r="I508" s="74"/>
      <c r="J508" s="74"/>
      <c r="K508" s="74"/>
      <c r="L508" s="74"/>
      <c r="M508" s="74"/>
      <c r="N508" s="74"/>
      <c r="O508" s="74"/>
      <c r="P508" s="74"/>
      <c r="Q508" s="74"/>
      <c r="R508" s="75"/>
      <c r="S508" s="74"/>
      <c r="T508" s="74"/>
      <c r="U508" s="74"/>
      <c r="V508" s="74"/>
      <c r="W508" s="74"/>
      <c r="X508" s="74"/>
      <c r="Y508" s="74"/>
      <c r="Z508" s="74"/>
      <c r="AA508" s="74"/>
      <c r="AB508" s="74"/>
      <c r="AC508" s="74"/>
      <c r="AD508" s="74"/>
      <c r="AE508" s="74"/>
      <c r="AF508" s="74"/>
      <c r="AG508" s="74"/>
      <c r="AH508" s="74"/>
      <c r="AI508" s="74"/>
      <c r="AJ508" s="74"/>
      <c r="AK508" s="74"/>
    </row>
    <row r="509">
      <c r="A509" s="74"/>
      <c r="B509" s="74"/>
      <c r="C509" s="74"/>
      <c r="D509" s="74"/>
      <c r="E509" s="74"/>
      <c r="F509" s="74"/>
      <c r="G509" s="74"/>
      <c r="H509" s="74"/>
      <c r="I509" s="74"/>
      <c r="J509" s="74"/>
      <c r="K509" s="74"/>
      <c r="L509" s="74"/>
      <c r="M509" s="74"/>
      <c r="N509" s="74"/>
      <c r="O509" s="74"/>
      <c r="P509" s="74"/>
      <c r="Q509" s="74"/>
      <c r="R509" s="75"/>
      <c r="S509" s="74"/>
      <c r="T509" s="74"/>
      <c r="U509" s="74"/>
      <c r="V509" s="74"/>
      <c r="W509" s="74"/>
      <c r="X509" s="74"/>
      <c r="Y509" s="74"/>
      <c r="Z509" s="74"/>
      <c r="AA509" s="74"/>
      <c r="AB509" s="74"/>
      <c r="AC509" s="74"/>
      <c r="AD509" s="74"/>
      <c r="AE509" s="74"/>
      <c r="AF509" s="74"/>
      <c r="AG509" s="74"/>
      <c r="AH509" s="74"/>
      <c r="AI509" s="74"/>
      <c r="AJ509" s="74"/>
      <c r="AK509" s="74"/>
    </row>
    <row r="510">
      <c r="A510" s="74"/>
      <c r="B510" s="74"/>
      <c r="C510" s="74"/>
      <c r="D510" s="74"/>
      <c r="E510" s="74"/>
      <c r="F510" s="74"/>
      <c r="G510" s="74"/>
      <c r="H510" s="74"/>
      <c r="I510" s="74"/>
      <c r="J510" s="74"/>
      <c r="K510" s="74"/>
      <c r="L510" s="74"/>
      <c r="M510" s="74"/>
      <c r="N510" s="74"/>
      <c r="O510" s="74"/>
      <c r="P510" s="74"/>
      <c r="Q510" s="74"/>
      <c r="R510" s="75"/>
      <c r="S510" s="74"/>
      <c r="T510" s="74"/>
      <c r="U510" s="74"/>
      <c r="V510" s="74"/>
      <c r="W510" s="74"/>
      <c r="X510" s="74"/>
      <c r="Y510" s="74"/>
      <c r="Z510" s="74"/>
      <c r="AA510" s="74"/>
      <c r="AB510" s="74"/>
      <c r="AC510" s="74"/>
      <c r="AD510" s="74"/>
      <c r="AE510" s="74"/>
      <c r="AF510" s="74"/>
      <c r="AG510" s="74"/>
      <c r="AH510" s="74"/>
      <c r="AI510" s="74"/>
      <c r="AJ510" s="74"/>
      <c r="AK510" s="74"/>
    </row>
    <row r="511">
      <c r="A511" s="74"/>
      <c r="B511" s="74"/>
      <c r="C511" s="74"/>
      <c r="D511" s="74"/>
      <c r="E511" s="74"/>
      <c r="F511" s="74"/>
      <c r="G511" s="74"/>
      <c r="H511" s="74"/>
      <c r="I511" s="74"/>
      <c r="J511" s="74"/>
      <c r="K511" s="74"/>
      <c r="L511" s="74"/>
      <c r="M511" s="74"/>
      <c r="N511" s="74"/>
      <c r="O511" s="74"/>
      <c r="P511" s="74"/>
      <c r="Q511" s="74"/>
      <c r="R511" s="75"/>
      <c r="S511" s="74"/>
      <c r="T511" s="74"/>
      <c r="U511" s="74"/>
      <c r="V511" s="74"/>
      <c r="W511" s="74"/>
      <c r="X511" s="74"/>
      <c r="Y511" s="74"/>
      <c r="Z511" s="74"/>
      <c r="AA511" s="74"/>
      <c r="AB511" s="74"/>
      <c r="AC511" s="74"/>
      <c r="AD511" s="74"/>
      <c r="AE511" s="74"/>
      <c r="AF511" s="74"/>
      <c r="AG511" s="74"/>
      <c r="AH511" s="74"/>
      <c r="AI511" s="74"/>
      <c r="AJ511" s="74"/>
      <c r="AK511" s="74"/>
    </row>
    <row r="512">
      <c r="A512" s="74"/>
      <c r="B512" s="74"/>
      <c r="C512" s="74"/>
      <c r="D512" s="74"/>
      <c r="E512" s="74"/>
      <c r="F512" s="74"/>
      <c r="G512" s="74"/>
      <c r="H512" s="74"/>
      <c r="I512" s="74"/>
      <c r="J512" s="74"/>
      <c r="K512" s="74"/>
      <c r="L512" s="74"/>
      <c r="M512" s="74"/>
      <c r="N512" s="74"/>
      <c r="O512" s="74"/>
      <c r="P512" s="74"/>
      <c r="Q512" s="74"/>
      <c r="R512" s="75"/>
      <c r="S512" s="74"/>
      <c r="T512" s="74"/>
      <c r="U512" s="74"/>
      <c r="V512" s="74"/>
      <c r="W512" s="74"/>
      <c r="X512" s="74"/>
      <c r="Y512" s="74"/>
      <c r="Z512" s="74"/>
      <c r="AA512" s="74"/>
      <c r="AB512" s="74"/>
      <c r="AC512" s="74"/>
      <c r="AD512" s="74"/>
      <c r="AE512" s="74"/>
      <c r="AF512" s="74"/>
      <c r="AG512" s="74"/>
      <c r="AH512" s="74"/>
      <c r="AI512" s="74"/>
      <c r="AJ512" s="74"/>
      <c r="AK512" s="74"/>
    </row>
    <row r="513">
      <c r="A513" s="74"/>
      <c r="B513" s="74"/>
      <c r="C513" s="74"/>
      <c r="D513" s="74"/>
      <c r="E513" s="74"/>
      <c r="F513" s="74"/>
      <c r="G513" s="74"/>
      <c r="H513" s="74"/>
      <c r="I513" s="74"/>
      <c r="J513" s="74"/>
      <c r="K513" s="74"/>
      <c r="L513" s="74"/>
      <c r="M513" s="74"/>
      <c r="N513" s="74"/>
      <c r="O513" s="74"/>
      <c r="P513" s="74"/>
      <c r="Q513" s="74"/>
      <c r="R513" s="75"/>
      <c r="S513" s="74"/>
      <c r="T513" s="74"/>
      <c r="U513" s="74"/>
      <c r="V513" s="74"/>
      <c r="W513" s="74"/>
      <c r="X513" s="74"/>
      <c r="Y513" s="74"/>
      <c r="Z513" s="74"/>
      <c r="AA513" s="74"/>
      <c r="AB513" s="74"/>
      <c r="AC513" s="74"/>
      <c r="AD513" s="74"/>
      <c r="AE513" s="74"/>
      <c r="AF513" s="74"/>
      <c r="AG513" s="74"/>
      <c r="AH513" s="74"/>
      <c r="AI513" s="74"/>
      <c r="AJ513" s="74"/>
      <c r="AK513" s="74"/>
    </row>
    <row r="514">
      <c r="A514" s="74"/>
      <c r="B514" s="74"/>
      <c r="C514" s="74"/>
      <c r="D514" s="74"/>
      <c r="E514" s="74"/>
      <c r="F514" s="74"/>
      <c r="G514" s="74"/>
      <c r="H514" s="74"/>
      <c r="I514" s="74"/>
      <c r="J514" s="74"/>
      <c r="K514" s="74"/>
      <c r="L514" s="74"/>
      <c r="M514" s="74"/>
      <c r="N514" s="74"/>
      <c r="O514" s="74"/>
      <c r="P514" s="74"/>
      <c r="Q514" s="74"/>
      <c r="R514" s="75"/>
      <c r="S514" s="74"/>
      <c r="T514" s="74"/>
      <c r="U514" s="74"/>
      <c r="V514" s="74"/>
      <c r="W514" s="74"/>
      <c r="X514" s="74"/>
      <c r="Y514" s="74"/>
      <c r="Z514" s="74"/>
      <c r="AA514" s="74"/>
      <c r="AB514" s="74"/>
      <c r="AC514" s="74"/>
      <c r="AD514" s="74"/>
      <c r="AE514" s="74"/>
      <c r="AF514" s="74"/>
      <c r="AG514" s="74"/>
      <c r="AH514" s="74"/>
      <c r="AI514" s="74"/>
      <c r="AJ514" s="74"/>
      <c r="AK514" s="74"/>
    </row>
    <row r="515">
      <c r="A515" s="74"/>
      <c r="B515" s="74"/>
      <c r="C515" s="74"/>
      <c r="D515" s="74"/>
      <c r="E515" s="74"/>
      <c r="F515" s="74"/>
      <c r="G515" s="74"/>
      <c r="H515" s="74"/>
      <c r="I515" s="74"/>
      <c r="J515" s="74"/>
      <c r="K515" s="74"/>
      <c r="L515" s="74"/>
      <c r="M515" s="74"/>
      <c r="N515" s="74"/>
      <c r="O515" s="74"/>
      <c r="P515" s="74"/>
      <c r="Q515" s="74"/>
      <c r="R515" s="75"/>
      <c r="S515" s="74"/>
      <c r="T515" s="74"/>
      <c r="U515" s="74"/>
      <c r="V515" s="74"/>
      <c r="W515" s="74"/>
      <c r="X515" s="74"/>
      <c r="Y515" s="74"/>
      <c r="Z515" s="74"/>
      <c r="AA515" s="74"/>
      <c r="AB515" s="74"/>
      <c r="AC515" s="74"/>
      <c r="AD515" s="74"/>
      <c r="AE515" s="74"/>
      <c r="AF515" s="74"/>
      <c r="AG515" s="74"/>
      <c r="AH515" s="74"/>
      <c r="AI515" s="74"/>
      <c r="AJ515" s="74"/>
      <c r="AK515" s="74"/>
    </row>
    <row r="516">
      <c r="A516" s="74"/>
      <c r="B516" s="74"/>
      <c r="C516" s="74"/>
      <c r="D516" s="74"/>
      <c r="E516" s="74"/>
      <c r="F516" s="74"/>
      <c r="G516" s="74"/>
      <c r="H516" s="74"/>
      <c r="I516" s="74"/>
      <c r="J516" s="74"/>
      <c r="K516" s="74"/>
      <c r="L516" s="74"/>
      <c r="M516" s="74"/>
      <c r="N516" s="74"/>
      <c r="O516" s="74"/>
      <c r="P516" s="74"/>
      <c r="Q516" s="74"/>
      <c r="R516" s="75"/>
      <c r="S516" s="74"/>
      <c r="T516" s="74"/>
      <c r="U516" s="74"/>
      <c r="V516" s="74"/>
      <c r="W516" s="74"/>
      <c r="X516" s="74"/>
      <c r="Y516" s="74"/>
      <c r="Z516" s="74"/>
      <c r="AA516" s="74"/>
      <c r="AB516" s="74"/>
      <c r="AC516" s="74"/>
      <c r="AD516" s="74"/>
      <c r="AE516" s="74"/>
      <c r="AF516" s="74"/>
      <c r="AG516" s="74"/>
      <c r="AH516" s="74"/>
      <c r="AI516" s="74"/>
      <c r="AJ516" s="74"/>
      <c r="AK516" s="74"/>
    </row>
    <row r="517">
      <c r="A517" s="74"/>
      <c r="B517" s="74"/>
      <c r="C517" s="74"/>
      <c r="D517" s="74"/>
      <c r="E517" s="74"/>
      <c r="F517" s="74"/>
      <c r="G517" s="74"/>
      <c r="H517" s="74"/>
      <c r="I517" s="74"/>
      <c r="J517" s="74"/>
      <c r="K517" s="74"/>
      <c r="L517" s="74"/>
      <c r="M517" s="74"/>
      <c r="N517" s="74"/>
      <c r="O517" s="74"/>
      <c r="P517" s="74"/>
      <c r="Q517" s="74"/>
      <c r="R517" s="75"/>
      <c r="S517" s="74"/>
      <c r="T517" s="74"/>
      <c r="U517" s="74"/>
      <c r="V517" s="74"/>
      <c r="W517" s="74"/>
      <c r="X517" s="74"/>
      <c r="Y517" s="74"/>
      <c r="Z517" s="74"/>
      <c r="AA517" s="74"/>
      <c r="AB517" s="74"/>
      <c r="AC517" s="74"/>
      <c r="AD517" s="74"/>
      <c r="AE517" s="74"/>
      <c r="AF517" s="74"/>
      <c r="AG517" s="74"/>
      <c r="AH517" s="74"/>
      <c r="AI517" s="74"/>
      <c r="AJ517" s="74"/>
      <c r="AK517" s="74"/>
    </row>
    <row r="518">
      <c r="A518" s="74"/>
      <c r="B518" s="74"/>
      <c r="C518" s="74"/>
      <c r="D518" s="74"/>
      <c r="E518" s="74"/>
      <c r="F518" s="74"/>
      <c r="G518" s="74"/>
      <c r="H518" s="74"/>
      <c r="I518" s="74"/>
      <c r="J518" s="74"/>
      <c r="K518" s="74"/>
      <c r="L518" s="74"/>
      <c r="M518" s="74"/>
      <c r="N518" s="74"/>
      <c r="O518" s="74"/>
      <c r="P518" s="74"/>
      <c r="Q518" s="74"/>
      <c r="R518" s="75"/>
      <c r="S518" s="74"/>
      <c r="T518" s="74"/>
      <c r="U518" s="74"/>
      <c r="V518" s="74"/>
      <c r="W518" s="74"/>
      <c r="X518" s="74"/>
      <c r="Y518" s="74"/>
      <c r="Z518" s="74"/>
      <c r="AA518" s="74"/>
      <c r="AB518" s="74"/>
      <c r="AC518" s="74"/>
      <c r="AD518" s="74"/>
      <c r="AE518" s="74"/>
      <c r="AF518" s="74"/>
      <c r="AG518" s="74"/>
      <c r="AH518" s="74"/>
      <c r="AI518" s="74"/>
      <c r="AJ518" s="74"/>
      <c r="AK518" s="74"/>
    </row>
    <row r="519">
      <c r="A519" s="74"/>
      <c r="B519" s="74"/>
      <c r="C519" s="74"/>
      <c r="D519" s="74"/>
      <c r="E519" s="74"/>
      <c r="F519" s="74"/>
      <c r="G519" s="74"/>
      <c r="H519" s="74"/>
      <c r="I519" s="74"/>
      <c r="J519" s="74"/>
      <c r="K519" s="74"/>
      <c r="L519" s="74"/>
      <c r="M519" s="74"/>
      <c r="N519" s="74"/>
      <c r="O519" s="74"/>
      <c r="P519" s="74"/>
      <c r="Q519" s="74"/>
      <c r="R519" s="75"/>
      <c r="S519" s="74"/>
      <c r="T519" s="74"/>
      <c r="U519" s="74"/>
      <c r="V519" s="74"/>
      <c r="W519" s="74"/>
      <c r="X519" s="74"/>
      <c r="Y519" s="74"/>
      <c r="Z519" s="74"/>
      <c r="AA519" s="74"/>
      <c r="AB519" s="74"/>
      <c r="AC519" s="74"/>
      <c r="AD519" s="74"/>
      <c r="AE519" s="74"/>
      <c r="AF519" s="74"/>
      <c r="AG519" s="74"/>
      <c r="AH519" s="74"/>
      <c r="AI519" s="74"/>
      <c r="AJ519" s="74"/>
      <c r="AK519" s="74"/>
    </row>
    <row r="520">
      <c r="A520" s="74"/>
      <c r="B520" s="74"/>
      <c r="C520" s="74"/>
      <c r="D520" s="74"/>
      <c r="E520" s="74"/>
      <c r="F520" s="74"/>
      <c r="G520" s="74"/>
      <c r="H520" s="74"/>
      <c r="I520" s="74"/>
      <c r="J520" s="74"/>
      <c r="K520" s="74"/>
      <c r="L520" s="74"/>
      <c r="M520" s="74"/>
      <c r="N520" s="74"/>
      <c r="O520" s="74"/>
      <c r="P520" s="74"/>
      <c r="Q520" s="74"/>
      <c r="R520" s="75"/>
      <c r="S520" s="74"/>
      <c r="T520" s="74"/>
      <c r="U520" s="74"/>
      <c r="V520" s="74"/>
      <c r="W520" s="74"/>
      <c r="X520" s="74"/>
      <c r="Y520" s="74"/>
      <c r="Z520" s="74"/>
      <c r="AA520" s="74"/>
      <c r="AB520" s="74"/>
      <c r="AC520" s="74"/>
      <c r="AD520" s="74"/>
      <c r="AE520" s="74"/>
      <c r="AF520" s="74"/>
      <c r="AG520" s="74"/>
      <c r="AH520" s="74"/>
      <c r="AI520" s="74"/>
      <c r="AJ520" s="74"/>
      <c r="AK520" s="74"/>
    </row>
    <row r="521">
      <c r="A521" s="74"/>
      <c r="B521" s="74"/>
      <c r="C521" s="74"/>
      <c r="D521" s="74"/>
      <c r="E521" s="74"/>
      <c r="F521" s="74"/>
      <c r="G521" s="74"/>
      <c r="H521" s="74"/>
      <c r="I521" s="74"/>
      <c r="J521" s="74"/>
      <c r="K521" s="74"/>
      <c r="L521" s="74"/>
      <c r="M521" s="74"/>
      <c r="N521" s="74"/>
      <c r="O521" s="74"/>
      <c r="P521" s="74"/>
      <c r="Q521" s="74"/>
      <c r="R521" s="75"/>
      <c r="S521" s="74"/>
      <c r="T521" s="74"/>
      <c r="U521" s="74"/>
      <c r="V521" s="74"/>
      <c r="W521" s="74"/>
      <c r="X521" s="74"/>
      <c r="Y521" s="74"/>
      <c r="Z521" s="74"/>
      <c r="AA521" s="74"/>
      <c r="AB521" s="74"/>
      <c r="AC521" s="74"/>
      <c r="AD521" s="74"/>
      <c r="AE521" s="74"/>
      <c r="AF521" s="74"/>
      <c r="AG521" s="74"/>
      <c r="AH521" s="74"/>
      <c r="AI521" s="74"/>
      <c r="AJ521" s="74"/>
      <c r="AK521" s="74"/>
    </row>
    <row r="522">
      <c r="A522" s="74"/>
      <c r="B522" s="74"/>
      <c r="C522" s="74"/>
      <c r="D522" s="74"/>
      <c r="E522" s="74"/>
      <c r="F522" s="74"/>
      <c r="G522" s="74"/>
      <c r="H522" s="74"/>
      <c r="I522" s="74"/>
      <c r="J522" s="74"/>
      <c r="K522" s="74"/>
      <c r="L522" s="74"/>
      <c r="M522" s="74"/>
      <c r="N522" s="74"/>
      <c r="O522" s="74"/>
      <c r="P522" s="74"/>
      <c r="Q522" s="74"/>
      <c r="R522" s="75"/>
      <c r="S522" s="74"/>
      <c r="T522" s="74"/>
      <c r="U522" s="74"/>
      <c r="V522" s="74"/>
      <c r="W522" s="74"/>
      <c r="X522" s="74"/>
      <c r="Y522" s="74"/>
      <c r="Z522" s="74"/>
      <c r="AA522" s="74"/>
      <c r="AB522" s="74"/>
      <c r="AC522" s="74"/>
      <c r="AD522" s="74"/>
      <c r="AE522" s="74"/>
      <c r="AF522" s="74"/>
      <c r="AG522" s="74"/>
      <c r="AH522" s="74"/>
      <c r="AI522" s="74"/>
      <c r="AJ522" s="74"/>
      <c r="AK522" s="74"/>
    </row>
    <row r="523">
      <c r="A523" s="74"/>
      <c r="B523" s="74"/>
      <c r="C523" s="74"/>
      <c r="D523" s="74"/>
      <c r="E523" s="74"/>
      <c r="F523" s="74"/>
      <c r="G523" s="74"/>
      <c r="H523" s="74"/>
      <c r="I523" s="74"/>
      <c r="J523" s="74"/>
      <c r="K523" s="74"/>
      <c r="L523" s="74"/>
      <c r="M523" s="74"/>
      <c r="N523" s="74"/>
      <c r="O523" s="74"/>
      <c r="P523" s="74"/>
      <c r="Q523" s="74"/>
      <c r="R523" s="75"/>
      <c r="S523" s="74"/>
      <c r="T523" s="74"/>
      <c r="U523" s="74"/>
      <c r="V523" s="74"/>
      <c r="W523" s="74"/>
      <c r="X523" s="74"/>
      <c r="Y523" s="74"/>
      <c r="Z523" s="74"/>
      <c r="AA523" s="74"/>
      <c r="AB523" s="74"/>
      <c r="AC523" s="74"/>
      <c r="AD523" s="74"/>
      <c r="AE523" s="74"/>
      <c r="AF523" s="74"/>
      <c r="AG523" s="74"/>
      <c r="AH523" s="74"/>
      <c r="AI523" s="74"/>
      <c r="AJ523" s="74"/>
      <c r="AK523" s="74"/>
    </row>
    <row r="524">
      <c r="A524" s="74"/>
      <c r="B524" s="74"/>
      <c r="C524" s="74"/>
      <c r="D524" s="74"/>
      <c r="E524" s="74"/>
      <c r="F524" s="74"/>
      <c r="G524" s="74"/>
      <c r="H524" s="74"/>
      <c r="I524" s="74"/>
      <c r="J524" s="74"/>
      <c r="K524" s="74"/>
      <c r="L524" s="74"/>
      <c r="M524" s="74"/>
      <c r="N524" s="74"/>
      <c r="O524" s="74"/>
      <c r="P524" s="74"/>
      <c r="Q524" s="74"/>
      <c r="R524" s="75"/>
      <c r="S524" s="74"/>
      <c r="T524" s="74"/>
      <c r="U524" s="74"/>
      <c r="V524" s="74"/>
      <c r="W524" s="74"/>
      <c r="X524" s="74"/>
      <c r="Y524" s="74"/>
      <c r="Z524" s="74"/>
      <c r="AA524" s="74"/>
      <c r="AB524" s="74"/>
      <c r="AC524" s="74"/>
      <c r="AD524" s="74"/>
      <c r="AE524" s="74"/>
      <c r="AF524" s="74"/>
      <c r="AG524" s="74"/>
      <c r="AH524" s="74"/>
      <c r="AI524" s="74"/>
      <c r="AJ524" s="74"/>
      <c r="AK524" s="74"/>
    </row>
    <row r="525">
      <c r="A525" s="74"/>
      <c r="B525" s="74"/>
      <c r="C525" s="74"/>
      <c r="D525" s="74"/>
      <c r="E525" s="74"/>
      <c r="F525" s="74"/>
      <c r="G525" s="74"/>
      <c r="H525" s="74"/>
      <c r="I525" s="74"/>
      <c r="J525" s="74"/>
      <c r="K525" s="74"/>
      <c r="L525" s="74"/>
      <c r="M525" s="74"/>
      <c r="N525" s="74"/>
      <c r="O525" s="74"/>
      <c r="P525" s="74"/>
      <c r="Q525" s="74"/>
      <c r="R525" s="75"/>
      <c r="S525" s="74"/>
      <c r="T525" s="74"/>
      <c r="U525" s="74"/>
      <c r="V525" s="74"/>
      <c r="W525" s="74"/>
      <c r="X525" s="74"/>
      <c r="Y525" s="74"/>
      <c r="Z525" s="74"/>
      <c r="AA525" s="74"/>
      <c r="AB525" s="74"/>
      <c r="AC525" s="74"/>
      <c r="AD525" s="74"/>
      <c r="AE525" s="74"/>
      <c r="AF525" s="74"/>
      <c r="AG525" s="74"/>
      <c r="AH525" s="74"/>
      <c r="AI525" s="74"/>
      <c r="AJ525" s="74"/>
      <c r="AK525" s="74"/>
    </row>
    <row r="526">
      <c r="A526" s="74"/>
      <c r="B526" s="74"/>
      <c r="C526" s="74"/>
      <c r="D526" s="74"/>
      <c r="E526" s="74"/>
      <c r="F526" s="74"/>
      <c r="G526" s="74"/>
      <c r="H526" s="74"/>
      <c r="I526" s="74"/>
      <c r="J526" s="74"/>
      <c r="K526" s="74"/>
      <c r="L526" s="74"/>
      <c r="M526" s="74"/>
      <c r="N526" s="74"/>
      <c r="O526" s="74"/>
      <c r="P526" s="74"/>
      <c r="Q526" s="74"/>
      <c r="R526" s="75"/>
      <c r="S526" s="74"/>
      <c r="T526" s="74"/>
      <c r="U526" s="74"/>
      <c r="V526" s="74"/>
      <c r="W526" s="74"/>
      <c r="X526" s="74"/>
      <c r="Y526" s="74"/>
      <c r="Z526" s="74"/>
      <c r="AA526" s="74"/>
      <c r="AB526" s="74"/>
      <c r="AC526" s="74"/>
      <c r="AD526" s="74"/>
      <c r="AE526" s="74"/>
      <c r="AF526" s="74"/>
      <c r="AG526" s="74"/>
      <c r="AH526" s="74"/>
      <c r="AI526" s="74"/>
      <c r="AJ526" s="74"/>
      <c r="AK526" s="74"/>
    </row>
    <row r="527">
      <c r="A527" s="74"/>
      <c r="B527" s="74"/>
      <c r="C527" s="74"/>
      <c r="D527" s="74"/>
      <c r="E527" s="74"/>
      <c r="F527" s="74"/>
      <c r="G527" s="74"/>
      <c r="H527" s="74"/>
      <c r="I527" s="74"/>
      <c r="J527" s="74"/>
      <c r="K527" s="74"/>
      <c r="L527" s="74"/>
      <c r="M527" s="74"/>
      <c r="N527" s="74"/>
      <c r="O527" s="74"/>
      <c r="P527" s="74"/>
      <c r="Q527" s="74"/>
      <c r="R527" s="75"/>
      <c r="S527" s="74"/>
      <c r="T527" s="74"/>
      <c r="U527" s="74"/>
      <c r="V527" s="74"/>
      <c r="W527" s="74"/>
      <c r="X527" s="74"/>
      <c r="Y527" s="74"/>
      <c r="Z527" s="74"/>
      <c r="AA527" s="74"/>
      <c r="AB527" s="74"/>
      <c r="AC527" s="74"/>
      <c r="AD527" s="74"/>
      <c r="AE527" s="74"/>
      <c r="AF527" s="74"/>
      <c r="AG527" s="74"/>
      <c r="AH527" s="74"/>
      <c r="AI527" s="74"/>
      <c r="AJ527" s="74"/>
      <c r="AK527" s="74"/>
    </row>
    <row r="528">
      <c r="A528" s="74"/>
      <c r="B528" s="74"/>
      <c r="C528" s="74"/>
      <c r="D528" s="74"/>
      <c r="E528" s="74"/>
      <c r="F528" s="74"/>
      <c r="G528" s="74"/>
      <c r="H528" s="74"/>
      <c r="I528" s="74"/>
      <c r="J528" s="74"/>
      <c r="K528" s="74"/>
      <c r="L528" s="74"/>
      <c r="M528" s="74"/>
      <c r="N528" s="74"/>
      <c r="O528" s="74"/>
      <c r="P528" s="74"/>
      <c r="Q528" s="74"/>
      <c r="R528" s="75"/>
      <c r="S528" s="74"/>
      <c r="T528" s="74"/>
      <c r="U528" s="74"/>
      <c r="V528" s="74"/>
      <c r="W528" s="74"/>
      <c r="X528" s="74"/>
      <c r="Y528" s="74"/>
      <c r="Z528" s="74"/>
      <c r="AA528" s="74"/>
      <c r="AB528" s="74"/>
      <c r="AC528" s="74"/>
      <c r="AD528" s="74"/>
      <c r="AE528" s="74"/>
      <c r="AF528" s="74"/>
      <c r="AG528" s="74"/>
      <c r="AH528" s="74"/>
      <c r="AI528" s="74"/>
      <c r="AJ528" s="74"/>
      <c r="AK528" s="74"/>
    </row>
    <row r="529">
      <c r="A529" s="74"/>
      <c r="B529" s="74"/>
      <c r="C529" s="74"/>
      <c r="D529" s="74"/>
      <c r="E529" s="74"/>
      <c r="F529" s="74"/>
      <c r="G529" s="74"/>
      <c r="H529" s="74"/>
      <c r="I529" s="74"/>
      <c r="J529" s="74"/>
      <c r="K529" s="74"/>
      <c r="L529" s="74"/>
      <c r="M529" s="74"/>
      <c r="N529" s="74"/>
      <c r="O529" s="74"/>
      <c r="P529" s="74"/>
      <c r="Q529" s="74"/>
      <c r="R529" s="75"/>
      <c r="S529" s="74"/>
      <c r="T529" s="74"/>
      <c r="U529" s="74"/>
      <c r="V529" s="74"/>
      <c r="W529" s="74"/>
      <c r="X529" s="74"/>
      <c r="Y529" s="74"/>
      <c r="Z529" s="74"/>
      <c r="AA529" s="74"/>
      <c r="AB529" s="74"/>
      <c r="AC529" s="74"/>
      <c r="AD529" s="74"/>
      <c r="AE529" s="74"/>
      <c r="AF529" s="74"/>
      <c r="AG529" s="74"/>
      <c r="AH529" s="74"/>
      <c r="AI529" s="74"/>
      <c r="AJ529" s="74"/>
      <c r="AK529" s="74"/>
    </row>
    <row r="530">
      <c r="A530" s="74"/>
      <c r="B530" s="74"/>
      <c r="C530" s="74"/>
      <c r="D530" s="74"/>
      <c r="E530" s="74"/>
      <c r="F530" s="74"/>
      <c r="G530" s="74"/>
      <c r="H530" s="74"/>
      <c r="I530" s="74"/>
      <c r="J530" s="74"/>
      <c r="K530" s="74"/>
      <c r="L530" s="74"/>
      <c r="M530" s="74"/>
      <c r="N530" s="74"/>
      <c r="O530" s="74"/>
      <c r="P530" s="74"/>
      <c r="Q530" s="74"/>
      <c r="R530" s="75"/>
      <c r="S530" s="74"/>
      <c r="T530" s="74"/>
      <c r="U530" s="74"/>
      <c r="V530" s="74"/>
      <c r="W530" s="74"/>
      <c r="X530" s="74"/>
      <c r="Y530" s="74"/>
      <c r="Z530" s="74"/>
      <c r="AA530" s="74"/>
      <c r="AB530" s="74"/>
      <c r="AC530" s="74"/>
      <c r="AD530" s="74"/>
      <c r="AE530" s="74"/>
      <c r="AF530" s="74"/>
      <c r="AG530" s="74"/>
      <c r="AH530" s="74"/>
      <c r="AI530" s="74"/>
      <c r="AJ530" s="74"/>
      <c r="AK530" s="74"/>
    </row>
    <row r="531">
      <c r="A531" s="74"/>
      <c r="B531" s="74"/>
      <c r="C531" s="74"/>
      <c r="D531" s="74"/>
      <c r="E531" s="74"/>
      <c r="F531" s="74"/>
      <c r="G531" s="74"/>
      <c r="H531" s="74"/>
      <c r="I531" s="74"/>
      <c r="J531" s="74"/>
      <c r="K531" s="74"/>
      <c r="L531" s="74"/>
      <c r="M531" s="74"/>
      <c r="N531" s="74"/>
      <c r="O531" s="74"/>
      <c r="P531" s="74"/>
      <c r="Q531" s="74"/>
      <c r="R531" s="75"/>
      <c r="S531" s="74"/>
      <c r="T531" s="74"/>
      <c r="U531" s="74"/>
      <c r="V531" s="74"/>
      <c r="W531" s="74"/>
      <c r="X531" s="74"/>
      <c r="Y531" s="74"/>
      <c r="Z531" s="74"/>
      <c r="AA531" s="74"/>
      <c r="AB531" s="74"/>
      <c r="AC531" s="74"/>
      <c r="AD531" s="74"/>
      <c r="AE531" s="74"/>
      <c r="AF531" s="74"/>
      <c r="AG531" s="74"/>
      <c r="AH531" s="74"/>
      <c r="AI531" s="74"/>
      <c r="AJ531" s="74"/>
      <c r="AK531" s="74"/>
    </row>
    <row r="532">
      <c r="A532" s="74"/>
      <c r="B532" s="74"/>
      <c r="C532" s="74"/>
      <c r="D532" s="74"/>
      <c r="E532" s="74"/>
      <c r="F532" s="74"/>
      <c r="G532" s="74"/>
      <c r="H532" s="74"/>
      <c r="I532" s="74"/>
      <c r="J532" s="74"/>
      <c r="K532" s="74"/>
      <c r="L532" s="74"/>
      <c r="M532" s="74"/>
      <c r="N532" s="74"/>
      <c r="O532" s="74"/>
      <c r="P532" s="74"/>
      <c r="Q532" s="74"/>
      <c r="R532" s="75"/>
      <c r="S532" s="74"/>
      <c r="T532" s="74"/>
      <c r="U532" s="74"/>
      <c r="V532" s="74"/>
      <c r="W532" s="74"/>
      <c r="X532" s="74"/>
      <c r="Y532" s="74"/>
      <c r="Z532" s="74"/>
      <c r="AA532" s="74"/>
      <c r="AB532" s="74"/>
      <c r="AC532" s="74"/>
      <c r="AD532" s="74"/>
      <c r="AE532" s="74"/>
      <c r="AF532" s="74"/>
      <c r="AG532" s="74"/>
      <c r="AH532" s="74"/>
      <c r="AI532" s="74"/>
      <c r="AJ532" s="74"/>
      <c r="AK532" s="74"/>
    </row>
    <row r="533">
      <c r="A533" s="74"/>
      <c r="B533" s="74"/>
      <c r="C533" s="74"/>
      <c r="D533" s="74"/>
      <c r="E533" s="74"/>
      <c r="F533" s="74"/>
      <c r="G533" s="74"/>
      <c r="H533" s="74"/>
      <c r="I533" s="74"/>
      <c r="J533" s="74"/>
      <c r="K533" s="74"/>
      <c r="L533" s="74"/>
      <c r="M533" s="74"/>
      <c r="N533" s="74"/>
      <c r="O533" s="74"/>
      <c r="P533" s="74"/>
      <c r="Q533" s="74"/>
      <c r="R533" s="75"/>
      <c r="S533" s="74"/>
      <c r="T533" s="74"/>
      <c r="U533" s="74"/>
      <c r="V533" s="74"/>
      <c r="W533" s="74"/>
      <c r="X533" s="74"/>
      <c r="Y533" s="74"/>
      <c r="Z533" s="74"/>
      <c r="AA533" s="74"/>
      <c r="AB533" s="74"/>
      <c r="AC533" s="74"/>
      <c r="AD533" s="74"/>
      <c r="AE533" s="74"/>
      <c r="AF533" s="74"/>
      <c r="AG533" s="74"/>
      <c r="AH533" s="74"/>
      <c r="AI533" s="74"/>
      <c r="AJ533" s="74"/>
      <c r="AK533" s="74"/>
    </row>
    <row r="534">
      <c r="A534" s="74"/>
      <c r="B534" s="74"/>
      <c r="C534" s="74"/>
      <c r="D534" s="74"/>
      <c r="E534" s="74"/>
      <c r="F534" s="74"/>
      <c r="G534" s="74"/>
      <c r="H534" s="74"/>
      <c r="I534" s="74"/>
      <c r="J534" s="74"/>
      <c r="K534" s="74"/>
      <c r="L534" s="74"/>
      <c r="M534" s="74"/>
      <c r="N534" s="74"/>
      <c r="O534" s="74"/>
      <c r="P534" s="74"/>
      <c r="Q534" s="74"/>
      <c r="R534" s="75"/>
      <c r="S534" s="74"/>
      <c r="T534" s="74"/>
      <c r="U534" s="74"/>
      <c r="V534" s="74"/>
      <c r="W534" s="74"/>
      <c r="X534" s="74"/>
      <c r="Y534" s="74"/>
      <c r="Z534" s="74"/>
      <c r="AA534" s="74"/>
      <c r="AB534" s="74"/>
      <c r="AC534" s="74"/>
      <c r="AD534" s="74"/>
      <c r="AE534" s="74"/>
      <c r="AF534" s="74"/>
      <c r="AG534" s="74"/>
      <c r="AH534" s="74"/>
      <c r="AI534" s="74"/>
      <c r="AJ534" s="74"/>
      <c r="AK534" s="74"/>
    </row>
    <row r="535">
      <c r="A535" s="74"/>
      <c r="B535" s="74"/>
      <c r="C535" s="74"/>
      <c r="D535" s="74"/>
      <c r="E535" s="74"/>
      <c r="F535" s="74"/>
      <c r="G535" s="74"/>
      <c r="H535" s="74"/>
      <c r="I535" s="74"/>
      <c r="J535" s="74"/>
      <c r="K535" s="74"/>
      <c r="L535" s="74"/>
      <c r="M535" s="74"/>
      <c r="N535" s="74"/>
      <c r="O535" s="74"/>
      <c r="P535" s="74"/>
      <c r="Q535" s="74"/>
      <c r="R535" s="75"/>
      <c r="S535" s="74"/>
      <c r="T535" s="74"/>
      <c r="U535" s="74"/>
      <c r="V535" s="74"/>
      <c r="W535" s="74"/>
      <c r="X535" s="74"/>
      <c r="Y535" s="74"/>
      <c r="Z535" s="74"/>
      <c r="AA535" s="74"/>
      <c r="AB535" s="74"/>
      <c r="AC535" s="74"/>
      <c r="AD535" s="74"/>
      <c r="AE535" s="74"/>
      <c r="AF535" s="74"/>
      <c r="AG535" s="74"/>
      <c r="AH535" s="74"/>
      <c r="AI535" s="74"/>
      <c r="AJ535" s="74"/>
      <c r="AK535" s="74"/>
    </row>
    <row r="536">
      <c r="A536" s="74"/>
      <c r="B536" s="74"/>
      <c r="C536" s="74"/>
      <c r="D536" s="74"/>
      <c r="E536" s="74"/>
      <c r="F536" s="74"/>
      <c r="G536" s="74"/>
      <c r="H536" s="74"/>
      <c r="I536" s="74"/>
      <c r="J536" s="74"/>
      <c r="K536" s="74"/>
      <c r="L536" s="74"/>
      <c r="M536" s="74"/>
      <c r="N536" s="74"/>
      <c r="O536" s="74"/>
      <c r="P536" s="74"/>
      <c r="Q536" s="74"/>
      <c r="R536" s="75"/>
      <c r="S536" s="74"/>
      <c r="T536" s="74"/>
      <c r="U536" s="74"/>
      <c r="V536" s="74"/>
      <c r="W536" s="74"/>
      <c r="X536" s="74"/>
      <c r="Y536" s="74"/>
      <c r="Z536" s="74"/>
      <c r="AA536" s="74"/>
      <c r="AB536" s="74"/>
      <c r="AC536" s="74"/>
      <c r="AD536" s="74"/>
      <c r="AE536" s="74"/>
      <c r="AF536" s="74"/>
      <c r="AG536" s="74"/>
      <c r="AH536" s="74"/>
      <c r="AI536" s="74"/>
      <c r="AJ536" s="74"/>
      <c r="AK536" s="74"/>
    </row>
    <row r="537">
      <c r="A537" s="74"/>
      <c r="B537" s="74"/>
      <c r="C537" s="74"/>
      <c r="D537" s="74"/>
      <c r="E537" s="74"/>
      <c r="F537" s="74"/>
      <c r="G537" s="74"/>
      <c r="H537" s="74"/>
      <c r="I537" s="74"/>
      <c r="J537" s="74"/>
      <c r="K537" s="74"/>
      <c r="L537" s="74"/>
      <c r="M537" s="74"/>
      <c r="N537" s="74"/>
      <c r="O537" s="74"/>
      <c r="P537" s="74"/>
      <c r="Q537" s="74"/>
      <c r="R537" s="75"/>
      <c r="S537" s="74"/>
      <c r="T537" s="74"/>
      <c r="U537" s="74"/>
      <c r="V537" s="74"/>
      <c r="W537" s="74"/>
      <c r="X537" s="74"/>
      <c r="Y537" s="74"/>
      <c r="Z537" s="74"/>
      <c r="AA537" s="74"/>
      <c r="AB537" s="74"/>
      <c r="AC537" s="74"/>
      <c r="AD537" s="74"/>
      <c r="AE537" s="74"/>
      <c r="AF537" s="74"/>
      <c r="AG537" s="74"/>
      <c r="AH537" s="74"/>
      <c r="AI537" s="74"/>
      <c r="AJ537" s="74"/>
      <c r="AK537" s="74"/>
    </row>
    <row r="538">
      <c r="A538" s="74"/>
      <c r="B538" s="74"/>
      <c r="C538" s="74"/>
      <c r="D538" s="74"/>
      <c r="E538" s="74"/>
      <c r="F538" s="74"/>
      <c r="G538" s="74"/>
      <c r="H538" s="74"/>
      <c r="I538" s="74"/>
      <c r="J538" s="74"/>
      <c r="K538" s="74"/>
      <c r="L538" s="74"/>
      <c r="M538" s="74"/>
      <c r="N538" s="74"/>
      <c r="O538" s="74"/>
      <c r="P538" s="74"/>
      <c r="Q538" s="74"/>
      <c r="R538" s="75"/>
      <c r="S538" s="74"/>
      <c r="T538" s="74"/>
      <c r="U538" s="74"/>
      <c r="V538" s="74"/>
      <c r="W538" s="74"/>
      <c r="X538" s="74"/>
      <c r="Y538" s="74"/>
      <c r="Z538" s="74"/>
      <c r="AA538" s="74"/>
      <c r="AB538" s="74"/>
      <c r="AC538" s="74"/>
      <c r="AD538" s="74"/>
      <c r="AE538" s="74"/>
      <c r="AF538" s="74"/>
      <c r="AG538" s="74"/>
      <c r="AH538" s="74"/>
      <c r="AI538" s="74"/>
      <c r="AJ538" s="74"/>
      <c r="AK538" s="74"/>
    </row>
    <row r="539">
      <c r="A539" s="74"/>
      <c r="B539" s="74"/>
      <c r="C539" s="74"/>
      <c r="D539" s="74"/>
      <c r="E539" s="74"/>
      <c r="F539" s="74"/>
      <c r="G539" s="74"/>
      <c r="H539" s="74"/>
      <c r="I539" s="74"/>
      <c r="J539" s="74"/>
      <c r="K539" s="74"/>
      <c r="L539" s="74"/>
      <c r="M539" s="74"/>
      <c r="N539" s="74"/>
      <c r="O539" s="74"/>
      <c r="P539" s="74"/>
      <c r="Q539" s="74"/>
      <c r="R539" s="75"/>
      <c r="S539" s="74"/>
      <c r="T539" s="74"/>
      <c r="U539" s="74"/>
      <c r="V539" s="74"/>
      <c r="W539" s="74"/>
      <c r="X539" s="74"/>
      <c r="Y539" s="74"/>
      <c r="Z539" s="74"/>
      <c r="AA539" s="74"/>
      <c r="AB539" s="74"/>
      <c r="AC539" s="74"/>
      <c r="AD539" s="74"/>
      <c r="AE539" s="74"/>
      <c r="AF539" s="74"/>
      <c r="AG539" s="74"/>
      <c r="AH539" s="74"/>
      <c r="AI539" s="74"/>
      <c r="AJ539" s="74"/>
      <c r="AK539" s="74"/>
    </row>
    <row r="540">
      <c r="A540" s="74"/>
      <c r="B540" s="74"/>
      <c r="C540" s="74"/>
      <c r="D540" s="74"/>
      <c r="E540" s="74"/>
      <c r="F540" s="74"/>
      <c r="G540" s="74"/>
      <c r="H540" s="74"/>
      <c r="I540" s="74"/>
      <c r="J540" s="74"/>
      <c r="K540" s="74"/>
      <c r="L540" s="74"/>
      <c r="M540" s="74"/>
      <c r="N540" s="74"/>
      <c r="O540" s="74"/>
      <c r="P540" s="74"/>
      <c r="Q540" s="74"/>
      <c r="R540" s="75"/>
      <c r="S540" s="74"/>
      <c r="T540" s="74"/>
      <c r="U540" s="74"/>
      <c r="V540" s="74"/>
      <c r="W540" s="74"/>
      <c r="X540" s="74"/>
      <c r="Y540" s="74"/>
      <c r="Z540" s="74"/>
      <c r="AA540" s="74"/>
      <c r="AB540" s="74"/>
      <c r="AC540" s="74"/>
      <c r="AD540" s="74"/>
      <c r="AE540" s="74"/>
      <c r="AF540" s="74"/>
      <c r="AG540" s="74"/>
      <c r="AH540" s="74"/>
      <c r="AI540" s="74"/>
      <c r="AJ540" s="74"/>
      <c r="AK540" s="74"/>
    </row>
    <row r="541">
      <c r="A541" s="74"/>
      <c r="B541" s="74"/>
      <c r="C541" s="74"/>
      <c r="D541" s="74"/>
      <c r="E541" s="74"/>
      <c r="F541" s="74"/>
      <c r="G541" s="74"/>
      <c r="H541" s="74"/>
      <c r="I541" s="74"/>
      <c r="J541" s="74"/>
      <c r="K541" s="74"/>
      <c r="L541" s="74"/>
      <c r="M541" s="74"/>
      <c r="N541" s="74"/>
      <c r="O541" s="74"/>
      <c r="P541" s="74"/>
      <c r="Q541" s="74"/>
      <c r="R541" s="75"/>
      <c r="S541" s="74"/>
      <c r="T541" s="74"/>
      <c r="U541" s="74"/>
      <c r="V541" s="74"/>
      <c r="W541" s="74"/>
      <c r="X541" s="74"/>
      <c r="Y541" s="74"/>
      <c r="Z541" s="74"/>
      <c r="AA541" s="74"/>
      <c r="AB541" s="74"/>
      <c r="AC541" s="74"/>
      <c r="AD541" s="74"/>
      <c r="AE541" s="74"/>
      <c r="AF541" s="74"/>
      <c r="AG541" s="74"/>
      <c r="AH541" s="74"/>
      <c r="AI541" s="74"/>
      <c r="AJ541" s="74"/>
      <c r="AK541" s="74"/>
    </row>
    <row r="542">
      <c r="A542" s="74"/>
      <c r="B542" s="74"/>
      <c r="C542" s="74"/>
      <c r="D542" s="74"/>
      <c r="E542" s="74"/>
      <c r="F542" s="74"/>
      <c r="G542" s="74"/>
      <c r="H542" s="74"/>
      <c r="I542" s="74"/>
      <c r="J542" s="74"/>
      <c r="K542" s="74"/>
      <c r="L542" s="74"/>
      <c r="M542" s="74"/>
      <c r="N542" s="74"/>
      <c r="O542" s="74"/>
      <c r="P542" s="74"/>
      <c r="Q542" s="74"/>
      <c r="R542" s="75"/>
      <c r="S542" s="74"/>
      <c r="T542" s="74"/>
      <c r="U542" s="74"/>
      <c r="V542" s="74"/>
      <c r="W542" s="74"/>
      <c r="X542" s="74"/>
      <c r="Y542" s="74"/>
      <c r="Z542" s="74"/>
      <c r="AA542" s="74"/>
      <c r="AB542" s="74"/>
      <c r="AC542" s="74"/>
      <c r="AD542" s="74"/>
      <c r="AE542" s="74"/>
      <c r="AF542" s="74"/>
      <c r="AG542" s="74"/>
      <c r="AH542" s="74"/>
      <c r="AI542" s="74"/>
      <c r="AJ542" s="74"/>
      <c r="AK542" s="74"/>
    </row>
    <row r="543">
      <c r="A543" s="74"/>
      <c r="B543" s="74"/>
      <c r="C543" s="74"/>
      <c r="D543" s="74"/>
      <c r="E543" s="74"/>
      <c r="F543" s="74"/>
      <c r="G543" s="74"/>
      <c r="H543" s="74"/>
      <c r="I543" s="74"/>
      <c r="J543" s="74"/>
      <c r="K543" s="74"/>
      <c r="L543" s="74"/>
      <c r="M543" s="74"/>
      <c r="N543" s="74"/>
      <c r="O543" s="74"/>
      <c r="P543" s="74"/>
      <c r="Q543" s="74"/>
      <c r="R543" s="75"/>
      <c r="S543" s="74"/>
      <c r="T543" s="74"/>
      <c r="U543" s="74"/>
      <c r="V543" s="74"/>
      <c r="W543" s="74"/>
      <c r="X543" s="74"/>
      <c r="Y543" s="74"/>
      <c r="Z543" s="74"/>
      <c r="AA543" s="74"/>
      <c r="AB543" s="74"/>
      <c r="AC543" s="74"/>
      <c r="AD543" s="74"/>
      <c r="AE543" s="74"/>
      <c r="AF543" s="74"/>
      <c r="AG543" s="74"/>
      <c r="AH543" s="74"/>
      <c r="AI543" s="74"/>
      <c r="AJ543" s="74"/>
      <c r="AK543" s="74"/>
    </row>
    <row r="544">
      <c r="A544" s="74"/>
      <c r="B544" s="74"/>
      <c r="C544" s="74"/>
      <c r="D544" s="74"/>
      <c r="E544" s="74"/>
      <c r="F544" s="74"/>
      <c r="G544" s="74"/>
      <c r="H544" s="74"/>
      <c r="I544" s="74"/>
      <c r="J544" s="74"/>
      <c r="K544" s="74"/>
      <c r="L544" s="74"/>
      <c r="M544" s="74"/>
      <c r="N544" s="74"/>
      <c r="O544" s="74"/>
      <c r="P544" s="74"/>
      <c r="Q544" s="74"/>
      <c r="R544" s="75"/>
      <c r="S544" s="74"/>
      <c r="T544" s="74"/>
      <c r="U544" s="74"/>
      <c r="V544" s="74"/>
      <c r="W544" s="74"/>
      <c r="X544" s="74"/>
      <c r="Y544" s="74"/>
      <c r="Z544" s="74"/>
      <c r="AA544" s="74"/>
      <c r="AB544" s="74"/>
      <c r="AC544" s="74"/>
      <c r="AD544" s="74"/>
      <c r="AE544" s="74"/>
      <c r="AF544" s="74"/>
      <c r="AG544" s="74"/>
      <c r="AH544" s="74"/>
      <c r="AI544" s="74"/>
      <c r="AJ544" s="74"/>
      <c r="AK544" s="74"/>
    </row>
    <row r="545">
      <c r="A545" s="74"/>
      <c r="B545" s="74"/>
      <c r="C545" s="74"/>
      <c r="D545" s="74"/>
      <c r="E545" s="74"/>
      <c r="F545" s="74"/>
      <c r="G545" s="74"/>
      <c r="H545" s="74"/>
      <c r="I545" s="74"/>
      <c r="J545" s="74"/>
      <c r="K545" s="74"/>
      <c r="L545" s="74"/>
      <c r="M545" s="74"/>
      <c r="N545" s="74"/>
      <c r="O545" s="74"/>
      <c r="P545" s="74"/>
      <c r="Q545" s="74"/>
      <c r="R545" s="75"/>
      <c r="S545" s="74"/>
      <c r="T545" s="74"/>
      <c r="U545" s="74"/>
      <c r="V545" s="74"/>
      <c r="W545" s="74"/>
      <c r="X545" s="74"/>
      <c r="Y545" s="74"/>
      <c r="Z545" s="74"/>
      <c r="AA545" s="74"/>
      <c r="AB545" s="74"/>
      <c r="AC545" s="74"/>
      <c r="AD545" s="74"/>
      <c r="AE545" s="74"/>
      <c r="AF545" s="74"/>
      <c r="AG545" s="74"/>
      <c r="AH545" s="74"/>
      <c r="AI545" s="74"/>
      <c r="AJ545" s="74"/>
      <c r="AK545" s="74"/>
    </row>
    <row r="546">
      <c r="A546" s="74"/>
      <c r="B546" s="74"/>
      <c r="C546" s="74"/>
      <c r="D546" s="74"/>
      <c r="E546" s="74"/>
      <c r="F546" s="74"/>
      <c r="G546" s="74"/>
      <c r="H546" s="74"/>
      <c r="I546" s="74"/>
      <c r="J546" s="74"/>
      <c r="K546" s="74"/>
      <c r="L546" s="74"/>
      <c r="M546" s="74"/>
      <c r="N546" s="74"/>
      <c r="O546" s="74"/>
      <c r="P546" s="74"/>
      <c r="Q546" s="74"/>
      <c r="R546" s="75"/>
      <c r="S546" s="74"/>
      <c r="T546" s="74"/>
      <c r="U546" s="74"/>
      <c r="V546" s="74"/>
      <c r="W546" s="74"/>
      <c r="X546" s="74"/>
      <c r="Y546" s="74"/>
      <c r="Z546" s="74"/>
      <c r="AA546" s="74"/>
      <c r="AB546" s="74"/>
      <c r="AC546" s="74"/>
      <c r="AD546" s="74"/>
      <c r="AE546" s="74"/>
      <c r="AF546" s="74"/>
      <c r="AG546" s="74"/>
      <c r="AH546" s="74"/>
      <c r="AI546" s="74"/>
      <c r="AJ546" s="74"/>
      <c r="AK546" s="74"/>
    </row>
    <row r="547">
      <c r="A547" s="74"/>
      <c r="B547" s="74"/>
      <c r="C547" s="74"/>
      <c r="D547" s="74"/>
      <c r="E547" s="74"/>
      <c r="F547" s="74"/>
      <c r="G547" s="74"/>
      <c r="H547" s="74"/>
      <c r="I547" s="74"/>
      <c r="J547" s="74"/>
      <c r="K547" s="74"/>
      <c r="L547" s="74"/>
      <c r="M547" s="74"/>
      <c r="N547" s="74"/>
      <c r="O547" s="74"/>
      <c r="P547" s="74"/>
      <c r="Q547" s="74"/>
      <c r="R547" s="75"/>
      <c r="S547" s="74"/>
      <c r="T547" s="74"/>
      <c r="U547" s="74"/>
      <c r="V547" s="74"/>
      <c r="W547" s="74"/>
      <c r="X547" s="74"/>
      <c r="Y547" s="74"/>
      <c r="Z547" s="74"/>
      <c r="AA547" s="74"/>
      <c r="AB547" s="74"/>
      <c r="AC547" s="74"/>
      <c r="AD547" s="74"/>
      <c r="AE547" s="74"/>
      <c r="AF547" s="74"/>
      <c r="AG547" s="74"/>
      <c r="AH547" s="74"/>
      <c r="AI547" s="74"/>
      <c r="AJ547" s="74"/>
      <c r="AK547" s="74"/>
    </row>
    <row r="548">
      <c r="A548" s="74"/>
      <c r="B548" s="74"/>
      <c r="C548" s="74"/>
      <c r="D548" s="74"/>
      <c r="E548" s="74"/>
      <c r="F548" s="74"/>
      <c r="G548" s="74"/>
      <c r="H548" s="74"/>
      <c r="I548" s="74"/>
      <c r="J548" s="74"/>
      <c r="K548" s="74"/>
      <c r="L548" s="74"/>
      <c r="M548" s="74"/>
      <c r="N548" s="74"/>
      <c r="O548" s="74"/>
      <c r="P548" s="74"/>
      <c r="Q548" s="74"/>
      <c r="R548" s="75"/>
      <c r="S548" s="74"/>
      <c r="T548" s="74"/>
      <c r="U548" s="74"/>
      <c r="V548" s="74"/>
      <c r="W548" s="74"/>
      <c r="X548" s="74"/>
      <c r="Y548" s="74"/>
      <c r="Z548" s="74"/>
      <c r="AA548" s="74"/>
      <c r="AB548" s="74"/>
      <c r="AC548" s="74"/>
      <c r="AD548" s="74"/>
      <c r="AE548" s="74"/>
      <c r="AF548" s="74"/>
      <c r="AG548" s="74"/>
      <c r="AH548" s="74"/>
      <c r="AI548" s="74"/>
      <c r="AJ548" s="74"/>
      <c r="AK548" s="74"/>
    </row>
    <row r="549">
      <c r="A549" s="74"/>
      <c r="B549" s="74"/>
      <c r="C549" s="74"/>
      <c r="D549" s="74"/>
      <c r="E549" s="74"/>
      <c r="F549" s="74"/>
      <c r="G549" s="74"/>
      <c r="H549" s="74"/>
      <c r="I549" s="74"/>
      <c r="J549" s="74"/>
      <c r="K549" s="74"/>
      <c r="L549" s="74"/>
      <c r="M549" s="74"/>
      <c r="N549" s="74"/>
      <c r="O549" s="74"/>
      <c r="P549" s="74"/>
      <c r="Q549" s="74"/>
      <c r="R549" s="75"/>
      <c r="S549" s="74"/>
      <c r="T549" s="74"/>
      <c r="U549" s="74"/>
      <c r="V549" s="74"/>
      <c r="W549" s="74"/>
      <c r="X549" s="74"/>
      <c r="Y549" s="74"/>
      <c r="Z549" s="74"/>
      <c r="AA549" s="74"/>
      <c r="AB549" s="74"/>
      <c r="AC549" s="74"/>
      <c r="AD549" s="74"/>
      <c r="AE549" s="74"/>
      <c r="AF549" s="74"/>
      <c r="AG549" s="74"/>
      <c r="AH549" s="74"/>
      <c r="AI549" s="74"/>
      <c r="AJ549" s="74"/>
      <c r="AK549" s="74"/>
    </row>
    <row r="550">
      <c r="A550" s="74"/>
      <c r="B550" s="74"/>
      <c r="C550" s="74"/>
      <c r="D550" s="74"/>
      <c r="E550" s="74"/>
      <c r="F550" s="74"/>
      <c r="G550" s="74"/>
      <c r="H550" s="74"/>
      <c r="I550" s="74"/>
      <c r="J550" s="74"/>
      <c r="K550" s="74"/>
      <c r="L550" s="74"/>
      <c r="M550" s="74"/>
      <c r="N550" s="74"/>
      <c r="O550" s="74"/>
      <c r="P550" s="74"/>
      <c r="Q550" s="74"/>
      <c r="R550" s="75"/>
      <c r="S550" s="74"/>
      <c r="T550" s="74"/>
      <c r="U550" s="74"/>
      <c r="V550" s="74"/>
      <c r="W550" s="74"/>
      <c r="X550" s="74"/>
      <c r="Y550" s="74"/>
      <c r="Z550" s="74"/>
      <c r="AA550" s="74"/>
      <c r="AB550" s="74"/>
      <c r="AC550" s="74"/>
      <c r="AD550" s="74"/>
      <c r="AE550" s="74"/>
      <c r="AF550" s="74"/>
      <c r="AG550" s="74"/>
      <c r="AH550" s="74"/>
      <c r="AI550" s="74"/>
      <c r="AJ550" s="74"/>
      <c r="AK550" s="74"/>
    </row>
    <row r="551">
      <c r="A551" s="74"/>
      <c r="B551" s="74"/>
      <c r="C551" s="74"/>
      <c r="D551" s="74"/>
      <c r="E551" s="74"/>
      <c r="F551" s="74"/>
      <c r="G551" s="74"/>
      <c r="H551" s="74"/>
      <c r="I551" s="74"/>
      <c r="J551" s="74"/>
      <c r="K551" s="74"/>
      <c r="L551" s="74"/>
      <c r="M551" s="74"/>
      <c r="N551" s="74"/>
      <c r="O551" s="74"/>
      <c r="P551" s="74"/>
      <c r="Q551" s="74"/>
      <c r="R551" s="75"/>
      <c r="S551" s="74"/>
      <c r="T551" s="74"/>
      <c r="U551" s="74"/>
      <c r="V551" s="74"/>
      <c r="W551" s="74"/>
      <c r="X551" s="74"/>
      <c r="Y551" s="74"/>
      <c r="Z551" s="74"/>
      <c r="AA551" s="74"/>
      <c r="AB551" s="74"/>
      <c r="AC551" s="74"/>
      <c r="AD551" s="74"/>
      <c r="AE551" s="74"/>
      <c r="AF551" s="74"/>
      <c r="AG551" s="74"/>
      <c r="AH551" s="74"/>
      <c r="AI551" s="74"/>
      <c r="AJ551" s="74"/>
      <c r="AK551" s="74"/>
    </row>
    <row r="552">
      <c r="A552" s="74"/>
      <c r="B552" s="74"/>
      <c r="C552" s="74"/>
      <c r="D552" s="74"/>
      <c r="E552" s="74"/>
      <c r="F552" s="74"/>
      <c r="G552" s="74"/>
      <c r="H552" s="74"/>
      <c r="I552" s="74"/>
      <c r="J552" s="74"/>
      <c r="K552" s="74"/>
      <c r="L552" s="74"/>
      <c r="M552" s="74"/>
      <c r="N552" s="74"/>
      <c r="O552" s="74"/>
      <c r="P552" s="74"/>
      <c r="Q552" s="74"/>
      <c r="R552" s="75"/>
      <c r="S552" s="74"/>
      <c r="T552" s="74"/>
      <c r="U552" s="74"/>
      <c r="V552" s="74"/>
      <c r="W552" s="74"/>
      <c r="X552" s="74"/>
      <c r="Y552" s="74"/>
      <c r="Z552" s="74"/>
      <c r="AA552" s="74"/>
      <c r="AB552" s="74"/>
      <c r="AC552" s="74"/>
      <c r="AD552" s="74"/>
      <c r="AE552" s="74"/>
      <c r="AF552" s="74"/>
      <c r="AG552" s="74"/>
      <c r="AH552" s="74"/>
      <c r="AI552" s="74"/>
      <c r="AJ552" s="74"/>
      <c r="AK552" s="74"/>
    </row>
    <row r="553">
      <c r="A553" s="74"/>
      <c r="B553" s="74"/>
      <c r="C553" s="74"/>
      <c r="D553" s="74"/>
      <c r="E553" s="74"/>
      <c r="F553" s="74"/>
      <c r="G553" s="74"/>
      <c r="H553" s="74"/>
      <c r="I553" s="74"/>
      <c r="J553" s="74"/>
      <c r="K553" s="74"/>
      <c r="L553" s="74"/>
      <c r="M553" s="74"/>
      <c r="N553" s="74"/>
      <c r="O553" s="74"/>
      <c r="P553" s="74"/>
      <c r="Q553" s="74"/>
      <c r="R553" s="75"/>
      <c r="S553" s="74"/>
      <c r="T553" s="74"/>
      <c r="U553" s="74"/>
      <c r="V553" s="74"/>
      <c r="W553" s="74"/>
      <c r="X553" s="74"/>
      <c r="Y553" s="74"/>
      <c r="Z553" s="74"/>
      <c r="AA553" s="74"/>
      <c r="AB553" s="74"/>
      <c r="AC553" s="74"/>
      <c r="AD553" s="74"/>
      <c r="AE553" s="74"/>
      <c r="AF553" s="74"/>
      <c r="AG553" s="74"/>
      <c r="AH553" s="74"/>
      <c r="AI553" s="74"/>
      <c r="AJ553" s="74"/>
      <c r="AK553" s="74"/>
    </row>
    <row r="554">
      <c r="A554" s="74"/>
      <c r="B554" s="74"/>
      <c r="C554" s="74"/>
      <c r="D554" s="74"/>
      <c r="E554" s="74"/>
      <c r="F554" s="74"/>
      <c r="G554" s="74"/>
      <c r="H554" s="74"/>
      <c r="I554" s="74"/>
      <c r="J554" s="74"/>
      <c r="K554" s="74"/>
      <c r="L554" s="74"/>
      <c r="M554" s="74"/>
      <c r="N554" s="74"/>
      <c r="O554" s="74"/>
      <c r="P554" s="74"/>
      <c r="Q554" s="74"/>
      <c r="R554" s="75"/>
      <c r="S554" s="74"/>
      <c r="T554" s="74"/>
      <c r="U554" s="74"/>
      <c r="V554" s="74"/>
      <c r="W554" s="74"/>
      <c r="X554" s="74"/>
      <c r="Y554" s="74"/>
      <c r="Z554" s="74"/>
      <c r="AA554" s="74"/>
      <c r="AB554" s="74"/>
      <c r="AC554" s="74"/>
      <c r="AD554" s="74"/>
      <c r="AE554" s="74"/>
      <c r="AF554" s="74"/>
      <c r="AG554" s="74"/>
      <c r="AH554" s="74"/>
      <c r="AI554" s="74"/>
      <c r="AJ554" s="74"/>
      <c r="AK554" s="74"/>
    </row>
    <row r="555">
      <c r="A555" s="74"/>
      <c r="B555" s="74"/>
      <c r="C555" s="74"/>
      <c r="D555" s="74"/>
      <c r="E555" s="74"/>
      <c r="F555" s="74"/>
      <c r="G555" s="74"/>
      <c r="H555" s="74"/>
      <c r="I555" s="74"/>
      <c r="J555" s="74"/>
      <c r="K555" s="74"/>
      <c r="L555" s="74"/>
      <c r="M555" s="74"/>
      <c r="N555" s="74"/>
      <c r="O555" s="74"/>
      <c r="P555" s="74"/>
      <c r="Q555" s="74"/>
      <c r="R555" s="75"/>
      <c r="S555" s="74"/>
      <c r="T555" s="74"/>
      <c r="U555" s="74"/>
      <c r="V555" s="74"/>
      <c r="W555" s="74"/>
      <c r="X555" s="74"/>
      <c r="Y555" s="74"/>
      <c r="Z555" s="74"/>
      <c r="AA555" s="74"/>
      <c r="AB555" s="74"/>
      <c r="AC555" s="74"/>
      <c r="AD555" s="74"/>
      <c r="AE555" s="74"/>
      <c r="AF555" s="74"/>
      <c r="AG555" s="74"/>
      <c r="AH555" s="74"/>
      <c r="AI555" s="74"/>
      <c r="AJ555" s="74"/>
      <c r="AK555" s="74"/>
    </row>
    <row r="556">
      <c r="A556" s="74"/>
      <c r="B556" s="74"/>
      <c r="C556" s="74"/>
      <c r="D556" s="74"/>
      <c r="E556" s="74"/>
      <c r="F556" s="74"/>
      <c r="G556" s="74"/>
      <c r="H556" s="74"/>
      <c r="I556" s="74"/>
      <c r="J556" s="74"/>
      <c r="K556" s="74"/>
      <c r="L556" s="74"/>
      <c r="M556" s="74"/>
      <c r="N556" s="74"/>
      <c r="O556" s="74"/>
      <c r="P556" s="74"/>
      <c r="Q556" s="74"/>
      <c r="R556" s="75"/>
      <c r="S556" s="74"/>
      <c r="T556" s="74"/>
      <c r="U556" s="74"/>
      <c r="V556" s="74"/>
      <c r="W556" s="74"/>
      <c r="X556" s="74"/>
      <c r="Y556" s="74"/>
      <c r="Z556" s="74"/>
      <c r="AA556" s="74"/>
      <c r="AB556" s="74"/>
      <c r="AC556" s="74"/>
      <c r="AD556" s="74"/>
      <c r="AE556" s="74"/>
      <c r="AF556" s="74"/>
      <c r="AG556" s="74"/>
      <c r="AH556" s="74"/>
      <c r="AI556" s="74"/>
      <c r="AJ556" s="74"/>
      <c r="AK556" s="74"/>
    </row>
    <row r="557">
      <c r="A557" s="74"/>
      <c r="B557" s="74"/>
      <c r="C557" s="74"/>
      <c r="D557" s="74"/>
      <c r="E557" s="74"/>
      <c r="F557" s="74"/>
      <c r="G557" s="74"/>
      <c r="H557" s="74"/>
      <c r="I557" s="74"/>
      <c r="J557" s="74"/>
      <c r="K557" s="74"/>
      <c r="L557" s="74"/>
      <c r="M557" s="74"/>
      <c r="N557" s="74"/>
      <c r="O557" s="74"/>
      <c r="P557" s="74"/>
      <c r="Q557" s="74"/>
      <c r="R557" s="75"/>
      <c r="S557" s="74"/>
      <c r="T557" s="74"/>
      <c r="U557" s="74"/>
      <c r="V557" s="74"/>
      <c r="W557" s="74"/>
      <c r="X557" s="74"/>
      <c r="Y557" s="74"/>
      <c r="Z557" s="74"/>
      <c r="AA557" s="74"/>
      <c r="AB557" s="74"/>
      <c r="AC557" s="74"/>
      <c r="AD557" s="74"/>
      <c r="AE557" s="74"/>
      <c r="AF557" s="74"/>
      <c r="AG557" s="74"/>
      <c r="AH557" s="74"/>
      <c r="AI557" s="74"/>
      <c r="AJ557" s="74"/>
      <c r="AK557" s="74"/>
    </row>
    <row r="558">
      <c r="A558" s="74"/>
      <c r="B558" s="74"/>
      <c r="C558" s="74"/>
      <c r="D558" s="74"/>
      <c r="E558" s="74"/>
      <c r="F558" s="74"/>
      <c r="G558" s="74"/>
      <c r="H558" s="74"/>
      <c r="I558" s="74"/>
      <c r="J558" s="74"/>
      <c r="K558" s="74"/>
      <c r="L558" s="74"/>
      <c r="M558" s="74"/>
      <c r="N558" s="74"/>
      <c r="O558" s="74"/>
      <c r="P558" s="74"/>
      <c r="Q558" s="74"/>
      <c r="R558" s="75"/>
      <c r="S558" s="74"/>
      <c r="T558" s="74"/>
      <c r="U558" s="74"/>
      <c r="V558" s="74"/>
      <c r="W558" s="74"/>
      <c r="X558" s="74"/>
      <c r="Y558" s="74"/>
      <c r="Z558" s="74"/>
      <c r="AA558" s="74"/>
      <c r="AB558" s="74"/>
      <c r="AC558" s="74"/>
      <c r="AD558" s="74"/>
      <c r="AE558" s="74"/>
      <c r="AF558" s="74"/>
      <c r="AG558" s="74"/>
      <c r="AH558" s="74"/>
      <c r="AI558" s="74"/>
      <c r="AJ558" s="74"/>
      <c r="AK558" s="74"/>
    </row>
    <row r="559">
      <c r="A559" s="74"/>
      <c r="B559" s="74"/>
      <c r="C559" s="74"/>
      <c r="D559" s="74"/>
      <c r="E559" s="74"/>
      <c r="F559" s="74"/>
      <c r="G559" s="74"/>
      <c r="H559" s="74"/>
      <c r="I559" s="74"/>
      <c r="J559" s="74"/>
      <c r="K559" s="74"/>
      <c r="L559" s="74"/>
      <c r="M559" s="74"/>
      <c r="N559" s="74"/>
      <c r="O559" s="74"/>
      <c r="P559" s="74"/>
      <c r="Q559" s="74"/>
      <c r="R559" s="75"/>
      <c r="S559" s="74"/>
      <c r="T559" s="74"/>
      <c r="U559" s="74"/>
      <c r="V559" s="74"/>
      <c r="W559" s="74"/>
      <c r="X559" s="74"/>
      <c r="Y559" s="74"/>
      <c r="Z559" s="74"/>
      <c r="AA559" s="74"/>
      <c r="AB559" s="74"/>
      <c r="AC559" s="74"/>
      <c r="AD559" s="74"/>
      <c r="AE559" s="74"/>
      <c r="AF559" s="74"/>
      <c r="AG559" s="74"/>
      <c r="AH559" s="74"/>
      <c r="AI559" s="74"/>
      <c r="AJ559" s="74"/>
      <c r="AK559" s="74"/>
    </row>
    <row r="560">
      <c r="A560" s="74"/>
      <c r="B560" s="74"/>
      <c r="C560" s="74"/>
      <c r="D560" s="74"/>
      <c r="E560" s="74"/>
      <c r="F560" s="74"/>
      <c r="G560" s="74"/>
      <c r="H560" s="74"/>
      <c r="I560" s="74"/>
      <c r="J560" s="74"/>
      <c r="K560" s="74"/>
      <c r="L560" s="74"/>
      <c r="M560" s="74"/>
      <c r="N560" s="74"/>
      <c r="O560" s="74"/>
      <c r="P560" s="74"/>
      <c r="Q560" s="74"/>
      <c r="R560" s="75"/>
      <c r="S560" s="74"/>
      <c r="T560" s="74"/>
      <c r="U560" s="74"/>
      <c r="V560" s="74"/>
      <c r="W560" s="74"/>
      <c r="X560" s="74"/>
      <c r="Y560" s="74"/>
      <c r="Z560" s="74"/>
      <c r="AA560" s="74"/>
      <c r="AB560" s="74"/>
      <c r="AC560" s="74"/>
      <c r="AD560" s="74"/>
      <c r="AE560" s="74"/>
      <c r="AF560" s="74"/>
      <c r="AG560" s="74"/>
      <c r="AH560" s="74"/>
      <c r="AI560" s="74"/>
      <c r="AJ560" s="74"/>
      <c r="AK560" s="74"/>
    </row>
    <row r="561">
      <c r="A561" s="74"/>
      <c r="B561" s="74"/>
      <c r="C561" s="74"/>
      <c r="D561" s="74"/>
      <c r="E561" s="74"/>
      <c r="F561" s="74"/>
      <c r="G561" s="74"/>
      <c r="H561" s="74"/>
      <c r="I561" s="74"/>
      <c r="J561" s="74"/>
      <c r="K561" s="74"/>
      <c r="L561" s="74"/>
      <c r="M561" s="74"/>
      <c r="N561" s="74"/>
      <c r="O561" s="74"/>
      <c r="P561" s="74"/>
      <c r="Q561" s="74"/>
      <c r="R561" s="75"/>
      <c r="S561" s="74"/>
      <c r="T561" s="74"/>
      <c r="U561" s="74"/>
      <c r="V561" s="74"/>
      <c r="W561" s="74"/>
      <c r="X561" s="74"/>
      <c r="Y561" s="74"/>
      <c r="Z561" s="74"/>
      <c r="AA561" s="74"/>
      <c r="AB561" s="74"/>
      <c r="AC561" s="74"/>
      <c r="AD561" s="74"/>
      <c r="AE561" s="74"/>
      <c r="AF561" s="74"/>
      <c r="AG561" s="74"/>
      <c r="AH561" s="74"/>
      <c r="AI561" s="74"/>
      <c r="AJ561" s="74"/>
      <c r="AK561" s="74"/>
    </row>
    <row r="562">
      <c r="A562" s="74"/>
      <c r="B562" s="74"/>
      <c r="C562" s="74"/>
      <c r="D562" s="74"/>
      <c r="E562" s="74"/>
      <c r="F562" s="74"/>
      <c r="G562" s="74"/>
      <c r="H562" s="74"/>
      <c r="I562" s="74"/>
      <c r="J562" s="74"/>
      <c r="K562" s="74"/>
      <c r="L562" s="74"/>
      <c r="M562" s="74"/>
      <c r="N562" s="74"/>
      <c r="O562" s="74"/>
      <c r="P562" s="74"/>
      <c r="Q562" s="74"/>
      <c r="R562" s="75"/>
      <c r="S562" s="74"/>
      <c r="T562" s="74"/>
      <c r="U562" s="74"/>
      <c r="V562" s="74"/>
      <c r="W562" s="74"/>
      <c r="X562" s="74"/>
      <c r="Y562" s="74"/>
      <c r="Z562" s="74"/>
      <c r="AA562" s="74"/>
      <c r="AB562" s="74"/>
      <c r="AC562" s="74"/>
      <c r="AD562" s="74"/>
      <c r="AE562" s="74"/>
      <c r="AF562" s="74"/>
      <c r="AG562" s="74"/>
      <c r="AH562" s="74"/>
      <c r="AI562" s="74"/>
      <c r="AJ562" s="74"/>
      <c r="AK562" s="74"/>
    </row>
    <row r="563">
      <c r="A563" s="74"/>
      <c r="B563" s="74"/>
      <c r="C563" s="74"/>
      <c r="D563" s="74"/>
      <c r="E563" s="74"/>
      <c r="F563" s="74"/>
      <c r="G563" s="74"/>
      <c r="H563" s="74"/>
      <c r="I563" s="74"/>
      <c r="J563" s="74"/>
      <c r="K563" s="74"/>
      <c r="L563" s="74"/>
      <c r="M563" s="74"/>
      <c r="N563" s="74"/>
      <c r="O563" s="74"/>
      <c r="P563" s="74"/>
      <c r="Q563" s="74"/>
      <c r="R563" s="75"/>
      <c r="S563" s="74"/>
      <c r="T563" s="74"/>
      <c r="U563" s="74"/>
      <c r="V563" s="74"/>
      <c r="W563" s="74"/>
      <c r="X563" s="74"/>
      <c r="Y563" s="74"/>
      <c r="Z563" s="74"/>
      <c r="AA563" s="74"/>
      <c r="AB563" s="74"/>
      <c r="AC563" s="74"/>
      <c r="AD563" s="74"/>
      <c r="AE563" s="74"/>
      <c r="AF563" s="74"/>
      <c r="AG563" s="74"/>
      <c r="AH563" s="74"/>
      <c r="AI563" s="74"/>
      <c r="AJ563" s="74"/>
      <c r="AK563" s="74"/>
    </row>
    <row r="564">
      <c r="A564" s="74"/>
      <c r="B564" s="74"/>
      <c r="C564" s="74"/>
      <c r="D564" s="74"/>
      <c r="E564" s="74"/>
      <c r="F564" s="74"/>
      <c r="G564" s="74"/>
      <c r="H564" s="74"/>
      <c r="I564" s="74"/>
      <c r="J564" s="74"/>
      <c r="K564" s="74"/>
      <c r="L564" s="74"/>
      <c r="M564" s="74"/>
      <c r="N564" s="74"/>
      <c r="O564" s="74"/>
      <c r="P564" s="74"/>
      <c r="Q564" s="74"/>
      <c r="R564" s="75"/>
      <c r="S564" s="74"/>
      <c r="T564" s="74"/>
      <c r="U564" s="74"/>
      <c r="V564" s="74"/>
      <c r="W564" s="74"/>
      <c r="X564" s="74"/>
      <c r="Y564" s="74"/>
      <c r="Z564" s="74"/>
      <c r="AA564" s="74"/>
      <c r="AB564" s="74"/>
      <c r="AC564" s="74"/>
      <c r="AD564" s="74"/>
      <c r="AE564" s="74"/>
      <c r="AF564" s="74"/>
      <c r="AG564" s="74"/>
      <c r="AH564" s="74"/>
      <c r="AI564" s="74"/>
      <c r="AJ564" s="74"/>
      <c r="AK564" s="74"/>
    </row>
    <row r="565">
      <c r="A565" s="74"/>
      <c r="B565" s="74"/>
      <c r="C565" s="74"/>
      <c r="D565" s="74"/>
      <c r="E565" s="74"/>
      <c r="F565" s="74"/>
      <c r="G565" s="74"/>
      <c r="H565" s="74"/>
      <c r="I565" s="74"/>
      <c r="J565" s="74"/>
      <c r="K565" s="74"/>
      <c r="L565" s="74"/>
      <c r="M565" s="74"/>
      <c r="N565" s="74"/>
      <c r="O565" s="74"/>
      <c r="P565" s="74"/>
      <c r="Q565" s="74"/>
      <c r="R565" s="75"/>
      <c r="S565" s="74"/>
      <c r="T565" s="74"/>
      <c r="U565" s="74"/>
      <c r="V565" s="74"/>
      <c r="W565" s="74"/>
      <c r="X565" s="74"/>
      <c r="Y565" s="74"/>
      <c r="Z565" s="74"/>
      <c r="AA565" s="74"/>
      <c r="AB565" s="74"/>
      <c r="AC565" s="74"/>
      <c r="AD565" s="74"/>
      <c r="AE565" s="74"/>
      <c r="AF565" s="74"/>
      <c r="AG565" s="74"/>
      <c r="AH565" s="74"/>
      <c r="AI565" s="74"/>
      <c r="AJ565" s="74"/>
      <c r="AK565" s="74"/>
    </row>
    <row r="566">
      <c r="A566" s="74"/>
      <c r="B566" s="74"/>
      <c r="C566" s="74"/>
      <c r="D566" s="74"/>
      <c r="E566" s="74"/>
      <c r="F566" s="74"/>
      <c r="G566" s="74"/>
      <c r="H566" s="74"/>
      <c r="I566" s="74"/>
      <c r="J566" s="74"/>
      <c r="K566" s="74"/>
      <c r="L566" s="74"/>
      <c r="M566" s="74"/>
      <c r="N566" s="74"/>
      <c r="O566" s="74"/>
      <c r="P566" s="74"/>
      <c r="Q566" s="74"/>
      <c r="R566" s="75"/>
      <c r="S566" s="74"/>
      <c r="T566" s="74"/>
      <c r="U566" s="74"/>
      <c r="V566" s="74"/>
      <c r="W566" s="74"/>
      <c r="X566" s="74"/>
      <c r="Y566" s="74"/>
      <c r="Z566" s="74"/>
      <c r="AA566" s="74"/>
      <c r="AB566" s="74"/>
      <c r="AC566" s="74"/>
      <c r="AD566" s="74"/>
      <c r="AE566" s="74"/>
      <c r="AF566" s="74"/>
      <c r="AG566" s="74"/>
      <c r="AH566" s="74"/>
      <c r="AI566" s="74"/>
      <c r="AJ566" s="74"/>
      <c r="AK566" s="74"/>
    </row>
    <row r="567">
      <c r="A567" s="74"/>
      <c r="B567" s="74"/>
      <c r="C567" s="74"/>
      <c r="D567" s="74"/>
      <c r="E567" s="74"/>
      <c r="F567" s="74"/>
      <c r="G567" s="74"/>
      <c r="H567" s="74"/>
      <c r="I567" s="74"/>
      <c r="J567" s="74"/>
      <c r="K567" s="74"/>
      <c r="L567" s="74"/>
      <c r="M567" s="74"/>
      <c r="N567" s="74"/>
      <c r="O567" s="74"/>
      <c r="P567" s="74"/>
      <c r="Q567" s="74"/>
      <c r="R567" s="75"/>
      <c r="S567" s="74"/>
      <c r="T567" s="74"/>
      <c r="U567" s="74"/>
      <c r="V567" s="74"/>
      <c r="W567" s="74"/>
      <c r="X567" s="74"/>
      <c r="Y567" s="74"/>
      <c r="Z567" s="74"/>
      <c r="AA567" s="74"/>
      <c r="AB567" s="74"/>
      <c r="AC567" s="74"/>
      <c r="AD567" s="74"/>
      <c r="AE567" s="74"/>
      <c r="AF567" s="74"/>
      <c r="AG567" s="74"/>
      <c r="AH567" s="74"/>
      <c r="AI567" s="74"/>
      <c r="AJ567" s="74"/>
      <c r="AK567" s="74"/>
    </row>
    <row r="568">
      <c r="A568" s="74"/>
      <c r="B568" s="74"/>
      <c r="C568" s="74"/>
      <c r="D568" s="74"/>
      <c r="E568" s="74"/>
      <c r="F568" s="74"/>
      <c r="G568" s="74"/>
      <c r="H568" s="74"/>
      <c r="I568" s="74"/>
      <c r="J568" s="74"/>
      <c r="K568" s="74"/>
      <c r="L568" s="74"/>
      <c r="M568" s="74"/>
      <c r="N568" s="74"/>
      <c r="O568" s="74"/>
      <c r="P568" s="74"/>
      <c r="Q568" s="74"/>
      <c r="R568" s="75"/>
      <c r="S568" s="74"/>
      <c r="T568" s="74"/>
      <c r="U568" s="74"/>
      <c r="V568" s="74"/>
      <c r="W568" s="74"/>
      <c r="X568" s="74"/>
      <c r="Y568" s="74"/>
      <c r="Z568" s="74"/>
      <c r="AA568" s="74"/>
      <c r="AB568" s="74"/>
      <c r="AC568" s="74"/>
      <c r="AD568" s="74"/>
      <c r="AE568" s="74"/>
      <c r="AF568" s="74"/>
      <c r="AG568" s="74"/>
      <c r="AH568" s="74"/>
      <c r="AI568" s="74"/>
      <c r="AJ568" s="74"/>
      <c r="AK568" s="74"/>
    </row>
    <row r="569">
      <c r="A569" s="74"/>
      <c r="B569" s="74"/>
      <c r="C569" s="74"/>
      <c r="D569" s="74"/>
      <c r="E569" s="74"/>
      <c r="F569" s="74"/>
      <c r="G569" s="74"/>
      <c r="H569" s="74"/>
      <c r="I569" s="74"/>
      <c r="J569" s="74"/>
      <c r="K569" s="74"/>
      <c r="L569" s="74"/>
      <c r="M569" s="74"/>
      <c r="N569" s="74"/>
      <c r="O569" s="74"/>
      <c r="P569" s="74"/>
      <c r="Q569" s="74"/>
      <c r="R569" s="75"/>
      <c r="S569" s="74"/>
      <c r="T569" s="74"/>
      <c r="U569" s="74"/>
      <c r="V569" s="74"/>
      <c r="W569" s="74"/>
      <c r="X569" s="74"/>
      <c r="Y569" s="74"/>
      <c r="Z569" s="74"/>
      <c r="AA569" s="74"/>
      <c r="AB569" s="74"/>
      <c r="AC569" s="74"/>
      <c r="AD569" s="74"/>
      <c r="AE569" s="74"/>
      <c r="AF569" s="74"/>
      <c r="AG569" s="74"/>
      <c r="AH569" s="74"/>
      <c r="AI569" s="74"/>
      <c r="AJ569" s="74"/>
      <c r="AK569" s="74"/>
    </row>
    <row r="570">
      <c r="A570" s="74"/>
      <c r="B570" s="74"/>
      <c r="C570" s="74"/>
      <c r="D570" s="74"/>
      <c r="E570" s="74"/>
      <c r="F570" s="74"/>
      <c r="G570" s="74"/>
      <c r="H570" s="74"/>
      <c r="I570" s="74"/>
      <c r="J570" s="74"/>
      <c r="K570" s="74"/>
      <c r="L570" s="74"/>
      <c r="M570" s="74"/>
      <c r="N570" s="74"/>
      <c r="O570" s="74"/>
      <c r="P570" s="74"/>
      <c r="Q570" s="74"/>
      <c r="R570" s="75"/>
      <c r="S570" s="74"/>
      <c r="T570" s="74"/>
      <c r="U570" s="74"/>
      <c r="V570" s="74"/>
      <c r="W570" s="74"/>
      <c r="X570" s="74"/>
      <c r="Y570" s="74"/>
      <c r="Z570" s="74"/>
      <c r="AA570" s="74"/>
      <c r="AB570" s="74"/>
      <c r="AC570" s="74"/>
      <c r="AD570" s="74"/>
      <c r="AE570" s="74"/>
      <c r="AF570" s="74"/>
      <c r="AG570" s="74"/>
      <c r="AH570" s="74"/>
      <c r="AI570" s="74"/>
      <c r="AJ570" s="74"/>
      <c r="AK570" s="74"/>
    </row>
    <row r="571">
      <c r="A571" s="74"/>
      <c r="B571" s="74"/>
      <c r="C571" s="74"/>
      <c r="D571" s="74"/>
      <c r="E571" s="74"/>
      <c r="F571" s="74"/>
      <c r="G571" s="74"/>
      <c r="H571" s="74"/>
      <c r="I571" s="74"/>
      <c r="J571" s="74"/>
      <c r="K571" s="74"/>
      <c r="L571" s="74"/>
      <c r="M571" s="74"/>
      <c r="N571" s="74"/>
      <c r="O571" s="74"/>
      <c r="P571" s="74"/>
      <c r="Q571" s="74"/>
      <c r="R571" s="75"/>
      <c r="S571" s="74"/>
      <c r="T571" s="74"/>
      <c r="U571" s="74"/>
      <c r="V571" s="74"/>
      <c r="W571" s="74"/>
      <c r="X571" s="74"/>
      <c r="Y571" s="74"/>
      <c r="Z571" s="74"/>
      <c r="AA571" s="74"/>
      <c r="AB571" s="74"/>
      <c r="AC571" s="74"/>
      <c r="AD571" s="74"/>
      <c r="AE571" s="74"/>
      <c r="AF571" s="74"/>
      <c r="AG571" s="74"/>
      <c r="AH571" s="74"/>
      <c r="AI571" s="74"/>
      <c r="AJ571" s="74"/>
      <c r="AK571" s="74"/>
    </row>
    <row r="572">
      <c r="A572" s="74"/>
      <c r="B572" s="74"/>
      <c r="C572" s="74"/>
      <c r="D572" s="74"/>
      <c r="E572" s="74"/>
      <c r="F572" s="74"/>
      <c r="G572" s="74"/>
      <c r="H572" s="74"/>
      <c r="I572" s="74"/>
      <c r="J572" s="74"/>
      <c r="K572" s="74"/>
      <c r="L572" s="74"/>
      <c r="M572" s="74"/>
      <c r="N572" s="74"/>
      <c r="O572" s="74"/>
      <c r="P572" s="74"/>
      <c r="Q572" s="74"/>
      <c r="R572" s="75"/>
      <c r="S572" s="74"/>
      <c r="T572" s="74"/>
      <c r="U572" s="74"/>
      <c r="V572" s="74"/>
      <c r="W572" s="74"/>
      <c r="X572" s="74"/>
      <c r="Y572" s="74"/>
      <c r="Z572" s="74"/>
      <c r="AA572" s="74"/>
      <c r="AB572" s="74"/>
      <c r="AC572" s="74"/>
      <c r="AD572" s="74"/>
      <c r="AE572" s="74"/>
      <c r="AF572" s="74"/>
      <c r="AG572" s="74"/>
      <c r="AH572" s="74"/>
      <c r="AI572" s="74"/>
      <c r="AJ572" s="74"/>
      <c r="AK572" s="74"/>
    </row>
    <row r="573">
      <c r="A573" s="74"/>
      <c r="B573" s="74"/>
      <c r="C573" s="74"/>
      <c r="D573" s="74"/>
      <c r="E573" s="74"/>
      <c r="F573" s="74"/>
      <c r="G573" s="74"/>
      <c r="H573" s="74"/>
      <c r="I573" s="74"/>
      <c r="J573" s="74"/>
      <c r="K573" s="74"/>
      <c r="L573" s="74"/>
      <c r="M573" s="74"/>
      <c r="N573" s="74"/>
      <c r="O573" s="74"/>
      <c r="P573" s="74"/>
      <c r="Q573" s="74"/>
      <c r="R573" s="75"/>
      <c r="S573" s="74"/>
      <c r="T573" s="74"/>
      <c r="U573" s="74"/>
      <c r="V573" s="74"/>
      <c r="W573" s="74"/>
      <c r="X573" s="74"/>
      <c r="Y573" s="74"/>
      <c r="Z573" s="74"/>
      <c r="AA573" s="74"/>
      <c r="AB573" s="74"/>
      <c r="AC573" s="74"/>
      <c r="AD573" s="74"/>
      <c r="AE573" s="74"/>
      <c r="AF573" s="74"/>
      <c r="AG573" s="74"/>
      <c r="AH573" s="74"/>
      <c r="AI573" s="74"/>
      <c r="AJ573" s="74"/>
      <c r="AK573" s="74"/>
    </row>
    <row r="574">
      <c r="A574" s="74"/>
      <c r="B574" s="74"/>
      <c r="C574" s="74"/>
      <c r="D574" s="74"/>
      <c r="E574" s="74"/>
      <c r="F574" s="74"/>
      <c r="G574" s="74"/>
      <c r="H574" s="74"/>
      <c r="I574" s="74"/>
      <c r="J574" s="74"/>
      <c r="K574" s="74"/>
      <c r="L574" s="74"/>
      <c r="M574" s="74"/>
      <c r="N574" s="74"/>
      <c r="O574" s="74"/>
      <c r="P574" s="74"/>
      <c r="Q574" s="74"/>
      <c r="R574" s="75"/>
      <c r="S574" s="74"/>
      <c r="T574" s="74"/>
      <c r="U574" s="74"/>
      <c r="V574" s="74"/>
      <c r="W574" s="74"/>
      <c r="X574" s="74"/>
      <c r="Y574" s="74"/>
      <c r="Z574" s="74"/>
      <c r="AA574" s="74"/>
      <c r="AB574" s="74"/>
      <c r="AC574" s="74"/>
      <c r="AD574" s="74"/>
      <c r="AE574" s="74"/>
      <c r="AF574" s="74"/>
      <c r="AG574" s="74"/>
      <c r="AH574" s="74"/>
      <c r="AI574" s="74"/>
      <c r="AJ574" s="74"/>
      <c r="AK574" s="74"/>
    </row>
    <row r="575">
      <c r="A575" s="74"/>
      <c r="B575" s="74"/>
      <c r="C575" s="74"/>
      <c r="D575" s="74"/>
      <c r="E575" s="74"/>
      <c r="F575" s="74"/>
      <c r="G575" s="74"/>
      <c r="H575" s="74"/>
      <c r="I575" s="74"/>
      <c r="J575" s="74"/>
      <c r="K575" s="74"/>
      <c r="L575" s="74"/>
      <c r="M575" s="74"/>
      <c r="N575" s="74"/>
      <c r="O575" s="74"/>
      <c r="P575" s="74"/>
      <c r="Q575" s="74"/>
      <c r="R575" s="75"/>
      <c r="S575" s="74"/>
      <c r="T575" s="74"/>
      <c r="U575" s="74"/>
      <c r="V575" s="74"/>
      <c r="W575" s="74"/>
      <c r="X575" s="74"/>
      <c r="Y575" s="74"/>
      <c r="Z575" s="74"/>
      <c r="AA575" s="74"/>
      <c r="AB575" s="74"/>
      <c r="AC575" s="74"/>
      <c r="AD575" s="74"/>
      <c r="AE575" s="74"/>
      <c r="AF575" s="74"/>
      <c r="AG575" s="74"/>
      <c r="AH575" s="74"/>
      <c r="AI575" s="74"/>
      <c r="AJ575" s="74"/>
      <c r="AK575" s="74"/>
    </row>
    <row r="576">
      <c r="A576" s="74"/>
      <c r="B576" s="74"/>
      <c r="C576" s="74"/>
      <c r="D576" s="74"/>
      <c r="E576" s="74"/>
      <c r="F576" s="74"/>
      <c r="G576" s="74"/>
      <c r="H576" s="74"/>
      <c r="I576" s="74"/>
      <c r="J576" s="74"/>
      <c r="K576" s="74"/>
      <c r="L576" s="74"/>
      <c r="M576" s="74"/>
      <c r="N576" s="74"/>
      <c r="O576" s="74"/>
      <c r="P576" s="74"/>
      <c r="Q576" s="74"/>
      <c r="R576" s="75"/>
      <c r="S576" s="74"/>
      <c r="T576" s="74"/>
      <c r="U576" s="74"/>
      <c r="V576" s="74"/>
      <c r="W576" s="74"/>
      <c r="X576" s="74"/>
      <c r="Y576" s="74"/>
      <c r="Z576" s="74"/>
      <c r="AA576" s="74"/>
      <c r="AB576" s="74"/>
      <c r="AC576" s="74"/>
      <c r="AD576" s="74"/>
      <c r="AE576" s="74"/>
      <c r="AF576" s="74"/>
      <c r="AG576" s="74"/>
      <c r="AH576" s="74"/>
      <c r="AI576" s="74"/>
      <c r="AJ576" s="74"/>
      <c r="AK576" s="74"/>
    </row>
    <row r="577">
      <c r="A577" s="74"/>
      <c r="B577" s="74"/>
      <c r="C577" s="74"/>
      <c r="D577" s="74"/>
      <c r="E577" s="74"/>
      <c r="F577" s="74"/>
      <c r="G577" s="74"/>
      <c r="H577" s="74"/>
      <c r="I577" s="74"/>
      <c r="J577" s="74"/>
      <c r="K577" s="74"/>
      <c r="L577" s="74"/>
      <c r="M577" s="74"/>
      <c r="N577" s="74"/>
      <c r="O577" s="74"/>
      <c r="P577" s="74"/>
      <c r="Q577" s="74"/>
      <c r="R577" s="75"/>
      <c r="S577" s="74"/>
      <c r="T577" s="74"/>
      <c r="U577" s="74"/>
      <c r="V577" s="74"/>
      <c r="W577" s="74"/>
      <c r="X577" s="74"/>
      <c r="Y577" s="74"/>
      <c r="Z577" s="74"/>
      <c r="AA577" s="74"/>
      <c r="AB577" s="74"/>
      <c r="AC577" s="74"/>
      <c r="AD577" s="74"/>
      <c r="AE577" s="74"/>
      <c r="AF577" s="74"/>
      <c r="AG577" s="74"/>
      <c r="AH577" s="74"/>
      <c r="AI577" s="74"/>
      <c r="AJ577" s="74"/>
      <c r="AK577" s="74"/>
    </row>
    <row r="578">
      <c r="A578" s="74"/>
      <c r="B578" s="74"/>
      <c r="C578" s="74"/>
      <c r="D578" s="74"/>
      <c r="E578" s="74"/>
      <c r="F578" s="74"/>
      <c r="G578" s="74"/>
      <c r="H578" s="74"/>
      <c r="I578" s="74"/>
      <c r="J578" s="74"/>
      <c r="K578" s="74"/>
      <c r="L578" s="74"/>
      <c r="M578" s="74"/>
      <c r="N578" s="74"/>
      <c r="O578" s="74"/>
      <c r="P578" s="74"/>
      <c r="Q578" s="74"/>
      <c r="R578" s="75"/>
      <c r="S578" s="74"/>
      <c r="T578" s="74"/>
      <c r="U578" s="74"/>
      <c r="V578" s="74"/>
      <c r="W578" s="74"/>
      <c r="X578" s="74"/>
      <c r="Y578" s="74"/>
      <c r="Z578" s="74"/>
      <c r="AA578" s="74"/>
      <c r="AB578" s="74"/>
      <c r="AC578" s="74"/>
      <c r="AD578" s="74"/>
      <c r="AE578" s="74"/>
      <c r="AF578" s="74"/>
      <c r="AG578" s="74"/>
      <c r="AH578" s="74"/>
      <c r="AI578" s="74"/>
      <c r="AJ578" s="74"/>
      <c r="AK578" s="74"/>
    </row>
    <row r="579">
      <c r="A579" s="74"/>
      <c r="B579" s="74"/>
      <c r="C579" s="74"/>
      <c r="D579" s="74"/>
      <c r="E579" s="74"/>
      <c r="F579" s="74"/>
      <c r="G579" s="74"/>
      <c r="H579" s="74"/>
      <c r="I579" s="74"/>
      <c r="J579" s="74"/>
      <c r="K579" s="74"/>
      <c r="L579" s="74"/>
      <c r="M579" s="74"/>
      <c r="N579" s="74"/>
      <c r="O579" s="74"/>
      <c r="P579" s="74"/>
      <c r="Q579" s="74"/>
      <c r="R579" s="75"/>
      <c r="S579" s="74"/>
      <c r="T579" s="74"/>
      <c r="U579" s="74"/>
      <c r="V579" s="74"/>
      <c r="W579" s="74"/>
      <c r="X579" s="74"/>
      <c r="Y579" s="74"/>
      <c r="Z579" s="74"/>
      <c r="AA579" s="74"/>
      <c r="AB579" s="74"/>
      <c r="AC579" s="74"/>
      <c r="AD579" s="74"/>
      <c r="AE579" s="74"/>
      <c r="AF579" s="74"/>
      <c r="AG579" s="74"/>
      <c r="AH579" s="74"/>
      <c r="AI579" s="74"/>
      <c r="AJ579" s="74"/>
      <c r="AK579" s="74"/>
    </row>
    <row r="580">
      <c r="A580" s="74"/>
      <c r="B580" s="74"/>
      <c r="C580" s="74"/>
      <c r="D580" s="74"/>
      <c r="E580" s="74"/>
      <c r="F580" s="74"/>
      <c r="G580" s="74"/>
      <c r="H580" s="74"/>
      <c r="I580" s="74"/>
      <c r="J580" s="74"/>
      <c r="K580" s="74"/>
      <c r="L580" s="74"/>
      <c r="M580" s="74"/>
      <c r="N580" s="74"/>
      <c r="O580" s="74"/>
      <c r="P580" s="74"/>
      <c r="Q580" s="74"/>
      <c r="R580" s="75"/>
      <c r="S580" s="74"/>
      <c r="T580" s="74"/>
      <c r="U580" s="74"/>
      <c r="V580" s="74"/>
      <c r="W580" s="74"/>
      <c r="X580" s="74"/>
      <c r="Y580" s="74"/>
      <c r="Z580" s="74"/>
      <c r="AA580" s="74"/>
      <c r="AB580" s="74"/>
      <c r="AC580" s="74"/>
      <c r="AD580" s="74"/>
      <c r="AE580" s="74"/>
      <c r="AF580" s="74"/>
      <c r="AG580" s="74"/>
      <c r="AH580" s="74"/>
      <c r="AI580" s="74"/>
      <c r="AJ580" s="74"/>
      <c r="AK580" s="74"/>
    </row>
    <row r="581">
      <c r="A581" s="74"/>
      <c r="B581" s="74"/>
      <c r="C581" s="74"/>
      <c r="D581" s="74"/>
      <c r="E581" s="74"/>
      <c r="F581" s="74"/>
      <c r="G581" s="74"/>
      <c r="H581" s="74"/>
      <c r="I581" s="74"/>
      <c r="J581" s="74"/>
      <c r="K581" s="74"/>
      <c r="L581" s="74"/>
      <c r="M581" s="74"/>
      <c r="N581" s="74"/>
      <c r="O581" s="74"/>
      <c r="P581" s="74"/>
      <c r="Q581" s="74"/>
      <c r="R581" s="75"/>
      <c r="S581" s="74"/>
      <c r="T581" s="74"/>
      <c r="U581" s="74"/>
      <c r="V581" s="74"/>
      <c r="W581" s="74"/>
      <c r="X581" s="74"/>
      <c r="Y581" s="74"/>
      <c r="Z581" s="74"/>
      <c r="AA581" s="74"/>
      <c r="AB581" s="74"/>
      <c r="AC581" s="74"/>
      <c r="AD581" s="74"/>
      <c r="AE581" s="74"/>
      <c r="AF581" s="74"/>
      <c r="AG581" s="74"/>
      <c r="AH581" s="74"/>
      <c r="AI581" s="74"/>
      <c r="AJ581" s="74"/>
      <c r="AK581" s="74"/>
    </row>
    <row r="582">
      <c r="A582" s="74"/>
      <c r="B582" s="74"/>
      <c r="C582" s="74"/>
      <c r="D582" s="74"/>
      <c r="E582" s="74"/>
      <c r="F582" s="74"/>
      <c r="G582" s="74"/>
      <c r="H582" s="74"/>
      <c r="I582" s="74"/>
      <c r="J582" s="74"/>
      <c r="K582" s="74"/>
      <c r="L582" s="74"/>
      <c r="M582" s="74"/>
      <c r="N582" s="74"/>
      <c r="O582" s="74"/>
      <c r="P582" s="74"/>
      <c r="Q582" s="74"/>
      <c r="R582" s="75"/>
      <c r="S582" s="74"/>
      <c r="T582" s="74"/>
      <c r="U582" s="74"/>
      <c r="V582" s="74"/>
      <c r="W582" s="74"/>
      <c r="X582" s="74"/>
      <c r="Y582" s="74"/>
      <c r="Z582" s="74"/>
      <c r="AA582" s="74"/>
      <c r="AB582" s="74"/>
      <c r="AC582" s="74"/>
      <c r="AD582" s="74"/>
      <c r="AE582" s="74"/>
      <c r="AF582" s="74"/>
      <c r="AG582" s="74"/>
      <c r="AH582" s="74"/>
      <c r="AI582" s="74"/>
      <c r="AJ582" s="74"/>
      <c r="AK582" s="74"/>
    </row>
    <row r="583">
      <c r="A583" s="74"/>
      <c r="B583" s="74"/>
      <c r="C583" s="74"/>
      <c r="D583" s="74"/>
      <c r="E583" s="74"/>
      <c r="F583" s="74"/>
      <c r="G583" s="74"/>
      <c r="H583" s="74"/>
      <c r="I583" s="74"/>
      <c r="J583" s="74"/>
      <c r="K583" s="74"/>
      <c r="L583" s="74"/>
      <c r="M583" s="74"/>
      <c r="N583" s="74"/>
      <c r="O583" s="74"/>
      <c r="P583" s="74"/>
      <c r="Q583" s="74"/>
      <c r="R583" s="75"/>
      <c r="S583" s="74"/>
      <c r="T583" s="74"/>
      <c r="U583" s="74"/>
      <c r="V583" s="74"/>
      <c r="W583" s="74"/>
      <c r="X583" s="74"/>
      <c r="Y583" s="74"/>
      <c r="Z583" s="74"/>
      <c r="AA583" s="74"/>
      <c r="AB583" s="74"/>
      <c r="AC583" s="74"/>
      <c r="AD583" s="74"/>
      <c r="AE583" s="74"/>
      <c r="AF583" s="74"/>
      <c r="AG583" s="74"/>
      <c r="AH583" s="74"/>
      <c r="AI583" s="74"/>
      <c r="AJ583" s="74"/>
      <c r="AK583" s="74"/>
    </row>
    <row r="584">
      <c r="A584" s="74"/>
      <c r="B584" s="74"/>
      <c r="C584" s="74"/>
      <c r="D584" s="74"/>
      <c r="E584" s="74"/>
      <c r="F584" s="74"/>
      <c r="G584" s="74"/>
      <c r="H584" s="74"/>
      <c r="I584" s="74"/>
      <c r="J584" s="74"/>
      <c r="K584" s="74"/>
      <c r="L584" s="74"/>
      <c r="M584" s="74"/>
      <c r="N584" s="74"/>
      <c r="O584" s="74"/>
      <c r="P584" s="74"/>
      <c r="Q584" s="74"/>
      <c r="R584" s="75"/>
      <c r="S584" s="74"/>
      <c r="T584" s="74"/>
      <c r="U584" s="74"/>
      <c r="V584" s="74"/>
      <c r="W584" s="74"/>
      <c r="X584" s="74"/>
      <c r="Y584" s="74"/>
      <c r="Z584" s="74"/>
      <c r="AA584" s="74"/>
      <c r="AB584" s="74"/>
      <c r="AC584" s="74"/>
      <c r="AD584" s="74"/>
      <c r="AE584" s="74"/>
      <c r="AF584" s="74"/>
      <c r="AG584" s="74"/>
      <c r="AH584" s="74"/>
      <c r="AI584" s="74"/>
      <c r="AJ584" s="74"/>
      <c r="AK584" s="74"/>
    </row>
    <row r="585">
      <c r="A585" s="74"/>
      <c r="B585" s="74"/>
      <c r="C585" s="74"/>
      <c r="D585" s="74"/>
      <c r="E585" s="74"/>
      <c r="F585" s="74"/>
      <c r="G585" s="74"/>
      <c r="H585" s="74"/>
      <c r="I585" s="74"/>
      <c r="J585" s="74"/>
      <c r="K585" s="74"/>
      <c r="L585" s="74"/>
      <c r="M585" s="74"/>
      <c r="N585" s="74"/>
      <c r="O585" s="74"/>
      <c r="P585" s="74"/>
      <c r="Q585" s="74"/>
      <c r="R585" s="75"/>
      <c r="S585" s="74"/>
      <c r="T585" s="74"/>
      <c r="U585" s="74"/>
      <c r="V585" s="74"/>
      <c r="W585" s="74"/>
      <c r="X585" s="74"/>
      <c r="Y585" s="74"/>
      <c r="Z585" s="74"/>
      <c r="AA585" s="74"/>
      <c r="AB585" s="74"/>
      <c r="AC585" s="74"/>
      <c r="AD585" s="74"/>
      <c r="AE585" s="74"/>
      <c r="AF585" s="74"/>
      <c r="AG585" s="74"/>
      <c r="AH585" s="74"/>
      <c r="AI585" s="74"/>
      <c r="AJ585" s="74"/>
      <c r="AK585" s="74"/>
    </row>
    <row r="586">
      <c r="A586" s="74"/>
      <c r="B586" s="74"/>
      <c r="C586" s="74"/>
      <c r="D586" s="74"/>
      <c r="E586" s="74"/>
      <c r="F586" s="74"/>
      <c r="G586" s="74"/>
      <c r="H586" s="74"/>
      <c r="I586" s="74"/>
      <c r="J586" s="74"/>
      <c r="K586" s="74"/>
      <c r="L586" s="74"/>
      <c r="M586" s="74"/>
      <c r="N586" s="74"/>
      <c r="O586" s="74"/>
      <c r="P586" s="74"/>
      <c r="Q586" s="74"/>
      <c r="R586" s="75"/>
      <c r="S586" s="74"/>
      <c r="T586" s="74"/>
      <c r="U586" s="74"/>
      <c r="V586" s="74"/>
      <c r="W586" s="74"/>
      <c r="X586" s="74"/>
      <c r="Y586" s="74"/>
      <c r="Z586" s="74"/>
      <c r="AA586" s="74"/>
      <c r="AB586" s="74"/>
      <c r="AC586" s="74"/>
      <c r="AD586" s="74"/>
      <c r="AE586" s="74"/>
      <c r="AF586" s="74"/>
      <c r="AG586" s="74"/>
      <c r="AH586" s="74"/>
      <c r="AI586" s="74"/>
      <c r="AJ586" s="74"/>
      <c r="AK586" s="74"/>
    </row>
    <row r="587">
      <c r="A587" s="74"/>
      <c r="B587" s="74"/>
      <c r="C587" s="74"/>
      <c r="D587" s="74"/>
      <c r="E587" s="74"/>
      <c r="F587" s="74"/>
      <c r="G587" s="74"/>
      <c r="H587" s="74"/>
      <c r="I587" s="74"/>
      <c r="J587" s="74"/>
      <c r="K587" s="74"/>
      <c r="L587" s="74"/>
      <c r="M587" s="74"/>
      <c r="N587" s="74"/>
      <c r="O587" s="74"/>
      <c r="P587" s="74"/>
      <c r="Q587" s="74"/>
      <c r="R587" s="75"/>
      <c r="S587" s="74"/>
      <c r="T587" s="74"/>
      <c r="U587" s="74"/>
      <c r="V587" s="74"/>
      <c r="W587" s="74"/>
      <c r="X587" s="74"/>
      <c r="Y587" s="74"/>
      <c r="Z587" s="74"/>
      <c r="AA587" s="74"/>
      <c r="AB587" s="74"/>
      <c r="AC587" s="74"/>
      <c r="AD587" s="74"/>
      <c r="AE587" s="74"/>
      <c r="AF587" s="74"/>
      <c r="AG587" s="74"/>
      <c r="AH587" s="74"/>
      <c r="AI587" s="74"/>
      <c r="AJ587" s="74"/>
      <c r="AK587" s="74"/>
    </row>
    <row r="588">
      <c r="A588" s="74"/>
      <c r="B588" s="74"/>
      <c r="C588" s="74"/>
      <c r="D588" s="74"/>
      <c r="E588" s="74"/>
      <c r="F588" s="74"/>
      <c r="G588" s="74"/>
      <c r="H588" s="74"/>
      <c r="I588" s="74"/>
      <c r="J588" s="74"/>
      <c r="K588" s="74"/>
      <c r="L588" s="74"/>
      <c r="M588" s="74"/>
      <c r="N588" s="74"/>
      <c r="O588" s="74"/>
      <c r="P588" s="74"/>
      <c r="Q588" s="74"/>
      <c r="R588" s="75"/>
      <c r="S588" s="74"/>
      <c r="T588" s="74"/>
      <c r="U588" s="74"/>
      <c r="V588" s="74"/>
      <c r="W588" s="74"/>
      <c r="X588" s="74"/>
      <c r="Y588" s="74"/>
      <c r="Z588" s="74"/>
      <c r="AA588" s="74"/>
      <c r="AB588" s="74"/>
      <c r="AC588" s="74"/>
      <c r="AD588" s="74"/>
      <c r="AE588" s="74"/>
      <c r="AF588" s="74"/>
      <c r="AG588" s="74"/>
      <c r="AH588" s="74"/>
      <c r="AI588" s="74"/>
      <c r="AJ588" s="74"/>
      <c r="AK588" s="74"/>
    </row>
    <row r="589">
      <c r="A589" s="74"/>
      <c r="B589" s="74"/>
      <c r="C589" s="74"/>
      <c r="D589" s="74"/>
      <c r="E589" s="74"/>
      <c r="F589" s="74"/>
      <c r="G589" s="74"/>
      <c r="H589" s="74"/>
      <c r="I589" s="74"/>
      <c r="J589" s="74"/>
      <c r="K589" s="74"/>
      <c r="L589" s="74"/>
      <c r="M589" s="74"/>
      <c r="N589" s="74"/>
      <c r="O589" s="74"/>
      <c r="P589" s="74"/>
      <c r="Q589" s="74"/>
      <c r="R589" s="75"/>
      <c r="S589" s="74"/>
      <c r="T589" s="74"/>
      <c r="U589" s="74"/>
      <c r="V589" s="74"/>
      <c r="W589" s="74"/>
      <c r="X589" s="74"/>
      <c r="Y589" s="74"/>
      <c r="Z589" s="74"/>
      <c r="AA589" s="74"/>
      <c r="AB589" s="74"/>
      <c r="AC589" s="74"/>
      <c r="AD589" s="74"/>
      <c r="AE589" s="74"/>
      <c r="AF589" s="74"/>
      <c r="AG589" s="74"/>
      <c r="AH589" s="74"/>
      <c r="AI589" s="74"/>
      <c r="AJ589" s="74"/>
      <c r="AK589" s="74"/>
    </row>
    <row r="590">
      <c r="A590" s="74"/>
      <c r="B590" s="74"/>
      <c r="C590" s="74"/>
      <c r="D590" s="74"/>
      <c r="E590" s="74"/>
      <c r="F590" s="74"/>
      <c r="G590" s="74"/>
      <c r="H590" s="74"/>
      <c r="I590" s="74"/>
      <c r="J590" s="74"/>
      <c r="K590" s="74"/>
      <c r="L590" s="74"/>
      <c r="M590" s="74"/>
      <c r="N590" s="74"/>
      <c r="O590" s="74"/>
      <c r="P590" s="74"/>
      <c r="Q590" s="74"/>
      <c r="R590" s="75"/>
      <c r="S590" s="74"/>
      <c r="T590" s="74"/>
      <c r="U590" s="74"/>
      <c r="V590" s="74"/>
      <c r="W590" s="74"/>
      <c r="X590" s="74"/>
      <c r="Y590" s="74"/>
      <c r="Z590" s="74"/>
      <c r="AA590" s="74"/>
      <c r="AB590" s="74"/>
      <c r="AC590" s="74"/>
      <c r="AD590" s="74"/>
      <c r="AE590" s="74"/>
      <c r="AF590" s="74"/>
      <c r="AG590" s="74"/>
      <c r="AH590" s="74"/>
      <c r="AI590" s="74"/>
      <c r="AJ590" s="74"/>
      <c r="AK590" s="74"/>
    </row>
    <row r="591">
      <c r="A591" s="74"/>
      <c r="B591" s="74"/>
      <c r="C591" s="74"/>
      <c r="D591" s="74"/>
      <c r="E591" s="74"/>
      <c r="F591" s="74"/>
      <c r="G591" s="74"/>
      <c r="H591" s="74"/>
      <c r="I591" s="74"/>
      <c r="J591" s="74"/>
      <c r="K591" s="74"/>
      <c r="L591" s="74"/>
      <c r="M591" s="74"/>
      <c r="N591" s="74"/>
      <c r="O591" s="74"/>
      <c r="P591" s="74"/>
      <c r="Q591" s="74"/>
      <c r="R591" s="75"/>
      <c r="S591" s="74"/>
      <c r="T591" s="74"/>
      <c r="U591" s="74"/>
      <c r="V591" s="74"/>
      <c r="W591" s="74"/>
      <c r="X591" s="74"/>
      <c r="Y591" s="74"/>
      <c r="Z591" s="74"/>
      <c r="AA591" s="74"/>
      <c r="AB591" s="74"/>
      <c r="AC591" s="74"/>
      <c r="AD591" s="74"/>
      <c r="AE591" s="74"/>
      <c r="AF591" s="74"/>
      <c r="AG591" s="74"/>
      <c r="AH591" s="74"/>
      <c r="AI591" s="74"/>
      <c r="AJ591" s="74"/>
      <c r="AK591" s="74"/>
    </row>
    <row r="592">
      <c r="A592" s="74"/>
      <c r="B592" s="74"/>
      <c r="C592" s="74"/>
      <c r="D592" s="74"/>
      <c r="E592" s="74"/>
      <c r="F592" s="74"/>
      <c r="G592" s="74"/>
      <c r="H592" s="74"/>
      <c r="I592" s="74"/>
      <c r="J592" s="74"/>
      <c r="K592" s="74"/>
      <c r="L592" s="74"/>
      <c r="M592" s="74"/>
      <c r="N592" s="74"/>
      <c r="O592" s="74"/>
      <c r="P592" s="74"/>
      <c r="Q592" s="74"/>
      <c r="R592" s="75"/>
      <c r="S592" s="74"/>
      <c r="T592" s="74"/>
      <c r="U592" s="74"/>
      <c r="V592" s="74"/>
      <c r="W592" s="74"/>
      <c r="X592" s="74"/>
      <c r="Y592" s="74"/>
      <c r="Z592" s="74"/>
      <c r="AA592" s="74"/>
      <c r="AB592" s="74"/>
      <c r="AC592" s="74"/>
      <c r="AD592" s="74"/>
      <c r="AE592" s="74"/>
      <c r="AF592" s="74"/>
      <c r="AG592" s="74"/>
      <c r="AH592" s="74"/>
      <c r="AI592" s="74"/>
      <c r="AJ592" s="74"/>
      <c r="AK592" s="74"/>
    </row>
    <row r="593">
      <c r="A593" s="74"/>
      <c r="B593" s="74"/>
      <c r="C593" s="74"/>
      <c r="D593" s="74"/>
      <c r="E593" s="74"/>
      <c r="F593" s="74"/>
      <c r="G593" s="74"/>
      <c r="H593" s="74"/>
      <c r="I593" s="74"/>
      <c r="J593" s="74"/>
      <c r="K593" s="74"/>
      <c r="L593" s="74"/>
      <c r="M593" s="74"/>
      <c r="N593" s="74"/>
      <c r="O593" s="74"/>
      <c r="P593" s="74"/>
      <c r="Q593" s="74"/>
      <c r="R593" s="75"/>
      <c r="S593" s="74"/>
      <c r="T593" s="74"/>
      <c r="U593" s="74"/>
      <c r="V593" s="74"/>
      <c r="W593" s="74"/>
      <c r="X593" s="74"/>
      <c r="Y593" s="74"/>
      <c r="Z593" s="74"/>
      <c r="AA593" s="74"/>
      <c r="AB593" s="74"/>
      <c r="AC593" s="74"/>
      <c r="AD593" s="74"/>
      <c r="AE593" s="74"/>
      <c r="AF593" s="74"/>
      <c r="AG593" s="74"/>
      <c r="AH593" s="74"/>
      <c r="AI593" s="74"/>
      <c r="AJ593" s="74"/>
      <c r="AK593" s="74"/>
    </row>
    <row r="594">
      <c r="A594" s="74"/>
      <c r="B594" s="74"/>
      <c r="C594" s="74"/>
      <c r="D594" s="74"/>
      <c r="E594" s="74"/>
      <c r="F594" s="74"/>
      <c r="G594" s="74"/>
      <c r="H594" s="74"/>
      <c r="I594" s="74"/>
      <c r="J594" s="74"/>
      <c r="K594" s="74"/>
      <c r="L594" s="74"/>
      <c r="M594" s="74"/>
      <c r="N594" s="74"/>
      <c r="O594" s="74"/>
      <c r="P594" s="74"/>
      <c r="Q594" s="74"/>
      <c r="R594" s="75"/>
      <c r="S594" s="74"/>
      <c r="T594" s="74"/>
      <c r="U594" s="74"/>
      <c r="V594" s="74"/>
      <c r="W594" s="74"/>
      <c r="X594" s="74"/>
      <c r="Y594" s="74"/>
      <c r="Z594" s="74"/>
      <c r="AA594" s="74"/>
      <c r="AB594" s="74"/>
      <c r="AC594" s="74"/>
      <c r="AD594" s="74"/>
      <c r="AE594" s="74"/>
      <c r="AF594" s="74"/>
      <c r="AG594" s="74"/>
      <c r="AH594" s="74"/>
      <c r="AI594" s="74"/>
      <c r="AJ594" s="74"/>
      <c r="AK594" s="74"/>
    </row>
    <row r="595">
      <c r="A595" s="74"/>
      <c r="B595" s="74"/>
      <c r="C595" s="74"/>
      <c r="D595" s="74"/>
      <c r="E595" s="74"/>
      <c r="F595" s="74"/>
      <c r="G595" s="74"/>
      <c r="H595" s="74"/>
      <c r="I595" s="74"/>
      <c r="J595" s="74"/>
      <c r="K595" s="74"/>
      <c r="L595" s="74"/>
      <c r="M595" s="74"/>
      <c r="N595" s="74"/>
      <c r="O595" s="74"/>
      <c r="P595" s="74"/>
      <c r="Q595" s="74"/>
      <c r="R595" s="75"/>
      <c r="S595" s="74"/>
      <c r="T595" s="74"/>
      <c r="U595" s="74"/>
      <c r="V595" s="74"/>
      <c r="W595" s="74"/>
      <c r="X595" s="74"/>
      <c r="Y595" s="74"/>
      <c r="Z595" s="74"/>
      <c r="AA595" s="74"/>
      <c r="AB595" s="74"/>
      <c r="AC595" s="74"/>
      <c r="AD595" s="74"/>
      <c r="AE595" s="74"/>
      <c r="AF595" s="74"/>
      <c r="AG595" s="74"/>
      <c r="AH595" s="74"/>
      <c r="AI595" s="74"/>
      <c r="AJ595" s="74"/>
      <c r="AK595" s="74"/>
    </row>
    <row r="596">
      <c r="A596" s="74"/>
      <c r="B596" s="74"/>
      <c r="C596" s="74"/>
      <c r="D596" s="74"/>
      <c r="E596" s="74"/>
      <c r="F596" s="74"/>
      <c r="G596" s="74"/>
      <c r="H596" s="74"/>
      <c r="I596" s="74"/>
      <c r="J596" s="74"/>
      <c r="K596" s="74"/>
      <c r="L596" s="74"/>
      <c r="M596" s="74"/>
      <c r="N596" s="74"/>
      <c r="O596" s="74"/>
      <c r="P596" s="74"/>
      <c r="Q596" s="74"/>
      <c r="R596" s="75"/>
      <c r="S596" s="74"/>
      <c r="T596" s="74"/>
      <c r="U596" s="74"/>
      <c r="V596" s="74"/>
      <c r="W596" s="74"/>
      <c r="X596" s="74"/>
      <c r="Y596" s="74"/>
      <c r="Z596" s="74"/>
      <c r="AA596" s="74"/>
      <c r="AB596" s="74"/>
      <c r="AC596" s="74"/>
      <c r="AD596" s="74"/>
      <c r="AE596" s="74"/>
      <c r="AF596" s="74"/>
      <c r="AG596" s="74"/>
      <c r="AH596" s="74"/>
      <c r="AI596" s="74"/>
      <c r="AJ596" s="74"/>
      <c r="AK596" s="74"/>
    </row>
    <row r="597">
      <c r="A597" s="74"/>
      <c r="B597" s="74"/>
      <c r="C597" s="74"/>
      <c r="D597" s="74"/>
      <c r="E597" s="74"/>
      <c r="F597" s="74"/>
      <c r="G597" s="74"/>
      <c r="H597" s="74"/>
      <c r="I597" s="74"/>
      <c r="J597" s="74"/>
      <c r="K597" s="74"/>
      <c r="L597" s="74"/>
      <c r="M597" s="74"/>
      <c r="N597" s="74"/>
      <c r="O597" s="74"/>
      <c r="P597" s="74"/>
      <c r="Q597" s="74"/>
      <c r="R597" s="75"/>
      <c r="S597" s="74"/>
      <c r="T597" s="74"/>
      <c r="U597" s="74"/>
      <c r="V597" s="74"/>
      <c r="W597" s="74"/>
      <c r="X597" s="74"/>
      <c r="Y597" s="74"/>
      <c r="Z597" s="74"/>
      <c r="AA597" s="74"/>
      <c r="AB597" s="74"/>
      <c r="AC597" s="74"/>
      <c r="AD597" s="74"/>
      <c r="AE597" s="74"/>
      <c r="AF597" s="74"/>
      <c r="AG597" s="74"/>
      <c r="AH597" s="74"/>
      <c r="AI597" s="74"/>
      <c r="AJ597" s="74"/>
      <c r="AK597" s="74"/>
    </row>
    <row r="598">
      <c r="A598" s="74"/>
      <c r="B598" s="74"/>
      <c r="C598" s="74"/>
      <c r="D598" s="74"/>
      <c r="E598" s="74"/>
      <c r="F598" s="74"/>
      <c r="G598" s="74"/>
      <c r="H598" s="74"/>
      <c r="I598" s="74"/>
      <c r="J598" s="74"/>
      <c r="K598" s="74"/>
      <c r="L598" s="74"/>
      <c r="M598" s="74"/>
      <c r="N598" s="74"/>
      <c r="O598" s="74"/>
      <c r="P598" s="74"/>
      <c r="Q598" s="74"/>
      <c r="R598" s="75"/>
      <c r="S598" s="74"/>
      <c r="T598" s="74"/>
      <c r="U598" s="74"/>
      <c r="V598" s="74"/>
      <c r="W598" s="74"/>
      <c r="X598" s="74"/>
      <c r="Y598" s="74"/>
      <c r="Z598" s="74"/>
      <c r="AA598" s="74"/>
      <c r="AB598" s="74"/>
      <c r="AC598" s="74"/>
      <c r="AD598" s="74"/>
      <c r="AE598" s="74"/>
      <c r="AF598" s="74"/>
      <c r="AG598" s="74"/>
      <c r="AH598" s="74"/>
      <c r="AI598" s="74"/>
      <c r="AJ598" s="74"/>
      <c r="AK598" s="74"/>
    </row>
    <row r="599">
      <c r="A599" s="74"/>
      <c r="B599" s="74"/>
      <c r="C599" s="74"/>
      <c r="D599" s="74"/>
      <c r="E599" s="74"/>
      <c r="F599" s="74"/>
      <c r="G599" s="74"/>
      <c r="H599" s="74"/>
      <c r="I599" s="74"/>
      <c r="J599" s="74"/>
      <c r="K599" s="74"/>
      <c r="L599" s="74"/>
      <c r="M599" s="74"/>
      <c r="N599" s="74"/>
      <c r="O599" s="74"/>
      <c r="P599" s="74"/>
      <c r="Q599" s="74"/>
      <c r="R599" s="75"/>
      <c r="S599" s="74"/>
      <c r="T599" s="74"/>
      <c r="U599" s="74"/>
      <c r="V599" s="74"/>
      <c r="W599" s="74"/>
      <c r="X599" s="74"/>
      <c r="Y599" s="74"/>
      <c r="Z599" s="74"/>
      <c r="AA599" s="74"/>
      <c r="AB599" s="74"/>
      <c r="AC599" s="74"/>
      <c r="AD599" s="74"/>
      <c r="AE599" s="74"/>
      <c r="AF599" s="74"/>
      <c r="AG599" s="74"/>
      <c r="AH599" s="74"/>
      <c r="AI599" s="74"/>
      <c r="AJ599" s="74"/>
      <c r="AK599" s="74"/>
    </row>
    <row r="600">
      <c r="A600" s="74"/>
      <c r="B600" s="74"/>
      <c r="C600" s="74"/>
      <c r="D600" s="74"/>
      <c r="E600" s="74"/>
      <c r="F600" s="74"/>
      <c r="G600" s="74"/>
      <c r="H600" s="74"/>
      <c r="I600" s="74"/>
      <c r="J600" s="74"/>
      <c r="K600" s="74"/>
      <c r="L600" s="74"/>
      <c r="M600" s="74"/>
      <c r="N600" s="74"/>
      <c r="O600" s="74"/>
      <c r="P600" s="74"/>
      <c r="Q600" s="74"/>
      <c r="R600" s="75"/>
      <c r="S600" s="74"/>
      <c r="T600" s="74"/>
      <c r="U600" s="74"/>
      <c r="V600" s="74"/>
      <c r="W600" s="74"/>
      <c r="X600" s="74"/>
      <c r="Y600" s="74"/>
      <c r="Z600" s="74"/>
      <c r="AA600" s="74"/>
      <c r="AB600" s="74"/>
      <c r="AC600" s="74"/>
      <c r="AD600" s="74"/>
      <c r="AE600" s="74"/>
      <c r="AF600" s="74"/>
      <c r="AG600" s="74"/>
      <c r="AH600" s="74"/>
      <c r="AI600" s="74"/>
      <c r="AJ600" s="74"/>
      <c r="AK600" s="74"/>
    </row>
    <row r="601">
      <c r="A601" s="74"/>
      <c r="B601" s="74"/>
      <c r="C601" s="74"/>
      <c r="D601" s="74"/>
      <c r="E601" s="74"/>
      <c r="F601" s="74"/>
      <c r="G601" s="74"/>
      <c r="H601" s="74"/>
      <c r="I601" s="74"/>
      <c r="J601" s="74"/>
      <c r="K601" s="74"/>
      <c r="L601" s="74"/>
      <c r="M601" s="74"/>
      <c r="N601" s="74"/>
      <c r="O601" s="74"/>
      <c r="P601" s="74"/>
      <c r="Q601" s="74"/>
      <c r="R601" s="75"/>
      <c r="S601" s="74"/>
      <c r="T601" s="74"/>
      <c r="U601" s="74"/>
      <c r="V601" s="74"/>
      <c r="W601" s="74"/>
      <c r="X601" s="74"/>
      <c r="Y601" s="74"/>
      <c r="Z601" s="74"/>
      <c r="AA601" s="74"/>
      <c r="AB601" s="74"/>
      <c r="AC601" s="74"/>
      <c r="AD601" s="74"/>
      <c r="AE601" s="74"/>
      <c r="AF601" s="74"/>
      <c r="AG601" s="74"/>
      <c r="AH601" s="74"/>
      <c r="AI601" s="74"/>
      <c r="AJ601" s="74"/>
      <c r="AK601" s="74"/>
    </row>
    <row r="602">
      <c r="A602" s="74"/>
      <c r="B602" s="74"/>
      <c r="C602" s="74"/>
      <c r="D602" s="74"/>
      <c r="E602" s="74"/>
      <c r="F602" s="74"/>
      <c r="G602" s="74"/>
      <c r="H602" s="74"/>
      <c r="I602" s="74"/>
      <c r="J602" s="74"/>
      <c r="K602" s="74"/>
      <c r="L602" s="74"/>
      <c r="M602" s="74"/>
      <c r="N602" s="74"/>
      <c r="O602" s="74"/>
      <c r="P602" s="74"/>
      <c r="Q602" s="74"/>
      <c r="R602" s="75"/>
      <c r="S602" s="74"/>
      <c r="T602" s="74"/>
      <c r="U602" s="74"/>
      <c r="V602" s="74"/>
      <c r="W602" s="74"/>
      <c r="X602" s="74"/>
      <c r="Y602" s="74"/>
      <c r="Z602" s="74"/>
      <c r="AA602" s="74"/>
      <c r="AB602" s="74"/>
      <c r="AC602" s="74"/>
      <c r="AD602" s="74"/>
      <c r="AE602" s="74"/>
      <c r="AF602" s="74"/>
      <c r="AG602" s="74"/>
      <c r="AH602" s="74"/>
      <c r="AI602" s="74"/>
      <c r="AJ602" s="74"/>
      <c r="AK602" s="74"/>
    </row>
    <row r="603">
      <c r="A603" s="74"/>
      <c r="B603" s="74"/>
      <c r="C603" s="74"/>
      <c r="D603" s="74"/>
      <c r="E603" s="74"/>
      <c r="F603" s="74"/>
      <c r="G603" s="74"/>
      <c r="H603" s="74"/>
      <c r="I603" s="74"/>
      <c r="J603" s="74"/>
      <c r="K603" s="74"/>
      <c r="L603" s="74"/>
      <c r="M603" s="74"/>
      <c r="N603" s="74"/>
      <c r="O603" s="74"/>
      <c r="P603" s="74"/>
      <c r="Q603" s="74"/>
      <c r="R603" s="75"/>
      <c r="S603" s="74"/>
      <c r="T603" s="74"/>
      <c r="U603" s="74"/>
      <c r="V603" s="74"/>
      <c r="W603" s="74"/>
      <c r="X603" s="74"/>
      <c r="Y603" s="74"/>
      <c r="Z603" s="74"/>
      <c r="AA603" s="74"/>
      <c r="AB603" s="74"/>
      <c r="AC603" s="74"/>
      <c r="AD603" s="74"/>
      <c r="AE603" s="74"/>
      <c r="AF603" s="74"/>
      <c r="AG603" s="74"/>
      <c r="AH603" s="74"/>
      <c r="AI603" s="74"/>
      <c r="AJ603" s="74"/>
      <c r="AK603" s="74"/>
    </row>
    <row r="604">
      <c r="A604" s="74"/>
      <c r="B604" s="74"/>
      <c r="C604" s="74"/>
      <c r="D604" s="74"/>
      <c r="E604" s="74"/>
      <c r="F604" s="74"/>
      <c r="G604" s="74"/>
      <c r="H604" s="74"/>
      <c r="I604" s="74"/>
      <c r="J604" s="74"/>
      <c r="K604" s="74"/>
      <c r="L604" s="74"/>
      <c r="M604" s="74"/>
      <c r="N604" s="74"/>
      <c r="O604" s="74"/>
      <c r="P604" s="74"/>
      <c r="Q604" s="74"/>
      <c r="R604" s="75"/>
      <c r="S604" s="74"/>
      <c r="T604" s="74"/>
      <c r="U604" s="74"/>
      <c r="V604" s="74"/>
      <c r="W604" s="74"/>
      <c r="X604" s="74"/>
      <c r="Y604" s="74"/>
      <c r="Z604" s="74"/>
      <c r="AA604" s="74"/>
      <c r="AB604" s="74"/>
      <c r="AC604" s="74"/>
      <c r="AD604" s="74"/>
      <c r="AE604" s="74"/>
      <c r="AF604" s="74"/>
      <c r="AG604" s="74"/>
      <c r="AH604" s="74"/>
      <c r="AI604" s="74"/>
      <c r="AJ604" s="74"/>
      <c r="AK604" s="74"/>
    </row>
    <row r="605">
      <c r="A605" s="74"/>
      <c r="B605" s="74"/>
      <c r="C605" s="74"/>
      <c r="D605" s="74"/>
      <c r="E605" s="74"/>
      <c r="F605" s="74"/>
      <c r="G605" s="74"/>
      <c r="H605" s="74"/>
      <c r="I605" s="74"/>
      <c r="J605" s="74"/>
      <c r="K605" s="74"/>
      <c r="L605" s="74"/>
      <c r="M605" s="74"/>
      <c r="N605" s="74"/>
      <c r="O605" s="74"/>
      <c r="P605" s="74"/>
      <c r="Q605" s="74"/>
      <c r="R605" s="75"/>
      <c r="S605" s="74"/>
      <c r="T605" s="74"/>
      <c r="U605" s="74"/>
      <c r="V605" s="74"/>
      <c r="W605" s="74"/>
      <c r="X605" s="74"/>
      <c r="Y605" s="74"/>
      <c r="Z605" s="74"/>
      <c r="AA605" s="74"/>
      <c r="AB605" s="74"/>
      <c r="AC605" s="74"/>
      <c r="AD605" s="74"/>
      <c r="AE605" s="74"/>
      <c r="AF605" s="74"/>
      <c r="AG605" s="74"/>
      <c r="AH605" s="74"/>
      <c r="AI605" s="74"/>
      <c r="AJ605" s="74"/>
      <c r="AK605" s="74"/>
    </row>
    <row r="606">
      <c r="A606" s="74"/>
      <c r="B606" s="74"/>
      <c r="C606" s="74"/>
      <c r="D606" s="74"/>
      <c r="E606" s="74"/>
      <c r="F606" s="74"/>
      <c r="G606" s="74"/>
      <c r="H606" s="74"/>
      <c r="I606" s="74"/>
      <c r="J606" s="74"/>
      <c r="K606" s="74"/>
      <c r="L606" s="74"/>
      <c r="M606" s="74"/>
      <c r="N606" s="74"/>
      <c r="O606" s="74"/>
      <c r="P606" s="74"/>
      <c r="Q606" s="74"/>
      <c r="R606" s="75"/>
      <c r="S606" s="74"/>
      <c r="T606" s="74"/>
      <c r="U606" s="74"/>
      <c r="V606" s="74"/>
      <c r="W606" s="74"/>
      <c r="X606" s="74"/>
      <c r="Y606" s="74"/>
      <c r="Z606" s="74"/>
      <c r="AA606" s="74"/>
      <c r="AB606" s="74"/>
      <c r="AC606" s="74"/>
      <c r="AD606" s="74"/>
      <c r="AE606" s="74"/>
      <c r="AF606" s="74"/>
      <c r="AG606" s="74"/>
      <c r="AH606" s="74"/>
      <c r="AI606" s="74"/>
      <c r="AJ606" s="74"/>
      <c r="AK606" s="74"/>
    </row>
    <row r="607">
      <c r="A607" s="74"/>
      <c r="B607" s="74"/>
      <c r="C607" s="74"/>
      <c r="D607" s="74"/>
      <c r="E607" s="74"/>
      <c r="F607" s="74"/>
      <c r="G607" s="74"/>
      <c r="H607" s="74"/>
      <c r="I607" s="74"/>
      <c r="J607" s="74"/>
      <c r="K607" s="74"/>
      <c r="L607" s="74"/>
      <c r="M607" s="74"/>
      <c r="N607" s="74"/>
      <c r="O607" s="74"/>
      <c r="P607" s="74"/>
      <c r="Q607" s="74"/>
      <c r="R607" s="75"/>
      <c r="S607" s="74"/>
      <c r="T607" s="74"/>
      <c r="U607" s="74"/>
      <c r="V607" s="74"/>
      <c r="W607" s="74"/>
      <c r="X607" s="74"/>
      <c r="Y607" s="74"/>
      <c r="Z607" s="74"/>
      <c r="AA607" s="74"/>
      <c r="AB607" s="74"/>
      <c r="AC607" s="74"/>
      <c r="AD607" s="74"/>
      <c r="AE607" s="74"/>
      <c r="AF607" s="74"/>
      <c r="AG607" s="74"/>
      <c r="AH607" s="74"/>
      <c r="AI607" s="74"/>
      <c r="AJ607" s="74"/>
      <c r="AK607" s="74"/>
    </row>
    <row r="608">
      <c r="A608" s="74"/>
      <c r="B608" s="74"/>
      <c r="C608" s="74"/>
      <c r="D608" s="74"/>
      <c r="E608" s="74"/>
      <c r="F608" s="74"/>
      <c r="G608" s="74"/>
      <c r="H608" s="74"/>
      <c r="I608" s="74"/>
      <c r="J608" s="74"/>
      <c r="K608" s="74"/>
      <c r="L608" s="74"/>
      <c r="M608" s="74"/>
      <c r="N608" s="74"/>
      <c r="O608" s="74"/>
      <c r="P608" s="74"/>
      <c r="Q608" s="74"/>
      <c r="R608" s="75"/>
      <c r="S608" s="74"/>
      <c r="T608" s="74"/>
      <c r="U608" s="74"/>
      <c r="V608" s="74"/>
      <c r="W608" s="74"/>
      <c r="X608" s="74"/>
      <c r="Y608" s="74"/>
      <c r="Z608" s="74"/>
      <c r="AA608" s="74"/>
      <c r="AB608" s="74"/>
      <c r="AC608" s="74"/>
      <c r="AD608" s="74"/>
      <c r="AE608" s="74"/>
      <c r="AF608" s="74"/>
      <c r="AG608" s="74"/>
      <c r="AH608" s="74"/>
      <c r="AI608" s="74"/>
      <c r="AJ608" s="74"/>
      <c r="AK608" s="74"/>
    </row>
    <row r="609">
      <c r="A609" s="74"/>
      <c r="B609" s="74"/>
      <c r="C609" s="74"/>
      <c r="D609" s="74"/>
      <c r="E609" s="74"/>
      <c r="F609" s="74"/>
      <c r="G609" s="74"/>
      <c r="H609" s="74"/>
      <c r="I609" s="74"/>
      <c r="J609" s="74"/>
      <c r="K609" s="74"/>
      <c r="L609" s="74"/>
      <c r="M609" s="74"/>
      <c r="N609" s="74"/>
      <c r="O609" s="74"/>
      <c r="P609" s="74"/>
      <c r="Q609" s="74"/>
      <c r="R609" s="75"/>
      <c r="S609" s="74"/>
      <c r="T609" s="74"/>
      <c r="U609" s="74"/>
      <c r="V609" s="74"/>
      <c r="W609" s="74"/>
      <c r="X609" s="74"/>
      <c r="Y609" s="74"/>
      <c r="Z609" s="74"/>
      <c r="AA609" s="74"/>
      <c r="AB609" s="74"/>
      <c r="AC609" s="74"/>
      <c r="AD609" s="74"/>
      <c r="AE609" s="74"/>
      <c r="AF609" s="74"/>
      <c r="AG609" s="74"/>
      <c r="AH609" s="74"/>
      <c r="AI609" s="74"/>
      <c r="AJ609" s="74"/>
      <c r="AK609" s="74"/>
    </row>
    <row r="610">
      <c r="A610" s="74"/>
      <c r="B610" s="74"/>
      <c r="C610" s="74"/>
      <c r="D610" s="74"/>
      <c r="E610" s="74"/>
      <c r="F610" s="74"/>
      <c r="G610" s="74"/>
      <c r="H610" s="74"/>
      <c r="I610" s="74"/>
      <c r="J610" s="74"/>
      <c r="K610" s="74"/>
      <c r="L610" s="74"/>
      <c r="M610" s="74"/>
      <c r="N610" s="74"/>
      <c r="O610" s="74"/>
      <c r="P610" s="74"/>
      <c r="Q610" s="74"/>
      <c r="R610" s="75"/>
      <c r="S610" s="74"/>
      <c r="T610" s="74"/>
      <c r="U610" s="74"/>
      <c r="V610" s="74"/>
      <c r="W610" s="74"/>
      <c r="X610" s="74"/>
      <c r="Y610" s="74"/>
      <c r="Z610" s="74"/>
      <c r="AA610" s="74"/>
      <c r="AB610" s="74"/>
      <c r="AC610" s="74"/>
      <c r="AD610" s="74"/>
      <c r="AE610" s="74"/>
      <c r="AF610" s="74"/>
      <c r="AG610" s="74"/>
      <c r="AH610" s="74"/>
      <c r="AI610" s="74"/>
      <c r="AJ610" s="74"/>
      <c r="AK610" s="74"/>
    </row>
    <row r="611">
      <c r="A611" s="74"/>
      <c r="B611" s="74"/>
      <c r="C611" s="74"/>
      <c r="D611" s="74"/>
      <c r="E611" s="74"/>
      <c r="F611" s="74"/>
      <c r="G611" s="74"/>
      <c r="H611" s="74"/>
      <c r="I611" s="74"/>
      <c r="J611" s="74"/>
      <c r="K611" s="74"/>
      <c r="L611" s="74"/>
      <c r="M611" s="74"/>
      <c r="N611" s="74"/>
      <c r="O611" s="74"/>
      <c r="P611" s="74"/>
      <c r="Q611" s="74"/>
      <c r="R611" s="75"/>
      <c r="S611" s="74"/>
      <c r="T611" s="74"/>
      <c r="U611" s="74"/>
      <c r="V611" s="74"/>
      <c r="W611" s="74"/>
      <c r="X611" s="74"/>
      <c r="Y611" s="74"/>
      <c r="Z611" s="74"/>
      <c r="AA611" s="74"/>
      <c r="AB611" s="74"/>
      <c r="AC611" s="74"/>
      <c r="AD611" s="74"/>
      <c r="AE611" s="74"/>
      <c r="AF611" s="74"/>
      <c r="AG611" s="74"/>
      <c r="AH611" s="74"/>
      <c r="AI611" s="74"/>
      <c r="AJ611" s="74"/>
      <c r="AK611" s="74"/>
    </row>
    <row r="612">
      <c r="A612" s="74"/>
      <c r="B612" s="74"/>
      <c r="C612" s="74"/>
      <c r="D612" s="74"/>
      <c r="E612" s="74"/>
      <c r="F612" s="74"/>
      <c r="G612" s="74"/>
      <c r="H612" s="74"/>
      <c r="I612" s="74"/>
      <c r="J612" s="74"/>
      <c r="K612" s="74"/>
      <c r="L612" s="74"/>
      <c r="M612" s="74"/>
      <c r="N612" s="74"/>
      <c r="O612" s="74"/>
      <c r="P612" s="74"/>
      <c r="Q612" s="74"/>
      <c r="R612" s="75"/>
      <c r="S612" s="74"/>
      <c r="T612" s="74"/>
      <c r="U612" s="74"/>
      <c r="V612" s="74"/>
      <c r="W612" s="74"/>
      <c r="X612" s="74"/>
      <c r="Y612" s="74"/>
      <c r="Z612" s="74"/>
      <c r="AA612" s="74"/>
      <c r="AB612" s="74"/>
      <c r="AC612" s="74"/>
      <c r="AD612" s="74"/>
      <c r="AE612" s="74"/>
      <c r="AF612" s="74"/>
      <c r="AG612" s="74"/>
      <c r="AH612" s="74"/>
      <c r="AI612" s="74"/>
      <c r="AJ612" s="74"/>
      <c r="AK612" s="74"/>
    </row>
    <row r="613">
      <c r="A613" s="74"/>
      <c r="B613" s="74"/>
      <c r="C613" s="74"/>
      <c r="D613" s="74"/>
      <c r="E613" s="74"/>
      <c r="F613" s="74"/>
      <c r="G613" s="74"/>
      <c r="H613" s="74"/>
      <c r="I613" s="74"/>
      <c r="J613" s="74"/>
      <c r="K613" s="74"/>
      <c r="L613" s="74"/>
      <c r="M613" s="74"/>
      <c r="N613" s="74"/>
      <c r="O613" s="74"/>
      <c r="P613" s="74"/>
      <c r="Q613" s="74"/>
      <c r="R613" s="75"/>
      <c r="S613" s="74"/>
      <c r="T613" s="74"/>
      <c r="U613" s="74"/>
      <c r="V613" s="74"/>
      <c r="W613" s="74"/>
      <c r="X613" s="74"/>
      <c r="Y613" s="74"/>
      <c r="Z613" s="74"/>
      <c r="AA613" s="74"/>
      <c r="AB613" s="74"/>
      <c r="AC613" s="74"/>
      <c r="AD613" s="74"/>
      <c r="AE613" s="74"/>
      <c r="AF613" s="74"/>
      <c r="AG613" s="74"/>
      <c r="AH613" s="74"/>
      <c r="AI613" s="74"/>
      <c r="AJ613" s="74"/>
      <c r="AK613" s="74"/>
    </row>
    <row r="614">
      <c r="A614" s="74"/>
      <c r="B614" s="74"/>
      <c r="C614" s="74"/>
      <c r="D614" s="74"/>
      <c r="E614" s="74"/>
      <c r="F614" s="74"/>
      <c r="G614" s="74"/>
      <c r="H614" s="74"/>
      <c r="I614" s="74"/>
      <c r="J614" s="74"/>
      <c r="K614" s="74"/>
      <c r="L614" s="74"/>
      <c r="M614" s="74"/>
      <c r="N614" s="74"/>
      <c r="O614" s="74"/>
      <c r="P614" s="74"/>
      <c r="Q614" s="74"/>
      <c r="R614" s="75"/>
      <c r="S614" s="74"/>
      <c r="T614" s="74"/>
      <c r="U614" s="74"/>
      <c r="V614" s="74"/>
      <c r="W614" s="74"/>
      <c r="X614" s="74"/>
      <c r="Y614" s="74"/>
      <c r="Z614" s="74"/>
      <c r="AA614" s="74"/>
      <c r="AB614" s="74"/>
      <c r="AC614" s="74"/>
      <c r="AD614" s="74"/>
      <c r="AE614" s="74"/>
      <c r="AF614" s="74"/>
      <c r="AG614" s="74"/>
      <c r="AH614" s="74"/>
      <c r="AI614" s="74"/>
      <c r="AJ614" s="74"/>
      <c r="AK614" s="74"/>
    </row>
    <row r="615">
      <c r="A615" s="74"/>
      <c r="B615" s="74"/>
      <c r="C615" s="74"/>
      <c r="D615" s="74"/>
      <c r="E615" s="74"/>
      <c r="F615" s="74"/>
      <c r="G615" s="74"/>
      <c r="H615" s="74"/>
      <c r="I615" s="74"/>
      <c r="J615" s="74"/>
      <c r="K615" s="74"/>
      <c r="L615" s="74"/>
      <c r="M615" s="74"/>
      <c r="N615" s="74"/>
      <c r="O615" s="74"/>
      <c r="P615" s="74"/>
      <c r="Q615" s="74"/>
      <c r="R615" s="75"/>
      <c r="S615" s="74"/>
      <c r="T615" s="74"/>
      <c r="U615" s="74"/>
      <c r="V615" s="74"/>
      <c r="W615" s="74"/>
      <c r="X615" s="74"/>
      <c r="Y615" s="74"/>
      <c r="Z615" s="74"/>
      <c r="AA615" s="74"/>
      <c r="AB615" s="74"/>
      <c r="AC615" s="74"/>
      <c r="AD615" s="74"/>
      <c r="AE615" s="74"/>
      <c r="AF615" s="74"/>
      <c r="AG615" s="74"/>
      <c r="AH615" s="74"/>
      <c r="AI615" s="74"/>
      <c r="AJ615" s="74"/>
      <c r="AK615" s="74"/>
    </row>
    <row r="616">
      <c r="A616" s="74"/>
      <c r="B616" s="74"/>
      <c r="C616" s="74"/>
      <c r="D616" s="74"/>
      <c r="E616" s="74"/>
      <c r="F616" s="74"/>
      <c r="G616" s="74"/>
      <c r="H616" s="74"/>
      <c r="I616" s="74"/>
      <c r="J616" s="74"/>
      <c r="K616" s="74"/>
      <c r="L616" s="74"/>
      <c r="M616" s="74"/>
      <c r="N616" s="74"/>
      <c r="O616" s="74"/>
      <c r="P616" s="74"/>
      <c r="Q616" s="74"/>
      <c r="R616" s="75"/>
      <c r="S616" s="74"/>
      <c r="T616" s="74"/>
      <c r="U616" s="74"/>
      <c r="V616" s="74"/>
      <c r="W616" s="74"/>
      <c r="X616" s="74"/>
      <c r="Y616" s="74"/>
      <c r="Z616" s="74"/>
      <c r="AA616" s="74"/>
      <c r="AB616" s="74"/>
      <c r="AC616" s="74"/>
      <c r="AD616" s="74"/>
      <c r="AE616" s="74"/>
      <c r="AF616" s="74"/>
      <c r="AG616" s="74"/>
      <c r="AH616" s="74"/>
      <c r="AI616" s="74"/>
      <c r="AJ616" s="74"/>
      <c r="AK616" s="74"/>
    </row>
    <row r="617">
      <c r="A617" s="74"/>
      <c r="B617" s="74"/>
      <c r="C617" s="74"/>
      <c r="D617" s="74"/>
      <c r="E617" s="74"/>
      <c r="F617" s="74"/>
      <c r="G617" s="74"/>
      <c r="H617" s="74"/>
      <c r="I617" s="74"/>
      <c r="J617" s="74"/>
      <c r="K617" s="74"/>
      <c r="L617" s="74"/>
      <c r="M617" s="74"/>
      <c r="N617" s="74"/>
      <c r="O617" s="74"/>
      <c r="P617" s="74"/>
      <c r="Q617" s="74"/>
      <c r="R617" s="75"/>
      <c r="S617" s="74"/>
      <c r="T617" s="74"/>
      <c r="U617" s="74"/>
      <c r="V617" s="74"/>
      <c r="W617" s="74"/>
      <c r="X617" s="74"/>
      <c r="Y617" s="74"/>
      <c r="Z617" s="74"/>
      <c r="AA617" s="74"/>
      <c r="AB617" s="74"/>
      <c r="AC617" s="74"/>
      <c r="AD617" s="74"/>
      <c r="AE617" s="74"/>
      <c r="AF617" s="74"/>
      <c r="AG617" s="74"/>
      <c r="AH617" s="74"/>
      <c r="AI617" s="74"/>
      <c r="AJ617" s="74"/>
      <c r="AK617" s="74"/>
    </row>
    <row r="618">
      <c r="A618" s="74"/>
      <c r="B618" s="74"/>
      <c r="C618" s="74"/>
      <c r="D618" s="74"/>
      <c r="E618" s="74"/>
      <c r="F618" s="74"/>
      <c r="G618" s="74"/>
      <c r="H618" s="74"/>
      <c r="I618" s="74"/>
      <c r="J618" s="74"/>
      <c r="K618" s="74"/>
      <c r="L618" s="74"/>
      <c r="M618" s="74"/>
      <c r="N618" s="74"/>
      <c r="O618" s="74"/>
      <c r="P618" s="74"/>
      <c r="Q618" s="74"/>
      <c r="R618" s="75"/>
      <c r="S618" s="74"/>
      <c r="T618" s="74"/>
      <c r="U618" s="74"/>
      <c r="V618" s="74"/>
      <c r="W618" s="74"/>
      <c r="X618" s="74"/>
      <c r="Y618" s="74"/>
      <c r="Z618" s="74"/>
      <c r="AA618" s="74"/>
      <c r="AB618" s="74"/>
      <c r="AC618" s="74"/>
      <c r="AD618" s="74"/>
      <c r="AE618" s="74"/>
      <c r="AF618" s="74"/>
      <c r="AG618" s="74"/>
      <c r="AH618" s="74"/>
      <c r="AI618" s="74"/>
      <c r="AJ618" s="74"/>
      <c r="AK618" s="74"/>
    </row>
    <row r="619">
      <c r="A619" s="74"/>
      <c r="B619" s="74"/>
      <c r="C619" s="74"/>
      <c r="D619" s="74"/>
      <c r="E619" s="74"/>
      <c r="F619" s="74"/>
      <c r="G619" s="74"/>
      <c r="H619" s="74"/>
      <c r="I619" s="74"/>
      <c r="J619" s="74"/>
      <c r="K619" s="74"/>
      <c r="L619" s="74"/>
      <c r="M619" s="74"/>
      <c r="N619" s="74"/>
      <c r="O619" s="74"/>
      <c r="P619" s="74"/>
      <c r="Q619" s="74"/>
      <c r="R619" s="75"/>
      <c r="S619" s="74"/>
      <c r="T619" s="74"/>
      <c r="U619" s="74"/>
      <c r="V619" s="74"/>
      <c r="W619" s="74"/>
      <c r="X619" s="74"/>
      <c r="Y619" s="74"/>
      <c r="Z619" s="74"/>
      <c r="AA619" s="74"/>
      <c r="AB619" s="74"/>
      <c r="AC619" s="74"/>
      <c r="AD619" s="74"/>
      <c r="AE619" s="74"/>
      <c r="AF619" s="74"/>
      <c r="AG619" s="74"/>
      <c r="AH619" s="74"/>
      <c r="AI619" s="74"/>
      <c r="AJ619" s="74"/>
      <c r="AK619" s="74"/>
    </row>
    <row r="620">
      <c r="A620" s="74"/>
      <c r="B620" s="74"/>
      <c r="C620" s="74"/>
      <c r="D620" s="74"/>
      <c r="E620" s="74"/>
      <c r="F620" s="74"/>
      <c r="G620" s="74"/>
      <c r="H620" s="74"/>
      <c r="I620" s="74"/>
      <c r="J620" s="74"/>
      <c r="K620" s="74"/>
      <c r="L620" s="74"/>
      <c r="M620" s="74"/>
      <c r="N620" s="74"/>
      <c r="O620" s="74"/>
      <c r="P620" s="74"/>
      <c r="Q620" s="74"/>
      <c r="R620" s="75"/>
      <c r="S620" s="74"/>
      <c r="T620" s="74"/>
      <c r="U620" s="74"/>
      <c r="V620" s="74"/>
      <c r="W620" s="74"/>
      <c r="X620" s="74"/>
      <c r="Y620" s="74"/>
      <c r="Z620" s="74"/>
      <c r="AA620" s="74"/>
      <c r="AB620" s="74"/>
      <c r="AC620" s="74"/>
      <c r="AD620" s="74"/>
      <c r="AE620" s="74"/>
      <c r="AF620" s="74"/>
      <c r="AG620" s="74"/>
      <c r="AH620" s="74"/>
      <c r="AI620" s="74"/>
      <c r="AJ620" s="74"/>
      <c r="AK620" s="74"/>
    </row>
    <row r="621">
      <c r="A621" s="74"/>
      <c r="B621" s="74"/>
      <c r="C621" s="74"/>
      <c r="D621" s="74"/>
      <c r="E621" s="74"/>
      <c r="F621" s="74"/>
      <c r="G621" s="74"/>
      <c r="H621" s="74"/>
      <c r="I621" s="74"/>
      <c r="J621" s="74"/>
      <c r="K621" s="74"/>
      <c r="L621" s="74"/>
      <c r="M621" s="74"/>
      <c r="N621" s="74"/>
      <c r="O621" s="74"/>
      <c r="P621" s="74"/>
      <c r="Q621" s="74"/>
      <c r="R621" s="75"/>
      <c r="S621" s="74"/>
      <c r="T621" s="74"/>
      <c r="U621" s="74"/>
      <c r="V621" s="74"/>
      <c r="W621" s="74"/>
      <c r="X621" s="74"/>
      <c r="Y621" s="74"/>
      <c r="Z621" s="74"/>
      <c r="AA621" s="74"/>
      <c r="AB621" s="74"/>
      <c r="AC621" s="74"/>
      <c r="AD621" s="74"/>
      <c r="AE621" s="74"/>
      <c r="AF621" s="74"/>
      <c r="AG621" s="74"/>
      <c r="AH621" s="74"/>
      <c r="AI621" s="74"/>
      <c r="AJ621" s="74"/>
      <c r="AK621" s="74"/>
    </row>
    <row r="622">
      <c r="A622" s="74"/>
      <c r="B622" s="74"/>
      <c r="C622" s="74"/>
      <c r="D622" s="74"/>
      <c r="E622" s="74"/>
      <c r="F622" s="74"/>
      <c r="G622" s="74"/>
      <c r="H622" s="74"/>
      <c r="I622" s="74"/>
      <c r="J622" s="74"/>
      <c r="K622" s="74"/>
      <c r="L622" s="74"/>
      <c r="M622" s="74"/>
      <c r="N622" s="74"/>
      <c r="O622" s="74"/>
      <c r="P622" s="74"/>
      <c r="Q622" s="74"/>
      <c r="R622" s="75"/>
      <c r="S622" s="74"/>
      <c r="T622" s="74"/>
      <c r="U622" s="74"/>
      <c r="V622" s="74"/>
      <c r="W622" s="74"/>
      <c r="X622" s="74"/>
      <c r="Y622" s="74"/>
      <c r="Z622" s="74"/>
      <c r="AA622" s="74"/>
      <c r="AB622" s="74"/>
      <c r="AC622" s="74"/>
      <c r="AD622" s="74"/>
      <c r="AE622" s="74"/>
      <c r="AF622" s="74"/>
      <c r="AG622" s="74"/>
      <c r="AH622" s="74"/>
      <c r="AI622" s="74"/>
      <c r="AJ622" s="74"/>
      <c r="AK622" s="74"/>
    </row>
    <row r="623">
      <c r="A623" s="74"/>
      <c r="B623" s="74"/>
      <c r="C623" s="74"/>
      <c r="D623" s="74"/>
      <c r="E623" s="74"/>
      <c r="F623" s="74"/>
      <c r="G623" s="74"/>
      <c r="H623" s="74"/>
      <c r="I623" s="74"/>
      <c r="J623" s="74"/>
      <c r="K623" s="74"/>
      <c r="L623" s="74"/>
      <c r="M623" s="74"/>
      <c r="N623" s="74"/>
      <c r="O623" s="74"/>
      <c r="P623" s="74"/>
      <c r="Q623" s="74"/>
      <c r="R623" s="75"/>
      <c r="S623" s="74"/>
      <c r="T623" s="74"/>
      <c r="U623" s="74"/>
      <c r="V623" s="74"/>
      <c r="W623" s="74"/>
      <c r="X623" s="74"/>
      <c r="Y623" s="74"/>
      <c r="Z623" s="74"/>
      <c r="AA623" s="74"/>
      <c r="AB623" s="74"/>
      <c r="AC623" s="74"/>
      <c r="AD623" s="74"/>
      <c r="AE623" s="74"/>
      <c r="AF623" s="74"/>
      <c r="AG623" s="74"/>
      <c r="AH623" s="74"/>
      <c r="AI623" s="74"/>
      <c r="AJ623" s="74"/>
      <c r="AK623" s="74"/>
    </row>
    <row r="624">
      <c r="A624" s="74"/>
      <c r="B624" s="74"/>
      <c r="C624" s="74"/>
      <c r="D624" s="74"/>
      <c r="E624" s="74"/>
      <c r="F624" s="74"/>
      <c r="G624" s="74"/>
      <c r="H624" s="74"/>
      <c r="I624" s="74"/>
      <c r="J624" s="74"/>
      <c r="K624" s="74"/>
      <c r="L624" s="74"/>
      <c r="M624" s="74"/>
      <c r="N624" s="74"/>
      <c r="O624" s="74"/>
      <c r="P624" s="74"/>
      <c r="Q624" s="74"/>
      <c r="R624" s="75"/>
      <c r="S624" s="74"/>
      <c r="T624" s="74"/>
      <c r="U624" s="74"/>
      <c r="V624" s="74"/>
      <c r="W624" s="74"/>
      <c r="X624" s="74"/>
      <c r="Y624" s="74"/>
      <c r="Z624" s="74"/>
      <c r="AA624" s="74"/>
      <c r="AB624" s="74"/>
      <c r="AC624" s="74"/>
      <c r="AD624" s="74"/>
      <c r="AE624" s="74"/>
      <c r="AF624" s="74"/>
      <c r="AG624" s="74"/>
      <c r="AH624" s="74"/>
      <c r="AI624" s="74"/>
      <c r="AJ624" s="74"/>
      <c r="AK624" s="74"/>
    </row>
    <row r="625">
      <c r="A625" s="74"/>
      <c r="B625" s="74"/>
      <c r="C625" s="74"/>
      <c r="D625" s="74"/>
      <c r="E625" s="74"/>
      <c r="F625" s="74"/>
      <c r="G625" s="74"/>
      <c r="H625" s="74"/>
      <c r="I625" s="74"/>
      <c r="J625" s="74"/>
      <c r="K625" s="74"/>
      <c r="L625" s="74"/>
      <c r="M625" s="74"/>
      <c r="N625" s="74"/>
      <c r="O625" s="74"/>
      <c r="P625" s="74"/>
      <c r="Q625" s="74"/>
      <c r="R625" s="75"/>
      <c r="S625" s="74"/>
      <c r="T625" s="74"/>
      <c r="U625" s="74"/>
      <c r="V625" s="74"/>
      <c r="W625" s="74"/>
      <c r="X625" s="74"/>
      <c r="Y625" s="74"/>
      <c r="Z625" s="74"/>
      <c r="AA625" s="74"/>
      <c r="AB625" s="74"/>
      <c r="AC625" s="74"/>
      <c r="AD625" s="74"/>
      <c r="AE625" s="74"/>
      <c r="AF625" s="74"/>
      <c r="AG625" s="74"/>
      <c r="AH625" s="74"/>
      <c r="AI625" s="74"/>
      <c r="AJ625" s="74"/>
      <c r="AK625" s="74"/>
    </row>
    <row r="626">
      <c r="A626" s="74"/>
      <c r="B626" s="74"/>
      <c r="C626" s="74"/>
      <c r="D626" s="74"/>
      <c r="E626" s="74"/>
      <c r="F626" s="74"/>
      <c r="G626" s="74"/>
      <c r="H626" s="74"/>
      <c r="I626" s="74"/>
      <c r="J626" s="74"/>
      <c r="K626" s="74"/>
      <c r="L626" s="74"/>
      <c r="M626" s="74"/>
      <c r="N626" s="74"/>
      <c r="O626" s="74"/>
      <c r="P626" s="74"/>
      <c r="Q626" s="74"/>
      <c r="R626" s="75"/>
      <c r="S626" s="74"/>
      <c r="T626" s="74"/>
      <c r="U626" s="74"/>
      <c r="V626" s="74"/>
      <c r="W626" s="74"/>
      <c r="X626" s="74"/>
      <c r="Y626" s="74"/>
      <c r="Z626" s="74"/>
      <c r="AA626" s="74"/>
      <c r="AB626" s="74"/>
      <c r="AC626" s="74"/>
      <c r="AD626" s="74"/>
      <c r="AE626" s="74"/>
      <c r="AF626" s="74"/>
      <c r="AG626" s="74"/>
      <c r="AH626" s="74"/>
      <c r="AI626" s="74"/>
      <c r="AJ626" s="74"/>
      <c r="AK626" s="74"/>
    </row>
    <row r="627">
      <c r="A627" s="74"/>
      <c r="B627" s="74"/>
      <c r="C627" s="74"/>
      <c r="D627" s="74"/>
      <c r="E627" s="74"/>
      <c r="F627" s="74"/>
      <c r="G627" s="74"/>
      <c r="H627" s="74"/>
      <c r="I627" s="74"/>
      <c r="J627" s="74"/>
      <c r="K627" s="74"/>
      <c r="L627" s="74"/>
      <c r="M627" s="74"/>
      <c r="N627" s="74"/>
      <c r="O627" s="74"/>
      <c r="P627" s="74"/>
      <c r="Q627" s="74"/>
      <c r="R627" s="75"/>
      <c r="S627" s="74"/>
      <c r="T627" s="74"/>
      <c r="U627" s="74"/>
      <c r="V627" s="74"/>
      <c r="W627" s="74"/>
      <c r="X627" s="74"/>
      <c r="Y627" s="74"/>
      <c r="Z627" s="74"/>
      <c r="AA627" s="74"/>
      <c r="AB627" s="74"/>
      <c r="AC627" s="74"/>
      <c r="AD627" s="74"/>
      <c r="AE627" s="74"/>
      <c r="AF627" s="74"/>
      <c r="AG627" s="74"/>
      <c r="AH627" s="74"/>
      <c r="AI627" s="74"/>
      <c r="AJ627" s="74"/>
      <c r="AK627" s="74"/>
    </row>
    <row r="628">
      <c r="A628" s="74"/>
      <c r="B628" s="74"/>
      <c r="C628" s="74"/>
      <c r="D628" s="74"/>
      <c r="E628" s="74"/>
      <c r="F628" s="74"/>
      <c r="G628" s="74"/>
      <c r="H628" s="74"/>
      <c r="I628" s="74"/>
      <c r="J628" s="74"/>
      <c r="K628" s="74"/>
      <c r="L628" s="74"/>
      <c r="M628" s="74"/>
      <c r="N628" s="74"/>
      <c r="O628" s="74"/>
      <c r="P628" s="74"/>
      <c r="Q628" s="74"/>
      <c r="R628" s="75"/>
      <c r="S628" s="74"/>
      <c r="T628" s="74"/>
      <c r="U628" s="74"/>
      <c r="V628" s="74"/>
      <c r="W628" s="74"/>
      <c r="X628" s="74"/>
      <c r="Y628" s="74"/>
      <c r="Z628" s="74"/>
      <c r="AA628" s="74"/>
      <c r="AB628" s="74"/>
      <c r="AC628" s="74"/>
      <c r="AD628" s="74"/>
      <c r="AE628" s="74"/>
      <c r="AF628" s="74"/>
      <c r="AG628" s="74"/>
      <c r="AH628" s="74"/>
      <c r="AI628" s="74"/>
      <c r="AJ628" s="74"/>
      <c r="AK628" s="74"/>
    </row>
    <row r="629">
      <c r="A629" s="74"/>
      <c r="B629" s="74"/>
      <c r="C629" s="74"/>
      <c r="D629" s="74"/>
      <c r="E629" s="74"/>
      <c r="F629" s="74"/>
      <c r="G629" s="74"/>
      <c r="H629" s="74"/>
      <c r="I629" s="74"/>
      <c r="J629" s="74"/>
      <c r="K629" s="74"/>
      <c r="L629" s="74"/>
      <c r="M629" s="74"/>
      <c r="N629" s="74"/>
      <c r="O629" s="74"/>
      <c r="P629" s="74"/>
      <c r="Q629" s="74"/>
      <c r="R629" s="75"/>
      <c r="S629" s="74"/>
      <c r="T629" s="74"/>
      <c r="U629" s="74"/>
      <c r="V629" s="74"/>
      <c r="W629" s="74"/>
      <c r="X629" s="74"/>
      <c r="Y629" s="74"/>
      <c r="Z629" s="74"/>
      <c r="AA629" s="74"/>
      <c r="AB629" s="74"/>
      <c r="AC629" s="74"/>
      <c r="AD629" s="74"/>
      <c r="AE629" s="74"/>
      <c r="AF629" s="74"/>
      <c r="AG629" s="74"/>
      <c r="AH629" s="74"/>
      <c r="AI629" s="74"/>
      <c r="AJ629" s="74"/>
      <c r="AK629" s="74"/>
    </row>
    <row r="630">
      <c r="A630" s="74"/>
      <c r="B630" s="74"/>
      <c r="C630" s="74"/>
      <c r="D630" s="74"/>
      <c r="E630" s="74"/>
      <c r="F630" s="74"/>
      <c r="G630" s="74"/>
      <c r="H630" s="74"/>
      <c r="I630" s="74"/>
      <c r="J630" s="74"/>
      <c r="K630" s="74"/>
      <c r="L630" s="74"/>
      <c r="M630" s="74"/>
      <c r="N630" s="74"/>
      <c r="O630" s="74"/>
      <c r="P630" s="74"/>
      <c r="Q630" s="74"/>
      <c r="R630" s="75"/>
      <c r="S630" s="74"/>
      <c r="T630" s="74"/>
      <c r="U630" s="74"/>
      <c r="V630" s="74"/>
      <c r="W630" s="74"/>
      <c r="X630" s="74"/>
      <c r="Y630" s="74"/>
      <c r="Z630" s="74"/>
      <c r="AA630" s="74"/>
      <c r="AB630" s="74"/>
      <c r="AC630" s="74"/>
      <c r="AD630" s="74"/>
      <c r="AE630" s="74"/>
      <c r="AF630" s="74"/>
      <c r="AG630" s="74"/>
      <c r="AH630" s="74"/>
      <c r="AI630" s="74"/>
      <c r="AJ630" s="74"/>
      <c r="AK630" s="74"/>
    </row>
    <row r="631">
      <c r="A631" s="74"/>
      <c r="B631" s="74"/>
      <c r="C631" s="74"/>
      <c r="D631" s="74"/>
      <c r="E631" s="74"/>
      <c r="F631" s="74"/>
      <c r="G631" s="74"/>
      <c r="H631" s="74"/>
      <c r="I631" s="74"/>
      <c r="J631" s="74"/>
      <c r="K631" s="74"/>
      <c r="L631" s="74"/>
      <c r="M631" s="74"/>
      <c r="N631" s="74"/>
      <c r="O631" s="74"/>
      <c r="P631" s="74"/>
      <c r="Q631" s="74"/>
      <c r="R631" s="75"/>
      <c r="S631" s="74"/>
      <c r="T631" s="74"/>
      <c r="U631" s="74"/>
      <c r="V631" s="74"/>
      <c r="W631" s="74"/>
      <c r="X631" s="74"/>
      <c r="Y631" s="74"/>
      <c r="Z631" s="74"/>
      <c r="AA631" s="74"/>
      <c r="AB631" s="74"/>
      <c r="AC631" s="74"/>
      <c r="AD631" s="74"/>
      <c r="AE631" s="74"/>
      <c r="AF631" s="74"/>
      <c r="AG631" s="74"/>
      <c r="AH631" s="74"/>
      <c r="AI631" s="74"/>
      <c r="AJ631" s="74"/>
      <c r="AK631" s="74"/>
    </row>
    <row r="632">
      <c r="A632" s="74"/>
      <c r="B632" s="74"/>
      <c r="C632" s="74"/>
      <c r="D632" s="74"/>
      <c r="E632" s="74"/>
      <c r="F632" s="74"/>
      <c r="G632" s="74"/>
      <c r="H632" s="74"/>
      <c r="I632" s="74"/>
      <c r="J632" s="74"/>
      <c r="K632" s="74"/>
      <c r="L632" s="74"/>
      <c r="M632" s="74"/>
      <c r="N632" s="74"/>
      <c r="O632" s="74"/>
      <c r="P632" s="74"/>
      <c r="Q632" s="74"/>
      <c r="R632" s="75"/>
      <c r="S632" s="74"/>
      <c r="T632" s="74"/>
      <c r="U632" s="74"/>
      <c r="V632" s="74"/>
      <c r="W632" s="74"/>
      <c r="X632" s="74"/>
      <c r="Y632" s="74"/>
      <c r="Z632" s="74"/>
      <c r="AA632" s="74"/>
      <c r="AB632" s="74"/>
      <c r="AC632" s="74"/>
      <c r="AD632" s="74"/>
      <c r="AE632" s="74"/>
      <c r="AF632" s="74"/>
      <c r="AG632" s="74"/>
      <c r="AH632" s="74"/>
      <c r="AI632" s="74"/>
      <c r="AJ632" s="74"/>
      <c r="AK632" s="74"/>
    </row>
    <row r="633">
      <c r="A633" s="74"/>
      <c r="B633" s="74"/>
      <c r="C633" s="74"/>
      <c r="D633" s="74"/>
      <c r="E633" s="74"/>
      <c r="F633" s="74"/>
      <c r="G633" s="74"/>
      <c r="H633" s="74"/>
      <c r="I633" s="74"/>
      <c r="J633" s="74"/>
      <c r="K633" s="74"/>
      <c r="L633" s="74"/>
      <c r="M633" s="74"/>
      <c r="N633" s="74"/>
      <c r="O633" s="74"/>
      <c r="P633" s="74"/>
      <c r="Q633" s="74"/>
      <c r="R633" s="75"/>
      <c r="S633" s="74"/>
      <c r="T633" s="74"/>
      <c r="U633" s="74"/>
      <c r="V633" s="74"/>
      <c r="W633" s="74"/>
      <c r="X633" s="74"/>
      <c r="Y633" s="74"/>
      <c r="Z633" s="74"/>
      <c r="AA633" s="74"/>
      <c r="AB633" s="74"/>
      <c r="AC633" s="74"/>
      <c r="AD633" s="74"/>
      <c r="AE633" s="74"/>
      <c r="AF633" s="74"/>
      <c r="AG633" s="74"/>
      <c r="AH633" s="74"/>
      <c r="AI633" s="74"/>
      <c r="AJ633" s="74"/>
      <c r="AK633" s="74"/>
    </row>
    <row r="634">
      <c r="A634" s="74"/>
      <c r="B634" s="74"/>
      <c r="C634" s="74"/>
      <c r="D634" s="74"/>
      <c r="E634" s="74"/>
      <c r="F634" s="74"/>
      <c r="G634" s="74"/>
      <c r="H634" s="74"/>
      <c r="I634" s="74"/>
      <c r="J634" s="74"/>
      <c r="K634" s="74"/>
      <c r="L634" s="74"/>
      <c r="M634" s="74"/>
      <c r="N634" s="74"/>
      <c r="O634" s="74"/>
      <c r="P634" s="74"/>
      <c r="Q634" s="74"/>
      <c r="R634" s="75"/>
      <c r="S634" s="74"/>
      <c r="T634" s="74"/>
      <c r="U634" s="74"/>
      <c r="V634" s="74"/>
      <c r="W634" s="74"/>
      <c r="X634" s="74"/>
      <c r="Y634" s="74"/>
      <c r="Z634" s="74"/>
      <c r="AA634" s="74"/>
      <c r="AB634" s="74"/>
      <c r="AC634" s="74"/>
      <c r="AD634" s="74"/>
      <c r="AE634" s="74"/>
      <c r="AF634" s="74"/>
      <c r="AG634" s="74"/>
      <c r="AH634" s="74"/>
      <c r="AI634" s="74"/>
      <c r="AJ634" s="74"/>
      <c r="AK634" s="74"/>
    </row>
    <row r="635">
      <c r="A635" s="74"/>
      <c r="B635" s="74"/>
      <c r="C635" s="74"/>
      <c r="D635" s="74"/>
      <c r="E635" s="74"/>
      <c r="F635" s="74"/>
      <c r="G635" s="74"/>
      <c r="H635" s="74"/>
      <c r="I635" s="74"/>
      <c r="J635" s="74"/>
      <c r="K635" s="74"/>
      <c r="L635" s="74"/>
      <c r="M635" s="74"/>
      <c r="N635" s="74"/>
      <c r="O635" s="74"/>
      <c r="P635" s="74"/>
      <c r="Q635" s="74"/>
      <c r="R635" s="75"/>
      <c r="S635" s="74"/>
      <c r="T635" s="74"/>
      <c r="U635" s="74"/>
      <c r="V635" s="74"/>
      <c r="W635" s="74"/>
      <c r="X635" s="74"/>
      <c r="Y635" s="74"/>
      <c r="Z635" s="74"/>
      <c r="AA635" s="74"/>
      <c r="AB635" s="74"/>
      <c r="AC635" s="74"/>
      <c r="AD635" s="74"/>
      <c r="AE635" s="74"/>
      <c r="AF635" s="74"/>
      <c r="AG635" s="74"/>
      <c r="AH635" s="74"/>
      <c r="AI635" s="74"/>
      <c r="AJ635" s="74"/>
      <c r="AK635" s="74"/>
    </row>
    <row r="636">
      <c r="A636" s="74"/>
      <c r="B636" s="74"/>
      <c r="C636" s="74"/>
      <c r="D636" s="74"/>
      <c r="E636" s="74"/>
      <c r="F636" s="74"/>
      <c r="G636" s="74"/>
      <c r="H636" s="74"/>
      <c r="I636" s="74"/>
      <c r="J636" s="74"/>
      <c r="K636" s="74"/>
      <c r="L636" s="74"/>
      <c r="M636" s="74"/>
      <c r="N636" s="74"/>
      <c r="O636" s="74"/>
      <c r="P636" s="74"/>
      <c r="Q636" s="74"/>
      <c r="R636" s="75"/>
      <c r="S636" s="74"/>
      <c r="T636" s="74"/>
      <c r="U636" s="74"/>
      <c r="V636" s="74"/>
      <c r="W636" s="74"/>
      <c r="X636" s="74"/>
      <c r="Y636" s="74"/>
      <c r="Z636" s="74"/>
      <c r="AA636" s="74"/>
      <c r="AB636" s="74"/>
      <c r="AC636" s="74"/>
      <c r="AD636" s="74"/>
      <c r="AE636" s="74"/>
      <c r="AF636" s="74"/>
      <c r="AG636" s="74"/>
      <c r="AH636" s="74"/>
      <c r="AI636" s="74"/>
      <c r="AJ636" s="74"/>
      <c r="AK636" s="74"/>
    </row>
    <row r="637">
      <c r="A637" s="74"/>
      <c r="B637" s="74"/>
      <c r="C637" s="74"/>
      <c r="D637" s="74"/>
      <c r="E637" s="74"/>
      <c r="F637" s="74"/>
      <c r="G637" s="74"/>
      <c r="H637" s="74"/>
      <c r="I637" s="74"/>
      <c r="J637" s="74"/>
      <c r="K637" s="74"/>
      <c r="L637" s="74"/>
      <c r="M637" s="74"/>
      <c r="N637" s="74"/>
      <c r="O637" s="74"/>
      <c r="P637" s="74"/>
      <c r="Q637" s="74"/>
      <c r="R637" s="75"/>
      <c r="S637" s="74"/>
      <c r="T637" s="74"/>
      <c r="U637" s="74"/>
      <c r="V637" s="74"/>
      <c r="W637" s="74"/>
      <c r="X637" s="74"/>
      <c r="Y637" s="74"/>
      <c r="Z637" s="74"/>
      <c r="AA637" s="74"/>
      <c r="AB637" s="74"/>
      <c r="AC637" s="74"/>
      <c r="AD637" s="74"/>
      <c r="AE637" s="74"/>
      <c r="AF637" s="74"/>
      <c r="AG637" s="74"/>
      <c r="AH637" s="74"/>
      <c r="AI637" s="74"/>
      <c r="AJ637" s="74"/>
      <c r="AK637" s="74"/>
    </row>
    <row r="638">
      <c r="A638" s="74"/>
      <c r="B638" s="74"/>
      <c r="C638" s="74"/>
      <c r="D638" s="74"/>
      <c r="E638" s="74"/>
      <c r="F638" s="74"/>
      <c r="G638" s="74"/>
      <c r="H638" s="74"/>
      <c r="I638" s="74"/>
      <c r="J638" s="74"/>
      <c r="K638" s="74"/>
      <c r="L638" s="74"/>
      <c r="M638" s="74"/>
      <c r="N638" s="74"/>
      <c r="O638" s="74"/>
      <c r="P638" s="74"/>
      <c r="Q638" s="74"/>
      <c r="R638" s="75"/>
      <c r="S638" s="74"/>
      <c r="T638" s="74"/>
      <c r="U638" s="74"/>
      <c r="V638" s="74"/>
      <c r="W638" s="74"/>
      <c r="X638" s="74"/>
      <c r="Y638" s="74"/>
      <c r="Z638" s="74"/>
      <c r="AA638" s="74"/>
      <c r="AB638" s="74"/>
      <c r="AC638" s="74"/>
      <c r="AD638" s="74"/>
      <c r="AE638" s="74"/>
      <c r="AF638" s="74"/>
      <c r="AG638" s="74"/>
      <c r="AH638" s="74"/>
      <c r="AI638" s="74"/>
      <c r="AJ638" s="74"/>
      <c r="AK638" s="74"/>
    </row>
    <row r="639">
      <c r="A639" s="74"/>
      <c r="B639" s="74"/>
      <c r="C639" s="74"/>
      <c r="D639" s="74"/>
      <c r="E639" s="74"/>
      <c r="F639" s="74"/>
      <c r="G639" s="74"/>
      <c r="H639" s="74"/>
      <c r="I639" s="74"/>
      <c r="J639" s="74"/>
      <c r="K639" s="74"/>
      <c r="L639" s="74"/>
      <c r="M639" s="74"/>
      <c r="N639" s="74"/>
      <c r="O639" s="74"/>
      <c r="P639" s="74"/>
      <c r="Q639" s="74"/>
      <c r="R639" s="75"/>
      <c r="S639" s="74"/>
      <c r="T639" s="74"/>
      <c r="U639" s="74"/>
      <c r="V639" s="74"/>
      <c r="W639" s="74"/>
      <c r="X639" s="74"/>
      <c r="Y639" s="74"/>
      <c r="Z639" s="74"/>
      <c r="AA639" s="74"/>
      <c r="AB639" s="74"/>
      <c r="AC639" s="74"/>
      <c r="AD639" s="74"/>
      <c r="AE639" s="74"/>
      <c r="AF639" s="74"/>
      <c r="AG639" s="74"/>
      <c r="AH639" s="74"/>
      <c r="AI639" s="74"/>
      <c r="AJ639" s="74"/>
      <c r="AK639" s="74"/>
    </row>
    <row r="640">
      <c r="A640" s="74"/>
      <c r="B640" s="74"/>
      <c r="C640" s="74"/>
      <c r="D640" s="74"/>
      <c r="E640" s="74"/>
      <c r="F640" s="74"/>
      <c r="G640" s="74"/>
      <c r="H640" s="74"/>
      <c r="I640" s="74"/>
      <c r="J640" s="74"/>
      <c r="K640" s="74"/>
      <c r="L640" s="74"/>
      <c r="M640" s="74"/>
      <c r="N640" s="74"/>
      <c r="O640" s="74"/>
      <c r="P640" s="74"/>
      <c r="Q640" s="74"/>
      <c r="R640" s="75"/>
      <c r="S640" s="74"/>
      <c r="T640" s="74"/>
      <c r="U640" s="74"/>
      <c r="V640" s="74"/>
      <c r="W640" s="74"/>
      <c r="X640" s="74"/>
      <c r="Y640" s="74"/>
      <c r="Z640" s="74"/>
      <c r="AA640" s="74"/>
      <c r="AB640" s="74"/>
      <c r="AC640" s="74"/>
      <c r="AD640" s="74"/>
      <c r="AE640" s="74"/>
      <c r="AF640" s="74"/>
      <c r="AG640" s="74"/>
      <c r="AH640" s="74"/>
      <c r="AI640" s="74"/>
      <c r="AJ640" s="74"/>
      <c r="AK640" s="74"/>
    </row>
    <row r="641">
      <c r="A641" s="74"/>
      <c r="B641" s="74"/>
      <c r="C641" s="74"/>
      <c r="D641" s="74"/>
      <c r="E641" s="74"/>
      <c r="F641" s="74"/>
      <c r="G641" s="74"/>
      <c r="H641" s="74"/>
      <c r="I641" s="74"/>
      <c r="J641" s="74"/>
      <c r="K641" s="74"/>
      <c r="L641" s="74"/>
      <c r="M641" s="74"/>
      <c r="N641" s="74"/>
      <c r="O641" s="74"/>
      <c r="P641" s="74"/>
      <c r="Q641" s="74"/>
      <c r="R641" s="75"/>
      <c r="S641" s="74"/>
      <c r="T641" s="74"/>
      <c r="U641" s="74"/>
      <c r="V641" s="74"/>
      <c r="W641" s="74"/>
      <c r="X641" s="74"/>
      <c r="Y641" s="74"/>
      <c r="Z641" s="74"/>
      <c r="AA641" s="74"/>
      <c r="AB641" s="74"/>
      <c r="AC641" s="74"/>
      <c r="AD641" s="74"/>
      <c r="AE641" s="74"/>
      <c r="AF641" s="74"/>
      <c r="AG641" s="74"/>
      <c r="AH641" s="74"/>
      <c r="AI641" s="74"/>
      <c r="AJ641" s="74"/>
      <c r="AK641" s="74"/>
    </row>
    <row r="642">
      <c r="A642" s="74"/>
      <c r="B642" s="74"/>
      <c r="C642" s="74"/>
      <c r="D642" s="74"/>
      <c r="E642" s="74"/>
      <c r="F642" s="74"/>
      <c r="G642" s="74"/>
      <c r="H642" s="74"/>
      <c r="I642" s="74"/>
      <c r="J642" s="74"/>
      <c r="K642" s="74"/>
      <c r="L642" s="74"/>
      <c r="M642" s="74"/>
      <c r="N642" s="74"/>
      <c r="O642" s="74"/>
      <c r="P642" s="74"/>
      <c r="Q642" s="74"/>
      <c r="R642" s="75"/>
      <c r="S642" s="74"/>
      <c r="T642" s="74"/>
      <c r="U642" s="74"/>
      <c r="V642" s="74"/>
      <c r="W642" s="74"/>
      <c r="X642" s="74"/>
      <c r="Y642" s="74"/>
      <c r="Z642" s="74"/>
      <c r="AA642" s="74"/>
      <c r="AB642" s="74"/>
      <c r="AC642" s="74"/>
      <c r="AD642" s="74"/>
      <c r="AE642" s="74"/>
      <c r="AF642" s="74"/>
      <c r="AG642" s="74"/>
      <c r="AH642" s="74"/>
      <c r="AI642" s="74"/>
      <c r="AJ642" s="74"/>
      <c r="AK642" s="74"/>
    </row>
    <row r="643">
      <c r="A643" s="74"/>
      <c r="B643" s="74"/>
      <c r="C643" s="74"/>
      <c r="D643" s="74"/>
      <c r="E643" s="74"/>
      <c r="F643" s="74"/>
      <c r="G643" s="74"/>
      <c r="H643" s="74"/>
      <c r="I643" s="74"/>
      <c r="J643" s="74"/>
      <c r="K643" s="74"/>
      <c r="L643" s="74"/>
      <c r="M643" s="74"/>
      <c r="N643" s="74"/>
      <c r="O643" s="74"/>
      <c r="P643" s="74"/>
      <c r="Q643" s="74"/>
      <c r="R643" s="75"/>
      <c r="S643" s="74"/>
      <c r="T643" s="74"/>
      <c r="U643" s="74"/>
      <c r="V643" s="74"/>
      <c r="W643" s="74"/>
      <c r="X643" s="74"/>
      <c r="Y643" s="74"/>
      <c r="Z643" s="74"/>
      <c r="AA643" s="74"/>
      <c r="AB643" s="74"/>
      <c r="AC643" s="74"/>
      <c r="AD643" s="74"/>
      <c r="AE643" s="74"/>
      <c r="AF643" s="74"/>
      <c r="AG643" s="74"/>
      <c r="AH643" s="74"/>
      <c r="AI643" s="74"/>
      <c r="AJ643" s="74"/>
      <c r="AK643" s="74"/>
    </row>
    <row r="644">
      <c r="A644" s="74"/>
      <c r="B644" s="74"/>
      <c r="C644" s="74"/>
      <c r="D644" s="74"/>
      <c r="E644" s="74"/>
      <c r="F644" s="74"/>
      <c r="G644" s="74"/>
      <c r="H644" s="74"/>
      <c r="I644" s="74"/>
      <c r="J644" s="74"/>
      <c r="K644" s="74"/>
      <c r="L644" s="74"/>
      <c r="M644" s="74"/>
      <c r="N644" s="74"/>
      <c r="O644" s="74"/>
      <c r="P644" s="74"/>
      <c r="Q644" s="74"/>
      <c r="R644" s="75"/>
      <c r="S644" s="74"/>
      <c r="T644" s="74"/>
      <c r="U644" s="74"/>
      <c r="V644" s="74"/>
      <c r="W644" s="74"/>
      <c r="X644" s="74"/>
      <c r="Y644" s="74"/>
      <c r="Z644" s="74"/>
      <c r="AA644" s="74"/>
      <c r="AB644" s="74"/>
      <c r="AC644" s="74"/>
      <c r="AD644" s="74"/>
      <c r="AE644" s="74"/>
      <c r="AF644" s="74"/>
      <c r="AG644" s="74"/>
      <c r="AH644" s="74"/>
      <c r="AI644" s="74"/>
      <c r="AJ644" s="74"/>
      <c r="AK644" s="74"/>
    </row>
    <row r="645">
      <c r="A645" s="74"/>
      <c r="B645" s="74"/>
      <c r="C645" s="74"/>
      <c r="D645" s="74"/>
      <c r="E645" s="74"/>
      <c r="F645" s="74"/>
      <c r="G645" s="74"/>
      <c r="H645" s="74"/>
      <c r="I645" s="74"/>
      <c r="J645" s="74"/>
      <c r="K645" s="74"/>
      <c r="L645" s="74"/>
      <c r="M645" s="74"/>
      <c r="N645" s="74"/>
      <c r="O645" s="74"/>
      <c r="P645" s="74"/>
      <c r="Q645" s="74"/>
      <c r="R645" s="75"/>
      <c r="S645" s="74"/>
      <c r="T645" s="74"/>
      <c r="U645" s="74"/>
      <c r="V645" s="74"/>
      <c r="W645" s="74"/>
      <c r="X645" s="74"/>
      <c r="Y645" s="74"/>
      <c r="Z645" s="74"/>
      <c r="AA645" s="74"/>
      <c r="AB645" s="74"/>
      <c r="AC645" s="74"/>
      <c r="AD645" s="74"/>
      <c r="AE645" s="74"/>
      <c r="AF645" s="74"/>
      <c r="AG645" s="74"/>
      <c r="AH645" s="74"/>
      <c r="AI645" s="74"/>
      <c r="AJ645" s="74"/>
      <c r="AK645" s="74"/>
    </row>
    <row r="646">
      <c r="A646" s="74"/>
      <c r="B646" s="74"/>
      <c r="C646" s="74"/>
      <c r="D646" s="74"/>
      <c r="E646" s="74"/>
      <c r="F646" s="74"/>
      <c r="G646" s="74"/>
      <c r="H646" s="74"/>
      <c r="I646" s="74"/>
      <c r="J646" s="74"/>
      <c r="K646" s="74"/>
      <c r="L646" s="74"/>
      <c r="M646" s="74"/>
      <c r="N646" s="74"/>
      <c r="O646" s="74"/>
      <c r="P646" s="74"/>
      <c r="Q646" s="74"/>
      <c r="R646" s="75"/>
      <c r="S646" s="74"/>
      <c r="T646" s="74"/>
      <c r="U646" s="74"/>
      <c r="V646" s="74"/>
      <c r="W646" s="74"/>
      <c r="X646" s="74"/>
      <c r="Y646" s="74"/>
      <c r="Z646" s="74"/>
      <c r="AA646" s="74"/>
      <c r="AB646" s="74"/>
      <c r="AC646" s="74"/>
      <c r="AD646" s="74"/>
      <c r="AE646" s="74"/>
      <c r="AF646" s="74"/>
      <c r="AG646" s="74"/>
      <c r="AH646" s="74"/>
      <c r="AI646" s="74"/>
      <c r="AJ646" s="74"/>
      <c r="AK646" s="74"/>
    </row>
    <row r="647">
      <c r="A647" s="74"/>
      <c r="B647" s="74"/>
      <c r="C647" s="74"/>
      <c r="D647" s="74"/>
      <c r="E647" s="74"/>
      <c r="F647" s="74"/>
      <c r="G647" s="74"/>
      <c r="H647" s="74"/>
      <c r="I647" s="74"/>
      <c r="J647" s="74"/>
      <c r="K647" s="74"/>
      <c r="L647" s="74"/>
      <c r="M647" s="74"/>
      <c r="N647" s="74"/>
      <c r="O647" s="74"/>
      <c r="P647" s="74"/>
      <c r="Q647" s="74"/>
      <c r="R647" s="75"/>
      <c r="S647" s="74"/>
      <c r="T647" s="74"/>
      <c r="U647" s="74"/>
      <c r="V647" s="74"/>
      <c r="W647" s="74"/>
      <c r="X647" s="74"/>
      <c r="Y647" s="74"/>
      <c r="Z647" s="74"/>
      <c r="AA647" s="74"/>
      <c r="AB647" s="74"/>
      <c r="AC647" s="74"/>
      <c r="AD647" s="74"/>
      <c r="AE647" s="74"/>
      <c r="AF647" s="74"/>
      <c r="AG647" s="74"/>
      <c r="AH647" s="74"/>
      <c r="AI647" s="74"/>
      <c r="AJ647" s="74"/>
      <c r="AK647" s="74"/>
    </row>
    <row r="648">
      <c r="A648" s="74"/>
      <c r="B648" s="74"/>
      <c r="C648" s="74"/>
      <c r="D648" s="74"/>
      <c r="E648" s="74"/>
      <c r="F648" s="74"/>
      <c r="G648" s="74"/>
      <c r="H648" s="74"/>
      <c r="I648" s="74"/>
      <c r="J648" s="74"/>
      <c r="K648" s="74"/>
      <c r="L648" s="74"/>
      <c r="M648" s="74"/>
      <c r="N648" s="74"/>
      <c r="O648" s="74"/>
      <c r="P648" s="74"/>
      <c r="Q648" s="74"/>
      <c r="R648" s="75"/>
      <c r="S648" s="74"/>
      <c r="T648" s="74"/>
      <c r="U648" s="74"/>
      <c r="V648" s="74"/>
      <c r="W648" s="74"/>
      <c r="X648" s="74"/>
      <c r="Y648" s="74"/>
      <c r="Z648" s="74"/>
      <c r="AA648" s="74"/>
      <c r="AB648" s="74"/>
      <c r="AC648" s="74"/>
      <c r="AD648" s="74"/>
      <c r="AE648" s="74"/>
      <c r="AF648" s="74"/>
      <c r="AG648" s="74"/>
      <c r="AH648" s="74"/>
      <c r="AI648" s="74"/>
      <c r="AJ648" s="74"/>
      <c r="AK648" s="74"/>
    </row>
    <row r="649">
      <c r="A649" s="74"/>
      <c r="B649" s="74"/>
      <c r="C649" s="74"/>
      <c r="D649" s="74"/>
      <c r="E649" s="74"/>
      <c r="F649" s="74"/>
      <c r="G649" s="74"/>
      <c r="H649" s="74"/>
      <c r="I649" s="74"/>
      <c r="J649" s="74"/>
      <c r="K649" s="74"/>
      <c r="L649" s="74"/>
      <c r="M649" s="74"/>
      <c r="N649" s="74"/>
      <c r="O649" s="74"/>
      <c r="P649" s="74"/>
      <c r="Q649" s="74"/>
      <c r="R649" s="75"/>
      <c r="S649" s="74"/>
      <c r="T649" s="74"/>
      <c r="U649" s="74"/>
      <c r="V649" s="74"/>
      <c r="W649" s="74"/>
      <c r="X649" s="74"/>
      <c r="Y649" s="74"/>
      <c r="Z649" s="74"/>
      <c r="AA649" s="74"/>
      <c r="AB649" s="74"/>
      <c r="AC649" s="74"/>
      <c r="AD649" s="74"/>
      <c r="AE649" s="74"/>
      <c r="AF649" s="74"/>
      <c r="AG649" s="74"/>
      <c r="AH649" s="74"/>
      <c r="AI649" s="74"/>
      <c r="AJ649" s="74"/>
      <c r="AK649" s="74"/>
    </row>
    <row r="650">
      <c r="A650" s="74"/>
      <c r="B650" s="74"/>
      <c r="C650" s="74"/>
      <c r="D650" s="74"/>
      <c r="E650" s="74"/>
      <c r="F650" s="74"/>
      <c r="G650" s="74"/>
      <c r="H650" s="74"/>
      <c r="I650" s="74"/>
      <c r="J650" s="74"/>
      <c r="K650" s="74"/>
      <c r="L650" s="74"/>
      <c r="M650" s="74"/>
      <c r="N650" s="74"/>
      <c r="O650" s="74"/>
      <c r="P650" s="74"/>
      <c r="Q650" s="74"/>
      <c r="R650" s="75"/>
      <c r="S650" s="74"/>
      <c r="T650" s="74"/>
      <c r="U650" s="74"/>
      <c r="V650" s="74"/>
      <c r="W650" s="74"/>
      <c r="X650" s="74"/>
      <c r="Y650" s="74"/>
      <c r="Z650" s="74"/>
      <c r="AA650" s="74"/>
      <c r="AB650" s="74"/>
      <c r="AC650" s="74"/>
      <c r="AD650" s="74"/>
      <c r="AE650" s="74"/>
      <c r="AF650" s="74"/>
      <c r="AG650" s="74"/>
      <c r="AH650" s="74"/>
      <c r="AI650" s="74"/>
      <c r="AJ650" s="74"/>
      <c r="AK650" s="74"/>
    </row>
    <row r="651">
      <c r="A651" s="74"/>
      <c r="B651" s="74"/>
      <c r="C651" s="74"/>
      <c r="D651" s="74"/>
      <c r="E651" s="74"/>
      <c r="F651" s="74"/>
      <c r="G651" s="74"/>
      <c r="H651" s="74"/>
      <c r="I651" s="74"/>
      <c r="J651" s="74"/>
      <c r="K651" s="74"/>
      <c r="L651" s="74"/>
      <c r="M651" s="74"/>
      <c r="N651" s="74"/>
      <c r="O651" s="74"/>
      <c r="P651" s="74"/>
      <c r="Q651" s="74"/>
      <c r="R651" s="75"/>
      <c r="S651" s="74"/>
      <c r="T651" s="74"/>
      <c r="U651" s="74"/>
      <c r="V651" s="74"/>
      <c r="W651" s="74"/>
      <c r="X651" s="74"/>
      <c r="Y651" s="74"/>
      <c r="Z651" s="74"/>
      <c r="AA651" s="74"/>
      <c r="AB651" s="74"/>
      <c r="AC651" s="74"/>
      <c r="AD651" s="74"/>
      <c r="AE651" s="74"/>
      <c r="AF651" s="74"/>
      <c r="AG651" s="74"/>
      <c r="AH651" s="74"/>
      <c r="AI651" s="74"/>
      <c r="AJ651" s="74"/>
      <c r="AK651" s="74"/>
    </row>
    <row r="652">
      <c r="A652" s="74"/>
      <c r="B652" s="74"/>
      <c r="C652" s="74"/>
      <c r="D652" s="74"/>
      <c r="E652" s="74"/>
      <c r="F652" s="74"/>
      <c r="G652" s="74"/>
      <c r="H652" s="74"/>
      <c r="I652" s="74"/>
      <c r="J652" s="74"/>
      <c r="K652" s="74"/>
      <c r="L652" s="74"/>
      <c r="M652" s="74"/>
      <c r="N652" s="74"/>
      <c r="O652" s="74"/>
      <c r="P652" s="74"/>
      <c r="Q652" s="74"/>
      <c r="R652" s="75"/>
      <c r="S652" s="74"/>
      <c r="T652" s="74"/>
      <c r="U652" s="74"/>
      <c r="V652" s="74"/>
      <c r="W652" s="74"/>
      <c r="X652" s="74"/>
      <c r="Y652" s="74"/>
      <c r="Z652" s="74"/>
      <c r="AA652" s="74"/>
      <c r="AB652" s="74"/>
      <c r="AC652" s="74"/>
      <c r="AD652" s="74"/>
      <c r="AE652" s="74"/>
      <c r="AF652" s="74"/>
      <c r="AG652" s="74"/>
      <c r="AH652" s="74"/>
      <c r="AI652" s="74"/>
      <c r="AJ652" s="74"/>
      <c r="AK652" s="74"/>
    </row>
    <row r="653">
      <c r="A653" s="74"/>
      <c r="B653" s="74"/>
      <c r="C653" s="74"/>
      <c r="D653" s="74"/>
      <c r="E653" s="74"/>
      <c r="F653" s="74"/>
      <c r="G653" s="74"/>
      <c r="H653" s="74"/>
      <c r="I653" s="74"/>
      <c r="J653" s="74"/>
      <c r="K653" s="74"/>
      <c r="L653" s="74"/>
      <c r="M653" s="74"/>
      <c r="N653" s="74"/>
      <c r="O653" s="74"/>
      <c r="P653" s="74"/>
      <c r="Q653" s="74"/>
      <c r="R653" s="75"/>
      <c r="S653" s="74"/>
      <c r="T653" s="74"/>
      <c r="U653" s="74"/>
      <c r="V653" s="74"/>
      <c r="W653" s="74"/>
      <c r="X653" s="74"/>
      <c r="Y653" s="74"/>
      <c r="Z653" s="74"/>
      <c r="AA653" s="74"/>
      <c r="AB653" s="74"/>
      <c r="AC653" s="74"/>
      <c r="AD653" s="74"/>
      <c r="AE653" s="74"/>
      <c r="AF653" s="74"/>
      <c r="AG653" s="74"/>
      <c r="AH653" s="74"/>
      <c r="AI653" s="74"/>
      <c r="AJ653" s="74"/>
      <c r="AK653" s="74"/>
    </row>
    <row r="654">
      <c r="A654" s="74"/>
      <c r="B654" s="74"/>
      <c r="C654" s="74"/>
      <c r="D654" s="74"/>
      <c r="E654" s="74"/>
      <c r="F654" s="74"/>
      <c r="G654" s="74"/>
      <c r="H654" s="74"/>
      <c r="I654" s="74"/>
      <c r="J654" s="74"/>
      <c r="K654" s="74"/>
      <c r="L654" s="74"/>
      <c r="M654" s="74"/>
      <c r="N654" s="74"/>
      <c r="O654" s="74"/>
      <c r="P654" s="74"/>
      <c r="Q654" s="74"/>
      <c r="R654" s="75"/>
      <c r="S654" s="74"/>
      <c r="T654" s="74"/>
      <c r="U654" s="74"/>
      <c r="V654" s="74"/>
      <c r="W654" s="74"/>
      <c r="X654" s="74"/>
      <c r="Y654" s="74"/>
      <c r="Z654" s="74"/>
      <c r="AA654" s="74"/>
      <c r="AB654" s="74"/>
      <c r="AC654" s="74"/>
      <c r="AD654" s="74"/>
      <c r="AE654" s="74"/>
      <c r="AF654" s="74"/>
      <c r="AG654" s="74"/>
      <c r="AH654" s="74"/>
      <c r="AI654" s="74"/>
      <c r="AJ654" s="74"/>
      <c r="AK654" s="74"/>
    </row>
    <row r="655">
      <c r="A655" s="74"/>
      <c r="B655" s="74"/>
      <c r="C655" s="74"/>
      <c r="D655" s="74"/>
      <c r="E655" s="74"/>
      <c r="F655" s="74"/>
      <c r="G655" s="74"/>
      <c r="H655" s="74"/>
      <c r="I655" s="74"/>
      <c r="J655" s="74"/>
      <c r="K655" s="74"/>
      <c r="L655" s="74"/>
      <c r="M655" s="74"/>
      <c r="N655" s="74"/>
      <c r="O655" s="74"/>
      <c r="P655" s="74"/>
      <c r="Q655" s="74"/>
      <c r="R655" s="75"/>
      <c r="S655" s="74"/>
      <c r="T655" s="74"/>
      <c r="U655" s="74"/>
      <c r="V655" s="74"/>
      <c r="W655" s="74"/>
      <c r="X655" s="74"/>
      <c r="Y655" s="74"/>
      <c r="Z655" s="74"/>
      <c r="AA655" s="74"/>
      <c r="AB655" s="74"/>
      <c r="AC655" s="74"/>
      <c r="AD655" s="74"/>
      <c r="AE655" s="74"/>
      <c r="AF655" s="74"/>
      <c r="AG655" s="74"/>
      <c r="AH655" s="74"/>
      <c r="AI655" s="74"/>
      <c r="AJ655" s="74"/>
      <c r="AK655" s="74"/>
    </row>
    <row r="656">
      <c r="A656" s="74"/>
      <c r="B656" s="74"/>
      <c r="C656" s="74"/>
      <c r="D656" s="74"/>
      <c r="E656" s="74"/>
      <c r="F656" s="74"/>
      <c r="G656" s="74"/>
      <c r="H656" s="74"/>
      <c r="I656" s="74"/>
      <c r="J656" s="74"/>
      <c r="K656" s="74"/>
      <c r="L656" s="74"/>
      <c r="M656" s="74"/>
      <c r="N656" s="74"/>
      <c r="O656" s="74"/>
      <c r="P656" s="74"/>
      <c r="Q656" s="74"/>
      <c r="R656" s="75"/>
      <c r="S656" s="74"/>
      <c r="T656" s="74"/>
      <c r="U656" s="74"/>
      <c r="V656" s="74"/>
      <c r="W656" s="74"/>
      <c r="X656" s="74"/>
      <c r="Y656" s="74"/>
      <c r="Z656" s="74"/>
      <c r="AA656" s="74"/>
      <c r="AB656" s="74"/>
      <c r="AC656" s="74"/>
      <c r="AD656" s="74"/>
      <c r="AE656" s="74"/>
      <c r="AF656" s="74"/>
      <c r="AG656" s="74"/>
      <c r="AH656" s="74"/>
      <c r="AI656" s="74"/>
      <c r="AJ656" s="74"/>
      <c r="AK656" s="74"/>
    </row>
    <row r="657">
      <c r="A657" s="74"/>
      <c r="B657" s="74"/>
      <c r="C657" s="74"/>
      <c r="D657" s="74"/>
      <c r="E657" s="74"/>
      <c r="F657" s="74"/>
      <c r="G657" s="74"/>
      <c r="H657" s="74"/>
      <c r="I657" s="74"/>
      <c r="J657" s="74"/>
      <c r="K657" s="74"/>
      <c r="L657" s="74"/>
      <c r="M657" s="74"/>
      <c r="N657" s="74"/>
      <c r="O657" s="74"/>
      <c r="P657" s="74"/>
      <c r="Q657" s="74"/>
      <c r="R657" s="75"/>
      <c r="S657" s="74"/>
      <c r="T657" s="74"/>
      <c r="U657" s="74"/>
      <c r="V657" s="74"/>
      <c r="W657" s="74"/>
      <c r="X657" s="74"/>
      <c r="Y657" s="74"/>
      <c r="Z657" s="74"/>
      <c r="AA657" s="74"/>
      <c r="AB657" s="74"/>
      <c r="AC657" s="74"/>
      <c r="AD657" s="74"/>
      <c r="AE657" s="74"/>
      <c r="AF657" s="74"/>
      <c r="AG657" s="74"/>
      <c r="AH657" s="74"/>
      <c r="AI657" s="74"/>
      <c r="AJ657" s="74"/>
      <c r="AK657" s="74"/>
    </row>
    <row r="658">
      <c r="A658" s="74"/>
      <c r="B658" s="74"/>
      <c r="C658" s="74"/>
      <c r="D658" s="74"/>
      <c r="E658" s="74"/>
      <c r="F658" s="74"/>
      <c r="G658" s="74"/>
      <c r="H658" s="74"/>
      <c r="I658" s="74"/>
      <c r="J658" s="74"/>
      <c r="K658" s="74"/>
      <c r="L658" s="74"/>
      <c r="M658" s="74"/>
      <c r="N658" s="74"/>
      <c r="O658" s="74"/>
      <c r="P658" s="74"/>
      <c r="Q658" s="74"/>
      <c r="R658" s="75"/>
      <c r="S658" s="74"/>
      <c r="T658" s="74"/>
      <c r="U658" s="74"/>
      <c r="V658" s="74"/>
      <c r="W658" s="74"/>
      <c r="X658" s="74"/>
      <c r="Y658" s="74"/>
      <c r="Z658" s="74"/>
      <c r="AA658" s="74"/>
      <c r="AB658" s="74"/>
      <c r="AC658" s="74"/>
      <c r="AD658" s="74"/>
      <c r="AE658" s="74"/>
      <c r="AF658" s="74"/>
      <c r="AG658" s="74"/>
      <c r="AH658" s="74"/>
      <c r="AI658" s="74"/>
      <c r="AJ658" s="74"/>
      <c r="AK658" s="74"/>
    </row>
    <row r="659">
      <c r="A659" s="74"/>
      <c r="B659" s="74"/>
      <c r="C659" s="74"/>
      <c r="D659" s="74"/>
      <c r="E659" s="74"/>
      <c r="F659" s="74"/>
      <c r="G659" s="74"/>
      <c r="H659" s="74"/>
      <c r="I659" s="74"/>
      <c r="J659" s="74"/>
      <c r="K659" s="74"/>
      <c r="L659" s="74"/>
      <c r="M659" s="74"/>
      <c r="N659" s="74"/>
      <c r="O659" s="74"/>
      <c r="P659" s="74"/>
      <c r="Q659" s="74"/>
      <c r="R659" s="75"/>
      <c r="S659" s="74"/>
      <c r="T659" s="74"/>
      <c r="U659" s="74"/>
      <c r="V659" s="74"/>
      <c r="W659" s="74"/>
      <c r="X659" s="74"/>
      <c r="Y659" s="74"/>
      <c r="Z659" s="74"/>
      <c r="AA659" s="74"/>
      <c r="AB659" s="74"/>
      <c r="AC659" s="74"/>
      <c r="AD659" s="74"/>
      <c r="AE659" s="74"/>
      <c r="AF659" s="74"/>
      <c r="AG659" s="74"/>
      <c r="AH659" s="74"/>
      <c r="AI659" s="74"/>
      <c r="AJ659" s="74"/>
      <c r="AK659" s="74"/>
    </row>
    <row r="660">
      <c r="A660" s="74"/>
      <c r="B660" s="74"/>
      <c r="C660" s="74"/>
      <c r="D660" s="74"/>
      <c r="E660" s="74"/>
      <c r="F660" s="74"/>
      <c r="G660" s="74"/>
      <c r="H660" s="74"/>
      <c r="I660" s="74"/>
      <c r="J660" s="74"/>
      <c r="K660" s="74"/>
      <c r="L660" s="74"/>
      <c r="M660" s="74"/>
      <c r="N660" s="74"/>
      <c r="O660" s="74"/>
      <c r="P660" s="74"/>
      <c r="Q660" s="74"/>
      <c r="R660" s="75"/>
      <c r="S660" s="74"/>
      <c r="T660" s="74"/>
      <c r="U660" s="74"/>
      <c r="V660" s="74"/>
      <c r="W660" s="74"/>
      <c r="X660" s="74"/>
      <c r="Y660" s="74"/>
      <c r="Z660" s="74"/>
      <c r="AA660" s="74"/>
      <c r="AB660" s="74"/>
      <c r="AC660" s="74"/>
      <c r="AD660" s="74"/>
      <c r="AE660" s="74"/>
      <c r="AF660" s="74"/>
      <c r="AG660" s="74"/>
      <c r="AH660" s="74"/>
      <c r="AI660" s="74"/>
      <c r="AJ660" s="74"/>
      <c r="AK660" s="74"/>
    </row>
    <row r="661">
      <c r="A661" s="74"/>
      <c r="B661" s="74"/>
      <c r="C661" s="74"/>
      <c r="D661" s="74"/>
      <c r="E661" s="74"/>
      <c r="F661" s="74"/>
      <c r="G661" s="74"/>
      <c r="H661" s="74"/>
      <c r="I661" s="74"/>
      <c r="J661" s="74"/>
      <c r="K661" s="74"/>
      <c r="L661" s="74"/>
      <c r="M661" s="74"/>
      <c r="N661" s="74"/>
      <c r="O661" s="74"/>
      <c r="P661" s="74"/>
      <c r="Q661" s="74"/>
      <c r="R661" s="75"/>
      <c r="S661" s="74"/>
      <c r="T661" s="74"/>
      <c r="U661" s="74"/>
      <c r="V661" s="74"/>
      <c r="W661" s="74"/>
      <c r="X661" s="74"/>
      <c r="Y661" s="74"/>
      <c r="Z661" s="74"/>
      <c r="AA661" s="74"/>
      <c r="AB661" s="74"/>
      <c r="AC661" s="74"/>
      <c r="AD661" s="74"/>
      <c r="AE661" s="74"/>
      <c r="AF661" s="74"/>
      <c r="AG661" s="74"/>
      <c r="AH661" s="74"/>
      <c r="AI661" s="74"/>
      <c r="AJ661" s="74"/>
      <c r="AK661" s="74"/>
    </row>
    <row r="662">
      <c r="A662" s="74"/>
      <c r="B662" s="74"/>
      <c r="C662" s="74"/>
      <c r="D662" s="74"/>
      <c r="E662" s="74"/>
      <c r="F662" s="74"/>
      <c r="G662" s="74"/>
      <c r="H662" s="74"/>
      <c r="I662" s="74"/>
      <c r="J662" s="74"/>
      <c r="K662" s="74"/>
      <c r="L662" s="74"/>
      <c r="M662" s="74"/>
      <c r="N662" s="74"/>
      <c r="O662" s="74"/>
      <c r="P662" s="74"/>
      <c r="Q662" s="74"/>
      <c r="R662" s="75"/>
      <c r="S662" s="74"/>
      <c r="T662" s="74"/>
      <c r="U662" s="74"/>
      <c r="V662" s="74"/>
      <c r="W662" s="74"/>
      <c r="X662" s="74"/>
      <c r="Y662" s="74"/>
      <c r="Z662" s="74"/>
      <c r="AA662" s="74"/>
      <c r="AB662" s="74"/>
      <c r="AC662" s="74"/>
      <c r="AD662" s="74"/>
      <c r="AE662" s="74"/>
      <c r="AF662" s="74"/>
      <c r="AG662" s="74"/>
      <c r="AH662" s="74"/>
      <c r="AI662" s="74"/>
      <c r="AJ662" s="74"/>
      <c r="AK662" s="74"/>
    </row>
    <row r="663">
      <c r="A663" s="74"/>
      <c r="B663" s="74"/>
      <c r="C663" s="74"/>
      <c r="D663" s="74"/>
      <c r="E663" s="74"/>
      <c r="F663" s="74"/>
      <c r="G663" s="74"/>
      <c r="H663" s="74"/>
      <c r="I663" s="74"/>
      <c r="J663" s="74"/>
      <c r="K663" s="74"/>
      <c r="L663" s="74"/>
      <c r="M663" s="74"/>
      <c r="N663" s="74"/>
      <c r="O663" s="74"/>
      <c r="P663" s="74"/>
      <c r="Q663" s="74"/>
      <c r="R663" s="75"/>
      <c r="S663" s="74"/>
      <c r="T663" s="74"/>
      <c r="U663" s="74"/>
      <c r="V663" s="74"/>
      <c r="W663" s="74"/>
      <c r="X663" s="74"/>
      <c r="Y663" s="74"/>
      <c r="Z663" s="74"/>
      <c r="AA663" s="74"/>
      <c r="AB663" s="74"/>
      <c r="AC663" s="74"/>
      <c r="AD663" s="74"/>
      <c r="AE663" s="74"/>
      <c r="AF663" s="74"/>
      <c r="AG663" s="74"/>
      <c r="AH663" s="74"/>
      <c r="AI663" s="74"/>
      <c r="AJ663" s="74"/>
      <c r="AK663" s="74"/>
    </row>
    <row r="664">
      <c r="A664" s="74"/>
      <c r="B664" s="74"/>
      <c r="C664" s="74"/>
      <c r="D664" s="74"/>
      <c r="E664" s="74"/>
      <c r="F664" s="74"/>
      <c r="G664" s="74"/>
      <c r="H664" s="74"/>
      <c r="I664" s="74"/>
      <c r="J664" s="74"/>
      <c r="K664" s="74"/>
      <c r="L664" s="74"/>
      <c r="M664" s="74"/>
      <c r="N664" s="74"/>
      <c r="O664" s="74"/>
      <c r="P664" s="74"/>
      <c r="Q664" s="74"/>
      <c r="R664" s="75"/>
      <c r="S664" s="74"/>
      <c r="T664" s="74"/>
      <c r="U664" s="74"/>
      <c r="V664" s="74"/>
      <c r="W664" s="74"/>
      <c r="X664" s="74"/>
      <c r="Y664" s="74"/>
      <c r="Z664" s="74"/>
      <c r="AA664" s="74"/>
      <c r="AB664" s="74"/>
      <c r="AC664" s="74"/>
      <c r="AD664" s="74"/>
      <c r="AE664" s="74"/>
      <c r="AF664" s="74"/>
      <c r="AG664" s="74"/>
      <c r="AH664" s="74"/>
      <c r="AI664" s="74"/>
      <c r="AJ664" s="74"/>
      <c r="AK664" s="74"/>
    </row>
    <row r="665">
      <c r="A665" s="74"/>
      <c r="B665" s="74"/>
      <c r="C665" s="74"/>
      <c r="D665" s="74"/>
      <c r="E665" s="74"/>
      <c r="F665" s="74"/>
      <c r="G665" s="74"/>
      <c r="H665" s="74"/>
      <c r="I665" s="74"/>
      <c r="J665" s="74"/>
      <c r="K665" s="74"/>
      <c r="L665" s="74"/>
      <c r="M665" s="74"/>
      <c r="N665" s="74"/>
      <c r="O665" s="74"/>
      <c r="P665" s="74"/>
      <c r="Q665" s="74"/>
      <c r="R665" s="75"/>
      <c r="S665" s="74"/>
      <c r="T665" s="74"/>
      <c r="U665" s="74"/>
      <c r="V665" s="74"/>
      <c r="W665" s="74"/>
      <c r="X665" s="74"/>
      <c r="Y665" s="74"/>
      <c r="Z665" s="74"/>
      <c r="AA665" s="74"/>
      <c r="AB665" s="74"/>
      <c r="AC665" s="74"/>
      <c r="AD665" s="74"/>
      <c r="AE665" s="74"/>
      <c r="AF665" s="74"/>
      <c r="AG665" s="74"/>
      <c r="AH665" s="74"/>
      <c r="AI665" s="74"/>
      <c r="AJ665" s="74"/>
      <c r="AK665" s="74"/>
    </row>
    <row r="666">
      <c r="A666" s="74"/>
      <c r="B666" s="74"/>
      <c r="C666" s="74"/>
      <c r="D666" s="74"/>
      <c r="E666" s="74"/>
      <c r="F666" s="74"/>
      <c r="G666" s="74"/>
      <c r="H666" s="74"/>
      <c r="I666" s="74"/>
      <c r="J666" s="74"/>
      <c r="K666" s="74"/>
      <c r="L666" s="74"/>
      <c r="M666" s="74"/>
      <c r="N666" s="74"/>
      <c r="O666" s="74"/>
      <c r="P666" s="74"/>
      <c r="Q666" s="74"/>
      <c r="R666" s="75"/>
      <c r="S666" s="74"/>
      <c r="T666" s="74"/>
      <c r="U666" s="74"/>
      <c r="V666" s="74"/>
      <c r="W666" s="74"/>
      <c r="X666" s="74"/>
      <c r="Y666" s="74"/>
      <c r="Z666" s="74"/>
      <c r="AA666" s="74"/>
      <c r="AB666" s="74"/>
      <c r="AC666" s="74"/>
      <c r="AD666" s="74"/>
      <c r="AE666" s="74"/>
      <c r="AF666" s="74"/>
      <c r="AG666" s="74"/>
      <c r="AH666" s="74"/>
      <c r="AI666" s="74"/>
      <c r="AJ666" s="74"/>
      <c r="AK666" s="74"/>
    </row>
    <row r="667">
      <c r="A667" s="74"/>
      <c r="B667" s="74"/>
      <c r="C667" s="74"/>
      <c r="D667" s="74"/>
      <c r="E667" s="74"/>
      <c r="F667" s="74"/>
      <c r="G667" s="74"/>
      <c r="H667" s="74"/>
      <c r="I667" s="74"/>
      <c r="J667" s="74"/>
      <c r="K667" s="74"/>
      <c r="L667" s="74"/>
      <c r="M667" s="74"/>
      <c r="N667" s="74"/>
      <c r="O667" s="74"/>
      <c r="P667" s="74"/>
      <c r="Q667" s="74"/>
      <c r="R667" s="75"/>
      <c r="S667" s="74"/>
      <c r="T667" s="74"/>
      <c r="U667" s="74"/>
      <c r="V667" s="74"/>
      <c r="W667" s="74"/>
      <c r="X667" s="74"/>
      <c r="Y667" s="74"/>
      <c r="Z667" s="74"/>
      <c r="AA667" s="74"/>
      <c r="AB667" s="74"/>
      <c r="AC667" s="74"/>
      <c r="AD667" s="74"/>
      <c r="AE667" s="74"/>
      <c r="AF667" s="74"/>
      <c r="AG667" s="74"/>
      <c r="AH667" s="74"/>
      <c r="AI667" s="74"/>
      <c r="AJ667" s="74"/>
      <c r="AK667" s="74"/>
    </row>
    <row r="668">
      <c r="A668" s="74"/>
      <c r="B668" s="74"/>
      <c r="C668" s="74"/>
      <c r="D668" s="74"/>
      <c r="E668" s="74"/>
      <c r="F668" s="74"/>
      <c r="G668" s="74"/>
      <c r="H668" s="74"/>
      <c r="I668" s="74"/>
      <c r="J668" s="74"/>
      <c r="K668" s="74"/>
      <c r="L668" s="74"/>
      <c r="M668" s="74"/>
      <c r="N668" s="74"/>
      <c r="O668" s="74"/>
      <c r="P668" s="74"/>
      <c r="Q668" s="74"/>
      <c r="R668" s="75"/>
      <c r="S668" s="74"/>
      <c r="T668" s="74"/>
      <c r="U668" s="74"/>
      <c r="V668" s="74"/>
      <c r="W668" s="74"/>
      <c r="X668" s="74"/>
      <c r="Y668" s="74"/>
      <c r="Z668" s="74"/>
      <c r="AA668" s="74"/>
      <c r="AB668" s="74"/>
      <c r="AC668" s="74"/>
      <c r="AD668" s="74"/>
      <c r="AE668" s="74"/>
      <c r="AF668" s="74"/>
      <c r="AG668" s="74"/>
      <c r="AH668" s="74"/>
      <c r="AI668" s="74"/>
      <c r="AJ668" s="74"/>
      <c r="AK668" s="74"/>
    </row>
    <row r="669">
      <c r="A669" s="74"/>
      <c r="B669" s="74"/>
      <c r="C669" s="74"/>
      <c r="D669" s="74"/>
      <c r="E669" s="74"/>
      <c r="F669" s="74"/>
      <c r="G669" s="74"/>
      <c r="H669" s="74"/>
      <c r="I669" s="74"/>
      <c r="J669" s="74"/>
      <c r="K669" s="74"/>
      <c r="L669" s="74"/>
      <c r="M669" s="74"/>
      <c r="N669" s="74"/>
      <c r="O669" s="74"/>
      <c r="P669" s="74"/>
      <c r="Q669" s="74"/>
      <c r="R669" s="75"/>
      <c r="S669" s="74"/>
      <c r="T669" s="74"/>
      <c r="U669" s="74"/>
      <c r="V669" s="74"/>
      <c r="W669" s="74"/>
      <c r="X669" s="74"/>
      <c r="Y669" s="74"/>
      <c r="Z669" s="74"/>
      <c r="AA669" s="74"/>
      <c r="AB669" s="74"/>
      <c r="AC669" s="74"/>
      <c r="AD669" s="74"/>
      <c r="AE669" s="74"/>
      <c r="AF669" s="74"/>
      <c r="AG669" s="74"/>
      <c r="AH669" s="74"/>
      <c r="AI669" s="74"/>
      <c r="AJ669" s="74"/>
      <c r="AK669" s="74"/>
    </row>
    <row r="670">
      <c r="A670" s="74"/>
      <c r="B670" s="74"/>
      <c r="C670" s="74"/>
      <c r="D670" s="74"/>
      <c r="E670" s="74"/>
      <c r="F670" s="74"/>
      <c r="G670" s="74"/>
      <c r="H670" s="74"/>
      <c r="I670" s="74"/>
      <c r="J670" s="74"/>
      <c r="K670" s="74"/>
      <c r="L670" s="74"/>
      <c r="M670" s="74"/>
      <c r="N670" s="74"/>
      <c r="O670" s="74"/>
      <c r="P670" s="74"/>
      <c r="Q670" s="74"/>
      <c r="R670" s="75"/>
      <c r="S670" s="74"/>
      <c r="T670" s="74"/>
      <c r="U670" s="74"/>
      <c r="V670" s="74"/>
      <c r="W670" s="74"/>
      <c r="X670" s="74"/>
      <c r="Y670" s="74"/>
      <c r="Z670" s="74"/>
      <c r="AA670" s="74"/>
      <c r="AB670" s="74"/>
      <c r="AC670" s="74"/>
      <c r="AD670" s="74"/>
      <c r="AE670" s="74"/>
      <c r="AF670" s="74"/>
      <c r="AG670" s="74"/>
      <c r="AH670" s="74"/>
      <c r="AI670" s="74"/>
      <c r="AJ670" s="74"/>
      <c r="AK670" s="74"/>
    </row>
    <row r="671">
      <c r="A671" s="74"/>
      <c r="B671" s="74"/>
      <c r="C671" s="74"/>
      <c r="D671" s="74"/>
      <c r="E671" s="74"/>
      <c r="F671" s="74"/>
      <c r="G671" s="74"/>
      <c r="H671" s="74"/>
      <c r="I671" s="74"/>
      <c r="J671" s="74"/>
      <c r="K671" s="74"/>
      <c r="L671" s="74"/>
      <c r="M671" s="74"/>
      <c r="N671" s="74"/>
      <c r="O671" s="74"/>
      <c r="P671" s="74"/>
      <c r="Q671" s="74"/>
      <c r="R671" s="75"/>
      <c r="S671" s="74"/>
      <c r="T671" s="74"/>
      <c r="U671" s="74"/>
      <c r="V671" s="74"/>
      <c r="W671" s="74"/>
      <c r="X671" s="74"/>
      <c r="Y671" s="74"/>
      <c r="Z671" s="74"/>
      <c r="AA671" s="74"/>
      <c r="AB671" s="74"/>
      <c r="AC671" s="74"/>
      <c r="AD671" s="74"/>
      <c r="AE671" s="74"/>
      <c r="AF671" s="74"/>
      <c r="AG671" s="74"/>
      <c r="AH671" s="74"/>
      <c r="AI671" s="74"/>
      <c r="AJ671" s="74"/>
      <c r="AK671" s="74"/>
    </row>
    <row r="672">
      <c r="A672" s="74"/>
      <c r="B672" s="74"/>
      <c r="C672" s="74"/>
      <c r="D672" s="74"/>
      <c r="E672" s="74"/>
      <c r="F672" s="74"/>
      <c r="G672" s="74"/>
      <c r="H672" s="74"/>
      <c r="I672" s="74"/>
      <c r="J672" s="74"/>
      <c r="K672" s="74"/>
      <c r="L672" s="74"/>
      <c r="M672" s="74"/>
      <c r="N672" s="74"/>
      <c r="O672" s="74"/>
      <c r="P672" s="74"/>
      <c r="Q672" s="74"/>
      <c r="R672" s="75"/>
      <c r="S672" s="74"/>
      <c r="T672" s="74"/>
      <c r="U672" s="74"/>
      <c r="V672" s="74"/>
      <c r="W672" s="74"/>
      <c r="X672" s="74"/>
      <c r="Y672" s="74"/>
      <c r="Z672" s="74"/>
      <c r="AA672" s="74"/>
      <c r="AB672" s="74"/>
      <c r="AC672" s="74"/>
      <c r="AD672" s="74"/>
      <c r="AE672" s="74"/>
      <c r="AF672" s="74"/>
      <c r="AG672" s="74"/>
      <c r="AH672" s="74"/>
      <c r="AI672" s="74"/>
      <c r="AJ672" s="74"/>
      <c r="AK672" s="74"/>
    </row>
    <row r="673">
      <c r="A673" s="74"/>
      <c r="B673" s="74"/>
      <c r="C673" s="74"/>
      <c r="D673" s="74"/>
      <c r="E673" s="74"/>
      <c r="F673" s="74"/>
      <c r="G673" s="74"/>
      <c r="H673" s="74"/>
      <c r="I673" s="74"/>
      <c r="J673" s="74"/>
      <c r="K673" s="74"/>
      <c r="L673" s="74"/>
      <c r="M673" s="74"/>
      <c r="N673" s="74"/>
      <c r="O673" s="74"/>
      <c r="P673" s="74"/>
      <c r="Q673" s="74"/>
      <c r="R673" s="75"/>
      <c r="S673" s="74"/>
      <c r="T673" s="74"/>
      <c r="U673" s="74"/>
      <c r="V673" s="74"/>
      <c r="W673" s="74"/>
      <c r="X673" s="74"/>
      <c r="Y673" s="74"/>
      <c r="Z673" s="74"/>
      <c r="AA673" s="74"/>
      <c r="AB673" s="74"/>
      <c r="AC673" s="74"/>
      <c r="AD673" s="74"/>
      <c r="AE673" s="74"/>
      <c r="AF673" s="74"/>
      <c r="AG673" s="74"/>
      <c r="AH673" s="74"/>
      <c r="AI673" s="74"/>
      <c r="AJ673" s="74"/>
      <c r="AK673" s="74"/>
    </row>
    <row r="674">
      <c r="A674" s="74"/>
      <c r="B674" s="74"/>
      <c r="C674" s="74"/>
      <c r="D674" s="74"/>
      <c r="E674" s="74"/>
      <c r="F674" s="74"/>
      <c r="G674" s="74"/>
      <c r="H674" s="74"/>
      <c r="I674" s="74"/>
      <c r="J674" s="74"/>
      <c r="K674" s="74"/>
      <c r="L674" s="74"/>
      <c r="M674" s="74"/>
      <c r="N674" s="74"/>
      <c r="O674" s="74"/>
      <c r="P674" s="74"/>
      <c r="Q674" s="74"/>
      <c r="R674" s="75"/>
      <c r="S674" s="74"/>
      <c r="T674" s="74"/>
      <c r="U674" s="74"/>
      <c r="V674" s="74"/>
      <c r="W674" s="74"/>
      <c r="X674" s="74"/>
      <c r="Y674" s="74"/>
      <c r="Z674" s="74"/>
      <c r="AA674" s="74"/>
      <c r="AB674" s="74"/>
      <c r="AC674" s="74"/>
      <c r="AD674" s="74"/>
      <c r="AE674" s="74"/>
      <c r="AF674" s="74"/>
      <c r="AG674" s="74"/>
      <c r="AH674" s="74"/>
      <c r="AI674" s="74"/>
      <c r="AJ674" s="74"/>
      <c r="AK674" s="74"/>
    </row>
    <row r="675">
      <c r="A675" s="74"/>
      <c r="B675" s="74"/>
      <c r="C675" s="74"/>
      <c r="D675" s="74"/>
      <c r="E675" s="74"/>
      <c r="F675" s="74"/>
      <c r="G675" s="74"/>
      <c r="H675" s="74"/>
      <c r="I675" s="74"/>
      <c r="J675" s="74"/>
      <c r="K675" s="74"/>
      <c r="L675" s="74"/>
      <c r="M675" s="74"/>
      <c r="N675" s="74"/>
      <c r="O675" s="74"/>
      <c r="P675" s="74"/>
      <c r="Q675" s="74"/>
      <c r="R675" s="75"/>
      <c r="S675" s="74"/>
      <c r="T675" s="74"/>
      <c r="U675" s="74"/>
      <c r="V675" s="74"/>
      <c r="W675" s="74"/>
      <c r="X675" s="74"/>
      <c r="Y675" s="74"/>
      <c r="Z675" s="74"/>
      <c r="AA675" s="74"/>
      <c r="AB675" s="74"/>
      <c r="AC675" s="74"/>
      <c r="AD675" s="74"/>
      <c r="AE675" s="74"/>
      <c r="AF675" s="74"/>
      <c r="AG675" s="74"/>
      <c r="AH675" s="74"/>
      <c r="AI675" s="74"/>
      <c r="AJ675" s="74"/>
      <c r="AK675" s="74"/>
    </row>
    <row r="676">
      <c r="A676" s="74"/>
      <c r="B676" s="74"/>
      <c r="C676" s="74"/>
      <c r="D676" s="74"/>
      <c r="E676" s="74"/>
      <c r="F676" s="74"/>
      <c r="G676" s="74"/>
      <c r="H676" s="74"/>
      <c r="I676" s="74"/>
      <c r="J676" s="74"/>
      <c r="K676" s="74"/>
      <c r="L676" s="74"/>
      <c r="M676" s="74"/>
      <c r="N676" s="74"/>
      <c r="O676" s="74"/>
      <c r="P676" s="74"/>
      <c r="Q676" s="74"/>
      <c r="R676" s="75"/>
      <c r="S676" s="74"/>
      <c r="T676" s="74"/>
      <c r="U676" s="74"/>
      <c r="V676" s="74"/>
      <c r="W676" s="74"/>
      <c r="X676" s="74"/>
      <c r="Y676" s="74"/>
      <c r="Z676" s="74"/>
      <c r="AA676" s="74"/>
      <c r="AB676" s="74"/>
      <c r="AC676" s="74"/>
      <c r="AD676" s="74"/>
      <c r="AE676" s="74"/>
      <c r="AF676" s="74"/>
      <c r="AG676" s="74"/>
      <c r="AH676" s="74"/>
      <c r="AI676" s="74"/>
      <c r="AJ676" s="74"/>
      <c r="AK676" s="74"/>
    </row>
    <row r="677">
      <c r="A677" s="74"/>
      <c r="B677" s="74"/>
      <c r="C677" s="74"/>
      <c r="D677" s="74"/>
      <c r="E677" s="74"/>
      <c r="F677" s="74"/>
      <c r="G677" s="74"/>
      <c r="H677" s="74"/>
      <c r="I677" s="74"/>
      <c r="J677" s="74"/>
      <c r="K677" s="74"/>
      <c r="L677" s="74"/>
      <c r="M677" s="74"/>
      <c r="N677" s="74"/>
      <c r="O677" s="74"/>
      <c r="P677" s="74"/>
      <c r="Q677" s="74"/>
      <c r="R677" s="75"/>
      <c r="S677" s="74"/>
      <c r="T677" s="74"/>
      <c r="U677" s="74"/>
      <c r="V677" s="74"/>
      <c r="W677" s="74"/>
      <c r="X677" s="74"/>
      <c r="Y677" s="74"/>
      <c r="Z677" s="74"/>
      <c r="AA677" s="74"/>
      <c r="AB677" s="74"/>
      <c r="AC677" s="74"/>
      <c r="AD677" s="74"/>
      <c r="AE677" s="74"/>
      <c r="AF677" s="74"/>
      <c r="AG677" s="74"/>
      <c r="AH677" s="74"/>
      <c r="AI677" s="74"/>
      <c r="AJ677" s="74"/>
      <c r="AK677" s="74"/>
    </row>
    <row r="678">
      <c r="A678" s="74"/>
      <c r="B678" s="74"/>
      <c r="C678" s="74"/>
      <c r="D678" s="74"/>
      <c r="E678" s="74"/>
      <c r="F678" s="74"/>
      <c r="G678" s="74"/>
      <c r="H678" s="74"/>
      <c r="I678" s="74"/>
      <c r="J678" s="74"/>
      <c r="K678" s="74"/>
      <c r="L678" s="74"/>
      <c r="M678" s="74"/>
      <c r="N678" s="74"/>
      <c r="O678" s="74"/>
      <c r="P678" s="74"/>
      <c r="Q678" s="74"/>
      <c r="R678" s="75"/>
      <c r="S678" s="74"/>
      <c r="T678" s="74"/>
      <c r="U678" s="74"/>
      <c r="V678" s="74"/>
      <c r="W678" s="74"/>
      <c r="X678" s="74"/>
      <c r="Y678" s="74"/>
      <c r="Z678" s="74"/>
      <c r="AA678" s="74"/>
      <c r="AB678" s="74"/>
      <c r="AC678" s="74"/>
      <c r="AD678" s="74"/>
      <c r="AE678" s="74"/>
      <c r="AF678" s="74"/>
      <c r="AG678" s="74"/>
      <c r="AH678" s="74"/>
      <c r="AI678" s="74"/>
      <c r="AJ678" s="74"/>
      <c r="AK678" s="74"/>
    </row>
    <row r="679">
      <c r="A679" s="74"/>
      <c r="B679" s="74"/>
      <c r="C679" s="74"/>
      <c r="D679" s="74"/>
      <c r="E679" s="74"/>
      <c r="F679" s="74"/>
      <c r="G679" s="74"/>
      <c r="H679" s="74"/>
      <c r="I679" s="74"/>
      <c r="J679" s="74"/>
      <c r="K679" s="74"/>
      <c r="L679" s="74"/>
      <c r="M679" s="74"/>
      <c r="N679" s="74"/>
      <c r="O679" s="74"/>
      <c r="P679" s="74"/>
      <c r="Q679" s="74"/>
      <c r="R679" s="75"/>
      <c r="S679" s="74"/>
      <c r="T679" s="74"/>
      <c r="U679" s="74"/>
      <c r="V679" s="74"/>
      <c r="W679" s="74"/>
      <c r="X679" s="74"/>
      <c r="Y679" s="74"/>
      <c r="Z679" s="74"/>
      <c r="AA679" s="74"/>
      <c r="AB679" s="74"/>
      <c r="AC679" s="74"/>
      <c r="AD679" s="74"/>
      <c r="AE679" s="74"/>
      <c r="AF679" s="74"/>
      <c r="AG679" s="74"/>
      <c r="AH679" s="74"/>
      <c r="AI679" s="74"/>
      <c r="AJ679" s="74"/>
      <c r="AK679" s="74"/>
    </row>
    <row r="680">
      <c r="A680" s="74"/>
      <c r="B680" s="74"/>
      <c r="C680" s="74"/>
      <c r="D680" s="74"/>
      <c r="E680" s="74"/>
      <c r="F680" s="74"/>
      <c r="G680" s="74"/>
      <c r="H680" s="74"/>
      <c r="I680" s="74"/>
      <c r="J680" s="74"/>
      <c r="K680" s="74"/>
      <c r="L680" s="74"/>
      <c r="M680" s="74"/>
      <c r="N680" s="74"/>
      <c r="O680" s="74"/>
      <c r="P680" s="74"/>
      <c r="Q680" s="74"/>
      <c r="R680" s="75"/>
      <c r="S680" s="74"/>
      <c r="T680" s="74"/>
      <c r="U680" s="74"/>
      <c r="V680" s="74"/>
      <c r="W680" s="74"/>
      <c r="X680" s="74"/>
      <c r="Y680" s="74"/>
      <c r="Z680" s="74"/>
      <c r="AA680" s="74"/>
      <c r="AB680" s="74"/>
      <c r="AC680" s="74"/>
      <c r="AD680" s="74"/>
      <c r="AE680" s="74"/>
      <c r="AF680" s="74"/>
      <c r="AG680" s="74"/>
      <c r="AH680" s="74"/>
      <c r="AI680" s="74"/>
      <c r="AJ680" s="74"/>
      <c r="AK680" s="74"/>
    </row>
    <row r="681">
      <c r="A681" s="74"/>
      <c r="B681" s="74"/>
      <c r="C681" s="74"/>
      <c r="D681" s="74"/>
      <c r="E681" s="74"/>
      <c r="F681" s="74"/>
      <c r="G681" s="74"/>
      <c r="H681" s="74"/>
      <c r="I681" s="74"/>
      <c r="J681" s="74"/>
      <c r="K681" s="74"/>
      <c r="L681" s="74"/>
      <c r="M681" s="74"/>
      <c r="N681" s="74"/>
      <c r="O681" s="74"/>
      <c r="P681" s="74"/>
      <c r="Q681" s="74"/>
      <c r="R681" s="75"/>
      <c r="S681" s="74"/>
      <c r="T681" s="74"/>
      <c r="U681" s="74"/>
      <c r="V681" s="74"/>
      <c r="W681" s="74"/>
      <c r="X681" s="74"/>
      <c r="Y681" s="74"/>
      <c r="Z681" s="74"/>
      <c r="AA681" s="74"/>
      <c r="AB681" s="74"/>
      <c r="AC681" s="74"/>
      <c r="AD681" s="74"/>
      <c r="AE681" s="74"/>
      <c r="AF681" s="74"/>
      <c r="AG681" s="74"/>
      <c r="AH681" s="74"/>
      <c r="AI681" s="74"/>
      <c r="AJ681" s="74"/>
      <c r="AK681" s="74"/>
    </row>
    <row r="682">
      <c r="A682" s="74"/>
      <c r="B682" s="74"/>
      <c r="C682" s="74"/>
      <c r="D682" s="74"/>
      <c r="E682" s="74"/>
      <c r="F682" s="74"/>
      <c r="G682" s="74"/>
      <c r="H682" s="74"/>
      <c r="I682" s="74"/>
      <c r="J682" s="74"/>
      <c r="K682" s="74"/>
      <c r="L682" s="74"/>
      <c r="M682" s="74"/>
      <c r="N682" s="74"/>
      <c r="O682" s="74"/>
      <c r="P682" s="74"/>
      <c r="Q682" s="74"/>
      <c r="R682" s="75"/>
      <c r="S682" s="74"/>
      <c r="T682" s="74"/>
      <c r="U682" s="74"/>
      <c r="V682" s="74"/>
      <c r="W682" s="74"/>
      <c r="X682" s="74"/>
      <c r="Y682" s="74"/>
      <c r="Z682" s="74"/>
      <c r="AA682" s="74"/>
      <c r="AB682" s="74"/>
      <c r="AC682" s="74"/>
      <c r="AD682" s="74"/>
      <c r="AE682" s="74"/>
      <c r="AF682" s="74"/>
      <c r="AG682" s="74"/>
      <c r="AH682" s="74"/>
      <c r="AI682" s="74"/>
      <c r="AJ682" s="74"/>
      <c r="AK682" s="74"/>
    </row>
    <row r="683">
      <c r="A683" s="74"/>
      <c r="B683" s="74"/>
      <c r="C683" s="74"/>
      <c r="D683" s="74"/>
      <c r="E683" s="74"/>
      <c r="F683" s="74"/>
      <c r="G683" s="74"/>
      <c r="H683" s="74"/>
      <c r="I683" s="74"/>
      <c r="J683" s="74"/>
      <c r="K683" s="74"/>
      <c r="L683" s="74"/>
      <c r="M683" s="74"/>
      <c r="N683" s="74"/>
      <c r="O683" s="74"/>
      <c r="P683" s="74"/>
      <c r="Q683" s="74"/>
      <c r="R683" s="75"/>
      <c r="S683" s="74"/>
      <c r="T683" s="74"/>
      <c r="U683" s="74"/>
      <c r="V683" s="74"/>
      <c r="W683" s="74"/>
      <c r="X683" s="74"/>
      <c r="Y683" s="74"/>
      <c r="Z683" s="74"/>
      <c r="AA683" s="74"/>
      <c r="AB683" s="74"/>
      <c r="AC683" s="74"/>
      <c r="AD683" s="74"/>
      <c r="AE683" s="74"/>
      <c r="AF683" s="74"/>
      <c r="AG683" s="74"/>
      <c r="AH683" s="74"/>
      <c r="AI683" s="74"/>
      <c r="AJ683" s="74"/>
      <c r="AK683" s="74"/>
    </row>
    <row r="684">
      <c r="A684" s="74"/>
      <c r="B684" s="74"/>
      <c r="C684" s="74"/>
      <c r="D684" s="74"/>
      <c r="E684" s="74"/>
      <c r="F684" s="74"/>
      <c r="G684" s="74"/>
      <c r="H684" s="74"/>
      <c r="I684" s="74"/>
      <c r="J684" s="74"/>
      <c r="K684" s="74"/>
      <c r="L684" s="74"/>
      <c r="M684" s="74"/>
      <c r="N684" s="74"/>
      <c r="O684" s="74"/>
      <c r="P684" s="74"/>
      <c r="Q684" s="74"/>
      <c r="R684" s="75"/>
      <c r="S684" s="74"/>
      <c r="T684" s="74"/>
      <c r="U684" s="74"/>
      <c r="V684" s="74"/>
      <c r="W684" s="74"/>
      <c r="X684" s="74"/>
      <c r="Y684" s="74"/>
      <c r="Z684" s="74"/>
      <c r="AA684" s="74"/>
      <c r="AB684" s="74"/>
      <c r="AC684" s="74"/>
      <c r="AD684" s="74"/>
      <c r="AE684" s="74"/>
      <c r="AF684" s="74"/>
      <c r="AG684" s="74"/>
      <c r="AH684" s="74"/>
      <c r="AI684" s="74"/>
      <c r="AJ684" s="74"/>
      <c r="AK684" s="74"/>
    </row>
    <row r="685">
      <c r="A685" s="74"/>
      <c r="B685" s="74"/>
      <c r="C685" s="74"/>
      <c r="D685" s="74"/>
      <c r="E685" s="74"/>
      <c r="F685" s="74"/>
      <c r="G685" s="74"/>
      <c r="H685" s="74"/>
      <c r="I685" s="74"/>
      <c r="J685" s="74"/>
      <c r="K685" s="74"/>
      <c r="L685" s="74"/>
      <c r="M685" s="74"/>
      <c r="N685" s="74"/>
      <c r="O685" s="74"/>
      <c r="P685" s="74"/>
      <c r="Q685" s="74"/>
      <c r="R685" s="75"/>
      <c r="S685" s="74"/>
      <c r="T685" s="74"/>
      <c r="U685" s="74"/>
      <c r="V685" s="74"/>
      <c r="W685" s="74"/>
      <c r="X685" s="74"/>
      <c r="Y685" s="74"/>
      <c r="Z685" s="74"/>
      <c r="AA685" s="74"/>
      <c r="AB685" s="74"/>
      <c r="AC685" s="74"/>
      <c r="AD685" s="74"/>
      <c r="AE685" s="74"/>
      <c r="AF685" s="74"/>
      <c r="AG685" s="74"/>
      <c r="AH685" s="74"/>
      <c r="AI685" s="74"/>
      <c r="AJ685" s="74"/>
      <c r="AK685" s="74"/>
    </row>
    <row r="686">
      <c r="A686" s="74"/>
      <c r="B686" s="74"/>
      <c r="C686" s="74"/>
      <c r="D686" s="74"/>
      <c r="E686" s="74"/>
      <c r="F686" s="74"/>
      <c r="G686" s="74"/>
      <c r="H686" s="74"/>
      <c r="I686" s="74"/>
      <c r="J686" s="74"/>
      <c r="K686" s="74"/>
      <c r="L686" s="74"/>
      <c r="M686" s="74"/>
      <c r="N686" s="74"/>
      <c r="O686" s="74"/>
      <c r="P686" s="74"/>
      <c r="Q686" s="74"/>
      <c r="R686" s="75"/>
      <c r="S686" s="74"/>
      <c r="T686" s="74"/>
      <c r="U686" s="74"/>
      <c r="V686" s="74"/>
      <c r="W686" s="74"/>
      <c r="X686" s="74"/>
      <c r="Y686" s="74"/>
      <c r="Z686" s="74"/>
      <c r="AA686" s="74"/>
      <c r="AB686" s="74"/>
      <c r="AC686" s="74"/>
      <c r="AD686" s="74"/>
      <c r="AE686" s="74"/>
      <c r="AF686" s="74"/>
      <c r="AG686" s="74"/>
      <c r="AH686" s="74"/>
      <c r="AI686" s="74"/>
      <c r="AJ686" s="74"/>
      <c r="AK686" s="74"/>
    </row>
    <row r="687">
      <c r="A687" s="74"/>
      <c r="B687" s="74"/>
      <c r="C687" s="74"/>
      <c r="D687" s="74"/>
      <c r="E687" s="74"/>
      <c r="F687" s="74"/>
      <c r="G687" s="74"/>
      <c r="H687" s="74"/>
      <c r="I687" s="74"/>
      <c r="J687" s="74"/>
      <c r="K687" s="74"/>
      <c r="L687" s="74"/>
      <c r="M687" s="74"/>
      <c r="N687" s="74"/>
      <c r="O687" s="74"/>
      <c r="P687" s="74"/>
      <c r="Q687" s="74"/>
      <c r="R687" s="75"/>
      <c r="S687" s="74"/>
      <c r="T687" s="74"/>
      <c r="U687" s="74"/>
      <c r="V687" s="74"/>
      <c r="W687" s="74"/>
      <c r="X687" s="74"/>
      <c r="Y687" s="74"/>
      <c r="Z687" s="74"/>
      <c r="AA687" s="74"/>
      <c r="AB687" s="74"/>
      <c r="AC687" s="74"/>
      <c r="AD687" s="74"/>
      <c r="AE687" s="74"/>
      <c r="AF687" s="74"/>
      <c r="AG687" s="74"/>
      <c r="AH687" s="74"/>
      <c r="AI687" s="74"/>
      <c r="AJ687" s="74"/>
      <c r="AK687" s="74"/>
    </row>
    <row r="688">
      <c r="A688" s="74"/>
      <c r="B688" s="74"/>
      <c r="C688" s="74"/>
      <c r="D688" s="74"/>
      <c r="E688" s="74"/>
      <c r="F688" s="74"/>
      <c r="G688" s="74"/>
      <c r="H688" s="74"/>
      <c r="I688" s="74"/>
      <c r="J688" s="74"/>
      <c r="K688" s="74"/>
      <c r="L688" s="74"/>
      <c r="M688" s="74"/>
      <c r="N688" s="74"/>
      <c r="O688" s="74"/>
      <c r="P688" s="74"/>
      <c r="Q688" s="74"/>
      <c r="R688" s="75"/>
      <c r="S688" s="74"/>
      <c r="T688" s="74"/>
      <c r="U688" s="74"/>
      <c r="V688" s="74"/>
      <c r="W688" s="74"/>
      <c r="X688" s="74"/>
      <c r="Y688" s="74"/>
      <c r="Z688" s="74"/>
      <c r="AA688" s="74"/>
      <c r="AB688" s="74"/>
      <c r="AC688" s="74"/>
      <c r="AD688" s="74"/>
      <c r="AE688" s="74"/>
      <c r="AF688" s="74"/>
      <c r="AG688" s="74"/>
      <c r="AH688" s="74"/>
      <c r="AI688" s="74"/>
      <c r="AJ688" s="74"/>
      <c r="AK688" s="74"/>
    </row>
    <row r="689">
      <c r="A689" s="74"/>
      <c r="B689" s="74"/>
      <c r="C689" s="74"/>
      <c r="D689" s="74"/>
      <c r="E689" s="74"/>
      <c r="F689" s="74"/>
      <c r="G689" s="74"/>
      <c r="H689" s="74"/>
      <c r="I689" s="74"/>
      <c r="J689" s="74"/>
      <c r="K689" s="74"/>
      <c r="L689" s="74"/>
      <c r="M689" s="74"/>
      <c r="N689" s="74"/>
      <c r="O689" s="74"/>
      <c r="P689" s="74"/>
      <c r="Q689" s="74"/>
      <c r="R689" s="75"/>
      <c r="S689" s="74"/>
      <c r="T689" s="74"/>
      <c r="U689" s="74"/>
      <c r="V689" s="74"/>
      <c r="W689" s="74"/>
      <c r="X689" s="74"/>
      <c r="Y689" s="74"/>
      <c r="Z689" s="74"/>
      <c r="AA689" s="74"/>
      <c r="AB689" s="74"/>
      <c r="AC689" s="74"/>
      <c r="AD689" s="74"/>
      <c r="AE689" s="74"/>
      <c r="AF689" s="74"/>
      <c r="AG689" s="74"/>
      <c r="AH689" s="74"/>
      <c r="AI689" s="74"/>
      <c r="AJ689" s="74"/>
      <c r="AK689" s="74"/>
    </row>
    <row r="690">
      <c r="A690" s="74"/>
      <c r="B690" s="74"/>
      <c r="C690" s="74"/>
      <c r="D690" s="74"/>
      <c r="E690" s="74"/>
      <c r="F690" s="74"/>
      <c r="G690" s="74"/>
      <c r="H690" s="74"/>
      <c r="I690" s="74"/>
      <c r="J690" s="74"/>
      <c r="K690" s="74"/>
      <c r="L690" s="74"/>
      <c r="M690" s="74"/>
      <c r="N690" s="74"/>
      <c r="O690" s="74"/>
      <c r="P690" s="74"/>
      <c r="Q690" s="74"/>
      <c r="R690" s="75"/>
      <c r="S690" s="74"/>
      <c r="T690" s="74"/>
      <c r="U690" s="74"/>
      <c r="V690" s="74"/>
      <c r="W690" s="74"/>
      <c r="X690" s="74"/>
      <c r="Y690" s="74"/>
      <c r="Z690" s="74"/>
      <c r="AA690" s="74"/>
      <c r="AB690" s="74"/>
      <c r="AC690" s="74"/>
      <c r="AD690" s="74"/>
      <c r="AE690" s="74"/>
      <c r="AF690" s="74"/>
      <c r="AG690" s="74"/>
      <c r="AH690" s="74"/>
      <c r="AI690" s="74"/>
      <c r="AJ690" s="74"/>
      <c r="AK690" s="74"/>
    </row>
    <row r="691">
      <c r="A691" s="74"/>
      <c r="B691" s="74"/>
      <c r="C691" s="74"/>
      <c r="D691" s="74"/>
      <c r="E691" s="74"/>
      <c r="F691" s="74"/>
      <c r="G691" s="74"/>
      <c r="H691" s="74"/>
      <c r="I691" s="74"/>
      <c r="J691" s="74"/>
      <c r="K691" s="74"/>
      <c r="L691" s="74"/>
      <c r="M691" s="74"/>
      <c r="N691" s="74"/>
      <c r="O691" s="74"/>
      <c r="P691" s="74"/>
      <c r="Q691" s="74"/>
      <c r="R691" s="75"/>
      <c r="S691" s="74"/>
      <c r="T691" s="74"/>
      <c r="U691" s="74"/>
      <c r="V691" s="74"/>
      <c r="W691" s="74"/>
      <c r="X691" s="74"/>
      <c r="Y691" s="74"/>
      <c r="Z691" s="74"/>
      <c r="AA691" s="74"/>
      <c r="AB691" s="74"/>
      <c r="AC691" s="74"/>
      <c r="AD691" s="74"/>
      <c r="AE691" s="74"/>
      <c r="AF691" s="74"/>
      <c r="AG691" s="74"/>
      <c r="AH691" s="74"/>
      <c r="AI691" s="74"/>
      <c r="AJ691" s="74"/>
      <c r="AK691" s="74"/>
    </row>
    <row r="692">
      <c r="A692" s="74"/>
      <c r="B692" s="74"/>
      <c r="C692" s="74"/>
      <c r="D692" s="74"/>
      <c r="E692" s="74"/>
      <c r="F692" s="74"/>
      <c r="G692" s="74"/>
      <c r="H692" s="74"/>
      <c r="I692" s="74"/>
      <c r="J692" s="74"/>
      <c r="K692" s="74"/>
      <c r="L692" s="74"/>
      <c r="M692" s="74"/>
      <c r="N692" s="74"/>
      <c r="O692" s="74"/>
      <c r="P692" s="74"/>
      <c r="Q692" s="74"/>
      <c r="R692" s="75"/>
      <c r="S692" s="74"/>
      <c r="T692" s="74"/>
      <c r="U692" s="74"/>
      <c r="V692" s="74"/>
      <c r="W692" s="74"/>
      <c r="X692" s="74"/>
      <c r="Y692" s="74"/>
      <c r="Z692" s="74"/>
      <c r="AA692" s="74"/>
      <c r="AB692" s="74"/>
      <c r="AC692" s="74"/>
      <c r="AD692" s="74"/>
      <c r="AE692" s="74"/>
      <c r="AF692" s="74"/>
      <c r="AG692" s="74"/>
      <c r="AH692" s="74"/>
      <c r="AI692" s="74"/>
      <c r="AJ692" s="74"/>
      <c r="AK692" s="74"/>
    </row>
    <row r="693">
      <c r="A693" s="74"/>
      <c r="B693" s="74"/>
      <c r="C693" s="74"/>
      <c r="D693" s="74"/>
      <c r="E693" s="74"/>
      <c r="F693" s="74"/>
      <c r="G693" s="74"/>
      <c r="H693" s="74"/>
      <c r="I693" s="74"/>
      <c r="J693" s="74"/>
      <c r="K693" s="74"/>
      <c r="L693" s="74"/>
      <c r="M693" s="74"/>
      <c r="N693" s="74"/>
      <c r="O693" s="74"/>
      <c r="P693" s="74"/>
      <c r="Q693" s="74"/>
      <c r="R693" s="75"/>
      <c r="S693" s="74"/>
      <c r="T693" s="74"/>
      <c r="U693" s="74"/>
      <c r="V693" s="74"/>
      <c r="W693" s="74"/>
      <c r="X693" s="74"/>
      <c r="Y693" s="74"/>
      <c r="Z693" s="74"/>
      <c r="AA693" s="74"/>
      <c r="AB693" s="74"/>
      <c r="AC693" s="74"/>
      <c r="AD693" s="74"/>
      <c r="AE693" s="74"/>
      <c r="AF693" s="74"/>
      <c r="AG693" s="74"/>
      <c r="AH693" s="74"/>
      <c r="AI693" s="74"/>
      <c r="AJ693" s="74"/>
      <c r="AK693" s="74"/>
    </row>
    <row r="694">
      <c r="A694" s="74"/>
      <c r="B694" s="74"/>
      <c r="C694" s="74"/>
      <c r="D694" s="74"/>
      <c r="E694" s="74"/>
      <c r="F694" s="74"/>
      <c r="G694" s="74"/>
      <c r="H694" s="74"/>
      <c r="I694" s="74"/>
      <c r="J694" s="74"/>
      <c r="K694" s="74"/>
      <c r="L694" s="74"/>
      <c r="M694" s="74"/>
      <c r="N694" s="74"/>
      <c r="O694" s="74"/>
      <c r="P694" s="74"/>
      <c r="Q694" s="74"/>
      <c r="R694" s="75"/>
      <c r="S694" s="74"/>
      <c r="T694" s="74"/>
      <c r="U694" s="74"/>
      <c r="V694" s="74"/>
      <c r="W694" s="74"/>
      <c r="X694" s="74"/>
      <c r="Y694" s="74"/>
      <c r="Z694" s="74"/>
      <c r="AA694" s="74"/>
      <c r="AB694" s="74"/>
      <c r="AC694" s="74"/>
      <c r="AD694" s="74"/>
      <c r="AE694" s="74"/>
      <c r="AF694" s="74"/>
      <c r="AG694" s="74"/>
      <c r="AH694" s="74"/>
      <c r="AI694" s="74"/>
      <c r="AJ694" s="74"/>
      <c r="AK694" s="74"/>
    </row>
    <row r="695">
      <c r="A695" s="74"/>
      <c r="B695" s="74"/>
      <c r="C695" s="74"/>
      <c r="D695" s="74"/>
      <c r="E695" s="74"/>
      <c r="F695" s="74"/>
      <c r="G695" s="74"/>
      <c r="H695" s="74"/>
      <c r="I695" s="74"/>
      <c r="J695" s="74"/>
      <c r="K695" s="74"/>
      <c r="L695" s="74"/>
      <c r="M695" s="74"/>
      <c r="N695" s="74"/>
      <c r="O695" s="74"/>
      <c r="P695" s="74"/>
      <c r="Q695" s="74"/>
      <c r="R695" s="75"/>
      <c r="S695" s="74"/>
      <c r="T695" s="74"/>
      <c r="U695" s="74"/>
      <c r="V695" s="74"/>
      <c r="W695" s="74"/>
      <c r="X695" s="74"/>
      <c r="Y695" s="74"/>
      <c r="Z695" s="74"/>
      <c r="AA695" s="74"/>
      <c r="AB695" s="74"/>
      <c r="AC695" s="74"/>
      <c r="AD695" s="74"/>
      <c r="AE695" s="74"/>
      <c r="AF695" s="74"/>
      <c r="AG695" s="74"/>
      <c r="AH695" s="74"/>
      <c r="AI695" s="74"/>
      <c r="AJ695" s="74"/>
      <c r="AK695" s="74"/>
    </row>
    <row r="696">
      <c r="A696" s="74"/>
      <c r="B696" s="74"/>
      <c r="C696" s="74"/>
      <c r="D696" s="74"/>
      <c r="E696" s="74"/>
      <c r="F696" s="74"/>
      <c r="G696" s="74"/>
      <c r="H696" s="74"/>
      <c r="I696" s="74"/>
      <c r="J696" s="74"/>
      <c r="K696" s="74"/>
      <c r="L696" s="74"/>
      <c r="M696" s="74"/>
      <c r="N696" s="74"/>
      <c r="O696" s="74"/>
      <c r="P696" s="74"/>
      <c r="Q696" s="74"/>
      <c r="R696" s="75"/>
      <c r="S696" s="74"/>
      <c r="T696" s="74"/>
      <c r="U696" s="74"/>
      <c r="V696" s="74"/>
      <c r="W696" s="74"/>
      <c r="X696" s="74"/>
      <c r="Y696" s="74"/>
      <c r="Z696" s="74"/>
      <c r="AA696" s="74"/>
      <c r="AB696" s="74"/>
      <c r="AC696" s="74"/>
      <c r="AD696" s="74"/>
      <c r="AE696" s="74"/>
      <c r="AF696" s="74"/>
      <c r="AG696" s="74"/>
      <c r="AH696" s="74"/>
      <c r="AI696" s="74"/>
      <c r="AJ696" s="74"/>
      <c r="AK696" s="74"/>
    </row>
    <row r="697">
      <c r="A697" s="74"/>
      <c r="B697" s="74"/>
      <c r="C697" s="74"/>
      <c r="D697" s="74"/>
      <c r="E697" s="74"/>
      <c r="F697" s="74"/>
      <c r="G697" s="74"/>
      <c r="H697" s="74"/>
      <c r="I697" s="74"/>
      <c r="J697" s="74"/>
      <c r="K697" s="74"/>
      <c r="L697" s="74"/>
      <c r="M697" s="74"/>
      <c r="N697" s="74"/>
      <c r="O697" s="74"/>
      <c r="P697" s="74"/>
      <c r="Q697" s="74"/>
      <c r="R697" s="75"/>
      <c r="S697" s="74"/>
      <c r="T697" s="74"/>
      <c r="U697" s="74"/>
      <c r="V697" s="74"/>
      <c r="W697" s="74"/>
      <c r="X697" s="74"/>
      <c r="Y697" s="74"/>
      <c r="Z697" s="74"/>
      <c r="AA697" s="74"/>
      <c r="AB697" s="74"/>
      <c r="AC697" s="74"/>
      <c r="AD697" s="74"/>
      <c r="AE697" s="74"/>
      <c r="AF697" s="74"/>
      <c r="AG697" s="74"/>
      <c r="AH697" s="74"/>
      <c r="AI697" s="74"/>
      <c r="AJ697" s="74"/>
      <c r="AK697" s="74"/>
    </row>
    <row r="698">
      <c r="A698" s="74"/>
      <c r="B698" s="74"/>
      <c r="C698" s="74"/>
      <c r="D698" s="74"/>
      <c r="E698" s="74"/>
      <c r="F698" s="74"/>
      <c r="G698" s="74"/>
      <c r="H698" s="74"/>
      <c r="I698" s="74"/>
      <c r="J698" s="74"/>
      <c r="K698" s="74"/>
      <c r="L698" s="74"/>
      <c r="M698" s="74"/>
      <c r="N698" s="74"/>
      <c r="O698" s="74"/>
      <c r="P698" s="74"/>
      <c r="Q698" s="74"/>
      <c r="R698" s="75"/>
      <c r="S698" s="74"/>
      <c r="T698" s="74"/>
      <c r="U698" s="74"/>
      <c r="V698" s="74"/>
      <c r="W698" s="74"/>
      <c r="X698" s="74"/>
      <c r="Y698" s="74"/>
      <c r="Z698" s="74"/>
      <c r="AA698" s="74"/>
      <c r="AB698" s="74"/>
      <c r="AC698" s="74"/>
      <c r="AD698" s="74"/>
      <c r="AE698" s="74"/>
      <c r="AF698" s="74"/>
      <c r="AG698" s="74"/>
      <c r="AH698" s="74"/>
      <c r="AI698" s="74"/>
      <c r="AJ698" s="74"/>
      <c r="AK698" s="74"/>
    </row>
    <row r="699">
      <c r="A699" s="74"/>
      <c r="B699" s="74"/>
      <c r="C699" s="74"/>
      <c r="D699" s="74"/>
      <c r="E699" s="74"/>
      <c r="F699" s="74"/>
      <c r="G699" s="74"/>
      <c r="H699" s="74"/>
      <c r="I699" s="74"/>
      <c r="J699" s="74"/>
      <c r="K699" s="74"/>
      <c r="L699" s="74"/>
      <c r="M699" s="74"/>
      <c r="N699" s="74"/>
      <c r="O699" s="74"/>
      <c r="P699" s="74"/>
      <c r="Q699" s="74"/>
      <c r="R699" s="75"/>
      <c r="S699" s="74"/>
      <c r="T699" s="74"/>
      <c r="U699" s="74"/>
      <c r="V699" s="74"/>
      <c r="W699" s="74"/>
      <c r="X699" s="74"/>
      <c r="Y699" s="74"/>
      <c r="Z699" s="74"/>
      <c r="AA699" s="74"/>
      <c r="AB699" s="74"/>
      <c r="AC699" s="74"/>
      <c r="AD699" s="74"/>
      <c r="AE699" s="74"/>
      <c r="AF699" s="74"/>
      <c r="AG699" s="74"/>
      <c r="AH699" s="74"/>
      <c r="AI699" s="74"/>
      <c r="AJ699" s="74"/>
      <c r="AK699" s="74"/>
    </row>
    <row r="700">
      <c r="A700" s="74"/>
      <c r="B700" s="74"/>
      <c r="C700" s="74"/>
      <c r="D700" s="74"/>
      <c r="E700" s="74"/>
      <c r="F700" s="74"/>
      <c r="G700" s="74"/>
      <c r="H700" s="74"/>
      <c r="I700" s="74"/>
      <c r="J700" s="74"/>
      <c r="K700" s="74"/>
      <c r="L700" s="74"/>
      <c r="M700" s="74"/>
      <c r="N700" s="74"/>
      <c r="O700" s="74"/>
      <c r="P700" s="74"/>
      <c r="Q700" s="74"/>
      <c r="R700" s="75"/>
      <c r="S700" s="74"/>
      <c r="T700" s="74"/>
      <c r="U700" s="74"/>
      <c r="V700" s="74"/>
      <c r="W700" s="74"/>
      <c r="X700" s="74"/>
      <c r="Y700" s="74"/>
      <c r="Z700" s="74"/>
      <c r="AA700" s="74"/>
      <c r="AB700" s="74"/>
      <c r="AC700" s="74"/>
      <c r="AD700" s="74"/>
      <c r="AE700" s="74"/>
      <c r="AF700" s="74"/>
      <c r="AG700" s="74"/>
      <c r="AH700" s="74"/>
      <c r="AI700" s="74"/>
      <c r="AJ700" s="74"/>
      <c r="AK700" s="74"/>
    </row>
    <row r="701">
      <c r="A701" s="74"/>
      <c r="B701" s="74"/>
      <c r="C701" s="74"/>
      <c r="D701" s="74"/>
      <c r="E701" s="74"/>
      <c r="F701" s="74"/>
      <c r="G701" s="74"/>
      <c r="H701" s="74"/>
      <c r="I701" s="74"/>
      <c r="J701" s="74"/>
      <c r="K701" s="74"/>
      <c r="L701" s="74"/>
      <c r="M701" s="74"/>
      <c r="N701" s="74"/>
      <c r="O701" s="74"/>
      <c r="P701" s="74"/>
      <c r="Q701" s="74"/>
      <c r="R701" s="75"/>
      <c r="S701" s="74"/>
      <c r="T701" s="74"/>
      <c r="U701" s="74"/>
      <c r="V701" s="74"/>
      <c r="W701" s="74"/>
      <c r="X701" s="74"/>
      <c r="Y701" s="74"/>
      <c r="Z701" s="74"/>
      <c r="AA701" s="74"/>
      <c r="AB701" s="74"/>
      <c r="AC701" s="74"/>
      <c r="AD701" s="74"/>
      <c r="AE701" s="74"/>
      <c r="AF701" s="74"/>
      <c r="AG701" s="74"/>
      <c r="AH701" s="74"/>
      <c r="AI701" s="74"/>
      <c r="AJ701" s="74"/>
      <c r="AK701" s="74"/>
    </row>
    <row r="702">
      <c r="A702" s="74"/>
      <c r="B702" s="74"/>
      <c r="C702" s="74"/>
      <c r="D702" s="74"/>
      <c r="E702" s="74"/>
      <c r="F702" s="74"/>
      <c r="G702" s="74"/>
      <c r="H702" s="74"/>
      <c r="I702" s="74"/>
      <c r="J702" s="74"/>
      <c r="K702" s="74"/>
      <c r="L702" s="74"/>
      <c r="M702" s="74"/>
      <c r="N702" s="74"/>
      <c r="O702" s="74"/>
      <c r="P702" s="74"/>
      <c r="Q702" s="74"/>
      <c r="R702" s="75"/>
      <c r="S702" s="74"/>
      <c r="T702" s="74"/>
      <c r="U702" s="74"/>
      <c r="V702" s="74"/>
      <c r="W702" s="74"/>
      <c r="X702" s="74"/>
      <c r="Y702" s="74"/>
      <c r="Z702" s="74"/>
      <c r="AA702" s="74"/>
      <c r="AB702" s="74"/>
      <c r="AC702" s="74"/>
      <c r="AD702" s="74"/>
      <c r="AE702" s="74"/>
      <c r="AF702" s="74"/>
      <c r="AG702" s="74"/>
      <c r="AH702" s="74"/>
      <c r="AI702" s="74"/>
      <c r="AJ702" s="74"/>
      <c r="AK702" s="74"/>
    </row>
    <row r="703">
      <c r="A703" s="74"/>
      <c r="B703" s="74"/>
      <c r="C703" s="74"/>
      <c r="D703" s="74"/>
      <c r="E703" s="74"/>
      <c r="F703" s="74"/>
      <c r="G703" s="74"/>
      <c r="H703" s="74"/>
      <c r="I703" s="74"/>
      <c r="J703" s="74"/>
      <c r="K703" s="74"/>
      <c r="L703" s="74"/>
      <c r="M703" s="74"/>
      <c r="N703" s="74"/>
      <c r="O703" s="74"/>
      <c r="P703" s="74"/>
      <c r="Q703" s="74"/>
      <c r="R703" s="75"/>
      <c r="S703" s="74"/>
      <c r="T703" s="74"/>
      <c r="U703" s="74"/>
      <c r="V703" s="74"/>
      <c r="W703" s="74"/>
      <c r="X703" s="74"/>
      <c r="Y703" s="74"/>
      <c r="Z703" s="74"/>
      <c r="AA703" s="74"/>
      <c r="AB703" s="74"/>
      <c r="AC703" s="74"/>
      <c r="AD703" s="74"/>
      <c r="AE703" s="74"/>
      <c r="AF703" s="74"/>
      <c r="AG703" s="74"/>
      <c r="AH703" s="74"/>
      <c r="AI703" s="74"/>
      <c r="AJ703" s="74"/>
      <c r="AK703" s="74"/>
    </row>
    <row r="704">
      <c r="A704" s="74"/>
      <c r="B704" s="74"/>
      <c r="C704" s="74"/>
      <c r="D704" s="74"/>
      <c r="E704" s="74"/>
      <c r="F704" s="74"/>
      <c r="G704" s="74"/>
      <c r="H704" s="74"/>
      <c r="I704" s="74"/>
      <c r="J704" s="74"/>
      <c r="K704" s="74"/>
      <c r="L704" s="74"/>
      <c r="M704" s="74"/>
      <c r="N704" s="74"/>
      <c r="O704" s="74"/>
      <c r="P704" s="74"/>
      <c r="Q704" s="74"/>
      <c r="R704" s="75"/>
      <c r="S704" s="74"/>
      <c r="T704" s="74"/>
      <c r="U704" s="74"/>
      <c r="V704" s="74"/>
      <c r="W704" s="74"/>
      <c r="X704" s="74"/>
      <c r="Y704" s="74"/>
      <c r="Z704" s="74"/>
      <c r="AA704" s="74"/>
      <c r="AB704" s="74"/>
      <c r="AC704" s="74"/>
      <c r="AD704" s="74"/>
      <c r="AE704" s="74"/>
      <c r="AF704" s="74"/>
      <c r="AG704" s="74"/>
      <c r="AH704" s="74"/>
      <c r="AI704" s="74"/>
      <c r="AJ704" s="74"/>
      <c r="AK704" s="74"/>
    </row>
    <row r="705">
      <c r="A705" s="74"/>
      <c r="B705" s="74"/>
      <c r="C705" s="74"/>
      <c r="D705" s="74"/>
      <c r="E705" s="74"/>
      <c r="F705" s="74"/>
      <c r="G705" s="74"/>
      <c r="H705" s="74"/>
      <c r="I705" s="74"/>
      <c r="J705" s="74"/>
      <c r="K705" s="74"/>
      <c r="L705" s="74"/>
      <c r="M705" s="74"/>
      <c r="N705" s="74"/>
      <c r="O705" s="74"/>
      <c r="P705" s="74"/>
      <c r="Q705" s="74"/>
      <c r="R705" s="75"/>
      <c r="S705" s="74"/>
      <c r="T705" s="74"/>
      <c r="U705" s="74"/>
      <c r="V705" s="74"/>
      <c r="W705" s="74"/>
      <c r="X705" s="74"/>
      <c r="Y705" s="74"/>
      <c r="Z705" s="74"/>
      <c r="AA705" s="74"/>
      <c r="AB705" s="74"/>
      <c r="AC705" s="74"/>
      <c r="AD705" s="74"/>
      <c r="AE705" s="74"/>
      <c r="AF705" s="74"/>
      <c r="AG705" s="74"/>
      <c r="AH705" s="74"/>
      <c r="AI705" s="74"/>
      <c r="AJ705" s="74"/>
      <c r="AK705" s="74"/>
    </row>
    <row r="706">
      <c r="A706" s="74"/>
      <c r="B706" s="74"/>
      <c r="C706" s="74"/>
      <c r="D706" s="74"/>
      <c r="E706" s="74"/>
      <c r="F706" s="74"/>
      <c r="G706" s="74"/>
      <c r="H706" s="74"/>
      <c r="I706" s="74"/>
      <c r="J706" s="74"/>
      <c r="K706" s="74"/>
      <c r="L706" s="74"/>
      <c r="M706" s="74"/>
      <c r="N706" s="74"/>
      <c r="O706" s="74"/>
      <c r="P706" s="74"/>
      <c r="Q706" s="74"/>
      <c r="R706" s="75"/>
      <c r="S706" s="74"/>
      <c r="T706" s="74"/>
      <c r="U706" s="74"/>
      <c r="V706" s="74"/>
      <c r="W706" s="74"/>
      <c r="X706" s="74"/>
      <c r="Y706" s="74"/>
      <c r="Z706" s="74"/>
      <c r="AA706" s="74"/>
      <c r="AB706" s="74"/>
      <c r="AC706" s="74"/>
      <c r="AD706" s="74"/>
      <c r="AE706" s="74"/>
      <c r="AF706" s="74"/>
      <c r="AG706" s="74"/>
      <c r="AH706" s="74"/>
      <c r="AI706" s="74"/>
      <c r="AJ706" s="74"/>
      <c r="AK706" s="74"/>
    </row>
    <row r="707">
      <c r="A707" s="74"/>
      <c r="B707" s="74"/>
      <c r="C707" s="74"/>
      <c r="D707" s="74"/>
      <c r="E707" s="74"/>
      <c r="F707" s="74"/>
      <c r="G707" s="74"/>
      <c r="H707" s="74"/>
      <c r="I707" s="74"/>
      <c r="J707" s="74"/>
      <c r="K707" s="74"/>
      <c r="L707" s="74"/>
      <c r="M707" s="74"/>
      <c r="N707" s="74"/>
      <c r="O707" s="74"/>
      <c r="P707" s="74"/>
      <c r="Q707" s="74"/>
      <c r="R707" s="75"/>
      <c r="S707" s="74"/>
      <c r="T707" s="74"/>
      <c r="U707" s="74"/>
      <c r="V707" s="74"/>
      <c r="W707" s="74"/>
      <c r="X707" s="74"/>
      <c r="Y707" s="74"/>
      <c r="Z707" s="74"/>
      <c r="AA707" s="74"/>
      <c r="AB707" s="74"/>
      <c r="AC707" s="74"/>
      <c r="AD707" s="74"/>
      <c r="AE707" s="74"/>
      <c r="AF707" s="74"/>
      <c r="AG707" s="74"/>
      <c r="AH707" s="74"/>
      <c r="AI707" s="74"/>
      <c r="AJ707" s="74"/>
      <c r="AK707" s="74"/>
    </row>
    <row r="708">
      <c r="A708" s="74"/>
      <c r="B708" s="74"/>
      <c r="C708" s="74"/>
      <c r="D708" s="74"/>
      <c r="E708" s="74"/>
      <c r="F708" s="74"/>
      <c r="G708" s="74"/>
      <c r="H708" s="74"/>
      <c r="I708" s="74"/>
      <c r="J708" s="74"/>
      <c r="K708" s="74"/>
      <c r="L708" s="74"/>
      <c r="M708" s="74"/>
      <c r="N708" s="74"/>
      <c r="O708" s="74"/>
      <c r="P708" s="74"/>
      <c r="Q708" s="74"/>
      <c r="R708" s="75"/>
      <c r="S708" s="74"/>
      <c r="T708" s="74"/>
      <c r="U708" s="74"/>
      <c r="V708" s="74"/>
      <c r="W708" s="74"/>
      <c r="X708" s="74"/>
      <c r="Y708" s="74"/>
      <c r="Z708" s="74"/>
      <c r="AA708" s="74"/>
      <c r="AB708" s="74"/>
      <c r="AC708" s="74"/>
      <c r="AD708" s="74"/>
      <c r="AE708" s="74"/>
      <c r="AF708" s="74"/>
      <c r="AG708" s="74"/>
      <c r="AH708" s="74"/>
      <c r="AI708" s="74"/>
      <c r="AJ708" s="74"/>
      <c r="AK708" s="74"/>
    </row>
    <row r="709">
      <c r="A709" s="74"/>
      <c r="B709" s="74"/>
      <c r="C709" s="74"/>
      <c r="D709" s="74"/>
      <c r="E709" s="74"/>
      <c r="F709" s="74"/>
      <c r="G709" s="74"/>
      <c r="H709" s="74"/>
      <c r="I709" s="74"/>
      <c r="J709" s="74"/>
      <c r="K709" s="74"/>
      <c r="L709" s="74"/>
      <c r="M709" s="74"/>
      <c r="N709" s="74"/>
      <c r="O709" s="74"/>
      <c r="P709" s="74"/>
      <c r="Q709" s="74"/>
      <c r="R709" s="75"/>
      <c r="S709" s="74"/>
      <c r="T709" s="74"/>
      <c r="U709" s="74"/>
      <c r="V709" s="74"/>
      <c r="W709" s="74"/>
      <c r="X709" s="74"/>
      <c r="Y709" s="74"/>
      <c r="Z709" s="74"/>
      <c r="AA709" s="74"/>
      <c r="AB709" s="74"/>
      <c r="AC709" s="74"/>
      <c r="AD709" s="74"/>
      <c r="AE709" s="74"/>
      <c r="AF709" s="74"/>
      <c r="AG709" s="74"/>
      <c r="AH709" s="74"/>
      <c r="AI709" s="74"/>
      <c r="AJ709" s="74"/>
      <c r="AK709" s="74"/>
    </row>
    <row r="710">
      <c r="A710" s="74"/>
      <c r="B710" s="74"/>
      <c r="C710" s="74"/>
      <c r="D710" s="74"/>
      <c r="E710" s="74"/>
      <c r="F710" s="74"/>
      <c r="G710" s="74"/>
      <c r="H710" s="74"/>
      <c r="I710" s="74"/>
      <c r="J710" s="74"/>
      <c r="K710" s="74"/>
      <c r="L710" s="74"/>
      <c r="M710" s="74"/>
      <c r="N710" s="74"/>
      <c r="O710" s="74"/>
      <c r="P710" s="74"/>
      <c r="Q710" s="74"/>
      <c r="R710" s="75"/>
      <c r="S710" s="74"/>
      <c r="T710" s="74"/>
      <c r="U710" s="74"/>
      <c r="V710" s="74"/>
      <c r="W710" s="74"/>
      <c r="X710" s="74"/>
      <c r="Y710" s="74"/>
      <c r="Z710" s="74"/>
      <c r="AA710" s="74"/>
      <c r="AB710" s="74"/>
      <c r="AC710" s="74"/>
      <c r="AD710" s="74"/>
      <c r="AE710" s="74"/>
      <c r="AF710" s="74"/>
      <c r="AG710" s="74"/>
      <c r="AH710" s="74"/>
      <c r="AI710" s="74"/>
      <c r="AJ710" s="74"/>
      <c r="AK710" s="74"/>
    </row>
    <row r="711">
      <c r="A711" s="74"/>
      <c r="B711" s="74"/>
      <c r="C711" s="74"/>
      <c r="D711" s="74"/>
      <c r="E711" s="74"/>
      <c r="F711" s="74"/>
      <c r="G711" s="74"/>
      <c r="H711" s="74"/>
      <c r="I711" s="74"/>
      <c r="J711" s="74"/>
      <c r="K711" s="74"/>
      <c r="L711" s="74"/>
      <c r="M711" s="74"/>
      <c r="N711" s="74"/>
      <c r="O711" s="74"/>
      <c r="P711" s="74"/>
      <c r="Q711" s="74"/>
      <c r="R711" s="75"/>
      <c r="S711" s="74"/>
      <c r="T711" s="74"/>
      <c r="U711" s="74"/>
      <c r="V711" s="74"/>
      <c r="W711" s="74"/>
      <c r="X711" s="74"/>
      <c r="Y711" s="74"/>
      <c r="Z711" s="74"/>
      <c r="AA711" s="74"/>
      <c r="AB711" s="74"/>
      <c r="AC711" s="74"/>
      <c r="AD711" s="74"/>
      <c r="AE711" s="74"/>
      <c r="AF711" s="74"/>
      <c r="AG711" s="74"/>
      <c r="AH711" s="74"/>
      <c r="AI711" s="74"/>
      <c r="AJ711" s="74"/>
      <c r="AK711" s="74"/>
    </row>
    <row r="712">
      <c r="A712" s="74"/>
      <c r="B712" s="74"/>
      <c r="C712" s="74"/>
      <c r="D712" s="74"/>
      <c r="E712" s="74"/>
      <c r="F712" s="74"/>
      <c r="G712" s="74"/>
      <c r="H712" s="74"/>
      <c r="I712" s="74"/>
      <c r="J712" s="74"/>
      <c r="K712" s="74"/>
      <c r="L712" s="74"/>
      <c r="M712" s="74"/>
      <c r="N712" s="74"/>
      <c r="O712" s="74"/>
      <c r="P712" s="74"/>
      <c r="Q712" s="74"/>
      <c r="R712" s="75"/>
      <c r="S712" s="74"/>
      <c r="T712" s="74"/>
      <c r="U712" s="74"/>
      <c r="V712" s="74"/>
      <c r="W712" s="74"/>
      <c r="X712" s="74"/>
      <c r="Y712" s="74"/>
      <c r="Z712" s="74"/>
      <c r="AA712" s="74"/>
      <c r="AB712" s="74"/>
      <c r="AC712" s="74"/>
      <c r="AD712" s="74"/>
      <c r="AE712" s="74"/>
      <c r="AF712" s="74"/>
      <c r="AG712" s="74"/>
      <c r="AH712" s="74"/>
      <c r="AI712" s="74"/>
      <c r="AJ712" s="74"/>
      <c r="AK712" s="74"/>
    </row>
    <row r="713">
      <c r="A713" s="74"/>
      <c r="B713" s="74"/>
      <c r="C713" s="74"/>
      <c r="D713" s="74"/>
      <c r="E713" s="74"/>
      <c r="F713" s="74"/>
      <c r="G713" s="74"/>
      <c r="H713" s="74"/>
      <c r="I713" s="74"/>
      <c r="J713" s="74"/>
      <c r="K713" s="74"/>
      <c r="L713" s="74"/>
      <c r="M713" s="74"/>
      <c r="N713" s="74"/>
      <c r="O713" s="74"/>
      <c r="P713" s="74"/>
      <c r="Q713" s="74"/>
      <c r="R713" s="75"/>
      <c r="S713" s="74"/>
      <c r="T713" s="74"/>
      <c r="U713" s="74"/>
      <c r="V713" s="74"/>
      <c r="W713" s="74"/>
      <c r="X713" s="74"/>
      <c r="Y713" s="74"/>
      <c r="Z713" s="74"/>
      <c r="AA713" s="74"/>
      <c r="AB713" s="74"/>
      <c r="AC713" s="74"/>
      <c r="AD713" s="74"/>
      <c r="AE713" s="74"/>
      <c r="AF713" s="74"/>
      <c r="AG713" s="74"/>
      <c r="AH713" s="74"/>
      <c r="AI713" s="74"/>
      <c r="AJ713" s="74"/>
      <c r="AK713" s="74"/>
    </row>
    <row r="714">
      <c r="A714" s="74"/>
      <c r="B714" s="74"/>
      <c r="C714" s="74"/>
      <c r="D714" s="74"/>
      <c r="E714" s="74"/>
      <c r="F714" s="74"/>
      <c r="G714" s="74"/>
      <c r="H714" s="74"/>
      <c r="I714" s="74"/>
      <c r="J714" s="74"/>
      <c r="K714" s="74"/>
      <c r="L714" s="74"/>
      <c r="M714" s="74"/>
      <c r="N714" s="74"/>
      <c r="O714" s="74"/>
      <c r="P714" s="74"/>
      <c r="Q714" s="74"/>
      <c r="R714" s="75"/>
      <c r="S714" s="74"/>
      <c r="T714" s="74"/>
      <c r="U714" s="74"/>
      <c r="V714" s="74"/>
      <c r="W714" s="74"/>
      <c r="X714" s="74"/>
      <c r="Y714" s="74"/>
      <c r="Z714" s="74"/>
      <c r="AA714" s="74"/>
      <c r="AB714" s="74"/>
      <c r="AC714" s="74"/>
      <c r="AD714" s="74"/>
      <c r="AE714" s="74"/>
      <c r="AF714" s="74"/>
      <c r="AG714" s="74"/>
      <c r="AH714" s="74"/>
      <c r="AI714" s="74"/>
      <c r="AJ714" s="74"/>
      <c r="AK714" s="74"/>
    </row>
    <row r="715">
      <c r="A715" s="74"/>
      <c r="B715" s="74"/>
      <c r="C715" s="74"/>
      <c r="D715" s="74"/>
      <c r="E715" s="74"/>
      <c r="F715" s="74"/>
      <c r="G715" s="74"/>
      <c r="H715" s="74"/>
      <c r="I715" s="74"/>
      <c r="J715" s="74"/>
      <c r="K715" s="74"/>
      <c r="L715" s="74"/>
      <c r="M715" s="74"/>
      <c r="N715" s="74"/>
      <c r="O715" s="74"/>
      <c r="P715" s="74"/>
      <c r="Q715" s="74"/>
      <c r="R715" s="75"/>
      <c r="S715" s="74"/>
      <c r="T715" s="74"/>
      <c r="U715" s="74"/>
      <c r="V715" s="74"/>
      <c r="W715" s="74"/>
      <c r="X715" s="74"/>
      <c r="Y715" s="74"/>
      <c r="Z715" s="74"/>
      <c r="AA715" s="74"/>
      <c r="AB715" s="74"/>
      <c r="AC715" s="74"/>
      <c r="AD715" s="74"/>
      <c r="AE715" s="74"/>
      <c r="AF715" s="74"/>
      <c r="AG715" s="74"/>
      <c r="AH715" s="74"/>
      <c r="AI715" s="74"/>
      <c r="AJ715" s="74"/>
      <c r="AK715" s="74"/>
    </row>
    <row r="716">
      <c r="A716" s="74"/>
      <c r="B716" s="74"/>
      <c r="C716" s="74"/>
      <c r="D716" s="74"/>
      <c r="E716" s="74"/>
      <c r="F716" s="74"/>
      <c r="G716" s="74"/>
      <c r="H716" s="74"/>
      <c r="I716" s="74"/>
      <c r="J716" s="74"/>
      <c r="K716" s="74"/>
      <c r="L716" s="74"/>
      <c r="M716" s="74"/>
      <c r="N716" s="74"/>
      <c r="O716" s="74"/>
      <c r="P716" s="74"/>
      <c r="Q716" s="74"/>
      <c r="R716" s="75"/>
      <c r="S716" s="74"/>
      <c r="T716" s="74"/>
      <c r="U716" s="74"/>
      <c r="V716" s="74"/>
      <c r="W716" s="74"/>
      <c r="X716" s="74"/>
      <c r="Y716" s="74"/>
      <c r="Z716" s="74"/>
      <c r="AA716" s="74"/>
      <c r="AB716" s="74"/>
      <c r="AC716" s="74"/>
      <c r="AD716" s="74"/>
      <c r="AE716" s="74"/>
      <c r="AF716" s="74"/>
      <c r="AG716" s="74"/>
      <c r="AH716" s="74"/>
      <c r="AI716" s="74"/>
      <c r="AJ716" s="74"/>
      <c r="AK716" s="74"/>
    </row>
    <row r="717">
      <c r="A717" s="74"/>
      <c r="B717" s="74"/>
      <c r="C717" s="74"/>
      <c r="D717" s="74"/>
      <c r="E717" s="74"/>
      <c r="F717" s="74"/>
      <c r="G717" s="74"/>
      <c r="H717" s="74"/>
      <c r="I717" s="74"/>
      <c r="J717" s="74"/>
      <c r="K717" s="74"/>
      <c r="L717" s="74"/>
      <c r="M717" s="74"/>
      <c r="N717" s="74"/>
      <c r="O717" s="74"/>
      <c r="P717" s="74"/>
      <c r="Q717" s="74"/>
      <c r="R717" s="75"/>
      <c r="S717" s="74"/>
      <c r="T717" s="74"/>
      <c r="U717" s="74"/>
      <c r="V717" s="74"/>
      <c r="W717" s="74"/>
      <c r="X717" s="74"/>
      <c r="Y717" s="74"/>
      <c r="Z717" s="74"/>
      <c r="AA717" s="74"/>
      <c r="AB717" s="74"/>
      <c r="AC717" s="74"/>
      <c r="AD717" s="74"/>
      <c r="AE717" s="74"/>
      <c r="AF717" s="74"/>
      <c r="AG717" s="74"/>
      <c r="AH717" s="74"/>
      <c r="AI717" s="74"/>
      <c r="AJ717" s="74"/>
      <c r="AK717" s="74"/>
    </row>
    <row r="718">
      <c r="A718" s="74"/>
      <c r="B718" s="74"/>
      <c r="C718" s="74"/>
      <c r="D718" s="74"/>
      <c r="E718" s="74"/>
      <c r="F718" s="74"/>
      <c r="G718" s="74"/>
      <c r="H718" s="74"/>
      <c r="I718" s="74"/>
      <c r="J718" s="74"/>
      <c r="K718" s="74"/>
      <c r="L718" s="74"/>
      <c r="M718" s="74"/>
      <c r="N718" s="74"/>
      <c r="O718" s="74"/>
      <c r="P718" s="74"/>
      <c r="Q718" s="74"/>
      <c r="R718" s="75"/>
      <c r="S718" s="74"/>
      <c r="T718" s="74"/>
      <c r="U718" s="74"/>
      <c r="V718" s="74"/>
      <c r="W718" s="74"/>
      <c r="X718" s="74"/>
      <c r="Y718" s="74"/>
      <c r="Z718" s="74"/>
      <c r="AA718" s="74"/>
      <c r="AB718" s="74"/>
      <c r="AC718" s="74"/>
      <c r="AD718" s="74"/>
      <c r="AE718" s="74"/>
      <c r="AF718" s="74"/>
      <c r="AG718" s="74"/>
      <c r="AH718" s="74"/>
      <c r="AI718" s="74"/>
      <c r="AJ718" s="74"/>
      <c r="AK718" s="74"/>
    </row>
    <row r="719">
      <c r="A719" s="74"/>
      <c r="B719" s="74"/>
      <c r="C719" s="74"/>
      <c r="D719" s="74"/>
      <c r="E719" s="74"/>
      <c r="F719" s="74"/>
      <c r="G719" s="74"/>
      <c r="H719" s="74"/>
      <c r="I719" s="74"/>
      <c r="J719" s="74"/>
      <c r="K719" s="74"/>
      <c r="L719" s="74"/>
      <c r="M719" s="74"/>
      <c r="N719" s="74"/>
      <c r="O719" s="74"/>
      <c r="P719" s="74"/>
      <c r="Q719" s="74"/>
      <c r="R719" s="75"/>
      <c r="S719" s="74"/>
      <c r="T719" s="74"/>
      <c r="U719" s="74"/>
      <c r="V719" s="74"/>
      <c r="W719" s="74"/>
      <c r="X719" s="74"/>
      <c r="Y719" s="74"/>
      <c r="Z719" s="74"/>
      <c r="AA719" s="74"/>
      <c r="AB719" s="74"/>
      <c r="AC719" s="74"/>
      <c r="AD719" s="74"/>
      <c r="AE719" s="74"/>
      <c r="AF719" s="74"/>
      <c r="AG719" s="74"/>
      <c r="AH719" s="74"/>
      <c r="AI719" s="74"/>
      <c r="AJ719" s="74"/>
      <c r="AK719" s="74"/>
    </row>
    <row r="720">
      <c r="A720" s="74"/>
      <c r="B720" s="74"/>
      <c r="C720" s="74"/>
      <c r="D720" s="74"/>
      <c r="E720" s="74"/>
      <c r="F720" s="74"/>
      <c r="G720" s="74"/>
      <c r="H720" s="74"/>
      <c r="I720" s="74"/>
      <c r="J720" s="74"/>
      <c r="K720" s="74"/>
      <c r="L720" s="74"/>
      <c r="M720" s="74"/>
      <c r="N720" s="74"/>
      <c r="O720" s="74"/>
      <c r="P720" s="74"/>
      <c r="Q720" s="74"/>
      <c r="R720" s="75"/>
      <c r="S720" s="74"/>
      <c r="T720" s="74"/>
      <c r="U720" s="74"/>
      <c r="V720" s="74"/>
      <c r="W720" s="74"/>
      <c r="X720" s="74"/>
      <c r="Y720" s="74"/>
      <c r="Z720" s="74"/>
      <c r="AA720" s="74"/>
      <c r="AB720" s="74"/>
      <c r="AC720" s="74"/>
      <c r="AD720" s="74"/>
      <c r="AE720" s="74"/>
      <c r="AF720" s="74"/>
      <c r="AG720" s="74"/>
      <c r="AH720" s="74"/>
      <c r="AI720" s="74"/>
      <c r="AJ720" s="74"/>
      <c r="AK720" s="74"/>
    </row>
    <row r="721">
      <c r="A721" s="74"/>
      <c r="B721" s="74"/>
      <c r="C721" s="74"/>
      <c r="D721" s="74"/>
      <c r="E721" s="74"/>
      <c r="F721" s="74"/>
      <c r="G721" s="74"/>
      <c r="H721" s="74"/>
      <c r="I721" s="74"/>
      <c r="J721" s="74"/>
      <c r="K721" s="74"/>
      <c r="L721" s="74"/>
      <c r="M721" s="74"/>
      <c r="N721" s="74"/>
      <c r="O721" s="74"/>
      <c r="P721" s="74"/>
      <c r="Q721" s="74"/>
      <c r="R721" s="75"/>
      <c r="S721" s="74"/>
      <c r="T721" s="74"/>
      <c r="U721" s="74"/>
      <c r="V721" s="74"/>
      <c r="W721" s="74"/>
      <c r="X721" s="74"/>
      <c r="Y721" s="74"/>
      <c r="Z721" s="74"/>
      <c r="AA721" s="74"/>
      <c r="AB721" s="74"/>
      <c r="AC721" s="74"/>
      <c r="AD721" s="74"/>
      <c r="AE721" s="74"/>
      <c r="AF721" s="74"/>
      <c r="AG721" s="74"/>
      <c r="AH721" s="74"/>
      <c r="AI721" s="74"/>
      <c r="AJ721" s="74"/>
      <c r="AK721" s="74"/>
    </row>
    <row r="722">
      <c r="A722" s="74"/>
      <c r="B722" s="74"/>
      <c r="C722" s="74"/>
      <c r="D722" s="74"/>
      <c r="E722" s="74"/>
      <c r="F722" s="74"/>
      <c r="G722" s="74"/>
      <c r="H722" s="74"/>
      <c r="I722" s="74"/>
      <c r="J722" s="74"/>
      <c r="K722" s="74"/>
      <c r="L722" s="74"/>
      <c r="M722" s="74"/>
      <c r="N722" s="74"/>
      <c r="O722" s="74"/>
      <c r="P722" s="74"/>
      <c r="Q722" s="74"/>
      <c r="R722" s="75"/>
      <c r="S722" s="74"/>
      <c r="T722" s="74"/>
      <c r="U722" s="74"/>
      <c r="V722" s="74"/>
      <c r="W722" s="74"/>
      <c r="X722" s="74"/>
      <c r="Y722" s="74"/>
      <c r="Z722" s="74"/>
      <c r="AA722" s="74"/>
      <c r="AB722" s="74"/>
      <c r="AC722" s="74"/>
      <c r="AD722" s="74"/>
      <c r="AE722" s="74"/>
      <c r="AF722" s="74"/>
      <c r="AG722" s="74"/>
      <c r="AH722" s="74"/>
      <c r="AI722" s="74"/>
      <c r="AJ722" s="74"/>
      <c r="AK722" s="74"/>
    </row>
    <row r="723">
      <c r="A723" s="74"/>
      <c r="B723" s="74"/>
      <c r="C723" s="74"/>
      <c r="D723" s="74"/>
      <c r="E723" s="74"/>
      <c r="F723" s="74"/>
      <c r="G723" s="74"/>
      <c r="H723" s="74"/>
      <c r="I723" s="74"/>
      <c r="J723" s="74"/>
      <c r="K723" s="74"/>
      <c r="L723" s="74"/>
      <c r="M723" s="74"/>
      <c r="N723" s="74"/>
      <c r="O723" s="74"/>
      <c r="P723" s="74"/>
      <c r="Q723" s="74"/>
      <c r="R723" s="75"/>
      <c r="S723" s="74"/>
      <c r="T723" s="74"/>
      <c r="U723" s="74"/>
      <c r="V723" s="74"/>
      <c r="W723" s="74"/>
      <c r="X723" s="74"/>
      <c r="Y723" s="74"/>
      <c r="Z723" s="74"/>
      <c r="AA723" s="74"/>
      <c r="AB723" s="74"/>
      <c r="AC723" s="74"/>
      <c r="AD723" s="74"/>
      <c r="AE723" s="74"/>
      <c r="AF723" s="74"/>
      <c r="AG723" s="74"/>
      <c r="AH723" s="74"/>
      <c r="AI723" s="74"/>
      <c r="AJ723" s="74"/>
      <c r="AK723" s="74"/>
    </row>
    <row r="724">
      <c r="A724" s="74"/>
      <c r="B724" s="74"/>
      <c r="C724" s="74"/>
      <c r="D724" s="74"/>
      <c r="E724" s="74"/>
      <c r="F724" s="74"/>
      <c r="G724" s="74"/>
      <c r="H724" s="74"/>
      <c r="I724" s="74"/>
      <c r="J724" s="74"/>
      <c r="K724" s="74"/>
      <c r="L724" s="74"/>
      <c r="M724" s="74"/>
      <c r="N724" s="74"/>
      <c r="O724" s="74"/>
      <c r="P724" s="74"/>
      <c r="Q724" s="74"/>
      <c r="R724" s="75"/>
      <c r="S724" s="74"/>
      <c r="T724" s="74"/>
      <c r="U724" s="74"/>
      <c r="V724" s="74"/>
      <c r="W724" s="74"/>
      <c r="X724" s="74"/>
      <c r="Y724" s="74"/>
      <c r="Z724" s="74"/>
      <c r="AA724" s="74"/>
      <c r="AB724" s="74"/>
      <c r="AC724" s="74"/>
      <c r="AD724" s="74"/>
      <c r="AE724" s="74"/>
      <c r="AF724" s="74"/>
      <c r="AG724" s="74"/>
      <c r="AH724" s="74"/>
      <c r="AI724" s="74"/>
      <c r="AJ724" s="74"/>
      <c r="AK724" s="74"/>
    </row>
    <row r="725">
      <c r="A725" s="74"/>
      <c r="B725" s="74"/>
      <c r="C725" s="74"/>
      <c r="D725" s="74"/>
      <c r="E725" s="74"/>
      <c r="F725" s="74"/>
      <c r="G725" s="74"/>
      <c r="H725" s="74"/>
      <c r="I725" s="74"/>
      <c r="J725" s="74"/>
      <c r="K725" s="74"/>
      <c r="L725" s="74"/>
      <c r="M725" s="74"/>
      <c r="N725" s="74"/>
      <c r="O725" s="74"/>
      <c r="P725" s="74"/>
      <c r="Q725" s="74"/>
      <c r="R725" s="75"/>
      <c r="S725" s="74"/>
      <c r="T725" s="74"/>
      <c r="U725" s="74"/>
      <c r="V725" s="74"/>
      <c r="W725" s="74"/>
      <c r="X725" s="74"/>
      <c r="Y725" s="74"/>
      <c r="Z725" s="74"/>
      <c r="AA725" s="74"/>
      <c r="AB725" s="74"/>
      <c r="AC725" s="74"/>
      <c r="AD725" s="74"/>
      <c r="AE725" s="74"/>
      <c r="AF725" s="74"/>
      <c r="AG725" s="74"/>
      <c r="AH725" s="74"/>
      <c r="AI725" s="74"/>
      <c r="AJ725" s="74"/>
      <c r="AK725" s="74"/>
    </row>
    <row r="726">
      <c r="A726" s="74"/>
      <c r="B726" s="74"/>
      <c r="C726" s="74"/>
      <c r="D726" s="74"/>
      <c r="E726" s="74"/>
      <c r="F726" s="74"/>
      <c r="G726" s="74"/>
      <c r="H726" s="74"/>
      <c r="I726" s="74"/>
      <c r="J726" s="74"/>
      <c r="K726" s="74"/>
      <c r="L726" s="74"/>
      <c r="M726" s="74"/>
      <c r="N726" s="74"/>
      <c r="O726" s="74"/>
      <c r="P726" s="74"/>
      <c r="Q726" s="74"/>
      <c r="R726" s="75"/>
      <c r="S726" s="74"/>
      <c r="T726" s="74"/>
      <c r="U726" s="74"/>
      <c r="V726" s="74"/>
      <c r="W726" s="74"/>
      <c r="X726" s="74"/>
      <c r="Y726" s="74"/>
      <c r="Z726" s="74"/>
      <c r="AA726" s="74"/>
      <c r="AB726" s="74"/>
      <c r="AC726" s="74"/>
      <c r="AD726" s="74"/>
      <c r="AE726" s="74"/>
      <c r="AF726" s="74"/>
      <c r="AG726" s="74"/>
      <c r="AH726" s="74"/>
      <c r="AI726" s="74"/>
      <c r="AJ726" s="74"/>
      <c r="AK726" s="74"/>
    </row>
    <row r="727">
      <c r="A727" s="74"/>
      <c r="B727" s="74"/>
      <c r="C727" s="74"/>
      <c r="D727" s="74"/>
      <c r="E727" s="74"/>
      <c r="F727" s="74"/>
      <c r="G727" s="74"/>
      <c r="H727" s="74"/>
      <c r="I727" s="74"/>
      <c r="J727" s="74"/>
      <c r="K727" s="74"/>
      <c r="L727" s="74"/>
      <c r="M727" s="74"/>
      <c r="N727" s="74"/>
      <c r="O727" s="74"/>
      <c r="P727" s="74"/>
      <c r="Q727" s="74"/>
      <c r="R727" s="75"/>
      <c r="S727" s="74"/>
      <c r="T727" s="74"/>
      <c r="U727" s="74"/>
      <c r="V727" s="74"/>
      <c r="W727" s="74"/>
      <c r="X727" s="74"/>
      <c r="Y727" s="74"/>
      <c r="Z727" s="74"/>
      <c r="AA727" s="74"/>
      <c r="AB727" s="74"/>
      <c r="AC727" s="74"/>
      <c r="AD727" s="74"/>
      <c r="AE727" s="74"/>
      <c r="AF727" s="74"/>
      <c r="AG727" s="74"/>
      <c r="AH727" s="74"/>
      <c r="AI727" s="74"/>
      <c r="AJ727" s="74"/>
      <c r="AK727" s="74"/>
    </row>
    <row r="728">
      <c r="A728" s="74"/>
      <c r="B728" s="74"/>
      <c r="C728" s="74"/>
      <c r="D728" s="74"/>
      <c r="E728" s="74"/>
      <c r="F728" s="74"/>
      <c r="G728" s="74"/>
      <c r="H728" s="74"/>
      <c r="I728" s="74"/>
      <c r="J728" s="74"/>
      <c r="K728" s="74"/>
      <c r="L728" s="74"/>
      <c r="M728" s="74"/>
      <c r="N728" s="74"/>
      <c r="O728" s="74"/>
      <c r="P728" s="74"/>
      <c r="Q728" s="74"/>
      <c r="R728" s="75"/>
      <c r="S728" s="74"/>
      <c r="T728" s="74"/>
      <c r="U728" s="74"/>
      <c r="V728" s="74"/>
      <c r="W728" s="74"/>
      <c r="X728" s="74"/>
      <c r="Y728" s="74"/>
      <c r="Z728" s="74"/>
      <c r="AA728" s="74"/>
      <c r="AB728" s="74"/>
      <c r="AC728" s="74"/>
      <c r="AD728" s="74"/>
      <c r="AE728" s="74"/>
      <c r="AF728" s="74"/>
      <c r="AG728" s="74"/>
      <c r="AH728" s="74"/>
      <c r="AI728" s="74"/>
      <c r="AJ728" s="74"/>
      <c r="AK728" s="74"/>
    </row>
    <row r="729">
      <c r="A729" s="74"/>
      <c r="B729" s="74"/>
      <c r="C729" s="74"/>
      <c r="D729" s="74"/>
      <c r="E729" s="74"/>
      <c r="F729" s="74"/>
      <c r="G729" s="74"/>
      <c r="H729" s="74"/>
      <c r="I729" s="74"/>
      <c r="J729" s="74"/>
      <c r="K729" s="74"/>
      <c r="L729" s="74"/>
      <c r="M729" s="74"/>
      <c r="N729" s="74"/>
      <c r="O729" s="74"/>
      <c r="P729" s="74"/>
      <c r="Q729" s="74"/>
      <c r="R729" s="75"/>
      <c r="S729" s="74"/>
      <c r="T729" s="74"/>
      <c r="U729" s="74"/>
      <c r="V729" s="74"/>
      <c r="W729" s="74"/>
      <c r="X729" s="74"/>
      <c r="Y729" s="74"/>
      <c r="Z729" s="74"/>
      <c r="AA729" s="74"/>
      <c r="AB729" s="74"/>
      <c r="AC729" s="74"/>
      <c r="AD729" s="74"/>
      <c r="AE729" s="74"/>
      <c r="AF729" s="74"/>
      <c r="AG729" s="74"/>
      <c r="AH729" s="74"/>
      <c r="AI729" s="74"/>
      <c r="AJ729" s="74"/>
      <c r="AK729" s="74"/>
    </row>
    <row r="730">
      <c r="A730" s="74"/>
      <c r="B730" s="74"/>
      <c r="C730" s="74"/>
      <c r="D730" s="74"/>
      <c r="E730" s="74"/>
      <c r="F730" s="74"/>
      <c r="G730" s="74"/>
      <c r="H730" s="74"/>
      <c r="I730" s="74"/>
      <c r="J730" s="74"/>
      <c r="K730" s="74"/>
      <c r="L730" s="74"/>
      <c r="M730" s="74"/>
      <c r="N730" s="74"/>
      <c r="O730" s="74"/>
      <c r="P730" s="74"/>
      <c r="Q730" s="74"/>
      <c r="R730" s="75"/>
      <c r="S730" s="74"/>
      <c r="T730" s="74"/>
      <c r="U730" s="74"/>
      <c r="V730" s="74"/>
      <c r="W730" s="74"/>
      <c r="X730" s="74"/>
      <c r="Y730" s="74"/>
      <c r="Z730" s="74"/>
      <c r="AA730" s="74"/>
      <c r="AB730" s="74"/>
      <c r="AC730" s="74"/>
      <c r="AD730" s="74"/>
      <c r="AE730" s="74"/>
      <c r="AF730" s="74"/>
      <c r="AG730" s="74"/>
      <c r="AH730" s="74"/>
      <c r="AI730" s="74"/>
      <c r="AJ730" s="74"/>
      <c r="AK730" s="74"/>
    </row>
    <row r="731">
      <c r="A731" s="74"/>
      <c r="B731" s="74"/>
      <c r="C731" s="74"/>
      <c r="D731" s="74"/>
      <c r="E731" s="74"/>
      <c r="F731" s="74"/>
      <c r="G731" s="74"/>
      <c r="H731" s="74"/>
      <c r="I731" s="74"/>
      <c r="J731" s="74"/>
      <c r="K731" s="74"/>
      <c r="L731" s="74"/>
      <c r="M731" s="74"/>
      <c r="N731" s="74"/>
      <c r="O731" s="74"/>
      <c r="P731" s="74"/>
      <c r="Q731" s="74"/>
      <c r="R731" s="75"/>
      <c r="S731" s="74"/>
      <c r="T731" s="74"/>
      <c r="U731" s="74"/>
      <c r="V731" s="74"/>
      <c r="W731" s="74"/>
      <c r="X731" s="74"/>
      <c r="Y731" s="74"/>
      <c r="Z731" s="74"/>
      <c r="AA731" s="74"/>
      <c r="AB731" s="74"/>
      <c r="AC731" s="74"/>
      <c r="AD731" s="74"/>
      <c r="AE731" s="74"/>
      <c r="AF731" s="74"/>
      <c r="AG731" s="74"/>
      <c r="AH731" s="74"/>
      <c r="AI731" s="74"/>
      <c r="AJ731" s="74"/>
      <c r="AK731" s="74"/>
    </row>
    <row r="732">
      <c r="A732" s="74"/>
      <c r="B732" s="74"/>
      <c r="C732" s="74"/>
      <c r="D732" s="74"/>
      <c r="E732" s="74"/>
      <c r="F732" s="74"/>
      <c r="G732" s="74"/>
      <c r="H732" s="74"/>
      <c r="I732" s="74"/>
      <c r="J732" s="74"/>
      <c r="K732" s="74"/>
      <c r="L732" s="74"/>
      <c r="M732" s="74"/>
      <c r="N732" s="74"/>
      <c r="O732" s="74"/>
      <c r="P732" s="74"/>
      <c r="Q732" s="74"/>
      <c r="R732" s="75"/>
      <c r="S732" s="74"/>
      <c r="T732" s="74"/>
      <c r="U732" s="74"/>
      <c r="V732" s="74"/>
      <c r="W732" s="74"/>
      <c r="X732" s="74"/>
      <c r="Y732" s="74"/>
      <c r="Z732" s="74"/>
      <c r="AA732" s="74"/>
      <c r="AB732" s="74"/>
      <c r="AC732" s="74"/>
      <c r="AD732" s="74"/>
      <c r="AE732" s="74"/>
      <c r="AF732" s="74"/>
      <c r="AG732" s="74"/>
      <c r="AH732" s="74"/>
      <c r="AI732" s="74"/>
      <c r="AJ732" s="74"/>
      <c r="AK732" s="74"/>
    </row>
    <row r="733">
      <c r="A733" s="74"/>
      <c r="B733" s="74"/>
      <c r="C733" s="74"/>
      <c r="D733" s="74"/>
      <c r="E733" s="74"/>
      <c r="F733" s="74"/>
      <c r="G733" s="74"/>
      <c r="H733" s="74"/>
      <c r="I733" s="74"/>
      <c r="J733" s="74"/>
      <c r="K733" s="74"/>
      <c r="L733" s="74"/>
      <c r="M733" s="74"/>
      <c r="N733" s="74"/>
      <c r="O733" s="74"/>
      <c r="P733" s="74"/>
      <c r="Q733" s="74"/>
      <c r="R733" s="75"/>
      <c r="S733" s="74"/>
      <c r="T733" s="74"/>
      <c r="U733" s="74"/>
      <c r="V733" s="74"/>
      <c r="W733" s="74"/>
      <c r="X733" s="74"/>
      <c r="Y733" s="74"/>
      <c r="Z733" s="74"/>
      <c r="AA733" s="74"/>
      <c r="AB733" s="74"/>
      <c r="AC733" s="74"/>
      <c r="AD733" s="74"/>
      <c r="AE733" s="74"/>
      <c r="AF733" s="74"/>
      <c r="AG733" s="74"/>
      <c r="AH733" s="74"/>
      <c r="AI733" s="74"/>
      <c r="AJ733" s="74"/>
      <c r="AK733" s="74"/>
    </row>
    <row r="734">
      <c r="A734" s="74"/>
      <c r="B734" s="74"/>
      <c r="C734" s="74"/>
      <c r="D734" s="74"/>
      <c r="E734" s="74"/>
      <c r="F734" s="74"/>
      <c r="G734" s="74"/>
      <c r="H734" s="74"/>
      <c r="I734" s="74"/>
      <c r="J734" s="74"/>
      <c r="K734" s="74"/>
      <c r="L734" s="74"/>
      <c r="M734" s="74"/>
      <c r="N734" s="74"/>
      <c r="O734" s="74"/>
      <c r="P734" s="74"/>
      <c r="Q734" s="74"/>
      <c r="R734" s="75"/>
      <c r="S734" s="74"/>
      <c r="T734" s="74"/>
      <c r="U734" s="74"/>
      <c r="V734" s="74"/>
      <c r="W734" s="74"/>
      <c r="X734" s="74"/>
      <c r="Y734" s="74"/>
      <c r="Z734" s="74"/>
      <c r="AA734" s="74"/>
      <c r="AB734" s="74"/>
      <c r="AC734" s="74"/>
      <c r="AD734" s="74"/>
      <c r="AE734" s="74"/>
      <c r="AF734" s="74"/>
      <c r="AG734" s="74"/>
      <c r="AH734" s="74"/>
      <c r="AI734" s="74"/>
      <c r="AJ734" s="74"/>
      <c r="AK734" s="74"/>
    </row>
    <row r="735">
      <c r="A735" s="74"/>
      <c r="B735" s="74"/>
      <c r="C735" s="74"/>
      <c r="D735" s="74"/>
      <c r="E735" s="74"/>
      <c r="F735" s="74"/>
      <c r="G735" s="74"/>
      <c r="H735" s="74"/>
      <c r="I735" s="74"/>
      <c r="J735" s="74"/>
      <c r="K735" s="74"/>
      <c r="L735" s="74"/>
      <c r="M735" s="74"/>
      <c r="N735" s="74"/>
      <c r="O735" s="74"/>
      <c r="P735" s="74"/>
      <c r="Q735" s="74"/>
      <c r="R735" s="75"/>
      <c r="S735" s="74"/>
      <c r="T735" s="74"/>
      <c r="U735" s="74"/>
      <c r="V735" s="74"/>
      <c r="W735" s="74"/>
      <c r="X735" s="74"/>
      <c r="Y735" s="74"/>
      <c r="Z735" s="74"/>
      <c r="AA735" s="74"/>
      <c r="AB735" s="74"/>
      <c r="AC735" s="74"/>
      <c r="AD735" s="74"/>
      <c r="AE735" s="74"/>
      <c r="AF735" s="74"/>
      <c r="AG735" s="74"/>
      <c r="AH735" s="74"/>
      <c r="AI735" s="74"/>
      <c r="AJ735" s="74"/>
      <c r="AK735" s="74"/>
    </row>
    <row r="736">
      <c r="A736" s="74"/>
      <c r="B736" s="74"/>
      <c r="C736" s="74"/>
      <c r="D736" s="74"/>
      <c r="E736" s="74"/>
      <c r="F736" s="74"/>
      <c r="G736" s="74"/>
      <c r="H736" s="74"/>
      <c r="I736" s="74"/>
      <c r="J736" s="74"/>
      <c r="K736" s="74"/>
      <c r="L736" s="74"/>
      <c r="M736" s="74"/>
      <c r="N736" s="74"/>
      <c r="O736" s="74"/>
      <c r="P736" s="74"/>
      <c r="Q736" s="74"/>
      <c r="R736" s="75"/>
      <c r="S736" s="74"/>
      <c r="T736" s="74"/>
      <c r="U736" s="74"/>
      <c r="V736" s="74"/>
      <c r="W736" s="74"/>
      <c r="X736" s="74"/>
      <c r="Y736" s="74"/>
      <c r="Z736" s="74"/>
      <c r="AA736" s="74"/>
      <c r="AB736" s="74"/>
      <c r="AC736" s="74"/>
      <c r="AD736" s="74"/>
      <c r="AE736" s="74"/>
      <c r="AF736" s="74"/>
      <c r="AG736" s="74"/>
      <c r="AH736" s="74"/>
      <c r="AI736" s="74"/>
      <c r="AJ736" s="74"/>
      <c r="AK736" s="74"/>
    </row>
    <row r="737">
      <c r="A737" s="74"/>
      <c r="B737" s="74"/>
      <c r="C737" s="74"/>
      <c r="D737" s="74"/>
      <c r="E737" s="74"/>
      <c r="F737" s="74"/>
      <c r="G737" s="74"/>
      <c r="H737" s="74"/>
      <c r="I737" s="74"/>
      <c r="J737" s="74"/>
      <c r="K737" s="74"/>
      <c r="L737" s="74"/>
      <c r="M737" s="74"/>
      <c r="N737" s="74"/>
      <c r="O737" s="74"/>
      <c r="P737" s="74"/>
      <c r="Q737" s="74"/>
      <c r="R737" s="75"/>
      <c r="S737" s="74"/>
      <c r="T737" s="74"/>
      <c r="U737" s="74"/>
      <c r="V737" s="74"/>
      <c r="W737" s="74"/>
      <c r="X737" s="74"/>
      <c r="Y737" s="74"/>
      <c r="Z737" s="74"/>
      <c r="AA737" s="74"/>
      <c r="AB737" s="74"/>
      <c r="AC737" s="74"/>
      <c r="AD737" s="74"/>
      <c r="AE737" s="74"/>
      <c r="AF737" s="74"/>
      <c r="AG737" s="74"/>
      <c r="AH737" s="74"/>
      <c r="AI737" s="74"/>
      <c r="AJ737" s="74"/>
      <c r="AK737" s="74"/>
    </row>
    <row r="738">
      <c r="A738" s="74"/>
      <c r="B738" s="74"/>
      <c r="C738" s="74"/>
      <c r="D738" s="74"/>
      <c r="E738" s="74"/>
      <c r="F738" s="74"/>
      <c r="G738" s="74"/>
      <c r="H738" s="74"/>
      <c r="I738" s="74"/>
      <c r="J738" s="74"/>
      <c r="K738" s="74"/>
      <c r="L738" s="74"/>
      <c r="M738" s="74"/>
      <c r="N738" s="74"/>
      <c r="O738" s="74"/>
      <c r="P738" s="74"/>
      <c r="Q738" s="74"/>
      <c r="R738" s="75"/>
      <c r="S738" s="74"/>
      <c r="T738" s="74"/>
      <c r="U738" s="74"/>
      <c r="V738" s="74"/>
      <c r="W738" s="74"/>
      <c r="X738" s="74"/>
      <c r="Y738" s="74"/>
      <c r="Z738" s="74"/>
      <c r="AA738" s="74"/>
      <c r="AB738" s="74"/>
      <c r="AC738" s="74"/>
      <c r="AD738" s="74"/>
      <c r="AE738" s="74"/>
      <c r="AF738" s="74"/>
      <c r="AG738" s="74"/>
      <c r="AH738" s="74"/>
      <c r="AI738" s="74"/>
      <c r="AJ738" s="74"/>
      <c r="AK738" s="74"/>
    </row>
    <row r="739">
      <c r="A739" s="74"/>
      <c r="B739" s="74"/>
      <c r="C739" s="74"/>
      <c r="D739" s="74"/>
      <c r="E739" s="74"/>
      <c r="F739" s="74"/>
      <c r="G739" s="74"/>
      <c r="H739" s="74"/>
      <c r="I739" s="74"/>
      <c r="J739" s="74"/>
      <c r="K739" s="74"/>
      <c r="L739" s="74"/>
      <c r="M739" s="74"/>
      <c r="N739" s="74"/>
      <c r="O739" s="74"/>
      <c r="P739" s="74"/>
      <c r="Q739" s="74"/>
      <c r="R739" s="75"/>
      <c r="S739" s="74"/>
      <c r="T739" s="74"/>
      <c r="U739" s="74"/>
      <c r="V739" s="74"/>
      <c r="W739" s="74"/>
      <c r="X739" s="74"/>
      <c r="Y739" s="74"/>
      <c r="Z739" s="74"/>
      <c r="AA739" s="74"/>
      <c r="AB739" s="74"/>
      <c r="AC739" s="74"/>
      <c r="AD739" s="74"/>
      <c r="AE739" s="74"/>
      <c r="AF739" s="74"/>
      <c r="AG739" s="74"/>
      <c r="AH739" s="74"/>
      <c r="AI739" s="74"/>
      <c r="AJ739" s="74"/>
      <c r="AK739" s="74"/>
    </row>
    <row r="740">
      <c r="A740" s="74"/>
      <c r="B740" s="74"/>
      <c r="C740" s="74"/>
      <c r="D740" s="74"/>
      <c r="E740" s="74"/>
      <c r="F740" s="74"/>
      <c r="G740" s="74"/>
      <c r="H740" s="74"/>
      <c r="I740" s="74"/>
      <c r="J740" s="74"/>
      <c r="K740" s="74"/>
      <c r="L740" s="74"/>
      <c r="M740" s="74"/>
      <c r="N740" s="74"/>
      <c r="O740" s="74"/>
      <c r="P740" s="74"/>
      <c r="Q740" s="74"/>
      <c r="R740" s="75"/>
      <c r="S740" s="74"/>
      <c r="T740" s="74"/>
      <c r="U740" s="74"/>
      <c r="V740" s="74"/>
      <c r="W740" s="74"/>
      <c r="X740" s="74"/>
      <c r="Y740" s="74"/>
      <c r="Z740" s="74"/>
      <c r="AA740" s="74"/>
      <c r="AB740" s="74"/>
      <c r="AC740" s="74"/>
      <c r="AD740" s="74"/>
      <c r="AE740" s="74"/>
      <c r="AF740" s="74"/>
      <c r="AG740" s="74"/>
      <c r="AH740" s="74"/>
      <c r="AI740" s="74"/>
      <c r="AJ740" s="74"/>
      <c r="AK740" s="74"/>
    </row>
    <row r="741">
      <c r="A741" s="74"/>
      <c r="B741" s="74"/>
      <c r="C741" s="74"/>
      <c r="D741" s="74"/>
      <c r="E741" s="74"/>
      <c r="F741" s="74"/>
      <c r="G741" s="74"/>
      <c r="H741" s="74"/>
      <c r="I741" s="74"/>
      <c r="J741" s="74"/>
      <c r="K741" s="74"/>
      <c r="L741" s="74"/>
      <c r="M741" s="74"/>
      <c r="N741" s="74"/>
      <c r="O741" s="74"/>
      <c r="P741" s="74"/>
      <c r="Q741" s="74"/>
      <c r="R741" s="75"/>
      <c r="S741" s="74"/>
      <c r="T741" s="74"/>
      <c r="U741" s="74"/>
      <c r="V741" s="74"/>
      <c r="W741" s="74"/>
      <c r="X741" s="74"/>
      <c r="Y741" s="74"/>
      <c r="Z741" s="74"/>
      <c r="AA741" s="74"/>
      <c r="AB741" s="74"/>
      <c r="AC741" s="74"/>
      <c r="AD741" s="74"/>
      <c r="AE741" s="74"/>
      <c r="AF741" s="74"/>
      <c r="AG741" s="74"/>
      <c r="AH741" s="74"/>
      <c r="AI741" s="74"/>
      <c r="AJ741" s="74"/>
      <c r="AK741" s="74"/>
    </row>
    <row r="742">
      <c r="A742" s="74"/>
      <c r="B742" s="74"/>
      <c r="C742" s="74"/>
      <c r="D742" s="74"/>
      <c r="E742" s="74"/>
      <c r="F742" s="74"/>
      <c r="G742" s="74"/>
      <c r="H742" s="74"/>
      <c r="I742" s="74"/>
      <c r="J742" s="74"/>
      <c r="K742" s="74"/>
      <c r="L742" s="74"/>
      <c r="M742" s="74"/>
      <c r="N742" s="74"/>
      <c r="O742" s="74"/>
      <c r="P742" s="74"/>
      <c r="Q742" s="74"/>
      <c r="R742" s="75"/>
      <c r="S742" s="74"/>
      <c r="T742" s="74"/>
      <c r="U742" s="74"/>
      <c r="V742" s="74"/>
      <c r="W742" s="74"/>
      <c r="X742" s="74"/>
      <c r="Y742" s="74"/>
      <c r="Z742" s="74"/>
      <c r="AA742" s="74"/>
      <c r="AB742" s="74"/>
      <c r="AC742" s="74"/>
      <c r="AD742" s="74"/>
      <c r="AE742" s="74"/>
      <c r="AF742" s="74"/>
      <c r="AG742" s="74"/>
      <c r="AH742" s="74"/>
      <c r="AI742" s="74"/>
      <c r="AJ742" s="74"/>
      <c r="AK742" s="74"/>
    </row>
    <row r="743">
      <c r="A743" s="74"/>
      <c r="B743" s="74"/>
      <c r="C743" s="74"/>
      <c r="D743" s="74"/>
      <c r="E743" s="74"/>
      <c r="F743" s="74"/>
      <c r="G743" s="74"/>
      <c r="H743" s="74"/>
      <c r="I743" s="74"/>
      <c r="J743" s="74"/>
      <c r="K743" s="74"/>
      <c r="L743" s="74"/>
      <c r="M743" s="74"/>
      <c r="N743" s="74"/>
      <c r="O743" s="74"/>
      <c r="P743" s="74"/>
      <c r="Q743" s="74"/>
      <c r="R743" s="75"/>
      <c r="S743" s="74"/>
      <c r="T743" s="74"/>
      <c r="U743" s="74"/>
      <c r="V743" s="74"/>
      <c r="W743" s="74"/>
      <c r="X743" s="74"/>
      <c r="Y743" s="74"/>
      <c r="Z743" s="74"/>
      <c r="AA743" s="74"/>
      <c r="AB743" s="74"/>
      <c r="AC743" s="74"/>
      <c r="AD743" s="74"/>
      <c r="AE743" s="74"/>
      <c r="AF743" s="74"/>
      <c r="AG743" s="74"/>
      <c r="AH743" s="74"/>
      <c r="AI743" s="74"/>
      <c r="AJ743" s="74"/>
      <c r="AK743" s="74"/>
    </row>
    <row r="744">
      <c r="A744" s="74"/>
      <c r="B744" s="74"/>
      <c r="C744" s="74"/>
      <c r="D744" s="74"/>
      <c r="E744" s="74"/>
      <c r="F744" s="74"/>
      <c r="G744" s="74"/>
      <c r="H744" s="74"/>
      <c r="I744" s="74"/>
      <c r="J744" s="74"/>
      <c r="K744" s="74"/>
      <c r="L744" s="74"/>
      <c r="M744" s="74"/>
      <c r="N744" s="74"/>
      <c r="O744" s="74"/>
      <c r="P744" s="74"/>
      <c r="Q744" s="74"/>
      <c r="R744" s="75"/>
      <c r="S744" s="74"/>
      <c r="T744" s="74"/>
      <c r="U744" s="74"/>
      <c r="V744" s="74"/>
      <c r="W744" s="74"/>
      <c r="X744" s="74"/>
      <c r="Y744" s="74"/>
      <c r="Z744" s="74"/>
      <c r="AA744" s="74"/>
      <c r="AB744" s="74"/>
      <c r="AC744" s="74"/>
      <c r="AD744" s="74"/>
      <c r="AE744" s="74"/>
      <c r="AF744" s="74"/>
      <c r="AG744" s="74"/>
      <c r="AH744" s="74"/>
      <c r="AI744" s="74"/>
      <c r="AJ744" s="74"/>
      <c r="AK744" s="74"/>
    </row>
    <row r="745">
      <c r="A745" s="74"/>
      <c r="B745" s="74"/>
      <c r="C745" s="74"/>
      <c r="D745" s="74"/>
      <c r="E745" s="74"/>
      <c r="F745" s="74"/>
      <c r="G745" s="74"/>
      <c r="H745" s="74"/>
      <c r="I745" s="74"/>
      <c r="J745" s="74"/>
      <c r="K745" s="74"/>
      <c r="L745" s="74"/>
      <c r="M745" s="74"/>
      <c r="N745" s="74"/>
      <c r="O745" s="74"/>
      <c r="P745" s="74"/>
      <c r="Q745" s="74"/>
      <c r="R745" s="75"/>
      <c r="S745" s="74"/>
      <c r="T745" s="74"/>
      <c r="U745" s="74"/>
      <c r="V745" s="74"/>
      <c r="W745" s="74"/>
      <c r="X745" s="74"/>
      <c r="Y745" s="74"/>
      <c r="Z745" s="74"/>
      <c r="AA745" s="74"/>
      <c r="AB745" s="74"/>
      <c r="AC745" s="74"/>
      <c r="AD745" s="74"/>
      <c r="AE745" s="74"/>
      <c r="AF745" s="74"/>
      <c r="AG745" s="74"/>
      <c r="AH745" s="74"/>
      <c r="AI745" s="74"/>
      <c r="AJ745" s="74"/>
      <c r="AK745" s="74"/>
    </row>
    <row r="746">
      <c r="A746" s="74"/>
      <c r="B746" s="74"/>
      <c r="C746" s="74"/>
      <c r="D746" s="74"/>
      <c r="E746" s="74"/>
      <c r="F746" s="74"/>
      <c r="G746" s="74"/>
      <c r="H746" s="74"/>
      <c r="I746" s="74"/>
      <c r="J746" s="74"/>
      <c r="K746" s="74"/>
      <c r="L746" s="74"/>
      <c r="M746" s="74"/>
      <c r="N746" s="74"/>
      <c r="O746" s="74"/>
      <c r="P746" s="74"/>
      <c r="Q746" s="74"/>
      <c r="R746" s="75"/>
      <c r="S746" s="74"/>
      <c r="T746" s="74"/>
      <c r="U746" s="74"/>
      <c r="V746" s="74"/>
      <c r="W746" s="74"/>
      <c r="X746" s="74"/>
      <c r="Y746" s="74"/>
      <c r="Z746" s="74"/>
      <c r="AA746" s="74"/>
      <c r="AB746" s="74"/>
      <c r="AC746" s="74"/>
      <c r="AD746" s="74"/>
      <c r="AE746" s="74"/>
      <c r="AF746" s="74"/>
      <c r="AG746" s="74"/>
      <c r="AH746" s="74"/>
      <c r="AI746" s="74"/>
      <c r="AJ746" s="74"/>
      <c r="AK746" s="74"/>
    </row>
    <row r="747">
      <c r="A747" s="74"/>
      <c r="B747" s="74"/>
      <c r="C747" s="74"/>
      <c r="D747" s="74"/>
      <c r="E747" s="74"/>
      <c r="F747" s="74"/>
      <c r="G747" s="74"/>
      <c r="H747" s="74"/>
      <c r="I747" s="74"/>
      <c r="J747" s="74"/>
      <c r="K747" s="74"/>
      <c r="L747" s="74"/>
      <c r="M747" s="74"/>
      <c r="N747" s="74"/>
      <c r="O747" s="74"/>
      <c r="P747" s="74"/>
      <c r="Q747" s="74"/>
      <c r="R747" s="75"/>
      <c r="S747" s="74"/>
      <c r="T747" s="74"/>
      <c r="U747" s="74"/>
      <c r="V747" s="74"/>
      <c r="W747" s="74"/>
      <c r="X747" s="74"/>
      <c r="Y747" s="74"/>
      <c r="Z747" s="74"/>
      <c r="AA747" s="74"/>
      <c r="AB747" s="74"/>
      <c r="AC747" s="74"/>
      <c r="AD747" s="74"/>
      <c r="AE747" s="74"/>
      <c r="AF747" s="74"/>
      <c r="AG747" s="74"/>
      <c r="AH747" s="74"/>
      <c r="AI747" s="74"/>
      <c r="AJ747" s="74"/>
      <c r="AK747" s="74"/>
    </row>
    <row r="748">
      <c r="A748" s="74"/>
      <c r="B748" s="74"/>
      <c r="C748" s="74"/>
      <c r="D748" s="74"/>
      <c r="E748" s="74"/>
      <c r="F748" s="74"/>
      <c r="G748" s="74"/>
      <c r="H748" s="74"/>
      <c r="I748" s="74"/>
      <c r="J748" s="74"/>
      <c r="K748" s="74"/>
      <c r="L748" s="74"/>
      <c r="M748" s="74"/>
      <c r="N748" s="74"/>
      <c r="O748" s="74"/>
      <c r="P748" s="74"/>
      <c r="Q748" s="74"/>
      <c r="R748" s="75"/>
      <c r="S748" s="74"/>
      <c r="T748" s="74"/>
      <c r="U748" s="74"/>
      <c r="V748" s="74"/>
      <c r="W748" s="74"/>
      <c r="X748" s="74"/>
      <c r="Y748" s="74"/>
      <c r="Z748" s="74"/>
      <c r="AA748" s="74"/>
      <c r="AB748" s="74"/>
      <c r="AC748" s="74"/>
      <c r="AD748" s="74"/>
      <c r="AE748" s="74"/>
      <c r="AF748" s="74"/>
      <c r="AG748" s="74"/>
      <c r="AH748" s="74"/>
      <c r="AI748" s="74"/>
      <c r="AJ748" s="74"/>
      <c r="AK748" s="74"/>
    </row>
    <row r="749">
      <c r="A749" s="74"/>
      <c r="B749" s="74"/>
      <c r="C749" s="74"/>
      <c r="D749" s="74"/>
      <c r="E749" s="74"/>
      <c r="F749" s="74"/>
      <c r="G749" s="74"/>
      <c r="H749" s="74"/>
      <c r="I749" s="74"/>
      <c r="J749" s="74"/>
      <c r="K749" s="74"/>
      <c r="L749" s="74"/>
      <c r="M749" s="74"/>
      <c r="N749" s="74"/>
      <c r="O749" s="74"/>
      <c r="P749" s="74"/>
      <c r="Q749" s="74"/>
      <c r="R749" s="75"/>
      <c r="S749" s="74"/>
      <c r="T749" s="74"/>
      <c r="U749" s="74"/>
      <c r="V749" s="74"/>
      <c r="W749" s="74"/>
      <c r="X749" s="74"/>
      <c r="Y749" s="74"/>
      <c r="Z749" s="74"/>
      <c r="AA749" s="74"/>
      <c r="AB749" s="74"/>
      <c r="AC749" s="74"/>
      <c r="AD749" s="74"/>
      <c r="AE749" s="74"/>
      <c r="AF749" s="74"/>
      <c r="AG749" s="74"/>
      <c r="AH749" s="74"/>
      <c r="AI749" s="74"/>
      <c r="AJ749" s="74"/>
      <c r="AK749" s="74"/>
    </row>
    <row r="750">
      <c r="A750" s="74"/>
      <c r="B750" s="74"/>
      <c r="C750" s="74"/>
      <c r="D750" s="74"/>
      <c r="E750" s="74"/>
      <c r="F750" s="74"/>
      <c r="G750" s="74"/>
      <c r="H750" s="74"/>
      <c r="I750" s="74"/>
      <c r="J750" s="74"/>
      <c r="K750" s="74"/>
      <c r="L750" s="74"/>
      <c r="M750" s="74"/>
      <c r="N750" s="74"/>
      <c r="O750" s="74"/>
      <c r="P750" s="74"/>
      <c r="Q750" s="74"/>
      <c r="R750" s="75"/>
      <c r="S750" s="74"/>
      <c r="T750" s="74"/>
      <c r="U750" s="74"/>
      <c r="V750" s="74"/>
      <c r="W750" s="74"/>
      <c r="X750" s="74"/>
      <c r="Y750" s="74"/>
      <c r="Z750" s="74"/>
      <c r="AA750" s="74"/>
      <c r="AB750" s="74"/>
      <c r="AC750" s="74"/>
      <c r="AD750" s="74"/>
      <c r="AE750" s="74"/>
      <c r="AF750" s="74"/>
      <c r="AG750" s="74"/>
      <c r="AH750" s="74"/>
      <c r="AI750" s="74"/>
      <c r="AJ750" s="74"/>
      <c r="AK750" s="74"/>
    </row>
    <row r="751">
      <c r="A751" s="74"/>
      <c r="B751" s="74"/>
      <c r="C751" s="74"/>
      <c r="D751" s="74"/>
      <c r="E751" s="74"/>
      <c r="F751" s="74"/>
      <c r="G751" s="74"/>
      <c r="H751" s="74"/>
      <c r="I751" s="74"/>
      <c r="J751" s="74"/>
      <c r="K751" s="74"/>
      <c r="L751" s="74"/>
      <c r="M751" s="74"/>
      <c r="N751" s="74"/>
      <c r="O751" s="74"/>
      <c r="P751" s="74"/>
      <c r="Q751" s="74"/>
      <c r="R751" s="75"/>
      <c r="S751" s="74"/>
      <c r="T751" s="74"/>
      <c r="U751" s="74"/>
      <c r="V751" s="74"/>
      <c r="W751" s="74"/>
      <c r="X751" s="74"/>
      <c r="Y751" s="74"/>
      <c r="Z751" s="74"/>
      <c r="AA751" s="74"/>
      <c r="AB751" s="74"/>
      <c r="AC751" s="74"/>
      <c r="AD751" s="74"/>
      <c r="AE751" s="74"/>
      <c r="AF751" s="74"/>
      <c r="AG751" s="74"/>
      <c r="AH751" s="74"/>
      <c r="AI751" s="74"/>
      <c r="AJ751" s="74"/>
      <c r="AK751" s="74"/>
    </row>
    <row r="752">
      <c r="A752" s="74"/>
      <c r="B752" s="74"/>
      <c r="C752" s="74"/>
      <c r="D752" s="74"/>
      <c r="E752" s="74"/>
      <c r="F752" s="74"/>
      <c r="G752" s="74"/>
      <c r="H752" s="74"/>
      <c r="I752" s="74"/>
      <c r="J752" s="74"/>
      <c r="K752" s="74"/>
      <c r="L752" s="74"/>
      <c r="M752" s="74"/>
      <c r="N752" s="74"/>
      <c r="O752" s="74"/>
      <c r="P752" s="74"/>
      <c r="Q752" s="74"/>
      <c r="R752" s="75"/>
      <c r="S752" s="74"/>
      <c r="T752" s="74"/>
      <c r="U752" s="74"/>
      <c r="V752" s="74"/>
      <c r="W752" s="74"/>
      <c r="X752" s="74"/>
      <c r="Y752" s="74"/>
      <c r="Z752" s="74"/>
      <c r="AA752" s="74"/>
      <c r="AB752" s="74"/>
      <c r="AC752" s="74"/>
      <c r="AD752" s="74"/>
      <c r="AE752" s="74"/>
      <c r="AF752" s="74"/>
      <c r="AG752" s="74"/>
      <c r="AH752" s="74"/>
      <c r="AI752" s="74"/>
      <c r="AJ752" s="74"/>
      <c r="AK752" s="74"/>
    </row>
    <row r="753">
      <c r="A753" s="74"/>
      <c r="B753" s="74"/>
      <c r="C753" s="74"/>
      <c r="D753" s="74"/>
      <c r="E753" s="74"/>
      <c r="F753" s="74"/>
      <c r="G753" s="74"/>
      <c r="H753" s="74"/>
      <c r="I753" s="74"/>
      <c r="J753" s="74"/>
      <c r="K753" s="74"/>
      <c r="L753" s="74"/>
      <c r="M753" s="74"/>
      <c r="N753" s="74"/>
      <c r="O753" s="74"/>
      <c r="P753" s="74"/>
      <c r="Q753" s="74"/>
      <c r="R753" s="75"/>
      <c r="S753" s="74"/>
      <c r="T753" s="74"/>
      <c r="U753" s="74"/>
      <c r="V753" s="74"/>
      <c r="W753" s="74"/>
      <c r="X753" s="74"/>
      <c r="Y753" s="74"/>
      <c r="Z753" s="74"/>
      <c r="AA753" s="74"/>
      <c r="AB753" s="74"/>
      <c r="AC753" s="74"/>
      <c r="AD753" s="74"/>
      <c r="AE753" s="74"/>
      <c r="AF753" s="74"/>
      <c r="AG753" s="74"/>
      <c r="AH753" s="74"/>
      <c r="AI753" s="74"/>
      <c r="AJ753" s="74"/>
      <c r="AK753" s="74"/>
    </row>
    <row r="754">
      <c r="A754" s="74"/>
      <c r="B754" s="74"/>
      <c r="C754" s="74"/>
      <c r="D754" s="74"/>
      <c r="E754" s="74"/>
      <c r="F754" s="74"/>
      <c r="G754" s="74"/>
      <c r="H754" s="74"/>
      <c r="I754" s="74"/>
      <c r="J754" s="74"/>
      <c r="K754" s="74"/>
      <c r="L754" s="74"/>
      <c r="M754" s="74"/>
      <c r="N754" s="74"/>
      <c r="O754" s="74"/>
      <c r="P754" s="74"/>
      <c r="Q754" s="74"/>
      <c r="R754" s="75"/>
      <c r="S754" s="74"/>
      <c r="T754" s="74"/>
      <c r="U754" s="74"/>
      <c r="V754" s="74"/>
      <c r="W754" s="74"/>
      <c r="X754" s="74"/>
      <c r="Y754" s="74"/>
      <c r="Z754" s="74"/>
      <c r="AA754" s="74"/>
      <c r="AB754" s="74"/>
      <c r="AC754" s="74"/>
      <c r="AD754" s="74"/>
      <c r="AE754" s="74"/>
      <c r="AF754" s="74"/>
      <c r="AG754" s="74"/>
      <c r="AH754" s="74"/>
      <c r="AI754" s="74"/>
      <c r="AJ754" s="74"/>
      <c r="AK754" s="74"/>
    </row>
    <row r="755">
      <c r="A755" s="74"/>
      <c r="B755" s="74"/>
      <c r="C755" s="74"/>
      <c r="D755" s="74"/>
      <c r="E755" s="74"/>
      <c r="F755" s="74"/>
      <c r="G755" s="74"/>
      <c r="H755" s="74"/>
      <c r="I755" s="74"/>
      <c r="J755" s="74"/>
      <c r="K755" s="74"/>
      <c r="L755" s="74"/>
      <c r="M755" s="74"/>
      <c r="N755" s="74"/>
      <c r="O755" s="74"/>
      <c r="P755" s="74"/>
      <c r="Q755" s="74"/>
      <c r="R755" s="75"/>
      <c r="S755" s="74"/>
      <c r="T755" s="74"/>
      <c r="U755" s="74"/>
      <c r="V755" s="74"/>
      <c r="W755" s="74"/>
      <c r="X755" s="74"/>
      <c r="Y755" s="74"/>
      <c r="Z755" s="74"/>
      <c r="AA755" s="74"/>
      <c r="AB755" s="74"/>
      <c r="AC755" s="74"/>
      <c r="AD755" s="74"/>
      <c r="AE755" s="74"/>
      <c r="AF755" s="74"/>
      <c r="AG755" s="74"/>
      <c r="AH755" s="74"/>
      <c r="AI755" s="74"/>
      <c r="AJ755" s="74"/>
      <c r="AK755" s="74"/>
    </row>
    <row r="756">
      <c r="A756" s="74"/>
      <c r="B756" s="74"/>
      <c r="C756" s="74"/>
      <c r="D756" s="74"/>
      <c r="E756" s="74"/>
      <c r="F756" s="74"/>
      <c r="G756" s="74"/>
      <c r="H756" s="74"/>
      <c r="I756" s="74"/>
      <c r="J756" s="74"/>
      <c r="K756" s="74"/>
      <c r="L756" s="74"/>
      <c r="M756" s="74"/>
      <c r="N756" s="74"/>
      <c r="O756" s="74"/>
      <c r="P756" s="74"/>
      <c r="Q756" s="74"/>
      <c r="R756" s="75"/>
      <c r="S756" s="74"/>
      <c r="T756" s="74"/>
      <c r="U756" s="74"/>
      <c r="V756" s="74"/>
      <c r="W756" s="74"/>
      <c r="X756" s="74"/>
      <c r="Y756" s="74"/>
      <c r="Z756" s="74"/>
      <c r="AA756" s="74"/>
      <c r="AB756" s="74"/>
      <c r="AC756" s="74"/>
      <c r="AD756" s="74"/>
      <c r="AE756" s="74"/>
      <c r="AF756" s="74"/>
      <c r="AG756" s="74"/>
      <c r="AH756" s="74"/>
      <c r="AI756" s="74"/>
      <c r="AJ756" s="74"/>
      <c r="AK756" s="74"/>
    </row>
    <row r="757">
      <c r="A757" s="74"/>
      <c r="B757" s="74"/>
      <c r="C757" s="74"/>
      <c r="D757" s="74"/>
      <c r="E757" s="74"/>
      <c r="F757" s="74"/>
      <c r="G757" s="74"/>
      <c r="H757" s="74"/>
      <c r="I757" s="74"/>
      <c r="J757" s="74"/>
      <c r="K757" s="74"/>
      <c r="L757" s="74"/>
      <c r="M757" s="74"/>
      <c r="N757" s="74"/>
      <c r="O757" s="74"/>
      <c r="P757" s="74"/>
      <c r="Q757" s="74"/>
      <c r="R757" s="75"/>
      <c r="S757" s="74"/>
      <c r="T757" s="74"/>
      <c r="U757" s="74"/>
      <c r="V757" s="74"/>
      <c r="W757" s="74"/>
      <c r="X757" s="74"/>
      <c r="Y757" s="74"/>
      <c r="Z757" s="74"/>
      <c r="AA757" s="74"/>
      <c r="AB757" s="74"/>
      <c r="AC757" s="74"/>
      <c r="AD757" s="74"/>
      <c r="AE757" s="74"/>
      <c r="AF757" s="74"/>
      <c r="AG757" s="74"/>
      <c r="AH757" s="74"/>
      <c r="AI757" s="74"/>
      <c r="AJ757" s="74"/>
      <c r="AK757" s="74"/>
    </row>
    <row r="758">
      <c r="A758" s="74"/>
      <c r="B758" s="74"/>
      <c r="C758" s="74"/>
      <c r="D758" s="74"/>
      <c r="E758" s="74"/>
      <c r="F758" s="74"/>
      <c r="G758" s="74"/>
      <c r="H758" s="74"/>
      <c r="I758" s="74"/>
      <c r="J758" s="74"/>
      <c r="K758" s="74"/>
      <c r="L758" s="74"/>
      <c r="M758" s="74"/>
      <c r="N758" s="74"/>
      <c r="O758" s="74"/>
      <c r="P758" s="74"/>
      <c r="Q758" s="74"/>
      <c r="R758" s="75"/>
      <c r="S758" s="74"/>
      <c r="T758" s="74"/>
      <c r="U758" s="74"/>
      <c r="V758" s="74"/>
      <c r="W758" s="74"/>
      <c r="X758" s="74"/>
      <c r="Y758" s="74"/>
      <c r="Z758" s="74"/>
      <c r="AA758" s="74"/>
      <c r="AB758" s="74"/>
      <c r="AC758" s="74"/>
      <c r="AD758" s="74"/>
      <c r="AE758" s="74"/>
      <c r="AF758" s="74"/>
      <c r="AG758" s="74"/>
      <c r="AH758" s="74"/>
      <c r="AI758" s="74"/>
      <c r="AJ758" s="74"/>
      <c r="AK758" s="74"/>
    </row>
    <row r="759">
      <c r="A759" s="74"/>
      <c r="B759" s="74"/>
      <c r="C759" s="74"/>
      <c r="D759" s="74"/>
      <c r="E759" s="74"/>
      <c r="F759" s="74"/>
      <c r="G759" s="74"/>
      <c r="H759" s="74"/>
      <c r="I759" s="74"/>
      <c r="J759" s="74"/>
      <c r="K759" s="74"/>
      <c r="L759" s="74"/>
      <c r="M759" s="74"/>
      <c r="N759" s="74"/>
      <c r="O759" s="74"/>
      <c r="P759" s="74"/>
      <c r="Q759" s="74"/>
      <c r="R759" s="75"/>
      <c r="S759" s="74"/>
      <c r="T759" s="74"/>
      <c r="U759" s="74"/>
      <c r="V759" s="74"/>
      <c r="W759" s="74"/>
      <c r="X759" s="74"/>
      <c r="Y759" s="74"/>
      <c r="Z759" s="74"/>
      <c r="AA759" s="74"/>
      <c r="AB759" s="74"/>
      <c r="AC759" s="74"/>
      <c r="AD759" s="74"/>
      <c r="AE759" s="74"/>
      <c r="AF759" s="74"/>
      <c r="AG759" s="74"/>
      <c r="AH759" s="74"/>
      <c r="AI759" s="74"/>
      <c r="AJ759" s="74"/>
      <c r="AK759" s="74"/>
    </row>
    <row r="760">
      <c r="A760" s="74"/>
      <c r="B760" s="74"/>
      <c r="C760" s="74"/>
      <c r="D760" s="74"/>
      <c r="E760" s="74"/>
      <c r="F760" s="74"/>
      <c r="G760" s="74"/>
      <c r="H760" s="74"/>
      <c r="I760" s="74"/>
      <c r="J760" s="74"/>
      <c r="K760" s="74"/>
      <c r="L760" s="74"/>
      <c r="M760" s="74"/>
      <c r="N760" s="74"/>
      <c r="O760" s="74"/>
      <c r="P760" s="74"/>
      <c r="Q760" s="74"/>
      <c r="R760" s="75"/>
      <c r="S760" s="74"/>
      <c r="T760" s="74"/>
      <c r="U760" s="74"/>
      <c r="V760" s="74"/>
      <c r="W760" s="74"/>
      <c r="X760" s="74"/>
      <c r="Y760" s="74"/>
      <c r="Z760" s="74"/>
      <c r="AA760" s="74"/>
      <c r="AB760" s="74"/>
      <c r="AC760" s="74"/>
      <c r="AD760" s="74"/>
      <c r="AE760" s="74"/>
      <c r="AF760" s="74"/>
      <c r="AG760" s="74"/>
      <c r="AH760" s="74"/>
      <c r="AI760" s="74"/>
      <c r="AJ760" s="74"/>
      <c r="AK760" s="74"/>
    </row>
    <row r="761">
      <c r="A761" s="74"/>
      <c r="B761" s="74"/>
      <c r="C761" s="74"/>
      <c r="D761" s="74"/>
      <c r="E761" s="74"/>
      <c r="F761" s="74"/>
      <c r="G761" s="74"/>
      <c r="H761" s="74"/>
      <c r="I761" s="74"/>
      <c r="J761" s="74"/>
      <c r="K761" s="74"/>
      <c r="L761" s="74"/>
      <c r="M761" s="74"/>
      <c r="N761" s="74"/>
      <c r="O761" s="74"/>
      <c r="P761" s="74"/>
      <c r="Q761" s="74"/>
      <c r="R761" s="75"/>
      <c r="S761" s="74"/>
      <c r="T761" s="74"/>
      <c r="U761" s="74"/>
      <c r="V761" s="74"/>
      <c r="W761" s="74"/>
      <c r="X761" s="74"/>
      <c r="Y761" s="74"/>
      <c r="Z761" s="74"/>
      <c r="AA761" s="74"/>
      <c r="AB761" s="74"/>
      <c r="AC761" s="74"/>
      <c r="AD761" s="74"/>
      <c r="AE761" s="74"/>
      <c r="AF761" s="74"/>
      <c r="AG761" s="74"/>
      <c r="AH761" s="74"/>
      <c r="AI761" s="74"/>
      <c r="AJ761" s="74"/>
      <c r="AK761" s="74"/>
    </row>
    <row r="762">
      <c r="A762" s="74"/>
      <c r="B762" s="74"/>
      <c r="C762" s="74"/>
      <c r="D762" s="74"/>
      <c r="E762" s="74"/>
      <c r="F762" s="74"/>
      <c r="G762" s="74"/>
      <c r="H762" s="74"/>
      <c r="I762" s="74"/>
      <c r="J762" s="74"/>
      <c r="K762" s="74"/>
      <c r="L762" s="74"/>
      <c r="M762" s="74"/>
      <c r="N762" s="74"/>
      <c r="O762" s="74"/>
      <c r="P762" s="74"/>
      <c r="Q762" s="74"/>
      <c r="R762" s="75"/>
      <c r="S762" s="74"/>
      <c r="T762" s="74"/>
      <c r="U762" s="74"/>
      <c r="V762" s="74"/>
      <c r="W762" s="74"/>
      <c r="X762" s="74"/>
      <c r="Y762" s="74"/>
      <c r="Z762" s="74"/>
      <c r="AA762" s="74"/>
      <c r="AB762" s="74"/>
      <c r="AC762" s="74"/>
      <c r="AD762" s="74"/>
      <c r="AE762" s="74"/>
      <c r="AF762" s="74"/>
      <c r="AG762" s="74"/>
      <c r="AH762" s="74"/>
      <c r="AI762" s="74"/>
      <c r="AJ762" s="74"/>
      <c r="AK762" s="74"/>
    </row>
    <row r="763">
      <c r="A763" s="74"/>
      <c r="B763" s="74"/>
      <c r="C763" s="74"/>
      <c r="D763" s="74"/>
      <c r="E763" s="74"/>
      <c r="F763" s="74"/>
      <c r="G763" s="74"/>
      <c r="H763" s="74"/>
      <c r="I763" s="74"/>
      <c r="J763" s="74"/>
      <c r="K763" s="74"/>
      <c r="L763" s="74"/>
      <c r="M763" s="74"/>
      <c r="N763" s="74"/>
      <c r="O763" s="74"/>
      <c r="P763" s="74"/>
      <c r="Q763" s="74"/>
      <c r="R763" s="75"/>
      <c r="S763" s="74"/>
      <c r="T763" s="74"/>
      <c r="U763" s="74"/>
      <c r="V763" s="74"/>
      <c r="W763" s="74"/>
      <c r="X763" s="74"/>
      <c r="Y763" s="74"/>
      <c r="Z763" s="74"/>
      <c r="AA763" s="74"/>
      <c r="AB763" s="74"/>
      <c r="AC763" s="74"/>
      <c r="AD763" s="74"/>
      <c r="AE763" s="74"/>
      <c r="AF763" s="74"/>
      <c r="AG763" s="74"/>
      <c r="AH763" s="74"/>
      <c r="AI763" s="74"/>
      <c r="AJ763" s="74"/>
      <c r="AK763" s="74"/>
    </row>
    <row r="764">
      <c r="A764" s="74"/>
      <c r="B764" s="74"/>
      <c r="C764" s="74"/>
      <c r="D764" s="74"/>
      <c r="E764" s="74"/>
      <c r="F764" s="74"/>
      <c r="G764" s="74"/>
      <c r="H764" s="74"/>
      <c r="I764" s="74"/>
      <c r="J764" s="74"/>
      <c r="K764" s="74"/>
      <c r="L764" s="74"/>
      <c r="M764" s="74"/>
      <c r="N764" s="74"/>
      <c r="O764" s="74"/>
      <c r="P764" s="74"/>
      <c r="Q764" s="74"/>
      <c r="R764" s="75"/>
      <c r="S764" s="74"/>
      <c r="T764" s="74"/>
      <c r="U764" s="74"/>
      <c r="V764" s="74"/>
      <c r="W764" s="74"/>
      <c r="X764" s="74"/>
      <c r="Y764" s="74"/>
      <c r="Z764" s="74"/>
      <c r="AA764" s="74"/>
      <c r="AB764" s="74"/>
      <c r="AC764" s="74"/>
      <c r="AD764" s="74"/>
      <c r="AE764" s="74"/>
      <c r="AF764" s="74"/>
      <c r="AG764" s="74"/>
      <c r="AH764" s="74"/>
      <c r="AI764" s="74"/>
      <c r="AJ764" s="74"/>
      <c r="AK764" s="74"/>
    </row>
    <row r="765">
      <c r="A765" s="74"/>
      <c r="B765" s="74"/>
      <c r="C765" s="74"/>
      <c r="D765" s="74"/>
      <c r="E765" s="74"/>
      <c r="F765" s="74"/>
      <c r="G765" s="74"/>
      <c r="H765" s="74"/>
      <c r="I765" s="74"/>
      <c r="J765" s="74"/>
      <c r="K765" s="74"/>
      <c r="L765" s="74"/>
      <c r="M765" s="74"/>
      <c r="N765" s="74"/>
      <c r="O765" s="74"/>
      <c r="P765" s="74"/>
      <c r="Q765" s="74"/>
      <c r="R765" s="75"/>
      <c r="S765" s="74"/>
      <c r="T765" s="74"/>
      <c r="U765" s="74"/>
      <c r="V765" s="74"/>
      <c r="W765" s="74"/>
      <c r="X765" s="74"/>
      <c r="Y765" s="74"/>
      <c r="Z765" s="74"/>
      <c r="AA765" s="74"/>
      <c r="AB765" s="74"/>
      <c r="AC765" s="74"/>
      <c r="AD765" s="74"/>
      <c r="AE765" s="74"/>
      <c r="AF765" s="74"/>
      <c r="AG765" s="74"/>
      <c r="AH765" s="74"/>
      <c r="AI765" s="74"/>
      <c r="AJ765" s="74"/>
      <c r="AK765" s="74"/>
    </row>
    <row r="766">
      <c r="A766" s="74"/>
      <c r="B766" s="74"/>
      <c r="C766" s="74"/>
      <c r="D766" s="74"/>
      <c r="E766" s="74"/>
      <c r="F766" s="74"/>
      <c r="G766" s="74"/>
      <c r="H766" s="74"/>
      <c r="I766" s="74"/>
      <c r="J766" s="74"/>
      <c r="K766" s="74"/>
      <c r="L766" s="74"/>
      <c r="M766" s="74"/>
      <c r="N766" s="74"/>
      <c r="O766" s="74"/>
      <c r="P766" s="74"/>
      <c r="Q766" s="74"/>
      <c r="R766" s="75"/>
      <c r="S766" s="74"/>
      <c r="T766" s="74"/>
      <c r="U766" s="74"/>
      <c r="V766" s="74"/>
      <c r="W766" s="74"/>
      <c r="X766" s="74"/>
      <c r="Y766" s="74"/>
      <c r="Z766" s="74"/>
      <c r="AA766" s="74"/>
      <c r="AB766" s="74"/>
      <c r="AC766" s="74"/>
      <c r="AD766" s="74"/>
      <c r="AE766" s="74"/>
      <c r="AF766" s="74"/>
      <c r="AG766" s="74"/>
      <c r="AH766" s="74"/>
      <c r="AI766" s="74"/>
      <c r="AJ766" s="74"/>
      <c r="AK766" s="74"/>
    </row>
    <row r="767">
      <c r="A767" s="74"/>
      <c r="B767" s="74"/>
      <c r="C767" s="74"/>
      <c r="D767" s="74"/>
      <c r="E767" s="74"/>
      <c r="F767" s="74"/>
      <c r="G767" s="74"/>
      <c r="H767" s="74"/>
      <c r="I767" s="74"/>
      <c r="J767" s="74"/>
      <c r="K767" s="74"/>
      <c r="L767" s="74"/>
      <c r="M767" s="74"/>
      <c r="N767" s="74"/>
      <c r="O767" s="74"/>
      <c r="P767" s="74"/>
      <c r="Q767" s="74"/>
      <c r="R767" s="75"/>
      <c r="S767" s="74"/>
      <c r="T767" s="74"/>
      <c r="U767" s="74"/>
      <c r="V767" s="74"/>
      <c r="W767" s="74"/>
      <c r="X767" s="74"/>
      <c r="Y767" s="74"/>
      <c r="Z767" s="74"/>
      <c r="AA767" s="74"/>
      <c r="AB767" s="74"/>
      <c r="AC767" s="74"/>
      <c r="AD767" s="74"/>
      <c r="AE767" s="74"/>
      <c r="AF767" s="74"/>
      <c r="AG767" s="74"/>
      <c r="AH767" s="74"/>
      <c r="AI767" s="74"/>
      <c r="AJ767" s="74"/>
      <c r="AK767" s="74"/>
    </row>
    <row r="768">
      <c r="A768" s="74"/>
      <c r="B768" s="74"/>
      <c r="C768" s="74"/>
      <c r="D768" s="74"/>
      <c r="E768" s="74"/>
      <c r="F768" s="74"/>
      <c r="G768" s="74"/>
      <c r="H768" s="74"/>
      <c r="I768" s="74"/>
      <c r="J768" s="74"/>
      <c r="K768" s="74"/>
      <c r="L768" s="74"/>
      <c r="M768" s="74"/>
      <c r="N768" s="74"/>
      <c r="O768" s="74"/>
      <c r="P768" s="74"/>
      <c r="Q768" s="74"/>
      <c r="R768" s="75"/>
      <c r="S768" s="74"/>
      <c r="T768" s="74"/>
      <c r="U768" s="74"/>
      <c r="V768" s="74"/>
      <c r="W768" s="74"/>
      <c r="X768" s="74"/>
      <c r="Y768" s="74"/>
      <c r="Z768" s="74"/>
      <c r="AA768" s="74"/>
      <c r="AB768" s="74"/>
      <c r="AC768" s="74"/>
      <c r="AD768" s="74"/>
      <c r="AE768" s="74"/>
      <c r="AF768" s="74"/>
      <c r="AG768" s="74"/>
      <c r="AH768" s="74"/>
      <c r="AI768" s="74"/>
      <c r="AJ768" s="74"/>
      <c r="AK768" s="74"/>
    </row>
    <row r="769">
      <c r="A769" s="74"/>
      <c r="B769" s="74"/>
      <c r="C769" s="74"/>
      <c r="D769" s="74"/>
      <c r="E769" s="74"/>
      <c r="F769" s="74"/>
      <c r="G769" s="74"/>
      <c r="H769" s="74"/>
      <c r="I769" s="74"/>
      <c r="J769" s="74"/>
      <c r="K769" s="74"/>
      <c r="L769" s="74"/>
      <c r="M769" s="74"/>
      <c r="N769" s="74"/>
      <c r="O769" s="74"/>
      <c r="P769" s="74"/>
      <c r="Q769" s="74"/>
      <c r="R769" s="75"/>
      <c r="S769" s="74"/>
      <c r="T769" s="74"/>
      <c r="U769" s="74"/>
      <c r="V769" s="74"/>
      <c r="W769" s="74"/>
      <c r="X769" s="74"/>
      <c r="Y769" s="74"/>
      <c r="Z769" s="74"/>
      <c r="AA769" s="74"/>
      <c r="AB769" s="74"/>
      <c r="AC769" s="74"/>
      <c r="AD769" s="74"/>
      <c r="AE769" s="74"/>
      <c r="AF769" s="74"/>
      <c r="AG769" s="74"/>
      <c r="AH769" s="74"/>
      <c r="AI769" s="74"/>
      <c r="AJ769" s="74"/>
      <c r="AK769" s="74"/>
    </row>
    <row r="770">
      <c r="A770" s="74"/>
      <c r="B770" s="74"/>
      <c r="C770" s="74"/>
      <c r="D770" s="74"/>
      <c r="E770" s="74"/>
      <c r="F770" s="74"/>
      <c r="G770" s="74"/>
      <c r="H770" s="74"/>
      <c r="I770" s="74"/>
      <c r="J770" s="74"/>
      <c r="K770" s="74"/>
      <c r="L770" s="74"/>
      <c r="M770" s="74"/>
      <c r="N770" s="74"/>
      <c r="O770" s="74"/>
      <c r="P770" s="74"/>
      <c r="Q770" s="74"/>
      <c r="R770" s="75"/>
      <c r="S770" s="74"/>
      <c r="T770" s="74"/>
      <c r="U770" s="74"/>
      <c r="V770" s="74"/>
      <c r="W770" s="74"/>
      <c r="X770" s="74"/>
      <c r="Y770" s="74"/>
      <c r="Z770" s="74"/>
      <c r="AA770" s="74"/>
      <c r="AB770" s="74"/>
      <c r="AC770" s="74"/>
      <c r="AD770" s="74"/>
      <c r="AE770" s="74"/>
      <c r="AF770" s="74"/>
      <c r="AG770" s="74"/>
      <c r="AH770" s="74"/>
      <c r="AI770" s="74"/>
      <c r="AJ770" s="74"/>
      <c r="AK770" s="74"/>
    </row>
    <row r="771">
      <c r="A771" s="74"/>
      <c r="B771" s="74"/>
      <c r="C771" s="74"/>
      <c r="D771" s="74"/>
      <c r="E771" s="74"/>
      <c r="F771" s="74"/>
      <c r="G771" s="74"/>
      <c r="H771" s="74"/>
      <c r="I771" s="74"/>
      <c r="J771" s="74"/>
      <c r="K771" s="74"/>
      <c r="L771" s="74"/>
      <c r="M771" s="74"/>
      <c r="N771" s="74"/>
      <c r="O771" s="74"/>
      <c r="P771" s="74"/>
      <c r="Q771" s="74"/>
      <c r="R771" s="75"/>
      <c r="S771" s="74"/>
      <c r="T771" s="74"/>
      <c r="U771" s="74"/>
      <c r="V771" s="74"/>
      <c r="W771" s="74"/>
      <c r="X771" s="74"/>
      <c r="Y771" s="74"/>
      <c r="Z771" s="74"/>
      <c r="AA771" s="74"/>
      <c r="AB771" s="74"/>
      <c r="AC771" s="74"/>
      <c r="AD771" s="74"/>
      <c r="AE771" s="74"/>
      <c r="AF771" s="74"/>
      <c r="AG771" s="74"/>
      <c r="AH771" s="74"/>
      <c r="AI771" s="74"/>
      <c r="AJ771" s="74"/>
      <c r="AK771" s="74"/>
    </row>
    <row r="772">
      <c r="A772" s="74"/>
      <c r="B772" s="74"/>
      <c r="C772" s="74"/>
      <c r="D772" s="74"/>
      <c r="E772" s="74"/>
      <c r="F772" s="74"/>
      <c r="G772" s="74"/>
      <c r="H772" s="74"/>
      <c r="I772" s="74"/>
      <c r="J772" s="74"/>
      <c r="K772" s="74"/>
      <c r="L772" s="74"/>
      <c r="M772" s="74"/>
      <c r="N772" s="74"/>
      <c r="O772" s="74"/>
      <c r="P772" s="74"/>
      <c r="Q772" s="74"/>
      <c r="R772" s="75"/>
      <c r="S772" s="74"/>
      <c r="T772" s="74"/>
      <c r="U772" s="74"/>
      <c r="V772" s="74"/>
      <c r="W772" s="74"/>
      <c r="X772" s="74"/>
      <c r="Y772" s="74"/>
      <c r="Z772" s="74"/>
      <c r="AA772" s="74"/>
      <c r="AB772" s="74"/>
      <c r="AC772" s="74"/>
      <c r="AD772" s="74"/>
      <c r="AE772" s="74"/>
      <c r="AF772" s="74"/>
      <c r="AG772" s="74"/>
      <c r="AH772" s="74"/>
      <c r="AI772" s="74"/>
      <c r="AJ772" s="74"/>
      <c r="AK772" s="74"/>
    </row>
    <row r="773">
      <c r="A773" s="74"/>
      <c r="B773" s="74"/>
      <c r="C773" s="74"/>
      <c r="D773" s="74"/>
      <c r="E773" s="74"/>
      <c r="F773" s="74"/>
      <c r="G773" s="74"/>
      <c r="H773" s="74"/>
      <c r="I773" s="74"/>
      <c r="J773" s="74"/>
      <c r="K773" s="74"/>
      <c r="L773" s="74"/>
      <c r="M773" s="74"/>
      <c r="N773" s="74"/>
      <c r="O773" s="74"/>
      <c r="P773" s="74"/>
      <c r="Q773" s="74"/>
      <c r="R773" s="75"/>
      <c r="S773" s="74"/>
      <c r="T773" s="74"/>
      <c r="U773" s="74"/>
      <c r="V773" s="74"/>
      <c r="W773" s="74"/>
      <c r="X773" s="74"/>
      <c r="Y773" s="74"/>
      <c r="Z773" s="74"/>
      <c r="AA773" s="74"/>
      <c r="AB773" s="74"/>
      <c r="AC773" s="74"/>
      <c r="AD773" s="74"/>
      <c r="AE773" s="74"/>
      <c r="AF773" s="74"/>
      <c r="AG773" s="74"/>
      <c r="AH773" s="74"/>
      <c r="AI773" s="74"/>
      <c r="AJ773" s="74"/>
      <c r="AK773" s="74"/>
    </row>
    <row r="774">
      <c r="A774" s="74"/>
      <c r="B774" s="74"/>
      <c r="C774" s="74"/>
      <c r="D774" s="74"/>
      <c r="E774" s="74"/>
      <c r="F774" s="74"/>
      <c r="G774" s="74"/>
      <c r="H774" s="74"/>
      <c r="I774" s="74"/>
      <c r="J774" s="74"/>
      <c r="K774" s="74"/>
      <c r="L774" s="74"/>
      <c r="M774" s="74"/>
      <c r="N774" s="74"/>
      <c r="O774" s="74"/>
      <c r="P774" s="74"/>
      <c r="Q774" s="74"/>
      <c r="R774" s="75"/>
      <c r="S774" s="74"/>
      <c r="T774" s="74"/>
      <c r="U774" s="74"/>
      <c r="V774" s="74"/>
      <c r="W774" s="74"/>
      <c r="X774" s="74"/>
      <c r="Y774" s="74"/>
      <c r="Z774" s="74"/>
      <c r="AA774" s="74"/>
      <c r="AB774" s="74"/>
      <c r="AC774" s="74"/>
      <c r="AD774" s="74"/>
      <c r="AE774" s="74"/>
      <c r="AF774" s="74"/>
      <c r="AG774" s="74"/>
      <c r="AH774" s="74"/>
      <c r="AI774" s="74"/>
      <c r="AJ774" s="74"/>
      <c r="AK774" s="74"/>
    </row>
    <row r="775">
      <c r="A775" s="74"/>
      <c r="B775" s="74"/>
      <c r="C775" s="74"/>
      <c r="D775" s="74"/>
      <c r="E775" s="74"/>
      <c r="F775" s="74"/>
      <c r="G775" s="74"/>
      <c r="H775" s="74"/>
      <c r="I775" s="74"/>
      <c r="J775" s="74"/>
      <c r="K775" s="74"/>
      <c r="L775" s="74"/>
      <c r="M775" s="74"/>
      <c r="N775" s="74"/>
      <c r="O775" s="74"/>
      <c r="P775" s="74"/>
      <c r="Q775" s="74"/>
      <c r="R775" s="75"/>
      <c r="S775" s="74"/>
      <c r="T775" s="74"/>
      <c r="U775" s="74"/>
      <c r="V775" s="74"/>
      <c r="W775" s="74"/>
      <c r="X775" s="74"/>
      <c r="Y775" s="74"/>
      <c r="Z775" s="74"/>
      <c r="AA775" s="74"/>
      <c r="AB775" s="74"/>
      <c r="AC775" s="74"/>
      <c r="AD775" s="74"/>
      <c r="AE775" s="74"/>
      <c r="AF775" s="74"/>
      <c r="AG775" s="74"/>
      <c r="AH775" s="74"/>
      <c r="AI775" s="74"/>
      <c r="AJ775" s="74"/>
      <c r="AK775" s="74"/>
    </row>
    <row r="776">
      <c r="A776" s="74"/>
      <c r="B776" s="74"/>
      <c r="C776" s="74"/>
      <c r="D776" s="74"/>
      <c r="E776" s="74"/>
      <c r="F776" s="74"/>
      <c r="G776" s="74"/>
      <c r="H776" s="74"/>
      <c r="I776" s="74"/>
      <c r="J776" s="74"/>
      <c r="K776" s="74"/>
      <c r="L776" s="74"/>
      <c r="M776" s="74"/>
      <c r="N776" s="74"/>
      <c r="O776" s="74"/>
      <c r="P776" s="74"/>
      <c r="Q776" s="74"/>
      <c r="R776" s="75"/>
      <c r="S776" s="74"/>
      <c r="T776" s="74"/>
      <c r="U776" s="74"/>
      <c r="V776" s="74"/>
      <c r="W776" s="74"/>
      <c r="X776" s="74"/>
      <c r="Y776" s="74"/>
      <c r="Z776" s="74"/>
      <c r="AA776" s="74"/>
      <c r="AB776" s="74"/>
      <c r="AC776" s="74"/>
      <c r="AD776" s="74"/>
      <c r="AE776" s="74"/>
      <c r="AF776" s="74"/>
      <c r="AG776" s="74"/>
      <c r="AH776" s="74"/>
      <c r="AI776" s="74"/>
      <c r="AJ776" s="74"/>
      <c r="AK776" s="74"/>
    </row>
    <row r="777">
      <c r="A777" s="74"/>
      <c r="B777" s="74"/>
      <c r="C777" s="74"/>
      <c r="D777" s="74"/>
      <c r="E777" s="74"/>
      <c r="F777" s="74"/>
      <c r="G777" s="74"/>
      <c r="H777" s="74"/>
      <c r="I777" s="74"/>
      <c r="J777" s="74"/>
      <c r="K777" s="74"/>
      <c r="L777" s="74"/>
      <c r="M777" s="74"/>
      <c r="N777" s="74"/>
      <c r="O777" s="74"/>
      <c r="P777" s="74"/>
      <c r="Q777" s="74"/>
      <c r="R777" s="75"/>
      <c r="S777" s="74"/>
      <c r="T777" s="74"/>
      <c r="U777" s="74"/>
      <c r="V777" s="74"/>
      <c r="W777" s="74"/>
      <c r="X777" s="74"/>
      <c r="Y777" s="74"/>
      <c r="Z777" s="74"/>
      <c r="AA777" s="74"/>
      <c r="AB777" s="74"/>
      <c r="AC777" s="74"/>
      <c r="AD777" s="74"/>
      <c r="AE777" s="74"/>
      <c r="AF777" s="74"/>
      <c r="AG777" s="74"/>
      <c r="AH777" s="74"/>
      <c r="AI777" s="74"/>
      <c r="AJ777" s="74"/>
      <c r="AK777" s="74"/>
    </row>
    <row r="778">
      <c r="A778" s="74"/>
      <c r="B778" s="74"/>
      <c r="C778" s="74"/>
      <c r="D778" s="74"/>
      <c r="E778" s="74"/>
      <c r="F778" s="74"/>
      <c r="G778" s="74"/>
      <c r="H778" s="74"/>
      <c r="I778" s="74"/>
      <c r="J778" s="74"/>
      <c r="K778" s="74"/>
      <c r="L778" s="74"/>
      <c r="M778" s="74"/>
      <c r="N778" s="74"/>
      <c r="O778" s="74"/>
      <c r="P778" s="74"/>
      <c r="Q778" s="74"/>
      <c r="R778" s="75"/>
      <c r="S778" s="74"/>
      <c r="T778" s="74"/>
      <c r="U778" s="74"/>
      <c r="V778" s="74"/>
      <c r="W778" s="74"/>
      <c r="X778" s="74"/>
      <c r="Y778" s="74"/>
      <c r="Z778" s="74"/>
      <c r="AA778" s="74"/>
      <c r="AB778" s="74"/>
      <c r="AC778" s="74"/>
      <c r="AD778" s="74"/>
      <c r="AE778" s="74"/>
      <c r="AF778" s="74"/>
      <c r="AG778" s="74"/>
      <c r="AH778" s="74"/>
      <c r="AI778" s="74"/>
      <c r="AJ778" s="74"/>
      <c r="AK778" s="74"/>
    </row>
    <row r="779">
      <c r="A779" s="74"/>
      <c r="B779" s="74"/>
      <c r="C779" s="74"/>
      <c r="D779" s="74"/>
      <c r="E779" s="74"/>
      <c r="F779" s="74"/>
      <c r="G779" s="74"/>
      <c r="H779" s="74"/>
      <c r="I779" s="74"/>
      <c r="J779" s="74"/>
      <c r="K779" s="74"/>
      <c r="L779" s="74"/>
      <c r="M779" s="74"/>
      <c r="N779" s="74"/>
      <c r="O779" s="74"/>
      <c r="P779" s="74"/>
      <c r="Q779" s="74"/>
      <c r="R779" s="75"/>
      <c r="S779" s="74"/>
      <c r="T779" s="74"/>
      <c r="U779" s="74"/>
      <c r="V779" s="74"/>
      <c r="W779" s="74"/>
      <c r="X779" s="74"/>
      <c r="Y779" s="74"/>
      <c r="Z779" s="74"/>
      <c r="AA779" s="74"/>
      <c r="AB779" s="74"/>
      <c r="AC779" s="74"/>
      <c r="AD779" s="74"/>
      <c r="AE779" s="74"/>
      <c r="AF779" s="74"/>
      <c r="AG779" s="74"/>
      <c r="AH779" s="74"/>
      <c r="AI779" s="74"/>
      <c r="AJ779" s="74"/>
      <c r="AK779" s="74"/>
    </row>
    <row r="780">
      <c r="A780" s="74"/>
      <c r="B780" s="74"/>
      <c r="C780" s="74"/>
      <c r="D780" s="74"/>
      <c r="E780" s="74"/>
      <c r="F780" s="74"/>
      <c r="G780" s="74"/>
      <c r="H780" s="74"/>
      <c r="I780" s="74"/>
      <c r="J780" s="74"/>
      <c r="K780" s="74"/>
      <c r="L780" s="74"/>
      <c r="M780" s="74"/>
      <c r="N780" s="74"/>
      <c r="O780" s="74"/>
      <c r="P780" s="74"/>
      <c r="Q780" s="74"/>
      <c r="R780" s="75"/>
      <c r="S780" s="74"/>
      <c r="T780" s="74"/>
      <c r="U780" s="74"/>
      <c r="V780" s="74"/>
      <c r="W780" s="74"/>
      <c r="X780" s="74"/>
      <c r="Y780" s="74"/>
      <c r="Z780" s="74"/>
      <c r="AA780" s="74"/>
      <c r="AB780" s="74"/>
      <c r="AC780" s="74"/>
      <c r="AD780" s="74"/>
      <c r="AE780" s="74"/>
      <c r="AF780" s="74"/>
      <c r="AG780" s="74"/>
      <c r="AH780" s="74"/>
      <c r="AI780" s="74"/>
      <c r="AJ780" s="74"/>
      <c r="AK780" s="74"/>
    </row>
    <row r="781">
      <c r="A781" s="74"/>
      <c r="B781" s="74"/>
      <c r="C781" s="74"/>
      <c r="D781" s="74"/>
      <c r="E781" s="74"/>
      <c r="F781" s="74"/>
      <c r="G781" s="74"/>
      <c r="H781" s="74"/>
      <c r="I781" s="74"/>
      <c r="J781" s="74"/>
      <c r="K781" s="74"/>
      <c r="L781" s="74"/>
      <c r="M781" s="74"/>
      <c r="N781" s="74"/>
      <c r="O781" s="74"/>
      <c r="P781" s="74"/>
      <c r="Q781" s="74"/>
      <c r="R781" s="75"/>
      <c r="S781" s="74"/>
      <c r="T781" s="74"/>
      <c r="U781" s="74"/>
      <c r="V781" s="74"/>
      <c r="W781" s="74"/>
      <c r="X781" s="74"/>
      <c r="Y781" s="74"/>
      <c r="Z781" s="74"/>
      <c r="AA781" s="74"/>
      <c r="AB781" s="74"/>
      <c r="AC781" s="74"/>
      <c r="AD781" s="74"/>
      <c r="AE781" s="74"/>
      <c r="AF781" s="74"/>
      <c r="AG781" s="74"/>
      <c r="AH781" s="74"/>
      <c r="AI781" s="74"/>
      <c r="AJ781" s="74"/>
      <c r="AK781" s="74"/>
    </row>
    <row r="782">
      <c r="A782" s="74"/>
      <c r="B782" s="74"/>
      <c r="C782" s="74"/>
      <c r="D782" s="74"/>
      <c r="E782" s="74"/>
      <c r="F782" s="74"/>
      <c r="G782" s="74"/>
      <c r="H782" s="74"/>
      <c r="I782" s="74"/>
      <c r="J782" s="74"/>
      <c r="K782" s="74"/>
      <c r="L782" s="74"/>
      <c r="M782" s="74"/>
      <c r="N782" s="74"/>
      <c r="O782" s="74"/>
      <c r="P782" s="74"/>
      <c r="Q782" s="74"/>
      <c r="R782" s="75"/>
      <c r="S782" s="74"/>
      <c r="T782" s="74"/>
      <c r="U782" s="74"/>
      <c r="V782" s="74"/>
      <c r="W782" s="74"/>
      <c r="X782" s="74"/>
      <c r="Y782" s="74"/>
      <c r="Z782" s="74"/>
      <c r="AA782" s="74"/>
      <c r="AB782" s="74"/>
      <c r="AC782" s="74"/>
      <c r="AD782" s="74"/>
      <c r="AE782" s="74"/>
      <c r="AF782" s="74"/>
      <c r="AG782" s="74"/>
      <c r="AH782" s="74"/>
      <c r="AI782" s="74"/>
      <c r="AJ782" s="74"/>
      <c r="AK782" s="74"/>
    </row>
    <row r="783">
      <c r="A783" s="74"/>
      <c r="B783" s="74"/>
      <c r="C783" s="74"/>
      <c r="D783" s="74"/>
      <c r="E783" s="74"/>
      <c r="F783" s="74"/>
      <c r="G783" s="74"/>
      <c r="H783" s="74"/>
      <c r="I783" s="74"/>
      <c r="J783" s="74"/>
      <c r="K783" s="74"/>
      <c r="L783" s="74"/>
      <c r="M783" s="74"/>
      <c r="N783" s="74"/>
      <c r="O783" s="74"/>
      <c r="P783" s="74"/>
      <c r="Q783" s="74"/>
      <c r="R783" s="75"/>
      <c r="S783" s="74"/>
      <c r="T783" s="74"/>
      <c r="U783" s="74"/>
      <c r="V783" s="74"/>
      <c r="W783" s="74"/>
      <c r="X783" s="74"/>
      <c r="Y783" s="74"/>
      <c r="Z783" s="74"/>
      <c r="AA783" s="74"/>
      <c r="AB783" s="74"/>
      <c r="AC783" s="74"/>
      <c r="AD783" s="74"/>
      <c r="AE783" s="74"/>
      <c r="AF783" s="74"/>
      <c r="AG783" s="74"/>
      <c r="AH783" s="74"/>
      <c r="AI783" s="74"/>
      <c r="AJ783" s="74"/>
      <c r="AK783" s="74"/>
    </row>
    <row r="784">
      <c r="A784" s="74"/>
      <c r="B784" s="74"/>
      <c r="C784" s="74"/>
      <c r="D784" s="74"/>
      <c r="E784" s="74"/>
      <c r="F784" s="74"/>
      <c r="G784" s="74"/>
      <c r="H784" s="74"/>
      <c r="I784" s="74"/>
      <c r="J784" s="74"/>
      <c r="K784" s="74"/>
      <c r="L784" s="74"/>
      <c r="M784" s="74"/>
      <c r="N784" s="74"/>
      <c r="O784" s="74"/>
      <c r="P784" s="74"/>
      <c r="Q784" s="74"/>
      <c r="R784" s="75"/>
      <c r="S784" s="74"/>
      <c r="T784" s="74"/>
      <c r="U784" s="74"/>
      <c r="V784" s="74"/>
      <c r="W784" s="74"/>
      <c r="X784" s="74"/>
      <c r="Y784" s="74"/>
      <c r="Z784" s="74"/>
      <c r="AA784" s="74"/>
      <c r="AB784" s="74"/>
      <c r="AC784" s="74"/>
      <c r="AD784" s="74"/>
      <c r="AE784" s="74"/>
      <c r="AF784" s="74"/>
      <c r="AG784" s="74"/>
      <c r="AH784" s="74"/>
      <c r="AI784" s="74"/>
      <c r="AJ784" s="74"/>
      <c r="AK784" s="74"/>
    </row>
    <row r="785">
      <c r="A785" s="74"/>
      <c r="B785" s="74"/>
      <c r="C785" s="74"/>
      <c r="D785" s="74"/>
      <c r="E785" s="74"/>
      <c r="F785" s="74"/>
      <c r="G785" s="74"/>
      <c r="H785" s="74"/>
      <c r="I785" s="74"/>
      <c r="J785" s="74"/>
      <c r="K785" s="74"/>
      <c r="L785" s="74"/>
      <c r="M785" s="74"/>
      <c r="N785" s="74"/>
      <c r="O785" s="74"/>
      <c r="P785" s="74"/>
      <c r="Q785" s="74"/>
      <c r="R785" s="75"/>
      <c r="S785" s="74"/>
      <c r="T785" s="74"/>
      <c r="U785" s="74"/>
      <c r="V785" s="74"/>
      <c r="W785" s="74"/>
      <c r="X785" s="74"/>
      <c r="Y785" s="74"/>
      <c r="Z785" s="74"/>
      <c r="AA785" s="74"/>
      <c r="AB785" s="74"/>
      <c r="AC785" s="74"/>
      <c r="AD785" s="74"/>
      <c r="AE785" s="74"/>
      <c r="AF785" s="74"/>
      <c r="AG785" s="74"/>
      <c r="AH785" s="74"/>
      <c r="AI785" s="74"/>
      <c r="AJ785" s="74"/>
      <c r="AK785" s="74"/>
    </row>
    <row r="786">
      <c r="A786" s="74"/>
      <c r="B786" s="74"/>
      <c r="C786" s="74"/>
      <c r="D786" s="74"/>
      <c r="E786" s="74"/>
      <c r="F786" s="74"/>
      <c r="G786" s="74"/>
      <c r="H786" s="74"/>
      <c r="I786" s="74"/>
      <c r="J786" s="74"/>
      <c r="K786" s="74"/>
      <c r="L786" s="74"/>
      <c r="M786" s="74"/>
      <c r="N786" s="74"/>
      <c r="O786" s="74"/>
      <c r="P786" s="74"/>
      <c r="Q786" s="74"/>
      <c r="R786" s="75"/>
      <c r="S786" s="74"/>
      <c r="T786" s="74"/>
      <c r="U786" s="74"/>
      <c r="V786" s="74"/>
      <c r="W786" s="74"/>
      <c r="X786" s="74"/>
      <c r="Y786" s="74"/>
      <c r="Z786" s="74"/>
      <c r="AA786" s="74"/>
      <c r="AB786" s="74"/>
      <c r="AC786" s="74"/>
      <c r="AD786" s="74"/>
      <c r="AE786" s="74"/>
      <c r="AF786" s="74"/>
      <c r="AG786" s="74"/>
      <c r="AH786" s="74"/>
      <c r="AI786" s="74"/>
      <c r="AJ786" s="74"/>
      <c r="AK786" s="74"/>
    </row>
    <row r="787">
      <c r="A787" s="74"/>
      <c r="B787" s="74"/>
      <c r="C787" s="74"/>
      <c r="D787" s="74"/>
      <c r="E787" s="74"/>
      <c r="F787" s="74"/>
      <c r="G787" s="74"/>
      <c r="H787" s="74"/>
      <c r="I787" s="74"/>
      <c r="J787" s="74"/>
      <c r="K787" s="74"/>
      <c r="L787" s="74"/>
      <c r="M787" s="74"/>
      <c r="N787" s="74"/>
      <c r="O787" s="74"/>
      <c r="P787" s="74"/>
      <c r="Q787" s="74"/>
      <c r="R787" s="75"/>
      <c r="S787" s="74"/>
      <c r="T787" s="74"/>
      <c r="U787" s="74"/>
      <c r="V787" s="74"/>
      <c r="W787" s="74"/>
      <c r="X787" s="74"/>
      <c r="Y787" s="74"/>
      <c r="Z787" s="74"/>
      <c r="AA787" s="74"/>
      <c r="AB787" s="74"/>
      <c r="AC787" s="74"/>
      <c r="AD787" s="74"/>
      <c r="AE787" s="74"/>
      <c r="AF787" s="74"/>
      <c r="AG787" s="74"/>
      <c r="AH787" s="74"/>
      <c r="AI787" s="74"/>
      <c r="AJ787" s="74"/>
      <c r="AK787" s="74"/>
    </row>
    <row r="788">
      <c r="A788" s="74"/>
      <c r="B788" s="74"/>
      <c r="C788" s="74"/>
      <c r="D788" s="74"/>
      <c r="E788" s="74"/>
      <c r="F788" s="74"/>
      <c r="G788" s="74"/>
      <c r="H788" s="74"/>
      <c r="I788" s="74"/>
      <c r="J788" s="74"/>
      <c r="K788" s="74"/>
      <c r="L788" s="74"/>
      <c r="M788" s="74"/>
      <c r="N788" s="74"/>
      <c r="O788" s="74"/>
      <c r="P788" s="74"/>
      <c r="Q788" s="74"/>
      <c r="R788" s="75"/>
      <c r="S788" s="74"/>
      <c r="T788" s="74"/>
      <c r="U788" s="74"/>
      <c r="V788" s="74"/>
      <c r="W788" s="74"/>
      <c r="X788" s="74"/>
      <c r="Y788" s="74"/>
      <c r="Z788" s="74"/>
      <c r="AA788" s="74"/>
      <c r="AB788" s="74"/>
      <c r="AC788" s="74"/>
      <c r="AD788" s="74"/>
      <c r="AE788" s="74"/>
      <c r="AF788" s="74"/>
      <c r="AG788" s="74"/>
      <c r="AH788" s="74"/>
      <c r="AI788" s="74"/>
      <c r="AJ788" s="74"/>
      <c r="AK788" s="74"/>
    </row>
    <row r="789">
      <c r="A789" s="74"/>
      <c r="B789" s="74"/>
      <c r="C789" s="74"/>
      <c r="D789" s="74"/>
      <c r="E789" s="74"/>
      <c r="F789" s="74"/>
      <c r="G789" s="74"/>
      <c r="H789" s="74"/>
      <c r="I789" s="74"/>
      <c r="J789" s="74"/>
      <c r="K789" s="74"/>
      <c r="L789" s="74"/>
      <c r="M789" s="74"/>
      <c r="N789" s="74"/>
      <c r="O789" s="74"/>
      <c r="P789" s="74"/>
      <c r="Q789" s="74"/>
      <c r="R789" s="75"/>
      <c r="S789" s="74"/>
      <c r="T789" s="74"/>
      <c r="U789" s="74"/>
      <c r="V789" s="74"/>
      <c r="W789" s="74"/>
      <c r="X789" s="74"/>
      <c r="Y789" s="74"/>
      <c r="Z789" s="74"/>
      <c r="AA789" s="74"/>
      <c r="AB789" s="74"/>
      <c r="AC789" s="74"/>
      <c r="AD789" s="74"/>
      <c r="AE789" s="74"/>
      <c r="AF789" s="74"/>
      <c r="AG789" s="74"/>
      <c r="AH789" s="74"/>
      <c r="AI789" s="74"/>
      <c r="AJ789" s="74"/>
      <c r="AK789" s="74"/>
    </row>
    <row r="790">
      <c r="A790" s="74"/>
      <c r="B790" s="74"/>
      <c r="C790" s="74"/>
      <c r="D790" s="74"/>
      <c r="E790" s="74"/>
      <c r="F790" s="74"/>
      <c r="G790" s="74"/>
      <c r="H790" s="74"/>
      <c r="I790" s="74"/>
      <c r="J790" s="74"/>
      <c r="K790" s="74"/>
      <c r="L790" s="74"/>
      <c r="M790" s="74"/>
      <c r="N790" s="74"/>
      <c r="O790" s="74"/>
      <c r="P790" s="74"/>
      <c r="Q790" s="74"/>
      <c r="R790" s="75"/>
      <c r="S790" s="74"/>
      <c r="T790" s="74"/>
      <c r="U790" s="74"/>
      <c r="V790" s="74"/>
      <c r="W790" s="74"/>
      <c r="X790" s="74"/>
      <c r="Y790" s="74"/>
      <c r="Z790" s="74"/>
      <c r="AA790" s="74"/>
      <c r="AB790" s="74"/>
      <c r="AC790" s="74"/>
      <c r="AD790" s="74"/>
      <c r="AE790" s="74"/>
      <c r="AF790" s="74"/>
      <c r="AG790" s="74"/>
      <c r="AH790" s="74"/>
      <c r="AI790" s="74"/>
      <c r="AJ790" s="74"/>
      <c r="AK790" s="74"/>
    </row>
    <row r="791">
      <c r="A791" s="74"/>
      <c r="B791" s="74"/>
      <c r="C791" s="74"/>
      <c r="D791" s="74"/>
      <c r="E791" s="74"/>
      <c r="F791" s="74"/>
      <c r="G791" s="74"/>
      <c r="H791" s="74"/>
      <c r="I791" s="74"/>
      <c r="J791" s="74"/>
      <c r="K791" s="74"/>
      <c r="L791" s="74"/>
      <c r="M791" s="74"/>
      <c r="N791" s="74"/>
      <c r="O791" s="74"/>
      <c r="P791" s="74"/>
      <c r="Q791" s="74"/>
      <c r="R791" s="75"/>
      <c r="S791" s="74"/>
      <c r="T791" s="74"/>
      <c r="U791" s="74"/>
      <c r="V791" s="74"/>
      <c r="W791" s="74"/>
      <c r="X791" s="74"/>
      <c r="Y791" s="74"/>
      <c r="Z791" s="74"/>
      <c r="AA791" s="74"/>
      <c r="AB791" s="74"/>
      <c r="AC791" s="74"/>
      <c r="AD791" s="74"/>
      <c r="AE791" s="74"/>
      <c r="AF791" s="74"/>
      <c r="AG791" s="74"/>
      <c r="AH791" s="74"/>
      <c r="AI791" s="74"/>
      <c r="AJ791" s="74"/>
      <c r="AK791" s="74"/>
    </row>
    <row r="792">
      <c r="A792" s="74"/>
      <c r="B792" s="74"/>
      <c r="C792" s="74"/>
      <c r="D792" s="74"/>
      <c r="E792" s="74"/>
      <c r="F792" s="74"/>
      <c r="G792" s="74"/>
      <c r="H792" s="74"/>
      <c r="I792" s="74"/>
      <c r="J792" s="74"/>
      <c r="K792" s="74"/>
      <c r="L792" s="74"/>
      <c r="M792" s="74"/>
      <c r="N792" s="74"/>
      <c r="O792" s="74"/>
      <c r="P792" s="74"/>
      <c r="Q792" s="74"/>
      <c r="R792" s="75"/>
      <c r="S792" s="74"/>
      <c r="T792" s="74"/>
      <c r="U792" s="74"/>
      <c r="V792" s="74"/>
      <c r="W792" s="74"/>
      <c r="X792" s="74"/>
      <c r="Y792" s="74"/>
      <c r="Z792" s="74"/>
      <c r="AA792" s="74"/>
      <c r="AB792" s="74"/>
      <c r="AC792" s="74"/>
      <c r="AD792" s="74"/>
      <c r="AE792" s="74"/>
      <c r="AF792" s="74"/>
      <c r="AG792" s="74"/>
      <c r="AH792" s="74"/>
      <c r="AI792" s="74"/>
      <c r="AJ792" s="74"/>
      <c r="AK792" s="74"/>
    </row>
    <row r="793">
      <c r="A793" s="74"/>
      <c r="B793" s="74"/>
      <c r="C793" s="74"/>
      <c r="D793" s="74"/>
      <c r="E793" s="74"/>
      <c r="F793" s="74"/>
      <c r="G793" s="74"/>
      <c r="H793" s="74"/>
      <c r="I793" s="74"/>
      <c r="J793" s="74"/>
      <c r="K793" s="74"/>
      <c r="L793" s="74"/>
      <c r="M793" s="74"/>
      <c r="N793" s="74"/>
      <c r="O793" s="74"/>
      <c r="P793" s="74"/>
      <c r="Q793" s="74"/>
      <c r="R793" s="75"/>
      <c r="S793" s="74"/>
      <c r="T793" s="74"/>
      <c r="U793" s="74"/>
      <c r="V793" s="74"/>
      <c r="W793" s="74"/>
      <c r="X793" s="74"/>
      <c r="Y793" s="74"/>
      <c r="Z793" s="74"/>
      <c r="AA793" s="74"/>
      <c r="AB793" s="74"/>
      <c r="AC793" s="74"/>
      <c r="AD793" s="74"/>
      <c r="AE793" s="74"/>
      <c r="AF793" s="74"/>
      <c r="AG793" s="74"/>
      <c r="AH793" s="74"/>
      <c r="AI793" s="74"/>
      <c r="AJ793" s="74"/>
      <c r="AK793" s="74"/>
    </row>
    <row r="794">
      <c r="A794" s="74"/>
      <c r="B794" s="74"/>
      <c r="C794" s="74"/>
      <c r="D794" s="74"/>
      <c r="E794" s="74"/>
      <c r="F794" s="74"/>
      <c r="G794" s="74"/>
      <c r="H794" s="74"/>
      <c r="I794" s="74"/>
      <c r="J794" s="74"/>
      <c r="K794" s="74"/>
      <c r="L794" s="74"/>
      <c r="M794" s="74"/>
      <c r="N794" s="74"/>
      <c r="O794" s="74"/>
      <c r="P794" s="74"/>
      <c r="Q794" s="74"/>
      <c r="R794" s="75"/>
      <c r="S794" s="74"/>
      <c r="T794" s="74"/>
      <c r="U794" s="74"/>
      <c r="V794" s="74"/>
      <c r="W794" s="74"/>
      <c r="X794" s="74"/>
      <c r="Y794" s="74"/>
      <c r="Z794" s="74"/>
      <c r="AA794" s="74"/>
      <c r="AB794" s="74"/>
      <c r="AC794" s="74"/>
      <c r="AD794" s="74"/>
      <c r="AE794" s="74"/>
      <c r="AF794" s="74"/>
      <c r="AG794" s="74"/>
      <c r="AH794" s="74"/>
      <c r="AI794" s="74"/>
      <c r="AJ794" s="74"/>
      <c r="AK794" s="74"/>
    </row>
    <row r="795">
      <c r="A795" s="74"/>
      <c r="B795" s="74"/>
      <c r="C795" s="74"/>
      <c r="D795" s="74"/>
      <c r="E795" s="74"/>
      <c r="F795" s="74"/>
      <c r="G795" s="74"/>
      <c r="H795" s="74"/>
      <c r="I795" s="74"/>
      <c r="J795" s="74"/>
      <c r="K795" s="74"/>
      <c r="L795" s="74"/>
      <c r="M795" s="74"/>
      <c r="N795" s="74"/>
      <c r="O795" s="74"/>
      <c r="P795" s="74"/>
      <c r="Q795" s="74"/>
      <c r="R795" s="75"/>
      <c r="S795" s="74"/>
      <c r="T795" s="74"/>
      <c r="U795" s="74"/>
      <c r="V795" s="74"/>
      <c r="W795" s="74"/>
      <c r="X795" s="74"/>
      <c r="Y795" s="74"/>
      <c r="Z795" s="74"/>
      <c r="AA795" s="74"/>
      <c r="AB795" s="74"/>
      <c r="AC795" s="74"/>
      <c r="AD795" s="74"/>
      <c r="AE795" s="74"/>
      <c r="AF795" s="74"/>
      <c r="AG795" s="74"/>
      <c r="AH795" s="74"/>
      <c r="AI795" s="74"/>
      <c r="AJ795" s="74"/>
      <c r="AK795" s="74"/>
    </row>
    <row r="796">
      <c r="A796" s="74"/>
      <c r="B796" s="74"/>
      <c r="C796" s="74"/>
      <c r="D796" s="74"/>
      <c r="E796" s="74"/>
      <c r="F796" s="74"/>
      <c r="G796" s="74"/>
      <c r="H796" s="74"/>
      <c r="I796" s="74"/>
      <c r="J796" s="74"/>
      <c r="K796" s="74"/>
      <c r="L796" s="74"/>
      <c r="M796" s="74"/>
      <c r="N796" s="74"/>
      <c r="O796" s="74"/>
      <c r="P796" s="74"/>
      <c r="Q796" s="74"/>
      <c r="R796" s="75"/>
      <c r="S796" s="74"/>
      <c r="T796" s="74"/>
      <c r="U796" s="74"/>
      <c r="V796" s="74"/>
      <c r="W796" s="74"/>
      <c r="X796" s="74"/>
      <c r="Y796" s="74"/>
      <c r="Z796" s="74"/>
      <c r="AA796" s="74"/>
      <c r="AB796" s="74"/>
      <c r="AC796" s="74"/>
      <c r="AD796" s="74"/>
      <c r="AE796" s="74"/>
      <c r="AF796" s="74"/>
      <c r="AG796" s="74"/>
      <c r="AH796" s="74"/>
      <c r="AI796" s="74"/>
      <c r="AJ796" s="74"/>
      <c r="AK796" s="74"/>
    </row>
    <row r="797">
      <c r="A797" s="74"/>
      <c r="B797" s="74"/>
      <c r="C797" s="74"/>
      <c r="D797" s="74"/>
      <c r="E797" s="74"/>
      <c r="F797" s="74"/>
      <c r="G797" s="74"/>
      <c r="H797" s="74"/>
      <c r="I797" s="74"/>
      <c r="J797" s="74"/>
      <c r="K797" s="74"/>
      <c r="L797" s="74"/>
      <c r="M797" s="74"/>
      <c r="N797" s="74"/>
      <c r="O797" s="74"/>
      <c r="P797" s="74"/>
      <c r="Q797" s="74"/>
      <c r="R797" s="75"/>
      <c r="S797" s="74"/>
      <c r="T797" s="74"/>
      <c r="U797" s="74"/>
      <c r="V797" s="74"/>
      <c r="W797" s="74"/>
      <c r="X797" s="74"/>
      <c r="Y797" s="74"/>
      <c r="Z797" s="74"/>
      <c r="AA797" s="74"/>
      <c r="AB797" s="74"/>
      <c r="AC797" s="74"/>
      <c r="AD797" s="74"/>
      <c r="AE797" s="74"/>
      <c r="AF797" s="74"/>
      <c r="AG797" s="74"/>
      <c r="AH797" s="74"/>
      <c r="AI797" s="74"/>
      <c r="AJ797" s="74"/>
      <c r="AK797" s="74"/>
    </row>
    <row r="798">
      <c r="A798" s="74"/>
      <c r="B798" s="74"/>
      <c r="C798" s="74"/>
      <c r="D798" s="74"/>
      <c r="E798" s="74"/>
      <c r="F798" s="74"/>
      <c r="G798" s="74"/>
      <c r="H798" s="74"/>
      <c r="I798" s="74"/>
      <c r="J798" s="74"/>
      <c r="K798" s="74"/>
      <c r="L798" s="74"/>
      <c r="M798" s="74"/>
      <c r="N798" s="74"/>
      <c r="O798" s="74"/>
      <c r="P798" s="74"/>
      <c r="Q798" s="74"/>
      <c r="R798" s="75"/>
      <c r="S798" s="74"/>
      <c r="T798" s="74"/>
      <c r="U798" s="74"/>
      <c r="V798" s="74"/>
      <c r="W798" s="74"/>
      <c r="X798" s="74"/>
      <c r="Y798" s="74"/>
      <c r="Z798" s="74"/>
      <c r="AA798" s="74"/>
      <c r="AB798" s="74"/>
      <c r="AC798" s="74"/>
      <c r="AD798" s="74"/>
      <c r="AE798" s="74"/>
      <c r="AF798" s="74"/>
      <c r="AG798" s="74"/>
      <c r="AH798" s="74"/>
      <c r="AI798" s="74"/>
      <c r="AJ798" s="74"/>
      <c r="AK798" s="74"/>
    </row>
    <row r="799">
      <c r="A799" s="74"/>
      <c r="B799" s="74"/>
      <c r="C799" s="74"/>
      <c r="D799" s="74"/>
      <c r="E799" s="74"/>
      <c r="F799" s="74"/>
      <c r="G799" s="74"/>
      <c r="H799" s="74"/>
      <c r="I799" s="74"/>
      <c r="J799" s="74"/>
      <c r="K799" s="74"/>
      <c r="L799" s="74"/>
      <c r="M799" s="74"/>
      <c r="N799" s="74"/>
      <c r="O799" s="74"/>
      <c r="P799" s="74"/>
      <c r="Q799" s="74"/>
      <c r="R799" s="75"/>
      <c r="S799" s="74"/>
      <c r="T799" s="74"/>
      <c r="U799" s="74"/>
      <c r="V799" s="74"/>
      <c r="W799" s="74"/>
      <c r="X799" s="74"/>
      <c r="Y799" s="74"/>
      <c r="Z799" s="74"/>
      <c r="AA799" s="74"/>
      <c r="AB799" s="74"/>
      <c r="AC799" s="74"/>
      <c r="AD799" s="74"/>
      <c r="AE799" s="74"/>
      <c r="AF799" s="74"/>
      <c r="AG799" s="74"/>
      <c r="AH799" s="74"/>
      <c r="AI799" s="74"/>
      <c r="AJ799" s="74"/>
      <c r="AK799" s="74"/>
    </row>
    <row r="800">
      <c r="A800" s="74"/>
      <c r="B800" s="74"/>
      <c r="C800" s="74"/>
      <c r="D800" s="74"/>
      <c r="E800" s="74"/>
      <c r="F800" s="74"/>
      <c r="G800" s="74"/>
      <c r="H800" s="74"/>
      <c r="I800" s="74"/>
      <c r="J800" s="74"/>
      <c r="K800" s="74"/>
      <c r="L800" s="74"/>
      <c r="M800" s="74"/>
      <c r="N800" s="74"/>
      <c r="O800" s="74"/>
      <c r="P800" s="74"/>
      <c r="Q800" s="74"/>
      <c r="R800" s="75"/>
      <c r="S800" s="74"/>
      <c r="T800" s="74"/>
      <c r="U800" s="74"/>
      <c r="V800" s="74"/>
      <c r="W800" s="74"/>
      <c r="X800" s="74"/>
      <c r="Y800" s="74"/>
      <c r="Z800" s="74"/>
      <c r="AA800" s="74"/>
      <c r="AB800" s="74"/>
      <c r="AC800" s="74"/>
      <c r="AD800" s="74"/>
      <c r="AE800" s="74"/>
      <c r="AF800" s="74"/>
      <c r="AG800" s="74"/>
      <c r="AH800" s="74"/>
      <c r="AI800" s="74"/>
      <c r="AJ800" s="74"/>
      <c r="AK800" s="74"/>
    </row>
    <row r="801">
      <c r="A801" s="74"/>
      <c r="B801" s="74"/>
      <c r="C801" s="74"/>
      <c r="D801" s="74"/>
      <c r="E801" s="74"/>
      <c r="F801" s="74"/>
      <c r="G801" s="74"/>
      <c r="H801" s="74"/>
      <c r="I801" s="74"/>
      <c r="J801" s="74"/>
      <c r="K801" s="74"/>
      <c r="L801" s="74"/>
      <c r="M801" s="74"/>
      <c r="N801" s="74"/>
      <c r="O801" s="74"/>
      <c r="P801" s="74"/>
      <c r="Q801" s="74"/>
      <c r="R801" s="75"/>
      <c r="S801" s="74"/>
      <c r="T801" s="74"/>
      <c r="U801" s="74"/>
      <c r="V801" s="74"/>
      <c r="W801" s="74"/>
      <c r="X801" s="74"/>
      <c r="Y801" s="74"/>
      <c r="Z801" s="74"/>
      <c r="AA801" s="74"/>
      <c r="AB801" s="74"/>
      <c r="AC801" s="74"/>
      <c r="AD801" s="74"/>
      <c r="AE801" s="74"/>
      <c r="AF801" s="74"/>
      <c r="AG801" s="74"/>
      <c r="AH801" s="74"/>
      <c r="AI801" s="74"/>
      <c r="AJ801" s="74"/>
      <c r="AK801" s="74"/>
    </row>
    <row r="802">
      <c r="A802" s="74"/>
      <c r="B802" s="74"/>
      <c r="C802" s="74"/>
      <c r="D802" s="74"/>
      <c r="E802" s="74"/>
      <c r="F802" s="74"/>
      <c r="G802" s="74"/>
      <c r="H802" s="74"/>
      <c r="I802" s="74"/>
      <c r="J802" s="74"/>
      <c r="K802" s="74"/>
      <c r="L802" s="74"/>
      <c r="M802" s="74"/>
      <c r="N802" s="74"/>
      <c r="O802" s="74"/>
      <c r="P802" s="74"/>
      <c r="Q802" s="74"/>
      <c r="R802" s="75"/>
      <c r="S802" s="74"/>
      <c r="T802" s="74"/>
      <c r="U802" s="74"/>
      <c r="V802" s="74"/>
      <c r="W802" s="74"/>
      <c r="X802" s="74"/>
      <c r="Y802" s="74"/>
      <c r="Z802" s="74"/>
      <c r="AA802" s="74"/>
      <c r="AB802" s="74"/>
      <c r="AC802" s="74"/>
      <c r="AD802" s="74"/>
      <c r="AE802" s="74"/>
      <c r="AF802" s="74"/>
      <c r="AG802" s="74"/>
      <c r="AH802" s="74"/>
      <c r="AI802" s="74"/>
      <c r="AJ802" s="74"/>
      <c r="AK802" s="74"/>
    </row>
    <row r="803">
      <c r="A803" s="74"/>
      <c r="B803" s="74"/>
      <c r="C803" s="74"/>
      <c r="D803" s="74"/>
      <c r="E803" s="74"/>
      <c r="F803" s="74"/>
      <c r="G803" s="74"/>
      <c r="H803" s="74"/>
      <c r="I803" s="74"/>
      <c r="J803" s="74"/>
      <c r="K803" s="74"/>
      <c r="L803" s="74"/>
      <c r="M803" s="74"/>
      <c r="N803" s="74"/>
      <c r="O803" s="74"/>
      <c r="P803" s="74"/>
      <c r="Q803" s="74"/>
      <c r="R803" s="75"/>
      <c r="S803" s="74"/>
      <c r="T803" s="74"/>
      <c r="U803" s="74"/>
      <c r="V803" s="74"/>
      <c r="W803" s="74"/>
      <c r="X803" s="74"/>
      <c r="Y803" s="74"/>
      <c r="Z803" s="74"/>
      <c r="AA803" s="74"/>
      <c r="AB803" s="74"/>
      <c r="AC803" s="74"/>
      <c r="AD803" s="74"/>
      <c r="AE803" s="74"/>
      <c r="AF803" s="74"/>
      <c r="AG803" s="74"/>
      <c r="AH803" s="74"/>
      <c r="AI803" s="74"/>
      <c r="AJ803" s="74"/>
      <c r="AK803" s="74"/>
    </row>
    <row r="804">
      <c r="A804" s="74"/>
      <c r="B804" s="74"/>
      <c r="C804" s="74"/>
      <c r="D804" s="74"/>
      <c r="E804" s="74"/>
      <c r="F804" s="74"/>
      <c r="G804" s="74"/>
      <c r="H804" s="74"/>
      <c r="I804" s="74"/>
      <c r="J804" s="74"/>
      <c r="K804" s="74"/>
      <c r="L804" s="74"/>
      <c r="M804" s="74"/>
      <c r="N804" s="74"/>
      <c r="O804" s="74"/>
      <c r="P804" s="74"/>
      <c r="Q804" s="74"/>
      <c r="R804" s="75"/>
      <c r="S804" s="74"/>
      <c r="T804" s="74"/>
      <c r="U804" s="74"/>
      <c r="V804" s="74"/>
      <c r="W804" s="74"/>
      <c r="X804" s="74"/>
      <c r="Y804" s="74"/>
      <c r="Z804" s="74"/>
      <c r="AA804" s="74"/>
      <c r="AB804" s="74"/>
      <c r="AC804" s="74"/>
      <c r="AD804" s="74"/>
      <c r="AE804" s="74"/>
      <c r="AF804" s="74"/>
      <c r="AG804" s="74"/>
      <c r="AH804" s="74"/>
      <c r="AI804" s="74"/>
      <c r="AJ804" s="74"/>
      <c r="AK804" s="74"/>
    </row>
    <row r="805">
      <c r="A805" s="74"/>
      <c r="B805" s="74"/>
      <c r="C805" s="74"/>
      <c r="D805" s="74"/>
      <c r="E805" s="74"/>
      <c r="F805" s="74"/>
      <c r="G805" s="74"/>
      <c r="H805" s="74"/>
      <c r="I805" s="74"/>
      <c r="J805" s="74"/>
      <c r="K805" s="74"/>
      <c r="L805" s="74"/>
      <c r="M805" s="74"/>
      <c r="N805" s="74"/>
      <c r="O805" s="74"/>
      <c r="P805" s="74"/>
      <c r="Q805" s="74"/>
      <c r="R805" s="75"/>
      <c r="S805" s="74"/>
      <c r="T805" s="74"/>
      <c r="U805" s="74"/>
      <c r="V805" s="74"/>
      <c r="W805" s="74"/>
      <c r="X805" s="74"/>
      <c r="Y805" s="74"/>
      <c r="Z805" s="74"/>
      <c r="AA805" s="74"/>
      <c r="AB805" s="74"/>
      <c r="AC805" s="74"/>
      <c r="AD805" s="74"/>
      <c r="AE805" s="74"/>
      <c r="AF805" s="74"/>
      <c r="AG805" s="74"/>
      <c r="AH805" s="74"/>
      <c r="AI805" s="74"/>
      <c r="AJ805" s="74"/>
      <c r="AK805" s="74"/>
    </row>
    <row r="806">
      <c r="A806" s="74"/>
      <c r="B806" s="74"/>
      <c r="C806" s="74"/>
      <c r="D806" s="74"/>
      <c r="E806" s="74"/>
      <c r="F806" s="74"/>
      <c r="G806" s="74"/>
      <c r="H806" s="74"/>
      <c r="I806" s="74"/>
      <c r="J806" s="74"/>
      <c r="K806" s="74"/>
      <c r="L806" s="74"/>
      <c r="M806" s="74"/>
      <c r="N806" s="74"/>
      <c r="O806" s="74"/>
      <c r="P806" s="74"/>
      <c r="Q806" s="74"/>
      <c r="R806" s="75"/>
      <c r="S806" s="74"/>
      <c r="T806" s="74"/>
      <c r="U806" s="74"/>
      <c r="V806" s="74"/>
      <c r="W806" s="74"/>
      <c r="X806" s="74"/>
      <c r="Y806" s="74"/>
      <c r="Z806" s="74"/>
      <c r="AA806" s="74"/>
      <c r="AB806" s="74"/>
      <c r="AC806" s="74"/>
      <c r="AD806" s="74"/>
      <c r="AE806" s="74"/>
      <c r="AF806" s="74"/>
      <c r="AG806" s="74"/>
      <c r="AH806" s="74"/>
      <c r="AI806" s="74"/>
      <c r="AJ806" s="74"/>
      <c r="AK806" s="74"/>
    </row>
    <row r="807">
      <c r="A807" s="74"/>
      <c r="B807" s="74"/>
      <c r="C807" s="74"/>
      <c r="D807" s="74"/>
      <c r="E807" s="74"/>
      <c r="F807" s="74"/>
      <c r="G807" s="74"/>
      <c r="H807" s="74"/>
      <c r="I807" s="74"/>
      <c r="J807" s="74"/>
      <c r="K807" s="74"/>
      <c r="L807" s="74"/>
      <c r="M807" s="74"/>
      <c r="N807" s="74"/>
      <c r="O807" s="74"/>
      <c r="P807" s="74"/>
      <c r="Q807" s="74"/>
      <c r="R807" s="75"/>
      <c r="S807" s="74"/>
      <c r="T807" s="74"/>
      <c r="U807" s="74"/>
      <c r="V807" s="74"/>
      <c r="W807" s="74"/>
      <c r="X807" s="74"/>
      <c r="Y807" s="74"/>
      <c r="Z807" s="74"/>
      <c r="AA807" s="74"/>
      <c r="AB807" s="74"/>
      <c r="AC807" s="74"/>
      <c r="AD807" s="74"/>
      <c r="AE807" s="74"/>
      <c r="AF807" s="74"/>
      <c r="AG807" s="74"/>
      <c r="AH807" s="74"/>
      <c r="AI807" s="74"/>
      <c r="AJ807" s="74"/>
      <c r="AK807" s="74"/>
    </row>
    <row r="808">
      <c r="A808" s="74"/>
      <c r="B808" s="74"/>
      <c r="C808" s="74"/>
      <c r="D808" s="74"/>
      <c r="E808" s="74"/>
      <c r="F808" s="74"/>
      <c r="G808" s="74"/>
      <c r="H808" s="74"/>
      <c r="I808" s="74"/>
      <c r="J808" s="74"/>
      <c r="K808" s="74"/>
      <c r="L808" s="74"/>
      <c r="M808" s="74"/>
      <c r="N808" s="74"/>
      <c r="O808" s="74"/>
      <c r="P808" s="74"/>
      <c r="Q808" s="74"/>
      <c r="R808" s="75"/>
      <c r="S808" s="74"/>
      <c r="T808" s="74"/>
      <c r="U808" s="74"/>
      <c r="V808" s="74"/>
      <c r="W808" s="74"/>
      <c r="X808" s="74"/>
      <c r="Y808" s="74"/>
      <c r="Z808" s="74"/>
      <c r="AA808" s="74"/>
      <c r="AB808" s="74"/>
      <c r="AC808" s="74"/>
      <c r="AD808" s="74"/>
      <c r="AE808" s="74"/>
      <c r="AF808" s="74"/>
      <c r="AG808" s="74"/>
      <c r="AH808" s="74"/>
      <c r="AI808" s="74"/>
      <c r="AJ808" s="74"/>
      <c r="AK808" s="74"/>
    </row>
    <row r="809">
      <c r="A809" s="74"/>
      <c r="B809" s="74"/>
      <c r="C809" s="74"/>
      <c r="D809" s="74"/>
      <c r="E809" s="74"/>
      <c r="F809" s="74"/>
      <c r="G809" s="74"/>
      <c r="H809" s="74"/>
      <c r="I809" s="74"/>
      <c r="J809" s="74"/>
      <c r="K809" s="74"/>
      <c r="L809" s="74"/>
      <c r="M809" s="74"/>
      <c r="N809" s="74"/>
      <c r="O809" s="74"/>
      <c r="P809" s="74"/>
      <c r="Q809" s="74"/>
      <c r="R809" s="75"/>
      <c r="S809" s="74"/>
      <c r="T809" s="74"/>
      <c r="U809" s="74"/>
      <c r="V809" s="74"/>
      <c r="W809" s="74"/>
      <c r="X809" s="74"/>
      <c r="Y809" s="74"/>
      <c r="Z809" s="74"/>
      <c r="AA809" s="74"/>
      <c r="AB809" s="74"/>
      <c r="AC809" s="74"/>
      <c r="AD809" s="74"/>
      <c r="AE809" s="74"/>
      <c r="AF809" s="74"/>
      <c r="AG809" s="74"/>
      <c r="AH809" s="74"/>
      <c r="AI809" s="74"/>
      <c r="AJ809" s="74"/>
      <c r="AK809" s="74"/>
    </row>
    <row r="810">
      <c r="A810" s="74"/>
      <c r="B810" s="74"/>
      <c r="C810" s="74"/>
      <c r="D810" s="74"/>
      <c r="E810" s="74"/>
      <c r="F810" s="74"/>
      <c r="G810" s="74"/>
      <c r="H810" s="74"/>
      <c r="I810" s="74"/>
      <c r="J810" s="74"/>
      <c r="K810" s="74"/>
      <c r="L810" s="74"/>
      <c r="M810" s="74"/>
      <c r="N810" s="74"/>
      <c r="O810" s="74"/>
      <c r="P810" s="74"/>
      <c r="Q810" s="74"/>
      <c r="R810" s="75"/>
      <c r="S810" s="74"/>
      <c r="T810" s="74"/>
      <c r="U810" s="74"/>
      <c r="V810" s="74"/>
      <c r="W810" s="74"/>
      <c r="X810" s="74"/>
      <c r="Y810" s="74"/>
      <c r="Z810" s="74"/>
      <c r="AA810" s="74"/>
      <c r="AB810" s="74"/>
      <c r="AC810" s="74"/>
      <c r="AD810" s="74"/>
      <c r="AE810" s="74"/>
      <c r="AF810" s="74"/>
      <c r="AG810" s="74"/>
      <c r="AH810" s="74"/>
      <c r="AI810" s="74"/>
      <c r="AJ810" s="74"/>
      <c r="AK810" s="74"/>
    </row>
    <row r="811">
      <c r="A811" s="74"/>
      <c r="B811" s="74"/>
      <c r="C811" s="74"/>
      <c r="D811" s="74"/>
      <c r="E811" s="74"/>
      <c r="F811" s="74"/>
      <c r="G811" s="74"/>
      <c r="H811" s="74"/>
      <c r="I811" s="74"/>
      <c r="J811" s="74"/>
      <c r="K811" s="74"/>
      <c r="L811" s="74"/>
      <c r="M811" s="74"/>
      <c r="N811" s="74"/>
      <c r="O811" s="74"/>
      <c r="P811" s="74"/>
      <c r="Q811" s="74"/>
      <c r="R811" s="75"/>
      <c r="S811" s="74"/>
      <c r="T811" s="74"/>
      <c r="U811" s="74"/>
      <c r="V811" s="74"/>
      <c r="W811" s="74"/>
      <c r="X811" s="74"/>
      <c r="Y811" s="74"/>
      <c r="Z811" s="74"/>
      <c r="AA811" s="74"/>
      <c r="AB811" s="74"/>
      <c r="AC811" s="74"/>
      <c r="AD811" s="74"/>
      <c r="AE811" s="74"/>
      <c r="AF811" s="74"/>
      <c r="AG811" s="74"/>
      <c r="AH811" s="74"/>
      <c r="AI811" s="74"/>
      <c r="AJ811" s="74"/>
      <c r="AK811" s="74"/>
    </row>
    <row r="812">
      <c r="A812" s="74"/>
      <c r="B812" s="74"/>
      <c r="C812" s="74"/>
      <c r="D812" s="74"/>
      <c r="E812" s="74"/>
      <c r="F812" s="74"/>
      <c r="G812" s="74"/>
      <c r="H812" s="74"/>
      <c r="I812" s="74"/>
      <c r="J812" s="74"/>
      <c r="K812" s="74"/>
      <c r="L812" s="74"/>
      <c r="M812" s="74"/>
      <c r="N812" s="74"/>
      <c r="O812" s="74"/>
      <c r="P812" s="74"/>
      <c r="Q812" s="74"/>
      <c r="R812" s="75"/>
      <c r="S812" s="74"/>
      <c r="T812" s="74"/>
      <c r="U812" s="74"/>
      <c r="V812" s="74"/>
      <c r="W812" s="74"/>
      <c r="X812" s="74"/>
      <c r="Y812" s="74"/>
      <c r="Z812" s="74"/>
      <c r="AA812" s="74"/>
      <c r="AB812" s="74"/>
      <c r="AC812" s="74"/>
      <c r="AD812" s="74"/>
      <c r="AE812" s="74"/>
      <c r="AF812" s="74"/>
      <c r="AG812" s="74"/>
      <c r="AH812" s="74"/>
      <c r="AI812" s="74"/>
      <c r="AJ812" s="74"/>
      <c r="AK812" s="74"/>
    </row>
    <row r="813">
      <c r="A813" s="74"/>
      <c r="B813" s="74"/>
      <c r="C813" s="74"/>
      <c r="D813" s="74"/>
      <c r="E813" s="74"/>
      <c r="F813" s="74"/>
      <c r="G813" s="74"/>
      <c r="H813" s="74"/>
      <c r="I813" s="74"/>
      <c r="J813" s="74"/>
      <c r="K813" s="74"/>
      <c r="L813" s="74"/>
      <c r="M813" s="74"/>
      <c r="N813" s="74"/>
      <c r="O813" s="74"/>
      <c r="P813" s="74"/>
      <c r="Q813" s="74"/>
      <c r="R813" s="75"/>
      <c r="S813" s="74"/>
      <c r="T813" s="74"/>
      <c r="U813" s="74"/>
      <c r="V813" s="74"/>
      <c r="W813" s="74"/>
      <c r="X813" s="74"/>
      <c r="Y813" s="74"/>
      <c r="Z813" s="74"/>
      <c r="AA813" s="74"/>
      <c r="AB813" s="74"/>
      <c r="AC813" s="74"/>
      <c r="AD813" s="74"/>
      <c r="AE813" s="74"/>
      <c r="AF813" s="74"/>
      <c r="AG813" s="74"/>
      <c r="AH813" s="74"/>
      <c r="AI813" s="74"/>
      <c r="AJ813" s="74"/>
      <c r="AK813" s="74"/>
    </row>
    <row r="814">
      <c r="A814" s="74"/>
      <c r="B814" s="74"/>
      <c r="C814" s="74"/>
      <c r="D814" s="74"/>
      <c r="E814" s="74"/>
      <c r="F814" s="74"/>
      <c r="G814" s="74"/>
      <c r="H814" s="74"/>
      <c r="I814" s="74"/>
      <c r="J814" s="74"/>
      <c r="K814" s="74"/>
      <c r="L814" s="74"/>
      <c r="M814" s="74"/>
      <c r="N814" s="74"/>
      <c r="O814" s="74"/>
      <c r="P814" s="74"/>
      <c r="Q814" s="74"/>
      <c r="R814" s="75"/>
      <c r="S814" s="74"/>
      <c r="T814" s="74"/>
      <c r="U814" s="74"/>
      <c r="V814" s="74"/>
      <c r="W814" s="74"/>
      <c r="X814" s="74"/>
      <c r="Y814" s="74"/>
      <c r="Z814" s="74"/>
      <c r="AA814" s="74"/>
      <c r="AB814" s="74"/>
      <c r="AC814" s="74"/>
      <c r="AD814" s="74"/>
      <c r="AE814" s="74"/>
      <c r="AF814" s="74"/>
      <c r="AG814" s="74"/>
      <c r="AH814" s="74"/>
      <c r="AI814" s="74"/>
      <c r="AJ814" s="74"/>
      <c r="AK814" s="74"/>
    </row>
    <row r="815">
      <c r="A815" s="74"/>
      <c r="B815" s="74"/>
      <c r="C815" s="74"/>
      <c r="D815" s="74"/>
      <c r="E815" s="74"/>
      <c r="F815" s="74"/>
      <c r="G815" s="74"/>
      <c r="H815" s="74"/>
      <c r="I815" s="74"/>
      <c r="J815" s="74"/>
      <c r="K815" s="74"/>
      <c r="L815" s="74"/>
      <c r="M815" s="74"/>
      <c r="N815" s="74"/>
      <c r="O815" s="74"/>
      <c r="P815" s="74"/>
      <c r="Q815" s="74"/>
      <c r="R815" s="75"/>
      <c r="S815" s="74"/>
      <c r="T815" s="74"/>
      <c r="U815" s="74"/>
      <c r="V815" s="74"/>
      <c r="W815" s="74"/>
      <c r="X815" s="74"/>
      <c r="Y815" s="74"/>
      <c r="Z815" s="74"/>
      <c r="AA815" s="74"/>
      <c r="AB815" s="74"/>
      <c r="AC815" s="74"/>
      <c r="AD815" s="74"/>
      <c r="AE815" s="74"/>
      <c r="AF815" s="74"/>
      <c r="AG815" s="74"/>
      <c r="AH815" s="74"/>
      <c r="AI815" s="74"/>
      <c r="AJ815" s="74"/>
      <c r="AK815" s="74"/>
    </row>
    <row r="816">
      <c r="A816" s="74"/>
      <c r="B816" s="74"/>
      <c r="C816" s="74"/>
      <c r="D816" s="74"/>
      <c r="E816" s="74"/>
      <c r="F816" s="74"/>
      <c r="G816" s="74"/>
      <c r="H816" s="74"/>
      <c r="I816" s="74"/>
      <c r="J816" s="74"/>
      <c r="K816" s="74"/>
      <c r="L816" s="74"/>
      <c r="M816" s="74"/>
      <c r="N816" s="74"/>
      <c r="O816" s="74"/>
      <c r="P816" s="74"/>
      <c r="Q816" s="74"/>
      <c r="R816" s="75"/>
      <c r="S816" s="74"/>
      <c r="T816" s="74"/>
      <c r="U816" s="74"/>
      <c r="V816" s="74"/>
      <c r="W816" s="74"/>
      <c r="X816" s="74"/>
      <c r="Y816" s="74"/>
      <c r="Z816" s="74"/>
      <c r="AA816" s="74"/>
      <c r="AB816" s="74"/>
      <c r="AC816" s="74"/>
      <c r="AD816" s="74"/>
      <c r="AE816" s="74"/>
      <c r="AF816" s="74"/>
      <c r="AG816" s="74"/>
      <c r="AH816" s="74"/>
      <c r="AI816" s="74"/>
      <c r="AJ816" s="74"/>
      <c r="AK816" s="74"/>
    </row>
    <row r="817">
      <c r="A817" s="74"/>
      <c r="B817" s="74"/>
      <c r="C817" s="74"/>
      <c r="D817" s="74"/>
      <c r="E817" s="74"/>
      <c r="F817" s="74"/>
      <c r="G817" s="74"/>
      <c r="H817" s="74"/>
      <c r="I817" s="74"/>
      <c r="J817" s="74"/>
      <c r="K817" s="74"/>
      <c r="L817" s="74"/>
      <c r="M817" s="74"/>
      <c r="N817" s="74"/>
      <c r="O817" s="74"/>
      <c r="P817" s="74"/>
      <c r="Q817" s="74"/>
      <c r="R817" s="75"/>
      <c r="S817" s="74"/>
      <c r="T817" s="74"/>
      <c r="U817" s="74"/>
      <c r="V817" s="74"/>
      <c r="W817" s="74"/>
      <c r="X817" s="74"/>
      <c r="Y817" s="74"/>
      <c r="Z817" s="74"/>
      <c r="AA817" s="74"/>
      <c r="AB817" s="74"/>
      <c r="AC817" s="74"/>
      <c r="AD817" s="74"/>
      <c r="AE817" s="74"/>
      <c r="AF817" s="74"/>
      <c r="AG817" s="74"/>
      <c r="AH817" s="74"/>
      <c r="AI817" s="74"/>
      <c r="AJ817" s="74"/>
      <c r="AK817" s="74"/>
    </row>
    <row r="818">
      <c r="A818" s="74"/>
      <c r="B818" s="74"/>
      <c r="C818" s="74"/>
      <c r="D818" s="74"/>
      <c r="E818" s="74"/>
      <c r="F818" s="74"/>
      <c r="G818" s="74"/>
      <c r="H818" s="74"/>
      <c r="I818" s="74"/>
      <c r="J818" s="74"/>
      <c r="K818" s="74"/>
      <c r="L818" s="74"/>
      <c r="M818" s="74"/>
      <c r="N818" s="74"/>
      <c r="O818" s="74"/>
      <c r="P818" s="74"/>
      <c r="Q818" s="74"/>
      <c r="R818" s="75"/>
      <c r="S818" s="74"/>
      <c r="T818" s="74"/>
      <c r="U818" s="74"/>
      <c r="V818" s="74"/>
      <c r="W818" s="74"/>
      <c r="X818" s="74"/>
      <c r="Y818" s="74"/>
      <c r="Z818" s="74"/>
      <c r="AA818" s="74"/>
      <c r="AB818" s="74"/>
      <c r="AC818" s="74"/>
      <c r="AD818" s="74"/>
      <c r="AE818" s="74"/>
      <c r="AF818" s="74"/>
      <c r="AG818" s="74"/>
      <c r="AH818" s="74"/>
      <c r="AI818" s="74"/>
      <c r="AJ818" s="74"/>
      <c r="AK818" s="74"/>
    </row>
    <row r="819">
      <c r="A819" s="74"/>
      <c r="B819" s="74"/>
      <c r="C819" s="74"/>
      <c r="D819" s="74"/>
      <c r="E819" s="74"/>
      <c r="F819" s="74"/>
      <c r="G819" s="74"/>
      <c r="H819" s="74"/>
      <c r="I819" s="74"/>
      <c r="J819" s="74"/>
      <c r="K819" s="74"/>
      <c r="L819" s="74"/>
      <c r="M819" s="74"/>
      <c r="N819" s="74"/>
      <c r="O819" s="74"/>
      <c r="P819" s="74"/>
      <c r="Q819" s="74"/>
      <c r="R819" s="75"/>
      <c r="S819" s="74"/>
      <c r="T819" s="74"/>
      <c r="U819" s="74"/>
      <c r="V819" s="74"/>
      <c r="W819" s="74"/>
      <c r="X819" s="74"/>
      <c r="Y819" s="74"/>
      <c r="Z819" s="74"/>
      <c r="AA819" s="74"/>
      <c r="AB819" s="74"/>
      <c r="AC819" s="74"/>
      <c r="AD819" s="74"/>
      <c r="AE819" s="74"/>
      <c r="AF819" s="74"/>
      <c r="AG819" s="74"/>
      <c r="AH819" s="74"/>
      <c r="AI819" s="74"/>
      <c r="AJ819" s="74"/>
      <c r="AK819" s="74"/>
    </row>
    <row r="820">
      <c r="A820" s="74"/>
      <c r="B820" s="74"/>
      <c r="C820" s="74"/>
      <c r="D820" s="74"/>
      <c r="E820" s="74"/>
      <c r="F820" s="74"/>
      <c r="G820" s="74"/>
      <c r="H820" s="74"/>
      <c r="I820" s="74"/>
      <c r="J820" s="74"/>
      <c r="K820" s="74"/>
      <c r="L820" s="74"/>
      <c r="M820" s="74"/>
      <c r="N820" s="74"/>
      <c r="O820" s="74"/>
      <c r="P820" s="74"/>
      <c r="Q820" s="74"/>
      <c r="R820" s="75"/>
      <c r="S820" s="74"/>
      <c r="T820" s="74"/>
      <c r="U820" s="74"/>
      <c r="V820" s="74"/>
      <c r="W820" s="74"/>
      <c r="X820" s="74"/>
      <c r="Y820" s="74"/>
      <c r="Z820" s="74"/>
      <c r="AA820" s="74"/>
      <c r="AB820" s="74"/>
      <c r="AC820" s="74"/>
      <c r="AD820" s="74"/>
      <c r="AE820" s="74"/>
      <c r="AF820" s="74"/>
      <c r="AG820" s="74"/>
      <c r="AH820" s="74"/>
      <c r="AI820" s="74"/>
      <c r="AJ820" s="74"/>
      <c r="AK820" s="74"/>
    </row>
    <row r="821">
      <c r="A821" s="74"/>
      <c r="B821" s="74"/>
      <c r="C821" s="74"/>
      <c r="D821" s="74"/>
      <c r="E821" s="74"/>
      <c r="F821" s="74"/>
      <c r="G821" s="74"/>
      <c r="H821" s="74"/>
      <c r="I821" s="74"/>
      <c r="J821" s="74"/>
      <c r="K821" s="74"/>
      <c r="L821" s="74"/>
      <c r="M821" s="74"/>
      <c r="N821" s="74"/>
      <c r="O821" s="74"/>
      <c r="P821" s="74"/>
      <c r="Q821" s="74"/>
      <c r="R821" s="75"/>
      <c r="S821" s="74"/>
      <c r="T821" s="74"/>
      <c r="U821" s="74"/>
      <c r="V821" s="74"/>
      <c r="W821" s="74"/>
      <c r="X821" s="74"/>
      <c r="Y821" s="74"/>
      <c r="Z821" s="74"/>
      <c r="AA821" s="74"/>
      <c r="AB821" s="74"/>
      <c r="AC821" s="74"/>
      <c r="AD821" s="74"/>
      <c r="AE821" s="74"/>
      <c r="AF821" s="74"/>
      <c r="AG821" s="74"/>
      <c r="AH821" s="74"/>
      <c r="AI821" s="74"/>
      <c r="AJ821" s="74"/>
      <c r="AK821" s="74"/>
    </row>
    <row r="822">
      <c r="A822" s="74"/>
      <c r="B822" s="74"/>
      <c r="C822" s="74"/>
      <c r="D822" s="74"/>
      <c r="E822" s="74"/>
      <c r="F822" s="74"/>
      <c r="G822" s="74"/>
      <c r="H822" s="74"/>
      <c r="I822" s="74"/>
      <c r="J822" s="74"/>
      <c r="K822" s="74"/>
      <c r="L822" s="74"/>
      <c r="M822" s="74"/>
      <c r="N822" s="74"/>
      <c r="O822" s="74"/>
      <c r="P822" s="74"/>
      <c r="Q822" s="74"/>
      <c r="R822" s="75"/>
      <c r="S822" s="74"/>
      <c r="T822" s="74"/>
      <c r="U822" s="74"/>
      <c r="V822" s="74"/>
      <c r="W822" s="74"/>
      <c r="X822" s="74"/>
      <c r="Y822" s="74"/>
      <c r="Z822" s="74"/>
      <c r="AA822" s="74"/>
      <c r="AB822" s="74"/>
      <c r="AC822" s="74"/>
      <c r="AD822" s="74"/>
      <c r="AE822" s="74"/>
      <c r="AF822" s="74"/>
      <c r="AG822" s="74"/>
      <c r="AH822" s="74"/>
      <c r="AI822" s="74"/>
      <c r="AJ822" s="74"/>
      <c r="AK822" s="74"/>
    </row>
    <row r="823">
      <c r="A823" s="74"/>
      <c r="B823" s="74"/>
      <c r="C823" s="74"/>
      <c r="D823" s="74"/>
      <c r="E823" s="74"/>
      <c r="F823" s="74"/>
      <c r="G823" s="74"/>
      <c r="H823" s="74"/>
      <c r="I823" s="74"/>
      <c r="J823" s="74"/>
      <c r="K823" s="74"/>
      <c r="L823" s="74"/>
      <c r="M823" s="74"/>
      <c r="N823" s="74"/>
      <c r="O823" s="74"/>
      <c r="P823" s="74"/>
      <c r="Q823" s="74"/>
      <c r="R823" s="75"/>
      <c r="S823" s="74"/>
      <c r="T823" s="74"/>
      <c r="U823" s="74"/>
      <c r="V823" s="74"/>
      <c r="W823" s="74"/>
      <c r="X823" s="74"/>
      <c r="Y823" s="74"/>
      <c r="Z823" s="74"/>
      <c r="AA823" s="74"/>
      <c r="AB823" s="74"/>
      <c r="AC823" s="74"/>
      <c r="AD823" s="74"/>
      <c r="AE823" s="74"/>
      <c r="AF823" s="74"/>
      <c r="AG823" s="74"/>
      <c r="AH823" s="74"/>
      <c r="AI823" s="74"/>
      <c r="AJ823" s="74"/>
      <c r="AK823" s="74"/>
    </row>
    <row r="824">
      <c r="A824" s="74"/>
      <c r="B824" s="74"/>
      <c r="C824" s="74"/>
      <c r="D824" s="74"/>
      <c r="E824" s="74"/>
      <c r="F824" s="74"/>
      <c r="G824" s="74"/>
      <c r="H824" s="74"/>
      <c r="I824" s="74"/>
      <c r="J824" s="74"/>
      <c r="K824" s="74"/>
      <c r="L824" s="74"/>
      <c r="M824" s="74"/>
      <c r="N824" s="74"/>
      <c r="O824" s="74"/>
      <c r="P824" s="74"/>
      <c r="Q824" s="74"/>
      <c r="R824" s="75"/>
      <c r="S824" s="74"/>
      <c r="T824" s="74"/>
      <c r="U824" s="74"/>
      <c r="V824" s="74"/>
      <c r="W824" s="74"/>
      <c r="X824" s="74"/>
      <c r="Y824" s="74"/>
      <c r="Z824" s="74"/>
      <c r="AA824" s="74"/>
      <c r="AB824" s="74"/>
      <c r="AC824" s="74"/>
      <c r="AD824" s="74"/>
      <c r="AE824" s="74"/>
      <c r="AF824" s="74"/>
      <c r="AG824" s="74"/>
      <c r="AH824" s="74"/>
      <c r="AI824" s="74"/>
      <c r="AJ824" s="74"/>
      <c r="AK824" s="74"/>
    </row>
    <row r="825">
      <c r="A825" s="74"/>
      <c r="B825" s="74"/>
      <c r="C825" s="74"/>
      <c r="D825" s="74"/>
      <c r="E825" s="74"/>
      <c r="F825" s="74"/>
      <c r="G825" s="74"/>
      <c r="H825" s="74"/>
      <c r="I825" s="74"/>
      <c r="J825" s="74"/>
      <c r="K825" s="74"/>
      <c r="L825" s="74"/>
      <c r="M825" s="74"/>
      <c r="N825" s="74"/>
      <c r="O825" s="74"/>
      <c r="P825" s="74"/>
      <c r="Q825" s="74"/>
      <c r="R825" s="75"/>
      <c r="S825" s="74"/>
      <c r="T825" s="74"/>
      <c r="U825" s="74"/>
      <c r="V825" s="74"/>
      <c r="W825" s="74"/>
      <c r="X825" s="74"/>
      <c r="Y825" s="74"/>
      <c r="Z825" s="74"/>
      <c r="AA825" s="74"/>
      <c r="AB825" s="74"/>
      <c r="AC825" s="74"/>
      <c r="AD825" s="74"/>
      <c r="AE825" s="74"/>
      <c r="AF825" s="74"/>
      <c r="AG825" s="74"/>
      <c r="AH825" s="74"/>
      <c r="AI825" s="74"/>
      <c r="AJ825" s="74"/>
      <c r="AK825" s="74"/>
    </row>
    <row r="826">
      <c r="A826" s="74"/>
      <c r="B826" s="74"/>
      <c r="C826" s="74"/>
      <c r="D826" s="74"/>
      <c r="E826" s="74"/>
      <c r="F826" s="74"/>
      <c r="G826" s="74"/>
      <c r="H826" s="74"/>
      <c r="I826" s="74"/>
      <c r="J826" s="74"/>
      <c r="K826" s="74"/>
      <c r="L826" s="74"/>
      <c r="M826" s="74"/>
      <c r="N826" s="74"/>
      <c r="O826" s="74"/>
      <c r="P826" s="74"/>
      <c r="Q826" s="74"/>
      <c r="R826" s="75"/>
      <c r="S826" s="74"/>
      <c r="T826" s="74"/>
      <c r="U826" s="74"/>
      <c r="V826" s="74"/>
      <c r="W826" s="74"/>
      <c r="X826" s="74"/>
      <c r="Y826" s="74"/>
      <c r="Z826" s="74"/>
      <c r="AA826" s="74"/>
      <c r="AB826" s="74"/>
      <c r="AC826" s="74"/>
      <c r="AD826" s="74"/>
      <c r="AE826" s="74"/>
      <c r="AF826" s="74"/>
      <c r="AG826" s="74"/>
      <c r="AH826" s="74"/>
      <c r="AI826" s="74"/>
      <c r="AJ826" s="74"/>
      <c r="AK826" s="74"/>
    </row>
    <row r="827">
      <c r="A827" s="74"/>
      <c r="B827" s="74"/>
      <c r="C827" s="74"/>
      <c r="D827" s="74"/>
      <c r="E827" s="74"/>
      <c r="F827" s="74"/>
      <c r="G827" s="74"/>
      <c r="H827" s="74"/>
      <c r="I827" s="74"/>
      <c r="J827" s="74"/>
      <c r="K827" s="74"/>
      <c r="L827" s="74"/>
      <c r="M827" s="74"/>
      <c r="N827" s="74"/>
      <c r="O827" s="74"/>
      <c r="P827" s="74"/>
      <c r="Q827" s="74"/>
      <c r="R827" s="75"/>
      <c r="S827" s="74"/>
      <c r="T827" s="74"/>
      <c r="U827" s="74"/>
      <c r="V827" s="74"/>
      <c r="W827" s="74"/>
      <c r="X827" s="74"/>
      <c r="Y827" s="74"/>
      <c r="Z827" s="74"/>
      <c r="AA827" s="74"/>
      <c r="AB827" s="74"/>
      <c r="AC827" s="74"/>
      <c r="AD827" s="74"/>
      <c r="AE827" s="74"/>
      <c r="AF827" s="74"/>
      <c r="AG827" s="74"/>
      <c r="AH827" s="74"/>
      <c r="AI827" s="74"/>
      <c r="AJ827" s="74"/>
      <c r="AK827" s="74"/>
    </row>
    <row r="828">
      <c r="A828" s="74"/>
      <c r="B828" s="74"/>
      <c r="C828" s="74"/>
      <c r="D828" s="74"/>
      <c r="E828" s="74"/>
      <c r="F828" s="74"/>
      <c r="G828" s="74"/>
      <c r="H828" s="74"/>
      <c r="I828" s="74"/>
      <c r="J828" s="74"/>
      <c r="K828" s="74"/>
      <c r="L828" s="74"/>
      <c r="M828" s="74"/>
      <c r="N828" s="74"/>
      <c r="O828" s="74"/>
      <c r="P828" s="74"/>
      <c r="Q828" s="74"/>
      <c r="R828" s="75"/>
      <c r="S828" s="74"/>
      <c r="T828" s="74"/>
      <c r="U828" s="74"/>
      <c r="V828" s="74"/>
      <c r="W828" s="74"/>
      <c r="X828" s="74"/>
      <c r="Y828" s="74"/>
      <c r="Z828" s="74"/>
      <c r="AA828" s="74"/>
      <c r="AB828" s="74"/>
      <c r="AC828" s="74"/>
      <c r="AD828" s="74"/>
      <c r="AE828" s="74"/>
      <c r="AF828" s="74"/>
      <c r="AG828" s="74"/>
      <c r="AH828" s="74"/>
      <c r="AI828" s="74"/>
      <c r="AJ828" s="74"/>
      <c r="AK828" s="74"/>
    </row>
    <row r="829">
      <c r="A829" s="74"/>
      <c r="B829" s="74"/>
      <c r="C829" s="74"/>
      <c r="D829" s="74"/>
      <c r="E829" s="74"/>
      <c r="F829" s="74"/>
      <c r="G829" s="74"/>
      <c r="H829" s="74"/>
      <c r="I829" s="74"/>
      <c r="J829" s="74"/>
      <c r="K829" s="74"/>
      <c r="L829" s="74"/>
      <c r="M829" s="74"/>
      <c r="N829" s="74"/>
      <c r="O829" s="74"/>
      <c r="P829" s="74"/>
      <c r="Q829" s="74"/>
      <c r="R829" s="75"/>
      <c r="S829" s="74"/>
      <c r="T829" s="74"/>
      <c r="U829" s="74"/>
      <c r="V829" s="74"/>
      <c r="W829" s="74"/>
      <c r="X829" s="74"/>
      <c r="Y829" s="74"/>
      <c r="Z829" s="74"/>
      <c r="AA829" s="74"/>
      <c r="AB829" s="74"/>
      <c r="AC829" s="74"/>
      <c r="AD829" s="74"/>
      <c r="AE829" s="74"/>
      <c r="AF829" s="74"/>
      <c r="AG829" s="74"/>
      <c r="AH829" s="74"/>
      <c r="AI829" s="74"/>
      <c r="AJ829" s="74"/>
      <c r="AK829" s="74"/>
    </row>
    <row r="830">
      <c r="A830" s="74"/>
      <c r="B830" s="74"/>
      <c r="C830" s="74"/>
      <c r="D830" s="74"/>
      <c r="E830" s="74"/>
      <c r="F830" s="74"/>
      <c r="G830" s="74"/>
      <c r="H830" s="74"/>
      <c r="I830" s="74"/>
      <c r="J830" s="74"/>
      <c r="K830" s="74"/>
      <c r="L830" s="74"/>
      <c r="M830" s="74"/>
      <c r="N830" s="74"/>
      <c r="O830" s="74"/>
      <c r="P830" s="74"/>
      <c r="Q830" s="74"/>
      <c r="R830" s="75"/>
      <c r="S830" s="74"/>
      <c r="T830" s="74"/>
      <c r="U830" s="74"/>
      <c r="V830" s="74"/>
      <c r="W830" s="74"/>
      <c r="X830" s="74"/>
      <c r="Y830" s="74"/>
      <c r="Z830" s="74"/>
      <c r="AA830" s="74"/>
      <c r="AB830" s="74"/>
      <c r="AC830" s="74"/>
      <c r="AD830" s="74"/>
      <c r="AE830" s="74"/>
      <c r="AF830" s="74"/>
      <c r="AG830" s="74"/>
      <c r="AH830" s="74"/>
      <c r="AI830" s="74"/>
      <c r="AJ830" s="74"/>
      <c r="AK830" s="74"/>
    </row>
    <row r="831">
      <c r="A831" s="74"/>
      <c r="B831" s="74"/>
      <c r="C831" s="74"/>
      <c r="D831" s="74"/>
      <c r="E831" s="74"/>
      <c r="F831" s="74"/>
      <c r="G831" s="74"/>
      <c r="H831" s="74"/>
      <c r="I831" s="74"/>
      <c r="J831" s="74"/>
      <c r="K831" s="74"/>
      <c r="L831" s="74"/>
      <c r="M831" s="74"/>
      <c r="N831" s="74"/>
      <c r="O831" s="74"/>
      <c r="P831" s="74"/>
      <c r="Q831" s="74"/>
      <c r="R831" s="75"/>
      <c r="S831" s="74"/>
      <c r="T831" s="74"/>
      <c r="U831" s="74"/>
      <c r="V831" s="74"/>
      <c r="W831" s="74"/>
      <c r="X831" s="74"/>
      <c r="Y831" s="74"/>
      <c r="Z831" s="74"/>
      <c r="AA831" s="74"/>
      <c r="AB831" s="74"/>
      <c r="AC831" s="74"/>
      <c r="AD831" s="74"/>
      <c r="AE831" s="74"/>
      <c r="AF831" s="74"/>
      <c r="AG831" s="74"/>
      <c r="AH831" s="74"/>
      <c r="AI831" s="74"/>
      <c r="AJ831" s="74"/>
      <c r="AK831" s="74"/>
    </row>
    <row r="832">
      <c r="A832" s="74"/>
      <c r="B832" s="74"/>
      <c r="C832" s="74"/>
      <c r="D832" s="74"/>
      <c r="E832" s="74"/>
      <c r="F832" s="74"/>
      <c r="G832" s="74"/>
      <c r="H832" s="74"/>
      <c r="I832" s="74"/>
      <c r="J832" s="74"/>
      <c r="K832" s="74"/>
      <c r="L832" s="74"/>
      <c r="M832" s="74"/>
      <c r="N832" s="74"/>
      <c r="O832" s="74"/>
      <c r="P832" s="74"/>
      <c r="Q832" s="74"/>
      <c r="R832" s="75"/>
      <c r="S832" s="74"/>
      <c r="T832" s="74"/>
      <c r="U832" s="74"/>
      <c r="V832" s="74"/>
      <c r="W832" s="74"/>
      <c r="X832" s="74"/>
      <c r="Y832" s="74"/>
      <c r="Z832" s="74"/>
      <c r="AA832" s="74"/>
      <c r="AB832" s="74"/>
      <c r="AC832" s="74"/>
      <c r="AD832" s="74"/>
      <c r="AE832" s="74"/>
      <c r="AF832" s="74"/>
      <c r="AG832" s="74"/>
      <c r="AH832" s="74"/>
      <c r="AI832" s="74"/>
      <c r="AJ832" s="74"/>
      <c r="AK832" s="74"/>
    </row>
    <row r="833">
      <c r="A833" s="74"/>
      <c r="B833" s="74"/>
      <c r="C833" s="74"/>
      <c r="D833" s="74"/>
      <c r="E833" s="74"/>
      <c r="F833" s="74"/>
      <c r="G833" s="74"/>
      <c r="H833" s="74"/>
      <c r="I833" s="74"/>
      <c r="J833" s="74"/>
      <c r="K833" s="74"/>
      <c r="L833" s="74"/>
      <c r="M833" s="74"/>
      <c r="N833" s="74"/>
      <c r="O833" s="74"/>
      <c r="P833" s="74"/>
      <c r="Q833" s="74"/>
      <c r="R833" s="75"/>
      <c r="S833" s="74"/>
      <c r="T833" s="74"/>
      <c r="U833" s="74"/>
      <c r="V833" s="74"/>
      <c r="W833" s="74"/>
      <c r="X833" s="74"/>
      <c r="Y833" s="74"/>
      <c r="Z833" s="74"/>
      <c r="AA833" s="74"/>
      <c r="AB833" s="74"/>
      <c r="AC833" s="74"/>
      <c r="AD833" s="74"/>
      <c r="AE833" s="74"/>
      <c r="AF833" s="74"/>
      <c r="AG833" s="74"/>
      <c r="AH833" s="74"/>
      <c r="AI833" s="74"/>
      <c r="AJ833" s="74"/>
      <c r="AK833" s="74"/>
    </row>
    <row r="834">
      <c r="A834" s="74"/>
      <c r="B834" s="74"/>
      <c r="C834" s="74"/>
      <c r="D834" s="74"/>
      <c r="E834" s="74"/>
      <c r="F834" s="74"/>
      <c r="G834" s="74"/>
      <c r="H834" s="74"/>
      <c r="I834" s="74"/>
      <c r="J834" s="74"/>
      <c r="K834" s="74"/>
      <c r="L834" s="74"/>
      <c r="M834" s="74"/>
      <c r="N834" s="74"/>
      <c r="O834" s="74"/>
      <c r="P834" s="74"/>
      <c r="Q834" s="74"/>
      <c r="R834" s="75"/>
      <c r="S834" s="74"/>
      <c r="T834" s="74"/>
      <c r="U834" s="74"/>
      <c r="V834" s="74"/>
      <c r="W834" s="74"/>
      <c r="X834" s="74"/>
      <c r="Y834" s="74"/>
      <c r="Z834" s="74"/>
      <c r="AA834" s="74"/>
      <c r="AB834" s="74"/>
      <c r="AC834" s="74"/>
      <c r="AD834" s="74"/>
      <c r="AE834" s="74"/>
      <c r="AF834" s="74"/>
      <c r="AG834" s="74"/>
      <c r="AH834" s="74"/>
      <c r="AI834" s="74"/>
      <c r="AJ834" s="74"/>
      <c r="AK834" s="74"/>
    </row>
    <row r="835">
      <c r="A835" s="74"/>
      <c r="B835" s="74"/>
      <c r="C835" s="74"/>
      <c r="D835" s="74"/>
      <c r="E835" s="74"/>
      <c r="F835" s="74"/>
      <c r="G835" s="74"/>
      <c r="H835" s="74"/>
      <c r="I835" s="74"/>
      <c r="J835" s="74"/>
      <c r="K835" s="74"/>
      <c r="L835" s="74"/>
      <c r="M835" s="74"/>
      <c r="N835" s="74"/>
      <c r="O835" s="74"/>
      <c r="P835" s="74"/>
      <c r="Q835" s="74"/>
      <c r="R835" s="75"/>
      <c r="S835" s="74"/>
      <c r="T835" s="74"/>
      <c r="U835" s="74"/>
      <c r="V835" s="74"/>
      <c r="W835" s="74"/>
      <c r="X835" s="74"/>
      <c r="Y835" s="74"/>
      <c r="Z835" s="74"/>
      <c r="AA835" s="74"/>
      <c r="AB835" s="74"/>
      <c r="AC835" s="74"/>
      <c r="AD835" s="74"/>
      <c r="AE835" s="74"/>
      <c r="AF835" s="74"/>
      <c r="AG835" s="74"/>
      <c r="AH835" s="74"/>
      <c r="AI835" s="74"/>
      <c r="AJ835" s="74"/>
      <c r="AK835" s="74"/>
    </row>
    <row r="836">
      <c r="A836" s="74"/>
      <c r="B836" s="74"/>
      <c r="C836" s="74"/>
      <c r="D836" s="74"/>
      <c r="E836" s="74"/>
      <c r="F836" s="74"/>
      <c r="G836" s="74"/>
      <c r="H836" s="74"/>
      <c r="I836" s="74"/>
      <c r="J836" s="74"/>
      <c r="K836" s="74"/>
      <c r="L836" s="74"/>
      <c r="M836" s="74"/>
      <c r="N836" s="74"/>
      <c r="O836" s="74"/>
      <c r="P836" s="74"/>
      <c r="Q836" s="74"/>
      <c r="R836" s="75"/>
      <c r="S836" s="74"/>
      <c r="T836" s="74"/>
      <c r="U836" s="74"/>
      <c r="V836" s="74"/>
      <c r="W836" s="74"/>
      <c r="X836" s="74"/>
      <c r="Y836" s="74"/>
      <c r="Z836" s="74"/>
      <c r="AA836" s="74"/>
      <c r="AB836" s="74"/>
      <c r="AC836" s="74"/>
      <c r="AD836" s="74"/>
      <c r="AE836" s="74"/>
      <c r="AF836" s="74"/>
      <c r="AG836" s="74"/>
      <c r="AH836" s="74"/>
      <c r="AI836" s="74"/>
      <c r="AJ836" s="74"/>
      <c r="AK836" s="74"/>
    </row>
    <row r="837">
      <c r="A837" s="74"/>
      <c r="B837" s="74"/>
      <c r="C837" s="74"/>
      <c r="D837" s="74"/>
      <c r="E837" s="74"/>
      <c r="F837" s="74"/>
      <c r="G837" s="74"/>
      <c r="H837" s="74"/>
      <c r="I837" s="74"/>
      <c r="J837" s="74"/>
      <c r="K837" s="74"/>
      <c r="L837" s="74"/>
      <c r="M837" s="74"/>
      <c r="N837" s="74"/>
      <c r="O837" s="74"/>
      <c r="P837" s="74"/>
      <c r="Q837" s="74"/>
      <c r="R837" s="75"/>
      <c r="S837" s="74"/>
      <c r="T837" s="74"/>
      <c r="U837" s="74"/>
      <c r="V837" s="74"/>
      <c r="W837" s="74"/>
      <c r="X837" s="74"/>
      <c r="Y837" s="74"/>
      <c r="Z837" s="74"/>
      <c r="AA837" s="74"/>
      <c r="AB837" s="74"/>
      <c r="AC837" s="74"/>
      <c r="AD837" s="74"/>
      <c r="AE837" s="74"/>
      <c r="AF837" s="74"/>
      <c r="AG837" s="74"/>
      <c r="AH837" s="74"/>
      <c r="AI837" s="74"/>
      <c r="AJ837" s="74"/>
      <c r="AK837" s="74"/>
    </row>
    <row r="838">
      <c r="A838" s="74"/>
      <c r="B838" s="74"/>
      <c r="C838" s="74"/>
      <c r="D838" s="74"/>
      <c r="E838" s="74"/>
      <c r="F838" s="74"/>
      <c r="G838" s="74"/>
      <c r="H838" s="74"/>
      <c r="I838" s="74"/>
      <c r="J838" s="74"/>
      <c r="K838" s="74"/>
      <c r="L838" s="74"/>
      <c r="M838" s="74"/>
      <c r="N838" s="74"/>
      <c r="O838" s="74"/>
      <c r="P838" s="74"/>
      <c r="Q838" s="74"/>
      <c r="R838" s="75"/>
      <c r="S838" s="74"/>
      <c r="T838" s="74"/>
      <c r="U838" s="74"/>
      <c r="V838" s="74"/>
      <c r="W838" s="74"/>
      <c r="X838" s="74"/>
      <c r="Y838" s="74"/>
      <c r="Z838" s="74"/>
      <c r="AA838" s="74"/>
      <c r="AB838" s="74"/>
      <c r="AC838" s="74"/>
      <c r="AD838" s="74"/>
      <c r="AE838" s="74"/>
      <c r="AF838" s="74"/>
      <c r="AG838" s="74"/>
      <c r="AH838" s="74"/>
      <c r="AI838" s="74"/>
      <c r="AJ838" s="74"/>
      <c r="AK838" s="74"/>
    </row>
    <row r="839">
      <c r="A839" s="74"/>
      <c r="B839" s="74"/>
      <c r="C839" s="74"/>
      <c r="D839" s="74"/>
      <c r="E839" s="74"/>
      <c r="F839" s="74"/>
      <c r="G839" s="74"/>
      <c r="H839" s="74"/>
      <c r="I839" s="74"/>
      <c r="J839" s="74"/>
      <c r="K839" s="74"/>
      <c r="L839" s="74"/>
      <c r="M839" s="74"/>
      <c r="N839" s="74"/>
      <c r="O839" s="74"/>
      <c r="P839" s="74"/>
      <c r="Q839" s="74"/>
      <c r="R839" s="75"/>
      <c r="S839" s="74"/>
      <c r="T839" s="74"/>
      <c r="U839" s="74"/>
      <c r="V839" s="74"/>
      <c r="W839" s="74"/>
      <c r="X839" s="74"/>
      <c r="Y839" s="74"/>
      <c r="Z839" s="74"/>
      <c r="AA839" s="74"/>
      <c r="AB839" s="74"/>
      <c r="AC839" s="74"/>
      <c r="AD839" s="74"/>
      <c r="AE839" s="74"/>
      <c r="AF839" s="74"/>
      <c r="AG839" s="74"/>
      <c r="AH839" s="74"/>
      <c r="AI839" s="74"/>
      <c r="AJ839" s="74"/>
      <c r="AK839" s="74"/>
    </row>
    <row r="840">
      <c r="A840" s="74"/>
      <c r="B840" s="74"/>
      <c r="C840" s="74"/>
      <c r="D840" s="74"/>
      <c r="E840" s="74"/>
      <c r="F840" s="74"/>
      <c r="G840" s="74"/>
      <c r="H840" s="74"/>
      <c r="I840" s="74"/>
      <c r="J840" s="74"/>
      <c r="K840" s="74"/>
      <c r="L840" s="74"/>
      <c r="M840" s="74"/>
      <c r="N840" s="74"/>
      <c r="O840" s="74"/>
      <c r="P840" s="74"/>
      <c r="Q840" s="74"/>
      <c r="R840" s="75"/>
      <c r="S840" s="74"/>
      <c r="T840" s="74"/>
      <c r="U840" s="74"/>
      <c r="V840" s="74"/>
      <c r="W840" s="74"/>
      <c r="X840" s="74"/>
      <c r="Y840" s="74"/>
      <c r="Z840" s="74"/>
      <c r="AA840" s="74"/>
      <c r="AB840" s="74"/>
      <c r="AC840" s="74"/>
      <c r="AD840" s="74"/>
      <c r="AE840" s="74"/>
      <c r="AF840" s="74"/>
      <c r="AG840" s="74"/>
      <c r="AH840" s="74"/>
      <c r="AI840" s="74"/>
      <c r="AJ840" s="74"/>
      <c r="AK840" s="74"/>
    </row>
    <row r="841">
      <c r="A841" s="74"/>
      <c r="B841" s="74"/>
      <c r="C841" s="74"/>
      <c r="D841" s="74"/>
      <c r="E841" s="74"/>
      <c r="F841" s="74"/>
      <c r="G841" s="74"/>
      <c r="H841" s="74"/>
      <c r="I841" s="74"/>
      <c r="J841" s="74"/>
      <c r="K841" s="74"/>
      <c r="L841" s="74"/>
      <c r="M841" s="74"/>
      <c r="N841" s="74"/>
      <c r="O841" s="74"/>
      <c r="P841" s="74"/>
      <c r="Q841" s="74"/>
      <c r="R841" s="75"/>
      <c r="S841" s="74"/>
      <c r="T841" s="74"/>
      <c r="U841" s="74"/>
      <c r="V841" s="74"/>
      <c r="W841" s="74"/>
      <c r="X841" s="74"/>
      <c r="Y841" s="74"/>
      <c r="Z841" s="74"/>
      <c r="AA841" s="74"/>
      <c r="AB841" s="74"/>
      <c r="AC841" s="74"/>
      <c r="AD841" s="74"/>
      <c r="AE841" s="74"/>
      <c r="AF841" s="74"/>
      <c r="AG841" s="74"/>
      <c r="AH841" s="74"/>
      <c r="AI841" s="74"/>
      <c r="AJ841" s="74"/>
      <c r="AK841" s="74"/>
    </row>
    <row r="842">
      <c r="A842" s="74"/>
      <c r="B842" s="74"/>
      <c r="C842" s="74"/>
      <c r="D842" s="74"/>
      <c r="E842" s="74"/>
      <c r="F842" s="74"/>
      <c r="G842" s="74"/>
      <c r="H842" s="74"/>
      <c r="I842" s="74"/>
      <c r="J842" s="74"/>
      <c r="K842" s="74"/>
      <c r="L842" s="74"/>
      <c r="M842" s="74"/>
      <c r="N842" s="74"/>
      <c r="O842" s="74"/>
      <c r="P842" s="74"/>
      <c r="Q842" s="74"/>
      <c r="R842" s="75"/>
      <c r="S842" s="74"/>
      <c r="T842" s="74"/>
      <c r="U842" s="74"/>
      <c r="V842" s="74"/>
      <c r="W842" s="74"/>
      <c r="X842" s="74"/>
      <c r="Y842" s="74"/>
      <c r="Z842" s="74"/>
      <c r="AA842" s="74"/>
      <c r="AB842" s="74"/>
      <c r="AC842" s="74"/>
      <c r="AD842" s="74"/>
      <c r="AE842" s="74"/>
      <c r="AF842" s="74"/>
      <c r="AG842" s="74"/>
      <c r="AH842" s="74"/>
      <c r="AI842" s="74"/>
      <c r="AJ842" s="74"/>
      <c r="AK842" s="74"/>
    </row>
    <row r="843">
      <c r="A843" s="74"/>
      <c r="B843" s="74"/>
      <c r="C843" s="74"/>
      <c r="D843" s="74"/>
      <c r="E843" s="74"/>
      <c r="F843" s="74"/>
      <c r="G843" s="74"/>
      <c r="H843" s="74"/>
      <c r="I843" s="74"/>
      <c r="J843" s="74"/>
      <c r="K843" s="74"/>
      <c r="L843" s="74"/>
      <c r="M843" s="74"/>
      <c r="N843" s="74"/>
      <c r="O843" s="74"/>
      <c r="P843" s="74"/>
      <c r="Q843" s="74"/>
      <c r="R843" s="75"/>
      <c r="S843" s="74"/>
      <c r="T843" s="74"/>
      <c r="U843" s="74"/>
      <c r="V843" s="74"/>
      <c r="W843" s="74"/>
      <c r="X843" s="74"/>
      <c r="Y843" s="74"/>
      <c r="Z843" s="74"/>
      <c r="AA843" s="74"/>
      <c r="AB843" s="74"/>
      <c r="AC843" s="74"/>
      <c r="AD843" s="74"/>
      <c r="AE843" s="74"/>
      <c r="AF843" s="74"/>
      <c r="AG843" s="74"/>
      <c r="AH843" s="74"/>
      <c r="AI843" s="74"/>
      <c r="AJ843" s="74"/>
      <c r="AK843" s="74"/>
    </row>
    <row r="844">
      <c r="A844" s="74"/>
      <c r="B844" s="74"/>
      <c r="C844" s="74"/>
      <c r="D844" s="74"/>
      <c r="E844" s="74"/>
      <c r="F844" s="74"/>
      <c r="G844" s="74"/>
      <c r="H844" s="74"/>
      <c r="I844" s="74"/>
      <c r="J844" s="74"/>
      <c r="K844" s="74"/>
      <c r="L844" s="74"/>
      <c r="M844" s="74"/>
      <c r="N844" s="74"/>
      <c r="O844" s="74"/>
      <c r="P844" s="74"/>
      <c r="Q844" s="74"/>
      <c r="R844" s="75"/>
      <c r="S844" s="74"/>
      <c r="T844" s="74"/>
      <c r="U844" s="74"/>
      <c r="V844" s="74"/>
      <c r="W844" s="74"/>
      <c r="X844" s="74"/>
      <c r="Y844" s="74"/>
      <c r="Z844" s="74"/>
      <c r="AA844" s="74"/>
      <c r="AB844" s="74"/>
      <c r="AC844" s="74"/>
      <c r="AD844" s="74"/>
      <c r="AE844" s="74"/>
      <c r="AF844" s="74"/>
      <c r="AG844" s="74"/>
      <c r="AH844" s="74"/>
      <c r="AI844" s="74"/>
      <c r="AJ844" s="74"/>
      <c r="AK844" s="74"/>
    </row>
    <row r="845">
      <c r="A845" s="74"/>
      <c r="B845" s="74"/>
      <c r="C845" s="74"/>
      <c r="D845" s="74"/>
      <c r="E845" s="74"/>
      <c r="F845" s="74"/>
      <c r="G845" s="74"/>
      <c r="H845" s="74"/>
      <c r="I845" s="74"/>
      <c r="J845" s="74"/>
      <c r="K845" s="74"/>
      <c r="L845" s="74"/>
      <c r="M845" s="74"/>
      <c r="N845" s="74"/>
      <c r="O845" s="74"/>
      <c r="P845" s="74"/>
      <c r="Q845" s="74"/>
      <c r="R845" s="75"/>
      <c r="S845" s="74"/>
      <c r="T845" s="74"/>
      <c r="U845" s="74"/>
      <c r="V845" s="74"/>
      <c r="W845" s="74"/>
      <c r="X845" s="74"/>
      <c r="Y845" s="74"/>
      <c r="Z845" s="74"/>
      <c r="AA845" s="74"/>
      <c r="AB845" s="74"/>
      <c r="AC845" s="74"/>
      <c r="AD845" s="74"/>
      <c r="AE845" s="74"/>
      <c r="AF845" s="74"/>
      <c r="AG845" s="74"/>
      <c r="AH845" s="74"/>
      <c r="AI845" s="74"/>
      <c r="AJ845" s="74"/>
      <c r="AK845" s="74"/>
    </row>
    <row r="846">
      <c r="A846" s="74"/>
      <c r="B846" s="74"/>
      <c r="C846" s="74"/>
      <c r="D846" s="74"/>
      <c r="E846" s="74"/>
      <c r="F846" s="74"/>
      <c r="G846" s="74"/>
      <c r="H846" s="74"/>
      <c r="I846" s="74"/>
      <c r="J846" s="74"/>
      <c r="K846" s="74"/>
      <c r="L846" s="74"/>
      <c r="M846" s="74"/>
      <c r="N846" s="74"/>
      <c r="O846" s="74"/>
      <c r="P846" s="74"/>
      <c r="Q846" s="74"/>
      <c r="R846" s="75"/>
      <c r="S846" s="74"/>
      <c r="T846" s="74"/>
      <c r="U846" s="74"/>
      <c r="V846" s="74"/>
      <c r="W846" s="74"/>
      <c r="X846" s="74"/>
      <c r="Y846" s="74"/>
      <c r="Z846" s="74"/>
      <c r="AA846" s="74"/>
      <c r="AB846" s="74"/>
      <c r="AC846" s="74"/>
      <c r="AD846" s="74"/>
      <c r="AE846" s="74"/>
      <c r="AF846" s="74"/>
      <c r="AG846" s="74"/>
      <c r="AH846" s="74"/>
      <c r="AI846" s="74"/>
      <c r="AJ846" s="74"/>
      <c r="AK846" s="74"/>
    </row>
    <row r="847">
      <c r="A847" s="74"/>
      <c r="B847" s="74"/>
      <c r="C847" s="74"/>
      <c r="D847" s="74"/>
      <c r="E847" s="74"/>
      <c r="F847" s="74"/>
      <c r="G847" s="74"/>
      <c r="H847" s="74"/>
      <c r="I847" s="74"/>
      <c r="J847" s="74"/>
      <c r="K847" s="74"/>
      <c r="L847" s="74"/>
      <c r="M847" s="74"/>
      <c r="N847" s="74"/>
      <c r="O847" s="74"/>
      <c r="P847" s="74"/>
      <c r="Q847" s="74"/>
      <c r="R847" s="75"/>
      <c r="S847" s="74"/>
      <c r="T847" s="74"/>
      <c r="U847" s="74"/>
      <c r="V847" s="74"/>
      <c r="W847" s="74"/>
      <c r="X847" s="74"/>
      <c r="Y847" s="74"/>
      <c r="Z847" s="74"/>
      <c r="AA847" s="74"/>
      <c r="AB847" s="74"/>
      <c r="AC847" s="74"/>
      <c r="AD847" s="74"/>
      <c r="AE847" s="74"/>
      <c r="AF847" s="74"/>
      <c r="AG847" s="74"/>
      <c r="AH847" s="74"/>
      <c r="AI847" s="74"/>
      <c r="AJ847" s="74"/>
      <c r="AK847" s="74"/>
    </row>
    <row r="848">
      <c r="A848" s="74"/>
      <c r="B848" s="74"/>
      <c r="C848" s="74"/>
      <c r="D848" s="74"/>
      <c r="E848" s="74"/>
      <c r="F848" s="74"/>
      <c r="G848" s="74"/>
      <c r="H848" s="74"/>
      <c r="I848" s="74"/>
      <c r="J848" s="74"/>
      <c r="K848" s="74"/>
      <c r="L848" s="74"/>
      <c r="M848" s="74"/>
      <c r="N848" s="74"/>
      <c r="O848" s="74"/>
      <c r="P848" s="74"/>
      <c r="Q848" s="74"/>
      <c r="R848" s="75"/>
      <c r="S848" s="74"/>
      <c r="T848" s="74"/>
      <c r="U848" s="74"/>
      <c r="V848" s="74"/>
      <c r="W848" s="74"/>
      <c r="X848" s="74"/>
      <c r="Y848" s="74"/>
      <c r="Z848" s="74"/>
      <c r="AA848" s="74"/>
      <c r="AB848" s="74"/>
      <c r="AC848" s="74"/>
      <c r="AD848" s="74"/>
      <c r="AE848" s="74"/>
      <c r="AF848" s="74"/>
      <c r="AG848" s="74"/>
      <c r="AH848" s="74"/>
      <c r="AI848" s="74"/>
      <c r="AJ848" s="74"/>
      <c r="AK848" s="74"/>
    </row>
    <row r="849">
      <c r="A849" s="74"/>
      <c r="B849" s="74"/>
      <c r="C849" s="74"/>
      <c r="D849" s="74"/>
      <c r="E849" s="74"/>
      <c r="F849" s="74"/>
      <c r="G849" s="74"/>
      <c r="H849" s="74"/>
      <c r="I849" s="74"/>
      <c r="J849" s="74"/>
      <c r="K849" s="74"/>
      <c r="L849" s="74"/>
      <c r="M849" s="74"/>
      <c r="N849" s="74"/>
      <c r="O849" s="74"/>
      <c r="P849" s="74"/>
      <c r="Q849" s="74"/>
      <c r="R849" s="75"/>
      <c r="S849" s="74"/>
      <c r="T849" s="74"/>
      <c r="U849" s="74"/>
      <c r="V849" s="74"/>
      <c r="W849" s="74"/>
      <c r="X849" s="74"/>
      <c r="Y849" s="74"/>
      <c r="Z849" s="74"/>
      <c r="AA849" s="74"/>
      <c r="AB849" s="74"/>
      <c r="AC849" s="74"/>
      <c r="AD849" s="74"/>
      <c r="AE849" s="74"/>
      <c r="AF849" s="74"/>
      <c r="AG849" s="74"/>
      <c r="AH849" s="74"/>
      <c r="AI849" s="74"/>
      <c r="AJ849" s="74"/>
      <c r="AK849" s="74"/>
    </row>
    <row r="850">
      <c r="A850" s="74"/>
      <c r="B850" s="74"/>
      <c r="C850" s="74"/>
      <c r="D850" s="74"/>
      <c r="E850" s="74"/>
      <c r="F850" s="74"/>
      <c r="G850" s="74"/>
      <c r="H850" s="74"/>
      <c r="I850" s="74"/>
      <c r="J850" s="74"/>
      <c r="K850" s="74"/>
      <c r="L850" s="74"/>
      <c r="M850" s="74"/>
      <c r="N850" s="74"/>
      <c r="O850" s="74"/>
      <c r="P850" s="74"/>
      <c r="Q850" s="74"/>
      <c r="R850" s="75"/>
      <c r="S850" s="74"/>
      <c r="T850" s="74"/>
      <c r="U850" s="74"/>
      <c r="V850" s="74"/>
      <c r="W850" s="74"/>
      <c r="X850" s="74"/>
      <c r="Y850" s="74"/>
      <c r="Z850" s="74"/>
      <c r="AA850" s="74"/>
      <c r="AB850" s="74"/>
      <c r="AC850" s="74"/>
      <c r="AD850" s="74"/>
      <c r="AE850" s="74"/>
      <c r="AF850" s="74"/>
      <c r="AG850" s="74"/>
      <c r="AH850" s="74"/>
      <c r="AI850" s="74"/>
      <c r="AJ850" s="74"/>
      <c r="AK850" s="74"/>
    </row>
    <row r="851">
      <c r="A851" s="74"/>
      <c r="B851" s="74"/>
      <c r="C851" s="74"/>
      <c r="D851" s="74"/>
      <c r="E851" s="74"/>
      <c r="F851" s="74"/>
      <c r="G851" s="74"/>
      <c r="H851" s="74"/>
      <c r="I851" s="74"/>
      <c r="J851" s="74"/>
      <c r="K851" s="74"/>
      <c r="L851" s="74"/>
      <c r="M851" s="74"/>
      <c r="N851" s="74"/>
      <c r="O851" s="74"/>
      <c r="P851" s="74"/>
      <c r="Q851" s="74"/>
      <c r="R851" s="75"/>
      <c r="S851" s="74"/>
      <c r="T851" s="74"/>
      <c r="U851" s="74"/>
      <c r="V851" s="74"/>
      <c r="W851" s="74"/>
      <c r="X851" s="74"/>
      <c r="Y851" s="74"/>
      <c r="Z851" s="74"/>
      <c r="AA851" s="74"/>
      <c r="AB851" s="74"/>
      <c r="AC851" s="74"/>
      <c r="AD851" s="74"/>
      <c r="AE851" s="74"/>
      <c r="AF851" s="74"/>
      <c r="AG851" s="74"/>
      <c r="AH851" s="74"/>
      <c r="AI851" s="74"/>
      <c r="AJ851" s="74"/>
      <c r="AK851" s="74"/>
    </row>
    <row r="852">
      <c r="A852" s="74"/>
      <c r="B852" s="74"/>
      <c r="C852" s="74"/>
      <c r="D852" s="74"/>
      <c r="E852" s="74"/>
      <c r="F852" s="74"/>
      <c r="G852" s="74"/>
      <c r="H852" s="74"/>
      <c r="I852" s="74"/>
      <c r="J852" s="74"/>
      <c r="K852" s="74"/>
      <c r="L852" s="74"/>
      <c r="M852" s="74"/>
      <c r="N852" s="74"/>
      <c r="O852" s="74"/>
      <c r="P852" s="74"/>
      <c r="Q852" s="74"/>
      <c r="R852" s="75"/>
      <c r="S852" s="74"/>
      <c r="T852" s="74"/>
      <c r="U852" s="74"/>
      <c r="V852" s="74"/>
      <c r="W852" s="74"/>
      <c r="X852" s="74"/>
      <c r="Y852" s="74"/>
      <c r="Z852" s="74"/>
      <c r="AA852" s="74"/>
      <c r="AB852" s="74"/>
      <c r="AC852" s="74"/>
      <c r="AD852" s="74"/>
      <c r="AE852" s="74"/>
      <c r="AF852" s="74"/>
      <c r="AG852" s="74"/>
      <c r="AH852" s="74"/>
      <c r="AI852" s="74"/>
      <c r="AJ852" s="74"/>
      <c r="AK852" s="74"/>
    </row>
    <row r="853">
      <c r="A853" s="74"/>
      <c r="B853" s="74"/>
      <c r="C853" s="74"/>
      <c r="D853" s="74"/>
      <c r="E853" s="74"/>
      <c r="F853" s="74"/>
      <c r="G853" s="74"/>
      <c r="H853" s="74"/>
      <c r="I853" s="74"/>
      <c r="J853" s="74"/>
      <c r="K853" s="74"/>
      <c r="L853" s="74"/>
      <c r="M853" s="74"/>
      <c r="N853" s="74"/>
      <c r="O853" s="74"/>
      <c r="P853" s="74"/>
      <c r="Q853" s="74"/>
      <c r="R853" s="75"/>
      <c r="S853" s="74"/>
      <c r="T853" s="74"/>
      <c r="U853" s="74"/>
      <c r="V853" s="74"/>
      <c r="W853" s="74"/>
      <c r="X853" s="74"/>
      <c r="Y853" s="74"/>
      <c r="Z853" s="74"/>
      <c r="AA853" s="74"/>
      <c r="AB853" s="74"/>
      <c r="AC853" s="74"/>
      <c r="AD853" s="74"/>
      <c r="AE853" s="74"/>
      <c r="AF853" s="74"/>
      <c r="AG853" s="74"/>
      <c r="AH853" s="74"/>
      <c r="AI853" s="74"/>
      <c r="AJ853" s="74"/>
      <c r="AK853" s="74"/>
    </row>
    <row r="854">
      <c r="A854" s="74"/>
      <c r="B854" s="74"/>
      <c r="C854" s="74"/>
      <c r="D854" s="74"/>
      <c r="E854" s="74"/>
      <c r="F854" s="74"/>
      <c r="G854" s="74"/>
      <c r="H854" s="74"/>
      <c r="I854" s="74"/>
      <c r="J854" s="74"/>
      <c r="K854" s="74"/>
      <c r="L854" s="74"/>
      <c r="M854" s="74"/>
      <c r="N854" s="74"/>
      <c r="O854" s="74"/>
      <c r="P854" s="74"/>
      <c r="Q854" s="74"/>
      <c r="R854" s="75"/>
      <c r="S854" s="74"/>
      <c r="T854" s="74"/>
      <c r="U854" s="74"/>
      <c r="V854" s="74"/>
      <c r="W854" s="74"/>
      <c r="X854" s="74"/>
      <c r="Y854" s="74"/>
      <c r="Z854" s="74"/>
      <c r="AA854" s="74"/>
      <c r="AB854" s="74"/>
      <c r="AC854" s="74"/>
      <c r="AD854" s="74"/>
      <c r="AE854" s="74"/>
      <c r="AF854" s="74"/>
      <c r="AG854" s="74"/>
      <c r="AH854" s="74"/>
      <c r="AI854" s="74"/>
      <c r="AJ854" s="74"/>
      <c r="AK854" s="74"/>
    </row>
    <row r="855">
      <c r="A855" s="74"/>
      <c r="B855" s="74"/>
      <c r="C855" s="74"/>
      <c r="D855" s="74"/>
      <c r="E855" s="74"/>
      <c r="F855" s="74"/>
      <c r="G855" s="74"/>
      <c r="H855" s="74"/>
      <c r="I855" s="74"/>
      <c r="J855" s="74"/>
      <c r="K855" s="74"/>
      <c r="L855" s="74"/>
      <c r="M855" s="74"/>
      <c r="N855" s="74"/>
      <c r="O855" s="74"/>
      <c r="P855" s="74"/>
      <c r="Q855" s="74"/>
      <c r="R855" s="75"/>
      <c r="S855" s="74"/>
      <c r="T855" s="74"/>
      <c r="U855" s="74"/>
      <c r="V855" s="74"/>
      <c r="W855" s="74"/>
      <c r="X855" s="74"/>
      <c r="Y855" s="74"/>
      <c r="Z855" s="74"/>
      <c r="AA855" s="74"/>
      <c r="AB855" s="74"/>
      <c r="AC855" s="74"/>
      <c r="AD855" s="74"/>
      <c r="AE855" s="74"/>
      <c r="AF855" s="74"/>
      <c r="AG855" s="74"/>
      <c r="AH855" s="74"/>
      <c r="AI855" s="74"/>
      <c r="AJ855" s="74"/>
      <c r="AK855" s="74"/>
    </row>
    <row r="856">
      <c r="A856" s="74"/>
      <c r="B856" s="74"/>
      <c r="C856" s="74"/>
      <c r="D856" s="74"/>
      <c r="E856" s="74"/>
      <c r="F856" s="74"/>
      <c r="G856" s="74"/>
      <c r="H856" s="74"/>
      <c r="I856" s="74"/>
      <c r="J856" s="74"/>
      <c r="K856" s="74"/>
      <c r="L856" s="74"/>
      <c r="M856" s="74"/>
      <c r="N856" s="74"/>
      <c r="O856" s="74"/>
      <c r="P856" s="74"/>
      <c r="Q856" s="74"/>
      <c r="R856" s="75"/>
      <c r="S856" s="74"/>
      <c r="T856" s="74"/>
      <c r="U856" s="74"/>
      <c r="V856" s="74"/>
      <c r="W856" s="74"/>
      <c r="X856" s="74"/>
      <c r="Y856" s="74"/>
      <c r="Z856" s="74"/>
      <c r="AA856" s="74"/>
      <c r="AB856" s="74"/>
      <c r="AC856" s="74"/>
      <c r="AD856" s="74"/>
      <c r="AE856" s="74"/>
      <c r="AF856" s="74"/>
      <c r="AG856" s="74"/>
      <c r="AH856" s="74"/>
      <c r="AI856" s="74"/>
      <c r="AJ856" s="74"/>
      <c r="AK856" s="74"/>
    </row>
    <row r="857">
      <c r="A857" s="74"/>
      <c r="B857" s="74"/>
      <c r="C857" s="74"/>
      <c r="D857" s="74"/>
      <c r="E857" s="74"/>
      <c r="F857" s="74"/>
      <c r="G857" s="74"/>
      <c r="H857" s="74"/>
      <c r="I857" s="74"/>
      <c r="J857" s="74"/>
      <c r="K857" s="74"/>
      <c r="L857" s="74"/>
      <c r="M857" s="74"/>
      <c r="N857" s="74"/>
      <c r="O857" s="74"/>
      <c r="P857" s="74"/>
      <c r="Q857" s="74"/>
      <c r="R857" s="75"/>
      <c r="S857" s="74"/>
      <c r="T857" s="74"/>
      <c r="U857" s="74"/>
      <c r="V857" s="74"/>
      <c r="W857" s="74"/>
      <c r="X857" s="74"/>
      <c r="Y857" s="74"/>
      <c r="Z857" s="74"/>
      <c r="AA857" s="74"/>
      <c r="AB857" s="74"/>
      <c r="AC857" s="74"/>
      <c r="AD857" s="74"/>
      <c r="AE857" s="74"/>
      <c r="AF857" s="74"/>
      <c r="AG857" s="74"/>
      <c r="AH857" s="74"/>
      <c r="AI857" s="74"/>
      <c r="AJ857" s="74"/>
      <c r="AK857" s="74"/>
    </row>
    <row r="858">
      <c r="A858" s="74"/>
      <c r="B858" s="74"/>
      <c r="C858" s="74"/>
      <c r="D858" s="74"/>
      <c r="E858" s="74"/>
      <c r="F858" s="74"/>
      <c r="G858" s="74"/>
      <c r="H858" s="74"/>
      <c r="I858" s="74"/>
      <c r="J858" s="74"/>
      <c r="K858" s="74"/>
      <c r="L858" s="74"/>
      <c r="M858" s="74"/>
      <c r="N858" s="74"/>
      <c r="O858" s="74"/>
      <c r="P858" s="74"/>
      <c r="Q858" s="74"/>
      <c r="R858" s="75"/>
      <c r="S858" s="74"/>
      <c r="T858" s="74"/>
      <c r="U858" s="74"/>
      <c r="V858" s="74"/>
      <c r="W858" s="74"/>
      <c r="X858" s="74"/>
      <c r="Y858" s="74"/>
      <c r="Z858" s="74"/>
      <c r="AA858" s="74"/>
      <c r="AB858" s="74"/>
      <c r="AC858" s="74"/>
      <c r="AD858" s="74"/>
      <c r="AE858" s="74"/>
      <c r="AF858" s="74"/>
      <c r="AG858" s="74"/>
      <c r="AH858" s="74"/>
      <c r="AI858" s="74"/>
      <c r="AJ858" s="74"/>
      <c r="AK858" s="74"/>
    </row>
    <row r="859">
      <c r="A859" s="74"/>
      <c r="B859" s="74"/>
      <c r="C859" s="74"/>
      <c r="D859" s="74"/>
      <c r="E859" s="74"/>
      <c r="F859" s="74"/>
      <c r="G859" s="74"/>
      <c r="H859" s="74"/>
      <c r="I859" s="74"/>
      <c r="J859" s="74"/>
      <c r="K859" s="74"/>
      <c r="L859" s="74"/>
      <c r="M859" s="74"/>
      <c r="N859" s="74"/>
      <c r="O859" s="74"/>
      <c r="P859" s="74"/>
      <c r="Q859" s="74"/>
      <c r="R859" s="75"/>
      <c r="S859" s="74"/>
      <c r="T859" s="74"/>
      <c r="U859" s="74"/>
      <c r="V859" s="74"/>
      <c r="W859" s="74"/>
      <c r="X859" s="74"/>
      <c r="Y859" s="74"/>
      <c r="Z859" s="74"/>
      <c r="AA859" s="74"/>
      <c r="AB859" s="74"/>
      <c r="AC859" s="74"/>
      <c r="AD859" s="74"/>
      <c r="AE859" s="74"/>
      <c r="AF859" s="74"/>
      <c r="AG859" s="74"/>
      <c r="AH859" s="74"/>
      <c r="AI859" s="74"/>
      <c r="AJ859" s="74"/>
      <c r="AK859" s="74"/>
    </row>
    <row r="860">
      <c r="A860" s="74"/>
      <c r="B860" s="74"/>
      <c r="C860" s="74"/>
      <c r="D860" s="74"/>
      <c r="E860" s="74"/>
      <c r="F860" s="74"/>
      <c r="G860" s="74"/>
      <c r="H860" s="74"/>
      <c r="I860" s="74"/>
      <c r="J860" s="74"/>
      <c r="K860" s="74"/>
      <c r="L860" s="74"/>
      <c r="M860" s="74"/>
      <c r="N860" s="74"/>
      <c r="O860" s="74"/>
      <c r="P860" s="74"/>
      <c r="Q860" s="74"/>
      <c r="R860" s="75"/>
      <c r="S860" s="74"/>
      <c r="T860" s="74"/>
      <c r="U860" s="74"/>
      <c r="V860" s="74"/>
      <c r="W860" s="74"/>
      <c r="X860" s="74"/>
      <c r="Y860" s="74"/>
      <c r="Z860" s="74"/>
      <c r="AA860" s="74"/>
      <c r="AB860" s="74"/>
      <c r="AC860" s="74"/>
      <c r="AD860" s="74"/>
      <c r="AE860" s="74"/>
      <c r="AF860" s="74"/>
      <c r="AG860" s="74"/>
      <c r="AH860" s="74"/>
      <c r="AI860" s="74"/>
      <c r="AJ860" s="74"/>
      <c r="AK860" s="74"/>
    </row>
    <row r="861">
      <c r="A861" s="74"/>
      <c r="B861" s="74"/>
      <c r="C861" s="74"/>
      <c r="D861" s="74"/>
      <c r="E861" s="74"/>
      <c r="F861" s="74"/>
      <c r="G861" s="74"/>
      <c r="H861" s="74"/>
      <c r="I861" s="74"/>
      <c r="J861" s="74"/>
      <c r="K861" s="74"/>
      <c r="L861" s="74"/>
      <c r="M861" s="74"/>
      <c r="N861" s="74"/>
      <c r="O861" s="74"/>
      <c r="P861" s="74"/>
      <c r="Q861" s="74"/>
      <c r="R861" s="75"/>
      <c r="S861" s="74"/>
      <c r="T861" s="74"/>
      <c r="U861" s="74"/>
      <c r="V861" s="74"/>
      <c r="W861" s="74"/>
      <c r="X861" s="74"/>
      <c r="Y861" s="74"/>
      <c r="Z861" s="74"/>
      <c r="AA861" s="74"/>
      <c r="AB861" s="74"/>
      <c r="AC861" s="74"/>
      <c r="AD861" s="74"/>
      <c r="AE861" s="74"/>
      <c r="AF861" s="74"/>
      <c r="AG861" s="74"/>
      <c r="AH861" s="74"/>
      <c r="AI861" s="74"/>
      <c r="AJ861" s="74"/>
      <c r="AK861" s="74"/>
    </row>
    <row r="862">
      <c r="A862" s="74"/>
      <c r="B862" s="74"/>
      <c r="C862" s="74"/>
      <c r="D862" s="74"/>
      <c r="E862" s="74"/>
      <c r="F862" s="74"/>
      <c r="G862" s="74"/>
      <c r="H862" s="74"/>
      <c r="I862" s="74"/>
      <c r="J862" s="74"/>
      <c r="K862" s="74"/>
      <c r="L862" s="74"/>
      <c r="M862" s="74"/>
      <c r="N862" s="74"/>
      <c r="O862" s="74"/>
      <c r="P862" s="74"/>
      <c r="Q862" s="74"/>
      <c r="R862" s="75"/>
      <c r="S862" s="74"/>
      <c r="T862" s="74"/>
      <c r="U862" s="74"/>
      <c r="V862" s="74"/>
      <c r="W862" s="74"/>
      <c r="X862" s="74"/>
      <c r="Y862" s="74"/>
      <c r="Z862" s="74"/>
      <c r="AA862" s="74"/>
      <c r="AB862" s="74"/>
      <c r="AC862" s="74"/>
      <c r="AD862" s="74"/>
      <c r="AE862" s="74"/>
      <c r="AF862" s="74"/>
      <c r="AG862" s="74"/>
      <c r="AH862" s="74"/>
      <c r="AI862" s="74"/>
      <c r="AJ862" s="74"/>
      <c r="AK862" s="74"/>
    </row>
    <row r="863">
      <c r="A863" s="74"/>
      <c r="B863" s="74"/>
      <c r="C863" s="74"/>
      <c r="D863" s="74"/>
      <c r="E863" s="74"/>
      <c r="F863" s="74"/>
      <c r="G863" s="74"/>
      <c r="H863" s="74"/>
      <c r="I863" s="74"/>
      <c r="J863" s="74"/>
      <c r="K863" s="74"/>
      <c r="L863" s="74"/>
      <c r="M863" s="74"/>
      <c r="N863" s="74"/>
      <c r="O863" s="74"/>
      <c r="P863" s="74"/>
      <c r="Q863" s="74"/>
      <c r="R863" s="75"/>
      <c r="S863" s="74"/>
      <c r="T863" s="74"/>
      <c r="U863" s="74"/>
      <c r="V863" s="74"/>
      <c r="W863" s="74"/>
      <c r="X863" s="74"/>
      <c r="Y863" s="74"/>
      <c r="Z863" s="74"/>
      <c r="AA863" s="74"/>
      <c r="AB863" s="74"/>
      <c r="AC863" s="74"/>
      <c r="AD863" s="74"/>
      <c r="AE863" s="74"/>
      <c r="AF863" s="74"/>
      <c r="AG863" s="74"/>
      <c r="AH863" s="74"/>
      <c r="AI863" s="74"/>
      <c r="AJ863" s="74"/>
      <c r="AK863" s="74"/>
    </row>
    <row r="864">
      <c r="A864" s="74"/>
      <c r="B864" s="74"/>
      <c r="C864" s="74"/>
      <c r="D864" s="74"/>
      <c r="E864" s="74"/>
      <c r="F864" s="74"/>
      <c r="G864" s="74"/>
      <c r="H864" s="74"/>
      <c r="I864" s="74"/>
      <c r="J864" s="74"/>
      <c r="K864" s="74"/>
      <c r="L864" s="74"/>
      <c r="M864" s="74"/>
      <c r="N864" s="74"/>
      <c r="O864" s="74"/>
      <c r="P864" s="74"/>
      <c r="Q864" s="74"/>
      <c r="R864" s="75"/>
      <c r="S864" s="74"/>
      <c r="T864" s="74"/>
      <c r="U864" s="74"/>
      <c r="V864" s="74"/>
      <c r="W864" s="74"/>
      <c r="X864" s="74"/>
      <c r="Y864" s="74"/>
      <c r="Z864" s="74"/>
      <c r="AA864" s="74"/>
      <c r="AB864" s="74"/>
      <c r="AC864" s="74"/>
      <c r="AD864" s="74"/>
      <c r="AE864" s="74"/>
      <c r="AF864" s="74"/>
      <c r="AG864" s="74"/>
      <c r="AH864" s="74"/>
      <c r="AI864" s="74"/>
      <c r="AJ864" s="74"/>
      <c r="AK864" s="74"/>
    </row>
    <row r="865">
      <c r="A865" s="74"/>
      <c r="B865" s="74"/>
      <c r="C865" s="74"/>
      <c r="D865" s="74"/>
      <c r="E865" s="74"/>
      <c r="F865" s="74"/>
      <c r="G865" s="74"/>
      <c r="H865" s="74"/>
      <c r="I865" s="74"/>
      <c r="J865" s="74"/>
      <c r="K865" s="74"/>
      <c r="L865" s="74"/>
      <c r="M865" s="74"/>
      <c r="N865" s="74"/>
      <c r="O865" s="74"/>
      <c r="P865" s="74"/>
      <c r="Q865" s="74"/>
      <c r="R865" s="75"/>
      <c r="S865" s="74"/>
      <c r="T865" s="74"/>
      <c r="U865" s="74"/>
      <c r="V865" s="74"/>
      <c r="W865" s="74"/>
      <c r="X865" s="74"/>
      <c r="Y865" s="74"/>
      <c r="Z865" s="74"/>
      <c r="AA865" s="74"/>
      <c r="AB865" s="74"/>
      <c r="AC865" s="74"/>
      <c r="AD865" s="74"/>
      <c r="AE865" s="74"/>
      <c r="AF865" s="74"/>
      <c r="AG865" s="74"/>
      <c r="AH865" s="74"/>
      <c r="AI865" s="74"/>
      <c r="AJ865" s="74"/>
      <c r="AK865" s="74"/>
    </row>
    <row r="866">
      <c r="A866" s="74"/>
      <c r="B866" s="74"/>
      <c r="C866" s="74"/>
      <c r="D866" s="74"/>
      <c r="E866" s="74"/>
      <c r="F866" s="74"/>
      <c r="G866" s="74"/>
      <c r="H866" s="74"/>
      <c r="I866" s="74"/>
      <c r="J866" s="74"/>
      <c r="K866" s="74"/>
      <c r="L866" s="74"/>
      <c r="M866" s="74"/>
      <c r="N866" s="74"/>
      <c r="O866" s="74"/>
      <c r="P866" s="74"/>
      <c r="Q866" s="74"/>
      <c r="R866" s="75"/>
      <c r="S866" s="74"/>
      <c r="T866" s="74"/>
      <c r="U866" s="74"/>
      <c r="V866" s="74"/>
      <c r="W866" s="74"/>
      <c r="X866" s="74"/>
      <c r="Y866" s="74"/>
      <c r="Z866" s="74"/>
      <c r="AA866" s="74"/>
      <c r="AB866" s="74"/>
      <c r="AC866" s="74"/>
      <c r="AD866" s="74"/>
      <c r="AE866" s="74"/>
      <c r="AF866" s="74"/>
      <c r="AG866" s="74"/>
      <c r="AH866" s="74"/>
      <c r="AI866" s="74"/>
      <c r="AJ866" s="74"/>
      <c r="AK866" s="74"/>
    </row>
    <row r="867">
      <c r="A867" s="74"/>
      <c r="B867" s="74"/>
      <c r="C867" s="74"/>
      <c r="D867" s="74"/>
      <c r="E867" s="74"/>
      <c r="F867" s="74"/>
      <c r="G867" s="74"/>
      <c r="H867" s="74"/>
      <c r="I867" s="74"/>
      <c r="J867" s="74"/>
      <c r="K867" s="74"/>
      <c r="L867" s="74"/>
      <c r="M867" s="74"/>
      <c r="N867" s="74"/>
      <c r="O867" s="74"/>
      <c r="P867" s="74"/>
      <c r="Q867" s="74"/>
      <c r="R867" s="75"/>
      <c r="S867" s="74"/>
      <c r="T867" s="74"/>
      <c r="U867" s="74"/>
      <c r="V867" s="74"/>
      <c r="W867" s="74"/>
      <c r="X867" s="74"/>
      <c r="Y867" s="74"/>
      <c r="Z867" s="74"/>
      <c r="AA867" s="74"/>
      <c r="AB867" s="74"/>
      <c r="AC867" s="74"/>
      <c r="AD867" s="74"/>
      <c r="AE867" s="74"/>
      <c r="AF867" s="74"/>
      <c r="AG867" s="74"/>
      <c r="AH867" s="74"/>
      <c r="AI867" s="74"/>
      <c r="AJ867" s="74"/>
      <c r="AK867" s="74"/>
    </row>
    <row r="868">
      <c r="A868" s="74"/>
      <c r="B868" s="74"/>
      <c r="C868" s="74"/>
      <c r="D868" s="74"/>
      <c r="E868" s="74"/>
      <c r="F868" s="74"/>
      <c r="G868" s="74"/>
      <c r="H868" s="74"/>
      <c r="I868" s="74"/>
      <c r="J868" s="74"/>
      <c r="K868" s="74"/>
      <c r="L868" s="74"/>
      <c r="M868" s="74"/>
      <c r="N868" s="74"/>
      <c r="O868" s="74"/>
      <c r="P868" s="74"/>
      <c r="Q868" s="74"/>
      <c r="R868" s="75"/>
      <c r="S868" s="74"/>
      <c r="T868" s="74"/>
      <c r="U868" s="74"/>
      <c r="V868" s="74"/>
      <c r="W868" s="74"/>
      <c r="X868" s="74"/>
      <c r="Y868" s="74"/>
      <c r="Z868" s="74"/>
      <c r="AA868" s="74"/>
      <c r="AB868" s="74"/>
      <c r="AC868" s="74"/>
      <c r="AD868" s="74"/>
      <c r="AE868" s="74"/>
      <c r="AF868" s="74"/>
      <c r="AG868" s="74"/>
      <c r="AH868" s="74"/>
      <c r="AI868" s="74"/>
      <c r="AJ868" s="74"/>
      <c r="AK868" s="74"/>
    </row>
    <row r="869">
      <c r="A869" s="74"/>
      <c r="B869" s="74"/>
      <c r="C869" s="74"/>
      <c r="D869" s="74"/>
      <c r="E869" s="74"/>
      <c r="F869" s="74"/>
      <c r="G869" s="74"/>
      <c r="H869" s="74"/>
      <c r="I869" s="74"/>
      <c r="J869" s="74"/>
      <c r="K869" s="74"/>
      <c r="L869" s="74"/>
      <c r="M869" s="74"/>
      <c r="N869" s="74"/>
      <c r="O869" s="74"/>
      <c r="P869" s="74"/>
      <c r="Q869" s="74"/>
      <c r="R869" s="75"/>
      <c r="S869" s="74"/>
      <c r="T869" s="74"/>
      <c r="U869" s="74"/>
      <c r="V869" s="74"/>
      <c r="W869" s="74"/>
      <c r="X869" s="74"/>
      <c r="Y869" s="74"/>
      <c r="Z869" s="74"/>
      <c r="AA869" s="74"/>
      <c r="AB869" s="74"/>
      <c r="AC869" s="74"/>
      <c r="AD869" s="74"/>
      <c r="AE869" s="74"/>
      <c r="AF869" s="74"/>
      <c r="AG869" s="74"/>
      <c r="AH869" s="74"/>
      <c r="AI869" s="74"/>
      <c r="AJ869" s="74"/>
      <c r="AK869" s="74"/>
    </row>
    <row r="870">
      <c r="A870" s="74"/>
      <c r="B870" s="74"/>
      <c r="C870" s="74"/>
      <c r="D870" s="74"/>
      <c r="E870" s="74"/>
      <c r="F870" s="74"/>
      <c r="G870" s="74"/>
      <c r="H870" s="74"/>
      <c r="I870" s="74"/>
      <c r="J870" s="74"/>
      <c r="K870" s="74"/>
      <c r="L870" s="74"/>
      <c r="M870" s="74"/>
      <c r="N870" s="74"/>
      <c r="O870" s="74"/>
      <c r="P870" s="74"/>
      <c r="Q870" s="74"/>
      <c r="R870" s="75"/>
      <c r="S870" s="74"/>
      <c r="T870" s="74"/>
      <c r="U870" s="74"/>
      <c r="V870" s="74"/>
      <c r="W870" s="74"/>
      <c r="X870" s="74"/>
      <c r="Y870" s="74"/>
      <c r="Z870" s="74"/>
      <c r="AA870" s="74"/>
      <c r="AB870" s="74"/>
      <c r="AC870" s="74"/>
      <c r="AD870" s="74"/>
      <c r="AE870" s="74"/>
      <c r="AF870" s="74"/>
      <c r="AG870" s="74"/>
      <c r="AH870" s="74"/>
      <c r="AI870" s="74"/>
      <c r="AJ870" s="74"/>
      <c r="AK870" s="74"/>
    </row>
    <row r="871">
      <c r="A871" s="74"/>
      <c r="B871" s="74"/>
      <c r="C871" s="74"/>
      <c r="D871" s="74"/>
      <c r="E871" s="74"/>
      <c r="F871" s="74"/>
      <c r="G871" s="74"/>
      <c r="H871" s="74"/>
      <c r="I871" s="74"/>
      <c r="J871" s="74"/>
      <c r="K871" s="74"/>
      <c r="L871" s="74"/>
      <c r="M871" s="74"/>
      <c r="N871" s="74"/>
      <c r="O871" s="74"/>
      <c r="P871" s="74"/>
      <c r="Q871" s="74"/>
      <c r="R871" s="75"/>
      <c r="S871" s="74"/>
      <c r="T871" s="74"/>
      <c r="U871" s="74"/>
      <c r="V871" s="74"/>
      <c r="W871" s="74"/>
      <c r="X871" s="74"/>
      <c r="Y871" s="74"/>
      <c r="Z871" s="74"/>
      <c r="AA871" s="74"/>
      <c r="AB871" s="74"/>
      <c r="AC871" s="74"/>
      <c r="AD871" s="74"/>
      <c r="AE871" s="74"/>
      <c r="AF871" s="74"/>
      <c r="AG871" s="74"/>
      <c r="AH871" s="74"/>
      <c r="AI871" s="74"/>
      <c r="AJ871" s="74"/>
      <c r="AK871" s="74"/>
    </row>
    <row r="872">
      <c r="A872" s="74"/>
      <c r="B872" s="74"/>
      <c r="C872" s="74"/>
      <c r="D872" s="74"/>
      <c r="E872" s="74"/>
      <c r="F872" s="74"/>
      <c r="G872" s="74"/>
      <c r="H872" s="74"/>
      <c r="I872" s="74"/>
      <c r="J872" s="74"/>
      <c r="K872" s="74"/>
      <c r="L872" s="74"/>
      <c r="M872" s="74"/>
      <c r="N872" s="74"/>
      <c r="O872" s="74"/>
      <c r="P872" s="74"/>
      <c r="Q872" s="74"/>
      <c r="R872" s="75"/>
      <c r="S872" s="74"/>
      <c r="T872" s="74"/>
      <c r="U872" s="74"/>
      <c r="V872" s="74"/>
      <c r="W872" s="74"/>
      <c r="X872" s="74"/>
      <c r="Y872" s="74"/>
      <c r="Z872" s="74"/>
      <c r="AA872" s="74"/>
      <c r="AB872" s="74"/>
      <c r="AC872" s="74"/>
      <c r="AD872" s="74"/>
      <c r="AE872" s="74"/>
      <c r="AF872" s="74"/>
      <c r="AG872" s="74"/>
      <c r="AH872" s="74"/>
      <c r="AI872" s="74"/>
      <c r="AJ872" s="74"/>
      <c r="AK872" s="74"/>
    </row>
    <row r="873">
      <c r="A873" s="74"/>
      <c r="B873" s="74"/>
      <c r="C873" s="74"/>
      <c r="D873" s="74"/>
      <c r="E873" s="74"/>
      <c r="F873" s="74"/>
      <c r="G873" s="74"/>
      <c r="H873" s="74"/>
      <c r="I873" s="74"/>
      <c r="J873" s="74"/>
      <c r="K873" s="74"/>
      <c r="L873" s="74"/>
      <c r="M873" s="74"/>
      <c r="N873" s="74"/>
      <c r="O873" s="74"/>
      <c r="P873" s="74"/>
      <c r="Q873" s="74"/>
      <c r="R873" s="75"/>
      <c r="S873" s="74"/>
      <c r="T873" s="74"/>
      <c r="U873" s="74"/>
      <c r="V873" s="74"/>
      <c r="W873" s="74"/>
      <c r="X873" s="74"/>
      <c r="Y873" s="74"/>
      <c r="Z873" s="74"/>
      <c r="AA873" s="74"/>
      <c r="AB873" s="74"/>
      <c r="AC873" s="74"/>
      <c r="AD873" s="74"/>
      <c r="AE873" s="74"/>
      <c r="AF873" s="74"/>
      <c r="AG873" s="74"/>
      <c r="AH873" s="74"/>
      <c r="AI873" s="74"/>
      <c r="AJ873" s="74"/>
      <c r="AK873" s="74"/>
    </row>
    <row r="874">
      <c r="A874" s="74"/>
      <c r="B874" s="74"/>
      <c r="C874" s="74"/>
      <c r="D874" s="74"/>
      <c r="E874" s="74"/>
      <c r="F874" s="74"/>
      <c r="G874" s="74"/>
      <c r="H874" s="74"/>
      <c r="I874" s="74"/>
      <c r="J874" s="74"/>
      <c r="K874" s="74"/>
      <c r="L874" s="74"/>
      <c r="M874" s="74"/>
      <c r="N874" s="74"/>
      <c r="O874" s="74"/>
      <c r="P874" s="74"/>
      <c r="Q874" s="74"/>
      <c r="R874" s="75"/>
      <c r="S874" s="74"/>
      <c r="T874" s="74"/>
      <c r="U874" s="74"/>
      <c r="V874" s="74"/>
      <c r="W874" s="74"/>
      <c r="X874" s="74"/>
      <c r="Y874" s="74"/>
      <c r="Z874" s="74"/>
      <c r="AA874" s="74"/>
      <c r="AB874" s="74"/>
      <c r="AC874" s="74"/>
      <c r="AD874" s="74"/>
      <c r="AE874" s="74"/>
      <c r="AF874" s="74"/>
      <c r="AG874" s="74"/>
      <c r="AH874" s="74"/>
      <c r="AI874" s="74"/>
      <c r="AJ874" s="74"/>
      <c r="AK874" s="74"/>
    </row>
    <row r="875">
      <c r="A875" s="74"/>
      <c r="B875" s="74"/>
      <c r="C875" s="74"/>
      <c r="D875" s="74"/>
      <c r="E875" s="74"/>
      <c r="F875" s="74"/>
      <c r="G875" s="74"/>
      <c r="H875" s="74"/>
      <c r="I875" s="74"/>
      <c r="J875" s="74"/>
      <c r="K875" s="74"/>
      <c r="L875" s="74"/>
      <c r="M875" s="74"/>
      <c r="N875" s="74"/>
      <c r="O875" s="74"/>
      <c r="P875" s="74"/>
      <c r="Q875" s="74"/>
      <c r="R875" s="75"/>
      <c r="S875" s="74"/>
      <c r="T875" s="74"/>
      <c r="U875" s="74"/>
      <c r="V875" s="74"/>
      <c r="W875" s="74"/>
      <c r="X875" s="74"/>
      <c r="Y875" s="74"/>
      <c r="Z875" s="74"/>
      <c r="AA875" s="74"/>
      <c r="AB875" s="74"/>
      <c r="AC875" s="74"/>
      <c r="AD875" s="74"/>
      <c r="AE875" s="74"/>
      <c r="AF875" s="74"/>
      <c r="AG875" s="74"/>
      <c r="AH875" s="74"/>
      <c r="AI875" s="74"/>
      <c r="AJ875" s="74"/>
      <c r="AK875" s="74"/>
    </row>
    <row r="876">
      <c r="A876" s="74"/>
      <c r="B876" s="74"/>
      <c r="C876" s="74"/>
      <c r="D876" s="74"/>
      <c r="E876" s="74"/>
      <c r="F876" s="74"/>
      <c r="G876" s="74"/>
      <c r="H876" s="74"/>
      <c r="I876" s="74"/>
      <c r="J876" s="74"/>
      <c r="K876" s="74"/>
      <c r="L876" s="74"/>
      <c r="M876" s="74"/>
      <c r="N876" s="74"/>
      <c r="O876" s="74"/>
      <c r="P876" s="74"/>
      <c r="Q876" s="74"/>
      <c r="R876" s="75"/>
      <c r="S876" s="74"/>
      <c r="T876" s="74"/>
      <c r="U876" s="74"/>
      <c r="V876" s="74"/>
      <c r="W876" s="74"/>
      <c r="X876" s="74"/>
      <c r="Y876" s="74"/>
      <c r="Z876" s="74"/>
      <c r="AA876" s="74"/>
      <c r="AB876" s="74"/>
      <c r="AC876" s="74"/>
      <c r="AD876" s="74"/>
      <c r="AE876" s="74"/>
      <c r="AF876" s="74"/>
      <c r="AG876" s="74"/>
      <c r="AH876" s="74"/>
      <c r="AI876" s="74"/>
      <c r="AJ876" s="74"/>
      <c r="AK876" s="74"/>
    </row>
    <row r="877">
      <c r="A877" s="74"/>
      <c r="B877" s="74"/>
      <c r="C877" s="74"/>
      <c r="D877" s="74"/>
      <c r="E877" s="74"/>
      <c r="F877" s="74"/>
      <c r="G877" s="74"/>
      <c r="H877" s="74"/>
      <c r="I877" s="74"/>
      <c r="J877" s="74"/>
      <c r="K877" s="74"/>
      <c r="L877" s="74"/>
      <c r="M877" s="74"/>
      <c r="N877" s="74"/>
      <c r="O877" s="74"/>
      <c r="P877" s="74"/>
      <c r="Q877" s="74"/>
      <c r="R877" s="75"/>
      <c r="S877" s="74"/>
      <c r="T877" s="74"/>
      <c r="U877" s="74"/>
      <c r="V877" s="74"/>
      <c r="W877" s="74"/>
      <c r="X877" s="74"/>
      <c r="Y877" s="74"/>
      <c r="Z877" s="74"/>
      <c r="AA877" s="74"/>
      <c r="AB877" s="74"/>
      <c r="AC877" s="74"/>
      <c r="AD877" s="74"/>
      <c r="AE877" s="74"/>
      <c r="AF877" s="74"/>
      <c r="AG877" s="74"/>
      <c r="AH877" s="74"/>
      <c r="AI877" s="74"/>
      <c r="AJ877" s="74"/>
      <c r="AK877" s="74"/>
    </row>
    <row r="878">
      <c r="A878" s="74"/>
      <c r="B878" s="74"/>
      <c r="C878" s="74"/>
      <c r="D878" s="74"/>
      <c r="E878" s="74"/>
      <c r="F878" s="74"/>
      <c r="G878" s="74"/>
      <c r="H878" s="74"/>
      <c r="I878" s="74"/>
      <c r="J878" s="74"/>
      <c r="K878" s="74"/>
      <c r="L878" s="74"/>
      <c r="M878" s="74"/>
      <c r="N878" s="74"/>
      <c r="O878" s="74"/>
      <c r="P878" s="74"/>
      <c r="Q878" s="74"/>
      <c r="R878" s="75"/>
      <c r="S878" s="74"/>
      <c r="T878" s="74"/>
      <c r="U878" s="74"/>
      <c r="V878" s="74"/>
      <c r="W878" s="74"/>
      <c r="X878" s="74"/>
      <c r="Y878" s="74"/>
      <c r="Z878" s="74"/>
      <c r="AA878" s="74"/>
      <c r="AB878" s="74"/>
      <c r="AC878" s="74"/>
      <c r="AD878" s="74"/>
      <c r="AE878" s="74"/>
      <c r="AF878" s="74"/>
      <c r="AG878" s="74"/>
      <c r="AH878" s="74"/>
      <c r="AI878" s="74"/>
      <c r="AJ878" s="74"/>
      <c r="AK878" s="74"/>
    </row>
    <row r="879">
      <c r="A879" s="74"/>
      <c r="B879" s="74"/>
      <c r="C879" s="74"/>
      <c r="D879" s="74"/>
      <c r="E879" s="74"/>
      <c r="F879" s="74"/>
      <c r="G879" s="74"/>
      <c r="H879" s="74"/>
      <c r="I879" s="74"/>
      <c r="J879" s="74"/>
      <c r="K879" s="74"/>
      <c r="L879" s="74"/>
      <c r="M879" s="74"/>
      <c r="N879" s="74"/>
      <c r="O879" s="74"/>
      <c r="P879" s="74"/>
      <c r="Q879" s="74"/>
      <c r="R879" s="75"/>
      <c r="S879" s="74"/>
      <c r="T879" s="74"/>
      <c r="U879" s="74"/>
      <c r="V879" s="74"/>
      <c r="W879" s="74"/>
      <c r="X879" s="74"/>
      <c r="Y879" s="74"/>
      <c r="Z879" s="74"/>
      <c r="AA879" s="74"/>
      <c r="AB879" s="74"/>
      <c r="AC879" s="74"/>
      <c r="AD879" s="74"/>
      <c r="AE879" s="74"/>
      <c r="AF879" s="74"/>
      <c r="AG879" s="74"/>
      <c r="AH879" s="74"/>
      <c r="AI879" s="74"/>
      <c r="AJ879" s="74"/>
      <c r="AK879" s="74"/>
    </row>
    <row r="880">
      <c r="A880" s="74"/>
      <c r="B880" s="74"/>
      <c r="C880" s="74"/>
      <c r="D880" s="74"/>
      <c r="E880" s="74"/>
      <c r="F880" s="74"/>
      <c r="G880" s="74"/>
      <c r="H880" s="74"/>
      <c r="I880" s="74"/>
      <c r="J880" s="74"/>
      <c r="K880" s="74"/>
      <c r="L880" s="74"/>
      <c r="M880" s="74"/>
      <c r="N880" s="74"/>
      <c r="O880" s="74"/>
      <c r="P880" s="74"/>
      <c r="Q880" s="74"/>
      <c r="R880" s="75"/>
      <c r="S880" s="74"/>
      <c r="T880" s="74"/>
      <c r="U880" s="74"/>
      <c r="V880" s="74"/>
      <c r="W880" s="74"/>
      <c r="X880" s="74"/>
      <c r="Y880" s="74"/>
      <c r="Z880" s="74"/>
      <c r="AA880" s="74"/>
      <c r="AB880" s="74"/>
      <c r="AC880" s="74"/>
      <c r="AD880" s="74"/>
      <c r="AE880" s="74"/>
      <c r="AF880" s="74"/>
      <c r="AG880" s="74"/>
      <c r="AH880" s="74"/>
      <c r="AI880" s="74"/>
      <c r="AJ880" s="74"/>
      <c r="AK880" s="74"/>
    </row>
    <row r="881">
      <c r="A881" s="74"/>
      <c r="B881" s="74"/>
      <c r="C881" s="74"/>
      <c r="D881" s="74"/>
      <c r="E881" s="74"/>
      <c r="F881" s="74"/>
      <c r="G881" s="74"/>
      <c r="H881" s="74"/>
      <c r="I881" s="74"/>
      <c r="J881" s="74"/>
      <c r="K881" s="74"/>
      <c r="L881" s="74"/>
      <c r="M881" s="74"/>
      <c r="N881" s="74"/>
      <c r="O881" s="74"/>
      <c r="P881" s="74"/>
      <c r="Q881" s="74"/>
      <c r="R881" s="75"/>
      <c r="S881" s="74"/>
      <c r="T881" s="74"/>
      <c r="U881" s="74"/>
      <c r="V881" s="74"/>
      <c r="W881" s="74"/>
      <c r="X881" s="74"/>
      <c r="Y881" s="74"/>
      <c r="Z881" s="74"/>
      <c r="AA881" s="74"/>
      <c r="AB881" s="74"/>
      <c r="AC881" s="74"/>
      <c r="AD881" s="74"/>
      <c r="AE881" s="74"/>
      <c r="AF881" s="74"/>
      <c r="AG881" s="74"/>
      <c r="AH881" s="74"/>
      <c r="AI881" s="74"/>
      <c r="AJ881" s="74"/>
      <c r="AK881" s="74"/>
    </row>
    <row r="882">
      <c r="A882" s="74"/>
      <c r="B882" s="74"/>
      <c r="C882" s="74"/>
      <c r="D882" s="74"/>
      <c r="E882" s="74"/>
      <c r="F882" s="74"/>
      <c r="G882" s="74"/>
      <c r="H882" s="74"/>
      <c r="I882" s="74"/>
      <c r="J882" s="74"/>
      <c r="K882" s="74"/>
      <c r="L882" s="74"/>
      <c r="M882" s="74"/>
      <c r="N882" s="74"/>
      <c r="O882" s="74"/>
      <c r="P882" s="74"/>
      <c r="Q882" s="74"/>
      <c r="R882" s="75"/>
      <c r="S882" s="74"/>
      <c r="T882" s="74"/>
      <c r="U882" s="74"/>
      <c r="V882" s="74"/>
      <c r="W882" s="74"/>
      <c r="X882" s="74"/>
      <c r="Y882" s="74"/>
      <c r="Z882" s="74"/>
      <c r="AA882" s="74"/>
      <c r="AB882" s="74"/>
      <c r="AC882" s="74"/>
      <c r="AD882" s="74"/>
      <c r="AE882" s="74"/>
      <c r="AF882" s="74"/>
      <c r="AG882" s="74"/>
      <c r="AH882" s="74"/>
      <c r="AI882" s="74"/>
      <c r="AJ882" s="74"/>
      <c r="AK882" s="74"/>
    </row>
    <row r="883">
      <c r="A883" s="74"/>
      <c r="B883" s="74"/>
      <c r="C883" s="74"/>
      <c r="D883" s="74"/>
      <c r="E883" s="74"/>
      <c r="F883" s="74"/>
      <c r="G883" s="74"/>
      <c r="H883" s="74"/>
      <c r="I883" s="74"/>
      <c r="J883" s="74"/>
      <c r="K883" s="74"/>
      <c r="L883" s="74"/>
      <c r="M883" s="74"/>
      <c r="N883" s="74"/>
      <c r="O883" s="74"/>
      <c r="P883" s="74"/>
      <c r="Q883" s="74"/>
      <c r="R883" s="75"/>
      <c r="S883" s="74"/>
      <c r="T883" s="74"/>
      <c r="U883" s="74"/>
      <c r="V883" s="74"/>
      <c r="W883" s="74"/>
      <c r="X883" s="74"/>
      <c r="Y883" s="74"/>
      <c r="Z883" s="74"/>
      <c r="AA883" s="74"/>
      <c r="AB883" s="74"/>
      <c r="AC883" s="74"/>
      <c r="AD883" s="74"/>
      <c r="AE883" s="74"/>
      <c r="AF883" s="74"/>
      <c r="AG883" s="74"/>
      <c r="AH883" s="74"/>
      <c r="AI883" s="74"/>
      <c r="AJ883" s="74"/>
      <c r="AK883" s="74"/>
    </row>
    <row r="884">
      <c r="A884" s="74"/>
      <c r="B884" s="74"/>
      <c r="C884" s="74"/>
      <c r="D884" s="74"/>
      <c r="E884" s="74"/>
      <c r="F884" s="74"/>
      <c r="G884" s="74"/>
      <c r="H884" s="74"/>
      <c r="I884" s="74"/>
      <c r="J884" s="74"/>
      <c r="K884" s="74"/>
      <c r="L884" s="74"/>
      <c r="M884" s="74"/>
      <c r="N884" s="74"/>
      <c r="O884" s="74"/>
      <c r="P884" s="74"/>
      <c r="Q884" s="74"/>
      <c r="R884" s="75"/>
      <c r="S884" s="74"/>
      <c r="T884" s="74"/>
      <c r="U884" s="74"/>
      <c r="V884" s="74"/>
      <c r="W884" s="74"/>
      <c r="X884" s="74"/>
      <c r="Y884" s="74"/>
      <c r="Z884" s="74"/>
      <c r="AA884" s="74"/>
      <c r="AB884" s="74"/>
      <c r="AC884" s="74"/>
      <c r="AD884" s="74"/>
      <c r="AE884" s="74"/>
      <c r="AF884" s="74"/>
      <c r="AG884" s="74"/>
      <c r="AH884" s="74"/>
      <c r="AI884" s="74"/>
      <c r="AJ884" s="74"/>
      <c r="AK884" s="74"/>
    </row>
    <row r="885">
      <c r="A885" s="74"/>
      <c r="B885" s="74"/>
      <c r="C885" s="74"/>
      <c r="D885" s="74"/>
      <c r="E885" s="74"/>
      <c r="F885" s="74"/>
      <c r="G885" s="74"/>
      <c r="H885" s="74"/>
      <c r="I885" s="74"/>
      <c r="J885" s="74"/>
      <c r="K885" s="74"/>
      <c r="L885" s="74"/>
      <c r="M885" s="74"/>
      <c r="N885" s="74"/>
      <c r="O885" s="74"/>
      <c r="P885" s="74"/>
      <c r="Q885" s="74"/>
      <c r="R885" s="75"/>
      <c r="S885" s="74"/>
      <c r="T885" s="74"/>
      <c r="U885" s="74"/>
      <c r="V885" s="74"/>
      <c r="W885" s="74"/>
      <c r="X885" s="74"/>
      <c r="Y885" s="74"/>
      <c r="Z885" s="74"/>
      <c r="AA885" s="74"/>
      <c r="AB885" s="74"/>
      <c r="AC885" s="74"/>
      <c r="AD885" s="74"/>
      <c r="AE885" s="74"/>
      <c r="AF885" s="74"/>
      <c r="AG885" s="74"/>
      <c r="AH885" s="74"/>
      <c r="AI885" s="74"/>
      <c r="AJ885" s="74"/>
      <c r="AK885" s="74"/>
    </row>
    <row r="886">
      <c r="A886" s="74"/>
      <c r="B886" s="74"/>
      <c r="C886" s="74"/>
      <c r="D886" s="74"/>
      <c r="E886" s="74"/>
      <c r="F886" s="74"/>
      <c r="G886" s="74"/>
      <c r="H886" s="74"/>
      <c r="I886" s="74"/>
      <c r="J886" s="74"/>
      <c r="K886" s="74"/>
      <c r="L886" s="74"/>
      <c r="M886" s="74"/>
      <c r="N886" s="74"/>
      <c r="O886" s="74"/>
      <c r="P886" s="74"/>
      <c r="Q886" s="74"/>
      <c r="R886" s="75"/>
      <c r="S886" s="74"/>
      <c r="T886" s="74"/>
      <c r="U886" s="74"/>
      <c r="V886" s="74"/>
      <c r="W886" s="74"/>
      <c r="X886" s="74"/>
      <c r="Y886" s="74"/>
      <c r="Z886" s="74"/>
      <c r="AA886" s="74"/>
      <c r="AB886" s="74"/>
      <c r="AC886" s="74"/>
      <c r="AD886" s="74"/>
      <c r="AE886" s="74"/>
      <c r="AF886" s="74"/>
      <c r="AG886" s="74"/>
      <c r="AH886" s="74"/>
      <c r="AI886" s="74"/>
      <c r="AJ886" s="74"/>
      <c r="AK886" s="74"/>
    </row>
    <row r="887">
      <c r="A887" s="74"/>
      <c r="B887" s="74"/>
      <c r="C887" s="74"/>
      <c r="D887" s="74"/>
      <c r="E887" s="74"/>
      <c r="F887" s="74"/>
      <c r="G887" s="74"/>
      <c r="H887" s="74"/>
      <c r="I887" s="74"/>
      <c r="J887" s="74"/>
      <c r="K887" s="74"/>
      <c r="L887" s="74"/>
      <c r="M887" s="74"/>
      <c r="N887" s="74"/>
      <c r="O887" s="74"/>
      <c r="P887" s="74"/>
      <c r="Q887" s="74"/>
      <c r="R887" s="75"/>
      <c r="S887" s="74"/>
      <c r="T887" s="74"/>
      <c r="U887" s="74"/>
      <c r="V887" s="74"/>
      <c r="W887" s="74"/>
      <c r="X887" s="74"/>
      <c r="Y887" s="74"/>
      <c r="Z887" s="74"/>
      <c r="AA887" s="74"/>
      <c r="AB887" s="74"/>
      <c r="AC887" s="74"/>
      <c r="AD887" s="74"/>
      <c r="AE887" s="74"/>
      <c r="AF887" s="74"/>
      <c r="AG887" s="74"/>
      <c r="AH887" s="74"/>
      <c r="AI887" s="74"/>
      <c r="AJ887" s="74"/>
      <c r="AK887" s="74"/>
    </row>
    <row r="888">
      <c r="A888" s="74"/>
      <c r="B888" s="74"/>
      <c r="C888" s="74"/>
      <c r="D888" s="74"/>
      <c r="E888" s="74"/>
      <c r="F888" s="74"/>
      <c r="G888" s="74"/>
      <c r="H888" s="74"/>
      <c r="I888" s="74"/>
      <c r="J888" s="74"/>
      <c r="K888" s="74"/>
      <c r="L888" s="74"/>
      <c r="M888" s="74"/>
      <c r="N888" s="74"/>
      <c r="O888" s="74"/>
      <c r="P888" s="74"/>
      <c r="Q888" s="74"/>
      <c r="R888" s="75"/>
      <c r="S888" s="74"/>
      <c r="T888" s="74"/>
      <c r="U888" s="74"/>
      <c r="V888" s="74"/>
      <c r="W888" s="74"/>
      <c r="X888" s="74"/>
      <c r="Y888" s="74"/>
      <c r="Z888" s="74"/>
      <c r="AA888" s="74"/>
      <c r="AB888" s="74"/>
      <c r="AC888" s="74"/>
      <c r="AD888" s="74"/>
      <c r="AE888" s="74"/>
      <c r="AF888" s="74"/>
      <c r="AG888" s="74"/>
      <c r="AH888" s="74"/>
      <c r="AI888" s="74"/>
      <c r="AJ888" s="74"/>
      <c r="AK888" s="74"/>
    </row>
    <row r="889">
      <c r="A889" s="74"/>
      <c r="B889" s="74"/>
      <c r="C889" s="74"/>
      <c r="D889" s="74"/>
      <c r="E889" s="74"/>
      <c r="F889" s="74"/>
      <c r="G889" s="74"/>
      <c r="H889" s="74"/>
      <c r="I889" s="74"/>
      <c r="J889" s="74"/>
      <c r="K889" s="74"/>
      <c r="L889" s="74"/>
      <c r="M889" s="74"/>
      <c r="N889" s="74"/>
      <c r="O889" s="74"/>
      <c r="P889" s="74"/>
      <c r="Q889" s="74"/>
      <c r="R889" s="75"/>
      <c r="S889" s="74"/>
      <c r="T889" s="74"/>
      <c r="U889" s="74"/>
      <c r="V889" s="74"/>
      <c r="W889" s="74"/>
      <c r="X889" s="74"/>
      <c r="Y889" s="74"/>
      <c r="Z889" s="74"/>
      <c r="AA889" s="74"/>
      <c r="AB889" s="74"/>
      <c r="AC889" s="74"/>
      <c r="AD889" s="74"/>
      <c r="AE889" s="74"/>
      <c r="AF889" s="74"/>
      <c r="AG889" s="74"/>
      <c r="AH889" s="74"/>
      <c r="AI889" s="74"/>
      <c r="AJ889" s="74"/>
      <c r="AK889" s="74"/>
    </row>
    <row r="890">
      <c r="A890" s="74"/>
      <c r="B890" s="74"/>
      <c r="C890" s="74"/>
      <c r="D890" s="74"/>
      <c r="E890" s="74"/>
      <c r="F890" s="74"/>
      <c r="G890" s="74"/>
      <c r="H890" s="74"/>
      <c r="I890" s="74"/>
      <c r="J890" s="74"/>
      <c r="K890" s="74"/>
      <c r="L890" s="74"/>
      <c r="M890" s="74"/>
      <c r="N890" s="74"/>
      <c r="O890" s="74"/>
      <c r="P890" s="74"/>
      <c r="Q890" s="74"/>
      <c r="R890" s="75"/>
      <c r="S890" s="74"/>
      <c r="T890" s="74"/>
      <c r="U890" s="74"/>
      <c r="V890" s="74"/>
      <c r="W890" s="74"/>
      <c r="X890" s="74"/>
      <c r="Y890" s="74"/>
      <c r="Z890" s="74"/>
      <c r="AA890" s="74"/>
      <c r="AB890" s="74"/>
      <c r="AC890" s="74"/>
      <c r="AD890" s="74"/>
      <c r="AE890" s="74"/>
      <c r="AF890" s="74"/>
      <c r="AG890" s="74"/>
      <c r="AH890" s="74"/>
      <c r="AI890" s="74"/>
      <c r="AJ890" s="74"/>
      <c r="AK890" s="74"/>
    </row>
    <row r="891">
      <c r="A891" s="74"/>
      <c r="B891" s="74"/>
      <c r="C891" s="74"/>
      <c r="D891" s="74"/>
      <c r="E891" s="74"/>
      <c r="F891" s="74"/>
      <c r="G891" s="74"/>
      <c r="H891" s="74"/>
      <c r="I891" s="74"/>
      <c r="J891" s="74"/>
      <c r="K891" s="74"/>
      <c r="L891" s="74"/>
      <c r="M891" s="74"/>
      <c r="N891" s="74"/>
      <c r="O891" s="74"/>
      <c r="P891" s="74"/>
      <c r="Q891" s="74"/>
      <c r="R891" s="75"/>
      <c r="S891" s="74"/>
      <c r="T891" s="74"/>
      <c r="U891" s="74"/>
      <c r="V891" s="74"/>
      <c r="W891" s="74"/>
      <c r="X891" s="74"/>
      <c r="Y891" s="74"/>
      <c r="Z891" s="74"/>
      <c r="AA891" s="74"/>
      <c r="AB891" s="74"/>
      <c r="AC891" s="74"/>
      <c r="AD891" s="74"/>
      <c r="AE891" s="74"/>
      <c r="AF891" s="74"/>
      <c r="AG891" s="74"/>
      <c r="AH891" s="74"/>
      <c r="AI891" s="74"/>
      <c r="AJ891" s="74"/>
      <c r="AK891" s="74"/>
    </row>
    <row r="892">
      <c r="A892" s="74"/>
      <c r="B892" s="74"/>
      <c r="C892" s="74"/>
      <c r="D892" s="74"/>
      <c r="E892" s="74"/>
      <c r="F892" s="74"/>
      <c r="G892" s="74"/>
      <c r="H892" s="74"/>
      <c r="I892" s="74"/>
      <c r="J892" s="74"/>
      <c r="K892" s="74"/>
      <c r="L892" s="74"/>
      <c r="M892" s="74"/>
      <c r="N892" s="74"/>
      <c r="O892" s="74"/>
      <c r="P892" s="74"/>
      <c r="Q892" s="74"/>
      <c r="R892" s="75"/>
      <c r="S892" s="74"/>
      <c r="T892" s="74"/>
      <c r="U892" s="74"/>
      <c r="V892" s="74"/>
      <c r="W892" s="74"/>
      <c r="X892" s="74"/>
      <c r="Y892" s="74"/>
      <c r="Z892" s="74"/>
      <c r="AA892" s="74"/>
      <c r="AB892" s="74"/>
      <c r="AC892" s="74"/>
      <c r="AD892" s="74"/>
      <c r="AE892" s="74"/>
      <c r="AF892" s="74"/>
      <c r="AG892" s="74"/>
      <c r="AH892" s="74"/>
      <c r="AI892" s="74"/>
      <c r="AJ892" s="74"/>
      <c r="AK892" s="74"/>
    </row>
    <row r="893">
      <c r="A893" s="74"/>
      <c r="B893" s="74"/>
      <c r="C893" s="74"/>
      <c r="D893" s="74"/>
      <c r="E893" s="74"/>
      <c r="F893" s="74"/>
      <c r="G893" s="74"/>
      <c r="H893" s="74"/>
      <c r="I893" s="74"/>
      <c r="J893" s="74"/>
      <c r="K893" s="74"/>
      <c r="L893" s="74"/>
      <c r="M893" s="74"/>
      <c r="N893" s="74"/>
      <c r="O893" s="74"/>
      <c r="P893" s="74"/>
      <c r="Q893" s="74"/>
      <c r="R893" s="75"/>
      <c r="S893" s="74"/>
      <c r="T893" s="74"/>
      <c r="U893" s="74"/>
      <c r="V893" s="74"/>
      <c r="W893" s="74"/>
      <c r="X893" s="74"/>
      <c r="Y893" s="74"/>
      <c r="Z893" s="74"/>
      <c r="AA893" s="74"/>
      <c r="AB893" s="74"/>
      <c r="AC893" s="74"/>
      <c r="AD893" s="74"/>
      <c r="AE893" s="74"/>
      <c r="AF893" s="74"/>
      <c r="AG893" s="74"/>
      <c r="AH893" s="74"/>
      <c r="AI893" s="74"/>
      <c r="AJ893" s="74"/>
      <c r="AK893" s="74"/>
    </row>
    <row r="894">
      <c r="A894" s="74"/>
      <c r="B894" s="74"/>
      <c r="C894" s="74"/>
      <c r="D894" s="74"/>
      <c r="E894" s="74"/>
      <c r="F894" s="74"/>
      <c r="G894" s="74"/>
      <c r="H894" s="74"/>
      <c r="I894" s="74"/>
      <c r="J894" s="74"/>
      <c r="K894" s="74"/>
      <c r="L894" s="74"/>
      <c r="M894" s="74"/>
      <c r="N894" s="74"/>
      <c r="O894" s="74"/>
      <c r="P894" s="74"/>
      <c r="Q894" s="74"/>
      <c r="R894" s="75"/>
      <c r="S894" s="74"/>
      <c r="T894" s="74"/>
      <c r="U894" s="74"/>
      <c r="V894" s="74"/>
      <c r="W894" s="74"/>
      <c r="X894" s="74"/>
      <c r="Y894" s="74"/>
      <c r="Z894" s="74"/>
      <c r="AA894" s="74"/>
      <c r="AB894" s="74"/>
      <c r="AC894" s="74"/>
      <c r="AD894" s="74"/>
      <c r="AE894" s="74"/>
      <c r="AF894" s="74"/>
      <c r="AG894" s="74"/>
      <c r="AH894" s="74"/>
      <c r="AI894" s="74"/>
      <c r="AJ894" s="74"/>
      <c r="AK894" s="74"/>
    </row>
    <row r="895">
      <c r="A895" s="74"/>
      <c r="B895" s="74"/>
      <c r="C895" s="74"/>
      <c r="D895" s="74"/>
      <c r="E895" s="74"/>
      <c r="F895" s="74"/>
      <c r="G895" s="74"/>
      <c r="H895" s="74"/>
      <c r="I895" s="74"/>
      <c r="J895" s="74"/>
      <c r="K895" s="74"/>
      <c r="L895" s="74"/>
      <c r="M895" s="74"/>
      <c r="N895" s="74"/>
      <c r="O895" s="74"/>
      <c r="P895" s="74"/>
      <c r="Q895" s="74"/>
      <c r="R895" s="75"/>
      <c r="S895" s="74"/>
      <c r="T895" s="74"/>
      <c r="U895" s="74"/>
      <c r="V895" s="74"/>
      <c r="W895" s="74"/>
      <c r="X895" s="74"/>
      <c r="Y895" s="74"/>
      <c r="Z895" s="74"/>
      <c r="AA895" s="74"/>
      <c r="AB895" s="74"/>
      <c r="AC895" s="74"/>
      <c r="AD895" s="74"/>
      <c r="AE895" s="74"/>
      <c r="AF895" s="74"/>
      <c r="AG895" s="74"/>
      <c r="AH895" s="74"/>
      <c r="AI895" s="74"/>
      <c r="AJ895" s="74"/>
      <c r="AK895" s="74"/>
    </row>
    <row r="896">
      <c r="A896" s="74"/>
      <c r="B896" s="74"/>
      <c r="C896" s="74"/>
      <c r="D896" s="74"/>
      <c r="E896" s="74"/>
      <c r="F896" s="74"/>
      <c r="G896" s="74"/>
      <c r="H896" s="74"/>
      <c r="I896" s="74"/>
      <c r="J896" s="74"/>
      <c r="K896" s="74"/>
      <c r="L896" s="74"/>
      <c r="M896" s="74"/>
      <c r="N896" s="74"/>
      <c r="O896" s="74"/>
      <c r="P896" s="74"/>
      <c r="Q896" s="74"/>
      <c r="R896" s="75"/>
      <c r="S896" s="74"/>
      <c r="T896" s="74"/>
      <c r="U896" s="74"/>
      <c r="V896" s="74"/>
      <c r="W896" s="74"/>
      <c r="X896" s="74"/>
      <c r="Y896" s="74"/>
      <c r="Z896" s="74"/>
      <c r="AA896" s="74"/>
      <c r="AB896" s="74"/>
      <c r="AC896" s="74"/>
      <c r="AD896" s="74"/>
      <c r="AE896" s="74"/>
      <c r="AF896" s="74"/>
      <c r="AG896" s="74"/>
      <c r="AH896" s="74"/>
      <c r="AI896" s="74"/>
      <c r="AJ896" s="74"/>
      <c r="AK896" s="74"/>
    </row>
    <row r="897">
      <c r="A897" s="74"/>
      <c r="B897" s="74"/>
      <c r="C897" s="74"/>
      <c r="D897" s="74"/>
      <c r="E897" s="74"/>
      <c r="F897" s="74"/>
      <c r="G897" s="74"/>
      <c r="H897" s="74"/>
      <c r="I897" s="74"/>
      <c r="J897" s="74"/>
      <c r="K897" s="74"/>
      <c r="L897" s="74"/>
      <c r="M897" s="74"/>
      <c r="N897" s="74"/>
      <c r="O897" s="74"/>
      <c r="P897" s="74"/>
      <c r="Q897" s="74"/>
      <c r="R897" s="75"/>
      <c r="S897" s="74"/>
      <c r="T897" s="74"/>
      <c r="U897" s="74"/>
      <c r="V897" s="74"/>
      <c r="W897" s="74"/>
      <c r="X897" s="74"/>
      <c r="Y897" s="74"/>
      <c r="Z897" s="74"/>
      <c r="AA897" s="74"/>
      <c r="AB897" s="74"/>
      <c r="AC897" s="74"/>
      <c r="AD897" s="74"/>
      <c r="AE897" s="74"/>
      <c r="AF897" s="74"/>
      <c r="AG897" s="74"/>
      <c r="AH897" s="74"/>
      <c r="AI897" s="74"/>
      <c r="AJ897" s="74"/>
      <c r="AK897" s="74"/>
    </row>
    <row r="898">
      <c r="A898" s="74"/>
      <c r="B898" s="74"/>
      <c r="C898" s="74"/>
      <c r="D898" s="74"/>
      <c r="E898" s="74"/>
      <c r="F898" s="74"/>
      <c r="G898" s="74"/>
      <c r="H898" s="74"/>
      <c r="I898" s="74"/>
      <c r="J898" s="74"/>
      <c r="K898" s="74"/>
      <c r="L898" s="74"/>
      <c r="M898" s="74"/>
      <c r="N898" s="74"/>
      <c r="O898" s="74"/>
      <c r="P898" s="74"/>
      <c r="Q898" s="74"/>
      <c r="R898" s="75"/>
      <c r="S898" s="74"/>
      <c r="T898" s="74"/>
      <c r="U898" s="74"/>
      <c r="V898" s="74"/>
      <c r="W898" s="74"/>
      <c r="X898" s="74"/>
      <c r="Y898" s="74"/>
      <c r="Z898" s="74"/>
      <c r="AA898" s="74"/>
      <c r="AB898" s="74"/>
      <c r="AC898" s="74"/>
      <c r="AD898" s="74"/>
      <c r="AE898" s="74"/>
      <c r="AF898" s="74"/>
      <c r="AG898" s="74"/>
      <c r="AH898" s="74"/>
      <c r="AI898" s="74"/>
      <c r="AJ898" s="74"/>
      <c r="AK898" s="74"/>
    </row>
    <row r="899">
      <c r="A899" s="74"/>
      <c r="B899" s="74"/>
      <c r="C899" s="74"/>
      <c r="D899" s="74"/>
      <c r="E899" s="74"/>
      <c r="F899" s="74"/>
      <c r="G899" s="74"/>
      <c r="H899" s="74"/>
      <c r="I899" s="74"/>
      <c r="J899" s="74"/>
      <c r="K899" s="74"/>
      <c r="L899" s="74"/>
      <c r="M899" s="74"/>
      <c r="N899" s="74"/>
      <c r="O899" s="74"/>
      <c r="P899" s="74"/>
      <c r="Q899" s="74"/>
      <c r="R899" s="75"/>
      <c r="S899" s="74"/>
      <c r="T899" s="74"/>
      <c r="U899" s="74"/>
      <c r="V899" s="74"/>
      <c r="W899" s="74"/>
      <c r="X899" s="74"/>
      <c r="Y899" s="74"/>
      <c r="Z899" s="74"/>
      <c r="AA899" s="74"/>
      <c r="AB899" s="74"/>
      <c r="AC899" s="74"/>
      <c r="AD899" s="74"/>
      <c r="AE899" s="74"/>
      <c r="AF899" s="74"/>
      <c r="AG899" s="74"/>
      <c r="AH899" s="74"/>
      <c r="AI899" s="74"/>
      <c r="AJ899" s="74"/>
      <c r="AK899" s="74"/>
    </row>
    <row r="900">
      <c r="A900" s="74"/>
      <c r="B900" s="74"/>
      <c r="C900" s="74"/>
      <c r="D900" s="74"/>
      <c r="E900" s="74"/>
      <c r="F900" s="74"/>
      <c r="G900" s="74"/>
      <c r="H900" s="74"/>
      <c r="I900" s="74"/>
      <c r="J900" s="74"/>
      <c r="K900" s="74"/>
      <c r="L900" s="74"/>
      <c r="M900" s="74"/>
      <c r="N900" s="74"/>
      <c r="O900" s="74"/>
      <c r="P900" s="74"/>
      <c r="Q900" s="74"/>
      <c r="R900" s="75"/>
      <c r="S900" s="74"/>
      <c r="T900" s="74"/>
      <c r="U900" s="74"/>
      <c r="V900" s="74"/>
      <c r="W900" s="74"/>
      <c r="X900" s="74"/>
      <c r="Y900" s="74"/>
      <c r="Z900" s="74"/>
      <c r="AA900" s="74"/>
      <c r="AB900" s="74"/>
      <c r="AC900" s="74"/>
      <c r="AD900" s="74"/>
      <c r="AE900" s="74"/>
      <c r="AF900" s="74"/>
      <c r="AG900" s="74"/>
      <c r="AH900" s="74"/>
      <c r="AI900" s="74"/>
      <c r="AJ900" s="74"/>
      <c r="AK900" s="74"/>
    </row>
    <row r="901">
      <c r="A901" s="74"/>
      <c r="B901" s="74"/>
      <c r="C901" s="74"/>
      <c r="D901" s="74"/>
      <c r="E901" s="74"/>
      <c r="F901" s="74"/>
      <c r="G901" s="74"/>
      <c r="H901" s="74"/>
      <c r="I901" s="74"/>
      <c r="J901" s="74"/>
      <c r="K901" s="74"/>
      <c r="L901" s="74"/>
      <c r="M901" s="74"/>
      <c r="N901" s="74"/>
      <c r="O901" s="74"/>
      <c r="P901" s="74"/>
      <c r="Q901" s="74"/>
      <c r="R901" s="75"/>
      <c r="S901" s="74"/>
      <c r="T901" s="74"/>
      <c r="U901" s="74"/>
      <c r="V901" s="74"/>
      <c r="W901" s="74"/>
      <c r="X901" s="74"/>
      <c r="Y901" s="74"/>
      <c r="Z901" s="74"/>
      <c r="AA901" s="74"/>
      <c r="AB901" s="74"/>
      <c r="AC901" s="74"/>
      <c r="AD901" s="74"/>
      <c r="AE901" s="74"/>
      <c r="AF901" s="74"/>
      <c r="AG901" s="74"/>
      <c r="AH901" s="74"/>
      <c r="AI901" s="74"/>
      <c r="AJ901" s="74"/>
      <c r="AK901" s="74"/>
    </row>
    <row r="902">
      <c r="A902" s="74"/>
      <c r="B902" s="74"/>
      <c r="C902" s="74"/>
      <c r="D902" s="74"/>
      <c r="E902" s="74"/>
      <c r="F902" s="74"/>
      <c r="G902" s="74"/>
      <c r="H902" s="74"/>
      <c r="I902" s="74"/>
      <c r="J902" s="74"/>
      <c r="K902" s="74"/>
      <c r="L902" s="74"/>
      <c r="M902" s="74"/>
      <c r="N902" s="74"/>
      <c r="O902" s="74"/>
      <c r="P902" s="74"/>
      <c r="Q902" s="74"/>
      <c r="R902" s="75"/>
      <c r="S902" s="74"/>
      <c r="T902" s="74"/>
      <c r="U902" s="74"/>
      <c r="V902" s="74"/>
      <c r="W902" s="74"/>
      <c r="X902" s="74"/>
      <c r="Y902" s="74"/>
      <c r="Z902" s="74"/>
      <c r="AA902" s="74"/>
      <c r="AB902" s="74"/>
      <c r="AC902" s="74"/>
      <c r="AD902" s="74"/>
      <c r="AE902" s="74"/>
      <c r="AF902" s="74"/>
      <c r="AG902" s="74"/>
      <c r="AH902" s="74"/>
      <c r="AI902" s="74"/>
      <c r="AJ902" s="74"/>
      <c r="AK902" s="74"/>
    </row>
    <row r="903">
      <c r="A903" s="74"/>
      <c r="B903" s="74"/>
      <c r="C903" s="74"/>
      <c r="D903" s="74"/>
      <c r="E903" s="74"/>
      <c r="F903" s="74"/>
      <c r="G903" s="74"/>
      <c r="H903" s="74"/>
      <c r="I903" s="74"/>
      <c r="J903" s="74"/>
      <c r="K903" s="74"/>
      <c r="L903" s="74"/>
      <c r="M903" s="74"/>
      <c r="N903" s="74"/>
      <c r="O903" s="74"/>
      <c r="P903" s="74"/>
      <c r="Q903" s="74"/>
      <c r="R903" s="75"/>
      <c r="S903" s="74"/>
      <c r="T903" s="74"/>
      <c r="U903" s="74"/>
      <c r="V903" s="74"/>
      <c r="W903" s="74"/>
      <c r="X903" s="74"/>
      <c r="Y903" s="74"/>
      <c r="Z903" s="74"/>
      <c r="AA903" s="74"/>
      <c r="AB903" s="74"/>
      <c r="AC903" s="74"/>
      <c r="AD903" s="74"/>
      <c r="AE903" s="74"/>
      <c r="AF903" s="74"/>
      <c r="AG903" s="74"/>
      <c r="AH903" s="74"/>
      <c r="AI903" s="74"/>
      <c r="AJ903" s="74"/>
      <c r="AK903" s="74"/>
    </row>
    <row r="904">
      <c r="A904" s="74"/>
      <c r="B904" s="74"/>
      <c r="C904" s="74"/>
      <c r="D904" s="74"/>
      <c r="E904" s="74"/>
      <c r="F904" s="74"/>
      <c r="G904" s="74"/>
      <c r="H904" s="74"/>
      <c r="I904" s="74"/>
      <c r="J904" s="74"/>
      <c r="K904" s="74"/>
      <c r="L904" s="74"/>
      <c r="M904" s="74"/>
      <c r="N904" s="74"/>
      <c r="O904" s="74"/>
      <c r="P904" s="74"/>
      <c r="Q904" s="74"/>
      <c r="R904" s="75"/>
      <c r="S904" s="74"/>
      <c r="T904" s="74"/>
      <c r="U904" s="74"/>
      <c r="V904" s="74"/>
      <c r="W904" s="74"/>
      <c r="X904" s="74"/>
      <c r="Y904" s="74"/>
      <c r="Z904" s="74"/>
      <c r="AA904" s="74"/>
      <c r="AB904" s="74"/>
      <c r="AC904" s="74"/>
      <c r="AD904" s="74"/>
      <c r="AE904" s="74"/>
      <c r="AF904" s="74"/>
      <c r="AG904" s="74"/>
      <c r="AH904" s="74"/>
      <c r="AI904" s="74"/>
      <c r="AJ904" s="74"/>
      <c r="AK904" s="74"/>
    </row>
    <row r="905">
      <c r="A905" s="74"/>
      <c r="B905" s="74"/>
      <c r="C905" s="74"/>
      <c r="D905" s="74"/>
      <c r="E905" s="74"/>
      <c r="F905" s="74"/>
      <c r="G905" s="74"/>
      <c r="H905" s="74"/>
      <c r="I905" s="74"/>
      <c r="J905" s="74"/>
      <c r="K905" s="74"/>
      <c r="L905" s="74"/>
      <c r="M905" s="74"/>
      <c r="N905" s="74"/>
      <c r="O905" s="74"/>
      <c r="P905" s="74"/>
      <c r="Q905" s="74"/>
      <c r="R905" s="75"/>
      <c r="S905" s="74"/>
      <c r="T905" s="74"/>
      <c r="U905" s="74"/>
      <c r="V905" s="74"/>
      <c r="W905" s="74"/>
      <c r="X905" s="74"/>
      <c r="Y905" s="74"/>
      <c r="Z905" s="74"/>
      <c r="AA905" s="74"/>
      <c r="AB905" s="74"/>
      <c r="AC905" s="74"/>
      <c r="AD905" s="74"/>
      <c r="AE905" s="74"/>
      <c r="AF905" s="74"/>
      <c r="AG905" s="74"/>
      <c r="AH905" s="74"/>
      <c r="AI905" s="74"/>
      <c r="AJ905" s="74"/>
      <c r="AK905" s="74"/>
    </row>
    <row r="906">
      <c r="A906" s="74"/>
      <c r="B906" s="74"/>
      <c r="C906" s="74"/>
      <c r="D906" s="74"/>
      <c r="E906" s="74"/>
      <c r="F906" s="74"/>
      <c r="G906" s="74"/>
      <c r="H906" s="74"/>
      <c r="I906" s="74"/>
      <c r="J906" s="74"/>
      <c r="K906" s="74"/>
      <c r="L906" s="74"/>
      <c r="M906" s="74"/>
      <c r="N906" s="74"/>
      <c r="O906" s="74"/>
      <c r="P906" s="74"/>
      <c r="Q906" s="74"/>
      <c r="R906" s="75"/>
      <c r="S906" s="74"/>
      <c r="T906" s="74"/>
      <c r="U906" s="74"/>
      <c r="V906" s="74"/>
      <c r="W906" s="74"/>
      <c r="X906" s="74"/>
      <c r="Y906" s="74"/>
      <c r="Z906" s="74"/>
      <c r="AA906" s="74"/>
      <c r="AB906" s="74"/>
      <c r="AC906" s="74"/>
      <c r="AD906" s="74"/>
      <c r="AE906" s="74"/>
      <c r="AF906" s="74"/>
      <c r="AG906" s="74"/>
      <c r="AH906" s="74"/>
      <c r="AI906" s="74"/>
      <c r="AJ906" s="74"/>
      <c r="AK906" s="74"/>
    </row>
    <row r="907">
      <c r="A907" s="74"/>
      <c r="B907" s="74"/>
      <c r="C907" s="74"/>
      <c r="D907" s="74"/>
      <c r="E907" s="74"/>
      <c r="F907" s="74"/>
      <c r="G907" s="74"/>
      <c r="H907" s="74"/>
      <c r="I907" s="74"/>
      <c r="J907" s="74"/>
      <c r="K907" s="74"/>
      <c r="L907" s="74"/>
      <c r="M907" s="74"/>
      <c r="N907" s="74"/>
      <c r="O907" s="74"/>
      <c r="P907" s="74"/>
      <c r="Q907" s="74"/>
      <c r="R907" s="75"/>
      <c r="S907" s="74"/>
      <c r="T907" s="74"/>
      <c r="U907" s="74"/>
      <c r="V907" s="74"/>
      <c r="W907" s="74"/>
      <c r="X907" s="74"/>
      <c r="Y907" s="74"/>
      <c r="Z907" s="74"/>
      <c r="AA907" s="74"/>
      <c r="AB907" s="74"/>
      <c r="AC907" s="74"/>
      <c r="AD907" s="74"/>
      <c r="AE907" s="74"/>
      <c r="AF907" s="74"/>
      <c r="AG907" s="74"/>
      <c r="AH907" s="74"/>
      <c r="AI907" s="74"/>
      <c r="AJ907" s="74"/>
      <c r="AK907" s="74"/>
    </row>
    <row r="908">
      <c r="A908" s="74"/>
      <c r="B908" s="74"/>
      <c r="C908" s="74"/>
      <c r="D908" s="74"/>
      <c r="E908" s="74"/>
      <c r="F908" s="74"/>
      <c r="G908" s="74"/>
      <c r="H908" s="74"/>
      <c r="I908" s="74"/>
      <c r="J908" s="74"/>
      <c r="K908" s="74"/>
      <c r="L908" s="74"/>
      <c r="M908" s="74"/>
      <c r="N908" s="74"/>
      <c r="O908" s="74"/>
      <c r="P908" s="74"/>
      <c r="Q908" s="74"/>
      <c r="R908" s="75"/>
      <c r="S908" s="74"/>
      <c r="T908" s="74"/>
      <c r="U908" s="74"/>
      <c r="V908" s="74"/>
      <c r="W908" s="74"/>
      <c r="X908" s="74"/>
      <c r="Y908" s="74"/>
      <c r="Z908" s="74"/>
      <c r="AA908" s="74"/>
      <c r="AB908" s="74"/>
      <c r="AC908" s="74"/>
      <c r="AD908" s="74"/>
      <c r="AE908" s="74"/>
      <c r="AF908" s="74"/>
      <c r="AG908" s="74"/>
      <c r="AH908" s="74"/>
      <c r="AI908" s="74"/>
      <c r="AJ908" s="74"/>
      <c r="AK908" s="74"/>
    </row>
    <row r="909">
      <c r="A909" s="74"/>
      <c r="B909" s="74"/>
      <c r="C909" s="74"/>
      <c r="D909" s="74"/>
      <c r="E909" s="74"/>
      <c r="F909" s="74"/>
      <c r="G909" s="74"/>
      <c r="H909" s="74"/>
      <c r="I909" s="74"/>
      <c r="J909" s="74"/>
      <c r="K909" s="74"/>
      <c r="L909" s="74"/>
      <c r="M909" s="74"/>
      <c r="N909" s="74"/>
      <c r="O909" s="74"/>
      <c r="P909" s="74"/>
      <c r="Q909" s="74"/>
      <c r="R909" s="75"/>
      <c r="S909" s="74"/>
      <c r="T909" s="74"/>
      <c r="U909" s="74"/>
      <c r="V909" s="74"/>
      <c r="W909" s="74"/>
      <c r="X909" s="74"/>
      <c r="Y909" s="74"/>
      <c r="Z909" s="74"/>
      <c r="AA909" s="74"/>
      <c r="AB909" s="74"/>
      <c r="AC909" s="74"/>
      <c r="AD909" s="74"/>
      <c r="AE909" s="74"/>
      <c r="AF909" s="74"/>
      <c r="AG909" s="74"/>
      <c r="AH909" s="74"/>
      <c r="AI909" s="74"/>
      <c r="AJ909" s="74"/>
      <c r="AK909" s="74"/>
    </row>
    <row r="910">
      <c r="A910" s="74"/>
      <c r="B910" s="74"/>
      <c r="C910" s="74"/>
      <c r="D910" s="74"/>
      <c r="E910" s="74"/>
      <c r="F910" s="74"/>
      <c r="G910" s="74"/>
      <c r="H910" s="74"/>
      <c r="I910" s="74"/>
      <c r="J910" s="74"/>
      <c r="K910" s="74"/>
      <c r="L910" s="74"/>
      <c r="M910" s="74"/>
      <c r="N910" s="74"/>
      <c r="O910" s="74"/>
      <c r="P910" s="74"/>
      <c r="Q910" s="74"/>
      <c r="R910" s="75"/>
      <c r="S910" s="74"/>
      <c r="T910" s="74"/>
      <c r="U910" s="74"/>
      <c r="V910" s="74"/>
      <c r="W910" s="74"/>
      <c r="X910" s="74"/>
      <c r="Y910" s="74"/>
      <c r="Z910" s="74"/>
      <c r="AA910" s="74"/>
      <c r="AB910" s="74"/>
      <c r="AC910" s="74"/>
      <c r="AD910" s="74"/>
      <c r="AE910" s="74"/>
      <c r="AF910" s="74"/>
      <c r="AG910" s="74"/>
      <c r="AH910" s="74"/>
      <c r="AI910" s="74"/>
      <c r="AJ910" s="74"/>
      <c r="AK910" s="74"/>
    </row>
    <row r="911">
      <c r="A911" s="74"/>
      <c r="B911" s="74"/>
      <c r="C911" s="74"/>
      <c r="D911" s="74"/>
      <c r="E911" s="74"/>
      <c r="F911" s="74"/>
      <c r="G911" s="74"/>
      <c r="H911" s="74"/>
      <c r="I911" s="74"/>
      <c r="J911" s="74"/>
      <c r="K911" s="74"/>
      <c r="L911" s="74"/>
      <c r="M911" s="74"/>
      <c r="N911" s="74"/>
      <c r="O911" s="74"/>
      <c r="P911" s="74"/>
      <c r="Q911" s="74"/>
      <c r="R911" s="75"/>
      <c r="S911" s="74"/>
      <c r="T911" s="74"/>
      <c r="U911" s="74"/>
      <c r="V911" s="74"/>
      <c r="W911" s="74"/>
      <c r="X911" s="74"/>
      <c r="Y911" s="74"/>
      <c r="Z911" s="74"/>
      <c r="AA911" s="74"/>
      <c r="AB911" s="74"/>
      <c r="AC911" s="74"/>
      <c r="AD911" s="74"/>
      <c r="AE911" s="74"/>
      <c r="AF911" s="74"/>
      <c r="AG911" s="74"/>
      <c r="AH911" s="74"/>
      <c r="AI911" s="74"/>
      <c r="AJ911" s="74"/>
      <c r="AK911" s="74"/>
    </row>
    <row r="912">
      <c r="A912" s="74"/>
      <c r="B912" s="74"/>
      <c r="C912" s="74"/>
      <c r="D912" s="74"/>
      <c r="E912" s="74"/>
      <c r="F912" s="74"/>
      <c r="G912" s="74"/>
      <c r="H912" s="74"/>
      <c r="I912" s="74"/>
      <c r="J912" s="74"/>
      <c r="K912" s="74"/>
      <c r="L912" s="74"/>
      <c r="M912" s="74"/>
      <c r="N912" s="74"/>
      <c r="O912" s="74"/>
      <c r="P912" s="74"/>
      <c r="Q912" s="74"/>
      <c r="R912" s="75"/>
      <c r="S912" s="74"/>
      <c r="T912" s="74"/>
      <c r="U912" s="74"/>
      <c r="V912" s="74"/>
      <c r="W912" s="74"/>
      <c r="X912" s="74"/>
      <c r="Y912" s="74"/>
      <c r="Z912" s="74"/>
      <c r="AA912" s="74"/>
      <c r="AB912" s="74"/>
      <c r="AC912" s="74"/>
      <c r="AD912" s="74"/>
      <c r="AE912" s="74"/>
      <c r="AF912" s="74"/>
      <c r="AG912" s="74"/>
      <c r="AH912" s="74"/>
      <c r="AI912" s="74"/>
      <c r="AJ912" s="74"/>
      <c r="AK912" s="74"/>
    </row>
    <row r="913">
      <c r="A913" s="74"/>
      <c r="B913" s="74"/>
      <c r="C913" s="74"/>
      <c r="D913" s="74"/>
      <c r="E913" s="74"/>
      <c r="F913" s="74"/>
      <c r="G913" s="74"/>
      <c r="H913" s="74"/>
      <c r="I913" s="74"/>
      <c r="J913" s="74"/>
      <c r="K913" s="74"/>
      <c r="L913" s="74"/>
      <c r="M913" s="74"/>
      <c r="N913" s="74"/>
      <c r="O913" s="74"/>
      <c r="P913" s="74"/>
      <c r="Q913" s="74"/>
      <c r="R913" s="75"/>
      <c r="S913" s="74"/>
      <c r="T913" s="74"/>
      <c r="U913" s="74"/>
      <c r="V913" s="74"/>
      <c r="W913" s="74"/>
      <c r="X913" s="74"/>
      <c r="Y913" s="74"/>
      <c r="Z913" s="74"/>
      <c r="AA913" s="74"/>
      <c r="AB913" s="74"/>
      <c r="AC913" s="74"/>
      <c r="AD913" s="74"/>
      <c r="AE913" s="74"/>
      <c r="AF913" s="74"/>
      <c r="AG913" s="74"/>
      <c r="AH913" s="74"/>
      <c r="AI913" s="74"/>
      <c r="AJ913" s="74"/>
      <c r="AK913" s="74"/>
    </row>
    <row r="914">
      <c r="A914" s="74"/>
      <c r="B914" s="74"/>
      <c r="C914" s="74"/>
      <c r="D914" s="74"/>
      <c r="E914" s="74"/>
      <c r="F914" s="74"/>
      <c r="G914" s="74"/>
      <c r="H914" s="74"/>
      <c r="I914" s="74"/>
      <c r="J914" s="74"/>
      <c r="K914" s="74"/>
      <c r="L914" s="74"/>
      <c r="M914" s="74"/>
      <c r="N914" s="74"/>
      <c r="O914" s="74"/>
      <c r="P914" s="74"/>
      <c r="Q914" s="74"/>
      <c r="R914" s="75"/>
      <c r="S914" s="74"/>
      <c r="T914" s="74"/>
      <c r="U914" s="74"/>
      <c r="V914" s="74"/>
      <c r="W914" s="74"/>
      <c r="X914" s="74"/>
      <c r="Y914" s="74"/>
      <c r="Z914" s="74"/>
      <c r="AA914" s="74"/>
      <c r="AB914" s="74"/>
      <c r="AC914" s="74"/>
      <c r="AD914" s="74"/>
      <c r="AE914" s="74"/>
      <c r="AF914" s="74"/>
      <c r="AG914" s="74"/>
      <c r="AH914" s="74"/>
      <c r="AI914" s="74"/>
      <c r="AJ914" s="74"/>
      <c r="AK914" s="74"/>
    </row>
    <row r="915">
      <c r="A915" s="74"/>
      <c r="B915" s="74"/>
      <c r="C915" s="74"/>
      <c r="D915" s="74"/>
      <c r="E915" s="74"/>
      <c r="F915" s="74"/>
      <c r="G915" s="74"/>
      <c r="H915" s="74"/>
      <c r="I915" s="74"/>
      <c r="J915" s="74"/>
      <c r="K915" s="74"/>
      <c r="L915" s="74"/>
      <c r="M915" s="74"/>
      <c r="N915" s="74"/>
      <c r="O915" s="74"/>
      <c r="P915" s="74"/>
      <c r="Q915" s="74"/>
      <c r="R915" s="75"/>
      <c r="S915" s="74"/>
      <c r="T915" s="74"/>
      <c r="U915" s="74"/>
      <c r="V915" s="74"/>
      <c r="W915" s="74"/>
      <c r="X915" s="74"/>
      <c r="Y915" s="74"/>
      <c r="Z915" s="74"/>
      <c r="AA915" s="74"/>
      <c r="AB915" s="74"/>
      <c r="AC915" s="74"/>
      <c r="AD915" s="74"/>
      <c r="AE915" s="74"/>
      <c r="AF915" s="74"/>
      <c r="AG915" s="74"/>
      <c r="AH915" s="74"/>
      <c r="AI915" s="74"/>
      <c r="AJ915" s="74"/>
      <c r="AK915" s="74"/>
    </row>
    <row r="916">
      <c r="A916" s="74"/>
      <c r="B916" s="74"/>
      <c r="C916" s="74"/>
      <c r="D916" s="74"/>
      <c r="E916" s="74"/>
      <c r="F916" s="74"/>
      <c r="G916" s="74"/>
      <c r="H916" s="74"/>
      <c r="I916" s="74"/>
      <c r="J916" s="74"/>
      <c r="K916" s="74"/>
      <c r="L916" s="74"/>
      <c r="M916" s="74"/>
      <c r="N916" s="74"/>
      <c r="O916" s="74"/>
      <c r="P916" s="74"/>
      <c r="Q916" s="74"/>
      <c r="R916" s="75"/>
      <c r="S916" s="74"/>
      <c r="T916" s="74"/>
      <c r="U916" s="74"/>
      <c r="V916" s="74"/>
      <c r="W916" s="74"/>
      <c r="X916" s="74"/>
      <c r="Y916" s="74"/>
      <c r="Z916" s="74"/>
      <c r="AA916" s="74"/>
      <c r="AB916" s="74"/>
      <c r="AC916" s="74"/>
      <c r="AD916" s="74"/>
      <c r="AE916" s="74"/>
      <c r="AF916" s="74"/>
      <c r="AG916" s="74"/>
      <c r="AH916" s="74"/>
      <c r="AI916" s="74"/>
      <c r="AJ916" s="74"/>
      <c r="AK916" s="74"/>
    </row>
    <row r="917">
      <c r="A917" s="74"/>
      <c r="B917" s="74"/>
      <c r="C917" s="74"/>
      <c r="D917" s="74"/>
      <c r="E917" s="74"/>
      <c r="F917" s="74"/>
      <c r="G917" s="74"/>
      <c r="H917" s="74"/>
      <c r="I917" s="74"/>
      <c r="J917" s="74"/>
      <c r="K917" s="74"/>
      <c r="L917" s="74"/>
      <c r="M917" s="74"/>
      <c r="N917" s="74"/>
      <c r="O917" s="74"/>
      <c r="P917" s="74"/>
      <c r="Q917" s="74"/>
      <c r="R917" s="75"/>
      <c r="S917" s="74"/>
      <c r="T917" s="74"/>
      <c r="U917" s="74"/>
      <c r="V917" s="74"/>
      <c r="W917" s="74"/>
      <c r="X917" s="74"/>
      <c r="Y917" s="74"/>
      <c r="Z917" s="74"/>
      <c r="AA917" s="74"/>
      <c r="AB917" s="74"/>
      <c r="AC917" s="74"/>
      <c r="AD917" s="74"/>
      <c r="AE917" s="74"/>
      <c r="AF917" s="74"/>
      <c r="AG917" s="74"/>
      <c r="AH917" s="74"/>
      <c r="AI917" s="74"/>
      <c r="AJ917" s="74"/>
      <c r="AK917" s="74"/>
    </row>
    <row r="918">
      <c r="A918" s="74"/>
      <c r="B918" s="74"/>
      <c r="C918" s="74"/>
      <c r="D918" s="74"/>
      <c r="E918" s="74"/>
      <c r="F918" s="74"/>
      <c r="G918" s="74"/>
      <c r="H918" s="74"/>
      <c r="I918" s="74"/>
      <c r="J918" s="74"/>
      <c r="K918" s="74"/>
      <c r="L918" s="74"/>
      <c r="M918" s="74"/>
      <c r="N918" s="74"/>
      <c r="O918" s="74"/>
      <c r="P918" s="74"/>
      <c r="Q918" s="74"/>
      <c r="R918" s="75"/>
      <c r="S918" s="74"/>
      <c r="T918" s="74"/>
      <c r="U918" s="74"/>
      <c r="V918" s="74"/>
      <c r="W918" s="74"/>
      <c r="X918" s="74"/>
      <c r="Y918" s="74"/>
      <c r="Z918" s="74"/>
      <c r="AA918" s="74"/>
      <c r="AB918" s="74"/>
      <c r="AC918" s="74"/>
      <c r="AD918" s="74"/>
      <c r="AE918" s="74"/>
      <c r="AF918" s="74"/>
      <c r="AG918" s="74"/>
      <c r="AH918" s="74"/>
      <c r="AI918" s="74"/>
      <c r="AJ918" s="74"/>
      <c r="AK918" s="74"/>
    </row>
    <row r="919">
      <c r="A919" s="74"/>
      <c r="B919" s="74"/>
      <c r="C919" s="74"/>
      <c r="D919" s="74"/>
      <c r="E919" s="74"/>
      <c r="F919" s="74"/>
      <c r="G919" s="74"/>
      <c r="H919" s="74"/>
      <c r="I919" s="74"/>
      <c r="J919" s="74"/>
      <c r="K919" s="74"/>
      <c r="L919" s="74"/>
      <c r="M919" s="74"/>
      <c r="N919" s="74"/>
      <c r="O919" s="74"/>
      <c r="P919" s="74"/>
      <c r="Q919" s="74"/>
      <c r="R919" s="75"/>
      <c r="S919" s="74"/>
      <c r="T919" s="74"/>
      <c r="U919" s="74"/>
      <c r="V919" s="74"/>
      <c r="W919" s="74"/>
      <c r="X919" s="74"/>
      <c r="Y919" s="74"/>
      <c r="Z919" s="74"/>
      <c r="AA919" s="74"/>
      <c r="AB919" s="74"/>
      <c r="AC919" s="74"/>
      <c r="AD919" s="74"/>
      <c r="AE919" s="74"/>
      <c r="AF919" s="74"/>
      <c r="AG919" s="74"/>
      <c r="AH919" s="74"/>
      <c r="AI919" s="74"/>
      <c r="AJ919" s="74"/>
      <c r="AK919" s="74"/>
    </row>
    <row r="920">
      <c r="A920" s="74"/>
      <c r="B920" s="74"/>
      <c r="C920" s="74"/>
      <c r="D920" s="74"/>
      <c r="E920" s="74"/>
      <c r="F920" s="74"/>
      <c r="G920" s="74"/>
      <c r="H920" s="74"/>
      <c r="I920" s="74"/>
      <c r="J920" s="74"/>
      <c r="K920" s="74"/>
      <c r="L920" s="74"/>
      <c r="M920" s="74"/>
      <c r="N920" s="74"/>
      <c r="O920" s="74"/>
      <c r="P920" s="74"/>
      <c r="Q920" s="74"/>
      <c r="R920" s="75"/>
      <c r="S920" s="74"/>
      <c r="T920" s="74"/>
      <c r="U920" s="74"/>
      <c r="V920" s="74"/>
      <c r="W920" s="74"/>
      <c r="X920" s="74"/>
      <c r="Y920" s="74"/>
      <c r="Z920" s="74"/>
      <c r="AA920" s="74"/>
      <c r="AB920" s="74"/>
      <c r="AC920" s="74"/>
      <c r="AD920" s="74"/>
      <c r="AE920" s="74"/>
      <c r="AF920" s="74"/>
      <c r="AG920" s="74"/>
      <c r="AH920" s="74"/>
      <c r="AI920" s="74"/>
      <c r="AJ920" s="74"/>
      <c r="AK920" s="74"/>
    </row>
    <row r="921">
      <c r="A921" s="74"/>
      <c r="B921" s="74"/>
      <c r="C921" s="74"/>
      <c r="D921" s="74"/>
      <c r="E921" s="74"/>
      <c r="F921" s="74"/>
      <c r="G921" s="74"/>
      <c r="H921" s="74"/>
      <c r="I921" s="74"/>
      <c r="J921" s="74"/>
      <c r="K921" s="74"/>
      <c r="L921" s="74"/>
      <c r="M921" s="74"/>
      <c r="N921" s="74"/>
      <c r="O921" s="74"/>
      <c r="P921" s="74"/>
      <c r="Q921" s="74"/>
      <c r="R921" s="75"/>
      <c r="S921" s="74"/>
      <c r="T921" s="74"/>
      <c r="U921" s="74"/>
      <c r="V921" s="74"/>
      <c r="W921" s="74"/>
      <c r="X921" s="74"/>
      <c r="Y921" s="74"/>
      <c r="Z921" s="74"/>
      <c r="AA921" s="74"/>
      <c r="AB921" s="74"/>
      <c r="AC921" s="74"/>
      <c r="AD921" s="74"/>
      <c r="AE921" s="74"/>
      <c r="AF921" s="74"/>
      <c r="AG921" s="74"/>
      <c r="AH921" s="74"/>
      <c r="AI921" s="74"/>
      <c r="AJ921" s="74"/>
      <c r="AK921" s="74"/>
    </row>
    <row r="922">
      <c r="A922" s="74"/>
      <c r="B922" s="74"/>
      <c r="C922" s="74"/>
      <c r="D922" s="74"/>
      <c r="E922" s="74"/>
      <c r="F922" s="74"/>
      <c r="G922" s="74"/>
      <c r="H922" s="74"/>
      <c r="I922" s="74"/>
      <c r="J922" s="74"/>
      <c r="K922" s="74"/>
      <c r="L922" s="74"/>
      <c r="M922" s="74"/>
      <c r="N922" s="74"/>
      <c r="O922" s="74"/>
      <c r="P922" s="74"/>
      <c r="Q922" s="74"/>
      <c r="R922" s="75"/>
      <c r="S922" s="74"/>
      <c r="T922" s="74"/>
      <c r="U922" s="74"/>
      <c r="V922" s="74"/>
      <c r="W922" s="74"/>
      <c r="X922" s="74"/>
      <c r="Y922" s="74"/>
      <c r="Z922" s="74"/>
      <c r="AA922" s="74"/>
      <c r="AB922" s="74"/>
      <c r="AC922" s="74"/>
      <c r="AD922" s="74"/>
      <c r="AE922" s="74"/>
      <c r="AF922" s="74"/>
      <c r="AG922" s="74"/>
      <c r="AH922" s="74"/>
      <c r="AI922" s="74"/>
      <c r="AJ922" s="74"/>
      <c r="AK922" s="74"/>
    </row>
    <row r="923">
      <c r="A923" s="74"/>
      <c r="B923" s="74"/>
      <c r="C923" s="74"/>
      <c r="D923" s="74"/>
      <c r="E923" s="74"/>
      <c r="F923" s="74"/>
      <c r="G923" s="74"/>
      <c r="H923" s="74"/>
      <c r="I923" s="74"/>
      <c r="J923" s="74"/>
      <c r="K923" s="74"/>
      <c r="L923" s="74"/>
      <c r="M923" s="74"/>
      <c r="N923" s="74"/>
      <c r="O923" s="74"/>
      <c r="P923" s="74"/>
      <c r="Q923" s="74"/>
      <c r="R923" s="75"/>
      <c r="S923" s="74"/>
      <c r="T923" s="74"/>
      <c r="U923" s="74"/>
      <c r="V923" s="74"/>
      <c r="W923" s="74"/>
      <c r="X923" s="74"/>
      <c r="Y923" s="74"/>
      <c r="Z923" s="74"/>
      <c r="AA923" s="74"/>
      <c r="AB923" s="74"/>
      <c r="AC923" s="74"/>
      <c r="AD923" s="74"/>
      <c r="AE923" s="74"/>
      <c r="AF923" s="74"/>
      <c r="AG923" s="74"/>
      <c r="AH923" s="74"/>
      <c r="AI923" s="74"/>
      <c r="AJ923" s="74"/>
      <c r="AK923" s="74"/>
    </row>
    <row r="924">
      <c r="A924" s="74"/>
      <c r="B924" s="74"/>
      <c r="C924" s="74"/>
      <c r="D924" s="74"/>
      <c r="E924" s="74"/>
      <c r="F924" s="74"/>
      <c r="G924" s="74"/>
      <c r="H924" s="74"/>
      <c r="I924" s="74"/>
      <c r="J924" s="74"/>
      <c r="K924" s="74"/>
      <c r="L924" s="74"/>
      <c r="M924" s="74"/>
      <c r="N924" s="74"/>
      <c r="O924" s="74"/>
      <c r="P924" s="74"/>
      <c r="Q924" s="74"/>
      <c r="R924" s="75"/>
      <c r="S924" s="74"/>
      <c r="T924" s="74"/>
      <c r="U924" s="74"/>
      <c r="V924" s="74"/>
      <c r="W924" s="74"/>
      <c r="X924" s="74"/>
      <c r="Y924" s="74"/>
      <c r="Z924" s="74"/>
      <c r="AA924" s="74"/>
      <c r="AB924" s="74"/>
      <c r="AC924" s="74"/>
      <c r="AD924" s="74"/>
      <c r="AE924" s="74"/>
      <c r="AF924" s="74"/>
      <c r="AG924" s="74"/>
      <c r="AH924" s="74"/>
      <c r="AI924" s="74"/>
      <c r="AJ924" s="74"/>
      <c r="AK924" s="74"/>
    </row>
    <row r="925">
      <c r="A925" s="74"/>
      <c r="B925" s="74"/>
      <c r="C925" s="74"/>
      <c r="D925" s="74"/>
      <c r="E925" s="74"/>
      <c r="F925" s="74"/>
      <c r="G925" s="74"/>
      <c r="H925" s="74"/>
      <c r="I925" s="74"/>
      <c r="J925" s="74"/>
      <c r="K925" s="74"/>
      <c r="L925" s="74"/>
      <c r="M925" s="74"/>
      <c r="N925" s="74"/>
      <c r="O925" s="74"/>
      <c r="P925" s="74"/>
      <c r="Q925" s="74"/>
      <c r="R925" s="75"/>
      <c r="S925" s="74"/>
      <c r="T925" s="74"/>
      <c r="U925" s="74"/>
      <c r="V925" s="74"/>
      <c r="W925" s="74"/>
      <c r="X925" s="74"/>
      <c r="Y925" s="74"/>
      <c r="Z925" s="74"/>
      <c r="AA925" s="74"/>
      <c r="AB925" s="74"/>
      <c r="AC925" s="74"/>
      <c r="AD925" s="74"/>
      <c r="AE925" s="74"/>
      <c r="AF925" s="74"/>
      <c r="AG925" s="74"/>
      <c r="AH925" s="74"/>
      <c r="AI925" s="74"/>
      <c r="AJ925" s="74"/>
      <c r="AK925" s="74"/>
    </row>
    <row r="926">
      <c r="A926" s="74"/>
      <c r="B926" s="74"/>
      <c r="C926" s="74"/>
      <c r="D926" s="74"/>
      <c r="E926" s="74"/>
      <c r="F926" s="74"/>
      <c r="G926" s="74"/>
      <c r="H926" s="74"/>
      <c r="I926" s="74"/>
      <c r="J926" s="74"/>
      <c r="K926" s="74"/>
      <c r="L926" s="74"/>
      <c r="M926" s="74"/>
      <c r="N926" s="74"/>
      <c r="O926" s="74"/>
      <c r="P926" s="74"/>
      <c r="Q926" s="74"/>
      <c r="R926" s="75"/>
      <c r="S926" s="74"/>
      <c r="T926" s="74"/>
      <c r="U926" s="74"/>
      <c r="V926" s="74"/>
      <c r="W926" s="74"/>
      <c r="X926" s="74"/>
      <c r="Y926" s="74"/>
      <c r="Z926" s="74"/>
      <c r="AA926" s="74"/>
      <c r="AB926" s="74"/>
      <c r="AC926" s="74"/>
      <c r="AD926" s="74"/>
      <c r="AE926" s="74"/>
      <c r="AF926" s="74"/>
      <c r="AG926" s="74"/>
      <c r="AH926" s="74"/>
      <c r="AI926" s="74"/>
      <c r="AJ926" s="74"/>
      <c r="AK926" s="74"/>
    </row>
    <row r="927">
      <c r="A927" s="74"/>
      <c r="B927" s="74"/>
      <c r="C927" s="74"/>
      <c r="D927" s="74"/>
      <c r="E927" s="74"/>
      <c r="F927" s="74"/>
      <c r="G927" s="74"/>
      <c r="H927" s="74"/>
      <c r="I927" s="74"/>
      <c r="J927" s="74"/>
      <c r="K927" s="74"/>
      <c r="L927" s="74"/>
      <c r="M927" s="74"/>
      <c r="N927" s="74"/>
      <c r="O927" s="74"/>
      <c r="P927" s="74"/>
      <c r="Q927" s="74"/>
      <c r="R927" s="75"/>
      <c r="S927" s="74"/>
      <c r="T927" s="74"/>
      <c r="U927" s="74"/>
      <c r="V927" s="74"/>
      <c r="W927" s="74"/>
      <c r="X927" s="74"/>
      <c r="Y927" s="74"/>
      <c r="Z927" s="74"/>
      <c r="AA927" s="74"/>
      <c r="AB927" s="74"/>
      <c r="AC927" s="74"/>
      <c r="AD927" s="74"/>
      <c r="AE927" s="74"/>
      <c r="AF927" s="74"/>
      <c r="AG927" s="74"/>
      <c r="AH927" s="74"/>
      <c r="AI927" s="74"/>
      <c r="AJ927" s="74"/>
      <c r="AK927" s="74"/>
    </row>
    <row r="928">
      <c r="A928" s="74"/>
      <c r="B928" s="74"/>
      <c r="C928" s="74"/>
      <c r="D928" s="74"/>
      <c r="E928" s="74"/>
      <c r="F928" s="74"/>
      <c r="G928" s="74"/>
      <c r="H928" s="74"/>
      <c r="I928" s="74"/>
      <c r="J928" s="74"/>
      <c r="K928" s="74"/>
      <c r="L928" s="74"/>
      <c r="M928" s="74"/>
      <c r="N928" s="74"/>
      <c r="O928" s="74"/>
      <c r="P928" s="74"/>
      <c r="Q928" s="74"/>
      <c r="R928" s="75"/>
      <c r="S928" s="74"/>
      <c r="T928" s="74"/>
      <c r="U928" s="74"/>
      <c r="V928" s="74"/>
      <c r="W928" s="74"/>
      <c r="X928" s="74"/>
      <c r="Y928" s="74"/>
      <c r="Z928" s="74"/>
      <c r="AA928" s="74"/>
      <c r="AB928" s="74"/>
      <c r="AC928" s="74"/>
      <c r="AD928" s="74"/>
      <c r="AE928" s="74"/>
      <c r="AF928" s="74"/>
      <c r="AG928" s="74"/>
      <c r="AH928" s="74"/>
      <c r="AI928" s="74"/>
      <c r="AJ928" s="74"/>
      <c r="AK928" s="74"/>
    </row>
    <row r="929">
      <c r="A929" s="74"/>
      <c r="B929" s="74"/>
      <c r="C929" s="74"/>
      <c r="D929" s="74"/>
      <c r="E929" s="74"/>
      <c r="F929" s="74"/>
      <c r="G929" s="74"/>
      <c r="H929" s="74"/>
      <c r="I929" s="74"/>
      <c r="J929" s="74"/>
      <c r="K929" s="74"/>
      <c r="L929" s="74"/>
      <c r="M929" s="74"/>
      <c r="N929" s="74"/>
      <c r="O929" s="74"/>
      <c r="P929" s="74"/>
      <c r="Q929" s="74"/>
      <c r="R929" s="75"/>
      <c r="S929" s="74"/>
      <c r="T929" s="74"/>
      <c r="U929" s="74"/>
      <c r="V929" s="74"/>
      <c r="W929" s="74"/>
      <c r="X929" s="74"/>
      <c r="Y929" s="74"/>
      <c r="Z929" s="74"/>
      <c r="AA929" s="74"/>
      <c r="AB929" s="74"/>
      <c r="AC929" s="74"/>
      <c r="AD929" s="74"/>
      <c r="AE929" s="74"/>
      <c r="AF929" s="74"/>
      <c r="AG929" s="74"/>
      <c r="AH929" s="74"/>
      <c r="AI929" s="74"/>
      <c r="AJ929" s="74"/>
      <c r="AK929" s="74"/>
    </row>
    <row r="930">
      <c r="A930" s="74"/>
      <c r="B930" s="74"/>
      <c r="C930" s="74"/>
      <c r="D930" s="74"/>
      <c r="E930" s="74"/>
      <c r="F930" s="74"/>
      <c r="G930" s="74"/>
      <c r="H930" s="74"/>
      <c r="I930" s="74"/>
      <c r="J930" s="74"/>
      <c r="K930" s="74"/>
      <c r="L930" s="74"/>
      <c r="M930" s="74"/>
      <c r="N930" s="74"/>
      <c r="O930" s="74"/>
      <c r="P930" s="74"/>
      <c r="Q930" s="74"/>
      <c r="R930" s="75"/>
      <c r="S930" s="74"/>
      <c r="T930" s="74"/>
      <c r="U930" s="74"/>
      <c r="V930" s="74"/>
      <c r="W930" s="74"/>
      <c r="X930" s="74"/>
      <c r="Y930" s="74"/>
      <c r="Z930" s="74"/>
      <c r="AA930" s="74"/>
      <c r="AB930" s="74"/>
      <c r="AC930" s="74"/>
      <c r="AD930" s="74"/>
      <c r="AE930" s="74"/>
      <c r="AF930" s="74"/>
      <c r="AG930" s="74"/>
      <c r="AH930" s="74"/>
      <c r="AI930" s="74"/>
      <c r="AJ930" s="74"/>
      <c r="AK930" s="74"/>
    </row>
    <row r="931">
      <c r="A931" s="74"/>
      <c r="B931" s="74"/>
      <c r="C931" s="74"/>
      <c r="D931" s="74"/>
      <c r="E931" s="74"/>
      <c r="F931" s="74"/>
      <c r="G931" s="74"/>
      <c r="H931" s="74"/>
      <c r="I931" s="74"/>
      <c r="J931" s="74"/>
      <c r="K931" s="74"/>
      <c r="L931" s="74"/>
      <c r="M931" s="74"/>
      <c r="N931" s="74"/>
      <c r="O931" s="74"/>
      <c r="P931" s="74"/>
      <c r="Q931" s="74"/>
      <c r="R931" s="75"/>
      <c r="S931" s="74"/>
      <c r="T931" s="74"/>
      <c r="U931" s="74"/>
      <c r="V931" s="74"/>
      <c r="W931" s="74"/>
      <c r="X931" s="74"/>
      <c r="Y931" s="74"/>
      <c r="Z931" s="74"/>
      <c r="AA931" s="74"/>
      <c r="AB931" s="74"/>
      <c r="AC931" s="74"/>
      <c r="AD931" s="74"/>
      <c r="AE931" s="74"/>
      <c r="AF931" s="74"/>
      <c r="AG931" s="74"/>
      <c r="AH931" s="74"/>
      <c r="AI931" s="74"/>
      <c r="AJ931" s="74"/>
      <c r="AK931" s="74"/>
    </row>
    <row r="932">
      <c r="A932" s="74"/>
      <c r="B932" s="74"/>
      <c r="C932" s="74"/>
      <c r="D932" s="74"/>
      <c r="E932" s="74"/>
      <c r="F932" s="74"/>
      <c r="G932" s="74"/>
      <c r="H932" s="74"/>
      <c r="I932" s="74"/>
      <c r="J932" s="74"/>
      <c r="K932" s="74"/>
      <c r="L932" s="74"/>
      <c r="M932" s="74"/>
      <c r="N932" s="74"/>
      <c r="O932" s="74"/>
      <c r="P932" s="74"/>
      <c r="Q932" s="74"/>
      <c r="R932" s="75"/>
      <c r="S932" s="74"/>
      <c r="T932" s="74"/>
      <c r="U932" s="74"/>
      <c r="V932" s="74"/>
      <c r="W932" s="74"/>
      <c r="X932" s="74"/>
      <c r="Y932" s="74"/>
      <c r="Z932" s="74"/>
      <c r="AA932" s="74"/>
      <c r="AB932" s="74"/>
      <c r="AC932" s="74"/>
      <c r="AD932" s="74"/>
      <c r="AE932" s="74"/>
      <c r="AF932" s="74"/>
      <c r="AG932" s="74"/>
      <c r="AH932" s="74"/>
      <c r="AI932" s="74"/>
      <c r="AJ932" s="74"/>
      <c r="AK932" s="74"/>
    </row>
    <row r="933">
      <c r="A933" s="74"/>
      <c r="B933" s="74"/>
      <c r="C933" s="74"/>
      <c r="D933" s="74"/>
      <c r="E933" s="74"/>
      <c r="F933" s="74"/>
      <c r="G933" s="74"/>
      <c r="H933" s="74"/>
      <c r="I933" s="74"/>
      <c r="J933" s="74"/>
      <c r="K933" s="74"/>
      <c r="L933" s="74"/>
      <c r="M933" s="74"/>
      <c r="N933" s="74"/>
      <c r="O933" s="74"/>
      <c r="P933" s="74"/>
      <c r="Q933" s="74"/>
      <c r="R933" s="75"/>
      <c r="S933" s="74"/>
      <c r="T933" s="74"/>
      <c r="U933" s="74"/>
      <c r="V933" s="74"/>
      <c r="W933" s="74"/>
      <c r="X933" s="74"/>
      <c r="Y933" s="74"/>
      <c r="Z933" s="74"/>
      <c r="AA933" s="74"/>
      <c r="AB933" s="74"/>
      <c r="AC933" s="74"/>
      <c r="AD933" s="74"/>
      <c r="AE933" s="74"/>
      <c r="AF933" s="74"/>
      <c r="AG933" s="74"/>
      <c r="AH933" s="74"/>
      <c r="AI933" s="74"/>
      <c r="AJ933" s="74"/>
      <c r="AK933" s="74"/>
    </row>
    <row r="934">
      <c r="A934" s="74"/>
      <c r="B934" s="74"/>
      <c r="C934" s="74"/>
      <c r="D934" s="74"/>
      <c r="E934" s="74"/>
      <c r="F934" s="74"/>
      <c r="G934" s="74"/>
      <c r="H934" s="74"/>
      <c r="I934" s="74"/>
      <c r="J934" s="74"/>
      <c r="K934" s="74"/>
      <c r="L934" s="74"/>
      <c r="M934" s="74"/>
      <c r="N934" s="74"/>
      <c r="O934" s="74"/>
      <c r="P934" s="74"/>
      <c r="Q934" s="74"/>
      <c r="R934" s="75"/>
      <c r="S934" s="74"/>
      <c r="T934" s="74"/>
      <c r="U934" s="74"/>
      <c r="V934" s="74"/>
      <c r="W934" s="74"/>
      <c r="X934" s="74"/>
      <c r="Y934" s="74"/>
      <c r="Z934" s="74"/>
      <c r="AA934" s="74"/>
      <c r="AB934" s="74"/>
      <c r="AC934" s="74"/>
      <c r="AD934" s="74"/>
      <c r="AE934" s="74"/>
      <c r="AF934" s="74"/>
      <c r="AG934" s="74"/>
      <c r="AH934" s="74"/>
      <c r="AI934" s="74"/>
      <c r="AJ934" s="74"/>
      <c r="AK934" s="74"/>
    </row>
    <row r="935">
      <c r="A935" s="74"/>
      <c r="B935" s="74"/>
      <c r="C935" s="74"/>
      <c r="D935" s="74"/>
      <c r="E935" s="74"/>
      <c r="F935" s="74"/>
      <c r="G935" s="74"/>
      <c r="H935" s="74"/>
      <c r="I935" s="74"/>
      <c r="J935" s="74"/>
      <c r="K935" s="74"/>
      <c r="L935" s="74"/>
      <c r="M935" s="74"/>
      <c r="N935" s="74"/>
      <c r="O935" s="74"/>
      <c r="P935" s="74"/>
      <c r="Q935" s="74"/>
      <c r="R935" s="75"/>
      <c r="S935" s="74"/>
      <c r="T935" s="74"/>
      <c r="U935" s="74"/>
      <c r="V935" s="74"/>
      <c r="W935" s="74"/>
      <c r="X935" s="74"/>
      <c r="Y935" s="74"/>
      <c r="Z935" s="74"/>
      <c r="AA935" s="74"/>
      <c r="AB935" s="74"/>
      <c r="AC935" s="74"/>
      <c r="AD935" s="74"/>
      <c r="AE935" s="74"/>
      <c r="AF935" s="74"/>
      <c r="AG935" s="74"/>
      <c r="AH935" s="74"/>
      <c r="AI935" s="74"/>
      <c r="AJ935" s="74"/>
      <c r="AK935" s="74"/>
    </row>
    <row r="936">
      <c r="A936" s="74"/>
      <c r="B936" s="74"/>
      <c r="C936" s="74"/>
      <c r="D936" s="74"/>
      <c r="E936" s="74"/>
      <c r="F936" s="74"/>
      <c r="G936" s="74"/>
      <c r="H936" s="74"/>
      <c r="I936" s="74"/>
      <c r="J936" s="74"/>
      <c r="K936" s="74"/>
      <c r="L936" s="74"/>
      <c r="M936" s="74"/>
      <c r="N936" s="74"/>
      <c r="O936" s="74"/>
      <c r="P936" s="74"/>
      <c r="Q936" s="74"/>
      <c r="R936" s="75"/>
      <c r="S936" s="74"/>
      <c r="T936" s="74"/>
      <c r="U936" s="74"/>
      <c r="V936" s="74"/>
      <c r="W936" s="74"/>
      <c r="X936" s="74"/>
      <c r="Y936" s="74"/>
      <c r="Z936" s="74"/>
      <c r="AA936" s="74"/>
      <c r="AB936" s="74"/>
      <c r="AC936" s="74"/>
      <c r="AD936" s="74"/>
      <c r="AE936" s="74"/>
      <c r="AF936" s="74"/>
      <c r="AG936" s="74"/>
      <c r="AH936" s="74"/>
      <c r="AI936" s="74"/>
      <c r="AJ936" s="74"/>
      <c r="AK936" s="74"/>
    </row>
    <row r="937">
      <c r="A937" s="74"/>
      <c r="B937" s="74"/>
      <c r="C937" s="74"/>
      <c r="D937" s="74"/>
      <c r="E937" s="74"/>
      <c r="F937" s="74"/>
      <c r="G937" s="74"/>
      <c r="H937" s="74"/>
      <c r="I937" s="74"/>
      <c r="J937" s="74"/>
      <c r="K937" s="74"/>
      <c r="L937" s="74"/>
      <c r="M937" s="74"/>
      <c r="N937" s="74"/>
      <c r="O937" s="74"/>
      <c r="P937" s="74"/>
      <c r="Q937" s="74"/>
      <c r="R937" s="75"/>
      <c r="S937" s="74"/>
      <c r="T937" s="74"/>
      <c r="U937" s="74"/>
      <c r="V937" s="74"/>
      <c r="W937" s="74"/>
      <c r="X937" s="74"/>
      <c r="Y937" s="74"/>
      <c r="Z937" s="74"/>
      <c r="AA937" s="74"/>
      <c r="AB937" s="74"/>
      <c r="AC937" s="74"/>
      <c r="AD937" s="74"/>
      <c r="AE937" s="74"/>
      <c r="AF937" s="74"/>
      <c r="AG937" s="74"/>
      <c r="AH937" s="74"/>
      <c r="AI937" s="74"/>
      <c r="AJ937" s="74"/>
      <c r="AK937" s="74"/>
    </row>
    <row r="938">
      <c r="A938" s="74"/>
      <c r="B938" s="74"/>
      <c r="C938" s="74"/>
      <c r="D938" s="74"/>
      <c r="E938" s="74"/>
      <c r="F938" s="74"/>
      <c r="G938" s="74"/>
      <c r="H938" s="74"/>
      <c r="I938" s="74"/>
      <c r="J938" s="74"/>
      <c r="K938" s="74"/>
      <c r="L938" s="74"/>
      <c r="M938" s="74"/>
      <c r="N938" s="74"/>
      <c r="O938" s="74"/>
      <c r="P938" s="74"/>
      <c r="Q938" s="74"/>
      <c r="R938" s="75"/>
      <c r="S938" s="74"/>
      <c r="T938" s="74"/>
      <c r="U938" s="74"/>
      <c r="V938" s="74"/>
      <c r="W938" s="74"/>
      <c r="X938" s="74"/>
      <c r="Y938" s="74"/>
      <c r="Z938" s="74"/>
      <c r="AA938" s="74"/>
      <c r="AB938" s="74"/>
      <c r="AC938" s="74"/>
      <c r="AD938" s="74"/>
      <c r="AE938" s="74"/>
      <c r="AF938" s="74"/>
      <c r="AG938" s="74"/>
      <c r="AH938" s="74"/>
      <c r="AI938" s="74"/>
      <c r="AJ938" s="74"/>
      <c r="AK938" s="74"/>
    </row>
    <row r="939">
      <c r="A939" s="74"/>
      <c r="B939" s="74"/>
      <c r="C939" s="74"/>
      <c r="D939" s="74"/>
      <c r="E939" s="74"/>
      <c r="F939" s="74"/>
      <c r="G939" s="74"/>
      <c r="H939" s="74"/>
      <c r="I939" s="74"/>
      <c r="J939" s="74"/>
      <c r="K939" s="74"/>
      <c r="L939" s="74"/>
      <c r="M939" s="74"/>
      <c r="N939" s="74"/>
      <c r="O939" s="74"/>
      <c r="P939" s="74"/>
      <c r="Q939" s="74"/>
      <c r="R939" s="75"/>
      <c r="S939" s="74"/>
      <c r="T939" s="74"/>
      <c r="U939" s="74"/>
      <c r="V939" s="74"/>
      <c r="W939" s="74"/>
      <c r="X939" s="74"/>
      <c r="Y939" s="74"/>
      <c r="Z939" s="74"/>
      <c r="AA939" s="74"/>
      <c r="AB939" s="74"/>
      <c r="AC939" s="74"/>
      <c r="AD939" s="74"/>
      <c r="AE939" s="74"/>
      <c r="AF939" s="74"/>
      <c r="AG939" s="74"/>
      <c r="AH939" s="74"/>
      <c r="AI939" s="74"/>
      <c r="AJ939" s="74"/>
      <c r="AK939" s="74"/>
    </row>
    <row r="940">
      <c r="A940" s="74"/>
      <c r="B940" s="74"/>
      <c r="C940" s="74"/>
      <c r="D940" s="74"/>
      <c r="E940" s="74"/>
      <c r="F940" s="74"/>
      <c r="G940" s="74"/>
      <c r="H940" s="74"/>
      <c r="I940" s="74"/>
      <c r="J940" s="74"/>
      <c r="K940" s="74"/>
      <c r="L940" s="74"/>
      <c r="M940" s="74"/>
      <c r="N940" s="74"/>
      <c r="O940" s="74"/>
      <c r="P940" s="74"/>
      <c r="Q940" s="74"/>
      <c r="R940" s="75"/>
      <c r="S940" s="74"/>
      <c r="T940" s="74"/>
      <c r="U940" s="74"/>
      <c r="V940" s="74"/>
      <c r="W940" s="74"/>
      <c r="X940" s="74"/>
      <c r="Y940" s="74"/>
      <c r="Z940" s="74"/>
      <c r="AA940" s="74"/>
      <c r="AB940" s="74"/>
      <c r="AC940" s="74"/>
      <c r="AD940" s="74"/>
      <c r="AE940" s="74"/>
      <c r="AF940" s="74"/>
      <c r="AG940" s="74"/>
      <c r="AH940" s="74"/>
      <c r="AI940" s="74"/>
      <c r="AJ940" s="74"/>
      <c r="AK940" s="74"/>
    </row>
    <row r="941">
      <c r="A941" s="74"/>
      <c r="B941" s="74"/>
      <c r="C941" s="74"/>
      <c r="D941" s="74"/>
      <c r="E941" s="74"/>
      <c r="F941" s="74"/>
      <c r="G941" s="74"/>
      <c r="H941" s="74"/>
      <c r="I941" s="74"/>
      <c r="J941" s="74"/>
      <c r="K941" s="74"/>
      <c r="L941" s="74"/>
      <c r="M941" s="74"/>
      <c r="N941" s="74"/>
      <c r="O941" s="74"/>
      <c r="P941" s="74"/>
      <c r="Q941" s="74"/>
      <c r="R941" s="75"/>
      <c r="S941" s="74"/>
      <c r="T941" s="74"/>
      <c r="U941" s="74"/>
      <c r="V941" s="74"/>
      <c r="W941" s="74"/>
      <c r="X941" s="74"/>
      <c r="Y941" s="74"/>
      <c r="Z941" s="74"/>
      <c r="AA941" s="74"/>
      <c r="AB941" s="74"/>
      <c r="AC941" s="74"/>
      <c r="AD941" s="74"/>
      <c r="AE941" s="74"/>
      <c r="AF941" s="74"/>
      <c r="AG941" s="74"/>
      <c r="AH941" s="74"/>
      <c r="AI941" s="74"/>
      <c r="AJ941" s="74"/>
      <c r="AK941" s="74"/>
    </row>
    <row r="942">
      <c r="A942" s="74"/>
      <c r="B942" s="74"/>
      <c r="C942" s="74"/>
      <c r="D942" s="74"/>
      <c r="E942" s="74"/>
      <c r="F942" s="74"/>
      <c r="G942" s="74"/>
      <c r="H942" s="74"/>
      <c r="I942" s="74"/>
      <c r="J942" s="74"/>
      <c r="K942" s="74"/>
      <c r="L942" s="74"/>
      <c r="M942" s="74"/>
      <c r="N942" s="74"/>
      <c r="O942" s="74"/>
      <c r="P942" s="74"/>
      <c r="Q942" s="74"/>
      <c r="R942" s="75"/>
      <c r="S942" s="74"/>
      <c r="T942" s="74"/>
      <c r="U942" s="74"/>
      <c r="V942" s="74"/>
      <c r="W942" s="74"/>
      <c r="X942" s="74"/>
      <c r="Y942" s="74"/>
      <c r="Z942" s="74"/>
      <c r="AA942" s="74"/>
      <c r="AB942" s="74"/>
      <c r="AC942" s="74"/>
      <c r="AD942" s="74"/>
      <c r="AE942" s="74"/>
      <c r="AF942" s="74"/>
      <c r="AG942" s="74"/>
      <c r="AH942" s="74"/>
      <c r="AI942" s="74"/>
      <c r="AJ942" s="74"/>
      <c r="AK942" s="74"/>
    </row>
    <row r="943">
      <c r="A943" s="74"/>
      <c r="B943" s="74"/>
      <c r="C943" s="74"/>
      <c r="D943" s="74"/>
      <c r="E943" s="74"/>
      <c r="F943" s="74"/>
      <c r="G943" s="74"/>
      <c r="H943" s="74"/>
      <c r="I943" s="74"/>
      <c r="J943" s="74"/>
      <c r="K943" s="74"/>
      <c r="L943" s="74"/>
      <c r="M943" s="74"/>
      <c r="N943" s="74"/>
      <c r="O943" s="74"/>
      <c r="P943" s="74"/>
      <c r="Q943" s="74"/>
      <c r="R943" s="75"/>
      <c r="S943" s="74"/>
      <c r="T943" s="74"/>
      <c r="U943" s="74"/>
      <c r="V943" s="74"/>
      <c r="W943" s="74"/>
      <c r="X943" s="74"/>
      <c r="Y943" s="74"/>
      <c r="Z943" s="74"/>
      <c r="AA943" s="74"/>
      <c r="AB943" s="74"/>
      <c r="AC943" s="74"/>
      <c r="AD943" s="74"/>
      <c r="AE943" s="74"/>
      <c r="AF943" s="74"/>
      <c r="AG943" s="74"/>
      <c r="AH943" s="74"/>
      <c r="AI943" s="74"/>
      <c r="AJ943" s="74"/>
      <c r="AK943" s="74"/>
    </row>
    <row r="944">
      <c r="A944" s="74"/>
      <c r="B944" s="74"/>
      <c r="C944" s="74"/>
      <c r="D944" s="74"/>
      <c r="E944" s="74"/>
      <c r="F944" s="74"/>
      <c r="G944" s="74"/>
      <c r="H944" s="74"/>
      <c r="I944" s="74"/>
      <c r="J944" s="74"/>
      <c r="K944" s="74"/>
      <c r="L944" s="74"/>
      <c r="M944" s="74"/>
      <c r="N944" s="74"/>
      <c r="O944" s="74"/>
      <c r="P944" s="74"/>
      <c r="Q944" s="74"/>
      <c r="R944" s="75"/>
      <c r="S944" s="74"/>
      <c r="T944" s="74"/>
      <c r="U944" s="74"/>
      <c r="V944" s="74"/>
      <c r="W944" s="74"/>
      <c r="X944" s="74"/>
      <c r="Y944" s="74"/>
      <c r="Z944" s="74"/>
      <c r="AA944" s="74"/>
      <c r="AB944" s="74"/>
      <c r="AC944" s="74"/>
      <c r="AD944" s="74"/>
      <c r="AE944" s="74"/>
      <c r="AF944" s="74"/>
      <c r="AG944" s="74"/>
      <c r="AH944" s="74"/>
      <c r="AI944" s="74"/>
      <c r="AJ944" s="74"/>
      <c r="AK944" s="74"/>
    </row>
    <row r="945">
      <c r="A945" s="74"/>
      <c r="B945" s="74"/>
      <c r="C945" s="74"/>
      <c r="D945" s="74"/>
      <c r="E945" s="74"/>
      <c r="F945" s="74"/>
      <c r="G945" s="74"/>
      <c r="H945" s="74"/>
      <c r="I945" s="74"/>
      <c r="J945" s="74"/>
      <c r="K945" s="74"/>
      <c r="L945" s="74"/>
      <c r="M945" s="74"/>
      <c r="N945" s="74"/>
      <c r="O945" s="74"/>
      <c r="P945" s="74"/>
      <c r="Q945" s="74"/>
      <c r="R945" s="75"/>
      <c r="S945" s="74"/>
      <c r="T945" s="74"/>
      <c r="U945" s="74"/>
      <c r="V945" s="74"/>
      <c r="W945" s="74"/>
      <c r="X945" s="74"/>
      <c r="Y945" s="74"/>
      <c r="Z945" s="74"/>
      <c r="AA945" s="74"/>
      <c r="AB945" s="74"/>
      <c r="AC945" s="74"/>
      <c r="AD945" s="74"/>
      <c r="AE945" s="74"/>
      <c r="AF945" s="74"/>
      <c r="AG945" s="74"/>
      <c r="AH945" s="74"/>
      <c r="AI945" s="74"/>
      <c r="AJ945" s="74"/>
      <c r="AK945" s="74"/>
    </row>
    <row r="946">
      <c r="A946" s="74"/>
      <c r="B946" s="74"/>
      <c r="C946" s="74"/>
      <c r="D946" s="74"/>
      <c r="E946" s="74"/>
      <c r="F946" s="74"/>
      <c r="G946" s="74"/>
      <c r="H946" s="74"/>
      <c r="I946" s="74"/>
      <c r="J946" s="74"/>
      <c r="K946" s="74"/>
      <c r="L946" s="74"/>
      <c r="M946" s="74"/>
      <c r="N946" s="74"/>
      <c r="O946" s="74"/>
      <c r="P946" s="74"/>
      <c r="Q946" s="74"/>
      <c r="R946" s="75"/>
      <c r="S946" s="74"/>
      <c r="T946" s="74"/>
      <c r="U946" s="74"/>
      <c r="V946" s="74"/>
      <c r="W946" s="74"/>
      <c r="X946" s="74"/>
      <c r="Y946" s="74"/>
      <c r="Z946" s="74"/>
      <c r="AA946" s="74"/>
      <c r="AB946" s="74"/>
      <c r="AC946" s="74"/>
      <c r="AD946" s="74"/>
      <c r="AE946" s="74"/>
      <c r="AF946" s="74"/>
      <c r="AG946" s="74"/>
      <c r="AH946" s="74"/>
      <c r="AI946" s="74"/>
      <c r="AJ946" s="74"/>
      <c r="AK946" s="74"/>
    </row>
    <row r="947">
      <c r="A947" s="74"/>
      <c r="B947" s="74"/>
      <c r="C947" s="74"/>
      <c r="D947" s="74"/>
      <c r="E947" s="74"/>
      <c r="F947" s="74"/>
      <c r="G947" s="74"/>
      <c r="H947" s="74"/>
      <c r="I947" s="74"/>
      <c r="J947" s="74"/>
      <c r="K947" s="74"/>
      <c r="L947" s="74"/>
      <c r="M947" s="74"/>
      <c r="N947" s="74"/>
      <c r="O947" s="74"/>
      <c r="P947" s="74"/>
      <c r="Q947" s="74"/>
      <c r="R947" s="75"/>
      <c r="S947" s="74"/>
      <c r="T947" s="74"/>
      <c r="U947" s="74"/>
      <c r="V947" s="74"/>
      <c r="W947" s="74"/>
      <c r="X947" s="74"/>
      <c r="Y947" s="74"/>
      <c r="Z947" s="74"/>
      <c r="AA947" s="74"/>
      <c r="AB947" s="74"/>
      <c r="AC947" s="74"/>
      <c r="AD947" s="74"/>
      <c r="AE947" s="74"/>
      <c r="AF947" s="74"/>
      <c r="AG947" s="74"/>
      <c r="AH947" s="74"/>
      <c r="AI947" s="74"/>
      <c r="AJ947" s="74"/>
      <c r="AK947" s="74"/>
    </row>
    <row r="948">
      <c r="A948" s="74"/>
      <c r="B948" s="74"/>
      <c r="C948" s="74"/>
      <c r="D948" s="74"/>
      <c r="E948" s="74"/>
      <c r="F948" s="74"/>
      <c r="G948" s="74"/>
      <c r="H948" s="74"/>
      <c r="I948" s="74"/>
      <c r="J948" s="74"/>
      <c r="K948" s="74"/>
      <c r="L948" s="74"/>
      <c r="M948" s="74"/>
      <c r="N948" s="74"/>
      <c r="O948" s="74"/>
      <c r="P948" s="74"/>
      <c r="Q948" s="74"/>
      <c r="R948" s="75"/>
      <c r="S948" s="74"/>
      <c r="T948" s="74"/>
      <c r="U948" s="74"/>
      <c r="V948" s="74"/>
      <c r="W948" s="74"/>
      <c r="X948" s="74"/>
      <c r="Y948" s="74"/>
      <c r="Z948" s="74"/>
      <c r="AA948" s="74"/>
      <c r="AB948" s="74"/>
      <c r="AC948" s="74"/>
      <c r="AD948" s="74"/>
      <c r="AE948" s="74"/>
      <c r="AF948" s="74"/>
      <c r="AG948" s="74"/>
      <c r="AH948" s="74"/>
      <c r="AI948" s="74"/>
      <c r="AJ948" s="74"/>
      <c r="AK948" s="74"/>
    </row>
    <row r="949">
      <c r="A949" s="74"/>
      <c r="B949" s="74"/>
      <c r="C949" s="74"/>
      <c r="D949" s="74"/>
      <c r="E949" s="74"/>
      <c r="F949" s="74"/>
      <c r="G949" s="74"/>
      <c r="H949" s="74"/>
      <c r="I949" s="74"/>
      <c r="J949" s="74"/>
      <c r="K949" s="74"/>
      <c r="L949" s="74"/>
      <c r="M949" s="74"/>
      <c r="N949" s="74"/>
      <c r="O949" s="74"/>
      <c r="P949" s="74"/>
      <c r="Q949" s="74"/>
      <c r="R949" s="75"/>
      <c r="S949" s="74"/>
      <c r="T949" s="74"/>
      <c r="U949" s="74"/>
      <c r="V949" s="74"/>
      <c r="W949" s="74"/>
      <c r="X949" s="74"/>
      <c r="Y949" s="74"/>
      <c r="Z949" s="74"/>
      <c r="AA949" s="74"/>
      <c r="AB949" s="74"/>
      <c r="AC949" s="74"/>
      <c r="AD949" s="74"/>
      <c r="AE949" s="74"/>
      <c r="AF949" s="74"/>
      <c r="AG949" s="74"/>
      <c r="AH949" s="74"/>
      <c r="AI949" s="74"/>
      <c r="AJ949" s="74"/>
      <c r="AK949" s="74"/>
    </row>
    <row r="950">
      <c r="A950" s="74"/>
      <c r="B950" s="74"/>
      <c r="C950" s="74"/>
      <c r="D950" s="74"/>
      <c r="E950" s="74"/>
      <c r="F950" s="74"/>
      <c r="G950" s="74"/>
      <c r="H950" s="74"/>
      <c r="I950" s="74"/>
      <c r="J950" s="74"/>
      <c r="K950" s="74"/>
      <c r="L950" s="74"/>
      <c r="M950" s="74"/>
      <c r="N950" s="74"/>
      <c r="O950" s="74"/>
      <c r="P950" s="74"/>
      <c r="Q950" s="74"/>
      <c r="R950" s="75"/>
      <c r="S950" s="74"/>
      <c r="T950" s="74"/>
      <c r="U950" s="74"/>
      <c r="V950" s="74"/>
      <c r="W950" s="74"/>
      <c r="X950" s="74"/>
      <c r="Y950" s="74"/>
      <c r="Z950" s="74"/>
      <c r="AA950" s="74"/>
      <c r="AB950" s="74"/>
      <c r="AC950" s="74"/>
      <c r="AD950" s="74"/>
      <c r="AE950" s="74"/>
      <c r="AF950" s="74"/>
      <c r="AG950" s="74"/>
      <c r="AH950" s="74"/>
      <c r="AI950" s="74"/>
      <c r="AJ950" s="74"/>
      <c r="AK950" s="74"/>
    </row>
    <row r="951">
      <c r="A951" s="74"/>
      <c r="B951" s="74"/>
      <c r="C951" s="74"/>
      <c r="D951" s="74"/>
      <c r="E951" s="74"/>
      <c r="F951" s="74"/>
      <c r="G951" s="74"/>
      <c r="H951" s="74"/>
      <c r="I951" s="74"/>
      <c r="J951" s="74"/>
      <c r="K951" s="74"/>
      <c r="L951" s="74"/>
      <c r="M951" s="74"/>
      <c r="N951" s="74"/>
      <c r="O951" s="74"/>
      <c r="P951" s="74"/>
      <c r="Q951" s="74"/>
      <c r="R951" s="75"/>
      <c r="S951" s="74"/>
      <c r="T951" s="74"/>
      <c r="U951" s="74"/>
      <c r="V951" s="74"/>
      <c r="W951" s="74"/>
      <c r="X951" s="74"/>
      <c r="Y951" s="74"/>
      <c r="Z951" s="74"/>
      <c r="AA951" s="74"/>
      <c r="AB951" s="74"/>
      <c r="AC951" s="74"/>
      <c r="AD951" s="74"/>
      <c r="AE951" s="74"/>
      <c r="AF951" s="74"/>
      <c r="AG951" s="74"/>
      <c r="AH951" s="74"/>
      <c r="AI951" s="74"/>
      <c r="AJ951" s="74"/>
      <c r="AK951" s="74"/>
    </row>
    <row r="952">
      <c r="A952" s="74"/>
      <c r="B952" s="74"/>
      <c r="C952" s="74"/>
      <c r="D952" s="74"/>
      <c r="E952" s="74"/>
      <c r="F952" s="74"/>
      <c r="G952" s="74"/>
      <c r="H952" s="74"/>
      <c r="I952" s="74"/>
      <c r="J952" s="74"/>
      <c r="K952" s="74"/>
      <c r="L952" s="74"/>
      <c r="M952" s="74"/>
      <c r="N952" s="74"/>
      <c r="O952" s="74"/>
      <c r="P952" s="74"/>
      <c r="Q952" s="74"/>
      <c r="R952" s="75"/>
      <c r="S952" s="74"/>
      <c r="T952" s="74"/>
      <c r="U952" s="74"/>
      <c r="V952" s="74"/>
      <c r="W952" s="74"/>
      <c r="X952" s="74"/>
      <c r="Y952" s="74"/>
      <c r="Z952" s="74"/>
      <c r="AA952" s="74"/>
      <c r="AB952" s="74"/>
      <c r="AC952" s="74"/>
      <c r="AD952" s="74"/>
      <c r="AE952" s="74"/>
      <c r="AF952" s="74"/>
      <c r="AG952" s="74"/>
      <c r="AH952" s="74"/>
      <c r="AI952" s="74"/>
      <c r="AJ952" s="74"/>
      <c r="AK952" s="74"/>
    </row>
    <row r="953">
      <c r="A953" s="74"/>
      <c r="B953" s="74"/>
      <c r="C953" s="74"/>
      <c r="D953" s="74"/>
      <c r="E953" s="74"/>
      <c r="F953" s="74"/>
      <c r="G953" s="74"/>
      <c r="H953" s="74"/>
      <c r="I953" s="74"/>
      <c r="J953" s="74"/>
      <c r="K953" s="74"/>
      <c r="L953" s="74"/>
      <c r="M953" s="74"/>
      <c r="N953" s="74"/>
      <c r="O953" s="74"/>
      <c r="P953" s="74"/>
      <c r="Q953" s="74"/>
      <c r="R953" s="75"/>
      <c r="S953" s="74"/>
      <c r="T953" s="74"/>
      <c r="U953" s="74"/>
      <c r="V953" s="74"/>
      <c r="W953" s="74"/>
      <c r="X953" s="74"/>
      <c r="Y953" s="74"/>
      <c r="Z953" s="74"/>
      <c r="AA953" s="74"/>
      <c r="AB953" s="74"/>
      <c r="AC953" s="74"/>
      <c r="AD953" s="74"/>
      <c r="AE953" s="74"/>
      <c r="AF953" s="74"/>
      <c r="AG953" s="74"/>
      <c r="AH953" s="74"/>
      <c r="AI953" s="74"/>
      <c r="AJ953" s="74"/>
      <c r="AK953" s="74"/>
    </row>
    <row r="954">
      <c r="A954" s="74"/>
      <c r="B954" s="74"/>
      <c r="C954" s="74"/>
      <c r="D954" s="74"/>
      <c r="E954" s="74"/>
      <c r="F954" s="74"/>
      <c r="G954" s="74"/>
      <c r="H954" s="74"/>
      <c r="I954" s="74"/>
      <c r="J954" s="74"/>
      <c r="K954" s="74"/>
      <c r="L954" s="74"/>
      <c r="M954" s="74"/>
      <c r="N954" s="74"/>
      <c r="O954" s="74"/>
      <c r="P954" s="74"/>
      <c r="Q954" s="74"/>
      <c r="R954" s="75"/>
      <c r="S954" s="74"/>
      <c r="T954" s="74"/>
      <c r="U954" s="74"/>
      <c r="V954" s="74"/>
      <c r="W954" s="74"/>
      <c r="X954" s="74"/>
      <c r="Y954" s="74"/>
      <c r="Z954" s="74"/>
      <c r="AA954" s="74"/>
      <c r="AB954" s="74"/>
      <c r="AC954" s="74"/>
      <c r="AD954" s="74"/>
      <c r="AE954" s="74"/>
      <c r="AF954" s="74"/>
      <c r="AG954" s="74"/>
      <c r="AH954" s="74"/>
      <c r="AI954" s="74"/>
      <c r="AJ954" s="74"/>
      <c r="AK954" s="74"/>
    </row>
    <row r="955">
      <c r="A955" s="74"/>
      <c r="B955" s="74"/>
      <c r="C955" s="74"/>
      <c r="D955" s="74"/>
      <c r="E955" s="74"/>
      <c r="F955" s="74"/>
      <c r="G955" s="74"/>
      <c r="H955" s="74"/>
      <c r="I955" s="74"/>
      <c r="J955" s="74"/>
      <c r="K955" s="74"/>
      <c r="L955" s="74"/>
      <c r="M955" s="74"/>
      <c r="N955" s="74"/>
      <c r="O955" s="74"/>
      <c r="P955" s="74"/>
      <c r="Q955" s="74"/>
      <c r="R955" s="75"/>
      <c r="S955" s="74"/>
      <c r="T955" s="74"/>
      <c r="U955" s="74"/>
      <c r="V955" s="74"/>
      <c r="W955" s="74"/>
      <c r="X955" s="74"/>
      <c r="Y955" s="74"/>
      <c r="Z955" s="74"/>
      <c r="AA955" s="74"/>
      <c r="AB955" s="74"/>
      <c r="AC955" s="74"/>
      <c r="AD955" s="74"/>
      <c r="AE955" s="74"/>
      <c r="AF955" s="74"/>
      <c r="AG955" s="74"/>
      <c r="AH955" s="74"/>
      <c r="AI955" s="74"/>
      <c r="AJ955" s="74"/>
      <c r="AK955" s="74"/>
    </row>
    <row r="956">
      <c r="A956" s="74"/>
      <c r="B956" s="74"/>
      <c r="C956" s="74"/>
      <c r="D956" s="74"/>
      <c r="E956" s="74"/>
      <c r="F956" s="74"/>
      <c r="G956" s="74"/>
      <c r="H956" s="74"/>
      <c r="I956" s="74"/>
      <c r="J956" s="74"/>
      <c r="K956" s="74"/>
      <c r="L956" s="74"/>
      <c r="M956" s="74"/>
      <c r="N956" s="74"/>
      <c r="O956" s="74"/>
      <c r="P956" s="74"/>
      <c r="Q956" s="74"/>
      <c r="R956" s="75"/>
      <c r="S956" s="74"/>
      <c r="T956" s="74"/>
      <c r="U956" s="74"/>
      <c r="V956" s="74"/>
      <c r="W956" s="74"/>
      <c r="X956" s="74"/>
      <c r="Y956" s="74"/>
      <c r="Z956" s="74"/>
      <c r="AA956" s="74"/>
      <c r="AB956" s="74"/>
      <c r="AC956" s="74"/>
      <c r="AD956" s="74"/>
      <c r="AE956" s="74"/>
      <c r="AF956" s="74"/>
      <c r="AG956" s="74"/>
      <c r="AH956" s="74"/>
      <c r="AI956" s="74"/>
      <c r="AJ956" s="74"/>
      <c r="AK956" s="74"/>
    </row>
    <row r="957">
      <c r="A957" s="74"/>
      <c r="B957" s="74"/>
      <c r="C957" s="74"/>
      <c r="D957" s="74"/>
      <c r="E957" s="74"/>
      <c r="F957" s="74"/>
      <c r="G957" s="74"/>
      <c r="H957" s="74"/>
      <c r="I957" s="74"/>
      <c r="J957" s="74"/>
      <c r="K957" s="74"/>
      <c r="L957" s="74"/>
      <c r="M957" s="74"/>
      <c r="N957" s="74"/>
      <c r="O957" s="74"/>
      <c r="P957" s="74"/>
      <c r="Q957" s="74"/>
      <c r="R957" s="75"/>
      <c r="S957" s="74"/>
      <c r="T957" s="74"/>
      <c r="U957" s="74"/>
      <c r="V957" s="74"/>
      <c r="W957" s="74"/>
      <c r="X957" s="74"/>
      <c r="Y957" s="74"/>
      <c r="Z957" s="74"/>
      <c r="AA957" s="74"/>
      <c r="AB957" s="74"/>
      <c r="AC957" s="74"/>
      <c r="AD957" s="74"/>
      <c r="AE957" s="74"/>
      <c r="AF957" s="74"/>
      <c r="AG957" s="74"/>
      <c r="AH957" s="74"/>
      <c r="AI957" s="74"/>
      <c r="AJ957" s="74"/>
      <c r="AK957" s="74"/>
    </row>
    <row r="958">
      <c r="A958" s="74"/>
      <c r="B958" s="74"/>
      <c r="C958" s="74"/>
      <c r="D958" s="74"/>
      <c r="E958" s="74"/>
      <c r="F958" s="74"/>
      <c r="G958" s="74"/>
      <c r="H958" s="74"/>
      <c r="I958" s="74"/>
      <c r="J958" s="74"/>
      <c r="K958" s="74"/>
      <c r="L958" s="74"/>
      <c r="M958" s="74"/>
      <c r="N958" s="74"/>
      <c r="O958" s="74"/>
      <c r="P958" s="74"/>
      <c r="Q958" s="74"/>
      <c r="R958" s="75"/>
      <c r="S958" s="74"/>
      <c r="T958" s="74"/>
      <c r="U958" s="74"/>
      <c r="V958" s="74"/>
      <c r="W958" s="74"/>
      <c r="X958" s="74"/>
      <c r="Y958" s="74"/>
      <c r="Z958" s="74"/>
      <c r="AA958" s="74"/>
      <c r="AB958" s="74"/>
      <c r="AC958" s="74"/>
      <c r="AD958" s="74"/>
      <c r="AE958" s="74"/>
      <c r="AF958" s="74"/>
      <c r="AG958" s="74"/>
      <c r="AH958" s="74"/>
      <c r="AI958" s="74"/>
      <c r="AJ958" s="74"/>
      <c r="AK958" s="74"/>
    </row>
    <row r="959">
      <c r="A959" s="74"/>
      <c r="B959" s="74"/>
      <c r="C959" s="74"/>
      <c r="D959" s="74"/>
      <c r="E959" s="74"/>
      <c r="F959" s="74"/>
      <c r="G959" s="74"/>
      <c r="H959" s="74"/>
      <c r="I959" s="74"/>
      <c r="J959" s="74"/>
      <c r="K959" s="74"/>
      <c r="L959" s="74"/>
      <c r="M959" s="74"/>
      <c r="N959" s="74"/>
      <c r="O959" s="74"/>
      <c r="P959" s="74"/>
      <c r="Q959" s="74"/>
      <c r="R959" s="75"/>
      <c r="S959" s="74"/>
      <c r="T959" s="74"/>
      <c r="U959" s="74"/>
      <c r="V959" s="74"/>
      <c r="W959" s="74"/>
      <c r="X959" s="74"/>
      <c r="Y959" s="74"/>
      <c r="Z959" s="74"/>
      <c r="AA959" s="74"/>
      <c r="AB959" s="74"/>
      <c r="AC959" s="74"/>
      <c r="AD959" s="74"/>
      <c r="AE959" s="74"/>
      <c r="AF959" s="74"/>
      <c r="AG959" s="74"/>
      <c r="AH959" s="74"/>
      <c r="AI959" s="74"/>
      <c r="AJ959" s="74"/>
      <c r="AK959" s="74"/>
    </row>
    <row r="960">
      <c r="A960" s="74"/>
      <c r="B960" s="74"/>
      <c r="C960" s="74"/>
      <c r="D960" s="74"/>
      <c r="E960" s="74"/>
      <c r="F960" s="74"/>
      <c r="G960" s="74"/>
      <c r="H960" s="74"/>
      <c r="I960" s="74"/>
      <c r="J960" s="74"/>
      <c r="K960" s="74"/>
      <c r="L960" s="74"/>
      <c r="M960" s="74"/>
      <c r="N960" s="74"/>
      <c r="O960" s="74"/>
      <c r="P960" s="74"/>
      <c r="Q960" s="74"/>
      <c r="R960" s="75"/>
      <c r="S960" s="74"/>
      <c r="T960" s="74"/>
      <c r="U960" s="74"/>
      <c r="V960" s="74"/>
      <c r="W960" s="74"/>
      <c r="X960" s="74"/>
      <c r="Y960" s="74"/>
      <c r="Z960" s="74"/>
      <c r="AA960" s="74"/>
      <c r="AB960" s="74"/>
      <c r="AC960" s="74"/>
      <c r="AD960" s="74"/>
      <c r="AE960" s="74"/>
      <c r="AF960" s="74"/>
      <c r="AG960" s="74"/>
      <c r="AH960" s="74"/>
      <c r="AI960" s="74"/>
      <c r="AJ960" s="74"/>
      <c r="AK960" s="74"/>
    </row>
    <row r="961">
      <c r="A961" s="74"/>
      <c r="B961" s="74"/>
      <c r="C961" s="74"/>
      <c r="D961" s="74"/>
      <c r="E961" s="74"/>
      <c r="F961" s="74"/>
      <c r="G961" s="74"/>
      <c r="H961" s="74"/>
      <c r="I961" s="74"/>
      <c r="J961" s="74"/>
      <c r="K961" s="74"/>
      <c r="L961" s="74"/>
      <c r="M961" s="74"/>
      <c r="N961" s="74"/>
      <c r="O961" s="74"/>
      <c r="P961" s="74"/>
      <c r="Q961" s="74"/>
      <c r="R961" s="75"/>
      <c r="S961" s="74"/>
      <c r="T961" s="74"/>
      <c r="U961" s="74"/>
      <c r="V961" s="74"/>
      <c r="W961" s="74"/>
      <c r="X961" s="74"/>
      <c r="Y961" s="74"/>
      <c r="Z961" s="74"/>
      <c r="AA961" s="74"/>
      <c r="AB961" s="74"/>
      <c r="AC961" s="74"/>
      <c r="AD961" s="74"/>
      <c r="AE961" s="74"/>
      <c r="AF961" s="74"/>
      <c r="AG961" s="74"/>
      <c r="AH961" s="74"/>
      <c r="AI961" s="74"/>
      <c r="AJ961" s="74"/>
      <c r="AK961" s="74"/>
    </row>
    <row r="962">
      <c r="A962" s="74"/>
      <c r="B962" s="74"/>
      <c r="C962" s="74"/>
      <c r="D962" s="74"/>
      <c r="E962" s="74"/>
      <c r="F962" s="74"/>
      <c r="G962" s="74"/>
      <c r="H962" s="74"/>
      <c r="I962" s="74"/>
      <c r="J962" s="74"/>
      <c r="K962" s="74"/>
      <c r="L962" s="74"/>
      <c r="M962" s="74"/>
      <c r="N962" s="74"/>
      <c r="O962" s="74"/>
      <c r="P962" s="74"/>
      <c r="Q962" s="74"/>
      <c r="R962" s="75"/>
      <c r="S962" s="74"/>
      <c r="T962" s="74"/>
      <c r="U962" s="74"/>
      <c r="V962" s="74"/>
      <c r="W962" s="74"/>
      <c r="X962" s="74"/>
      <c r="Y962" s="74"/>
      <c r="Z962" s="74"/>
      <c r="AA962" s="74"/>
      <c r="AB962" s="74"/>
      <c r="AC962" s="74"/>
      <c r="AD962" s="74"/>
      <c r="AE962" s="74"/>
      <c r="AF962" s="74"/>
      <c r="AG962" s="74"/>
      <c r="AH962" s="74"/>
      <c r="AI962" s="74"/>
      <c r="AJ962" s="74"/>
      <c r="AK962" s="74"/>
    </row>
    <row r="963">
      <c r="A963" s="74"/>
      <c r="B963" s="74"/>
      <c r="C963" s="74"/>
      <c r="D963" s="74"/>
      <c r="E963" s="74"/>
      <c r="F963" s="74"/>
      <c r="G963" s="74"/>
      <c r="H963" s="74"/>
      <c r="I963" s="74"/>
      <c r="J963" s="74"/>
      <c r="K963" s="74"/>
      <c r="L963" s="74"/>
      <c r="M963" s="74"/>
      <c r="N963" s="74"/>
      <c r="O963" s="74"/>
      <c r="P963" s="74"/>
      <c r="Q963" s="74"/>
      <c r="R963" s="75"/>
      <c r="S963" s="74"/>
      <c r="T963" s="74"/>
      <c r="U963" s="74"/>
      <c r="V963" s="74"/>
      <c r="W963" s="74"/>
      <c r="X963" s="74"/>
      <c r="Y963" s="74"/>
      <c r="Z963" s="74"/>
      <c r="AA963" s="74"/>
      <c r="AB963" s="74"/>
      <c r="AC963" s="74"/>
      <c r="AD963" s="74"/>
      <c r="AE963" s="74"/>
      <c r="AF963" s="74"/>
      <c r="AG963" s="74"/>
      <c r="AH963" s="74"/>
      <c r="AI963" s="74"/>
      <c r="AJ963" s="74"/>
      <c r="AK963" s="74"/>
    </row>
    <row r="964">
      <c r="A964" s="74"/>
      <c r="B964" s="74"/>
      <c r="C964" s="74"/>
      <c r="D964" s="74"/>
      <c r="E964" s="74"/>
      <c r="F964" s="74"/>
      <c r="G964" s="74"/>
      <c r="H964" s="74"/>
      <c r="I964" s="74"/>
      <c r="J964" s="74"/>
      <c r="K964" s="74"/>
      <c r="L964" s="74"/>
      <c r="M964" s="74"/>
      <c r="N964" s="74"/>
      <c r="O964" s="74"/>
      <c r="P964" s="74"/>
      <c r="Q964" s="74"/>
      <c r="R964" s="75"/>
      <c r="S964" s="74"/>
      <c r="T964" s="74"/>
      <c r="U964" s="74"/>
      <c r="V964" s="74"/>
      <c r="W964" s="74"/>
      <c r="X964" s="74"/>
      <c r="Y964" s="74"/>
      <c r="Z964" s="74"/>
      <c r="AA964" s="74"/>
      <c r="AB964" s="74"/>
      <c r="AC964" s="74"/>
      <c r="AD964" s="74"/>
      <c r="AE964" s="74"/>
      <c r="AF964" s="74"/>
      <c r="AG964" s="74"/>
      <c r="AH964" s="74"/>
      <c r="AI964" s="74"/>
      <c r="AJ964" s="74"/>
      <c r="AK964" s="74"/>
    </row>
    <row r="965">
      <c r="A965" s="74"/>
      <c r="B965" s="74"/>
      <c r="C965" s="74"/>
      <c r="D965" s="74"/>
      <c r="E965" s="74"/>
      <c r="F965" s="74"/>
      <c r="G965" s="74"/>
      <c r="H965" s="74"/>
      <c r="I965" s="74"/>
      <c r="J965" s="74"/>
      <c r="K965" s="74"/>
      <c r="L965" s="74"/>
      <c r="M965" s="74"/>
      <c r="N965" s="74"/>
      <c r="O965" s="74"/>
      <c r="P965" s="74"/>
      <c r="Q965" s="74"/>
      <c r="R965" s="75"/>
      <c r="S965" s="74"/>
      <c r="T965" s="74"/>
      <c r="U965" s="74"/>
      <c r="V965" s="74"/>
      <c r="W965" s="74"/>
      <c r="X965" s="74"/>
      <c r="Y965" s="74"/>
      <c r="Z965" s="74"/>
      <c r="AA965" s="74"/>
      <c r="AB965" s="74"/>
      <c r="AC965" s="74"/>
      <c r="AD965" s="74"/>
      <c r="AE965" s="74"/>
      <c r="AF965" s="74"/>
      <c r="AG965" s="74"/>
      <c r="AH965" s="74"/>
      <c r="AI965" s="74"/>
      <c r="AJ965" s="74"/>
      <c r="AK965" s="74"/>
    </row>
    <row r="966">
      <c r="A966" s="74"/>
      <c r="B966" s="74"/>
      <c r="C966" s="74"/>
      <c r="D966" s="74"/>
      <c r="E966" s="74"/>
      <c r="F966" s="74"/>
      <c r="G966" s="74"/>
      <c r="H966" s="74"/>
      <c r="I966" s="74"/>
      <c r="J966" s="74"/>
      <c r="K966" s="74"/>
      <c r="L966" s="74"/>
      <c r="M966" s="74"/>
      <c r="N966" s="74"/>
      <c r="O966" s="74"/>
      <c r="P966" s="74"/>
      <c r="Q966" s="74"/>
      <c r="R966" s="75"/>
      <c r="S966" s="74"/>
      <c r="T966" s="74"/>
      <c r="U966" s="74"/>
      <c r="V966" s="74"/>
      <c r="W966" s="74"/>
      <c r="X966" s="74"/>
      <c r="Y966" s="74"/>
      <c r="Z966" s="74"/>
      <c r="AA966" s="74"/>
      <c r="AB966" s="74"/>
      <c r="AC966" s="74"/>
      <c r="AD966" s="74"/>
      <c r="AE966" s="74"/>
      <c r="AF966" s="74"/>
      <c r="AG966" s="74"/>
      <c r="AH966" s="74"/>
      <c r="AI966" s="74"/>
      <c r="AJ966" s="74"/>
      <c r="AK966" s="74"/>
    </row>
    <row r="967">
      <c r="A967" s="74"/>
      <c r="B967" s="74"/>
      <c r="C967" s="74"/>
      <c r="D967" s="74"/>
      <c r="E967" s="74"/>
      <c r="F967" s="74"/>
      <c r="G967" s="74"/>
      <c r="H967" s="74"/>
      <c r="I967" s="74"/>
      <c r="J967" s="74"/>
      <c r="K967" s="74"/>
      <c r="L967" s="74"/>
      <c r="M967" s="74"/>
      <c r="N967" s="74"/>
      <c r="O967" s="74"/>
      <c r="P967" s="74"/>
      <c r="Q967" s="74"/>
      <c r="R967" s="75"/>
      <c r="S967" s="74"/>
      <c r="T967" s="74"/>
      <c r="U967" s="74"/>
      <c r="V967" s="74"/>
      <c r="W967" s="74"/>
      <c r="X967" s="74"/>
      <c r="Y967" s="74"/>
      <c r="Z967" s="74"/>
      <c r="AA967" s="74"/>
      <c r="AB967" s="74"/>
      <c r="AC967" s="74"/>
      <c r="AD967" s="74"/>
      <c r="AE967" s="74"/>
      <c r="AF967" s="74"/>
      <c r="AG967" s="74"/>
      <c r="AH967" s="74"/>
      <c r="AI967" s="74"/>
      <c r="AJ967" s="74"/>
      <c r="AK967" s="74"/>
    </row>
    <row r="968">
      <c r="A968" s="74"/>
      <c r="B968" s="74"/>
      <c r="C968" s="74"/>
      <c r="D968" s="74"/>
      <c r="E968" s="74"/>
      <c r="F968" s="74"/>
      <c r="G968" s="74"/>
      <c r="H968" s="74"/>
      <c r="I968" s="74"/>
      <c r="J968" s="74"/>
      <c r="K968" s="74"/>
      <c r="L968" s="74"/>
      <c r="M968" s="74"/>
      <c r="N968" s="74"/>
      <c r="O968" s="74"/>
      <c r="P968" s="74"/>
      <c r="Q968" s="74"/>
      <c r="R968" s="75"/>
      <c r="S968" s="74"/>
      <c r="T968" s="74"/>
      <c r="U968" s="74"/>
      <c r="V968" s="74"/>
      <c r="W968" s="74"/>
      <c r="X968" s="74"/>
      <c r="Y968" s="74"/>
      <c r="Z968" s="74"/>
      <c r="AA968" s="74"/>
      <c r="AB968" s="74"/>
      <c r="AC968" s="74"/>
      <c r="AD968" s="74"/>
      <c r="AE968" s="74"/>
      <c r="AF968" s="74"/>
      <c r="AG968" s="74"/>
      <c r="AH968" s="74"/>
      <c r="AI968" s="74"/>
      <c r="AJ968" s="74"/>
      <c r="AK968" s="74"/>
    </row>
    <row r="969">
      <c r="A969" s="74"/>
      <c r="B969" s="74"/>
      <c r="C969" s="74"/>
      <c r="D969" s="74"/>
      <c r="E969" s="74"/>
      <c r="F969" s="74"/>
      <c r="G969" s="74"/>
      <c r="H969" s="74"/>
      <c r="I969" s="74"/>
      <c r="J969" s="74"/>
      <c r="K969" s="74"/>
      <c r="L969" s="74"/>
      <c r="M969" s="74"/>
      <c r="N969" s="74"/>
      <c r="O969" s="74"/>
      <c r="P969" s="74"/>
      <c r="Q969" s="74"/>
      <c r="R969" s="75"/>
      <c r="S969" s="74"/>
      <c r="T969" s="74"/>
      <c r="U969" s="74"/>
      <c r="V969" s="74"/>
      <c r="W969" s="74"/>
      <c r="X969" s="74"/>
      <c r="Y969" s="74"/>
      <c r="Z969" s="74"/>
      <c r="AA969" s="74"/>
      <c r="AB969" s="74"/>
      <c r="AC969" s="74"/>
      <c r="AD969" s="74"/>
      <c r="AE969" s="74"/>
      <c r="AF969" s="74"/>
      <c r="AG969" s="74"/>
      <c r="AH969" s="74"/>
      <c r="AI969" s="74"/>
      <c r="AJ969" s="74"/>
      <c r="AK969" s="74"/>
    </row>
    <row r="970">
      <c r="A970" s="74"/>
      <c r="B970" s="74"/>
      <c r="C970" s="74"/>
      <c r="D970" s="74"/>
      <c r="E970" s="74"/>
      <c r="F970" s="74"/>
      <c r="G970" s="74"/>
      <c r="H970" s="74"/>
      <c r="I970" s="74"/>
      <c r="J970" s="74"/>
      <c r="K970" s="74"/>
      <c r="L970" s="74"/>
      <c r="M970" s="74"/>
      <c r="N970" s="74"/>
      <c r="O970" s="74"/>
      <c r="P970" s="74"/>
      <c r="Q970" s="74"/>
      <c r="R970" s="75"/>
      <c r="S970" s="74"/>
      <c r="T970" s="74"/>
      <c r="U970" s="74"/>
      <c r="V970" s="74"/>
      <c r="W970" s="74"/>
      <c r="X970" s="74"/>
      <c r="Y970" s="74"/>
      <c r="Z970" s="74"/>
      <c r="AA970" s="74"/>
      <c r="AB970" s="74"/>
      <c r="AC970" s="74"/>
      <c r="AD970" s="74"/>
      <c r="AE970" s="74"/>
      <c r="AF970" s="74"/>
      <c r="AG970" s="74"/>
      <c r="AH970" s="74"/>
      <c r="AI970" s="74"/>
      <c r="AJ970" s="74"/>
      <c r="AK970" s="74"/>
    </row>
    <row r="971">
      <c r="A971" s="74"/>
      <c r="B971" s="74"/>
      <c r="C971" s="74"/>
      <c r="D971" s="74"/>
      <c r="E971" s="74"/>
      <c r="F971" s="74"/>
      <c r="G971" s="74"/>
      <c r="H971" s="74"/>
      <c r="I971" s="74"/>
      <c r="J971" s="74"/>
      <c r="K971" s="74"/>
      <c r="L971" s="74"/>
      <c r="M971" s="74"/>
      <c r="N971" s="74"/>
      <c r="O971" s="74"/>
      <c r="P971" s="74"/>
      <c r="Q971" s="74"/>
      <c r="R971" s="75"/>
      <c r="S971" s="74"/>
      <c r="T971" s="74"/>
      <c r="U971" s="74"/>
      <c r="V971" s="74"/>
      <c r="W971" s="74"/>
      <c r="X971" s="74"/>
      <c r="Y971" s="74"/>
      <c r="Z971" s="74"/>
      <c r="AA971" s="74"/>
      <c r="AB971" s="74"/>
      <c r="AC971" s="74"/>
      <c r="AD971" s="74"/>
      <c r="AE971" s="74"/>
      <c r="AF971" s="74"/>
      <c r="AG971" s="74"/>
      <c r="AH971" s="74"/>
      <c r="AI971" s="74"/>
      <c r="AJ971" s="74"/>
      <c r="AK971" s="74"/>
    </row>
    <row r="972">
      <c r="A972" s="74"/>
      <c r="B972" s="74"/>
      <c r="C972" s="74"/>
      <c r="D972" s="74"/>
      <c r="E972" s="74"/>
      <c r="F972" s="74"/>
      <c r="G972" s="74"/>
      <c r="H972" s="74"/>
      <c r="I972" s="74"/>
      <c r="J972" s="74"/>
      <c r="K972" s="74"/>
      <c r="L972" s="74"/>
      <c r="M972" s="74"/>
      <c r="N972" s="74"/>
      <c r="O972" s="74"/>
      <c r="P972" s="74"/>
      <c r="Q972" s="74"/>
      <c r="R972" s="75"/>
      <c r="S972" s="74"/>
      <c r="T972" s="74"/>
      <c r="U972" s="74"/>
      <c r="V972" s="74"/>
      <c r="W972" s="74"/>
      <c r="X972" s="74"/>
      <c r="Y972" s="74"/>
      <c r="Z972" s="74"/>
      <c r="AA972" s="74"/>
      <c r="AB972" s="74"/>
      <c r="AC972" s="74"/>
      <c r="AD972" s="74"/>
      <c r="AE972" s="74"/>
      <c r="AF972" s="74"/>
      <c r="AG972" s="74"/>
      <c r="AH972" s="74"/>
      <c r="AI972" s="74"/>
      <c r="AJ972" s="74"/>
      <c r="AK972" s="74"/>
    </row>
    <row r="973">
      <c r="A973" s="74"/>
      <c r="B973" s="74"/>
      <c r="C973" s="74"/>
      <c r="D973" s="74"/>
      <c r="E973" s="74"/>
      <c r="F973" s="74"/>
      <c r="G973" s="74"/>
      <c r="H973" s="74"/>
      <c r="I973" s="74"/>
      <c r="J973" s="74"/>
      <c r="K973" s="74"/>
      <c r="L973" s="74"/>
      <c r="M973" s="74"/>
      <c r="N973" s="74"/>
      <c r="O973" s="74"/>
      <c r="P973" s="74"/>
      <c r="Q973" s="74"/>
      <c r="R973" s="75"/>
      <c r="S973" s="74"/>
      <c r="T973" s="74"/>
      <c r="U973" s="74"/>
      <c r="V973" s="74"/>
      <c r="W973" s="74"/>
      <c r="X973" s="74"/>
      <c r="Y973" s="74"/>
      <c r="Z973" s="74"/>
      <c r="AA973" s="74"/>
      <c r="AB973" s="74"/>
      <c r="AC973" s="74"/>
      <c r="AD973" s="74"/>
      <c r="AE973" s="74"/>
      <c r="AF973" s="74"/>
      <c r="AG973" s="74"/>
      <c r="AH973" s="74"/>
      <c r="AI973" s="74"/>
      <c r="AJ973" s="74"/>
      <c r="AK973" s="74"/>
    </row>
    <row r="974">
      <c r="A974" s="74"/>
      <c r="B974" s="74"/>
      <c r="C974" s="74"/>
      <c r="D974" s="74"/>
      <c r="E974" s="74"/>
      <c r="F974" s="74"/>
      <c r="G974" s="74"/>
      <c r="H974" s="74"/>
      <c r="I974" s="74"/>
      <c r="J974" s="74"/>
      <c r="K974" s="74"/>
      <c r="L974" s="74"/>
      <c r="M974" s="74"/>
      <c r="N974" s="74"/>
      <c r="O974" s="74"/>
      <c r="P974" s="74"/>
      <c r="Q974" s="74"/>
      <c r="R974" s="75"/>
      <c r="S974" s="74"/>
      <c r="T974" s="74"/>
      <c r="U974" s="74"/>
      <c r="V974" s="74"/>
      <c r="W974" s="74"/>
      <c r="X974" s="74"/>
      <c r="Y974" s="74"/>
      <c r="Z974" s="74"/>
      <c r="AA974" s="74"/>
      <c r="AB974" s="74"/>
      <c r="AC974" s="74"/>
      <c r="AD974" s="74"/>
      <c r="AE974" s="74"/>
      <c r="AF974" s="74"/>
      <c r="AG974" s="74"/>
      <c r="AH974" s="74"/>
      <c r="AI974" s="74"/>
      <c r="AJ974" s="74"/>
      <c r="AK974" s="74"/>
    </row>
    <row r="975">
      <c r="A975" s="74"/>
      <c r="B975" s="74"/>
      <c r="C975" s="74"/>
      <c r="D975" s="74"/>
      <c r="E975" s="74"/>
      <c r="F975" s="74"/>
      <c r="G975" s="74"/>
      <c r="H975" s="74"/>
      <c r="I975" s="74"/>
      <c r="J975" s="74"/>
      <c r="K975" s="74"/>
      <c r="L975" s="74"/>
      <c r="M975" s="74"/>
      <c r="N975" s="74"/>
      <c r="O975" s="74"/>
      <c r="P975" s="74"/>
      <c r="Q975" s="74"/>
      <c r="R975" s="75"/>
      <c r="S975" s="74"/>
      <c r="T975" s="74"/>
      <c r="U975" s="74"/>
      <c r="V975" s="74"/>
      <c r="W975" s="74"/>
      <c r="X975" s="74"/>
      <c r="Y975" s="74"/>
      <c r="Z975" s="74"/>
      <c r="AA975" s="74"/>
      <c r="AB975" s="74"/>
      <c r="AC975" s="74"/>
      <c r="AD975" s="74"/>
      <c r="AE975" s="74"/>
      <c r="AF975" s="74"/>
      <c r="AG975" s="74"/>
      <c r="AH975" s="74"/>
      <c r="AI975" s="74"/>
      <c r="AJ975" s="74"/>
      <c r="AK975" s="74"/>
    </row>
    <row r="976">
      <c r="A976" s="74"/>
      <c r="B976" s="74"/>
      <c r="C976" s="74"/>
      <c r="D976" s="74"/>
      <c r="E976" s="74"/>
      <c r="F976" s="74"/>
      <c r="G976" s="74"/>
      <c r="H976" s="74"/>
      <c r="I976" s="74"/>
      <c r="J976" s="74"/>
      <c r="K976" s="74"/>
      <c r="L976" s="74"/>
      <c r="M976" s="74"/>
      <c r="N976" s="74"/>
      <c r="O976" s="74"/>
      <c r="P976" s="74"/>
      <c r="Q976" s="74"/>
      <c r="R976" s="75"/>
      <c r="S976" s="74"/>
      <c r="T976" s="74"/>
      <c r="U976" s="74"/>
      <c r="V976" s="74"/>
      <c r="W976" s="74"/>
      <c r="X976" s="74"/>
      <c r="Y976" s="74"/>
      <c r="Z976" s="74"/>
      <c r="AA976" s="74"/>
      <c r="AB976" s="74"/>
      <c r="AC976" s="74"/>
      <c r="AD976" s="74"/>
      <c r="AE976" s="74"/>
      <c r="AF976" s="74"/>
      <c r="AG976" s="74"/>
      <c r="AH976" s="74"/>
      <c r="AI976" s="74"/>
      <c r="AJ976" s="74"/>
      <c r="AK976" s="74"/>
    </row>
    <row r="977">
      <c r="A977" s="74"/>
      <c r="B977" s="74"/>
      <c r="C977" s="74"/>
      <c r="D977" s="74"/>
      <c r="E977" s="74"/>
      <c r="F977" s="74"/>
      <c r="G977" s="74"/>
      <c r="H977" s="74"/>
      <c r="I977" s="74"/>
      <c r="J977" s="74"/>
      <c r="K977" s="74"/>
      <c r="L977" s="74"/>
      <c r="M977" s="74"/>
      <c r="N977" s="74"/>
      <c r="O977" s="74"/>
      <c r="P977" s="74"/>
      <c r="Q977" s="74"/>
      <c r="R977" s="75"/>
      <c r="S977" s="74"/>
      <c r="T977" s="74"/>
      <c r="U977" s="74"/>
      <c r="V977" s="74"/>
      <c r="W977" s="74"/>
      <c r="X977" s="74"/>
      <c r="Y977" s="74"/>
      <c r="Z977" s="74"/>
      <c r="AA977" s="74"/>
      <c r="AB977" s="74"/>
      <c r="AC977" s="74"/>
      <c r="AD977" s="74"/>
      <c r="AE977" s="74"/>
      <c r="AF977" s="74"/>
      <c r="AG977" s="74"/>
      <c r="AH977" s="74"/>
      <c r="AI977" s="74"/>
      <c r="AJ977" s="74"/>
      <c r="AK977" s="74"/>
    </row>
    <row r="978">
      <c r="A978" s="74"/>
      <c r="B978" s="74"/>
      <c r="C978" s="74"/>
      <c r="D978" s="74"/>
      <c r="E978" s="74"/>
      <c r="F978" s="74"/>
      <c r="G978" s="74"/>
      <c r="H978" s="74"/>
      <c r="I978" s="74"/>
      <c r="J978" s="74"/>
      <c r="K978" s="74"/>
      <c r="L978" s="74"/>
      <c r="M978" s="74"/>
      <c r="N978" s="74"/>
      <c r="O978" s="74"/>
      <c r="P978" s="74"/>
      <c r="Q978" s="74"/>
      <c r="R978" s="75"/>
      <c r="S978" s="74"/>
      <c r="T978" s="74"/>
      <c r="U978" s="74"/>
      <c r="V978" s="74"/>
      <c r="W978" s="74"/>
      <c r="X978" s="74"/>
      <c r="Y978" s="74"/>
      <c r="Z978" s="74"/>
      <c r="AA978" s="74"/>
      <c r="AB978" s="74"/>
      <c r="AC978" s="74"/>
      <c r="AD978" s="74"/>
      <c r="AE978" s="74"/>
      <c r="AF978" s="74"/>
      <c r="AG978" s="74"/>
      <c r="AH978" s="74"/>
      <c r="AI978" s="74"/>
      <c r="AJ978" s="74"/>
      <c r="AK978" s="74"/>
    </row>
    <row r="979">
      <c r="A979" s="74"/>
      <c r="B979" s="74"/>
      <c r="C979" s="74"/>
      <c r="D979" s="74"/>
      <c r="E979" s="74"/>
      <c r="F979" s="74"/>
      <c r="G979" s="74"/>
      <c r="H979" s="74"/>
      <c r="I979" s="74"/>
      <c r="J979" s="74"/>
      <c r="K979" s="74"/>
      <c r="L979" s="74"/>
      <c r="M979" s="74"/>
      <c r="N979" s="74"/>
      <c r="O979" s="74"/>
      <c r="P979" s="74"/>
      <c r="Q979" s="74"/>
      <c r="R979" s="75"/>
      <c r="S979" s="74"/>
      <c r="T979" s="74"/>
      <c r="U979" s="74"/>
      <c r="V979" s="74"/>
      <c r="W979" s="74"/>
      <c r="X979" s="74"/>
      <c r="Y979" s="74"/>
      <c r="Z979" s="74"/>
      <c r="AA979" s="74"/>
      <c r="AB979" s="74"/>
      <c r="AC979" s="74"/>
      <c r="AD979" s="74"/>
      <c r="AE979" s="74"/>
      <c r="AF979" s="74"/>
      <c r="AG979" s="74"/>
      <c r="AH979" s="74"/>
      <c r="AI979" s="74"/>
      <c r="AJ979" s="74"/>
      <c r="AK979" s="74"/>
    </row>
    <row r="980">
      <c r="A980" s="74"/>
      <c r="B980" s="74"/>
      <c r="C980" s="74"/>
      <c r="D980" s="74"/>
      <c r="E980" s="74"/>
      <c r="F980" s="74"/>
      <c r="G980" s="74"/>
      <c r="H980" s="74"/>
      <c r="I980" s="74"/>
      <c r="J980" s="74"/>
      <c r="K980" s="74"/>
      <c r="L980" s="74"/>
      <c r="M980" s="74"/>
      <c r="N980" s="74"/>
      <c r="O980" s="74"/>
      <c r="P980" s="74"/>
      <c r="Q980" s="74"/>
      <c r="R980" s="75"/>
      <c r="S980" s="74"/>
      <c r="T980" s="74"/>
      <c r="U980" s="74"/>
      <c r="V980" s="74"/>
      <c r="W980" s="74"/>
      <c r="X980" s="74"/>
      <c r="Y980" s="74"/>
      <c r="Z980" s="74"/>
      <c r="AA980" s="74"/>
      <c r="AB980" s="74"/>
      <c r="AC980" s="74"/>
      <c r="AD980" s="74"/>
      <c r="AE980" s="74"/>
      <c r="AF980" s="74"/>
      <c r="AG980" s="74"/>
      <c r="AH980" s="74"/>
      <c r="AI980" s="74"/>
      <c r="AJ980" s="74"/>
      <c r="AK980" s="74"/>
    </row>
    <row r="981">
      <c r="A981" s="74"/>
      <c r="B981" s="74"/>
      <c r="C981" s="74"/>
      <c r="D981" s="74"/>
      <c r="E981" s="74"/>
      <c r="F981" s="74"/>
      <c r="G981" s="74"/>
      <c r="H981" s="74"/>
      <c r="I981" s="74"/>
      <c r="J981" s="74"/>
      <c r="K981" s="74"/>
      <c r="L981" s="74"/>
      <c r="M981" s="74"/>
      <c r="N981" s="74"/>
      <c r="O981" s="74"/>
      <c r="P981" s="74"/>
      <c r="Q981" s="74"/>
      <c r="R981" s="75"/>
      <c r="S981" s="74"/>
      <c r="T981" s="74"/>
      <c r="U981" s="74"/>
      <c r="V981" s="74"/>
      <c r="W981" s="74"/>
      <c r="X981" s="74"/>
      <c r="Y981" s="74"/>
      <c r="Z981" s="74"/>
      <c r="AA981" s="74"/>
      <c r="AB981" s="74"/>
      <c r="AC981" s="74"/>
      <c r="AD981" s="74"/>
      <c r="AE981" s="74"/>
      <c r="AF981" s="74"/>
      <c r="AG981" s="74"/>
      <c r="AH981" s="74"/>
      <c r="AI981" s="74"/>
      <c r="AJ981" s="74"/>
      <c r="AK981" s="74"/>
    </row>
    <row r="982">
      <c r="A982" s="74"/>
      <c r="B982" s="74"/>
      <c r="C982" s="74"/>
      <c r="D982" s="74"/>
      <c r="E982" s="74"/>
      <c r="F982" s="74"/>
      <c r="G982" s="74"/>
      <c r="H982" s="74"/>
      <c r="I982" s="74"/>
      <c r="J982" s="74"/>
      <c r="K982" s="74"/>
      <c r="L982" s="74"/>
      <c r="M982" s="74"/>
      <c r="N982" s="74"/>
      <c r="O982" s="74"/>
      <c r="P982" s="74"/>
      <c r="Q982" s="74"/>
      <c r="R982" s="75"/>
      <c r="S982" s="74"/>
      <c r="T982" s="74"/>
      <c r="U982" s="74"/>
      <c r="V982" s="74"/>
      <c r="W982" s="74"/>
      <c r="X982" s="74"/>
      <c r="Y982" s="74"/>
      <c r="Z982" s="74"/>
      <c r="AA982" s="74"/>
      <c r="AB982" s="74"/>
      <c r="AC982" s="74"/>
      <c r="AD982" s="74"/>
      <c r="AE982" s="74"/>
      <c r="AF982" s="74"/>
      <c r="AG982" s="74"/>
      <c r="AH982" s="74"/>
      <c r="AI982" s="74"/>
      <c r="AJ982" s="74"/>
      <c r="AK982" s="74"/>
    </row>
    <row r="983">
      <c r="A983" s="74"/>
      <c r="B983" s="74"/>
      <c r="C983" s="74"/>
      <c r="D983" s="74"/>
      <c r="E983" s="74"/>
      <c r="F983" s="74"/>
      <c r="G983" s="74"/>
      <c r="H983" s="74"/>
      <c r="I983" s="74"/>
      <c r="J983" s="74"/>
      <c r="K983" s="74"/>
      <c r="L983" s="74"/>
      <c r="M983" s="74"/>
      <c r="N983" s="74"/>
      <c r="O983" s="74"/>
      <c r="P983" s="74"/>
      <c r="Q983" s="74"/>
      <c r="R983" s="75"/>
      <c r="S983" s="74"/>
      <c r="T983" s="74"/>
      <c r="U983" s="74"/>
      <c r="V983" s="74"/>
      <c r="W983" s="74"/>
      <c r="X983" s="74"/>
      <c r="Y983" s="74"/>
      <c r="Z983" s="74"/>
      <c r="AA983" s="74"/>
      <c r="AB983" s="74"/>
      <c r="AC983" s="74"/>
      <c r="AD983" s="74"/>
      <c r="AE983" s="74"/>
      <c r="AF983" s="74"/>
      <c r="AG983" s="74"/>
      <c r="AH983" s="74"/>
      <c r="AI983" s="74"/>
      <c r="AJ983" s="74"/>
      <c r="AK983" s="74"/>
    </row>
    <row r="984">
      <c r="A984" s="74"/>
      <c r="B984" s="74"/>
      <c r="C984" s="74"/>
      <c r="D984" s="74"/>
      <c r="E984" s="74"/>
      <c r="F984" s="74"/>
      <c r="G984" s="74"/>
      <c r="H984" s="74"/>
      <c r="I984" s="74"/>
      <c r="J984" s="74"/>
      <c r="K984" s="74"/>
      <c r="L984" s="74"/>
      <c r="M984" s="74"/>
      <c r="N984" s="74"/>
      <c r="O984" s="74"/>
      <c r="P984" s="74"/>
      <c r="Q984" s="74"/>
      <c r="R984" s="75"/>
      <c r="S984" s="74"/>
      <c r="T984" s="74"/>
      <c r="U984" s="74"/>
      <c r="V984" s="74"/>
      <c r="W984" s="74"/>
      <c r="X984" s="74"/>
      <c r="Y984" s="74"/>
      <c r="Z984" s="74"/>
      <c r="AA984" s="74"/>
      <c r="AB984" s="74"/>
      <c r="AC984" s="74"/>
      <c r="AD984" s="74"/>
      <c r="AE984" s="74"/>
      <c r="AF984" s="74"/>
      <c r="AG984" s="74"/>
      <c r="AH984" s="74"/>
      <c r="AI984" s="74"/>
      <c r="AJ984" s="74"/>
      <c r="AK984" s="74"/>
    </row>
    <row r="985">
      <c r="A985" s="74"/>
      <c r="B985" s="74"/>
      <c r="C985" s="74"/>
      <c r="D985" s="74"/>
      <c r="E985" s="74"/>
      <c r="F985" s="74"/>
      <c r="G985" s="74"/>
      <c r="H985" s="74"/>
      <c r="I985" s="74"/>
      <c r="J985" s="74"/>
      <c r="K985" s="74"/>
      <c r="L985" s="74"/>
      <c r="M985" s="74"/>
      <c r="N985" s="74"/>
      <c r="O985" s="74"/>
      <c r="P985" s="74"/>
      <c r="Q985" s="74"/>
      <c r="R985" s="75"/>
      <c r="S985" s="74"/>
      <c r="T985" s="74"/>
      <c r="U985" s="74"/>
      <c r="V985" s="74"/>
      <c r="W985" s="74"/>
      <c r="X985" s="74"/>
      <c r="Y985" s="74"/>
      <c r="Z985" s="74"/>
      <c r="AA985" s="74"/>
      <c r="AB985" s="74"/>
      <c r="AC985" s="74"/>
      <c r="AD985" s="74"/>
      <c r="AE985" s="74"/>
      <c r="AF985" s="74"/>
      <c r="AG985" s="74"/>
      <c r="AH985" s="74"/>
      <c r="AI985" s="74"/>
      <c r="AJ985" s="74"/>
      <c r="AK985" s="74"/>
    </row>
    <row r="986">
      <c r="A986" s="74"/>
      <c r="B986" s="74"/>
      <c r="C986" s="74"/>
      <c r="D986" s="74"/>
      <c r="E986" s="74"/>
      <c r="F986" s="74"/>
      <c r="G986" s="74"/>
      <c r="H986" s="74"/>
      <c r="I986" s="74"/>
      <c r="J986" s="74"/>
      <c r="K986" s="74"/>
      <c r="L986" s="74"/>
      <c r="M986" s="74"/>
      <c r="N986" s="74"/>
      <c r="O986" s="74"/>
      <c r="P986" s="74"/>
      <c r="Q986" s="74"/>
      <c r="R986" s="75"/>
      <c r="S986" s="74"/>
      <c r="T986" s="74"/>
      <c r="U986" s="74"/>
      <c r="V986" s="74"/>
      <c r="W986" s="74"/>
      <c r="X986" s="74"/>
      <c r="Y986" s="74"/>
      <c r="Z986" s="74"/>
      <c r="AA986" s="74"/>
      <c r="AB986" s="74"/>
      <c r="AC986" s="74"/>
      <c r="AD986" s="74"/>
      <c r="AE986" s="74"/>
      <c r="AF986" s="74"/>
      <c r="AG986" s="74"/>
      <c r="AH986" s="74"/>
      <c r="AI986" s="74"/>
      <c r="AJ986" s="74"/>
      <c r="AK986" s="74"/>
    </row>
    <row r="987">
      <c r="A987" s="74"/>
      <c r="B987" s="74"/>
      <c r="C987" s="74"/>
      <c r="D987" s="74"/>
      <c r="E987" s="74"/>
      <c r="F987" s="74"/>
      <c r="G987" s="74"/>
      <c r="H987" s="74"/>
      <c r="I987" s="74"/>
      <c r="J987" s="74"/>
      <c r="K987" s="74"/>
      <c r="L987" s="74"/>
      <c r="M987" s="74"/>
      <c r="N987" s="74"/>
      <c r="O987" s="74"/>
      <c r="P987" s="74"/>
      <c r="Q987" s="74"/>
      <c r="R987" s="75"/>
      <c r="S987" s="74"/>
      <c r="T987" s="74"/>
      <c r="U987" s="74"/>
      <c r="V987" s="74"/>
      <c r="W987" s="74"/>
      <c r="X987" s="74"/>
      <c r="Y987" s="74"/>
      <c r="Z987" s="74"/>
      <c r="AA987" s="74"/>
      <c r="AB987" s="74"/>
      <c r="AC987" s="74"/>
      <c r="AD987" s="74"/>
      <c r="AE987" s="74"/>
      <c r="AF987" s="74"/>
      <c r="AG987" s="74"/>
      <c r="AH987" s="74"/>
      <c r="AI987" s="74"/>
      <c r="AJ987" s="74"/>
      <c r="AK987" s="74"/>
    </row>
    <row r="988">
      <c r="A988" s="74"/>
      <c r="B988" s="74"/>
      <c r="C988" s="74"/>
      <c r="D988" s="74"/>
      <c r="E988" s="74"/>
      <c r="F988" s="74"/>
      <c r="G988" s="74"/>
      <c r="H988" s="74"/>
      <c r="I988" s="74"/>
      <c r="J988" s="74"/>
      <c r="K988" s="74"/>
      <c r="L988" s="74"/>
      <c r="M988" s="74"/>
      <c r="N988" s="74"/>
      <c r="O988" s="74"/>
      <c r="P988" s="74"/>
      <c r="Q988" s="74"/>
      <c r="R988" s="75"/>
      <c r="S988" s="74"/>
      <c r="T988" s="74"/>
      <c r="U988" s="74"/>
      <c r="V988" s="74"/>
      <c r="W988" s="74"/>
      <c r="X988" s="74"/>
      <c r="Y988" s="74"/>
      <c r="Z988" s="74"/>
      <c r="AA988" s="74"/>
      <c r="AB988" s="74"/>
      <c r="AC988" s="74"/>
      <c r="AD988" s="74"/>
      <c r="AE988" s="74"/>
      <c r="AF988" s="74"/>
      <c r="AG988" s="74"/>
      <c r="AH988" s="74"/>
      <c r="AI988" s="74"/>
      <c r="AJ988" s="74"/>
      <c r="AK988" s="74"/>
    </row>
    <row r="989">
      <c r="A989" s="74"/>
      <c r="B989" s="74"/>
      <c r="C989" s="74"/>
      <c r="D989" s="74"/>
      <c r="E989" s="74"/>
      <c r="F989" s="74"/>
      <c r="G989" s="74"/>
      <c r="H989" s="74"/>
      <c r="I989" s="74"/>
      <c r="J989" s="74"/>
      <c r="K989" s="74"/>
      <c r="L989" s="74"/>
      <c r="M989" s="74"/>
      <c r="N989" s="74"/>
      <c r="O989" s="74"/>
      <c r="P989" s="74"/>
      <c r="Q989" s="74"/>
      <c r="R989" s="75"/>
      <c r="S989" s="74"/>
      <c r="T989" s="74"/>
      <c r="U989" s="74"/>
      <c r="V989" s="74"/>
      <c r="W989" s="74"/>
      <c r="X989" s="74"/>
      <c r="Y989" s="74"/>
      <c r="Z989" s="74"/>
      <c r="AA989" s="74"/>
      <c r="AB989" s="74"/>
      <c r="AC989" s="74"/>
      <c r="AD989" s="74"/>
      <c r="AE989" s="74"/>
      <c r="AF989" s="74"/>
      <c r="AG989" s="74"/>
      <c r="AH989" s="74"/>
      <c r="AI989" s="74"/>
      <c r="AJ989" s="74"/>
      <c r="AK989" s="74"/>
    </row>
    <row r="990">
      <c r="A990" s="74"/>
      <c r="B990" s="74"/>
      <c r="C990" s="74"/>
      <c r="D990" s="74"/>
      <c r="E990" s="74"/>
      <c r="F990" s="74"/>
      <c r="G990" s="74"/>
      <c r="H990" s="74"/>
      <c r="I990" s="74"/>
      <c r="J990" s="74"/>
      <c r="K990" s="74"/>
      <c r="L990" s="74"/>
      <c r="M990" s="74"/>
      <c r="N990" s="74"/>
      <c r="O990" s="74"/>
      <c r="P990" s="74"/>
      <c r="Q990" s="74"/>
      <c r="R990" s="75"/>
      <c r="S990" s="74"/>
      <c r="T990" s="74"/>
      <c r="U990" s="74"/>
      <c r="V990" s="74"/>
      <c r="W990" s="74"/>
      <c r="X990" s="74"/>
      <c r="Y990" s="74"/>
      <c r="Z990" s="74"/>
      <c r="AA990" s="74"/>
      <c r="AB990" s="74"/>
      <c r="AC990" s="74"/>
      <c r="AD990" s="74"/>
      <c r="AE990" s="74"/>
      <c r="AF990" s="74"/>
      <c r="AG990" s="74"/>
      <c r="AH990" s="74"/>
      <c r="AI990" s="74"/>
      <c r="AJ990" s="74"/>
      <c r="AK990" s="74"/>
    </row>
    <row r="991">
      <c r="A991" s="74"/>
      <c r="B991" s="74"/>
      <c r="C991" s="74"/>
      <c r="D991" s="74"/>
      <c r="E991" s="74"/>
      <c r="F991" s="74"/>
      <c r="G991" s="74"/>
      <c r="H991" s="74"/>
      <c r="I991" s="74"/>
      <c r="J991" s="74"/>
      <c r="K991" s="74"/>
      <c r="L991" s="74"/>
      <c r="M991" s="74"/>
      <c r="N991" s="74"/>
      <c r="O991" s="74"/>
      <c r="P991" s="74"/>
      <c r="Q991" s="74"/>
      <c r="R991" s="75"/>
      <c r="S991" s="74"/>
      <c r="T991" s="74"/>
      <c r="U991" s="74"/>
      <c r="V991" s="74"/>
      <c r="W991" s="74"/>
      <c r="X991" s="74"/>
      <c r="Y991" s="74"/>
      <c r="Z991" s="74"/>
      <c r="AA991" s="74"/>
      <c r="AB991" s="74"/>
      <c r="AC991" s="74"/>
      <c r="AD991" s="74"/>
      <c r="AE991" s="74"/>
      <c r="AF991" s="74"/>
      <c r="AG991" s="74"/>
      <c r="AH991" s="74"/>
      <c r="AI991" s="74"/>
      <c r="AJ991" s="74"/>
      <c r="AK991" s="74"/>
    </row>
    <row r="992">
      <c r="A992" s="74"/>
      <c r="B992" s="74"/>
      <c r="C992" s="74"/>
      <c r="D992" s="74"/>
      <c r="E992" s="74"/>
      <c r="F992" s="74"/>
      <c r="G992" s="74"/>
      <c r="H992" s="74"/>
      <c r="I992" s="74"/>
      <c r="J992" s="74"/>
      <c r="K992" s="74"/>
      <c r="L992" s="74"/>
      <c r="M992" s="74"/>
      <c r="N992" s="74"/>
      <c r="O992" s="74"/>
      <c r="P992" s="74"/>
      <c r="Q992" s="74"/>
      <c r="R992" s="75"/>
      <c r="S992" s="74"/>
      <c r="T992" s="74"/>
      <c r="U992" s="74"/>
      <c r="V992" s="74"/>
      <c r="W992" s="74"/>
      <c r="X992" s="74"/>
      <c r="Y992" s="74"/>
      <c r="Z992" s="74"/>
      <c r="AA992" s="74"/>
      <c r="AB992" s="74"/>
      <c r="AC992" s="74"/>
      <c r="AD992" s="74"/>
      <c r="AE992" s="74"/>
      <c r="AF992" s="74"/>
      <c r="AG992" s="74"/>
      <c r="AH992" s="74"/>
      <c r="AI992" s="74"/>
      <c r="AJ992" s="74"/>
      <c r="AK992" s="74"/>
    </row>
    <row r="993">
      <c r="A993" s="74"/>
      <c r="B993" s="74"/>
      <c r="C993" s="74"/>
      <c r="D993" s="74"/>
      <c r="E993" s="74"/>
      <c r="F993" s="74"/>
      <c r="G993" s="74"/>
      <c r="H993" s="74"/>
      <c r="I993" s="74"/>
      <c r="J993" s="74"/>
      <c r="K993" s="74"/>
      <c r="L993" s="74"/>
      <c r="M993" s="74"/>
      <c r="N993" s="74"/>
      <c r="O993" s="74"/>
      <c r="P993" s="74"/>
      <c r="Q993" s="74"/>
      <c r="R993" s="75"/>
      <c r="S993" s="74"/>
      <c r="T993" s="74"/>
      <c r="U993" s="74"/>
      <c r="V993" s="74"/>
      <c r="W993" s="74"/>
      <c r="X993" s="74"/>
      <c r="Y993" s="74"/>
      <c r="Z993" s="74"/>
      <c r="AA993" s="74"/>
      <c r="AB993" s="74"/>
      <c r="AC993" s="74"/>
      <c r="AD993" s="74"/>
      <c r="AE993" s="74"/>
      <c r="AF993" s="74"/>
      <c r="AG993" s="74"/>
      <c r="AH993" s="74"/>
      <c r="AI993" s="74"/>
      <c r="AJ993" s="74"/>
      <c r="AK993" s="74"/>
    </row>
    <row r="994">
      <c r="A994" s="74"/>
      <c r="B994" s="74"/>
      <c r="C994" s="74"/>
      <c r="D994" s="74"/>
      <c r="E994" s="74"/>
      <c r="F994" s="74"/>
      <c r="G994" s="74"/>
      <c r="H994" s="74"/>
      <c r="I994" s="74"/>
      <c r="J994" s="74"/>
      <c r="K994" s="74"/>
      <c r="L994" s="74"/>
      <c r="M994" s="74"/>
      <c r="N994" s="74"/>
      <c r="O994" s="74"/>
      <c r="P994" s="74"/>
      <c r="Q994" s="74"/>
      <c r="R994" s="75"/>
      <c r="S994" s="74"/>
      <c r="T994" s="74"/>
      <c r="U994" s="74"/>
      <c r="V994" s="74"/>
      <c r="W994" s="74"/>
      <c r="X994" s="74"/>
      <c r="Y994" s="74"/>
      <c r="Z994" s="74"/>
      <c r="AA994" s="74"/>
      <c r="AB994" s="74"/>
      <c r="AC994" s="74"/>
      <c r="AD994" s="74"/>
      <c r="AE994" s="74"/>
      <c r="AF994" s="74"/>
      <c r="AG994" s="74"/>
      <c r="AH994" s="74"/>
      <c r="AI994" s="74"/>
      <c r="AJ994" s="74"/>
      <c r="AK994" s="74"/>
    </row>
    <row r="995">
      <c r="A995" s="74"/>
      <c r="B995" s="74"/>
      <c r="C995" s="74"/>
      <c r="D995" s="74"/>
      <c r="E995" s="74"/>
      <c r="F995" s="74"/>
      <c r="G995" s="74"/>
      <c r="H995" s="74"/>
      <c r="I995" s="74"/>
      <c r="J995" s="74"/>
      <c r="K995" s="74"/>
      <c r="L995" s="74"/>
      <c r="M995" s="74"/>
      <c r="N995" s="74"/>
      <c r="O995" s="74"/>
      <c r="P995" s="74"/>
      <c r="Q995" s="74"/>
      <c r="R995" s="75"/>
      <c r="S995" s="74"/>
      <c r="T995" s="74"/>
      <c r="U995" s="74"/>
      <c r="V995" s="74"/>
      <c r="W995" s="74"/>
      <c r="X995" s="74"/>
      <c r="Y995" s="74"/>
      <c r="Z995" s="74"/>
      <c r="AA995" s="74"/>
      <c r="AB995" s="74"/>
      <c r="AC995" s="74"/>
      <c r="AD995" s="74"/>
      <c r="AE995" s="74"/>
      <c r="AF995" s="74"/>
      <c r="AG995" s="74"/>
      <c r="AH995" s="74"/>
      <c r="AI995" s="74"/>
      <c r="AJ995" s="74"/>
      <c r="AK995" s="74"/>
    </row>
    <row r="996">
      <c r="A996" s="74"/>
      <c r="B996" s="74"/>
      <c r="C996" s="74"/>
      <c r="D996" s="74"/>
      <c r="E996" s="74"/>
      <c r="F996" s="74"/>
      <c r="G996" s="74"/>
      <c r="H996" s="74"/>
      <c r="I996" s="74"/>
      <c r="J996" s="74"/>
      <c r="K996" s="74"/>
      <c r="L996" s="74"/>
      <c r="M996" s="74"/>
      <c r="N996" s="74"/>
      <c r="O996" s="74"/>
      <c r="P996" s="74"/>
      <c r="Q996" s="74"/>
      <c r="R996" s="75"/>
      <c r="S996" s="74"/>
      <c r="T996" s="74"/>
      <c r="U996" s="74"/>
      <c r="V996" s="74"/>
      <c r="W996" s="74"/>
      <c r="X996" s="74"/>
      <c r="Y996" s="74"/>
      <c r="Z996" s="74"/>
      <c r="AA996" s="74"/>
      <c r="AB996" s="74"/>
      <c r="AC996" s="74"/>
      <c r="AD996" s="74"/>
      <c r="AE996" s="74"/>
      <c r="AF996" s="74"/>
      <c r="AG996" s="74"/>
      <c r="AH996" s="74"/>
      <c r="AI996" s="74"/>
      <c r="AJ996" s="74"/>
      <c r="AK996" s="74"/>
    </row>
    <row r="997">
      <c r="A997" s="74"/>
      <c r="B997" s="74"/>
      <c r="C997" s="74"/>
      <c r="D997" s="74"/>
      <c r="E997" s="74"/>
      <c r="F997" s="74"/>
      <c r="G997" s="74"/>
      <c r="H997" s="74"/>
      <c r="I997" s="74"/>
      <c r="J997" s="74"/>
      <c r="K997" s="74"/>
      <c r="L997" s="74"/>
      <c r="M997" s="74"/>
      <c r="N997" s="74"/>
      <c r="O997" s="74"/>
      <c r="P997" s="74"/>
      <c r="Q997" s="74"/>
      <c r="R997" s="75"/>
      <c r="S997" s="74"/>
      <c r="T997" s="74"/>
      <c r="U997" s="74"/>
      <c r="V997" s="74"/>
      <c r="W997" s="74"/>
      <c r="X997" s="74"/>
      <c r="Y997" s="74"/>
      <c r="Z997" s="74"/>
      <c r="AA997" s="74"/>
      <c r="AB997" s="74"/>
      <c r="AC997" s="74"/>
      <c r="AD997" s="74"/>
      <c r="AE997" s="74"/>
      <c r="AF997" s="74"/>
      <c r="AG997" s="74"/>
      <c r="AH997" s="74"/>
      <c r="AI997" s="74"/>
      <c r="AJ997" s="74"/>
      <c r="AK997" s="74"/>
    </row>
    <row r="998">
      <c r="A998" s="74"/>
      <c r="B998" s="74"/>
      <c r="C998" s="74"/>
      <c r="D998" s="74"/>
      <c r="E998" s="74"/>
      <c r="F998" s="74"/>
      <c r="G998" s="74"/>
      <c r="H998" s="74"/>
      <c r="I998" s="74"/>
      <c r="J998" s="74"/>
      <c r="K998" s="74"/>
      <c r="L998" s="74"/>
      <c r="M998" s="74"/>
      <c r="N998" s="74"/>
      <c r="O998" s="74"/>
      <c r="P998" s="74"/>
      <c r="Q998" s="74"/>
      <c r="R998" s="75"/>
      <c r="S998" s="74"/>
      <c r="T998" s="74"/>
      <c r="U998" s="74"/>
      <c r="V998" s="74"/>
      <c r="W998" s="74"/>
      <c r="X998" s="74"/>
      <c r="Y998" s="74"/>
      <c r="Z998" s="74"/>
      <c r="AA998" s="74"/>
      <c r="AB998" s="74"/>
      <c r="AC998" s="74"/>
      <c r="AD998" s="74"/>
      <c r="AE998" s="74"/>
      <c r="AF998" s="74"/>
      <c r="AG998" s="74"/>
      <c r="AH998" s="74"/>
      <c r="AI998" s="74"/>
      <c r="AJ998" s="74"/>
      <c r="AK998" s="74"/>
    </row>
    <row r="999">
      <c r="A999" s="74"/>
      <c r="B999" s="74"/>
      <c r="C999" s="74"/>
      <c r="D999" s="74"/>
      <c r="E999" s="74"/>
      <c r="F999" s="74"/>
      <c r="G999" s="74"/>
      <c r="H999" s="74"/>
      <c r="I999" s="74"/>
      <c r="J999" s="74"/>
      <c r="K999" s="74"/>
      <c r="L999" s="74"/>
      <c r="M999" s="74"/>
      <c r="N999" s="74"/>
      <c r="O999" s="74"/>
      <c r="P999" s="74"/>
      <c r="Q999" s="74"/>
      <c r="R999" s="75"/>
      <c r="S999" s="74"/>
      <c r="T999" s="74"/>
      <c r="U999" s="74"/>
      <c r="V999" s="74"/>
      <c r="W999" s="74"/>
      <c r="X999" s="74"/>
      <c r="Y999" s="74"/>
      <c r="Z999" s="74"/>
      <c r="AA999" s="74"/>
      <c r="AB999" s="74"/>
      <c r="AC999" s="74"/>
      <c r="AD999" s="74"/>
      <c r="AE999" s="74"/>
      <c r="AF999" s="74"/>
      <c r="AG999" s="74"/>
      <c r="AH999" s="74"/>
      <c r="AI999" s="74"/>
      <c r="AJ999" s="74"/>
      <c r="AK999" s="74"/>
    </row>
    <row r="1000">
      <c r="A1000" s="74"/>
      <c r="B1000" s="74"/>
      <c r="C1000" s="74"/>
      <c r="D1000" s="74"/>
      <c r="E1000" s="74"/>
      <c r="F1000" s="74"/>
      <c r="G1000" s="74"/>
      <c r="H1000" s="74"/>
      <c r="I1000" s="74"/>
      <c r="J1000" s="74"/>
      <c r="K1000" s="74"/>
      <c r="L1000" s="74"/>
      <c r="M1000" s="74"/>
      <c r="N1000" s="74"/>
      <c r="O1000" s="74"/>
      <c r="P1000" s="74"/>
      <c r="Q1000" s="74"/>
      <c r="R1000" s="75"/>
      <c r="S1000" s="74"/>
      <c r="T1000" s="74"/>
      <c r="U1000" s="74"/>
      <c r="V1000" s="74"/>
      <c r="W1000" s="74"/>
      <c r="X1000" s="74"/>
      <c r="Y1000" s="74"/>
      <c r="Z1000" s="74"/>
      <c r="AA1000" s="74"/>
      <c r="AB1000" s="74"/>
      <c r="AC1000" s="74"/>
      <c r="AD1000" s="74"/>
      <c r="AE1000" s="74"/>
      <c r="AF1000" s="74"/>
      <c r="AG1000" s="74"/>
      <c r="AH1000" s="74"/>
      <c r="AI1000" s="74"/>
      <c r="AJ1000" s="74"/>
      <c r="AK1000" s="74"/>
    </row>
    <row r="1001">
      <c r="A1001" s="74"/>
      <c r="B1001" s="74"/>
      <c r="C1001" s="74"/>
      <c r="D1001" s="74"/>
      <c r="E1001" s="74"/>
      <c r="F1001" s="74"/>
      <c r="G1001" s="74"/>
      <c r="H1001" s="74"/>
      <c r="I1001" s="74"/>
      <c r="J1001" s="74"/>
      <c r="K1001" s="74"/>
      <c r="L1001" s="74"/>
      <c r="M1001" s="74"/>
      <c r="N1001" s="74"/>
      <c r="O1001" s="74"/>
      <c r="P1001" s="74"/>
      <c r="Q1001" s="74"/>
      <c r="R1001" s="75"/>
      <c r="S1001" s="74"/>
      <c r="T1001" s="74"/>
      <c r="U1001" s="74"/>
      <c r="V1001" s="74"/>
      <c r="W1001" s="74"/>
      <c r="X1001" s="74"/>
      <c r="Y1001" s="74"/>
      <c r="Z1001" s="74"/>
      <c r="AA1001" s="74"/>
      <c r="AB1001" s="74"/>
      <c r="AC1001" s="74"/>
      <c r="AD1001" s="74"/>
      <c r="AE1001" s="74"/>
      <c r="AF1001" s="74"/>
      <c r="AG1001" s="74"/>
      <c r="AH1001" s="74"/>
      <c r="AI1001" s="74"/>
      <c r="AJ1001" s="74"/>
      <c r="AK1001" s="74"/>
    </row>
    <row r="1002">
      <c r="A1002" s="74"/>
      <c r="B1002" s="74"/>
      <c r="C1002" s="74"/>
      <c r="D1002" s="74"/>
      <c r="E1002" s="74"/>
      <c r="F1002" s="74"/>
      <c r="G1002" s="74"/>
      <c r="H1002" s="74"/>
      <c r="I1002" s="74"/>
      <c r="J1002" s="74"/>
      <c r="K1002" s="74"/>
      <c r="L1002" s="74"/>
      <c r="M1002" s="74"/>
      <c r="N1002" s="74"/>
      <c r="O1002" s="74"/>
      <c r="P1002" s="74"/>
      <c r="Q1002" s="74"/>
      <c r="R1002" s="75"/>
      <c r="S1002" s="74"/>
      <c r="T1002" s="74"/>
      <c r="U1002" s="74"/>
      <c r="V1002" s="74"/>
      <c r="W1002" s="74"/>
      <c r="X1002" s="74"/>
      <c r="Y1002" s="74"/>
      <c r="Z1002" s="74"/>
      <c r="AA1002" s="74"/>
      <c r="AB1002" s="74"/>
      <c r="AC1002" s="74"/>
      <c r="AD1002" s="74"/>
      <c r="AE1002" s="74"/>
      <c r="AF1002" s="74"/>
      <c r="AG1002" s="74"/>
      <c r="AH1002" s="74"/>
      <c r="AI1002" s="74"/>
      <c r="AJ1002" s="74"/>
      <c r="AK1002" s="74"/>
    </row>
    <row r="1003">
      <c r="A1003" s="74"/>
      <c r="B1003" s="74"/>
      <c r="C1003" s="74"/>
      <c r="D1003" s="74"/>
      <c r="E1003" s="74"/>
      <c r="F1003" s="74"/>
      <c r="G1003" s="74"/>
      <c r="H1003" s="74"/>
      <c r="I1003" s="74"/>
      <c r="J1003" s="74"/>
      <c r="K1003" s="74"/>
      <c r="L1003" s="74"/>
      <c r="M1003" s="74"/>
      <c r="N1003" s="74"/>
      <c r="O1003" s="74"/>
      <c r="P1003" s="74"/>
      <c r="Q1003" s="74"/>
      <c r="R1003" s="75"/>
      <c r="S1003" s="74"/>
      <c r="T1003" s="74"/>
      <c r="U1003" s="74"/>
      <c r="V1003" s="74"/>
      <c r="W1003" s="74"/>
      <c r="X1003" s="74"/>
      <c r="Y1003" s="74"/>
      <c r="Z1003" s="74"/>
      <c r="AA1003" s="74"/>
      <c r="AB1003" s="74"/>
      <c r="AC1003" s="74"/>
      <c r="AD1003" s="74"/>
      <c r="AE1003" s="74"/>
      <c r="AF1003" s="74"/>
      <c r="AG1003" s="74"/>
      <c r="AH1003" s="74"/>
      <c r="AI1003" s="74"/>
      <c r="AJ1003" s="74"/>
      <c r="AK1003" s="74"/>
    </row>
    <row r="1004">
      <c r="A1004" s="74"/>
      <c r="B1004" s="74"/>
      <c r="C1004" s="74"/>
      <c r="D1004" s="74"/>
      <c r="E1004" s="74"/>
      <c r="F1004" s="74"/>
      <c r="G1004" s="74"/>
      <c r="H1004" s="74"/>
      <c r="I1004" s="74"/>
      <c r="J1004" s="74"/>
      <c r="K1004" s="74"/>
      <c r="L1004" s="74"/>
      <c r="M1004" s="74"/>
      <c r="N1004" s="74"/>
      <c r="O1004" s="74"/>
      <c r="P1004" s="74"/>
      <c r="Q1004" s="74"/>
      <c r="R1004" s="75"/>
      <c r="S1004" s="74"/>
      <c r="T1004" s="74"/>
      <c r="U1004" s="74"/>
      <c r="V1004" s="74"/>
      <c r="W1004" s="74"/>
      <c r="X1004" s="74"/>
      <c r="Y1004" s="74"/>
      <c r="Z1004" s="74"/>
      <c r="AA1004" s="74"/>
      <c r="AB1004" s="74"/>
      <c r="AC1004" s="74"/>
      <c r="AD1004" s="74"/>
      <c r="AE1004" s="74"/>
      <c r="AF1004" s="74"/>
      <c r="AG1004" s="74"/>
      <c r="AH1004" s="74"/>
      <c r="AI1004" s="74"/>
      <c r="AJ1004" s="74"/>
      <c r="AK1004" s="74"/>
    </row>
    <row r="1005">
      <c r="A1005" s="74"/>
      <c r="B1005" s="74"/>
      <c r="C1005" s="74"/>
      <c r="D1005" s="74"/>
      <c r="E1005" s="74"/>
      <c r="F1005" s="74"/>
      <c r="G1005" s="74"/>
      <c r="H1005" s="74"/>
      <c r="I1005" s="74"/>
      <c r="J1005" s="74"/>
      <c r="K1005" s="74"/>
      <c r="L1005" s="74"/>
      <c r="M1005" s="74"/>
      <c r="N1005" s="74"/>
      <c r="O1005" s="74"/>
      <c r="P1005" s="74"/>
      <c r="Q1005" s="74"/>
      <c r="R1005" s="75"/>
      <c r="S1005" s="74"/>
      <c r="T1005" s="74"/>
      <c r="U1005" s="74"/>
      <c r="V1005" s="74"/>
      <c r="W1005" s="74"/>
      <c r="X1005" s="74"/>
      <c r="Y1005" s="74"/>
      <c r="Z1005" s="74"/>
      <c r="AA1005" s="74"/>
      <c r="AB1005" s="74"/>
      <c r="AC1005" s="74"/>
      <c r="AD1005" s="74"/>
      <c r="AE1005" s="74"/>
      <c r="AF1005" s="74"/>
      <c r="AG1005" s="74"/>
      <c r="AH1005" s="74"/>
      <c r="AI1005" s="74"/>
      <c r="AJ1005" s="74"/>
      <c r="AK1005" s="74"/>
    </row>
    <row r="1006">
      <c r="A1006" s="74"/>
      <c r="B1006" s="74"/>
      <c r="C1006" s="74"/>
      <c r="D1006" s="74"/>
      <c r="E1006" s="74"/>
      <c r="F1006" s="74"/>
      <c r="G1006" s="74"/>
      <c r="H1006" s="74"/>
      <c r="I1006" s="74"/>
      <c r="J1006" s="74"/>
      <c r="K1006" s="74"/>
      <c r="L1006" s="74"/>
      <c r="M1006" s="74"/>
      <c r="N1006" s="74"/>
      <c r="O1006" s="74"/>
      <c r="P1006" s="74"/>
      <c r="Q1006" s="74"/>
      <c r="R1006" s="75"/>
      <c r="S1006" s="74"/>
      <c r="T1006" s="74"/>
      <c r="U1006" s="74"/>
      <c r="V1006" s="74"/>
      <c r="W1006" s="74"/>
      <c r="X1006" s="74"/>
      <c r="Y1006" s="74"/>
      <c r="Z1006" s="74"/>
      <c r="AA1006" s="74"/>
      <c r="AB1006" s="74"/>
      <c r="AC1006" s="74"/>
      <c r="AD1006" s="74"/>
      <c r="AE1006" s="74"/>
      <c r="AF1006" s="74"/>
      <c r="AG1006" s="74"/>
      <c r="AH1006" s="74"/>
      <c r="AI1006" s="74"/>
      <c r="AJ1006" s="74"/>
      <c r="AK1006" s="74"/>
    </row>
    <row r="1007">
      <c r="A1007" s="74"/>
      <c r="B1007" s="74"/>
      <c r="C1007" s="74"/>
      <c r="D1007" s="74"/>
      <c r="E1007" s="74"/>
      <c r="F1007" s="74"/>
      <c r="G1007" s="74"/>
      <c r="H1007" s="74"/>
      <c r="I1007" s="74"/>
      <c r="J1007" s="74"/>
      <c r="K1007" s="74"/>
      <c r="L1007" s="74"/>
      <c r="M1007" s="74"/>
      <c r="N1007" s="74"/>
      <c r="O1007" s="74"/>
      <c r="P1007" s="74"/>
      <c r="Q1007" s="74"/>
      <c r="R1007" s="75"/>
      <c r="S1007" s="74"/>
      <c r="T1007" s="74"/>
      <c r="U1007" s="74"/>
      <c r="V1007" s="74"/>
      <c r="W1007" s="74"/>
      <c r="X1007" s="74"/>
      <c r="Y1007" s="74"/>
      <c r="Z1007" s="74"/>
      <c r="AA1007" s="74"/>
      <c r="AB1007" s="74"/>
      <c r="AC1007" s="74"/>
      <c r="AD1007" s="74"/>
      <c r="AE1007" s="74"/>
      <c r="AF1007" s="74"/>
      <c r="AG1007" s="74"/>
      <c r="AH1007" s="74"/>
      <c r="AI1007" s="74"/>
      <c r="AJ1007" s="74"/>
      <c r="AK1007" s="74"/>
    </row>
  </sheetData>
  <autoFilter ref="$B$1:$AK$95">
    <sortState ref="B1:AK95">
      <sortCondition ref="S1:S95"/>
      <sortCondition ref="T1:T95"/>
      <sortCondition ref="B1:B95"/>
    </sortState>
  </autoFilter>
  <dataValidations>
    <dataValidation type="list" allowBlank="1" showErrorMessage="1" sqref="T2:T112">
      <formula1>"17-18,18 - 19,19 - 20,20 - 21,21 - 22,22 - 23,23 - 24,24 - 25,25 - 26"</formula1>
    </dataValidation>
    <dataValidation type="list" allowBlank="1" showErrorMessage="1" sqref="S2:S112">
      <formula1>"FY,EL,DL,IL,Seminars,Pathway Days,First Step"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2.5"/>
  </cols>
  <sheetData>
    <row r="1">
      <c r="A1" s="1" t="s">
        <v>16467</v>
      </c>
      <c r="B1" s="1" t="s">
        <v>16468</v>
      </c>
      <c r="C1" s="1" t="s">
        <v>16469</v>
      </c>
      <c r="D1" s="1" t="s">
        <v>16470</v>
      </c>
      <c r="E1" s="1" t="s">
        <v>208</v>
      </c>
      <c r="F1" s="1" t="s">
        <v>16471</v>
      </c>
      <c r="G1" s="1" t="s">
        <v>16472</v>
      </c>
      <c r="H1" s="1" t="s">
        <v>16473</v>
      </c>
    </row>
    <row r="2">
      <c r="A2" s="89">
        <v>1015.0</v>
      </c>
      <c r="B2" s="1" t="s">
        <v>16474</v>
      </c>
      <c r="E2" s="1" t="s">
        <v>16475</v>
      </c>
      <c r="F2" s="90">
        <v>45113.555451388886</v>
      </c>
      <c r="G2" s="90">
        <v>46082.76657407408</v>
      </c>
      <c r="H2" s="1" t="s">
        <v>16476</v>
      </c>
    </row>
    <row r="3">
      <c r="A3" s="89">
        <v>1734.0</v>
      </c>
      <c r="B3" s="1" t="s">
        <v>16477</v>
      </c>
      <c r="F3" s="90">
        <v>45856.455300925925</v>
      </c>
      <c r="G3" s="90">
        <v>46052.734305555554</v>
      </c>
      <c r="H3" s="1" t="s">
        <v>16476</v>
      </c>
    </row>
    <row r="4">
      <c r="A4" s="89">
        <v>1273.0</v>
      </c>
      <c r="B4" s="1" t="s">
        <v>16478</v>
      </c>
      <c r="F4" s="90">
        <v>45113.53784722222</v>
      </c>
      <c r="G4" s="90">
        <v>46048.95915509259</v>
      </c>
      <c r="H4" s="1" t="s">
        <v>16476</v>
      </c>
    </row>
    <row r="5">
      <c r="A5" s="1">
        <v>439.0</v>
      </c>
      <c r="B5" s="1" t="s">
        <v>16479</v>
      </c>
      <c r="E5" s="1" t="s">
        <v>16475</v>
      </c>
      <c r="F5" s="90">
        <v>45113.547002314815</v>
      </c>
      <c r="G5" s="90">
        <v>46047.45959490741</v>
      </c>
      <c r="H5" s="1" t="s">
        <v>16476</v>
      </c>
    </row>
    <row r="6">
      <c r="A6" s="1">
        <v>614.0</v>
      </c>
      <c r="B6" s="1" t="s">
        <v>16480</v>
      </c>
      <c r="E6" s="1" t="s">
        <v>16481</v>
      </c>
      <c r="F6" s="90">
        <v>45113.54956018519</v>
      </c>
      <c r="G6" s="90">
        <v>46047.45721064815</v>
      </c>
      <c r="H6" s="1" t="s">
        <v>16476</v>
      </c>
    </row>
    <row r="7">
      <c r="A7" s="89">
        <v>1461.0</v>
      </c>
      <c r="B7" s="1" t="s">
        <v>16482</v>
      </c>
      <c r="F7" s="90">
        <v>45465.68371527778</v>
      </c>
      <c r="G7" s="90">
        <v>46047.45690972222</v>
      </c>
      <c r="H7" s="1" t="s">
        <v>16476</v>
      </c>
    </row>
    <row r="8">
      <c r="A8" s="89">
        <v>1790.0</v>
      </c>
      <c r="B8" s="1" t="s">
        <v>3765</v>
      </c>
      <c r="F8" s="90">
        <v>46028.65788194445</v>
      </c>
      <c r="G8" s="90">
        <v>46028.6703125</v>
      </c>
      <c r="H8" s="1" t="s">
        <v>16476</v>
      </c>
    </row>
    <row r="9">
      <c r="A9" s="89">
        <v>1789.0</v>
      </c>
      <c r="B9" s="1" t="s">
        <v>4181</v>
      </c>
      <c r="F9" s="90">
        <v>45465.68105324074</v>
      </c>
      <c r="G9" s="90">
        <v>46009.547534722224</v>
      </c>
      <c r="H9" s="1" t="s">
        <v>16476</v>
      </c>
    </row>
    <row r="10">
      <c r="A10" s="89">
        <v>1788.0</v>
      </c>
      <c r="B10" s="1" t="s">
        <v>16483</v>
      </c>
      <c r="E10" s="1" t="s">
        <v>16475</v>
      </c>
      <c r="F10" s="90">
        <v>46006.75597222222</v>
      </c>
      <c r="G10" s="90">
        <v>46006.75597222222</v>
      </c>
      <c r="H10" s="1" t="s">
        <v>16476</v>
      </c>
    </row>
    <row r="11">
      <c r="A11" s="89">
        <v>1787.0</v>
      </c>
      <c r="B11" s="1" t="s">
        <v>16484</v>
      </c>
      <c r="E11" s="1" t="s">
        <v>16485</v>
      </c>
      <c r="F11" s="90">
        <v>46006.7556712963</v>
      </c>
      <c r="G11" s="90">
        <v>46006.7556712963</v>
      </c>
      <c r="H11" s="1" t="s">
        <v>16476</v>
      </c>
    </row>
    <row r="12">
      <c r="A12" s="89">
        <v>1786.0</v>
      </c>
      <c r="B12" s="1" t="s">
        <v>16486</v>
      </c>
      <c r="E12" s="1" t="s">
        <v>16487</v>
      </c>
      <c r="F12" s="90">
        <v>46006.755162037036</v>
      </c>
      <c r="G12" s="90">
        <v>46006.755162037036</v>
      </c>
      <c r="H12" s="1" t="s">
        <v>16476</v>
      </c>
    </row>
    <row r="13">
      <c r="A13" s="89">
        <v>1785.0</v>
      </c>
      <c r="B13" s="1" t="s">
        <v>16488</v>
      </c>
      <c r="E13" s="1" t="s">
        <v>16487</v>
      </c>
      <c r="F13" s="90">
        <v>46006.75512731481</v>
      </c>
      <c r="G13" s="90">
        <v>46006.75512731481</v>
      </c>
      <c r="H13" s="1" t="s">
        <v>16476</v>
      </c>
    </row>
    <row r="14">
      <c r="A14" s="89">
        <v>1784.0</v>
      </c>
      <c r="B14" s="1" t="s">
        <v>16489</v>
      </c>
      <c r="E14" s="1" t="s">
        <v>16487</v>
      </c>
      <c r="F14" s="90">
        <v>46006.75510416667</v>
      </c>
      <c r="G14" s="90">
        <v>46006.75510416667</v>
      </c>
      <c r="H14" s="1" t="s">
        <v>16476</v>
      </c>
    </row>
    <row r="15">
      <c r="A15" s="89">
        <v>1783.0</v>
      </c>
      <c r="B15" s="1" t="s">
        <v>16490</v>
      </c>
      <c r="E15" s="1" t="s">
        <v>16485</v>
      </c>
      <c r="F15" s="90">
        <v>46006.75506944444</v>
      </c>
      <c r="G15" s="90">
        <v>46006.75506944444</v>
      </c>
      <c r="H15" s="1" t="s">
        <v>16476</v>
      </c>
    </row>
    <row r="16">
      <c r="A16" s="89">
        <v>1782.0</v>
      </c>
      <c r="B16" s="1" t="s">
        <v>16491</v>
      </c>
      <c r="E16" s="1" t="s">
        <v>16487</v>
      </c>
      <c r="F16" s="90">
        <v>46006.7550462963</v>
      </c>
      <c r="G16" s="90">
        <v>46006.7550462963</v>
      </c>
      <c r="H16" s="1" t="s">
        <v>16476</v>
      </c>
    </row>
    <row r="17">
      <c r="A17" s="89">
        <v>1781.0</v>
      </c>
      <c r="B17" s="1" t="s">
        <v>16492</v>
      </c>
      <c r="E17" s="1" t="s">
        <v>16487</v>
      </c>
      <c r="F17" s="90">
        <v>46006.755011574074</v>
      </c>
      <c r="G17" s="90">
        <v>46006.755011574074</v>
      </c>
      <c r="H17" s="1" t="s">
        <v>16476</v>
      </c>
    </row>
    <row r="18">
      <c r="A18" s="89">
        <v>1780.0</v>
      </c>
      <c r="B18" s="1" t="s">
        <v>16493</v>
      </c>
      <c r="E18" s="1" t="s">
        <v>16487</v>
      </c>
      <c r="F18" s="90">
        <v>46006.75498842593</v>
      </c>
      <c r="G18" s="90">
        <v>46006.75498842593</v>
      </c>
      <c r="H18" s="1" t="s">
        <v>16476</v>
      </c>
    </row>
    <row r="19">
      <c r="A19" s="89">
        <v>1779.0</v>
      </c>
      <c r="B19" s="1" t="s">
        <v>16494</v>
      </c>
      <c r="E19" s="1" t="s">
        <v>16487</v>
      </c>
      <c r="F19" s="90">
        <v>46006.754965277774</v>
      </c>
      <c r="G19" s="90">
        <v>46006.754965277774</v>
      </c>
      <c r="H19" s="1" t="s">
        <v>16476</v>
      </c>
    </row>
    <row r="20">
      <c r="A20" s="89">
        <v>1778.0</v>
      </c>
      <c r="B20" s="1" t="s">
        <v>120</v>
      </c>
      <c r="E20" s="1" t="s">
        <v>16487</v>
      </c>
      <c r="F20" s="90">
        <v>46006.75493055556</v>
      </c>
      <c r="G20" s="90">
        <v>46006.75493055556</v>
      </c>
      <c r="H20" s="1" t="s">
        <v>16476</v>
      </c>
    </row>
    <row r="21">
      <c r="A21" s="89">
        <v>1777.0</v>
      </c>
      <c r="B21" s="1" t="s">
        <v>16495</v>
      </c>
      <c r="E21" s="1" t="s">
        <v>16487</v>
      </c>
      <c r="F21" s="90">
        <v>46006.754907407405</v>
      </c>
      <c r="G21" s="90">
        <v>46006.754907407405</v>
      </c>
      <c r="H21" s="1" t="s">
        <v>16476</v>
      </c>
    </row>
    <row r="22">
      <c r="A22" s="89">
        <v>1776.0</v>
      </c>
      <c r="B22" s="1" t="s">
        <v>16496</v>
      </c>
      <c r="E22" s="1" t="s">
        <v>16487</v>
      </c>
      <c r="F22" s="90">
        <v>46006.75488425926</v>
      </c>
      <c r="G22" s="90">
        <v>46006.75488425926</v>
      </c>
      <c r="H22" s="1" t="s">
        <v>16476</v>
      </c>
    </row>
    <row r="23">
      <c r="A23" s="89">
        <v>1775.0</v>
      </c>
      <c r="B23" s="1" t="s">
        <v>16497</v>
      </c>
      <c r="E23" s="1" t="s">
        <v>16487</v>
      </c>
      <c r="F23" s="90">
        <v>46006.754849537036</v>
      </c>
      <c r="G23" s="90">
        <v>46006.754849537036</v>
      </c>
      <c r="H23" s="1" t="s">
        <v>16476</v>
      </c>
    </row>
    <row r="24">
      <c r="A24" s="89">
        <v>1774.0</v>
      </c>
      <c r="B24" s="1" t="s">
        <v>16498</v>
      </c>
      <c r="E24" s="1" t="s">
        <v>16487</v>
      </c>
      <c r="F24" s="90">
        <v>46006.75482638889</v>
      </c>
      <c r="G24" s="90">
        <v>46006.75482638889</v>
      </c>
      <c r="H24" s="1" t="s">
        <v>16476</v>
      </c>
    </row>
    <row r="25">
      <c r="A25" s="89">
        <v>1773.0</v>
      </c>
      <c r="B25" s="1" t="s">
        <v>16499</v>
      </c>
      <c r="E25" s="1" t="s">
        <v>16487</v>
      </c>
      <c r="F25" s="90">
        <v>46006.75480324074</v>
      </c>
      <c r="G25" s="90">
        <v>46006.75480324074</v>
      </c>
      <c r="H25" s="1" t="s">
        <v>16476</v>
      </c>
    </row>
    <row r="26">
      <c r="A26" s="89">
        <v>1772.0</v>
      </c>
      <c r="B26" s="1" t="s">
        <v>16500</v>
      </c>
      <c r="E26" s="1" t="s">
        <v>16487</v>
      </c>
      <c r="F26" s="90">
        <v>46006.75476851852</v>
      </c>
      <c r="G26" s="90">
        <v>46006.75476851852</v>
      </c>
      <c r="H26" s="1" t="s">
        <v>16476</v>
      </c>
    </row>
    <row r="27">
      <c r="A27" s="89">
        <v>1771.0</v>
      </c>
      <c r="B27" s="1" t="s">
        <v>16501</v>
      </c>
      <c r="E27" s="1" t="s">
        <v>5202</v>
      </c>
      <c r="F27" s="90">
        <v>46006.754745370374</v>
      </c>
      <c r="G27" s="90">
        <v>46006.754745370374</v>
      </c>
      <c r="H27" s="1" t="s">
        <v>16476</v>
      </c>
    </row>
    <row r="28">
      <c r="A28" s="89">
        <v>1770.0</v>
      </c>
      <c r="B28" s="1" t="s">
        <v>16502</v>
      </c>
      <c r="E28" s="1" t="s">
        <v>16487</v>
      </c>
      <c r="F28" s="90">
        <v>46006.75471064815</v>
      </c>
      <c r="G28" s="90">
        <v>46006.75471064815</v>
      </c>
      <c r="H28" s="1" t="s">
        <v>16476</v>
      </c>
    </row>
    <row r="29">
      <c r="A29" s="89">
        <v>1769.0</v>
      </c>
      <c r="B29" s="1" t="s">
        <v>16503</v>
      </c>
      <c r="E29" s="1" t="s">
        <v>16485</v>
      </c>
      <c r="F29" s="90">
        <v>46006.75467592593</v>
      </c>
      <c r="G29" s="90">
        <v>46006.75467592593</v>
      </c>
      <c r="H29" s="1" t="s">
        <v>16476</v>
      </c>
    </row>
    <row r="30">
      <c r="A30" s="89">
        <v>1768.0</v>
      </c>
      <c r="B30" s="1" t="s">
        <v>16504</v>
      </c>
      <c r="E30" s="1" t="s">
        <v>16485</v>
      </c>
      <c r="F30" s="90">
        <v>46006.754641203705</v>
      </c>
      <c r="G30" s="90">
        <v>46006.754641203705</v>
      </c>
      <c r="H30" s="1" t="s">
        <v>16476</v>
      </c>
    </row>
    <row r="31">
      <c r="A31" s="89">
        <v>1767.0</v>
      </c>
      <c r="B31" s="1" t="s">
        <v>16505</v>
      </c>
      <c r="E31" s="1" t="s">
        <v>16485</v>
      </c>
      <c r="F31" s="90">
        <v>46006.75461805556</v>
      </c>
      <c r="G31" s="90">
        <v>46006.75461805556</v>
      </c>
      <c r="H31" s="1" t="s">
        <v>16476</v>
      </c>
    </row>
    <row r="32">
      <c r="A32" s="89">
        <v>1766.0</v>
      </c>
      <c r="B32" s="1" t="s">
        <v>16506</v>
      </c>
      <c r="E32" s="1" t="s">
        <v>16485</v>
      </c>
      <c r="F32" s="90">
        <v>46006.754594907405</v>
      </c>
      <c r="G32" s="90">
        <v>46006.754594907405</v>
      </c>
      <c r="H32" s="1" t="s">
        <v>16476</v>
      </c>
    </row>
    <row r="33">
      <c r="A33" s="89">
        <v>1765.0</v>
      </c>
      <c r="B33" s="1" t="s">
        <v>16507</v>
      </c>
      <c r="E33" s="1" t="s">
        <v>16485</v>
      </c>
      <c r="F33" s="90">
        <v>46006.75456018518</v>
      </c>
      <c r="G33" s="90">
        <v>46006.75456018518</v>
      </c>
      <c r="H33" s="1" t="s">
        <v>16476</v>
      </c>
    </row>
    <row r="34">
      <c r="A34" s="89">
        <v>1764.0</v>
      </c>
      <c r="B34" s="1" t="s">
        <v>16508</v>
      </c>
      <c r="E34" s="1" t="s">
        <v>16485</v>
      </c>
      <c r="F34" s="90">
        <v>46006.754537037035</v>
      </c>
      <c r="G34" s="90">
        <v>46006.754537037035</v>
      </c>
      <c r="H34" s="1" t="s">
        <v>16476</v>
      </c>
    </row>
    <row r="35">
      <c r="A35" s="89">
        <v>1763.0</v>
      </c>
      <c r="B35" s="1" t="s">
        <v>16509</v>
      </c>
      <c r="E35" s="1" t="s">
        <v>16485</v>
      </c>
      <c r="F35" s="90">
        <v>46006.75450231481</v>
      </c>
      <c r="G35" s="90">
        <v>46006.75450231481</v>
      </c>
      <c r="H35" s="1" t="s">
        <v>16476</v>
      </c>
    </row>
    <row r="36">
      <c r="A36" s="89">
        <v>1762.0</v>
      </c>
      <c r="B36" s="1" t="s">
        <v>9826</v>
      </c>
      <c r="E36" s="1" t="s">
        <v>16487</v>
      </c>
      <c r="F36" s="90">
        <v>46006.75443287037</v>
      </c>
      <c r="G36" s="90">
        <v>46006.75443287037</v>
      </c>
      <c r="H36" s="1" t="s">
        <v>16476</v>
      </c>
    </row>
    <row r="37">
      <c r="A37" s="89">
        <v>1761.0</v>
      </c>
      <c r="B37" s="1" t="s">
        <v>16510</v>
      </c>
      <c r="E37" s="1" t="s">
        <v>16487</v>
      </c>
      <c r="F37" s="90">
        <v>46006.75438657407</v>
      </c>
      <c r="G37" s="90">
        <v>46006.75438657407</v>
      </c>
      <c r="H37" s="1" t="s">
        <v>16476</v>
      </c>
    </row>
    <row r="38">
      <c r="A38" s="89">
        <v>1760.0</v>
      </c>
      <c r="B38" s="1" t="s">
        <v>16511</v>
      </c>
      <c r="E38" s="1" t="s">
        <v>16487</v>
      </c>
      <c r="F38" s="90">
        <v>46006.75435185185</v>
      </c>
      <c r="G38" s="90">
        <v>46006.75435185185</v>
      </c>
      <c r="H38" s="1" t="s">
        <v>16476</v>
      </c>
    </row>
    <row r="39">
      <c r="A39" s="89">
        <v>1759.0</v>
      </c>
      <c r="B39" s="1" t="s">
        <v>16512</v>
      </c>
      <c r="E39" s="1" t="s">
        <v>16487</v>
      </c>
      <c r="F39" s="90">
        <v>46006.754328703704</v>
      </c>
      <c r="G39" s="90">
        <v>46006.754328703704</v>
      </c>
      <c r="H39" s="1" t="s">
        <v>16476</v>
      </c>
    </row>
    <row r="40">
      <c r="A40" s="89">
        <v>1758.0</v>
      </c>
      <c r="B40" s="1" t="s">
        <v>16513</v>
      </c>
      <c r="E40" s="1" t="s">
        <v>16487</v>
      </c>
      <c r="F40" s="90">
        <v>46006.75430555556</v>
      </c>
      <c r="G40" s="90">
        <v>46006.75430555556</v>
      </c>
      <c r="H40" s="1" t="s">
        <v>16476</v>
      </c>
    </row>
    <row r="41">
      <c r="A41" s="89">
        <v>1757.0</v>
      </c>
      <c r="B41" s="1" t="s">
        <v>16514</v>
      </c>
      <c r="E41" s="1" t="s">
        <v>16487</v>
      </c>
      <c r="F41" s="90">
        <v>46006.754270833335</v>
      </c>
      <c r="G41" s="90">
        <v>46006.754270833335</v>
      </c>
      <c r="H41" s="1" t="s">
        <v>16476</v>
      </c>
    </row>
    <row r="42">
      <c r="A42" s="89">
        <v>1756.0</v>
      </c>
      <c r="B42" s="1" t="s">
        <v>16515</v>
      </c>
      <c r="E42" s="1" t="s">
        <v>16487</v>
      </c>
      <c r="F42" s="90">
        <v>46006.75424768519</v>
      </c>
      <c r="G42" s="90">
        <v>46006.75424768519</v>
      </c>
      <c r="H42" s="1" t="s">
        <v>16476</v>
      </c>
    </row>
    <row r="43">
      <c r="A43" s="89">
        <v>1755.0</v>
      </c>
      <c r="B43" s="1" t="s">
        <v>16516</v>
      </c>
      <c r="E43" s="1" t="s">
        <v>5202</v>
      </c>
      <c r="F43" s="90">
        <v>46006.754212962966</v>
      </c>
      <c r="G43" s="90">
        <v>46006.754212962966</v>
      </c>
      <c r="H43" s="1" t="s">
        <v>16476</v>
      </c>
    </row>
    <row r="44">
      <c r="A44" s="89">
        <v>1754.0</v>
      </c>
      <c r="B44" s="1" t="s">
        <v>16517</v>
      </c>
      <c r="E44" s="1" t="s">
        <v>5202</v>
      </c>
      <c r="F44" s="90">
        <v>46006.75418981481</v>
      </c>
      <c r="G44" s="90">
        <v>46006.75418981481</v>
      </c>
      <c r="H44" s="1" t="s">
        <v>16476</v>
      </c>
    </row>
    <row r="45">
      <c r="A45" s="89">
        <v>1753.0</v>
      </c>
      <c r="B45" s="1" t="s">
        <v>16518</v>
      </c>
      <c r="E45" s="1" t="s">
        <v>16487</v>
      </c>
      <c r="F45" s="90">
        <v>46006.754155092596</v>
      </c>
      <c r="G45" s="90">
        <v>46006.754155092596</v>
      </c>
      <c r="H45" s="1" t="s">
        <v>16476</v>
      </c>
    </row>
    <row r="46">
      <c r="A46" s="89">
        <v>1752.0</v>
      </c>
      <c r="B46" s="1" t="s">
        <v>16519</v>
      </c>
      <c r="E46" s="1" t="s">
        <v>16485</v>
      </c>
      <c r="F46" s="90">
        <v>46006.75413194444</v>
      </c>
      <c r="G46" s="90">
        <v>46006.75413194444</v>
      </c>
      <c r="H46" s="1" t="s">
        <v>16476</v>
      </c>
    </row>
    <row r="47">
      <c r="A47" s="89">
        <v>1751.0</v>
      </c>
      <c r="B47" s="1" t="s">
        <v>16520</v>
      </c>
      <c r="E47" s="1" t="s">
        <v>5202</v>
      </c>
      <c r="F47" s="90">
        <v>46006.75409722222</v>
      </c>
      <c r="G47" s="90">
        <v>46006.75409722222</v>
      </c>
      <c r="H47" s="1" t="s">
        <v>16476</v>
      </c>
    </row>
    <row r="48">
      <c r="A48" s="89">
        <v>1750.0</v>
      </c>
      <c r="B48" s="1" t="s">
        <v>16521</v>
      </c>
      <c r="E48" s="1" t="s">
        <v>16487</v>
      </c>
      <c r="F48" s="90">
        <v>46006.75407407407</v>
      </c>
      <c r="G48" s="90">
        <v>46006.75407407407</v>
      </c>
      <c r="H48" s="1" t="s">
        <v>16476</v>
      </c>
    </row>
    <row r="49">
      <c r="A49" s="89">
        <v>1749.0</v>
      </c>
      <c r="B49" s="1" t="s">
        <v>16522</v>
      </c>
      <c r="E49" s="1" t="s">
        <v>16487</v>
      </c>
      <c r="F49" s="90">
        <v>46006.75403935185</v>
      </c>
      <c r="G49" s="90">
        <v>46006.75403935185</v>
      </c>
      <c r="H49" s="1" t="s">
        <v>16476</v>
      </c>
    </row>
    <row r="50">
      <c r="A50" s="89">
        <v>1748.0</v>
      </c>
      <c r="B50" s="1" t="s">
        <v>16523</v>
      </c>
      <c r="E50" s="1" t="s">
        <v>16475</v>
      </c>
      <c r="F50" s="90">
        <v>46006.75399305556</v>
      </c>
      <c r="G50" s="90">
        <v>46006.75399305556</v>
      </c>
      <c r="H50" s="1" t="s">
        <v>16476</v>
      </c>
    </row>
    <row r="51">
      <c r="A51" s="89">
        <v>1747.0</v>
      </c>
      <c r="B51" s="1" t="s">
        <v>16524</v>
      </c>
      <c r="E51" s="1" t="s">
        <v>16475</v>
      </c>
      <c r="F51" s="90">
        <v>46006.753969907404</v>
      </c>
      <c r="G51" s="90">
        <v>46006.753969907404</v>
      </c>
      <c r="H51" s="1" t="s">
        <v>16476</v>
      </c>
    </row>
    <row r="52">
      <c r="A52" s="89">
        <v>1746.0</v>
      </c>
      <c r="B52" s="1" t="s">
        <v>16525</v>
      </c>
      <c r="E52" s="1" t="s">
        <v>16475</v>
      </c>
      <c r="F52" s="90">
        <v>46006.75392361111</v>
      </c>
      <c r="G52" s="90">
        <v>46006.75392361111</v>
      </c>
      <c r="H52" s="1" t="s">
        <v>16476</v>
      </c>
    </row>
    <row r="53">
      <c r="A53" s="89">
        <v>1745.0</v>
      </c>
      <c r="B53" s="1" t="s">
        <v>16526</v>
      </c>
      <c r="E53" s="1" t="s">
        <v>16487</v>
      </c>
      <c r="F53" s="90">
        <v>46006.753854166665</v>
      </c>
      <c r="G53" s="90">
        <v>46006.753854166665</v>
      </c>
      <c r="H53" s="1" t="s">
        <v>16476</v>
      </c>
    </row>
    <row r="54">
      <c r="A54" s="89">
        <v>1744.0</v>
      </c>
      <c r="B54" s="1" t="s">
        <v>16527</v>
      </c>
      <c r="E54" s="1" t="s">
        <v>16487</v>
      </c>
      <c r="F54" s="90">
        <v>46006.75383101852</v>
      </c>
      <c r="G54" s="90">
        <v>46006.75383101852</v>
      </c>
      <c r="H54" s="1" t="s">
        <v>16476</v>
      </c>
    </row>
    <row r="55">
      <c r="A55" s="89">
        <v>1743.0</v>
      </c>
      <c r="B55" s="1" t="s">
        <v>16528</v>
      </c>
      <c r="F55" s="90">
        <v>46006.75376157407</v>
      </c>
      <c r="G55" s="90">
        <v>46006.75376157407</v>
      </c>
      <c r="H55" s="1" t="s">
        <v>16476</v>
      </c>
    </row>
    <row r="56">
      <c r="A56" s="89">
        <v>1742.0</v>
      </c>
      <c r="B56" s="1" t="s">
        <v>16529</v>
      </c>
      <c r="F56" s="90">
        <v>46006.75371527778</v>
      </c>
      <c r="G56" s="90">
        <v>46006.75371527778</v>
      </c>
      <c r="H56" s="1" t="s">
        <v>16476</v>
      </c>
    </row>
    <row r="57">
      <c r="A57" s="1">
        <v>710.0</v>
      </c>
      <c r="B57" s="1" t="s">
        <v>16530</v>
      </c>
      <c r="E57" s="1" t="s">
        <v>5202</v>
      </c>
      <c r="F57" s="90">
        <v>45113.55100694444</v>
      </c>
      <c r="G57" s="90">
        <v>45974.991435185184</v>
      </c>
      <c r="H57" s="1" t="s">
        <v>16476</v>
      </c>
    </row>
    <row r="58">
      <c r="A58" s="1">
        <v>771.0</v>
      </c>
      <c r="B58" s="1" t="s">
        <v>16531</v>
      </c>
      <c r="E58" s="1" t="s">
        <v>16475</v>
      </c>
      <c r="F58" s="90">
        <v>45113.551886574074</v>
      </c>
      <c r="G58" s="90">
        <v>45974.99101851852</v>
      </c>
      <c r="H58" s="1" t="s">
        <v>16476</v>
      </c>
    </row>
    <row r="59">
      <c r="A59" s="1">
        <v>821.0</v>
      </c>
      <c r="B59" s="1" t="s">
        <v>16532</v>
      </c>
      <c r="E59" s="1" t="s">
        <v>16475</v>
      </c>
      <c r="F59" s="90">
        <v>45113.552615740744</v>
      </c>
      <c r="G59" s="90">
        <v>45974.99047453704</v>
      </c>
      <c r="H59" s="1" t="s">
        <v>16476</v>
      </c>
    </row>
    <row r="60">
      <c r="A60" s="1">
        <v>878.0</v>
      </c>
      <c r="B60" s="1" t="s">
        <v>16533</v>
      </c>
      <c r="E60" s="1" t="s">
        <v>16475</v>
      </c>
      <c r="F60" s="90">
        <v>45113.553449074076</v>
      </c>
      <c r="G60" s="90">
        <v>45974.99010416667</v>
      </c>
      <c r="H60" s="1" t="s">
        <v>16476</v>
      </c>
    </row>
    <row r="61">
      <c r="A61" s="1">
        <v>115.0</v>
      </c>
      <c r="B61" s="1" t="s">
        <v>3002</v>
      </c>
      <c r="E61" s="1" t="s">
        <v>16475</v>
      </c>
      <c r="F61" s="90">
        <v>45113.54215277778</v>
      </c>
      <c r="G61" s="90">
        <v>45974.988657407404</v>
      </c>
      <c r="H61" s="1" t="s">
        <v>16476</v>
      </c>
    </row>
    <row r="62">
      <c r="A62" s="1">
        <v>383.0</v>
      </c>
      <c r="B62" s="1" t="s">
        <v>16534</v>
      </c>
      <c r="E62" s="1" t="s">
        <v>16481</v>
      </c>
      <c r="F62" s="90">
        <v>45113.546168981484</v>
      </c>
      <c r="G62" s="90">
        <v>45974.988287037035</v>
      </c>
      <c r="H62" s="1" t="s">
        <v>16476</v>
      </c>
    </row>
    <row r="63">
      <c r="A63" s="89">
        <v>1025.0</v>
      </c>
      <c r="B63" s="1" t="s">
        <v>16535</v>
      </c>
      <c r="E63" s="1" t="s">
        <v>5202</v>
      </c>
      <c r="F63" s="90">
        <v>45113.555601851855</v>
      </c>
      <c r="G63" s="90">
        <v>45974.98798611111</v>
      </c>
      <c r="H63" s="1" t="s">
        <v>16476</v>
      </c>
    </row>
    <row r="64">
      <c r="A64" s="1">
        <v>573.0</v>
      </c>
      <c r="B64" s="1" t="s">
        <v>16536</v>
      </c>
      <c r="E64" s="1" t="s">
        <v>16475</v>
      </c>
      <c r="F64" s="90">
        <v>45113.54896990741</v>
      </c>
      <c r="G64" s="90">
        <v>45974.98724537037</v>
      </c>
      <c r="H64" s="1" t="s">
        <v>16476</v>
      </c>
    </row>
    <row r="65">
      <c r="A65" s="89">
        <v>1212.0</v>
      </c>
      <c r="B65" s="1" t="s">
        <v>16537</v>
      </c>
      <c r="E65" s="1" t="s">
        <v>16475</v>
      </c>
      <c r="F65" s="90">
        <v>45113.558344907404</v>
      </c>
      <c r="G65" s="90">
        <v>45974.986979166664</v>
      </c>
      <c r="H65" s="1" t="s">
        <v>16476</v>
      </c>
    </row>
    <row r="66">
      <c r="A66" s="1">
        <v>352.0</v>
      </c>
      <c r="B66" s="1" t="s">
        <v>16538</v>
      </c>
      <c r="E66" s="1" t="s">
        <v>16475</v>
      </c>
      <c r="F66" s="90">
        <v>45113.54571759259</v>
      </c>
      <c r="G66" s="90">
        <v>45974.985439814816</v>
      </c>
      <c r="H66" s="1" t="s">
        <v>16476</v>
      </c>
    </row>
    <row r="67">
      <c r="A67" s="1">
        <v>568.0</v>
      </c>
      <c r="B67" s="1" t="s">
        <v>16539</v>
      </c>
      <c r="E67" s="1" t="s">
        <v>16475</v>
      </c>
      <c r="F67" s="90">
        <v>45113.54888888889</v>
      </c>
      <c r="G67" s="90">
        <v>45974.985034722224</v>
      </c>
      <c r="H67" s="1" t="s">
        <v>16476</v>
      </c>
    </row>
    <row r="68">
      <c r="A68" s="1">
        <v>342.0</v>
      </c>
      <c r="B68" s="1" t="s">
        <v>16540</v>
      </c>
      <c r="E68" s="1" t="s">
        <v>16475</v>
      </c>
      <c r="F68" s="90">
        <v>45113.54556712963</v>
      </c>
      <c r="G68" s="90">
        <v>45974.98478009259</v>
      </c>
      <c r="H68" s="1" t="s">
        <v>16476</v>
      </c>
    </row>
    <row r="69">
      <c r="A69" s="1">
        <v>936.0</v>
      </c>
      <c r="B69" s="1" t="s">
        <v>16541</v>
      </c>
      <c r="E69" s="1" t="s">
        <v>16475</v>
      </c>
      <c r="F69" s="90">
        <v>45113.554293981484</v>
      </c>
      <c r="G69" s="90">
        <v>45974.984444444446</v>
      </c>
      <c r="H69" s="1" t="s">
        <v>16476</v>
      </c>
    </row>
    <row r="70">
      <c r="A70" s="1">
        <v>819.0</v>
      </c>
      <c r="B70" s="1" t="s">
        <v>16542</v>
      </c>
      <c r="E70" s="1" t="s">
        <v>16475</v>
      </c>
      <c r="F70" s="90">
        <v>45113.55259259259</v>
      </c>
      <c r="G70" s="90">
        <v>45974.983923611115</v>
      </c>
      <c r="H70" s="1" t="s">
        <v>16476</v>
      </c>
    </row>
    <row r="71">
      <c r="A71" s="1">
        <v>486.0</v>
      </c>
      <c r="B71" s="1" t="s">
        <v>16543</v>
      </c>
      <c r="E71" s="1" t="s">
        <v>16475</v>
      </c>
      <c r="F71" s="90">
        <v>45113.54769675926</v>
      </c>
      <c r="G71" s="90">
        <v>45974.98315972222</v>
      </c>
      <c r="H71" s="1" t="s">
        <v>16476</v>
      </c>
    </row>
    <row r="72">
      <c r="A72" s="1">
        <v>147.0</v>
      </c>
      <c r="B72" s="1" t="s">
        <v>16544</v>
      </c>
      <c r="E72" s="1" t="s">
        <v>16475</v>
      </c>
      <c r="F72" s="90">
        <v>45113.54262731481</v>
      </c>
      <c r="G72" s="90">
        <v>45974.98284722222</v>
      </c>
      <c r="H72" s="1" t="s">
        <v>16476</v>
      </c>
    </row>
    <row r="73">
      <c r="A73" s="1">
        <v>838.0</v>
      </c>
      <c r="B73" s="1" t="s">
        <v>16545</v>
      </c>
      <c r="E73" s="1" t="s">
        <v>16475</v>
      </c>
      <c r="F73" s="90">
        <v>45113.55287037037</v>
      </c>
      <c r="G73" s="90">
        <v>45974.98226851852</v>
      </c>
      <c r="H73" s="1" t="s">
        <v>16476</v>
      </c>
    </row>
    <row r="74">
      <c r="A74" s="1">
        <v>956.0</v>
      </c>
      <c r="B74" s="1" t="s">
        <v>16546</v>
      </c>
      <c r="E74" s="1" t="s">
        <v>16475</v>
      </c>
      <c r="F74" s="90">
        <v>45113.55458333333</v>
      </c>
      <c r="G74" s="90">
        <v>45974.981782407405</v>
      </c>
      <c r="H74" s="1" t="s">
        <v>16476</v>
      </c>
    </row>
    <row r="75">
      <c r="A75" s="1">
        <v>523.0</v>
      </c>
      <c r="B75" s="1" t="s">
        <v>16547</v>
      </c>
      <c r="E75" s="1" t="s">
        <v>16475</v>
      </c>
      <c r="F75" s="90">
        <v>45113.54822916666</v>
      </c>
      <c r="G75" s="90">
        <v>45974.98142361111</v>
      </c>
      <c r="H75" s="1" t="s">
        <v>16476</v>
      </c>
    </row>
    <row r="76">
      <c r="A76" s="1">
        <v>293.0</v>
      </c>
      <c r="B76" s="1" t="s">
        <v>16548</v>
      </c>
      <c r="E76" s="1" t="s">
        <v>16475</v>
      </c>
      <c r="F76" s="90">
        <v>45113.54484953704</v>
      </c>
      <c r="G76" s="90">
        <v>45974.98096064815</v>
      </c>
      <c r="H76" s="1" t="s">
        <v>16476</v>
      </c>
    </row>
    <row r="77">
      <c r="A77" s="1">
        <v>828.0</v>
      </c>
      <c r="B77" s="1" t="s">
        <v>16549</v>
      </c>
      <c r="E77" s="1" t="s">
        <v>16475</v>
      </c>
      <c r="F77" s="90">
        <v>45113.552719907406</v>
      </c>
      <c r="G77" s="90">
        <v>45974.980671296296</v>
      </c>
      <c r="H77" s="1" t="s">
        <v>16476</v>
      </c>
    </row>
    <row r="78">
      <c r="A78" s="89">
        <v>1253.0</v>
      </c>
      <c r="B78" s="1" t="s">
        <v>16550</v>
      </c>
      <c r="E78" s="1" t="s">
        <v>16475</v>
      </c>
      <c r="F78" s="90">
        <v>45113.55893518519</v>
      </c>
      <c r="G78" s="90">
        <v>45974.98032407407</v>
      </c>
      <c r="H78" s="1" t="s">
        <v>16476</v>
      </c>
    </row>
    <row r="79">
      <c r="A79" s="1">
        <v>900.0</v>
      </c>
      <c r="B79" s="1" t="s">
        <v>16551</v>
      </c>
      <c r="E79" s="1" t="s">
        <v>16475</v>
      </c>
      <c r="F79" s="90">
        <v>45113.553773148145</v>
      </c>
      <c r="G79" s="90">
        <v>45974.979537037034</v>
      </c>
      <c r="H79" s="1" t="s">
        <v>16476</v>
      </c>
    </row>
    <row r="80">
      <c r="A80" s="89">
        <v>1155.0</v>
      </c>
      <c r="B80" s="1" t="s">
        <v>16552</v>
      </c>
      <c r="E80" s="1" t="s">
        <v>16475</v>
      </c>
      <c r="F80" s="90">
        <v>45113.5575</v>
      </c>
      <c r="G80" s="90">
        <v>45974.97887731482</v>
      </c>
      <c r="H80" s="1" t="s">
        <v>16476</v>
      </c>
    </row>
    <row r="81">
      <c r="A81" s="1">
        <v>405.0</v>
      </c>
      <c r="B81" s="1" t="s">
        <v>16553</v>
      </c>
      <c r="E81" s="1" t="s">
        <v>16475</v>
      </c>
      <c r="F81" s="90">
        <v>45113.54650462963</v>
      </c>
      <c r="G81" s="90">
        <v>45974.97850694445</v>
      </c>
      <c r="H81" s="1" t="s">
        <v>16476</v>
      </c>
    </row>
    <row r="82">
      <c r="A82" s="1">
        <v>380.0</v>
      </c>
      <c r="B82" s="1" t="s">
        <v>16554</v>
      </c>
      <c r="E82" s="1" t="s">
        <v>16475</v>
      </c>
      <c r="F82" s="90">
        <v>45113.546122685184</v>
      </c>
      <c r="G82" s="90">
        <v>45974.97797453704</v>
      </c>
      <c r="H82" s="1" t="s">
        <v>16476</v>
      </c>
    </row>
    <row r="83">
      <c r="A83" s="1">
        <v>969.0</v>
      </c>
      <c r="B83" s="1" t="s">
        <v>16555</v>
      </c>
      <c r="E83" s="1" t="s">
        <v>5202</v>
      </c>
      <c r="F83" s="90">
        <v>45113.55478009259</v>
      </c>
      <c r="G83" s="90">
        <v>45974.9775</v>
      </c>
      <c r="H83" s="1" t="s">
        <v>16476</v>
      </c>
    </row>
    <row r="84">
      <c r="A84" s="1">
        <v>216.0</v>
      </c>
      <c r="B84" s="1" t="s">
        <v>16556</v>
      </c>
      <c r="E84" s="1" t="s">
        <v>16481</v>
      </c>
      <c r="F84" s="90">
        <v>45113.54366898148</v>
      </c>
      <c r="G84" s="90">
        <v>45974.977002314816</v>
      </c>
      <c r="H84" s="1" t="s">
        <v>16476</v>
      </c>
    </row>
    <row r="85">
      <c r="A85" s="1">
        <v>678.0</v>
      </c>
      <c r="B85" s="1" t="s">
        <v>16557</v>
      </c>
      <c r="E85" s="1" t="s">
        <v>16475</v>
      </c>
      <c r="F85" s="90">
        <v>45113.55050925926</v>
      </c>
      <c r="G85" s="90">
        <v>45974.97630787037</v>
      </c>
      <c r="H85" s="1" t="s">
        <v>16476</v>
      </c>
    </row>
    <row r="86">
      <c r="A86" s="1">
        <v>833.0</v>
      </c>
      <c r="B86" s="1" t="s">
        <v>16558</v>
      </c>
      <c r="E86" s="1" t="s">
        <v>16475</v>
      </c>
      <c r="F86" s="90">
        <v>45113.55278935185</v>
      </c>
      <c r="G86" s="90">
        <v>45974.97586805555</v>
      </c>
      <c r="H86" s="1" t="s">
        <v>16476</v>
      </c>
    </row>
    <row r="87">
      <c r="A87" s="89">
        <v>1205.0</v>
      </c>
      <c r="B87" s="1" t="s">
        <v>16559</v>
      </c>
      <c r="E87" s="1" t="s">
        <v>16475</v>
      </c>
      <c r="F87" s="90">
        <v>45113.55824074074</v>
      </c>
      <c r="G87" s="90">
        <v>45974.975439814814</v>
      </c>
      <c r="H87" s="1" t="s">
        <v>16476</v>
      </c>
    </row>
    <row r="88">
      <c r="A88" s="1">
        <v>565.0</v>
      </c>
      <c r="B88" s="1" t="s">
        <v>16560</v>
      </c>
      <c r="E88" s="1" t="s">
        <v>16475</v>
      </c>
      <c r="F88" s="90">
        <v>45113.548842592594</v>
      </c>
      <c r="G88" s="90">
        <v>45974.97511574074</v>
      </c>
      <c r="H88" s="1" t="s">
        <v>16476</v>
      </c>
    </row>
    <row r="89">
      <c r="A89" s="1">
        <v>587.0</v>
      </c>
      <c r="B89" s="1" t="s">
        <v>16561</v>
      </c>
      <c r="E89" s="1" t="s">
        <v>16475</v>
      </c>
      <c r="F89" s="90">
        <v>45113.549166666664</v>
      </c>
      <c r="G89" s="90">
        <v>45974.97456018518</v>
      </c>
      <c r="H89" s="1" t="s">
        <v>16476</v>
      </c>
    </row>
    <row r="90">
      <c r="A90" s="89">
        <v>1202.0</v>
      </c>
      <c r="B90" s="1" t="s">
        <v>16562</v>
      </c>
      <c r="E90" s="1" t="s">
        <v>16475</v>
      </c>
      <c r="F90" s="90">
        <v>45113.55819444444</v>
      </c>
      <c r="G90" s="90">
        <v>45974.97337962963</v>
      </c>
      <c r="H90" s="1" t="s">
        <v>16476</v>
      </c>
    </row>
    <row r="91">
      <c r="A91" s="1">
        <v>660.0</v>
      </c>
      <c r="B91" s="1" t="s">
        <v>16563</v>
      </c>
      <c r="E91" s="1" t="s">
        <v>16475</v>
      </c>
      <c r="F91" s="90">
        <v>45113.55025462963</v>
      </c>
      <c r="G91" s="90">
        <v>45974.97236111111</v>
      </c>
      <c r="H91" s="1" t="s">
        <v>16476</v>
      </c>
    </row>
    <row r="92">
      <c r="A92" s="1">
        <v>309.0</v>
      </c>
      <c r="B92" s="1" t="s">
        <v>16564</v>
      </c>
      <c r="E92" s="1" t="s">
        <v>16475</v>
      </c>
      <c r="F92" s="90">
        <v>45113.54509259259</v>
      </c>
      <c r="G92" s="90">
        <v>45974.972037037034</v>
      </c>
      <c r="H92" s="1" t="s">
        <v>16476</v>
      </c>
    </row>
    <row r="93">
      <c r="A93" s="1">
        <v>811.0</v>
      </c>
      <c r="B93" s="1" t="s">
        <v>71</v>
      </c>
      <c r="E93" s="1" t="s">
        <v>16475</v>
      </c>
      <c r="F93" s="90">
        <v>45113.55247685185</v>
      </c>
      <c r="G93" s="90">
        <v>45974.971180555556</v>
      </c>
      <c r="H93" s="1" t="s">
        <v>16476</v>
      </c>
    </row>
    <row r="94">
      <c r="A94" s="89">
        <v>1049.0</v>
      </c>
      <c r="B94" s="1" t="s">
        <v>16565</v>
      </c>
      <c r="E94" s="1" t="s">
        <v>16475</v>
      </c>
      <c r="F94" s="90">
        <v>45113.55594907407</v>
      </c>
      <c r="G94" s="90">
        <v>45974.97005787037</v>
      </c>
      <c r="H94" s="1" t="s">
        <v>16476</v>
      </c>
    </row>
    <row r="95">
      <c r="A95" s="1">
        <v>604.0</v>
      </c>
      <c r="B95" s="1" t="s">
        <v>16566</v>
      </c>
      <c r="E95" s="1" t="s">
        <v>16475</v>
      </c>
      <c r="F95" s="90">
        <v>45113.549421296295</v>
      </c>
      <c r="G95" s="90">
        <v>45974.969351851854</v>
      </c>
      <c r="H95" s="1" t="s">
        <v>16476</v>
      </c>
    </row>
    <row r="96">
      <c r="A96" s="89">
        <v>1012.0</v>
      </c>
      <c r="B96" s="1" t="s">
        <v>16567</v>
      </c>
      <c r="E96" s="1" t="s">
        <v>16475</v>
      </c>
      <c r="F96" s="90">
        <v>45113.55540509259</v>
      </c>
      <c r="G96" s="90">
        <v>45974.9690162037</v>
      </c>
      <c r="H96" s="1" t="s">
        <v>16476</v>
      </c>
    </row>
    <row r="97">
      <c r="A97" s="1">
        <v>702.0</v>
      </c>
      <c r="B97" s="1" t="s">
        <v>16568</v>
      </c>
      <c r="E97" s="1" t="s">
        <v>16475</v>
      </c>
      <c r="F97" s="90">
        <v>45113.550891203704</v>
      </c>
      <c r="G97" s="90">
        <v>45974.96864583333</v>
      </c>
      <c r="H97" s="1" t="s">
        <v>16476</v>
      </c>
    </row>
    <row r="98">
      <c r="A98" s="89">
        <v>1148.0</v>
      </c>
      <c r="B98" s="1" t="s">
        <v>16569</v>
      </c>
      <c r="E98" s="1" t="s">
        <v>16481</v>
      </c>
      <c r="F98" s="90">
        <v>45113.55739583333</v>
      </c>
      <c r="G98" s="90">
        <v>45974.968356481484</v>
      </c>
      <c r="H98" s="1" t="s">
        <v>16476</v>
      </c>
    </row>
    <row r="99">
      <c r="A99" s="1">
        <v>588.0</v>
      </c>
      <c r="B99" s="1" t="s">
        <v>16570</v>
      </c>
      <c r="E99" s="1" t="s">
        <v>16475</v>
      </c>
      <c r="F99" s="90">
        <v>45113.54917824074</v>
      </c>
      <c r="G99" s="90">
        <v>45974.968043981484</v>
      </c>
      <c r="H99" s="1" t="s">
        <v>16476</v>
      </c>
    </row>
    <row r="100">
      <c r="A100" s="1">
        <v>919.0</v>
      </c>
      <c r="B100" s="1" t="s">
        <v>16571</v>
      </c>
      <c r="E100" s="1" t="s">
        <v>16475</v>
      </c>
      <c r="F100" s="90">
        <v>45113.55405092592</v>
      </c>
      <c r="G100" s="90">
        <v>45974.96770833333</v>
      </c>
      <c r="H100" s="1" t="s">
        <v>16476</v>
      </c>
    </row>
    <row r="101">
      <c r="A101" s="1">
        <v>712.0</v>
      </c>
      <c r="B101" s="1" t="s">
        <v>16572</v>
      </c>
      <c r="E101" s="1" t="s">
        <v>5202</v>
      </c>
      <c r="F101" s="90">
        <v>45113.551030092596</v>
      </c>
      <c r="G101" s="90">
        <v>45974.96726851852</v>
      </c>
      <c r="H101" s="1" t="s">
        <v>16476</v>
      </c>
    </row>
    <row r="102">
      <c r="A102" s="89">
        <v>1210.0</v>
      </c>
      <c r="B102" s="1" t="s">
        <v>16573</v>
      </c>
      <c r="E102" s="1" t="s">
        <v>16475</v>
      </c>
      <c r="F102" s="90">
        <v>45113.55831018519</v>
      </c>
      <c r="G102" s="90">
        <v>45974.966516203705</v>
      </c>
      <c r="H102" s="1" t="s">
        <v>16476</v>
      </c>
    </row>
    <row r="103">
      <c r="A103" s="1">
        <v>620.0</v>
      </c>
      <c r="B103" s="1" t="s">
        <v>16574</v>
      </c>
      <c r="E103" s="1" t="s">
        <v>16475</v>
      </c>
      <c r="F103" s="90">
        <v>45113.54965277778</v>
      </c>
      <c r="G103" s="90">
        <v>45974.96623842593</v>
      </c>
      <c r="H103" s="1" t="s">
        <v>16476</v>
      </c>
    </row>
    <row r="104">
      <c r="A104" s="1">
        <v>394.0</v>
      </c>
      <c r="B104" s="1" t="s">
        <v>16575</v>
      </c>
      <c r="E104" s="1" t="s">
        <v>16475</v>
      </c>
      <c r="F104" s="90">
        <v>45113.54634259259</v>
      </c>
      <c r="G104" s="90">
        <v>45974.965787037036</v>
      </c>
      <c r="H104" s="1" t="s">
        <v>16476</v>
      </c>
    </row>
    <row r="105">
      <c r="A105" s="1">
        <v>612.0</v>
      </c>
      <c r="B105" s="1" t="s">
        <v>16576</v>
      </c>
      <c r="E105" s="1" t="s">
        <v>16475</v>
      </c>
      <c r="F105" s="90">
        <v>45113.54953703703</v>
      </c>
      <c r="G105" s="90">
        <v>45974.965416666666</v>
      </c>
      <c r="H105" s="1" t="s">
        <v>16476</v>
      </c>
    </row>
    <row r="106">
      <c r="A106" s="1">
        <v>156.0</v>
      </c>
      <c r="B106" s="1" t="s">
        <v>16577</v>
      </c>
      <c r="E106" s="1" t="s">
        <v>16475</v>
      </c>
      <c r="F106" s="90">
        <v>45113.542766203704</v>
      </c>
      <c r="G106" s="90">
        <v>45974.96497685185</v>
      </c>
      <c r="H106" s="1" t="s">
        <v>16476</v>
      </c>
    </row>
    <row r="107">
      <c r="A107" s="1">
        <v>817.0</v>
      </c>
      <c r="B107" s="1" t="s">
        <v>16578</v>
      </c>
      <c r="E107" s="1" t="s">
        <v>16481</v>
      </c>
      <c r="F107" s="90">
        <v>45113.55255787037</v>
      </c>
      <c r="G107" s="90">
        <v>45974.96445601852</v>
      </c>
      <c r="H107" s="1" t="s">
        <v>16476</v>
      </c>
    </row>
    <row r="108">
      <c r="A108" s="1">
        <v>376.0</v>
      </c>
      <c r="B108" s="1" t="s">
        <v>16579</v>
      </c>
      <c r="E108" s="1" t="s">
        <v>5202</v>
      </c>
      <c r="F108" s="90">
        <v>45113.546064814815</v>
      </c>
      <c r="G108" s="90">
        <v>45974.9640625</v>
      </c>
      <c r="H108" s="1" t="s">
        <v>16476</v>
      </c>
    </row>
    <row r="109">
      <c r="A109" s="89">
        <v>1240.0</v>
      </c>
      <c r="B109" s="1" t="s">
        <v>16580</v>
      </c>
      <c r="E109" s="1" t="s">
        <v>5202</v>
      </c>
      <c r="F109" s="90">
        <v>45113.55875</v>
      </c>
      <c r="G109" s="90">
        <v>45974.96140046296</v>
      </c>
      <c r="H109" s="1" t="s">
        <v>16476</v>
      </c>
    </row>
    <row r="110">
      <c r="A110" s="1">
        <v>810.0</v>
      </c>
      <c r="B110" s="1" t="s">
        <v>16581</v>
      </c>
      <c r="E110" s="1" t="s">
        <v>16475</v>
      </c>
      <c r="F110" s="90">
        <v>45113.552453703705</v>
      </c>
      <c r="G110" s="90">
        <v>45974.9603587963</v>
      </c>
      <c r="H110" s="1" t="s">
        <v>16476</v>
      </c>
    </row>
    <row r="111">
      <c r="A111" s="1">
        <v>668.0</v>
      </c>
      <c r="B111" s="1" t="s">
        <v>16582</v>
      </c>
      <c r="E111" s="1" t="s">
        <v>16475</v>
      </c>
      <c r="F111" s="90">
        <v>45113.55037037037</v>
      </c>
      <c r="G111" s="90">
        <v>45974.95956018518</v>
      </c>
      <c r="H111" s="1" t="s">
        <v>16476</v>
      </c>
    </row>
    <row r="112">
      <c r="A112" s="1">
        <v>448.0</v>
      </c>
      <c r="B112" s="1" t="s">
        <v>16583</v>
      </c>
      <c r="E112" s="1" t="s">
        <v>5202</v>
      </c>
      <c r="F112" s="90">
        <v>45113.5471412037</v>
      </c>
      <c r="G112" s="90">
        <v>45974.95890046296</v>
      </c>
      <c r="H112" s="1" t="s">
        <v>16476</v>
      </c>
    </row>
    <row r="113">
      <c r="A113" s="1">
        <v>359.0</v>
      </c>
      <c r="B113" s="1" t="s">
        <v>16584</v>
      </c>
      <c r="E113" s="1" t="s">
        <v>16475</v>
      </c>
      <c r="F113" s="90">
        <v>45113.545810185184</v>
      </c>
      <c r="G113" s="90">
        <v>45974.95831018518</v>
      </c>
      <c r="H113" s="1" t="s">
        <v>16476</v>
      </c>
    </row>
    <row r="114">
      <c r="A114" s="89">
        <v>1227.0</v>
      </c>
      <c r="B114" s="1" t="s">
        <v>16585</v>
      </c>
      <c r="E114" s="1" t="s">
        <v>16475</v>
      </c>
      <c r="F114" s="90">
        <v>45113.55855324074</v>
      </c>
      <c r="G114" s="90">
        <v>45974.9575</v>
      </c>
      <c r="H114" s="1" t="s">
        <v>16476</v>
      </c>
    </row>
    <row r="115">
      <c r="A115" s="1">
        <v>200.0</v>
      </c>
      <c r="B115" s="1" t="s">
        <v>16586</v>
      </c>
      <c r="E115" s="1" t="s">
        <v>16475</v>
      </c>
      <c r="F115" s="90">
        <v>45113.54341435185</v>
      </c>
      <c r="G115" s="90">
        <v>45974.957141203704</v>
      </c>
      <c r="H115" s="1" t="s">
        <v>16476</v>
      </c>
    </row>
    <row r="116">
      <c r="A116" s="1">
        <v>166.0</v>
      </c>
      <c r="B116" s="1" t="s">
        <v>16587</v>
      </c>
      <c r="E116" s="1" t="s">
        <v>5202</v>
      </c>
      <c r="F116" s="90">
        <v>45113.542905092596</v>
      </c>
      <c r="G116" s="90">
        <v>45974.95681712963</v>
      </c>
      <c r="H116" s="1" t="s">
        <v>16476</v>
      </c>
    </row>
    <row r="117">
      <c r="A117" s="1">
        <v>123.0</v>
      </c>
      <c r="B117" s="1" t="s">
        <v>16588</v>
      </c>
      <c r="E117" s="1" t="s">
        <v>5202</v>
      </c>
      <c r="F117" s="90">
        <v>45113.54226851852</v>
      </c>
      <c r="G117" s="90">
        <v>45974.95636574074</v>
      </c>
      <c r="H117" s="1" t="s">
        <v>16476</v>
      </c>
    </row>
    <row r="118">
      <c r="A118" s="1">
        <v>284.0</v>
      </c>
      <c r="B118" s="1" t="s">
        <v>16589</v>
      </c>
      <c r="E118" s="1" t="s">
        <v>16475</v>
      </c>
      <c r="F118" s="90">
        <v>45113.54471064815</v>
      </c>
      <c r="G118" s="90">
        <v>45974.954872685186</v>
      </c>
      <c r="H118" s="1" t="s">
        <v>16476</v>
      </c>
    </row>
    <row r="119">
      <c r="A119" s="1">
        <v>299.0</v>
      </c>
      <c r="B119" s="1" t="s">
        <v>16590</v>
      </c>
      <c r="E119" s="1" t="s">
        <v>16475</v>
      </c>
      <c r="F119" s="90">
        <v>45113.54494212963</v>
      </c>
      <c r="G119" s="90">
        <v>45974.953680555554</v>
      </c>
      <c r="H119" s="1" t="s">
        <v>16476</v>
      </c>
    </row>
    <row r="120">
      <c r="A120" s="1">
        <v>983.0</v>
      </c>
      <c r="B120" s="1" t="s">
        <v>16591</v>
      </c>
      <c r="E120" s="1" t="s">
        <v>16475</v>
      </c>
      <c r="F120" s="90">
        <v>45113.554976851854</v>
      </c>
      <c r="G120" s="90">
        <v>45974.95318287037</v>
      </c>
      <c r="H120" s="1" t="s">
        <v>16476</v>
      </c>
    </row>
    <row r="121">
      <c r="A121" s="89">
        <v>1079.0</v>
      </c>
      <c r="B121" s="1" t="s">
        <v>16592</v>
      </c>
      <c r="E121" s="1" t="s">
        <v>16475</v>
      </c>
      <c r="F121" s="90">
        <v>45113.55638888889</v>
      </c>
      <c r="G121" s="90">
        <v>45974.95259259259</v>
      </c>
      <c r="H121" s="1" t="s">
        <v>16476</v>
      </c>
    </row>
    <row r="122">
      <c r="A122" s="1">
        <v>866.0</v>
      </c>
      <c r="B122" s="1" t="s">
        <v>16593</v>
      </c>
      <c r="E122" s="1" t="s">
        <v>16475</v>
      </c>
      <c r="F122" s="90">
        <v>45113.55327546296</v>
      </c>
      <c r="G122" s="90">
        <v>45974.95210648148</v>
      </c>
      <c r="H122" s="1" t="s">
        <v>16476</v>
      </c>
    </row>
    <row r="123">
      <c r="A123" s="1">
        <v>704.0</v>
      </c>
      <c r="B123" s="1" t="s">
        <v>16594</v>
      </c>
      <c r="E123" s="1" t="s">
        <v>16475</v>
      </c>
      <c r="F123" s="90">
        <v>45113.55091435185</v>
      </c>
      <c r="G123" s="90">
        <v>45974.95142361111</v>
      </c>
      <c r="H123" s="1" t="s">
        <v>16476</v>
      </c>
    </row>
    <row r="124">
      <c r="A124" s="1">
        <v>553.0</v>
      </c>
      <c r="B124" s="1" t="s">
        <v>16595</v>
      </c>
      <c r="E124" s="1" t="s">
        <v>16475</v>
      </c>
      <c r="F124" s="90">
        <v>45113.54866898148</v>
      </c>
      <c r="G124" s="90">
        <v>45974.95106481481</v>
      </c>
      <c r="H124" s="1" t="s">
        <v>16476</v>
      </c>
    </row>
    <row r="125">
      <c r="A125" s="1">
        <v>610.0</v>
      </c>
      <c r="B125" s="1" t="s">
        <v>16596</v>
      </c>
      <c r="E125" s="1" t="s">
        <v>16475</v>
      </c>
      <c r="F125" s="90">
        <v>45113.54950231482</v>
      </c>
      <c r="G125" s="90">
        <v>45974.95039351852</v>
      </c>
      <c r="H125" s="1" t="s">
        <v>16476</v>
      </c>
    </row>
    <row r="126">
      <c r="A126" s="1">
        <v>798.0</v>
      </c>
      <c r="B126" s="1" t="s">
        <v>16597</v>
      </c>
      <c r="F126" s="90">
        <v>45113.55228009259</v>
      </c>
      <c r="G126" s="90">
        <v>45974.949375</v>
      </c>
      <c r="H126" s="1" t="s">
        <v>16476</v>
      </c>
    </row>
    <row r="127">
      <c r="A127" s="1">
        <v>210.0</v>
      </c>
      <c r="B127" s="1" t="s">
        <v>16598</v>
      </c>
      <c r="E127" s="1" t="s">
        <v>5202</v>
      </c>
      <c r="F127" s="90">
        <v>45113.54356481481</v>
      </c>
      <c r="G127" s="90">
        <v>45974.948796296296</v>
      </c>
      <c r="H127" s="1" t="s">
        <v>16476</v>
      </c>
    </row>
    <row r="128">
      <c r="A128" s="89">
        <v>1252.0</v>
      </c>
      <c r="B128" s="1" t="s">
        <v>16599</v>
      </c>
      <c r="E128" s="1" t="s">
        <v>16475</v>
      </c>
      <c r="F128" s="90">
        <v>45113.55892361111</v>
      </c>
      <c r="G128" s="90">
        <v>45974.9477662037</v>
      </c>
      <c r="H128" s="1" t="s">
        <v>16476</v>
      </c>
    </row>
    <row r="129">
      <c r="A129" s="1">
        <v>535.0</v>
      </c>
      <c r="B129" s="1" t="s">
        <v>16600</v>
      </c>
      <c r="E129" s="1" t="s">
        <v>16481</v>
      </c>
      <c r="F129" s="90">
        <v>45113.54840277778</v>
      </c>
      <c r="G129" s="90">
        <v>45974.94677083333</v>
      </c>
      <c r="H129" s="1" t="s">
        <v>16476</v>
      </c>
    </row>
    <row r="130">
      <c r="A130" s="1">
        <v>619.0</v>
      </c>
      <c r="B130" s="1" t="s">
        <v>16601</v>
      </c>
      <c r="E130" s="1" t="s">
        <v>16481</v>
      </c>
      <c r="F130" s="90">
        <v>45113.5496412037</v>
      </c>
      <c r="G130" s="90">
        <v>45974.93616898148</v>
      </c>
      <c r="H130" s="1" t="s">
        <v>16476</v>
      </c>
    </row>
    <row r="131">
      <c r="A131" s="1">
        <v>996.0</v>
      </c>
      <c r="B131" s="1" t="s">
        <v>16602</v>
      </c>
      <c r="E131" s="1" t="s">
        <v>5202</v>
      </c>
      <c r="F131" s="90">
        <v>45113.55517361111</v>
      </c>
      <c r="G131" s="90">
        <v>45974.93487268518</v>
      </c>
      <c r="H131" s="1" t="s">
        <v>16476</v>
      </c>
    </row>
    <row r="132">
      <c r="A132" s="1">
        <v>605.0</v>
      </c>
      <c r="B132" s="1" t="s">
        <v>16603</v>
      </c>
      <c r="E132" s="1" t="s">
        <v>16475</v>
      </c>
      <c r="F132" s="90">
        <v>45113.54943287037</v>
      </c>
      <c r="G132" s="90">
        <v>45974.93415509259</v>
      </c>
      <c r="H132" s="1" t="s">
        <v>16476</v>
      </c>
    </row>
    <row r="133">
      <c r="A133" s="1">
        <v>955.0</v>
      </c>
      <c r="B133" s="1" t="s">
        <v>16604</v>
      </c>
      <c r="E133" s="1" t="s">
        <v>16481</v>
      </c>
      <c r="F133" s="90">
        <v>45113.55457175926</v>
      </c>
      <c r="G133" s="90">
        <v>45974.9305787037</v>
      </c>
      <c r="H133" s="1" t="s">
        <v>16476</v>
      </c>
    </row>
    <row r="134">
      <c r="A134" s="1">
        <v>160.0</v>
      </c>
      <c r="B134" s="1" t="s">
        <v>16605</v>
      </c>
      <c r="E134" s="1" t="s">
        <v>16481</v>
      </c>
      <c r="F134" s="90">
        <v>45113.54282407407</v>
      </c>
      <c r="G134" s="90">
        <v>45974.93011574074</v>
      </c>
      <c r="H134" s="1" t="s">
        <v>16476</v>
      </c>
    </row>
    <row r="135">
      <c r="A135" s="1">
        <v>789.0</v>
      </c>
      <c r="B135" s="1" t="s">
        <v>16606</v>
      </c>
      <c r="E135" s="1" t="s">
        <v>16481</v>
      </c>
      <c r="F135" s="90">
        <v>45113.552152777775</v>
      </c>
      <c r="G135" s="90">
        <v>45974.92802083334</v>
      </c>
      <c r="H135" s="1" t="s">
        <v>16476</v>
      </c>
    </row>
    <row r="136">
      <c r="A136" s="1">
        <v>217.0</v>
      </c>
      <c r="B136" s="1" t="s">
        <v>16607</v>
      </c>
      <c r="E136" s="1" t="s">
        <v>16481</v>
      </c>
      <c r="F136" s="90">
        <v>45113.54368055556</v>
      </c>
      <c r="G136" s="90">
        <v>45974.9271875</v>
      </c>
      <c r="H136" s="1" t="s">
        <v>16476</v>
      </c>
    </row>
    <row r="137">
      <c r="A137" s="1">
        <v>399.0</v>
      </c>
      <c r="B137" s="1" t="s">
        <v>16608</v>
      </c>
      <c r="E137" s="1" t="s">
        <v>16481</v>
      </c>
      <c r="F137" s="90">
        <v>45113.546423611115</v>
      </c>
      <c r="G137" s="90">
        <v>45974.924733796295</v>
      </c>
      <c r="H137" s="1" t="s">
        <v>16476</v>
      </c>
    </row>
    <row r="138">
      <c r="A138" s="89">
        <v>1027.0</v>
      </c>
      <c r="B138" s="1" t="s">
        <v>16609</v>
      </c>
      <c r="E138" s="1" t="s">
        <v>16481</v>
      </c>
      <c r="F138" s="90">
        <v>45113.555625</v>
      </c>
      <c r="G138" s="90">
        <v>45974.91908564815</v>
      </c>
      <c r="H138" s="1" t="s">
        <v>16476</v>
      </c>
    </row>
    <row r="139">
      <c r="A139" s="89">
        <v>1220.0</v>
      </c>
      <c r="B139" s="1" t="s">
        <v>16610</v>
      </c>
      <c r="E139" s="1" t="s">
        <v>16481</v>
      </c>
      <c r="F139" s="90">
        <v>45113.55846064815</v>
      </c>
      <c r="G139" s="90">
        <v>45974.915868055556</v>
      </c>
      <c r="H139" s="1" t="s">
        <v>16476</v>
      </c>
    </row>
    <row r="140">
      <c r="A140" s="1">
        <v>402.0</v>
      </c>
      <c r="B140" s="1" t="s">
        <v>16611</v>
      </c>
      <c r="E140" s="1" t="s">
        <v>16481</v>
      </c>
      <c r="F140" s="90">
        <v>45113.54645833333</v>
      </c>
      <c r="G140" s="90">
        <v>45974.914872685185</v>
      </c>
      <c r="H140" s="1" t="s">
        <v>16476</v>
      </c>
    </row>
    <row r="141">
      <c r="A141" s="1">
        <v>317.0</v>
      </c>
      <c r="B141" s="1" t="s">
        <v>16612</v>
      </c>
      <c r="E141" s="1" t="s">
        <v>16481</v>
      </c>
      <c r="F141" s="90">
        <v>45113.54520833334</v>
      </c>
      <c r="G141" s="90">
        <v>45974.91452546296</v>
      </c>
      <c r="H141" s="1" t="s">
        <v>16476</v>
      </c>
    </row>
    <row r="142">
      <c r="A142" s="1">
        <v>946.0</v>
      </c>
      <c r="B142" s="1" t="s">
        <v>16613</v>
      </c>
      <c r="E142" s="1" t="s">
        <v>16481</v>
      </c>
      <c r="F142" s="90">
        <v>45113.554444444446</v>
      </c>
      <c r="G142" s="90">
        <v>45974.91303240741</v>
      </c>
      <c r="H142" s="1" t="s">
        <v>16476</v>
      </c>
    </row>
    <row r="143">
      <c r="A143" s="89">
        <v>1255.0</v>
      </c>
      <c r="B143" s="1" t="s">
        <v>16614</v>
      </c>
      <c r="E143" s="1" t="s">
        <v>16481</v>
      </c>
      <c r="F143" s="90">
        <v>45113.558969907404</v>
      </c>
      <c r="G143" s="90">
        <v>45974.912094907406</v>
      </c>
      <c r="H143" s="1" t="s">
        <v>16476</v>
      </c>
    </row>
    <row r="144">
      <c r="A144" s="1">
        <v>381.0</v>
      </c>
      <c r="B144" s="1" t="s">
        <v>16615</v>
      </c>
      <c r="E144" s="1" t="s">
        <v>16481</v>
      </c>
      <c r="F144" s="90">
        <v>45113.54613425926</v>
      </c>
      <c r="G144" s="90">
        <v>45974.91106481481</v>
      </c>
      <c r="H144" s="1" t="s">
        <v>16476</v>
      </c>
    </row>
    <row r="145">
      <c r="A145" s="1">
        <v>720.0</v>
      </c>
      <c r="B145" s="1" t="s">
        <v>16616</v>
      </c>
      <c r="E145" s="1" t="s">
        <v>16481</v>
      </c>
      <c r="F145" s="90">
        <v>45113.551145833335</v>
      </c>
      <c r="G145" s="90">
        <v>45974.90888888889</v>
      </c>
      <c r="H145" s="1" t="s">
        <v>16476</v>
      </c>
    </row>
    <row r="146">
      <c r="A146" s="1">
        <v>910.0</v>
      </c>
      <c r="B146" s="1" t="s">
        <v>16617</v>
      </c>
      <c r="E146" s="1" t="s">
        <v>16481</v>
      </c>
      <c r="F146" s="90">
        <v>45113.55391203704</v>
      </c>
      <c r="G146" s="90">
        <v>45974.905636574076</v>
      </c>
      <c r="H146" s="1" t="s">
        <v>16476</v>
      </c>
    </row>
    <row r="147">
      <c r="A147" s="1">
        <v>199.0</v>
      </c>
      <c r="B147" s="1" t="s">
        <v>16618</v>
      </c>
      <c r="E147" s="1" t="s">
        <v>16481</v>
      </c>
      <c r="F147" s="90">
        <v>45113.54340277778</v>
      </c>
      <c r="G147" s="90">
        <v>45974.90372685185</v>
      </c>
      <c r="H147" s="1" t="s">
        <v>16476</v>
      </c>
    </row>
    <row r="148">
      <c r="A148" s="1">
        <v>374.0</v>
      </c>
      <c r="B148" s="1" t="s">
        <v>16619</v>
      </c>
      <c r="E148" s="1" t="s">
        <v>16481</v>
      </c>
      <c r="F148" s="90">
        <v>45113.54603009259</v>
      </c>
      <c r="G148" s="90">
        <v>45974.90300925926</v>
      </c>
      <c r="H148" s="1" t="s">
        <v>16476</v>
      </c>
    </row>
    <row r="149">
      <c r="A149" s="1">
        <v>818.0</v>
      </c>
      <c r="B149" s="1" t="s">
        <v>16620</v>
      </c>
      <c r="E149" s="1" t="s">
        <v>16481</v>
      </c>
      <c r="F149" s="90">
        <v>45113.552569444444</v>
      </c>
      <c r="G149" s="90">
        <v>45974.90188657407</v>
      </c>
      <c r="H149" s="1" t="s">
        <v>16476</v>
      </c>
    </row>
    <row r="150">
      <c r="A150" s="89">
        <v>1150.0</v>
      </c>
      <c r="B150" s="1" t="s">
        <v>16621</v>
      </c>
      <c r="F150" s="90">
        <v>45113.55743055556</v>
      </c>
      <c r="G150" s="90">
        <v>45974.90142361111</v>
      </c>
      <c r="H150" s="1" t="s">
        <v>16476</v>
      </c>
    </row>
    <row r="151">
      <c r="A151" s="1">
        <v>302.0</v>
      </c>
      <c r="B151" s="1" t="s">
        <v>16622</v>
      </c>
      <c r="E151" s="1" t="s">
        <v>16481</v>
      </c>
      <c r="F151" s="90">
        <v>45113.54497685185</v>
      </c>
      <c r="G151" s="90">
        <v>45974.900972222225</v>
      </c>
      <c r="H151" s="1" t="s">
        <v>16476</v>
      </c>
    </row>
    <row r="152">
      <c r="A152" s="89">
        <v>1126.0</v>
      </c>
      <c r="B152" s="1" t="s">
        <v>16623</v>
      </c>
      <c r="E152" s="1" t="s">
        <v>16481</v>
      </c>
      <c r="F152" s="90">
        <v>45113.557071759256</v>
      </c>
      <c r="G152" s="90">
        <v>45974.90049768519</v>
      </c>
      <c r="H152" s="1" t="s">
        <v>16476</v>
      </c>
    </row>
    <row r="153">
      <c r="A153" s="1">
        <v>24.0</v>
      </c>
      <c r="B153" s="1" t="s">
        <v>16624</v>
      </c>
      <c r="E153" s="1" t="s">
        <v>16481</v>
      </c>
      <c r="F153" s="90">
        <v>45113.540821759256</v>
      </c>
      <c r="G153" s="90">
        <v>45974.900092592594</v>
      </c>
      <c r="H153" s="1" t="s">
        <v>16476</v>
      </c>
    </row>
    <row r="154">
      <c r="A154" s="1">
        <v>22.0</v>
      </c>
      <c r="B154" s="1" t="s">
        <v>16625</v>
      </c>
      <c r="E154" s="1" t="s">
        <v>16481</v>
      </c>
      <c r="F154" s="90">
        <v>45113.54079861111</v>
      </c>
      <c r="G154" s="90">
        <v>45974.89943287037</v>
      </c>
      <c r="H154" s="1" t="s">
        <v>16476</v>
      </c>
    </row>
    <row r="155">
      <c r="A155" s="1">
        <v>20.0</v>
      </c>
      <c r="B155" s="1" t="s">
        <v>16626</v>
      </c>
      <c r="E155" s="1" t="s">
        <v>16481</v>
      </c>
      <c r="F155" s="90">
        <v>45113.54076388889</v>
      </c>
      <c r="G155" s="90">
        <v>45974.89908564815</v>
      </c>
      <c r="H155" s="1" t="s">
        <v>16476</v>
      </c>
    </row>
    <row r="156">
      <c r="A156" s="1">
        <v>877.0</v>
      </c>
      <c r="B156" s="1" t="s">
        <v>16627</v>
      </c>
      <c r="E156" s="1" t="s">
        <v>16481</v>
      </c>
      <c r="F156" s="90">
        <v>45113.5534375</v>
      </c>
      <c r="G156" s="90">
        <v>45974.89869212963</v>
      </c>
      <c r="H156" s="1" t="s">
        <v>16476</v>
      </c>
    </row>
    <row r="157">
      <c r="A157" s="1">
        <v>21.0</v>
      </c>
      <c r="B157" s="1" t="s">
        <v>16628</v>
      </c>
      <c r="E157" s="1" t="s">
        <v>16481</v>
      </c>
      <c r="F157" s="90">
        <v>45113.54078703704</v>
      </c>
      <c r="G157" s="90">
        <v>45974.898252314815</v>
      </c>
      <c r="H157" s="1" t="s">
        <v>16476</v>
      </c>
    </row>
    <row r="158">
      <c r="A158" s="1">
        <v>454.0</v>
      </c>
      <c r="B158" s="1" t="s">
        <v>16629</v>
      </c>
      <c r="E158" s="1" t="s">
        <v>16630</v>
      </c>
      <c r="F158" s="90">
        <v>45113.54722222222</v>
      </c>
      <c r="G158" s="90">
        <v>45974.88858796296</v>
      </c>
      <c r="H158" s="1" t="s">
        <v>16476</v>
      </c>
    </row>
    <row r="159">
      <c r="A159" s="89">
        <v>1017.0</v>
      </c>
      <c r="B159" s="1" t="s">
        <v>155</v>
      </c>
      <c r="E159" s="1" t="s">
        <v>16475</v>
      </c>
      <c r="F159" s="90">
        <v>45113.55547453704</v>
      </c>
      <c r="G159" s="90">
        <v>45961.971770833334</v>
      </c>
      <c r="H159" s="1" t="s">
        <v>16476</v>
      </c>
    </row>
    <row r="160">
      <c r="A160" s="1">
        <v>964.0</v>
      </c>
      <c r="B160" s="1" t="s">
        <v>16631</v>
      </c>
      <c r="E160" s="1" t="s">
        <v>16481</v>
      </c>
      <c r="F160" s="90">
        <v>45113.55469907408</v>
      </c>
      <c r="G160" s="90">
        <v>45961.965891203705</v>
      </c>
      <c r="H160" s="1" t="s">
        <v>16476</v>
      </c>
    </row>
    <row r="161">
      <c r="A161" s="1">
        <v>975.0</v>
      </c>
      <c r="B161" s="1" t="s">
        <v>11427</v>
      </c>
      <c r="E161" s="1" t="s">
        <v>5202</v>
      </c>
      <c r="F161" s="90">
        <v>45113.55486111111</v>
      </c>
      <c r="G161" s="90">
        <v>45961.96313657407</v>
      </c>
      <c r="H161" s="1" t="s">
        <v>16476</v>
      </c>
    </row>
    <row r="162">
      <c r="A162" s="1">
        <v>966.0</v>
      </c>
      <c r="B162" s="1" t="s">
        <v>16632</v>
      </c>
      <c r="E162" s="1" t="s">
        <v>5202</v>
      </c>
      <c r="F162" s="90">
        <v>45113.5547337963</v>
      </c>
      <c r="G162" s="90">
        <v>45961.961388888885</v>
      </c>
      <c r="H162" s="1" t="s">
        <v>16476</v>
      </c>
    </row>
    <row r="163">
      <c r="A163" s="89">
        <v>1009.0</v>
      </c>
      <c r="B163" s="1" t="s">
        <v>16633</v>
      </c>
      <c r="E163" s="1" t="s">
        <v>5202</v>
      </c>
      <c r="F163" s="90">
        <v>45113.55535879629</v>
      </c>
      <c r="G163" s="90">
        <v>45961.95348379629</v>
      </c>
      <c r="H163" s="1" t="s">
        <v>16476</v>
      </c>
    </row>
    <row r="164">
      <c r="A164" s="89">
        <v>1123.0</v>
      </c>
      <c r="B164" s="1" t="s">
        <v>16634</v>
      </c>
      <c r="E164" s="1" t="s">
        <v>16475</v>
      </c>
      <c r="F164" s="90">
        <v>45113.557025462964</v>
      </c>
      <c r="G164" s="90">
        <v>45961.94756944444</v>
      </c>
      <c r="H164" s="1" t="s">
        <v>16476</v>
      </c>
    </row>
    <row r="165">
      <c r="A165" s="1">
        <v>355.0</v>
      </c>
      <c r="B165" s="1" t="s">
        <v>16635</v>
      </c>
      <c r="E165" s="1" t="s">
        <v>16630</v>
      </c>
      <c r="F165" s="90">
        <v>45113.545752314814</v>
      </c>
      <c r="G165" s="90">
        <v>45961.94390046296</v>
      </c>
      <c r="H165" s="1" t="s">
        <v>16476</v>
      </c>
    </row>
    <row r="166">
      <c r="A166" s="1">
        <v>651.0</v>
      </c>
      <c r="B166" s="1" t="s">
        <v>16636</v>
      </c>
      <c r="E166" s="1" t="s">
        <v>5202</v>
      </c>
      <c r="F166" s="90">
        <v>45113.55011574074</v>
      </c>
      <c r="G166" s="90">
        <v>45961.943136574075</v>
      </c>
      <c r="H166" s="1" t="s">
        <v>16476</v>
      </c>
    </row>
    <row r="167">
      <c r="A167" s="1">
        <v>899.0</v>
      </c>
      <c r="B167" s="1" t="s">
        <v>16637</v>
      </c>
      <c r="E167" s="1" t="s">
        <v>16475</v>
      </c>
      <c r="F167" s="90">
        <v>45113.553761574076</v>
      </c>
      <c r="G167" s="90">
        <v>45961.94243055556</v>
      </c>
      <c r="H167" s="1" t="s">
        <v>16476</v>
      </c>
    </row>
    <row r="168">
      <c r="A168" s="1">
        <v>169.0</v>
      </c>
      <c r="B168" s="1" t="s">
        <v>16638</v>
      </c>
      <c r="E168" s="1" t="s">
        <v>16475</v>
      </c>
      <c r="F168" s="90">
        <v>45113.54295138889</v>
      </c>
      <c r="G168" s="90">
        <v>45961.94123842593</v>
      </c>
      <c r="H168" s="1" t="s">
        <v>16476</v>
      </c>
    </row>
    <row r="169">
      <c r="A169" s="1">
        <v>978.0</v>
      </c>
      <c r="B169" s="1" t="s">
        <v>16639</v>
      </c>
      <c r="E169" s="1" t="s">
        <v>5202</v>
      </c>
      <c r="F169" s="90">
        <v>45113.55490740741</v>
      </c>
      <c r="G169" s="90">
        <v>45961.94017361111</v>
      </c>
      <c r="H169" s="1" t="s">
        <v>16476</v>
      </c>
    </row>
    <row r="170">
      <c r="A170" s="1">
        <v>514.0</v>
      </c>
      <c r="B170" s="1" t="s">
        <v>16640</v>
      </c>
      <c r="E170" s="1" t="s">
        <v>16475</v>
      </c>
      <c r="F170" s="90">
        <v>45113.548101851855</v>
      </c>
      <c r="G170" s="90">
        <v>45961.93802083333</v>
      </c>
      <c r="H170" s="1" t="s">
        <v>16476</v>
      </c>
    </row>
    <row r="171">
      <c r="A171" s="1">
        <v>688.0</v>
      </c>
      <c r="B171" s="1" t="s">
        <v>16641</v>
      </c>
      <c r="E171" s="1" t="s">
        <v>16475</v>
      </c>
      <c r="F171" s="90">
        <v>45113.55068287037</v>
      </c>
      <c r="G171" s="90">
        <v>45961.93565972222</v>
      </c>
      <c r="H171" s="1" t="s">
        <v>16476</v>
      </c>
    </row>
    <row r="172">
      <c r="A172" s="1">
        <v>350.0</v>
      </c>
      <c r="B172" s="1" t="s">
        <v>16642</v>
      </c>
      <c r="E172" s="1" t="s">
        <v>5202</v>
      </c>
      <c r="F172" s="90">
        <v>45113.54568287037</v>
      </c>
      <c r="G172" s="90">
        <v>45961.88814814815</v>
      </c>
      <c r="H172" s="1" t="s">
        <v>16476</v>
      </c>
    </row>
    <row r="173">
      <c r="A173" s="1">
        <v>195.0</v>
      </c>
      <c r="B173" s="1" t="s">
        <v>16643</v>
      </c>
      <c r="E173" s="1" t="s">
        <v>16475</v>
      </c>
      <c r="F173" s="90">
        <v>45113.543344907404</v>
      </c>
      <c r="G173" s="90">
        <v>45961.8875462963</v>
      </c>
      <c r="H173" s="1" t="s">
        <v>16476</v>
      </c>
    </row>
    <row r="174">
      <c r="A174" s="89">
        <v>1243.0</v>
      </c>
      <c r="B174" s="1" t="s">
        <v>16644</v>
      </c>
      <c r="E174" s="1" t="s">
        <v>5202</v>
      </c>
      <c r="F174" s="90">
        <v>45113.558796296296</v>
      </c>
      <c r="G174" s="90">
        <v>45961.88621527778</v>
      </c>
      <c r="H174" s="1" t="s">
        <v>16476</v>
      </c>
    </row>
    <row r="175">
      <c r="A175" s="1">
        <v>471.0</v>
      </c>
      <c r="B175" s="1" t="s">
        <v>16645</v>
      </c>
      <c r="E175" s="1" t="s">
        <v>16481</v>
      </c>
      <c r="F175" s="90">
        <v>45113.547476851854</v>
      </c>
      <c r="G175" s="90">
        <v>45961.88516203704</v>
      </c>
      <c r="H175" s="1" t="s">
        <v>16476</v>
      </c>
    </row>
    <row r="176">
      <c r="A176" s="1">
        <v>601.0</v>
      </c>
      <c r="B176" s="1" t="s">
        <v>16646</v>
      </c>
      <c r="E176" s="1" t="s">
        <v>16475</v>
      </c>
      <c r="F176" s="90">
        <v>45113.549375</v>
      </c>
      <c r="G176" s="90">
        <v>45961.88427083333</v>
      </c>
      <c r="H176" s="1" t="s">
        <v>16476</v>
      </c>
    </row>
    <row r="177">
      <c r="A177" s="1">
        <v>418.0</v>
      </c>
      <c r="B177" s="1" t="s">
        <v>16647</v>
      </c>
      <c r="E177" s="1" t="s">
        <v>16475</v>
      </c>
      <c r="F177" s="90">
        <v>45113.54670138889</v>
      </c>
      <c r="G177" s="90">
        <v>45961.881631944445</v>
      </c>
      <c r="H177" s="1" t="s">
        <v>16476</v>
      </c>
    </row>
    <row r="178">
      <c r="A178" s="1">
        <v>641.0</v>
      </c>
      <c r="B178" s="1" t="s">
        <v>16648</v>
      </c>
      <c r="E178" s="1" t="s">
        <v>16475</v>
      </c>
      <c r="F178" s="90">
        <v>45113.54997685185</v>
      </c>
      <c r="G178" s="90">
        <v>45961.87773148148</v>
      </c>
      <c r="H178" s="1" t="s">
        <v>16476</v>
      </c>
    </row>
    <row r="179">
      <c r="A179" s="1">
        <v>767.0</v>
      </c>
      <c r="B179" s="1" t="s">
        <v>16649</v>
      </c>
      <c r="E179" s="1" t="s">
        <v>16475</v>
      </c>
      <c r="F179" s="90">
        <v>45113.551828703705</v>
      </c>
      <c r="G179" s="90">
        <v>45961.87644675926</v>
      </c>
      <c r="H179" s="1" t="s">
        <v>16476</v>
      </c>
    </row>
    <row r="180">
      <c r="A180" s="1">
        <v>492.0</v>
      </c>
      <c r="B180" s="1" t="s">
        <v>16650</v>
      </c>
      <c r="E180" s="1" t="s">
        <v>16475</v>
      </c>
      <c r="F180" s="90">
        <v>45113.54777777778</v>
      </c>
      <c r="G180" s="90">
        <v>45961.87144675926</v>
      </c>
      <c r="H180" s="1" t="s">
        <v>16476</v>
      </c>
    </row>
    <row r="181">
      <c r="A181" s="89">
        <v>1035.0</v>
      </c>
      <c r="B181" s="1" t="s">
        <v>16651</v>
      </c>
      <c r="E181" s="1" t="s">
        <v>16475</v>
      </c>
      <c r="F181" s="90">
        <v>45113.55574074074</v>
      </c>
      <c r="G181" s="90">
        <v>45961.870474537034</v>
      </c>
      <c r="H181" s="1" t="s">
        <v>16476</v>
      </c>
    </row>
    <row r="182">
      <c r="A182" s="1">
        <v>462.0</v>
      </c>
      <c r="B182" s="1" t="s">
        <v>16652</v>
      </c>
      <c r="E182" s="1" t="s">
        <v>16475</v>
      </c>
      <c r="F182" s="90">
        <v>45113.54733796296</v>
      </c>
      <c r="G182" s="90">
        <v>45961.86934027778</v>
      </c>
      <c r="H182" s="1" t="s">
        <v>16476</v>
      </c>
    </row>
    <row r="183">
      <c r="A183" s="1">
        <v>236.0</v>
      </c>
      <c r="B183" s="1" t="s">
        <v>16653</v>
      </c>
      <c r="E183" s="1" t="s">
        <v>5202</v>
      </c>
      <c r="F183" s="90">
        <v>45113.543969907405</v>
      </c>
      <c r="G183" s="90">
        <v>45961.852013888885</v>
      </c>
      <c r="H183" s="1" t="s">
        <v>16476</v>
      </c>
    </row>
    <row r="184">
      <c r="A184" s="1">
        <v>942.0</v>
      </c>
      <c r="B184" s="1" t="s">
        <v>16654</v>
      </c>
      <c r="E184" s="1" t="s">
        <v>5202</v>
      </c>
      <c r="F184" s="90">
        <v>45113.55438657408</v>
      </c>
      <c r="G184" s="90">
        <v>45961.8516087963</v>
      </c>
      <c r="H184" s="1" t="s">
        <v>16476</v>
      </c>
    </row>
    <row r="185">
      <c r="A185" s="89">
        <v>1737.0</v>
      </c>
      <c r="B185" s="1" t="s">
        <v>16655</v>
      </c>
      <c r="F185" s="90">
        <v>45887.99074074074</v>
      </c>
      <c r="G185" s="90">
        <v>45938.689375</v>
      </c>
      <c r="H185" s="1" t="s">
        <v>16476</v>
      </c>
    </row>
    <row r="186">
      <c r="A186" s="1">
        <v>953.0</v>
      </c>
      <c r="B186" s="1" t="s">
        <v>16656</v>
      </c>
      <c r="E186" s="1" t="s">
        <v>16475</v>
      </c>
      <c r="F186" s="90">
        <v>45113.55454861111</v>
      </c>
      <c r="G186" s="90">
        <v>45924.86966435185</v>
      </c>
      <c r="H186" s="1" t="s">
        <v>16476</v>
      </c>
    </row>
    <row r="187">
      <c r="A187" s="89">
        <v>1089.0</v>
      </c>
      <c r="B187" s="1" t="s">
        <v>16657</v>
      </c>
      <c r="E187" s="1" t="s">
        <v>16475</v>
      </c>
      <c r="F187" s="90">
        <v>45113.55652777778</v>
      </c>
      <c r="G187" s="90">
        <v>45924.867939814816</v>
      </c>
      <c r="H187" s="1" t="s">
        <v>16476</v>
      </c>
    </row>
    <row r="188">
      <c r="A188" s="1">
        <v>152.0</v>
      </c>
      <c r="B188" s="1" t="s">
        <v>16658</v>
      </c>
      <c r="E188" s="1" t="s">
        <v>16475</v>
      </c>
      <c r="F188" s="90">
        <v>45113.54269675926</v>
      </c>
      <c r="G188" s="90">
        <v>45924.867627314816</v>
      </c>
      <c r="H188" s="1" t="s">
        <v>16476</v>
      </c>
    </row>
    <row r="189">
      <c r="A189" s="89">
        <v>1082.0</v>
      </c>
      <c r="B189" s="1" t="s">
        <v>16659</v>
      </c>
      <c r="E189" s="1" t="s">
        <v>16475</v>
      </c>
      <c r="F189" s="90">
        <v>45113.556435185186</v>
      </c>
      <c r="G189" s="90">
        <v>45924.867164351854</v>
      </c>
      <c r="H189" s="1" t="s">
        <v>16476</v>
      </c>
    </row>
    <row r="190">
      <c r="A190" s="1">
        <v>765.0</v>
      </c>
      <c r="B190" s="1" t="s">
        <v>16660</v>
      </c>
      <c r="E190" s="1" t="s">
        <v>16475</v>
      </c>
      <c r="F190" s="90">
        <v>45113.55180555556</v>
      </c>
      <c r="G190" s="90">
        <v>45924.86645833333</v>
      </c>
      <c r="H190" s="1" t="s">
        <v>16476</v>
      </c>
    </row>
    <row r="191">
      <c r="A191" s="89">
        <v>1729.0</v>
      </c>
      <c r="B191" s="1" t="s">
        <v>16661</v>
      </c>
      <c r="F191" s="90">
        <v>45853.6493287037</v>
      </c>
      <c r="G191" s="90">
        <v>45922.548483796294</v>
      </c>
      <c r="H191" s="1" t="s">
        <v>16476</v>
      </c>
    </row>
    <row r="192">
      <c r="A192" s="89">
        <v>1725.0</v>
      </c>
      <c r="B192" s="1" t="s">
        <v>16662</v>
      </c>
      <c r="F192" s="90">
        <v>45852.63853009259</v>
      </c>
      <c r="G192" s="90">
        <v>45922.51740740741</v>
      </c>
      <c r="H192" s="1" t="s">
        <v>16476</v>
      </c>
    </row>
    <row r="193">
      <c r="A193" s="1">
        <v>598.0</v>
      </c>
      <c r="B193" s="1" t="s">
        <v>16663</v>
      </c>
      <c r="E193" s="1" t="s">
        <v>5202</v>
      </c>
      <c r="F193" s="90">
        <v>45113.5493287037</v>
      </c>
      <c r="G193" s="90">
        <v>45922.51646990741</v>
      </c>
      <c r="H193" s="1" t="s">
        <v>16476</v>
      </c>
    </row>
    <row r="194">
      <c r="A194" s="89">
        <v>1727.0</v>
      </c>
      <c r="B194" s="1" t="s">
        <v>16664</v>
      </c>
      <c r="F194" s="90">
        <v>45853.39586805556</v>
      </c>
      <c r="G194" s="90">
        <v>45922.50912037037</v>
      </c>
      <c r="H194" s="1" t="s">
        <v>16476</v>
      </c>
    </row>
    <row r="195">
      <c r="A195" s="89">
        <v>1730.0</v>
      </c>
      <c r="B195" s="1" t="s">
        <v>16665</v>
      </c>
      <c r="F195" s="90">
        <v>45854.428611111114</v>
      </c>
      <c r="G195" s="90">
        <v>45922.503854166665</v>
      </c>
      <c r="H195" s="1" t="s">
        <v>16476</v>
      </c>
    </row>
    <row r="196">
      <c r="A196" s="89">
        <v>1726.0</v>
      </c>
      <c r="B196" s="1" t="s">
        <v>16666</v>
      </c>
      <c r="F196" s="90">
        <v>45852.82659722222</v>
      </c>
      <c r="G196" s="90">
        <v>45922.50342592593</v>
      </c>
      <c r="H196" s="1" t="s">
        <v>16476</v>
      </c>
    </row>
    <row r="197">
      <c r="A197" s="89">
        <v>1724.0</v>
      </c>
      <c r="B197" s="1" t="s">
        <v>16667</v>
      </c>
      <c r="F197" s="90">
        <v>45852.63726851852</v>
      </c>
      <c r="G197" s="90">
        <v>45922.484918981485</v>
      </c>
      <c r="H197" s="1" t="s">
        <v>16476</v>
      </c>
    </row>
    <row r="198">
      <c r="A198" s="89">
        <v>1075.0</v>
      </c>
      <c r="B198" s="1" t="s">
        <v>16668</v>
      </c>
      <c r="E198" s="1" t="s">
        <v>16475</v>
      </c>
      <c r="F198" s="90">
        <v>45113.55633101852</v>
      </c>
      <c r="G198" s="90">
        <v>45920.93037037037</v>
      </c>
      <c r="H198" s="1" t="s">
        <v>16476</v>
      </c>
    </row>
    <row r="199">
      <c r="A199" s="1">
        <v>461.0</v>
      </c>
      <c r="B199" s="1" t="s">
        <v>16669</v>
      </c>
      <c r="E199" s="1" t="s">
        <v>5202</v>
      </c>
      <c r="F199" s="90">
        <v>45113.547326388885</v>
      </c>
      <c r="G199" s="90">
        <v>45920.92644675926</v>
      </c>
      <c r="H199" s="1" t="s">
        <v>16476</v>
      </c>
    </row>
    <row r="200">
      <c r="A200" s="1">
        <v>794.0</v>
      </c>
      <c r="B200" s="1" t="s">
        <v>16670</v>
      </c>
      <c r="E200" s="1" t="s">
        <v>5202</v>
      </c>
      <c r="F200" s="90">
        <v>45113.55222222222</v>
      </c>
      <c r="G200" s="90">
        <v>45920.92434027778</v>
      </c>
      <c r="H200" s="1" t="s">
        <v>16476</v>
      </c>
    </row>
    <row r="201">
      <c r="A201" s="1">
        <v>965.0</v>
      </c>
      <c r="B201" s="1" t="s">
        <v>16671</v>
      </c>
      <c r="E201" s="1" t="s">
        <v>16475</v>
      </c>
      <c r="F201" s="90">
        <v>45113.55472222222</v>
      </c>
      <c r="G201" s="90">
        <v>45920.92398148148</v>
      </c>
      <c r="H201" s="1" t="s">
        <v>16476</v>
      </c>
    </row>
    <row r="202">
      <c r="A202" s="1">
        <v>455.0</v>
      </c>
      <c r="B202" s="1" t="s">
        <v>16672</v>
      </c>
      <c r="E202" s="1" t="s">
        <v>16475</v>
      </c>
      <c r="F202" s="90">
        <v>45113.54724537037</v>
      </c>
      <c r="G202" s="90">
        <v>45920.92335648148</v>
      </c>
      <c r="H202" s="1" t="s">
        <v>16476</v>
      </c>
    </row>
    <row r="203">
      <c r="A203" s="1">
        <v>593.0</v>
      </c>
      <c r="B203" s="1" t="s">
        <v>16673</v>
      </c>
      <c r="E203" s="1" t="s">
        <v>16475</v>
      </c>
      <c r="F203" s="90">
        <v>45113.549259259256</v>
      </c>
      <c r="G203" s="90">
        <v>45920.92273148148</v>
      </c>
      <c r="H203" s="1" t="s">
        <v>16476</v>
      </c>
    </row>
    <row r="204">
      <c r="A204" s="1">
        <v>443.0</v>
      </c>
      <c r="B204" s="1" t="s">
        <v>16674</v>
      </c>
      <c r="E204" s="1" t="s">
        <v>5202</v>
      </c>
      <c r="F204" s="90">
        <v>45113.547060185185</v>
      </c>
      <c r="G204" s="90">
        <v>45920.9221875</v>
      </c>
      <c r="H204" s="1" t="s">
        <v>16476</v>
      </c>
    </row>
    <row r="205">
      <c r="A205" s="1">
        <v>467.0</v>
      </c>
      <c r="B205" s="1" t="s">
        <v>16675</v>
      </c>
      <c r="E205" s="1" t="s">
        <v>16475</v>
      </c>
      <c r="F205" s="90">
        <v>45113.547418981485</v>
      </c>
      <c r="G205" s="90">
        <v>45920.92099537037</v>
      </c>
      <c r="H205" s="1" t="s">
        <v>16476</v>
      </c>
    </row>
    <row r="206">
      <c r="A206" s="89">
        <v>1002.0</v>
      </c>
      <c r="B206" s="1" t="s">
        <v>16676</v>
      </c>
      <c r="E206" s="1" t="s">
        <v>16475</v>
      </c>
      <c r="F206" s="90">
        <v>45113.5552662037</v>
      </c>
      <c r="G206" s="90">
        <v>45920.91725694444</v>
      </c>
      <c r="H206" s="1" t="s">
        <v>16476</v>
      </c>
    </row>
    <row r="207">
      <c r="A207" s="1">
        <v>960.0</v>
      </c>
      <c r="B207" s="1" t="s">
        <v>16677</v>
      </c>
      <c r="E207" s="1" t="s">
        <v>16475</v>
      </c>
      <c r="F207" s="90">
        <v>45113.5546412037</v>
      </c>
      <c r="G207" s="90">
        <v>45920.91663194444</v>
      </c>
      <c r="H207" s="1" t="s">
        <v>16476</v>
      </c>
    </row>
    <row r="208">
      <c r="A208" s="89">
        <v>1134.0</v>
      </c>
      <c r="B208" s="1" t="s">
        <v>16678</v>
      </c>
      <c r="E208" s="1" t="s">
        <v>16475</v>
      </c>
      <c r="F208" s="90">
        <v>45113.5571875</v>
      </c>
      <c r="G208" s="90">
        <v>45920.91373842592</v>
      </c>
      <c r="H208" s="1" t="s">
        <v>16476</v>
      </c>
    </row>
    <row r="209">
      <c r="A209" s="89">
        <v>1013.0</v>
      </c>
      <c r="B209" s="1" t="s">
        <v>16679</v>
      </c>
      <c r="E209" s="1" t="s">
        <v>16475</v>
      </c>
      <c r="F209" s="90">
        <v>45113.55541666667</v>
      </c>
      <c r="G209" s="90">
        <v>45920.913298611114</v>
      </c>
      <c r="H209" s="1" t="s">
        <v>16476</v>
      </c>
    </row>
    <row r="210">
      <c r="A210" s="89">
        <v>1065.0</v>
      </c>
      <c r="B210" s="1" t="s">
        <v>16680</v>
      </c>
      <c r="E210" s="1" t="s">
        <v>16475</v>
      </c>
      <c r="F210" s="90">
        <v>45113.556180555555</v>
      </c>
      <c r="G210" s="90">
        <v>45920.91284722222</v>
      </c>
      <c r="H210" s="1" t="s">
        <v>16476</v>
      </c>
    </row>
    <row r="211">
      <c r="A211" s="1">
        <v>708.0</v>
      </c>
      <c r="B211" s="1" t="s">
        <v>16681</v>
      </c>
      <c r="E211" s="1" t="s">
        <v>16475</v>
      </c>
      <c r="F211" s="90">
        <v>45113.55097222222</v>
      </c>
      <c r="G211" s="90">
        <v>45920.91206018518</v>
      </c>
      <c r="H211" s="1" t="s">
        <v>16476</v>
      </c>
    </row>
    <row r="212">
      <c r="A212" s="89">
        <v>1211.0</v>
      </c>
      <c r="B212" s="1" t="s">
        <v>16682</v>
      </c>
      <c r="E212" s="1" t="s">
        <v>16475</v>
      </c>
      <c r="F212" s="90">
        <v>45113.55832175926</v>
      </c>
      <c r="G212" s="90">
        <v>45920.90917824074</v>
      </c>
      <c r="H212" s="1" t="s">
        <v>16476</v>
      </c>
    </row>
    <row r="213">
      <c r="A213" s="89">
        <v>1142.0</v>
      </c>
      <c r="B213" s="1" t="s">
        <v>16683</v>
      </c>
      <c r="E213" s="1" t="s">
        <v>16475</v>
      </c>
      <c r="F213" s="90">
        <v>45113.55730324074</v>
      </c>
      <c r="G213" s="90">
        <v>45920.90855324074</v>
      </c>
      <c r="H213" s="1" t="s">
        <v>16476</v>
      </c>
    </row>
    <row r="214">
      <c r="A214" s="89">
        <v>1209.0</v>
      </c>
      <c r="B214" s="1" t="s">
        <v>16684</v>
      </c>
      <c r="E214" s="1" t="s">
        <v>16475</v>
      </c>
      <c r="F214" s="90">
        <v>45113.55829861111</v>
      </c>
      <c r="G214" s="90">
        <v>45920.907164351855</v>
      </c>
      <c r="H214" s="1" t="s">
        <v>16476</v>
      </c>
    </row>
    <row r="215">
      <c r="A215" s="1">
        <v>304.0</v>
      </c>
      <c r="B215" s="1" t="s">
        <v>16685</v>
      </c>
      <c r="E215" s="1" t="s">
        <v>16475</v>
      </c>
      <c r="F215" s="90">
        <v>45113.545011574075</v>
      </c>
      <c r="G215" s="90">
        <v>45920.905590277776</v>
      </c>
      <c r="H215" s="1" t="s">
        <v>16476</v>
      </c>
    </row>
    <row r="216">
      <c r="A216" s="89">
        <v>1200.0</v>
      </c>
      <c r="B216" s="1" t="s">
        <v>16686</v>
      </c>
      <c r="E216" s="1" t="s">
        <v>5202</v>
      </c>
      <c r="F216" s="90">
        <v>45113.558171296296</v>
      </c>
      <c r="G216" s="90">
        <v>45920.90516203704</v>
      </c>
      <c r="H216" s="1" t="s">
        <v>16476</v>
      </c>
    </row>
    <row r="217">
      <c r="A217" s="89">
        <v>1257.0</v>
      </c>
      <c r="B217" s="1" t="s">
        <v>16687</v>
      </c>
      <c r="E217" s="1" t="s">
        <v>16475</v>
      </c>
      <c r="F217" s="90">
        <v>45113.55899305556</v>
      </c>
      <c r="G217" s="90">
        <v>45920.9040625</v>
      </c>
      <c r="H217" s="1" t="s">
        <v>16476</v>
      </c>
    </row>
    <row r="218">
      <c r="A218" s="1">
        <v>856.0</v>
      </c>
      <c r="B218" s="1" t="s">
        <v>16688</v>
      </c>
      <c r="E218" s="1" t="s">
        <v>16475</v>
      </c>
      <c r="F218" s="90">
        <v>45113.553125</v>
      </c>
      <c r="G218" s="90">
        <v>45920.9009375</v>
      </c>
      <c r="H218" s="1" t="s">
        <v>16476</v>
      </c>
    </row>
    <row r="219">
      <c r="A219" s="1">
        <v>667.0</v>
      </c>
      <c r="B219" s="1" t="s">
        <v>16689</v>
      </c>
      <c r="E219" s="1" t="s">
        <v>5202</v>
      </c>
      <c r="F219" s="90">
        <v>45113.550358796296</v>
      </c>
      <c r="G219" s="90">
        <v>45920.899363425924</v>
      </c>
      <c r="H219" s="1" t="s">
        <v>16476</v>
      </c>
    </row>
    <row r="220">
      <c r="A220" s="1">
        <v>349.0</v>
      </c>
      <c r="B220" s="1" t="s">
        <v>16690</v>
      </c>
      <c r="E220" s="1" t="s">
        <v>16475</v>
      </c>
      <c r="F220" s="90">
        <v>45113.5456712963</v>
      </c>
      <c r="G220" s="90">
        <v>45920.8987037037</v>
      </c>
      <c r="H220" s="1" t="s">
        <v>16476</v>
      </c>
    </row>
    <row r="221">
      <c r="A221" s="89">
        <v>1132.0</v>
      </c>
      <c r="B221" s="1" t="s">
        <v>16691</v>
      </c>
      <c r="E221" s="1" t="s">
        <v>16481</v>
      </c>
      <c r="F221" s="90">
        <v>45113.55716435185</v>
      </c>
      <c r="G221" s="90">
        <v>45920.89800925926</v>
      </c>
      <c r="H221" s="1" t="s">
        <v>16476</v>
      </c>
    </row>
    <row r="222">
      <c r="A222" s="89">
        <v>1259.0</v>
      </c>
      <c r="B222" s="1" t="s">
        <v>16692</v>
      </c>
      <c r="E222" s="1" t="s">
        <v>16475</v>
      </c>
      <c r="F222" s="90">
        <v>45113.55902777778</v>
      </c>
      <c r="G222" s="90">
        <v>45920.89753472222</v>
      </c>
      <c r="H222" s="1" t="s">
        <v>16476</v>
      </c>
    </row>
    <row r="223">
      <c r="A223" s="89">
        <v>1237.0</v>
      </c>
      <c r="B223" s="1" t="s">
        <v>16693</v>
      </c>
      <c r="E223" s="1" t="s">
        <v>16475</v>
      </c>
      <c r="F223" s="90">
        <v>45113.558703703704</v>
      </c>
      <c r="G223" s="90">
        <v>45920.897152777776</v>
      </c>
      <c r="H223" s="1" t="s">
        <v>16476</v>
      </c>
    </row>
    <row r="224">
      <c r="A224" s="1">
        <v>717.0</v>
      </c>
      <c r="B224" s="1" t="s">
        <v>16694</v>
      </c>
      <c r="E224" s="1" t="s">
        <v>16475</v>
      </c>
      <c r="F224" s="90">
        <v>45113.551099537035</v>
      </c>
      <c r="G224" s="90">
        <v>45920.89628472222</v>
      </c>
      <c r="H224" s="1" t="s">
        <v>16476</v>
      </c>
    </row>
    <row r="225">
      <c r="A225" s="1">
        <v>754.0</v>
      </c>
      <c r="B225" s="1" t="s">
        <v>16695</v>
      </c>
      <c r="E225" s="1" t="s">
        <v>16475</v>
      </c>
      <c r="F225" s="90">
        <v>45113.55164351852</v>
      </c>
      <c r="G225" s="90">
        <v>45920.895949074074</v>
      </c>
      <c r="H225" s="1" t="s">
        <v>16476</v>
      </c>
    </row>
    <row r="226">
      <c r="A226" s="1">
        <v>808.0</v>
      </c>
      <c r="B226" s="1" t="s">
        <v>16696</v>
      </c>
      <c r="E226" s="1" t="s">
        <v>16475</v>
      </c>
      <c r="F226" s="90">
        <v>45113.55243055556</v>
      </c>
      <c r="G226" s="90">
        <v>45920.89472222222</v>
      </c>
      <c r="H226" s="1" t="s">
        <v>16476</v>
      </c>
    </row>
    <row r="227">
      <c r="A227" s="1">
        <v>606.0</v>
      </c>
      <c r="B227" s="1" t="s">
        <v>16697</v>
      </c>
      <c r="E227" s="1" t="s">
        <v>16475</v>
      </c>
      <c r="F227" s="90">
        <v>45113.54944444444</v>
      </c>
      <c r="G227" s="90">
        <v>45920.89431712963</v>
      </c>
      <c r="H227" s="1" t="s">
        <v>16476</v>
      </c>
    </row>
    <row r="228">
      <c r="A228" s="1">
        <v>379.0</v>
      </c>
      <c r="B228" s="1" t="s">
        <v>16698</v>
      </c>
      <c r="E228" s="1" t="s">
        <v>16475</v>
      </c>
      <c r="F228" s="90">
        <v>45113.546111111114</v>
      </c>
      <c r="G228" s="90">
        <v>45920.8934375</v>
      </c>
      <c r="H228" s="1" t="s">
        <v>16476</v>
      </c>
    </row>
    <row r="229">
      <c r="A229" s="89">
        <v>1251.0</v>
      </c>
      <c r="B229" s="1" t="s">
        <v>16699</v>
      </c>
      <c r="E229" s="1" t="s">
        <v>16475</v>
      </c>
      <c r="F229" s="90">
        <v>45113.558912037035</v>
      </c>
      <c r="G229" s="90">
        <v>45920.8927662037</v>
      </c>
      <c r="H229" s="1" t="s">
        <v>16476</v>
      </c>
    </row>
    <row r="230">
      <c r="A230" s="1">
        <v>365.0</v>
      </c>
      <c r="B230" s="1" t="s">
        <v>16700</v>
      </c>
      <c r="E230" s="1" t="s">
        <v>16475</v>
      </c>
      <c r="F230" s="90">
        <v>45113.545902777776</v>
      </c>
      <c r="G230" s="90">
        <v>45920.89163194445</v>
      </c>
      <c r="H230" s="1" t="s">
        <v>16476</v>
      </c>
    </row>
    <row r="231">
      <c r="A231" s="1">
        <v>625.0</v>
      </c>
      <c r="B231" s="1" t="s">
        <v>16701</v>
      </c>
      <c r="E231" s="1" t="s">
        <v>16475</v>
      </c>
      <c r="F231" s="90">
        <v>45113.549722222226</v>
      </c>
      <c r="G231" s="90">
        <v>45920.87703703704</v>
      </c>
      <c r="H231" s="1" t="s">
        <v>16476</v>
      </c>
    </row>
    <row r="232">
      <c r="A232" s="1">
        <v>177.0</v>
      </c>
      <c r="B232" s="1" t="s">
        <v>16702</v>
      </c>
      <c r="E232" s="1" t="s">
        <v>16475</v>
      </c>
      <c r="F232" s="90">
        <v>45113.54306712963</v>
      </c>
      <c r="G232" s="90">
        <v>45920.876655092594</v>
      </c>
      <c r="H232" s="1" t="s">
        <v>16476</v>
      </c>
    </row>
    <row r="233">
      <c r="A233" s="1">
        <v>108.0</v>
      </c>
      <c r="B233" s="1" t="s">
        <v>16703</v>
      </c>
      <c r="E233" s="1" t="s">
        <v>16475</v>
      </c>
      <c r="F233" s="90">
        <v>45113.54206018519</v>
      </c>
      <c r="G233" s="90">
        <v>45920.876122685186</v>
      </c>
      <c r="H233" s="1" t="s">
        <v>16476</v>
      </c>
    </row>
    <row r="234">
      <c r="A234" s="89">
        <v>1226.0</v>
      </c>
      <c r="B234" s="1" t="s">
        <v>16704</v>
      </c>
      <c r="E234" s="1" t="s">
        <v>16475</v>
      </c>
      <c r="F234" s="90">
        <v>45113.558541666665</v>
      </c>
      <c r="G234" s="90">
        <v>45920.87399305555</v>
      </c>
      <c r="H234" s="1" t="s">
        <v>16476</v>
      </c>
    </row>
    <row r="235">
      <c r="A235" s="89">
        <v>1219.0</v>
      </c>
      <c r="B235" s="1" t="s">
        <v>16705</v>
      </c>
      <c r="E235" s="1" t="s">
        <v>16475</v>
      </c>
      <c r="F235" s="90">
        <v>45113.5584375</v>
      </c>
      <c r="G235" s="90">
        <v>45920.87289351852</v>
      </c>
      <c r="H235" s="1" t="s">
        <v>16476</v>
      </c>
    </row>
    <row r="236">
      <c r="A236" s="1">
        <v>791.0</v>
      </c>
      <c r="B236" s="1" t="s">
        <v>16706</v>
      </c>
      <c r="E236" s="1" t="s">
        <v>16475</v>
      </c>
      <c r="F236" s="90">
        <v>45113.55217592593</v>
      </c>
      <c r="G236" s="90">
        <v>45920.872152777774</v>
      </c>
      <c r="H236" s="1" t="s">
        <v>16476</v>
      </c>
    </row>
    <row r="237">
      <c r="A237" s="1">
        <v>419.0</v>
      </c>
      <c r="B237" s="1" t="s">
        <v>16707</v>
      </c>
      <c r="E237" s="1" t="s">
        <v>16475</v>
      </c>
      <c r="F237" s="90">
        <v>45113.54671296296</v>
      </c>
      <c r="G237" s="90">
        <v>45920.87174768518</v>
      </c>
      <c r="H237" s="1" t="s">
        <v>16476</v>
      </c>
    </row>
    <row r="238">
      <c r="A238" s="89">
        <v>1014.0</v>
      </c>
      <c r="B238" s="1" t="s">
        <v>16708</v>
      </c>
      <c r="E238" s="1" t="s">
        <v>16475</v>
      </c>
      <c r="F238" s="90">
        <v>45113.555439814816</v>
      </c>
      <c r="G238" s="90">
        <v>45920.87128472222</v>
      </c>
      <c r="H238" s="1" t="s">
        <v>16476</v>
      </c>
    </row>
    <row r="239">
      <c r="A239" s="1">
        <v>336.0</v>
      </c>
      <c r="B239" s="1" t="s">
        <v>16709</v>
      </c>
      <c r="E239" s="1" t="s">
        <v>16475</v>
      </c>
      <c r="F239" s="90">
        <v>45113.545486111114</v>
      </c>
      <c r="G239" s="90">
        <v>45920.87081018519</v>
      </c>
      <c r="H239" s="1" t="s">
        <v>16476</v>
      </c>
    </row>
    <row r="240">
      <c r="A240" s="89">
        <v>1232.0</v>
      </c>
      <c r="B240" s="1" t="s">
        <v>8979</v>
      </c>
      <c r="E240" s="1" t="s">
        <v>5202</v>
      </c>
      <c r="F240" s="90">
        <v>45113.55863425926</v>
      </c>
      <c r="G240" s="90">
        <v>45920.86991898148</v>
      </c>
      <c r="H240" s="1" t="s">
        <v>16476</v>
      </c>
    </row>
    <row r="241">
      <c r="A241" s="89">
        <v>1037.0</v>
      </c>
      <c r="B241" s="1" t="s">
        <v>16710</v>
      </c>
      <c r="E241" s="1" t="s">
        <v>16475</v>
      </c>
      <c r="F241" s="90">
        <v>45113.55577546296</v>
      </c>
      <c r="G241" s="90">
        <v>45920.00387731481</v>
      </c>
      <c r="H241" s="1" t="s">
        <v>16476</v>
      </c>
    </row>
    <row r="242">
      <c r="A242" s="89">
        <v>1258.0</v>
      </c>
      <c r="B242" s="1" t="s">
        <v>16711</v>
      </c>
      <c r="E242" s="1" t="s">
        <v>16475</v>
      </c>
      <c r="F242" s="90">
        <v>45113.55900462963</v>
      </c>
      <c r="G242" s="90">
        <v>45920.00320601852</v>
      </c>
      <c r="H242" s="1" t="s">
        <v>16476</v>
      </c>
    </row>
    <row r="243">
      <c r="A243" s="1">
        <v>135.0</v>
      </c>
      <c r="B243" s="1" t="s">
        <v>16712</v>
      </c>
      <c r="E243" s="1" t="s">
        <v>5202</v>
      </c>
      <c r="F243" s="90">
        <v>45113.5424537037</v>
      </c>
      <c r="G243" s="90">
        <v>45920.00226851852</v>
      </c>
      <c r="H243" s="1" t="s">
        <v>16476</v>
      </c>
    </row>
    <row r="244">
      <c r="A244" s="89">
        <v>1165.0</v>
      </c>
      <c r="B244" s="1" t="s">
        <v>16713</v>
      </c>
      <c r="E244" s="1" t="s">
        <v>16475</v>
      </c>
      <c r="F244" s="90">
        <v>45113.557662037034</v>
      </c>
      <c r="G244" s="90">
        <v>45920.00148148148</v>
      </c>
      <c r="H244" s="1" t="s">
        <v>16476</v>
      </c>
    </row>
    <row r="245">
      <c r="A245" s="1">
        <v>666.0</v>
      </c>
      <c r="B245" s="1" t="s">
        <v>16714</v>
      </c>
      <c r="E245" s="1" t="s">
        <v>5202</v>
      </c>
      <c r="F245" s="90">
        <v>45113.55033564815</v>
      </c>
      <c r="G245" s="90">
        <v>45920.00103009259</v>
      </c>
      <c r="H245" s="1" t="s">
        <v>16476</v>
      </c>
    </row>
    <row r="246">
      <c r="A246" s="1">
        <v>495.0</v>
      </c>
      <c r="B246" s="1" t="s">
        <v>16715</v>
      </c>
      <c r="E246" s="1" t="s">
        <v>16475</v>
      </c>
      <c r="F246" s="90">
        <v>45113.54782407408</v>
      </c>
      <c r="G246" s="90">
        <v>45919.99560185185</v>
      </c>
      <c r="H246" s="1" t="s">
        <v>16476</v>
      </c>
    </row>
    <row r="247">
      <c r="A247" s="89">
        <v>1178.0</v>
      </c>
      <c r="B247" s="1" t="s">
        <v>16716</v>
      </c>
      <c r="E247" s="1" t="s">
        <v>16475</v>
      </c>
      <c r="F247" s="90">
        <v>45113.557858796295</v>
      </c>
      <c r="G247" s="90">
        <v>45919.98489583333</v>
      </c>
      <c r="H247" s="1" t="s">
        <v>16476</v>
      </c>
    </row>
    <row r="248">
      <c r="A248" s="89">
        <v>1030.0</v>
      </c>
      <c r="B248" s="1" t="s">
        <v>16717</v>
      </c>
      <c r="E248" s="1" t="s">
        <v>16475</v>
      </c>
      <c r="F248" s="90">
        <v>45113.55567129629</v>
      </c>
      <c r="G248" s="90">
        <v>45919.98373842592</v>
      </c>
      <c r="H248" s="1" t="s">
        <v>16476</v>
      </c>
    </row>
    <row r="249">
      <c r="A249" s="89">
        <v>1250.0</v>
      </c>
      <c r="B249" s="1" t="s">
        <v>16718</v>
      </c>
      <c r="E249" s="1" t="s">
        <v>16475</v>
      </c>
      <c r="F249" s="90">
        <v>45113.55888888889</v>
      </c>
      <c r="G249" s="90">
        <v>45919.98292824074</v>
      </c>
      <c r="H249" s="1" t="s">
        <v>16476</v>
      </c>
    </row>
    <row r="250">
      <c r="A250" s="89">
        <v>1106.0</v>
      </c>
      <c r="B250" s="1" t="s">
        <v>16719</v>
      </c>
      <c r="E250" s="1" t="s">
        <v>16475</v>
      </c>
      <c r="F250" s="90">
        <v>45113.55678240741</v>
      </c>
      <c r="G250" s="90">
        <v>45919.980891203704</v>
      </c>
      <c r="H250" s="1" t="s">
        <v>16476</v>
      </c>
    </row>
    <row r="251">
      <c r="A251" s="1">
        <v>845.0</v>
      </c>
      <c r="B251" s="1" t="s">
        <v>16720</v>
      </c>
      <c r="E251" s="1" t="s">
        <v>16475</v>
      </c>
      <c r="F251" s="90">
        <v>45113.55296296296</v>
      </c>
      <c r="G251" s="90">
        <v>45919.9784375</v>
      </c>
      <c r="H251" s="1" t="s">
        <v>16476</v>
      </c>
    </row>
    <row r="252">
      <c r="A252" s="89">
        <v>1224.0</v>
      </c>
      <c r="B252" s="1" t="s">
        <v>16721</v>
      </c>
      <c r="E252" s="1" t="s">
        <v>5202</v>
      </c>
      <c r="F252" s="90">
        <v>45113.55851851852</v>
      </c>
      <c r="G252" s="90">
        <v>45919.977743055555</v>
      </c>
      <c r="H252" s="1" t="s">
        <v>16476</v>
      </c>
    </row>
    <row r="253">
      <c r="A253" s="1">
        <v>801.0</v>
      </c>
      <c r="B253" s="1" t="s">
        <v>16722</v>
      </c>
      <c r="E253" s="1" t="s">
        <v>16475</v>
      </c>
      <c r="F253" s="90">
        <v>45113.55232638889</v>
      </c>
      <c r="G253" s="90">
        <v>45919.97744212963</v>
      </c>
      <c r="H253" s="1" t="s">
        <v>16476</v>
      </c>
    </row>
    <row r="254">
      <c r="A254" s="1">
        <v>539.0</v>
      </c>
      <c r="B254" s="1" t="s">
        <v>16723</v>
      </c>
      <c r="E254" s="1" t="s">
        <v>16475</v>
      </c>
      <c r="F254" s="90">
        <v>45113.548472222225</v>
      </c>
      <c r="G254" s="90">
        <v>45919.97582175926</v>
      </c>
      <c r="H254" s="1" t="s">
        <v>16476</v>
      </c>
    </row>
    <row r="255">
      <c r="A255" s="1">
        <v>324.0</v>
      </c>
      <c r="B255" s="1" t="s">
        <v>16724</v>
      </c>
      <c r="E255" s="1" t="s">
        <v>16475</v>
      </c>
      <c r="F255" s="90">
        <v>45113.5453125</v>
      </c>
      <c r="G255" s="90">
        <v>45919.97537037037</v>
      </c>
      <c r="H255" s="1" t="s">
        <v>16476</v>
      </c>
    </row>
    <row r="256">
      <c r="A256" s="1">
        <v>465.0</v>
      </c>
      <c r="B256" s="1" t="s">
        <v>16725</v>
      </c>
      <c r="E256" s="1" t="s">
        <v>5202</v>
      </c>
      <c r="F256" s="90">
        <v>45113.54738425926</v>
      </c>
      <c r="G256" s="90">
        <v>45919.97488425926</v>
      </c>
      <c r="H256" s="1" t="s">
        <v>16476</v>
      </c>
    </row>
    <row r="257">
      <c r="A257" s="89">
        <v>1103.0</v>
      </c>
      <c r="B257" s="1" t="s">
        <v>16726</v>
      </c>
      <c r="E257" s="1" t="s">
        <v>16475</v>
      </c>
      <c r="F257" s="90">
        <v>45113.55673611111</v>
      </c>
      <c r="G257" s="90">
        <v>45919.97446759259</v>
      </c>
      <c r="H257" s="1" t="s">
        <v>16476</v>
      </c>
    </row>
    <row r="258">
      <c r="A258" s="89">
        <v>1261.0</v>
      </c>
      <c r="B258" s="1" t="s">
        <v>16727</v>
      </c>
      <c r="E258" s="1" t="s">
        <v>16475</v>
      </c>
      <c r="F258" s="90">
        <v>45113.55905092593</v>
      </c>
      <c r="G258" s="90">
        <v>45919.97372685185</v>
      </c>
      <c r="H258" s="1" t="s">
        <v>16476</v>
      </c>
    </row>
    <row r="259">
      <c r="A259" s="1">
        <v>297.0</v>
      </c>
      <c r="B259" s="1" t="s">
        <v>16728</v>
      </c>
      <c r="E259" s="1" t="s">
        <v>16475</v>
      </c>
      <c r="F259" s="90">
        <v>45113.544907407406</v>
      </c>
      <c r="G259" s="90">
        <v>45919.973032407404</v>
      </c>
      <c r="H259" s="1" t="s">
        <v>16476</v>
      </c>
    </row>
    <row r="260">
      <c r="A260" s="1">
        <v>322.0</v>
      </c>
      <c r="B260" s="1" t="s">
        <v>16729</v>
      </c>
      <c r="E260" s="1" t="s">
        <v>16475</v>
      </c>
      <c r="F260" s="90">
        <v>45113.545277777775</v>
      </c>
      <c r="G260" s="90">
        <v>45919.971655092595</v>
      </c>
      <c r="H260" s="1" t="s">
        <v>16476</v>
      </c>
    </row>
    <row r="261">
      <c r="A261" s="89">
        <v>1256.0</v>
      </c>
      <c r="B261" s="1" t="s">
        <v>16730</v>
      </c>
      <c r="E261" s="1" t="s">
        <v>16475</v>
      </c>
      <c r="F261" s="90">
        <v>45113.55898148148</v>
      </c>
      <c r="G261" s="90">
        <v>45919.970868055556</v>
      </c>
      <c r="H261" s="1" t="s">
        <v>16476</v>
      </c>
    </row>
    <row r="262">
      <c r="A262" s="1">
        <v>949.0</v>
      </c>
      <c r="B262" s="1" t="s">
        <v>16731</v>
      </c>
      <c r="E262" s="1" t="s">
        <v>16475</v>
      </c>
      <c r="F262" s="90">
        <v>45113.55449074074</v>
      </c>
      <c r="G262" s="90">
        <v>45919.970300925925</v>
      </c>
      <c r="H262" s="1" t="s">
        <v>16476</v>
      </c>
    </row>
    <row r="263">
      <c r="A263" s="1">
        <v>597.0</v>
      </c>
      <c r="B263" s="1" t="s">
        <v>16732</v>
      </c>
      <c r="E263" s="1" t="s">
        <v>16475</v>
      </c>
      <c r="F263" s="90">
        <v>45113.54931712963</v>
      </c>
      <c r="G263" s="90">
        <v>45919.96954861111</v>
      </c>
      <c r="H263" s="1" t="s">
        <v>16476</v>
      </c>
    </row>
    <row r="264">
      <c r="A264" s="1">
        <v>554.0</v>
      </c>
      <c r="B264" s="1" t="s">
        <v>16733</v>
      </c>
      <c r="E264" s="1" t="s">
        <v>16475</v>
      </c>
      <c r="F264" s="90">
        <v>45113.54869212963</v>
      </c>
      <c r="G264" s="90">
        <v>45919.968252314815</v>
      </c>
      <c r="H264" s="1" t="s">
        <v>16476</v>
      </c>
    </row>
    <row r="265">
      <c r="A265" s="1">
        <v>286.0</v>
      </c>
      <c r="B265" s="1" t="s">
        <v>16734</v>
      </c>
      <c r="E265" s="1" t="s">
        <v>16475</v>
      </c>
      <c r="F265" s="90">
        <v>45113.54474537037</v>
      </c>
      <c r="G265" s="90">
        <v>45919.96743055555</v>
      </c>
      <c r="H265" s="1" t="s">
        <v>16476</v>
      </c>
    </row>
    <row r="266">
      <c r="A266" s="89">
        <v>1105.0</v>
      </c>
      <c r="B266" s="1" t="s">
        <v>16735</v>
      </c>
      <c r="E266" s="1" t="s">
        <v>16475</v>
      </c>
      <c r="F266" s="90">
        <v>45113.55677083333</v>
      </c>
      <c r="G266" s="90">
        <v>45915.98857638889</v>
      </c>
      <c r="H266" s="1" t="s">
        <v>16476</v>
      </c>
    </row>
    <row r="267">
      <c r="A267" s="1">
        <v>256.0</v>
      </c>
      <c r="B267" s="1" t="s">
        <v>16736</v>
      </c>
      <c r="E267" s="1" t="s">
        <v>16475</v>
      </c>
      <c r="F267" s="90">
        <v>45113.54425925926</v>
      </c>
      <c r="G267" s="90">
        <v>45915.98820601852</v>
      </c>
      <c r="H267" s="1" t="s">
        <v>16476</v>
      </c>
    </row>
    <row r="268">
      <c r="A268" s="1">
        <v>979.0</v>
      </c>
      <c r="B268" s="1" t="s">
        <v>16737</v>
      </c>
      <c r="E268" s="1" t="s">
        <v>5202</v>
      </c>
      <c r="F268" s="90">
        <v>45113.554918981485</v>
      </c>
      <c r="G268" s="90">
        <v>45915.987546296295</v>
      </c>
      <c r="H268" s="1" t="s">
        <v>16476</v>
      </c>
    </row>
    <row r="269">
      <c r="A269" s="1">
        <v>27.0</v>
      </c>
      <c r="B269" s="1" t="s">
        <v>16738</v>
      </c>
      <c r="E269" s="1" t="s">
        <v>5202</v>
      </c>
      <c r="F269" s="90">
        <v>45113.540868055556</v>
      </c>
      <c r="G269" s="90">
        <v>45915.98693287037</v>
      </c>
      <c r="H269" s="1" t="s">
        <v>16476</v>
      </c>
    </row>
    <row r="270">
      <c r="A270" s="89">
        <v>1184.0</v>
      </c>
      <c r="B270" s="1" t="s">
        <v>16739</v>
      </c>
      <c r="E270" s="1" t="s">
        <v>5202</v>
      </c>
      <c r="F270" s="90">
        <v>45113.55793981482</v>
      </c>
      <c r="G270" s="90">
        <v>45915.985451388886</v>
      </c>
      <c r="H270" s="1" t="s">
        <v>16476</v>
      </c>
    </row>
    <row r="271">
      <c r="A271" s="1">
        <v>296.0</v>
      </c>
      <c r="B271" s="1" t="s">
        <v>16740</v>
      </c>
      <c r="E271" s="1" t="s">
        <v>16475</v>
      </c>
      <c r="F271" s="90">
        <v>45113.544895833336</v>
      </c>
      <c r="G271" s="90">
        <v>45915.984456018516</v>
      </c>
      <c r="H271" s="1" t="s">
        <v>16476</v>
      </c>
    </row>
    <row r="272">
      <c r="A272" s="89">
        <v>1090.0</v>
      </c>
      <c r="B272" s="1" t="s">
        <v>16741</v>
      </c>
      <c r="E272" s="1" t="s">
        <v>16475</v>
      </c>
      <c r="F272" s="90">
        <v>45113.556550925925</v>
      </c>
      <c r="G272" s="90">
        <v>45915.98299768518</v>
      </c>
      <c r="H272" s="1" t="s">
        <v>16476</v>
      </c>
    </row>
    <row r="273">
      <c r="A273" s="1">
        <v>725.0</v>
      </c>
      <c r="B273" s="1" t="s">
        <v>16742</v>
      </c>
      <c r="E273" s="1" t="s">
        <v>16475</v>
      </c>
      <c r="F273" s="90">
        <v>45113.55122685185</v>
      </c>
      <c r="G273" s="90">
        <v>45915.98238425926</v>
      </c>
      <c r="H273" s="1" t="s">
        <v>16476</v>
      </c>
    </row>
    <row r="274">
      <c r="A274" s="1">
        <v>371.0</v>
      </c>
      <c r="B274" s="1" t="s">
        <v>16743</v>
      </c>
      <c r="E274" s="1" t="s">
        <v>5202</v>
      </c>
      <c r="F274" s="90">
        <v>45113.5459837963</v>
      </c>
      <c r="G274" s="90">
        <v>45915.98133101852</v>
      </c>
      <c r="H274" s="1" t="s">
        <v>16476</v>
      </c>
    </row>
    <row r="275">
      <c r="A275" s="1">
        <v>812.0</v>
      </c>
      <c r="B275" s="1" t="s">
        <v>16744</v>
      </c>
      <c r="E275" s="1" t="s">
        <v>5202</v>
      </c>
      <c r="F275" s="90">
        <v>45113.55248842593</v>
      </c>
      <c r="G275" s="90">
        <v>45915.98030092593</v>
      </c>
      <c r="H275" s="1" t="s">
        <v>16476</v>
      </c>
    </row>
    <row r="276">
      <c r="A276" s="1">
        <v>382.0</v>
      </c>
      <c r="B276" s="1" t="s">
        <v>16745</v>
      </c>
      <c r="E276" s="1" t="s">
        <v>16475</v>
      </c>
      <c r="F276" s="90">
        <v>45113.54615740741</v>
      </c>
      <c r="G276" s="90">
        <v>45915.979108796295</v>
      </c>
      <c r="H276" s="1" t="s">
        <v>16476</v>
      </c>
    </row>
    <row r="277">
      <c r="A277" s="1">
        <v>814.0</v>
      </c>
      <c r="B277" s="1" t="s">
        <v>16746</v>
      </c>
      <c r="E277" s="1" t="s">
        <v>16475</v>
      </c>
      <c r="F277" s="90">
        <v>45113.552511574075</v>
      </c>
      <c r="G277" s="90">
        <v>45915.97829861111</v>
      </c>
      <c r="H277" s="1" t="s">
        <v>16476</v>
      </c>
    </row>
    <row r="278">
      <c r="A278" s="1">
        <v>665.0</v>
      </c>
      <c r="B278" s="1" t="s">
        <v>16747</v>
      </c>
      <c r="E278" s="1" t="s">
        <v>16475</v>
      </c>
      <c r="F278" s="90">
        <v>45113.55032407407</v>
      </c>
      <c r="G278" s="90">
        <v>45915.97719907408</v>
      </c>
      <c r="H278" s="1" t="s">
        <v>16476</v>
      </c>
    </row>
    <row r="279">
      <c r="A279" s="1">
        <v>445.0</v>
      </c>
      <c r="B279" s="1" t="s">
        <v>16748</v>
      </c>
      <c r="E279" s="1" t="s">
        <v>5202</v>
      </c>
      <c r="F279" s="90">
        <v>45113.54709490741</v>
      </c>
      <c r="G279" s="90">
        <v>45915.975</v>
      </c>
      <c r="H279" s="1" t="s">
        <v>16476</v>
      </c>
    </row>
    <row r="280">
      <c r="A280" s="1">
        <v>334.0</v>
      </c>
      <c r="B280" s="1" t="s">
        <v>16749</v>
      </c>
      <c r="E280" s="1" t="s">
        <v>16475</v>
      </c>
      <c r="F280" s="90">
        <v>45113.54545138889</v>
      </c>
      <c r="G280" s="90">
        <v>45915.97443287037</v>
      </c>
      <c r="H280" s="1" t="s">
        <v>16476</v>
      </c>
    </row>
    <row r="281">
      <c r="A281" s="1">
        <v>227.0</v>
      </c>
      <c r="B281" s="1" t="s">
        <v>16750</v>
      </c>
      <c r="E281" s="1" t="s">
        <v>16475</v>
      </c>
      <c r="F281" s="90">
        <v>45113.54383101852</v>
      </c>
      <c r="G281" s="90">
        <v>45915.97363425926</v>
      </c>
      <c r="H281" s="1" t="s">
        <v>16476</v>
      </c>
    </row>
    <row r="282">
      <c r="A282" s="89">
        <v>1068.0</v>
      </c>
      <c r="B282" s="1" t="s">
        <v>16751</v>
      </c>
      <c r="E282" s="1" t="s">
        <v>16475</v>
      </c>
      <c r="F282" s="90">
        <v>45113.556226851855</v>
      </c>
      <c r="G282" s="90">
        <v>45915.97313657407</v>
      </c>
      <c r="H282" s="1" t="s">
        <v>16476</v>
      </c>
    </row>
    <row r="283">
      <c r="A283" s="89">
        <v>1032.0</v>
      </c>
      <c r="B283" s="1" t="s">
        <v>16752</v>
      </c>
      <c r="E283" s="1" t="s">
        <v>16475</v>
      </c>
      <c r="F283" s="90">
        <v>45113.55569444445</v>
      </c>
      <c r="G283" s="90">
        <v>45915.972719907404</v>
      </c>
      <c r="H283" s="1" t="s">
        <v>16476</v>
      </c>
    </row>
    <row r="284">
      <c r="A284" s="1">
        <v>483.0</v>
      </c>
      <c r="B284" s="1" t="s">
        <v>16753</v>
      </c>
      <c r="E284" s="1" t="s">
        <v>16475</v>
      </c>
      <c r="F284" s="90">
        <v>45113.54765046296</v>
      </c>
      <c r="G284" s="90">
        <v>45915.97221064815</v>
      </c>
      <c r="H284" s="1" t="s">
        <v>16476</v>
      </c>
    </row>
    <row r="285">
      <c r="A285" s="89">
        <v>1181.0</v>
      </c>
      <c r="B285" s="1" t="s">
        <v>16754</v>
      </c>
      <c r="E285" s="1" t="s">
        <v>5202</v>
      </c>
      <c r="F285" s="90">
        <v>45113.55789351852</v>
      </c>
      <c r="G285" s="90">
        <v>45915.97145833333</v>
      </c>
      <c r="H285" s="1" t="s">
        <v>16476</v>
      </c>
    </row>
    <row r="286">
      <c r="A286" s="89">
        <v>1107.0</v>
      </c>
      <c r="B286" s="1" t="s">
        <v>16755</v>
      </c>
      <c r="E286" s="1" t="s">
        <v>5202</v>
      </c>
      <c r="F286" s="90">
        <v>45113.55679398148</v>
      </c>
      <c r="G286" s="90">
        <v>45915.971030092594</v>
      </c>
      <c r="H286" s="1" t="s">
        <v>16476</v>
      </c>
    </row>
    <row r="287">
      <c r="A287" s="1">
        <v>879.0</v>
      </c>
      <c r="B287" s="1" t="s">
        <v>16756</v>
      </c>
      <c r="E287" s="1" t="s">
        <v>5202</v>
      </c>
      <c r="F287" s="90">
        <v>45113.553460648145</v>
      </c>
      <c r="G287" s="90">
        <v>45915.970613425925</v>
      </c>
      <c r="H287" s="1" t="s">
        <v>16476</v>
      </c>
    </row>
    <row r="288">
      <c r="A288" s="1">
        <v>512.0</v>
      </c>
      <c r="B288" s="1" t="s">
        <v>16757</v>
      </c>
      <c r="E288" s="1" t="s">
        <v>16475</v>
      </c>
      <c r="F288" s="90">
        <v>45113.54806712963</v>
      </c>
      <c r="G288" s="90">
        <v>45915.96986111111</v>
      </c>
      <c r="H288" s="1" t="s">
        <v>16476</v>
      </c>
    </row>
    <row r="289">
      <c r="A289" s="1">
        <v>982.0</v>
      </c>
      <c r="B289" s="1" t="s">
        <v>16758</v>
      </c>
      <c r="E289" s="1" t="s">
        <v>5202</v>
      </c>
      <c r="F289" s="90">
        <v>45113.55496527778</v>
      </c>
      <c r="G289" s="90">
        <v>45915.9690162037</v>
      </c>
      <c r="H289" s="1" t="s">
        <v>16476</v>
      </c>
    </row>
    <row r="290">
      <c r="A290" s="1">
        <v>460.0</v>
      </c>
      <c r="B290" s="1" t="s">
        <v>16759</v>
      </c>
      <c r="E290" s="1" t="s">
        <v>5202</v>
      </c>
      <c r="F290" s="90">
        <v>45113.547314814816</v>
      </c>
      <c r="G290" s="90">
        <v>45915.9675462963</v>
      </c>
      <c r="H290" s="1" t="s">
        <v>16476</v>
      </c>
    </row>
    <row r="291">
      <c r="A291" s="1">
        <v>353.0</v>
      </c>
      <c r="B291" s="1" t="s">
        <v>16760</v>
      </c>
      <c r="E291" s="1" t="s">
        <v>16475</v>
      </c>
      <c r="F291" s="90">
        <v>45113.54572916667</v>
      </c>
      <c r="G291" s="90">
        <v>45915.96695601852</v>
      </c>
      <c r="H291" s="1" t="s">
        <v>16476</v>
      </c>
    </row>
    <row r="292">
      <c r="A292" s="1">
        <v>745.0</v>
      </c>
      <c r="B292" s="1" t="s">
        <v>16761</v>
      </c>
      <c r="E292" s="1" t="s">
        <v>16481</v>
      </c>
      <c r="F292" s="90">
        <v>45113.551516203705</v>
      </c>
      <c r="G292" s="90">
        <v>45915.966203703705</v>
      </c>
      <c r="H292" s="1" t="s">
        <v>16476</v>
      </c>
    </row>
    <row r="293">
      <c r="A293" s="1">
        <v>478.0</v>
      </c>
      <c r="B293" s="1" t="s">
        <v>16762</v>
      </c>
      <c r="E293" s="1" t="s">
        <v>16475</v>
      </c>
      <c r="F293" s="90">
        <v>45113.547581018516</v>
      </c>
      <c r="G293" s="90">
        <v>45915.965462962966</v>
      </c>
      <c r="H293" s="1" t="s">
        <v>16476</v>
      </c>
    </row>
    <row r="294">
      <c r="A294" s="1">
        <v>669.0</v>
      </c>
      <c r="B294" s="1" t="s">
        <v>16763</v>
      </c>
      <c r="E294" s="1" t="s">
        <v>16475</v>
      </c>
      <c r="F294" s="90">
        <v>45113.55038194444</v>
      </c>
      <c r="G294" s="90">
        <v>45915.964953703704</v>
      </c>
      <c r="H294" s="1" t="s">
        <v>16476</v>
      </c>
    </row>
    <row r="295">
      <c r="A295" s="89">
        <v>1067.0</v>
      </c>
      <c r="B295" s="1" t="s">
        <v>16764</v>
      </c>
      <c r="E295" s="1" t="s">
        <v>5202</v>
      </c>
      <c r="F295" s="90">
        <v>45113.55621527778</v>
      </c>
      <c r="G295" s="90">
        <v>45915.964212962965</v>
      </c>
      <c r="H295" s="1" t="s">
        <v>16476</v>
      </c>
    </row>
    <row r="296">
      <c r="A296" s="1">
        <v>930.0</v>
      </c>
      <c r="B296" s="1" t="s">
        <v>16765</v>
      </c>
      <c r="E296" s="1" t="s">
        <v>16475</v>
      </c>
      <c r="F296" s="90">
        <v>45113.55420138889</v>
      </c>
      <c r="G296" s="90">
        <v>45915.963796296295</v>
      </c>
      <c r="H296" s="1" t="s">
        <v>16476</v>
      </c>
    </row>
    <row r="297">
      <c r="A297" s="1">
        <v>503.0</v>
      </c>
      <c r="B297" s="1" t="s">
        <v>16766</v>
      </c>
      <c r="E297" s="1" t="s">
        <v>16475</v>
      </c>
      <c r="F297" s="90">
        <v>45113.547939814816</v>
      </c>
      <c r="G297" s="90">
        <v>45915.9628125</v>
      </c>
      <c r="H297" s="1" t="s">
        <v>16476</v>
      </c>
    </row>
    <row r="298">
      <c r="A298" s="1">
        <v>643.0</v>
      </c>
      <c r="B298" s="1" t="s">
        <v>16767</v>
      </c>
      <c r="E298" s="1" t="s">
        <v>5202</v>
      </c>
      <c r="F298" s="90">
        <v>45113.55</v>
      </c>
      <c r="G298" s="90">
        <v>45915.96177083333</v>
      </c>
      <c r="H298" s="1" t="s">
        <v>16476</v>
      </c>
    </row>
    <row r="299">
      <c r="A299" s="89">
        <v>1238.0</v>
      </c>
      <c r="B299" s="1" t="s">
        <v>16768</v>
      </c>
      <c r="E299" s="1" t="s">
        <v>16475</v>
      </c>
      <c r="F299" s="90">
        <v>45113.55871527778</v>
      </c>
      <c r="G299" s="90">
        <v>45915.96042824074</v>
      </c>
      <c r="H299" s="1" t="s">
        <v>16476</v>
      </c>
    </row>
    <row r="300">
      <c r="A300" s="1">
        <v>987.0</v>
      </c>
      <c r="B300" s="1" t="s">
        <v>16769</v>
      </c>
      <c r="E300" s="1" t="s">
        <v>16475</v>
      </c>
      <c r="F300" s="90">
        <v>45113.55504629629</v>
      </c>
      <c r="G300" s="90">
        <v>45915.95947916667</v>
      </c>
      <c r="H300" s="1" t="s">
        <v>16476</v>
      </c>
    </row>
    <row r="301">
      <c r="A301" s="1">
        <v>915.0</v>
      </c>
      <c r="B301" s="1" t="s">
        <v>16770</v>
      </c>
      <c r="E301" s="1" t="s">
        <v>16475</v>
      </c>
      <c r="F301" s="90">
        <v>45113.55399305555</v>
      </c>
      <c r="G301" s="90">
        <v>45915.95746527778</v>
      </c>
      <c r="H301" s="1" t="s">
        <v>16476</v>
      </c>
    </row>
    <row r="302">
      <c r="A302" s="89">
        <v>1694.0</v>
      </c>
      <c r="B302" s="1" t="s">
        <v>16771</v>
      </c>
      <c r="E302" s="1" t="s">
        <v>16772</v>
      </c>
      <c r="F302" s="90">
        <v>45839.93068287037</v>
      </c>
      <c r="G302" s="90">
        <v>45915.95690972222</v>
      </c>
      <c r="H302" s="1" t="s">
        <v>16476</v>
      </c>
    </row>
    <row r="303">
      <c r="A303" s="89">
        <v>1096.0</v>
      </c>
      <c r="B303" s="1" t="s">
        <v>16773</v>
      </c>
      <c r="E303" s="1" t="s">
        <v>16475</v>
      </c>
      <c r="F303" s="90">
        <v>45113.55663194445</v>
      </c>
      <c r="G303" s="90">
        <v>45915.95685185185</v>
      </c>
      <c r="H303" s="1" t="s">
        <v>16476</v>
      </c>
    </row>
    <row r="304">
      <c r="A304" s="1">
        <v>507.0</v>
      </c>
      <c r="B304" s="1" t="s">
        <v>16774</v>
      </c>
      <c r="E304" s="1" t="s">
        <v>16475</v>
      </c>
      <c r="F304" s="90">
        <v>45113.547997685186</v>
      </c>
      <c r="G304" s="90">
        <v>45915.95616898148</v>
      </c>
      <c r="H304" s="1" t="s">
        <v>16476</v>
      </c>
    </row>
    <row r="305">
      <c r="A305" s="1">
        <v>226.0</v>
      </c>
      <c r="B305" s="1" t="s">
        <v>16775</v>
      </c>
      <c r="E305" s="1" t="s">
        <v>16475</v>
      </c>
      <c r="F305" s="90">
        <v>45113.54381944444</v>
      </c>
      <c r="G305" s="90">
        <v>45915.95556712963</v>
      </c>
      <c r="H305" s="1" t="s">
        <v>16476</v>
      </c>
    </row>
    <row r="306">
      <c r="A306" s="1">
        <v>911.0</v>
      </c>
      <c r="B306" s="1" t="s">
        <v>64</v>
      </c>
      <c r="E306" s="1" t="s">
        <v>16475</v>
      </c>
      <c r="F306" s="90">
        <v>45113.553935185184</v>
      </c>
      <c r="G306" s="90">
        <v>45915.95506944445</v>
      </c>
      <c r="H306" s="1" t="s">
        <v>16476</v>
      </c>
    </row>
    <row r="307">
      <c r="A307" s="1">
        <v>479.0</v>
      </c>
      <c r="B307" s="1" t="s">
        <v>16776</v>
      </c>
      <c r="E307" s="1" t="s">
        <v>16475</v>
      </c>
      <c r="F307" s="90">
        <v>45113.54759259259</v>
      </c>
      <c r="G307" s="90">
        <v>45915.95407407408</v>
      </c>
      <c r="H307" s="1" t="s">
        <v>16476</v>
      </c>
    </row>
    <row r="308">
      <c r="A308" s="89">
        <v>1186.0</v>
      </c>
      <c r="B308" s="1" t="s">
        <v>16777</v>
      </c>
      <c r="E308" s="1" t="s">
        <v>16475</v>
      </c>
      <c r="F308" s="90">
        <v>45113.557962962965</v>
      </c>
      <c r="G308" s="90">
        <v>45915.953043981484</v>
      </c>
      <c r="H308" s="1" t="s">
        <v>16476</v>
      </c>
    </row>
    <row r="309">
      <c r="A309" s="1">
        <v>994.0</v>
      </c>
      <c r="B309" s="1" t="s">
        <v>16778</v>
      </c>
      <c r="E309" s="1" t="s">
        <v>16481</v>
      </c>
      <c r="F309" s="90">
        <v>45113.555138888885</v>
      </c>
      <c r="G309" s="90">
        <v>45915.94782407407</v>
      </c>
      <c r="H309" s="1" t="s">
        <v>16476</v>
      </c>
    </row>
    <row r="310">
      <c r="A310" s="1">
        <v>657.0</v>
      </c>
      <c r="B310" s="1" t="s">
        <v>16779</v>
      </c>
      <c r="E310" s="1" t="s">
        <v>16475</v>
      </c>
      <c r="F310" s="90">
        <v>45113.550208333334</v>
      </c>
      <c r="G310" s="90">
        <v>45915.94747685185</v>
      </c>
      <c r="H310" s="1" t="s">
        <v>16476</v>
      </c>
    </row>
    <row r="311">
      <c r="A311" s="1">
        <v>540.0</v>
      </c>
      <c r="B311" s="1" t="s">
        <v>16780</v>
      </c>
      <c r="E311" s="1" t="s">
        <v>16475</v>
      </c>
      <c r="F311" s="90">
        <v>45113.548483796294</v>
      </c>
      <c r="G311" s="90">
        <v>45915.94604166667</v>
      </c>
      <c r="H311" s="1" t="s">
        <v>16476</v>
      </c>
    </row>
    <row r="312">
      <c r="A312" s="1">
        <v>925.0</v>
      </c>
      <c r="B312" s="1" t="s">
        <v>16781</v>
      </c>
      <c r="E312" s="1" t="s">
        <v>5202</v>
      </c>
      <c r="F312" s="90">
        <v>45113.554131944446</v>
      </c>
      <c r="G312" s="90">
        <v>45915.94495370371</v>
      </c>
      <c r="H312" s="1" t="s">
        <v>16476</v>
      </c>
    </row>
    <row r="313">
      <c r="A313" s="89">
        <v>1113.0</v>
      </c>
      <c r="B313" s="1" t="s">
        <v>16782</v>
      </c>
      <c r="E313" s="1" t="s">
        <v>5202</v>
      </c>
      <c r="F313" s="90">
        <v>45113.55688657407</v>
      </c>
      <c r="G313" s="90">
        <v>45915.94342592593</v>
      </c>
      <c r="H313" s="1" t="s">
        <v>16476</v>
      </c>
    </row>
    <row r="314">
      <c r="A314" s="1">
        <v>125.0</v>
      </c>
      <c r="B314" s="1" t="s">
        <v>16783</v>
      </c>
      <c r="E314" s="1" t="s">
        <v>16475</v>
      </c>
      <c r="F314" s="90">
        <v>45113.54230324074</v>
      </c>
      <c r="G314" s="90">
        <v>45915.94226851852</v>
      </c>
      <c r="H314" s="1" t="s">
        <v>16476</v>
      </c>
    </row>
    <row r="315">
      <c r="A315" s="1">
        <v>581.0</v>
      </c>
      <c r="B315" s="1" t="s">
        <v>16784</v>
      </c>
      <c r="E315" s="1" t="s">
        <v>5202</v>
      </c>
      <c r="F315" s="90">
        <v>45113.54908564815</v>
      </c>
      <c r="G315" s="90">
        <v>45915.94136574074</v>
      </c>
      <c r="H315" s="1" t="s">
        <v>16476</v>
      </c>
    </row>
    <row r="316">
      <c r="A316" s="1">
        <v>338.0</v>
      </c>
      <c r="B316" s="1" t="s">
        <v>16785</v>
      </c>
      <c r="E316" s="1" t="s">
        <v>16475</v>
      </c>
      <c r="F316" s="90">
        <v>45113.54550925926</v>
      </c>
      <c r="G316" s="90">
        <v>45915.940729166665</v>
      </c>
      <c r="H316" s="1" t="s">
        <v>16476</v>
      </c>
    </row>
    <row r="317">
      <c r="A317" s="1">
        <v>852.0</v>
      </c>
      <c r="B317" s="1" t="s">
        <v>16786</v>
      </c>
      <c r="E317" s="1" t="s">
        <v>16475</v>
      </c>
      <c r="F317" s="90">
        <v>45113.55306712963</v>
      </c>
      <c r="G317" s="90">
        <v>45915.939930555556</v>
      </c>
      <c r="H317" s="1" t="s">
        <v>16476</v>
      </c>
    </row>
    <row r="318">
      <c r="A318" s="1">
        <v>561.0</v>
      </c>
      <c r="B318" s="1" t="s">
        <v>16787</v>
      </c>
      <c r="E318" s="1" t="s">
        <v>5202</v>
      </c>
      <c r="F318" s="90">
        <v>45113.548784722225</v>
      </c>
      <c r="G318" s="90">
        <v>45915.93865740741</v>
      </c>
      <c r="H318" s="1" t="s">
        <v>16476</v>
      </c>
    </row>
    <row r="319">
      <c r="A319" s="1">
        <v>731.0</v>
      </c>
      <c r="B319" s="1" t="s">
        <v>16788</v>
      </c>
      <c r="E319" s="1" t="s">
        <v>5202</v>
      </c>
      <c r="F319" s="90">
        <v>45113.55130787037</v>
      </c>
      <c r="G319" s="90">
        <v>45915.93746527778</v>
      </c>
      <c r="H319" s="1" t="s">
        <v>16476</v>
      </c>
    </row>
    <row r="320">
      <c r="A320" s="1">
        <v>823.0</v>
      </c>
      <c r="B320" s="1" t="s">
        <v>16789</v>
      </c>
      <c r="E320" s="1" t="s">
        <v>16475</v>
      </c>
      <c r="F320" s="90">
        <v>45113.55265046296</v>
      </c>
      <c r="G320" s="90">
        <v>45915.93651620371</v>
      </c>
      <c r="H320" s="1" t="s">
        <v>16476</v>
      </c>
    </row>
    <row r="321">
      <c r="A321" s="1">
        <v>422.0</v>
      </c>
      <c r="B321" s="1" t="s">
        <v>16790</v>
      </c>
      <c r="E321" s="1" t="s">
        <v>5202</v>
      </c>
      <c r="F321" s="90">
        <v>45113.54675925926</v>
      </c>
      <c r="G321" s="90">
        <v>45915.93510416667</v>
      </c>
      <c r="H321" s="1" t="s">
        <v>16476</v>
      </c>
    </row>
    <row r="322">
      <c r="A322" s="1">
        <v>785.0</v>
      </c>
      <c r="B322" s="1" t="s">
        <v>16791</v>
      </c>
      <c r="E322" s="1" t="s">
        <v>5202</v>
      </c>
      <c r="F322" s="90">
        <v>45113.552094907405</v>
      </c>
      <c r="G322" s="90">
        <v>45915.93456018518</v>
      </c>
      <c r="H322" s="1" t="s">
        <v>16476</v>
      </c>
    </row>
    <row r="323">
      <c r="A323" s="1">
        <v>192.0</v>
      </c>
      <c r="B323" s="1" t="s">
        <v>16792</v>
      </c>
      <c r="E323" s="1" t="s">
        <v>5202</v>
      </c>
      <c r="F323" s="90">
        <v>45113.54329861111</v>
      </c>
      <c r="G323" s="90">
        <v>45915.93413194444</v>
      </c>
      <c r="H323" s="1" t="s">
        <v>16476</v>
      </c>
    </row>
    <row r="324">
      <c r="A324" s="1">
        <v>18.0</v>
      </c>
      <c r="B324" s="1" t="s">
        <v>16793</v>
      </c>
      <c r="E324" s="1" t="s">
        <v>5202</v>
      </c>
      <c r="F324" s="90">
        <v>45113.54074074074</v>
      </c>
      <c r="G324" s="90">
        <v>45915.93376157407</v>
      </c>
      <c r="H324" s="1" t="s">
        <v>16476</v>
      </c>
    </row>
    <row r="325">
      <c r="A325" s="1">
        <v>112.0</v>
      </c>
      <c r="B325" s="1" t="s">
        <v>16794</v>
      </c>
      <c r="E325" s="1" t="s">
        <v>5202</v>
      </c>
      <c r="F325" s="90">
        <v>45113.54210648148</v>
      </c>
      <c r="G325" s="90">
        <v>45915.9325</v>
      </c>
      <c r="H325" s="1" t="s">
        <v>16476</v>
      </c>
    </row>
    <row r="326">
      <c r="A326" s="89">
        <v>1044.0</v>
      </c>
      <c r="B326" s="1" t="s">
        <v>16795</v>
      </c>
      <c r="E326" s="1" t="s">
        <v>5202</v>
      </c>
      <c r="F326" s="90">
        <v>45113.55587962963</v>
      </c>
      <c r="G326" s="90">
        <v>45915.93170138889</v>
      </c>
      <c r="H326" s="1" t="s">
        <v>16476</v>
      </c>
    </row>
    <row r="327">
      <c r="A327" s="1">
        <v>111.0</v>
      </c>
      <c r="B327" s="1" t="s">
        <v>16796</v>
      </c>
      <c r="E327" s="1" t="s">
        <v>5202</v>
      </c>
      <c r="F327" s="90">
        <v>45113.54209490741</v>
      </c>
      <c r="G327" s="90">
        <v>45915.931296296294</v>
      </c>
      <c r="H327" s="1" t="s">
        <v>16476</v>
      </c>
    </row>
    <row r="328">
      <c r="A328" s="1">
        <v>116.0</v>
      </c>
      <c r="B328" s="1" t="s">
        <v>16797</v>
      </c>
      <c r="E328" s="1" t="s">
        <v>5202</v>
      </c>
      <c r="F328" s="90">
        <v>45113.542175925926</v>
      </c>
      <c r="G328" s="90">
        <v>45915.9309375</v>
      </c>
      <c r="H328" s="1" t="s">
        <v>16476</v>
      </c>
    </row>
    <row r="329">
      <c r="A329" s="1">
        <v>114.0</v>
      </c>
      <c r="B329" s="1" t="s">
        <v>16798</v>
      </c>
      <c r="E329" s="1" t="s">
        <v>5202</v>
      </c>
      <c r="F329" s="90">
        <v>45113.5421412037</v>
      </c>
      <c r="G329" s="90">
        <v>45915.930613425924</v>
      </c>
      <c r="H329" s="1" t="s">
        <v>16476</v>
      </c>
    </row>
    <row r="330">
      <c r="A330" s="1">
        <v>209.0</v>
      </c>
      <c r="B330" s="1" t="s">
        <v>16799</v>
      </c>
      <c r="E330" s="1" t="s">
        <v>5202</v>
      </c>
      <c r="F330" s="90">
        <v>45113.543541666666</v>
      </c>
      <c r="G330" s="90">
        <v>45915.93025462963</v>
      </c>
      <c r="H330" s="1" t="s">
        <v>16476</v>
      </c>
    </row>
    <row r="331">
      <c r="A331" s="1">
        <v>113.0</v>
      </c>
      <c r="B331" s="1" t="s">
        <v>16800</v>
      </c>
      <c r="E331" s="1" t="s">
        <v>5202</v>
      </c>
      <c r="F331" s="90">
        <v>45113.542129629626</v>
      </c>
      <c r="G331" s="90">
        <v>45915.92972222222</v>
      </c>
      <c r="H331" s="1" t="s">
        <v>16476</v>
      </c>
    </row>
    <row r="332">
      <c r="A332" s="1">
        <v>945.0</v>
      </c>
      <c r="B332" s="1" t="s">
        <v>16801</v>
      </c>
      <c r="E332" s="1" t="s">
        <v>16475</v>
      </c>
      <c r="F332" s="90">
        <v>45113.55443287037</v>
      </c>
      <c r="G332" s="90">
        <v>45915.92858796296</v>
      </c>
      <c r="H332" s="1" t="s">
        <v>16476</v>
      </c>
    </row>
    <row r="333">
      <c r="A333" s="1">
        <v>249.0</v>
      </c>
      <c r="B333" s="1" t="s">
        <v>16802</v>
      </c>
      <c r="E333" s="1" t="s">
        <v>16475</v>
      </c>
      <c r="F333" s="90">
        <v>45113.54416666667</v>
      </c>
      <c r="G333" s="90">
        <v>45915.92778935185</v>
      </c>
      <c r="H333" s="1" t="s">
        <v>16476</v>
      </c>
    </row>
    <row r="334">
      <c r="A334" s="89">
        <v>1024.0</v>
      </c>
      <c r="B334" s="1" t="s">
        <v>16803</v>
      </c>
      <c r="E334" s="1" t="s">
        <v>16475</v>
      </c>
      <c r="F334" s="90">
        <v>45113.5555787037</v>
      </c>
      <c r="G334" s="90">
        <v>45915.92653935185</v>
      </c>
      <c r="H334" s="1" t="s">
        <v>16476</v>
      </c>
    </row>
    <row r="335">
      <c r="A335" s="1">
        <v>940.0</v>
      </c>
      <c r="B335" s="1" t="s">
        <v>16804</v>
      </c>
      <c r="E335" s="1" t="s">
        <v>5202</v>
      </c>
      <c r="F335" s="90">
        <v>45113.55435185185</v>
      </c>
      <c r="G335" s="90">
        <v>45915.92568287037</v>
      </c>
      <c r="H335" s="1" t="s">
        <v>16476</v>
      </c>
    </row>
    <row r="336">
      <c r="A336" s="89">
        <v>1066.0</v>
      </c>
      <c r="B336" s="1" t="s">
        <v>16805</v>
      </c>
      <c r="E336" s="1" t="s">
        <v>16475</v>
      </c>
      <c r="F336" s="90">
        <v>45113.55619212963</v>
      </c>
      <c r="G336" s="90">
        <v>45915.92267361111</v>
      </c>
      <c r="H336" s="1" t="s">
        <v>16476</v>
      </c>
    </row>
    <row r="337">
      <c r="A337" s="89">
        <v>1119.0</v>
      </c>
      <c r="B337" s="1" t="s">
        <v>16806</v>
      </c>
      <c r="E337" s="1" t="s">
        <v>16475</v>
      </c>
      <c r="F337" s="90">
        <v>45113.556967592594</v>
      </c>
      <c r="G337" s="90">
        <v>45915.921851851854</v>
      </c>
      <c r="H337" s="1" t="s">
        <v>16476</v>
      </c>
    </row>
    <row r="338">
      <c r="A338" s="1">
        <v>423.0</v>
      </c>
      <c r="B338" s="1" t="s">
        <v>16807</v>
      </c>
      <c r="E338" s="1" t="s">
        <v>16475</v>
      </c>
      <c r="F338" s="90">
        <v>45113.54677083333</v>
      </c>
      <c r="G338" s="90">
        <v>45915.919328703705</v>
      </c>
      <c r="H338" s="1" t="s">
        <v>16476</v>
      </c>
    </row>
    <row r="339">
      <c r="A339" s="89">
        <v>1060.0</v>
      </c>
      <c r="B339" s="1" t="s">
        <v>16808</v>
      </c>
      <c r="E339" s="1" t="s">
        <v>5202</v>
      </c>
      <c r="F339" s="90">
        <v>45113.55611111111</v>
      </c>
      <c r="G339" s="90">
        <v>45915.91818287037</v>
      </c>
      <c r="H339" s="1" t="s">
        <v>16476</v>
      </c>
    </row>
    <row r="340">
      <c r="A340" s="1">
        <v>705.0</v>
      </c>
      <c r="B340" s="1" t="s">
        <v>16809</v>
      </c>
      <c r="E340" s="1" t="s">
        <v>5202</v>
      </c>
      <c r="F340" s="90">
        <v>45113.55092592593</v>
      </c>
      <c r="G340" s="90">
        <v>45915.91738425926</v>
      </c>
      <c r="H340" s="1" t="s">
        <v>16476</v>
      </c>
    </row>
    <row r="341">
      <c r="A341" s="1">
        <v>509.0</v>
      </c>
      <c r="B341" s="1" t="s">
        <v>16810</v>
      </c>
      <c r="E341" s="1" t="s">
        <v>16475</v>
      </c>
      <c r="F341" s="90">
        <v>45113.54803240741</v>
      </c>
      <c r="G341" s="90">
        <v>45915.91642361111</v>
      </c>
      <c r="H341" s="1" t="s">
        <v>16476</v>
      </c>
    </row>
    <row r="342">
      <c r="A342" s="1">
        <v>144.0</v>
      </c>
      <c r="B342" s="1" t="s">
        <v>16811</v>
      </c>
      <c r="E342" s="1" t="s">
        <v>5202</v>
      </c>
      <c r="F342" s="90">
        <v>45113.54258101852</v>
      </c>
      <c r="G342" s="90">
        <v>45915.91511574074</v>
      </c>
      <c r="H342" s="1" t="s">
        <v>16476</v>
      </c>
    </row>
    <row r="343">
      <c r="A343" s="89">
        <v>1175.0</v>
      </c>
      <c r="B343" s="1" t="s">
        <v>16812</v>
      </c>
      <c r="E343" s="1" t="s">
        <v>16475</v>
      </c>
      <c r="F343" s="90">
        <v>45113.5578125</v>
      </c>
      <c r="G343" s="90">
        <v>45915.914375</v>
      </c>
      <c r="H343" s="1" t="s">
        <v>16476</v>
      </c>
    </row>
    <row r="344">
      <c r="A344" s="1">
        <v>815.0</v>
      </c>
      <c r="B344" s="1" t="s">
        <v>16813</v>
      </c>
      <c r="E344" s="1" t="s">
        <v>16475</v>
      </c>
      <c r="F344" s="90">
        <v>45113.55253472222</v>
      </c>
      <c r="G344" s="90">
        <v>45915.913518518515</v>
      </c>
      <c r="H344" s="1" t="s">
        <v>16476</v>
      </c>
    </row>
    <row r="345">
      <c r="A345" s="89">
        <v>1206.0</v>
      </c>
      <c r="B345" s="1" t="s">
        <v>16814</v>
      </c>
      <c r="E345" s="1" t="s">
        <v>5202</v>
      </c>
      <c r="F345" s="90">
        <v>45113.55825231481</v>
      </c>
      <c r="G345" s="90">
        <v>45915.91243055555</v>
      </c>
      <c r="H345" s="1" t="s">
        <v>16476</v>
      </c>
    </row>
    <row r="346">
      <c r="A346" s="89">
        <v>1203.0</v>
      </c>
      <c r="B346" s="1" t="s">
        <v>16815</v>
      </c>
      <c r="E346" s="1" t="s">
        <v>16475</v>
      </c>
      <c r="F346" s="90">
        <v>45113.55820601852</v>
      </c>
      <c r="G346" s="90">
        <v>45915.911875</v>
      </c>
      <c r="H346" s="1" t="s">
        <v>16476</v>
      </c>
    </row>
    <row r="347">
      <c r="A347" s="1">
        <v>699.0</v>
      </c>
      <c r="B347" s="1" t="s">
        <v>16816</v>
      </c>
      <c r="E347" s="1" t="s">
        <v>5202</v>
      </c>
      <c r="F347" s="90">
        <v>45113.550844907404</v>
      </c>
      <c r="G347" s="90">
        <v>45915.91122685185</v>
      </c>
      <c r="H347" s="1" t="s">
        <v>16476</v>
      </c>
    </row>
    <row r="348">
      <c r="A348" s="1">
        <v>989.0</v>
      </c>
      <c r="B348" s="1" t="s">
        <v>16817</v>
      </c>
      <c r="E348" s="1" t="s">
        <v>5202</v>
      </c>
      <c r="F348" s="90">
        <v>45113.55506944445</v>
      </c>
      <c r="G348" s="90">
        <v>45915.91039351852</v>
      </c>
      <c r="H348" s="1" t="s">
        <v>16476</v>
      </c>
    </row>
    <row r="349">
      <c r="A349" s="1">
        <v>346.0</v>
      </c>
      <c r="B349" s="1" t="s">
        <v>16818</v>
      </c>
      <c r="E349" s="1" t="s">
        <v>16475</v>
      </c>
      <c r="F349" s="90">
        <v>45113.545625</v>
      </c>
      <c r="G349" s="90">
        <v>45915.90971064815</v>
      </c>
      <c r="H349" s="1" t="s">
        <v>16476</v>
      </c>
    </row>
    <row r="350">
      <c r="A350" s="89">
        <v>1179.0</v>
      </c>
      <c r="B350" s="1" t="s">
        <v>16819</v>
      </c>
      <c r="E350" s="1" t="s">
        <v>5202</v>
      </c>
      <c r="F350" s="90">
        <v>45113.55787037037</v>
      </c>
      <c r="G350" s="90">
        <v>45915.908541666664</v>
      </c>
      <c r="H350" s="1" t="s">
        <v>16476</v>
      </c>
    </row>
    <row r="351">
      <c r="A351" s="89">
        <v>1054.0</v>
      </c>
      <c r="B351" s="1" t="s">
        <v>16820</v>
      </c>
      <c r="E351" s="1" t="s">
        <v>5202</v>
      </c>
      <c r="F351" s="90">
        <v>45113.55601851852</v>
      </c>
      <c r="G351" s="90">
        <v>45915.908113425925</v>
      </c>
      <c r="H351" s="1" t="s">
        <v>16476</v>
      </c>
    </row>
    <row r="352">
      <c r="A352" s="1">
        <v>893.0</v>
      </c>
      <c r="B352" s="1" t="s">
        <v>16821</v>
      </c>
      <c r="E352" s="1" t="s">
        <v>16475</v>
      </c>
      <c r="F352" s="90">
        <v>45113.55366898148</v>
      </c>
      <c r="G352" s="90">
        <v>45915.90759259259</v>
      </c>
      <c r="H352" s="1" t="s">
        <v>16476</v>
      </c>
    </row>
    <row r="353">
      <c r="A353" s="1">
        <v>773.0</v>
      </c>
      <c r="B353" s="1" t="s">
        <v>16822</v>
      </c>
      <c r="E353" s="1" t="s">
        <v>5202</v>
      </c>
      <c r="F353" s="90">
        <v>45113.5519212963</v>
      </c>
      <c r="G353" s="90">
        <v>45915.907013888886</v>
      </c>
      <c r="H353" s="1" t="s">
        <v>16476</v>
      </c>
    </row>
    <row r="354">
      <c r="A354" s="1">
        <v>865.0</v>
      </c>
      <c r="B354" s="1" t="s">
        <v>16823</v>
      </c>
      <c r="E354" s="1" t="s">
        <v>16475</v>
      </c>
      <c r="F354" s="90">
        <v>45113.55326388889</v>
      </c>
      <c r="G354" s="90">
        <v>45915.896365740744</v>
      </c>
      <c r="H354" s="1" t="s">
        <v>16476</v>
      </c>
    </row>
    <row r="355">
      <c r="A355" s="1">
        <v>551.0</v>
      </c>
      <c r="B355" s="1" t="s">
        <v>16824</v>
      </c>
      <c r="E355" s="1" t="s">
        <v>5202</v>
      </c>
      <c r="F355" s="90">
        <v>45113.54864583333</v>
      </c>
      <c r="G355" s="90">
        <v>45915.89475694444</v>
      </c>
      <c r="H355" s="1" t="s">
        <v>16476</v>
      </c>
    </row>
    <row r="356">
      <c r="A356" s="1">
        <v>277.0</v>
      </c>
      <c r="B356" s="1" t="s">
        <v>16825</v>
      </c>
      <c r="E356" s="1" t="s">
        <v>16475</v>
      </c>
      <c r="F356" s="90">
        <v>45113.544583333336</v>
      </c>
      <c r="G356" s="90">
        <v>45915.89424768519</v>
      </c>
      <c r="H356" s="1" t="s">
        <v>16476</v>
      </c>
    </row>
    <row r="357">
      <c r="A357" s="89">
        <v>1042.0</v>
      </c>
      <c r="B357" s="1" t="s">
        <v>16826</v>
      </c>
      <c r="E357" s="1" t="s">
        <v>16475</v>
      </c>
      <c r="F357" s="90">
        <v>45113.55584490741</v>
      </c>
      <c r="G357" s="90">
        <v>45915.89314814815</v>
      </c>
      <c r="H357" s="1" t="s">
        <v>16476</v>
      </c>
    </row>
    <row r="358">
      <c r="A358" s="1">
        <v>721.0</v>
      </c>
      <c r="B358" s="1" t="s">
        <v>16827</v>
      </c>
      <c r="E358" s="1" t="s">
        <v>16475</v>
      </c>
      <c r="F358" s="90">
        <v>45113.551157407404</v>
      </c>
      <c r="G358" s="90">
        <v>45915.89231481482</v>
      </c>
      <c r="H358" s="1" t="s">
        <v>16476</v>
      </c>
    </row>
    <row r="359">
      <c r="A359" s="89">
        <v>1026.0</v>
      </c>
      <c r="B359" s="1" t="s">
        <v>16828</v>
      </c>
      <c r="E359" s="1" t="s">
        <v>16475</v>
      </c>
      <c r="F359" s="90">
        <v>45113.555613425924</v>
      </c>
      <c r="G359" s="90">
        <v>45915.89150462963</v>
      </c>
      <c r="H359" s="1" t="s">
        <v>16476</v>
      </c>
    </row>
    <row r="360">
      <c r="A360" s="1">
        <v>905.0</v>
      </c>
      <c r="B360" s="1" t="s">
        <v>16829</v>
      </c>
      <c r="E360" s="1" t="s">
        <v>16475</v>
      </c>
      <c r="F360" s="90">
        <v>45113.55384259259</v>
      </c>
      <c r="G360" s="90">
        <v>45915.88628472222</v>
      </c>
      <c r="H360" s="1" t="s">
        <v>16476</v>
      </c>
    </row>
    <row r="361">
      <c r="A361" s="1">
        <v>153.0</v>
      </c>
      <c r="B361" s="1" t="s">
        <v>16830</v>
      </c>
      <c r="E361" s="1" t="s">
        <v>16475</v>
      </c>
      <c r="F361" s="90">
        <v>45113.542719907404</v>
      </c>
      <c r="G361" s="90">
        <v>45915.88538194444</v>
      </c>
      <c r="H361" s="1" t="s">
        <v>16476</v>
      </c>
    </row>
    <row r="362">
      <c r="A362" s="89">
        <v>1043.0</v>
      </c>
      <c r="B362" s="1" t="s">
        <v>16831</v>
      </c>
      <c r="F362" s="90">
        <v>45113.55585648148</v>
      </c>
      <c r="G362" s="90">
        <v>45915.883576388886</v>
      </c>
      <c r="H362" s="1" t="s">
        <v>16476</v>
      </c>
    </row>
    <row r="363">
      <c r="A363" s="1">
        <v>766.0</v>
      </c>
      <c r="B363" s="1" t="s">
        <v>16832</v>
      </c>
      <c r="E363" s="1" t="s">
        <v>16475</v>
      </c>
      <c r="F363" s="90">
        <v>45113.55181712963</v>
      </c>
      <c r="G363" s="90">
        <v>45915.84239583334</v>
      </c>
      <c r="H363" s="1" t="s">
        <v>16476</v>
      </c>
    </row>
    <row r="364">
      <c r="A364" s="89">
        <v>1225.0</v>
      </c>
      <c r="B364" s="1" t="s">
        <v>16833</v>
      </c>
      <c r="E364" s="1" t="s">
        <v>16475</v>
      </c>
      <c r="F364" s="90">
        <v>45113.558530092596</v>
      </c>
      <c r="G364" s="90">
        <v>45914.85140046296</v>
      </c>
      <c r="H364" s="1" t="s">
        <v>16476</v>
      </c>
    </row>
    <row r="365">
      <c r="A365" s="1">
        <v>542.0</v>
      </c>
      <c r="B365" s="1" t="s">
        <v>16834</v>
      </c>
      <c r="E365" s="1" t="s">
        <v>16475</v>
      </c>
      <c r="F365" s="90">
        <v>45113.54850694445</v>
      </c>
      <c r="G365" s="90">
        <v>45914.85083333333</v>
      </c>
      <c r="H365" s="1" t="s">
        <v>16476</v>
      </c>
    </row>
    <row r="366">
      <c r="A366" s="89">
        <v>1120.0</v>
      </c>
      <c r="B366" s="1" t="s">
        <v>16835</v>
      </c>
      <c r="E366" s="1" t="s">
        <v>5202</v>
      </c>
      <c r="F366" s="90">
        <v>45113.55699074074</v>
      </c>
      <c r="G366" s="90">
        <v>45914.850023148145</v>
      </c>
      <c r="H366" s="1" t="s">
        <v>16476</v>
      </c>
    </row>
    <row r="367">
      <c r="A367" s="1">
        <v>550.0</v>
      </c>
      <c r="B367" s="1" t="s">
        <v>16836</v>
      </c>
      <c r="E367" s="1" t="s">
        <v>16475</v>
      </c>
      <c r="F367" s="90">
        <v>45113.548622685186</v>
      </c>
      <c r="G367" s="90">
        <v>45914.84962962963</v>
      </c>
      <c r="H367" s="1" t="s">
        <v>16476</v>
      </c>
    </row>
    <row r="368">
      <c r="A368" s="89">
        <v>1041.0</v>
      </c>
      <c r="B368" s="1" t="s">
        <v>16837</v>
      </c>
      <c r="E368" s="1" t="s">
        <v>5202</v>
      </c>
      <c r="F368" s="90">
        <v>45113.55583333333</v>
      </c>
      <c r="G368" s="90">
        <v>45914.84818287037</v>
      </c>
      <c r="H368" s="1" t="s">
        <v>16476</v>
      </c>
    </row>
    <row r="369">
      <c r="A369" s="1">
        <v>796.0</v>
      </c>
      <c r="B369" s="1" t="s">
        <v>16838</v>
      </c>
      <c r="E369" s="1" t="s">
        <v>16475</v>
      </c>
      <c r="F369" s="90">
        <v>45113.552256944444</v>
      </c>
      <c r="G369" s="90">
        <v>45914.8471412037</v>
      </c>
      <c r="H369" s="1" t="s">
        <v>16476</v>
      </c>
    </row>
    <row r="370">
      <c r="A370" s="89">
        <v>1101.0</v>
      </c>
      <c r="B370" s="1" t="s">
        <v>16839</v>
      </c>
      <c r="E370" s="1" t="s">
        <v>16475</v>
      </c>
      <c r="F370" s="90">
        <v>45113.55671296296</v>
      </c>
      <c r="G370" s="90">
        <v>45914.84636574074</v>
      </c>
      <c r="H370" s="1" t="s">
        <v>16476</v>
      </c>
    </row>
    <row r="371">
      <c r="A371" s="1">
        <v>908.0</v>
      </c>
      <c r="B371" s="1" t="s">
        <v>16840</v>
      </c>
      <c r="E371" s="1" t="s">
        <v>16475</v>
      </c>
      <c r="F371" s="90">
        <v>45113.55388888889</v>
      </c>
      <c r="G371" s="90">
        <v>45914.84599537037</v>
      </c>
      <c r="H371" s="1" t="s">
        <v>16476</v>
      </c>
    </row>
    <row r="372">
      <c r="A372" s="1">
        <v>211.0</v>
      </c>
      <c r="B372" s="1" t="s">
        <v>16841</v>
      </c>
      <c r="E372" s="1" t="s">
        <v>16475</v>
      </c>
      <c r="F372" s="90">
        <v>45113.543587962966</v>
      </c>
      <c r="G372" s="90">
        <v>45914.845613425925</v>
      </c>
      <c r="H372" s="1" t="s">
        <v>16476</v>
      </c>
    </row>
    <row r="373">
      <c r="A373" s="1">
        <v>71.0</v>
      </c>
      <c r="B373" s="1" t="s">
        <v>16842</v>
      </c>
      <c r="E373" s="1" t="s">
        <v>16475</v>
      </c>
      <c r="F373" s="90">
        <v>45113.541550925926</v>
      </c>
      <c r="G373" s="90">
        <v>45914.845</v>
      </c>
      <c r="H373" s="1" t="s">
        <v>16476</v>
      </c>
    </row>
    <row r="374">
      <c r="A374" s="1">
        <v>72.0</v>
      </c>
      <c r="B374" s="1" t="s">
        <v>16843</v>
      </c>
      <c r="E374" s="1" t="s">
        <v>16475</v>
      </c>
      <c r="F374" s="90">
        <v>45113.5415625</v>
      </c>
      <c r="G374" s="90">
        <v>45914.84416666667</v>
      </c>
      <c r="H374" s="1" t="s">
        <v>16476</v>
      </c>
    </row>
    <row r="375">
      <c r="A375" s="1">
        <v>830.0</v>
      </c>
      <c r="B375" s="1" t="s">
        <v>16844</v>
      </c>
      <c r="E375" s="1" t="s">
        <v>16475</v>
      </c>
      <c r="F375" s="90">
        <v>45113.55275462963</v>
      </c>
      <c r="G375" s="90">
        <v>45914.843148148146</v>
      </c>
      <c r="H375" s="1" t="s">
        <v>16476</v>
      </c>
    </row>
    <row r="376">
      <c r="A376" s="1">
        <v>63.0</v>
      </c>
      <c r="B376" s="1" t="s">
        <v>16845</v>
      </c>
      <c r="E376" s="1" t="s">
        <v>16475</v>
      </c>
      <c r="F376" s="90">
        <v>45113.54143518519</v>
      </c>
      <c r="G376" s="90">
        <v>45914.8428125</v>
      </c>
      <c r="H376" s="1" t="s">
        <v>16476</v>
      </c>
    </row>
    <row r="377">
      <c r="A377" s="1">
        <v>41.0</v>
      </c>
      <c r="B377" s="1" t="s">
        <v>16846</v>
      </c>
      <c r="E377" s="1" t="s">
        <v>16475</v>
      </c>
      <c r="F377" s="90">
        <v>45113.54107638889</v>
      </c>
      <c r="G377" s="90">
        <v>45914.84232638889</v>
      </c>
      <c r="H377" s="1" t="s">
        <v>16476</v>
      </c>
    </row>
    <row r="378">
      <c r="A378" s="1">
        <v>906.0</v>
      </c>
      <c r="B378" s="1" t="s">
        <v>16847</v>
      </c>
      <c r="E378" s="1" t="s">
        <v>5202</v>
      </c>
      <c r="F378" s="90">
        <v>45113.55385416667</v>
      </c>
      <c r="G378" s="90">
        <v>45914.841145833336</v>
      </c>
      <c r="H378" s="1" t="s">
        <v>16476</v>
      </c>
    </row>
    <row r="379">
      <c r="A379" s="89">
        <v>1117.0</v>
      </c>
      <c r="B379" s="1" t="s">
        <v>16848</v>
      </c>
      <c r="E379" s="1" t="s">
        <v>16475</v>
      </c>
      <c r="F379" s="90">
        <v>45113.55694444444</v>
      </c>
      <c r="G379" s="90">
        <v>45914.84037037037</v>
      </c>
      <c r="H379" s="1" t="s">
        <v>16476</v>
      </c>
    </row>
    <row r="380">
      <c r="A380" s="1">
        <v>876.0</v>
      </c>
      <c r="B380" s="1" t="s">
        <v>16849</v>
      </c>
      <c r="E380" s="1" t="s">
        <v>16475</v>
      </c>
      <c r="F380" s="90">
        <v>45113.55342592593</v>
      </c>
      <c r="G380" s="90">
        <v>45914.83931712963</v>
      </c>
      <c r="H380" s="1" t="s">
        <v>16476</v>
      </c>
    </row>
    <row r="381">
      <c r="A381" s="1">
        <v>624.0</v>
      </c>
      <c r="B381" s="1" t="s">
        <v>16850</v>
      </c>
      <c r="E381" s="1" t="s">
        <v>16475</v>
      </c>
      <c r="F381" s="90">
        <v>45113.54971064815</v>
      </c>
      <c r="G381" s="90">
        <v>45914.83887731482</v>
      </c>
      <c r="H381" s="1" t="s">
        <v>16476</v>
      </c>
    </row>
    <row r="382">
      <c r="A382" s="1">
        <v>50.0</v>
      </c>
      <c r="B382" s="1" t="s">
        <v>16851</v>
      </c>
      <c r="E382" s="1" t="s">
        <v>16475</v>
      </c>
      <c r="F382" s="90">
        <v>45113.54121527778</v>
      </c>
      <c r="G382" s="90">
        <v>45914.83782407407</v>
      </c>
      <c r="H382" s="1" t="s">
        <v>16476</v>
      </c>
    </row>
    <row r="383">
      <c r="A383" s="1">
        <v>552.0</v>
      </c>
      <c r="B383" s="1" t="s">
        <v>16852</v>
      </c>
      <c r="E383" s="1" t="s">
        <v>5202</v>
      </c>
      <c r="F383" s="90">
        <v>45113.54865740741</v>
      </c>
      <c r="G383" s="90">
        <v>45914.8374537037</v>
      </c>
      <c r="H383" s="1" t="s">
        <v>16476</v>
      </c>
    </row>
    <row r="384">
      <c r="A384" s="89">
        <v>1163.0</v>
      </c>
      <c r="B384" s="1" t="s">
        <v>16853</v>
      </c>
      <c r="E384" s="1" t="s">
        <v>16475</v>
      </c>
      <c r="F384" s="90">
        <v>45113.55763888889</v>
      </c>
      <c r="G384" s="90">
        <v>45914.836863425924</v>
      </c>
      <c r="H384" s="1" t="s">
        <v>16476</v>
      </c>
    </row>
    <row r="385">
      <c r="A385" s="1">
        <v>526.0</v>
      </c>
      <c r="B385" s="1" t="s">
        <v>16854</v>
      </c>
      <c r="E385" s="1" t="s">
        <v>5202</v>
      </c>
      <c r="F385" s="90">
        <v>45113.54827546296</v>
      </c>
      <c r="G385" s="90">
        <v>45914.83629629629</v>
      </c>
      <c r="H385" s="1" t="s">
        <v>16476</v>
      </c>
    </row>
    <row r="386">
      <c r="A386" s="1">
        <v>58.0</v>
      </c>
      <c r="B386" s="1" t="s">
        <v>16855</v>
      </c>
      <c r="E386" s="1" t="s">
        <v>16475</v>
      </c>
      <c r="F386" s="90">
        <v>45113.54133101852</v>
      </c>
      <c r="G386" s="90">
        <v>45914.8356712963</v>
      </c>
      <c r="H386" s="1" t="s">
        <v>16476</v>
      </c>
    </row>
    <row r="387">
      <c r="A387" s="89">
        <v>1182.0</v>
      </c>
      <c r="B387" s="1" t="s">
        <v>16856</v>
      </c>
      <c r="E387" s="1" t="s">
        <v>16475</v>
      </c>
      <c r="F387" s="90">
        <v>45113.557916666665</v>
      </c>
      <c r="G387" s="90">
        <v>45914.83505787037</v>
      </c>
      <c r="H387" s="1" t="s">
        <v>16476</v>
      </c>
    </row>
    <row r="388">
      <c r="A388" s="1">
        <v>33.0</v>
      </c>
      <c r="B388" s="1" t="s">
        <v>16857</v>
      </c>
      <c r="E388" s="1" t="s">
        <v>16475</v>
      </c>
      <c r="F388" s="90">
        <v>45113.54096064815</v>
      </c>
      <c r="G388" s="90">
        <v>45914.83405092593</v>
      </c>
      <c r="H388" s="1" t="s">
        <v>16476</v>
      </c>
    </row>
    <row r="389">
      <c r="A389" s="1">
        <v>51.0</v>
      </c>
      <c r="B389" s="1" t="s">
        <v>16858</v>
      </c>
      <c r="E389" s="1" t="s">
        <v>16475</v>
      </c>
      <c r="F389" s="90">
        <v>45113.54122685185</v>
      </c>
      <c r="G389" s="90">
        <v>45914.833344907405</v>
      </c>
      <c r="H389" s="1" t="s">
        <v>16476</v>
      </c>
    </row>
    <row r="390">
      <c r="A390" s="1">
        <v>70.0</v>
      </c>
      <c r="B390" s="1" t="s">
        <v>16859</v>
      </c>
      <c r="E390" s="1" t="s">
        <v>16475</v>
      </c>
      <c r="F390" s="90">
        <v>45113.54153935185</v>
      </c>
      <c r="G390" s="90">
        <v>45914.832916666666</v>
      </c>
      <c r="H390" s="1" t="s">
        <v>16476</v>
      </c>
    </row>
    <row r="391">
      <c r="A391" s="1">
        <v>204.0</v>
      </c>
      <c r="B391" s="1" t="s">
        <v>16860</v>
      </c>
      <c r="E391" s="1" t="s">
        <v>16475</v>
      </c>
      <c r="F391" s="90">
        <v>45113.54347222222</v>
      </c>
      <c r="G391" s="90">
        <v>45914.83199074074</v>
      </c>
      <c r="H391" s="1" t="s">
        <v>16476</v>
      </c>
    </row>
    <row r="392">
      <c r="A392" s="89">
        <v>1216.0</v>
      </c>
      <c r="B392" s="1" t="s">
        <v>16861</v>
      </c>
      <c r="E392" s="1" t="s">
        <v>16475</v>
      </c>
      <c r="F392" s="90">
        <v>45113.55840277778</v>
      </c>
      <c r="G392" s="90">
        <v>45914.83049768519</v>
      </c>
      <c r="H392" s="1" t="s">
        <v>16476</v>
      </c>
    </row>
    <row r="393">
      <c r="A393" s="89">
        <v>1218.0</v>
      </c>
      <c r="B393" s="1" t="s">
        <v>16862</v>
      </c>
      <c r="E393" s="1" t="s">
        <v>5202</v>
      </c>
      <c r="F393" s="90">
        <v>45113.55842592593</v>
      </c>
      <c r="G393" s="90">
        <v>45914.829421296294</v>
      </c>
      <c r="H393" s="1" t="s">
        <v>16476</v>
      </c>
    </row>
    <row r="394">
      <c r="A394" s="1">
        <v>562.0</v>
      </c>
      <c r="B394" s="1" t="s">
        <v>16863</v>
      </c>
      <c r="E394" s="1" t="s">
        <v>5202</v>
      </c>
      <c r="F394" s="90">
        <v>45113.54880787037</v>
      </c>
      <c r="G394" s="90">
        <v>45914.82840277778</v>
      </c>
      <c r="H394" s="1" t="s">
        <v>16476</v>
      </c>
    </row>
    <row r="395">
      <c r="A395" s="1">
        <v>406.0</v>
      </c>
      <c r="B395" s="1" t="s">
        <v>16864</v>
      </c>
      <c r="E395" s="1" t="s">
        <v>5202</v>
      </c>
      <c r="F395" s="90">
        <v>45113.54652777778</v>
      </c>
      <c r="G395" s="90">
        <v>45914.82776620371</v>
      </c>
      <c r="H395" s="1" t="s">
        <v>16476</v>
      </c>
    </row>
    <row r="396">
      <c r="A396" s="89">
        <v>1230.0</v>
      </c>
      <c r="B396" s="1" t="s">
        <v>16865</v>
      </c>
      <c r="E396" s="1" t="s">
        <v>16475</v>
      </c>
      <c r="F396" s="90">
        <v>45113.558599537035</v>
      </c>
      <c r="G396" s="90">
        <v>45914.827002314814</v>
      </c>
      <c r="H396" s="1" t="s">
        <v>16476</v>
      </c>
    </row>
    <row r="397">
      <c r="A397" s="89">
        <v>1130.0</v>
      </c>
      <c r="B397" s="1" t="s">
        <v>16866</v>
      </c>
      <c r="E397" s="1" t="s">
        <v>16475</v>
      </c>
      <c r="F397" s="90">
        <v>45113.55712962963</v>
      </c>
      <c r="G397" s="90">
        <v>45914.826574074075</v>
      </c>
      <c r="H397" s="1" t="s">
        <v>16476</v>
      </c>
    </row>
    <row r="398">
      <c r="A398" s="1">
        <v>663.0</v>
      </c>
      <c r="B398" s="1" t="s">
        <v>16867</v>
      </c>
      <c r="E398" s="1" t="s">
        <v>5202</v>
      </c>
      <c r="F398" s="90">
        <v>45113.55028935185</v>
      </c>
      <c r="G398" s="90">
        <v>45914.82539351852</v>
      </c>
      <c r="H398" s="1" t="s">
        <v>16476</v>
      </c>
    </row>
    <row r="399">
      <c r="A399" s="1">
        <v>590.0</v>
      </c>
      <c r="B399" s="1" t="s">
        <v>16868</v>
      </c>
      <c r="E399" s="1" t="s">
        <v>16475</v>
      </c>
      <c r="F399" s="90">
        <v>45113.549212962964</v>
      </c>
      <c r="G399" s="90">
        <v>45914.825011574074</v>
      </c>
      <c r="H399" s="1" t="s">
        <v>16476</v>
      </c>
    </row>
    <row r="400">
      <c r="A400" s="1">
        <v>396.0</v>
      </c>
      <c r="B400" s="1" t="s">
        <v>16869</v>
      </c>
      <c r="E400" s="1" t="s">
        <v>16475</v>
      </c>
      <c r="F400" s="90">
        <v>45113.546377314815</v>
      </c>
      <c r="G400" s="90">
        <v>45914.824583333335</v>
      </c>
      <c r="H400" s="1" t="s">
        <v>16476</v>
      </c>
    </row>
    <row r="401">
      <c r="A401" s="1">
        <v>858.0</v>
      </c>
      <c r="B401" s="1" t="s">
        <v>16870</v>
      </c>
      <c r="E401" s="1" t="s">
        <v>16475</v>
      </c>
      <c r="F401" s="90">
        <v>45113.55315972222</v>
      </c>
      <c r="G401" s="90">
        <v>45914.82373842593</v>
      </c>
      <c r="H401" s="1" t="s">
        <v>16476</v>
      </c>
    </row>
    <row r="402">
      <c r="A402" s="1">
        <v>181.0</v>
      </c>
      <c r="B402" s="1" t="s">
        <v>16871</v>
      </c>
      <c r="E402" s="1" t="s">
        <v>16475</v>
      </c>
      <c r="F402" s="90">
        <v>45113.543125</v>
      </c>
      <c r="G402" s="90">
        <v>45914.82314814815</v>
      </c>
      <c r="H402" s="1" t="s">
        <v>16476</v>
      </c>
    </row>
    <row r="403">
      <c r="A403" s="1">
        <v>870.0</v>
      </c>
      <c r="B403" s="1" t="s">
        <v>16872</v>
      </c>
      <c r="E403" s="1" t="s">
        <v>16475</v>
      </c>
      <c r="F403" s="90">
        <v>45113.55333333334</v>
      </c>
      <c r="G403" s="90">
        <v>45914.82237268519</v>
      </c>
      <c r="H403" s="1" t="s">
        <v>16476</v>
      </c>
    </row>
    <row r="404">
      <c r="A404" s="1">
        <v>452.0</v>
      </c>
      <c r="B404" s="1" t="s">
        <v>16873</v>
      </c>
      <c r="E404" s="1" t="s">
        <v>16475</v>
      </c>
      <c r="F404" s="90">
        <v>45113.54719907408</v>
      </c>
      <c r="G404" s="90">
        <v>45914.821967592594</v>
      </c>
      <c r="H404" s="1" t="s">
        <v>16476</v>
      </c>
    </row>
    <row r="405">
      <c r="A405" s="1">
        <v>223.0</v>
      </c>
      <c r="B405" s="1" t="s">
        <v>16874</v>
      </c>
      <c r="E405" s="1" t="s">
        <v>16475</v>
      </c>
      <c r="F405" s="90">
        <v>45113.54377314815</v>
      </c>
      <c r="G405" s="90">
        <v>45914.82158564815</v>
      </c>
      <c r="H405" s="1" t="s">
        <v>16476</v>
      </c>
    </row>
    <row r="406">
      <c r="A406" s="1">
        <v>279.0</v>
      </c>
      <c r="B406" s="1" t="s">
        <v>16875</v>
      </c>
      <c r="E406" s="1" t="s">
        <v>5202</v>
      </c>
      <c r="F406" s="90">
        <v>45113.54460648148</v>
      </c>
      <c r="G406" s="90">
        <v>45914.82079861111</v>
      </c>
      <c r="H406" s="1" t="s">
        <v>16476</v>
      </c>
    </row>
    <row r="407">
      <c r="A407" s="1">
        <v>502.0</v>
      </c>
      <c r="B407" s="1" t="s">
        <v>16876</v>
      </c>
      <c r="E407" s="1" t="s">
        <v>16475</v>
      </c>
      <c r="F407" s="90">
        <v>45113.54792824074</v>
      </c>
      <c r="G407" s="90">
        <v>45914.820185185185</v>
      </c>
      <c r="H407" s="1" t="s">
        <v>16476</v>
      </c>
    </row>
    <row r="408">
      <c r="A408" s="1">
        <v>65.0</v>
      </c>
      <c r="B408" s="1" t="s">
        <v>16877</v>
      </c>
      <c r="E408" s="1" t="s">
        <v>16475</v>
      </c>
      <c r="F408" s="90">
        <v>45113.54145833333</v>
      </c>
      <c r="G408" s="90">
        <v>45914.81979166667</v>
      </c>
      <c r="H408" s="1" t="s">
        <v>16476</v>
      </c>
    </row>
    <row r="409">
      <c r="A409" s="1">
        <v>254.0</v>
      </c>
      <c r="B409" s="1" t="s">
        <v>16878</v>
      </c>
      <c r="E409" s="1" t="s">
        <v>5202</v>
      </c>
      <c r="F409" s="90">
        <v>45113.54423611111</v>
      </c>
      <c r="G409" s="90">
        <v>45914.81861111111</v>
      </c>
      <c r="H409" s="1" t="s">
        <v>16476</v>
      </c>
    </row>
    <row r="410">
      <c r="A410" s="1">
        <v>155.0</v>
      </c>
      <c r="B410" s="1" t="s">
        <v>16879</v>
      </c>
      <c r="E410" s="1" t="s">
        <v>16475</v>
      </c>
      <c r="F410" s="90">
        <v>45113.54274305556</v>
      </c>
      <c r="G410" s="90">
        <v>45914.81741898148</v>
      </c>
      <c r="H410" s="1" t="s">
        <v>16476</v>
      </c>
    </row>
    <row r="411">
      <c r="A411" s="1">
        <v>998.0</v>
      </c>
      <c r="B411" s="1" t="s">
        <v>16880</v>
      </c>
      <c r="E411" s="1" t="s">
        <v>5202</v>
      </c>
      <c r="F411" s="90">
        <v>45113.55519675926</v>
      </c>
      <c r="G411" s="90">
        <v>45914.816354166665</v>
      </c>
      <c r="H411" s="1" t="s">
        <v>16476</v>
      </c>
    </row>
    <row r="412">
      <c r="A412" s="1">
        <v>401.0</v>
      </c>
      <c r="B412" s="1" t="s">
        <v>16881</v>
      </c>
      <c r="E412" s="1" t="s">
        <v>16882</v>
      </c>
      <c r="F412" s="90">
        <v>45113.54644675926</v>
      </c>
      <c r="G412" s="90">
        <v>45914.81565972222</v>
      </c>
      <c r="H412" s="1" t="s">
        <v>16476</v>
      </c>
    </row>
    <row r="413">
      <c r="A413" s="1">
        <v>739.0</v>
      </c>
      <c r="B413" s="1" t="s">
        <v>16883</v>
      </c>
      <c r="E413" s="1" t="s">
        <v>16475</v>
      </c>
      <c r="F413" s="90">
        <v>45113.55142361111</v>
      </c>
      <c r="G413" s="90">
        <v>45914.81532407407</v>
      </c>
      <c r="H413" s="1" t="s">
        <v>16476</v>
      </c>
    </row>
    <row r="414">
      <c r="A414" s="1">
        <v>450.0</v>
      </c>
      <c r="B414" s="1" t="s">
        <v>16884</v>
      </c>
      <c r="E414" s="1" t="s">
        <v>5202</v>
      </c>
      <c r="F414" s="90">
        <v>45113.547164351854</v>
      </c>
      <c r="G414" s="90">
        <v>45914.81462962963</v>
      </c>
      <c r="H414" s="1" t="s">
        <v>16476</v>
      </c>
    </row>
    <row r="415">
      <c r="A415" s="1">
        <v>886.0</v>
      </c>
      <c r="B415" s="1" t="s">
        <v>16885</v>
      </c>
      <c r="E415" s="1" t="s">
        <v>5202</v>
      </c>
      <c r="F415" s="90">
        <v>45113.553564814814</v>
      </c>
      <c r="G415" s="90">
        <v>45914.81392361111</v>
      </c>
      <c r="H415" s="1" t="s">
        <v>16476</v>
      </c>
    </row>
    <row r="416">
      <c r="A416" s="1">
        <v>909.0</v>
      </c>
      <c r="B416" s="1" t="s">
        <v>16886</v>
      </c>
      <c r="E416" s="1" t="s">
        <v>16475</v>
      </c>
      <c r="F416" s="90">
        <v>45113.55390046296</v>
      </c>
      <c r="G416" s="90">
        <v>45914.8062037037</v>
      </c>
      <c r="H416" s="1" t="s">
        <v>16476</v>
      </c>
    </row>
    <row r="417">
      <c r="A417" s="89">
        <v>1241.0</v>
      </c>
      <c r="B417" s="1" t="s">
        <v>16887</v>
      </c>
      <c r="E417" s="1" t="s">
        <v>16475</v>
      </c>
      <c r="F417" s="90">
        <v>45113.55876157407</v>
      </c>
      <c r="G417" s="90">
        <v>45914.80583333333</v>
      </c>
      <c r="H417" s="1" t="s">
        <v>16476</v>
      </c>
    </row>
    <row r="418">
      <c r="A418" s="1">
        <v>182.0</v>
      </c>
      <c r="B418" s="1" t="s">
        <v>16888</v>
      </c>
      <c r="E418" s="1" t="s">
        <v>16475</v>
      </c>
      <c r="F418" s="90">
        <v>45113.54314814815</v>
      </c>
      <c r="G418" s="90">
        <v>45914.805497685185</v>
      </c>
      <c r="H418" s="1" t="s">
        <v>16476</v>
      </c>
    </row>
    <row r="419">
      <c r="A419" s="1">
        <v>635.0</v>
      </c>
      <c r="B419" s="1" t="s">
        <v>16889</v>
      </c>
      <c r="E419" s="1" t="s">
        <v>16475</v>
      </c>
      <c r="F419" s="90">
        <v>45113.54988425926</v>
      </c>
      <c r="G419" s="90">
        <v>45914.8041087963</v>
      </c>
      <c r="H419" s="1" t="s">
        <v>16476</v>
      </c>
    </row>
    <row r="420">
      <c r="A420" s="1">
        <v>649.0</v>
      </c>
      <c r="B420" s="1" t="s">
        <v>16890</v>
      </c>
      <c r="E420" s="1" t="s">
        <v>16475</v>
      </c>
      <c r="F420" s="90">
        <v>45113.550092592595</v>
      </c>
      <c r="G420" s="90">
        <v>45914.803761574076</v>
      </c>
      <c r="H420" s="1" t="s">
        <v>16476</v>
      </c>
    </row>
    <row r="421">
      <c r="A421" s="1">
        <v>621.0</v>
      </c>
      <c r="B421" s="1" t="s">
        <v>16891</v>
      </c>
      <c r="E421" s="1" t="s">
        <v>5202</v>
      </c>
      <c r="F421" s="90">
        <v>45113.54966435185</v>
      </c>
      <c r="G421" s="90">
        <v>45914.802777777775</v>
      </c>
      <c r="H421" s="1" t="s">
        <v>16476</v>
      </c>
    </row>
    <row r="422">
      <c r="A422" s="1">
        <v>245.0</v>
      </c>
      <c r="B422" s="1" t="s">
        <v>16892</v>
      </c>
      <c r="E422" s="1" t="s">
        <v>16475</v>
      </c>
      <c r="F422" s="90">
        <v>45113.54409722222</v>
      </c>
      <c r="G422" s="90">
        <v>45914.80241898148</v>
      </c>
      <c r="H422" s="1" t="s">
        <v>16476</v>
      </c>
    </row>
    <row r="423">
      <c r="A423" s="1">
        <v>691.0</v>
      </c>
      <c r="B423" s="1" t="s">
        <v>16893</v>
      </c>
      <c r="E423" s="1" t="s">
        <v>16475</v>
      </c>
      <c r="F423" s="90">
        <v>45113.550729166665</v>
      </c>
      <c r="G423" s="90">
        <v>45914.802094907405</v>
      </c>
      <c r="H423" s="1" t="s">
        <v>16476</v>
      </c>
    </row>
    <row r="424">
      <c r="A424" s="1">
        <v>397.0</v>
      </c>
      <c r="B424" s="1" t="s">
        <v>16894</v>
      </c>
      <c r="E424" s="1" t="s">
        <v>16475</v>
      </c>
      <c r="F424" s="90">
        <v>45113.54638888889</v>
      </c>
      <c r="G424" s="90">
        <v>45914.80170138889</v>
      </c>
      <c r="H424" s="1" t="s">
        <v>16476</v>
      </c>
    </row>
    <row r="425">
      <c r="A425" s="1">
        <v>237.0</v>
      </c>
      <c r="B425" s="1" t="s">
        <v>16895</v>
      </c>
      <c r="E425" s="1" t="s">
        <v>16475</v>
      </c>
      <c r="F425" s="90">
        <v>45113.54398148148</v>
      </c>
      <c r="G425" s="90">
        <v>45914.80134259259</v>
      </c>
      <c r="H425" s="1" t="s">
        <v>16476</v>
      </c>
    </row>
    <row r="426">
      <c r="A426" s="1">
        <v>783.0</v>
      </c>
      <c r="B426" s="1" t="s">
        <v>16896</v>
      </c>
      <c r="E426" s="1" t="s">
        <v>16475</v>
      </c>
      <c r="F426" s="90">
        <v>45113.55206018518</v>
      </c>
      <c r="G426" s="90">
        <v>45914.80055555556</v>
      </c>
      <c r="H426" s="1" t="s">
        <v>16476</v>
      </c>
    </row>
    <row r="427">
      <c r="A427" s="1">
        <v>541.0</v>
      </c>
      <c r="B427" s="1" t="s">
        <v>16897</v>
      </c>
      <c r="E427" s="1" t="s">
        <v>5202</v>
      </c>
      <c r="F427" s="90">
        <v>45113.54849537037</v>
      </c>
      <c r="G427" s="90">
        <v>45914.789722222224</v>
      </c>
      <c r="H427" s="1" t="s">
        <v>16476</v>
      </c>
    </row>
    <row r="428">
      <c r="A428" s="1">
        <v>307.0</v>
      </c>
      <c r="B428" s="1" t="s">
        <v>16898</v>
      </c>
      <c r="E428" s="1" t="s">
        <v>5202</v>
      </c>
      <c r="F428" s="90">
        <v>45113.54505787037</v>
      </c>
      <c r="G428" s="90">
        <v>45914.78896990741</v>
      </c>
      <c r="H428" s="1" t="s">
        <v>16476</v>
      </c>
    </row>
    <row r="429">
      <c r="A429" s="1">
        <v>937.0</v>
      </c>
      <c r="B429" s="1" t="s">
        <v>16899</v>
      </c>
      <c r="E429" s="1" t="s">
        <v>16475</v>
      </c>
      <c r="F429" s="90">
        <v>45113.55430555555</v>
      </c>
      <c r="G429" s="90">
        <v>45914.7878587963</v>
      </c>
      <c r="H429" s="1" t="s">
        <v>16476</v>
      </c>
    </row>
    <row r="430">
      <c r="A430" s="1">
        <v>681.0</v>
      </c>
      <c r="B430" s="1" t="s">
        <v>16900</v>
      </c>
      <c r="E430" s="1" t="s">
        <v>16475</v>
      </c>
      <c r="F430" s="90">
        <v>45113.55056712963</v>
      </c>
      <c r="G430" s="90">
        <v>45914.78739583334</v>
      </c>
      <c r="H430" s="1" t="s">
        <v>16476</v>
      </c>
    </row>
    <row r="431">
      <c r="A431" s="1">
        <v>696.0</v>
      </c>
      <c r="B431" s="1" t="s">
        <v>16901</v>
      </c>
      <c r="E431" s="1" t="s">
        <v>5202</v>
      </c>
      <c r="F431" s="90">
        <v>45113.55079861111</v>
      </c>
      <c r="G431" s="90">
        <v>45914.78659722222</v>
      </c>
      <c r="H431" s="1" t="s">
        <v>16476</v>
      </c>
    </row>
    <row r="432">
      <c r="A432" s="1">
        <v>988.0</v>
      </c>
      <c r="B432" s="1" t="s">
        <v>16902</v>
      </c>
      <c r="E432" s="1" t="s">
        <v>16475</v>
      </c>
      <c r="F432" s="90">
        <v>45113.55505787037</v>
      </c>
      <c r="G432" s="90">
        <v>45914.78581018518</v>
      </c>
      <c r="H432" s="1" t="s">
        <v>16476</v>
      </c>
    </row>
    <row r="433">
      <c r="A433" s="1">
        <v>126.0</v>
      </c>
      <c r="B433" s="1" t="s">
        <v>16903</v>
      </c>
      <c r="E433" s="1" t="s">
        <v>5202</v>
      </c>
      <c r="F433" s="90">
        <v>45113.54231481482</v>
      </c>
      <c r="G433" s="90">
        <v>45914.785104166665</v>
      </c>
      <c r="H433" s="1" t="s">
        <v>16476</v>
      </c>
    </row>
    <row r="434">
      <c r="A434" s="1">
        <v>761.0</v>
      </c>
      <c r="B434" s="1" t="s">
        <v>16904</v>
      </c>
      <c r="E434" s="1" t="s">
        <v>16475</v>
      </c>
      <c r="F434" s="90">
        <v>45113.55174768518</v>
      </c>
      <c r="G434" s="90">
        <v>45914.784467592595</v>
      </c>
      <c r="H434" s="1" t="s">
        <v>16476</v>
      </c>
    </row>
    <row r="435">
      <c r="A435" s="1">
        <v>529.0</v>
      </c>
      <c r="B435" s="1" t="s">
        <v>16905</v>
      </c>
      <c r="E435" s="1" t="s">
        <v>16475</v>
      </c>
      <c r="F435" s="90">
        <v>45113.54832175926</v>
      </c>
      <c r="G435" s="90">
        <v>45914.78408564815</v>
      </c>
      <c r="H435" s="1" t="s">
        <v>16476</v>
      </c>
    </row>
    <row r="436">
      <c r="A436" s="1">
        <v>547.0</v>
      </c>
      <c r="B436" s="1" t="s">
        <v>16906</v>
      </c>
      <c r="E436" s="1" t="s">
        <v>16475</v>
      </c>
      <c r="F436" s="90">
        <v>45113.54858796296</v>
      </c>
      <c r="G436" s="90">
        <v>45914.78377314815</v>
      </c>
      <c r="H436" s="1" t="s">
        <v>16476</v>
      </c>
    </row>
    <row r="437">
      <c r="A437" s="1">
        <v>129.0</v>
      </c>
      <c r="B437" s="1" t="s">
        <v>16907</v>
      </c>
      <c r="E437" s="1" t="s">
        <v>5202</v>
      </c>
      <c r="F437" s="90">
        <v>45113.54236111111</v>
      </c>
      <c r="G437" s="90">
        <v>45914.78344907407</v>
      </c>
      <c r="H437" s="1" t="s">
        <v>16476</v>
      </c>
    </row>
    <row r="438">
      <c r="A438" s="1">
        <v>787.0</v>
      </c>
      <c r="B438" s="1" t="s">
        <v>16908</v>
      </c>
      <c r="E438" s="1" t="s">
        <v>16475</v>
      </c>
      <c r="F438" s="90">
        <v>45113.55211805556</v>
      </c>
      <c r="G438" s="90">
        <v>45914.780625</v>
      </c>
      <c r="H438" s="1" t="s">
        <v>16476</v>
      </c>
    </row>
    <row r="439">
      <c r="A439" s="1">
        <v>373.0</v>
      </c>
      <c r="B439" s="1" t="s">
        <v>16909</v>
      </c>
      <c r="E439" s="1" t="s">
        <v>16475</v>
      </c>
      <c r="F439" s="90">
        <v>45113.54601851852</v>
      </c>
      <c r="G439" s="90">
        <v>45914.78015046296</v>
      </c>
      <c r="H439" s="1" t="s">
        <v>16476</v>
      </c>
    </row>
    <row r="440">
      <c r="A440" s="1">
        <v>167.0</v>
      </c>
      <c r="B440" s="1" t="s">
        <v>16910</v>
      </c>
      <c r="E440" s="1" t="s">
        <v>5202</v>
      </c>
      <c r="F440" s="90">
        <v>45113.54292824074</v>
      </c>
      <c r="G440" s="90">
        <v>45914.7787962963</v>
      </c>
      <c r="H440" s="1" t="s">
        <v>16476</v>
      </c>
    </row>
    <row r="441">
      <c r="A441" s="89">
        <v>1128.0</v>
      </c>
      <c r="B441" s="1" t="s">
        <v>16911</v>
      </c>
      <c r="E441" s="1" t="s">
        <v>16475</v>
      </c>
      <c r="F441" s="90">
        <v>45113.55710648148</v>
      </c>
      <c r="G441" s="90">
        <v>45914.77820601852</v>
      </c>
      <c r="H441" s="1" t="s">
        <v>16476</v>
      </c>
    </row>
    <row r="442">
      <c r="A442" s="1">
        <v>957.0</v>
      </c>
      <c r="B442" s="1" t="s">
        <v>16912</v>
      </c>
      <c r="E442" s="1" t="s">
        <v>5202</v>
      </c>
      <c r="F442" s="90">
        <v>45113.554606481484</v>
      </c>
      <c r="G442" s="90">
        <v>45914.7775</v>
      </c>
      <c r="H442" s="1" t="s">
        <v>16476</v>
      </c>
    </row>
    <row r="443">
      <c r="A443" s="1">
        <v>67.0</v>
      </c>
      <c r="B443" s="1" t="s">
        <v>16913</v>
      </c>
      <c r="E443" s="1" t="s">
        <v>5202</v>
      </c>
      <c r="F443" s="90">
        <v>45113.541493055556</v>
      </c>
      <c r="G443" s="90">
        <v>45914.77653935185</v>
      </c>
      <c r="H443" s="1" t="s">
        <v>16476</v>
      </c>
    </row>
    <row r="444">
      <c r="A444" s="1">
        <v>62.0</v>
      </c>
      <c r="B444" s="1" t="s">
        <v>16914</v>
      </c>
      <c r="E444" s="1" t="s">
        <v>16485</v>
      </c>
      <c r="F444" s="90">
        <v>45113.54141203704</v>
      </c>
      <c r="G444" s="90">
        <v>45913.975266203706</v>
      </c>
      <c r="H444" s="1" t="s">
        <v>16476</v>
      </c>
    </row>
    <row r="445">
      <c r="A445" s="1">
        <v>52.0</v>
      </c>
      <c r="B445" s="1" t="s">
        <v>16915</v>
      </c>
      <c r="E445" s="1" t="s">
        <v>16481</v>
      </c>
      <c r="F445" s="90">
        <v>45113.541238425925</v>
      </c>
      <c r="G445" s="90">
        <v>45913.97453703704</v>
      </c>
      <c r="H445" s="1" t="s">
        <v>16476</v>
      </c>
    </row>
    <row r="446">
      <c r="A446" s="1">
        <v>46.0</v>
      </c>
      <c r="B446" s="1" t="s">
        <v>16916</v>
      </c>
      <c r="E446" s="1" t="s">
        <v>16475</v>
      </c>
      <c r="F446" s="90">
        <v>45113.54114583333</v>
      </c>
      <c r="G446" s="90">
        <v>45913.973495370374</v>
      </c>
      <c r="H446" s="1" t="s">
        <v>16476</v>
      </c>
    </row>
    <row r="447">
      <c r="A447" s="1">
        <v>602.0</v>
      </c>
      <c r="B447" s="1" t="s">
        <v>16917</v>
      </c>
      <c r="E447" s="1" t="s">
        <v>16475</v>
      </c>
      <c r="F447" s="90">
        <v>45113.54938657407</v>
      </c>
      <c r="G447" s="90">
        <v>45913.971863425926</v>
      </c>
      <c r="H447" s="1" t="s">
        <v>16476</v>
      </c>
    </row>
    <row r="448">
      <c r="A448" s="1">
        <v>799.0</v>
      </c>
      <c r="B448" s="1" t="s">
        <v>16918</v>
      </c>
      <c r="E448" s="1" t="s">
        <v>16481</v>
      </c>
      <c r="F448" s="90">
        <v>45113.55229166667</v>
      </c>
      <c r="G448" s="90">
        <v>45913.97136574074</v>
      </c>
      <c r="H448" s="1" t="s">
        <v>16476</v>
      </c>
    </row>
    <row r="449">
      <c r="A449" s="1">
        <v>797.0</v>
      </c>
      <c r="B449" s="1" t="s">
        <v>16918</v>
      </c>
      <c r="E449" s="1" t="s">
        <v>16481</v>
      </c>
      <c r="F449" s="90">
        <v>45113.55226851852</v>
      </c>
      <c r="G449" s="90">
        <v>45913.97101851852</v>
      </c>
      <c r="H449" s="1" t="s">
        <v>16476</v>
      </c>
    </row>
    <row r="450">
      <c r="A450" s="1">
        <v>35.0</v>
      </c>
      <c r="B450" s="1" t="s">
        <v>16919</v>
      </c>
      <c r="E450" s="1" t="s">
        <v>16475</v>
      </c>
      <c r="F450" s="90">
        <v>45113.540983796294</v>
      </c>
      <c r="G450" s="90">
        <v>45913.97048611111</v>
      </c>
      <c r="H450" s="1" t="s">
        <v>16476</v>
      </c>
    </row>
    <row r="451">
      <c r="A451" s="1">
        <v>574.0</v>
      </c>
      <c r="B451" s="1" t="s">
        <v>16920</v>
      </c>
      <c r="E451" s="1" t="s">
        <v>5202</v>
      </c>
      <c r="F451" s="90">
        <v>45113.54898148148</v>
      </c>
      <c r="G451" s="90">
        <v>45913.96971064815</v>
      </c>
      <c r="H451" s="1" t="s">
        <v>16476</v>
      </c>
    </row>
    <row r="452">
      <c r="A452" s="1">
        <v>451.0</v>
      </c>
      <c r="B452" s="1" t="s">
        <v>16921</v>
      </c>
      <c r="E452" s="1" t="s">
        <v>16475</v>
      </c>
      <c r="F452" s="90">
        <v>45113.5471875</v>
      </c>
      <c r="G452" s="90">
        <v>45913.9687962963</v>
      </c>
      <c r="H452" s="1" t="s">
        <v>16476</v>
      </c>
    </row>
    <row r="453">
      <c r="A453" s="89">
        <v>1149.0</v>
      </c>
      <c r="B453" s="1" t="s">
        <v>16922</v>
      </c>
      <c r="E453" s="1" t="s">
        <v>5202</v>
      </c>
      <c r="F453" s="90">
        <v>45113.55740740741</v>
      </c>
      <c r="G453" s="90">
        <v>45913.96828703704</v>
      </c>
      <c r="H453" s="1" t="s">
        <v>16476</v>
      </c>
    </row>
    <row r="454">
      <c r="A454" s="1">
        <v>390.0</v>
      </c>
      <c r="B454" s="1" t="s">
        <v>16923</v>
      </c>
      <c r="E454" s="1" t="s">
        <v>16475</v>
      </c>
      <c r="F454" s="90">
        <v>45113.54628472222</v>
      </c>
      <c r="G454" s="90">
        <v>45913.967465277776</v>
      </c>
      <c r="H454" s="1" t="s">
        <v>16476</v>
      </c>
    </row>
    <row r="455">
      <c r="A455" s="1">
        <v>189.0</v>
      </c>
      <c r="B455" s="1" t="s">
        <v>16924</v>
      </c>
      <c r="E455" s="1" t="s">
        <v>5202</v>
      </c>
      <c r="F455" s="90">
        <v>45113.54325231481</v>
      </c>
      <c r="G455" s="90">
        <v>45913.965532407405</v>
      </c>
      <c r="H455" s="1" t="s">
        <v>16476</v>
      </c>
    </row>
    <row r="456">
      <c r="A456" s="1">
        <v>859.0</v>
      </c>
      <c r="B456" s="1" t="s">
        <v>16925</v>
      </c>
      <c r="E456" s="1" t="s">
        <v>16475</v>
      </c>
      <c r="F456" s="90">
        <v>45113.5531712963</v>
      </c>
      <c r="G456" s="90">
        <v>45913.9640162037</v>
      </c>
      <c r="H456" s="1" t="s">
        <v>16476</v>
      </c>
    </row>
    <row r="457">
      <c r="A457" s="1">
        <v>967.0</v>
      </c>
      <c r="B457" s="1" t="s">
        <v>16926</v>
      </c>
      <c r="E457" s="1" t="s">
        <v>16475</v>
      </c>
      <c r="F457" s="90">
        <v>45113.55474537037</v>
      </c>
      <c r="G457" s="90">
        <v>45913.96335648148</v>
      </c>
      <c r="H457" s="1" t="s">
        <v>16476</v>
      </c>
    </row>
    <row r="458">
      <c r="A458" s="1">
        <v>703.0</v>
      </c>
      <c r="B458" s="1" t="s">
        <v>16927</v>
      </c>
      <c r="E458" s="1" t="s">
        <v>5202</v>
      </c>
      <c r="F458" s="90">
        <v>45113.55090277778</v>
      </c>
      <c r="G458" s="90">
        <v>45913.962685185186</v>
      </c>
      <c r="H458" s="1" t="s">
        <v>16476</v>
      </c>
    </row>
    <row r="459">
      <c r="A459" s="89">
        <v>1078.0</v>
      </c>
      <c r="B459" s="1" t="s">
        <v>16928</v>
      </c>
      <c r="E459" s="1" t="s">
        <v>5202</v>
      </c>
      <c r="F459" s="90">
        <v>45113.55636574074</v>
      </c>
      <c r="G459" s="90">
        <v>45913.96114583333</v>
      </c>
      <c r="H459" s="1" t="s">
        <v>16476</v>
      </c>
    </row>
    <row r="460">
      <c r="A460" s="1">
        <v>384.0</v>
      </c>
      <c r="B460" s="1" t="s">
        <v>10208</v>
      </c>
      <c r="E460" s="1" t="s">
        <v>16475</v>
      </c>
      <c r="F460" s="90">
        <v>45113.54618055555</v>
      </c>
      <c r="G460" s="90">
        <v>45913.959872685184</v>
      </c>
      <c r="H460" s="1" t="s">
        <v>16476</v>
      </c>
    </row>
    <row r="461">
      <c r="A461" s="1">
        <v>42.0</v>
      </c>
      <c r="B461" s="1" t="s">
        <v>16929</v>
      </c>
      <c r="E461" s="1" t="s">
        <v>16475</v>
      </c>
      <c r="F461" s="90">
        <v>45113.54108796296</v>
      </c>
      <c r="G461" s="90">
        <v>45913.959178240744</v>
      </c>
      <c r="H461" s="1" t="s">
        <v>16476</v>
      </c>
    </row>
    <row r="462">
      <c r="A462" s="1">
        <v>54.0</v>
      </c>
      <c r="B462" s="1" t="s">
        <v>16930</v>
      </c>
      <c r="E462" s="1" t="s">
        <v>16475</v>
      </c>
      <c r="F462" s="90">
        <v>45113.54127314815</v>
      </c>
      <c r="G462" s="90">
        <v>45913.954675925925</v>
      </c>
      <c r="H462" s="1" t="s">
        <v>16476</v>
      </c>
    </row>
    <row r="463">
      <c r="A463" s="1">
        <v>66.0</v>
      </c>
      <c r="B463" s="1" t="s">
        <v>16931</v>
      </c>
      <c r="E463" s="1" t="s">
        <v>5202</v>
      </c>
      <c r="F463" s="90">
        <v>45113.54148148148</v>
      </c>
      <c r="G463" s="90">
        <v>45913.95329861111</v>
      </c>
      <c r="H463" s="1" t="s">
        <v>16476</v>
      </c>
    </row>
    <row r="464">
      <c r="A464" s="1">
        <v>962.0</v>
      </c>
      <c r="B464" s="1" t="s">
        <v>16932</v>
      </c>
      <c r="E464" s="1" t="s">
        <v>16475</v>
      </c>
      <c r="F464" s="90">
        <v>45113.55467592592</v>
      </c>
      <c r="G464" s="90">
        <v>45913.952673611115</v>
      </c>
      <c r="H464" s="1" t="s">
        <v>16476</v>
      </c>
    </row>
    <row r="465">
      <c r="A465" s="1">
        <v>32.0</v>
      </c>
      <c r="B465" s="1" t="s">
        <v>16933</v>
      </c>
      <c r="E465" s="1" t="s">
        <v>16475</v>
      </c>
      <c r="F465" s="90">
        <v>45113.54094907407</v>
      </c>
      <c r="G465" s="90">
        <v>45913.951898148145</v>
      </c>
      <c r="H465" s="1" t="s">
        <v>16476</v>
      </c>
    </row>
    <row r="466">
      <c r="A466" s="1">
        <v>674.0</v>
      </c>
      <c r="B466" s="1" t="s">
        <v>16934</v>
      </c>
      <c r="E466" s="1" t="s">
        <v>16475</v>
      </c>
      <c r="F466" s="90">
        <v>45113.55045138889</v>
      </c>
      <c r="G466" s="90">
        <v>45913.95104166667</v>
      </c>
      <c r="H466" s="1" t="s">
        <v>16476</v>
      </c>
    </row>
    <row r="467">
      <c r="A467" s="1">
        <v>480.0</v>
      </c>
      <c r="B467" s="1" t="s">
        <v>16935</v>
      </c>
      <c r="E467" s="1" t="s">
        <v>5202</v>
      </c>
      <c r="F467" s="90">
        <v>45113.54760416667</v>
      </c>
      <c r="G467" s="90">
        <v>45913.950520833336</v>
      </c>
      <c r="H467" s="1" t="s">
        <v>16476</v>
      </c>
    </row>
    <row r="468">
      <c r="A468" s="1">
        <v>718.0</v>
      </c>
      <c r="B468" s="1" t="s">
        <v>16936</v>
      </c>
      <c r="E468" s="1" t="s">
        <v>5202</v>
      </c>
      <c r="F468" s="90">
        <v>45113.55112268519</v>
      </c>
      <c r="G468" s="90">
        <v>45913.95002314815</v>
      </c>
      <c r="H468" s="1" t="s">
        <v>16476</v>
      </c>
    </row>
    <row r="469">
      <c r="A469" s="1">
        <v>55.0</v>
      </c>
      <c r="B469" s="1" t="s">
        <v>16937</v>
      </c>
      <c r="E469" s="1" t="s">
        <v>16481</v>
      </c>
      <c r="F469" s="90">
        <v>45113.541284722225</v>
      </c>
      <c r="G469" s="90">
        <v>45913.94920138889</v>
      </c>
      <c r="H469" s="1" t="s">
        <v>16476</v>
      </c>
    </row>
    <row r="470">
      <c r="A470" s="1">
        <v>748.0</v>
      </c>
      <c r="B470" s="1" t="s">
        <v>16938</v>
      </c>
      <c r="E470" s="1" t="s">
        <v>5202</v>
      </c>
      <c r="F470" s="90">
        <v>45113.5515625</v>
      </c>
      <c r="G470" s="90">
        <v>45913.94829861111</v>
      </c>
      <c r="H470" s="1" t="s">
        <v>16476</v>
      </c>
    </row>
    <row r="471">
      <c r="A471" s="1">
        <v>487.0</v>
      </c>
      <c r="B471" s="1" t="s">
        <v>16939</v>
      </c>
      <c r="E471" s="1" t="s">
        <v>16475</v>
      </c>
      <c r="F471" s="90">
        <v>45113.54770833333</v>
      </c>
      <c r="G471" s="90">
        <v>45913.947060185186</v>
      </c>
      <c r="H471" s="1" t="s">
        <v>16476</v>
      </c>
    </row>
    <row r="472">
      <c r="A472" s="1">
        <v>415.0</v>
      </c>
      <c r="B472" s="1" t="s">
        <v>16940</v>
      </c>
      <c r="E472" s="1" t="s">
        <v>16475</v>
      </c>
      <c r="F472" s="90">
        <v>45113.54665509259</v>
      </c>
      <c r="G472" s="90">
        <v>45913.94641203704</v>
      </c>
      <c r="H472" s="1" t="s">
        <v>16476</v>
      </c>
    </row>
    <row r="473">
      <c r="A473" s="1">
        <v>219.0</v>
      </c>
      <c r="B473" s="1" t="s">
        <v>16941</v>
      </c>
      <c r="E473" s="1" t="s">
        <v>16475</v>
      </c>
      <c r="F473" s="90">
        <v>45113.54371527778</v>
      </c>
      <c r="G473" s="90">
        <v>45913.945601851854</v>
      </c>
      <c r="H473" s="1" t="s">
        <v>16476</v>
      </c>
    </row>
    <row r="474">
      <c r="A474" s="1">
        <v>447.0</v>
      </c>
      <c r="B474" s="1" t="s">
        <v>16942</v>
      </c>
      <c r="E474" s="1" t="s">
        <v>16475</v>
      </c>
      <c r="F474" s="90">
        <v>45113.54712962963</v>
      </c>
      <c r="G474" s="90">
        <v>45913.94493055555</v>
      </c>
      <c r="H474" s="1" t="s">
        <v>16476</v>
      </c>
    </row>
    <row r="475">
      <c r="A475" s="1">
        <v>944.0</v>
      </c>
      <c r="B475" s="1" t="s">
        <v>16943</v>
      </c>
      <c r="E475" s="1" t="s">
        <v>16475</v>
      </c>
      <c r="F475" s="90">
        <v>45113.55440972222</v>
      </c>
      <c r="G475" s="90">
        <v>45913.94417824074</v>
      </c>
      <c r="H475" s="1" t="s">
        <v>16476</v>
      </c>
    </row>
    <row r="476">
      <c r="A476" s="1">
        <v>271.0</v>
      </c>
      <c r="B476" s="1" t="s">
        <v>16944</v>
      </c>
      <c r="E476" s="1" t="s">
        <v>16475</v>
      </c>
      <c r="F476" s="90">
        <v>45113.544490740744</v>
      </c>
      <c r="G476" s="90">
        <v>45913.943564814814</v>
      </c>
      <c r="H476" s="1" t="s">
        <v>16476</v>
      </c>
    </row>
    <row r="477">
      <c r="A477" s="1">
        <v>786.0</v>
      </c>
      <c r="B477" s="1" t="s">
        <v>16945</v>
      </c>
      <c r="E477" s="1" t="s">
        <v>16475</v>
      </c>
      <c r="F477" s="90">
        <v>45113.55210648148</v>
      </c>
      <c r="G477" s="90">
        <v>45913.94295138889</v>
      </c>
      <c r="H477" s="1" t="s">
        <v>16476</v>
      </c>
    </row>
    <row r="478">
      <c r="A478" s="1">
        <v>442.0</v>
      </c>
      <c r="B478" s="1" t="s">
        <v>16946</v>
      </c>
      <c r="E478" s="1" t="s">
        <v>16475</v>
      </c>
      <c r="F478" s="90">
        <v>45113.54704861111</v>
      </c>
      <c r="G478" s="90">
        <v>45913.941655092596</v>
      </c>
      <c r="H478" s="1" t="s">
        <v>16476</v>
      </c>
    </row>
    <row r="479">
      <c r="A479" s="89">
        <v>1085.0</v>
      </c>
      <c r="B479" s="1" t="s">
        <v>16947</v>
      </c>
      <c r="E479" s="1" t="s">
        <v>5202</v>
      </c>
      <c r="F479" s="90">
        <v>45113.55646990741</v>
      </c>
      <c r="G479" s="90">
        <v>45913.94099537037</v>
      </c>
      <c r="H479" s="1" t="s">
        <v>16476</v>
      </c>
    </row>
    <row r="480">
      <c r="A480" s="1">
        <v>689.0</v>
      </c>
      <c r="B480" s="1" t="s">
        <v>16948</v>
      </c>
      <c r="E480" s="1" t="s">
        <v>16475</v>
      </c>
      <c r="F480" s="90">
        <v>45113.55069444444</v>
      </c>
      <c r="G480" s="90">
        <v>45913.94028935185</v>
      </c>
      <c r="H480" s="1" t="s">
        <v>16476</v>
      </c>
    </row>
    <row r="481">
      <c r="A481" s="1">
        <v>206.0</v>
      </c>
      <c r="B481" s="1" t="s">
        <v>16949</v>
      </c>
      <c r="E481" s="1" t="s">
        <v>16950</v>
      </c>
      <c r="F481" s="90">
        <v>45113.54349537037</v>
      </c>
      <c r="G481" s="90">
        <v>45913.9390625</v>
      </c>
      <c r="H481" s="1" t="s">
        <v>16476</v>
      </c>
    </row>
    <row r="482">
      <c r="A482" s="1">
        <v>715.0</v>
      </c>
      <c r="B482" s="1" t="s">
        <v>16951</v>
      </c>
      <c r="E482" s="1" t="s">
        <v>16950</v>
      </c>
      <c r="F482" s="90">
        <v>45113.55107638889</v>
      </c>
      <c r="G482" s="90">
        <v>45913.93849537037</v>
      </c>
      <c r="H482" s="1" t="s">
        <v>16476</v>
      </c>
    </row>
    <row r="483">
      <c r="A483" s="1">
        <v>137.0</v>
      </c>
      <c r="B483" s="1" t="s">
        <v>16952</v>
      </c>
      <c r="E483" s="1" t="s">
        <v>16481</v>
      </c>
      <c r="F483" s="90">
        <v>45113.54247685185</v>
      </c>
      <c r="G483" s="90">
        <v>45913.938055555554</v>
      </c>
      <c r="H483" s="1" t="s">
        <v>16476</v>
      </c>
    </row>
    <row r="484">
      <c r="A484" s="1">
        <v>556.0</v>
      </c>
      <c r="B484" s="1" t="s">
        <v>16953</v>
      </c>
      <c r="E484" s="1" t="s">
        <v>16630</v>
      </c>
      <c r="F484" s="90">
        <v>45113.54871527778</v>
      </c>
      <c r="G484" s="90">
        <v>45913.93753472222</v>
      </c>
      <c r="H484" s="1" t="s">
        <v>16476</v>
      </c>
    </row>
    <row r="485">
      <c r="A485" s="1">
        <v>555.0</v>
      </c>
      <c r="B485" s="1" t="s">
        <v>16953</v>
      </c>
      <c r="E485" s="1" t="s">
        <v>16630</v>
      </c>
      <c r="F485" s="90">
        <v>45113.5487037037</v>
      </c>
      <c r="G485" s="90">
        <v>45913.9372337963</v>
      </c>
      <c r="H485" s="1" t="s">
        <v>16476</v>
      </c>
    </row>
    <row r="486">
      <c r="A486" s="1">
        <v>971.0</v>
      </c>
      <c r="B486" s="1" t="s">
        <v>16954</v>
      </c>
      <c r="E486" s="1" t="s">
        <v>5202</v>
      </c>
      <c r="F486" s="90">
        <v>45113.55480324074</v>
      </c>
      <c r="G486" s="90">
        <v>45913.93665509259</v>
      </c>
      <c r="H486" s="1" t="s">
        <v>16476</v>
      </c>
    </row>
    <row r="487">
      <c r="A487" s="1">
        <v>294.0</v>
      </c>
      <c r="B487" s="1" t="s">
        <v>16955</v>
      </c>
      <c r="E487" s="1" t="s">
        <v>5202</v>
      </c>
      <c r="F487" s="90">
        <v>45113.54486111111</v>
      </c>
      <c r="G487" s="90">
        <v>45913.93565972222</v>
      </c>
      <c r="H487" s="1" t="s">
        <v>16476</v>
      </c>
    </row>
    <row r="488">
      <c r="A488" s="89">
        <v>1055.0</v>
      </c>
      <c r="B488" s="1" t="s">
        <v>16956</v>
      </c>
      <c r="E488" s="1" t="s">
        <v>5202</v>
      </c>
      <c r="F488" s="90">
        <v>45113.55604166666</v>
      </c>
      <c r="G488" s="90">
        <v>45913.93449074074</v>
      </c>
      <c r="H488" s="1" t="s">
        <v>16476</v>
      </c>
    </row>
    <row r="489">
      <c r="A489" s="89">
        <v>1166.0</v>
      </c>
      <c r="B489" s="1" t="s">
        <v>16957</v>
      </c>
      <c r="E489" s="1" t="s">
        <v>16475</v>
      </c>
      <c r="F489" s="90">
        <v>45113.55767361111</v>
      </c>
      <c r="G489" s="90">
        <v>45913.931967592594</v>
      </c>
      <c r="H489" s="1" t="s">
        <v>16476</v>
      </c>
    </row>
    <row r="490">
      <c r="A490" s="1">
        <v>902.0</v>
      </c>
      <c r="B490" s="1" t="s">
        <v>16958</v>
      </c>
      <c r="E490" s="1" t="s">
        <v>16481</v>
      </c>
      <c r="F490" s="90">
        <v>45113.55380787037</v>
      </c>
      <c r="G490" s="90">
        <v>45913.93121527778</v>
      </c>
      <c r="H490" s="1" t="s">
        <v>16476</v>
      </c>
    </row>
    <row r="491">
      <c r="A491" s="1">
        <v>77.0</v>
      </c>
      <c r="B491" s="1" t="s">
        <v>16959</v>
      </c>
      <c r="E491" s="1" t="s">
        <v>16481</v>
      </c>
      <c r="F491" s="90">
        <v>45113.54164351852</v>
      </c>
      <c r="G491" s="90">
        <v>45913.930810185186</v>
      </c>
      <c r="H491" s="1" t="s">
        <v>16476</v>
      </c>
    </row>
    <row r="492">
      <c r="A492" s="1">
        <v>69.0</v>
      </c>
      <c r="B492" s="1" t="s">
        <v>16960</v>
      </c>
      <c r="E492" s="1" t="s">
        <v>5202</v>
      </c>
      <c r="F492" s="90">
        <v>45113.5415162037</v>
      </c>
      <c r="G492" s="90">
        <v>45913.92974537037</v>
      </c>
      <c r="H492" s="1" t="s">
        <v>16476</v>
      </c>
    </row>
    <row r="493">
      <c r="A493" s="1">
        <v>128.0</v>
      </c>
      <c r="B493" s="1" t="s">
        <v>16961</v>
      </c>
      <c r="E493" s="1" t="s">
        <v>16475</v>
      </c>
      <c r="F493" s="90">
        <v>45113.542349537034</v>
      </c>
      <c r="G493" s="90">
        <v>45913.92528935185</v>
      </c>
      <c r="H493" s="1" t="s">
        <v>16476</v>
      </c>
    </row>
    <row r="494">
      <c r="A494" s="1">
        <v>59.0</v>
      </c>
      <c r="B494" s="1" t="s">
        <v>16962</v>
      </c>
      <c r="E494" s="1" t="s">
        <v>5202</v>
      </c>
      <c r="F494" s="90">
        <v>45113.541342592594</v>
      </c>
      <c r="G494" s="90">
        <v>45913.924837962964</v>
      </c>
      <c r="H494" s="1" t="s">
        <v>16476</v>
      </c>
    </row>
    <row r="495">
      <c r="A495" s="1">
        <v>339.0</v>
      </c>
      <c r="B495" s="1" t="s">
        <v>16963</v>
      </c>
      <c r="E495" s="1" t="s">
        <v>16475</v>
      </c>
      <c r="F495" s="90">
        <v>45113.54552083334</v>
      </c>
      <c r="G495" s="90">
        <v>45913.92428240741</v>
      </c>
      <c r="H495" s="1" t="s">
        <v>16476</v>
      </c>
    </row>
    <row r="496">
      <c r="A496" s="1">
        <v>714.0</v>
      </c>
      <c r="B496" s="1" t="s">
        <v>16964</v>
      </c>
      <c r="E496" s="1" t="s">
        <v>16475</v>
      </c>
      <c r="F496" s="90">
        <v>45113.55106481481</v>
      </c>
      <c r="G496" s="90">
        <v>45913.923738425925</v>
      </c>
      <c r="H496" s="1" t="s">
        <v>16476</v>
      </c>
    </row>
    <row r="497">
      <c r="A497" s="1">
        <v>469.0</v>
      </c>
      <c r="B497" s="1" t="s">
        <v>16965</v>
      </c>
      <c r="E497" s="1" t="s">
        <v>16475</v>
      </c>
      <c r="F497" s="90">
        <v>45113.54744212963</v>
      </c>
      <c r="G497" s="90">
        <v>45913.923113425924</v>
      </c>
      <c r="H497" s="1" t="s">
        <v>16476</v>
      </c>
    </row>
    <row r="498">
      <c r="A498" s="1">
        <v>170.0</v>
      </c>
      <c r="B498" s="1" t="s">
        <v>16966</v>
      </c>
      <c r="E498" s="1" t="s">
        <v>16630</v>
      </c>
      <c r="F498" s="90">
        <v>45113.542962962965</v>
      </c>
      <c r="G498" s="90">
        <v>45913.92270833333</v>
      </c>
      <c r="H498" s="1" t="s">
        <v>16476</v>
      </c>
    </row>
    <row r="499">
      <c r="A499" s="1">
        <v>589.0</v>
      </c>
      <c r="B499" s="1" t="s">
        <v>16967</v>
      </c>
      <c r="E499" s="1" t="s">
        <v>16475</v>
      </c>
      <c r="F499" s="90">
        <v>45113.54920138889</v>
      </c>
      <c r="G499" s="90">
        <v>45913.92217592592</v>
      </c>
      <c r="H499" s="1" t="s">
        <v>16476</v>
      </c>
    </row>
    <row r="500">
      <c r="A500" s="1">
        <v>433.0</v>
      </c>
      <c r="B500" s="1" t="s">
        <v>16968</v>
      </c>
      <c r="E500" s="1" t="s">
        <v>16630</v>
      </c>
      <c r="F500" s="90">
        <v>45113.5469212963</v>
      </c>
      <c r="G500" s="90">
        <v>45913.921689814815</v>
      </c>
      <c r="H500" s="1" t="s">
        <v>16476</v>
      </c>
    </row>
    <row r="501">
      <c r="A501" s="1">
        <v>690.0</v>
      </c>
      <c r="B501" s="1" t="s">
        <v>16969</v>
      </c>
      <c r="E501" s="1" t="s">
        <v>16630</v>
      </c>
      <c r="F501" s="90">
        <v>45113.55070601852</v>
      </c>
      <c r="G501" s="90">
        <v>45913.92108796296</v>
      </c>
      <c r="H501" s="1" t="s">
        <v>16476</v>
      </c>
    </row>
    <row r="502">
      <c r="A502" s="1">
        <v>723.0</v>
      </c>
      <c r="B502" s="1" t="s">
        <v>16970</v>
      </c>
      <c r="E502" s="1" t="s">
        <v>16481</v>
      </c>
      <c r="F502" s="90">
        <v>45113.55119212963</v>
      </c>
      <c r="G502" s="90">
        <v>45913.92013888889</v>
      </c>
      <c r="H502" s="1" t="s">
        <v>16476</v>
      </c>
    </row>
    <row r="503">
      <c r="A503" s="89">
        <v>1100.0</v>
      </c>
      <c r="B503" s="1" t="s">
        <v>16971</v>
      </c>
      <c r="E503" s="1" t="s">
        <v>16481</v>
      </c>
      <c r="F503" s="90">
        <v>45113.55668981482</v>
      </c>
      <c r="G503" s="90">
        <v>45913.91967592593</v>
      </c>
      <c r="H503" s="1" t="s">
        <v>16476</v>
      </c>
    </row>
    <row r="504">
      <c r="A504" s="1">
        <v>662.0</v>
      </c>
      <c r="B504" s="1" t="s">
        <v>16972</v>
      </c>
      <c r="E504" s="1" t="s">
        <v>16475</v>
      </c>
      <c r="F504" s="90">
        <v>45113.55027777778</v>
      </c>
      <c r="G504" s="90">
        <v>45913.91908564815</v>
      </c>
      <c r="H504" s="1" t="s">
        <v>16476</v>
      </c>
    </row>
    <row r="505">
      <c r="A505" s="1">
        <v>273.0</v>
      </c>
      <c r="B505" s="1" t="s">
        <v>16973</v>
      </c>
      <c r="E505" s="1" t="s">
        <v>5202</v>
      </c>
      <c r="F505" s="90">
        <v>45113.54452546296</v>
      </c>
      <c r="G505" s="90">
        <v>45913.91849537037</v>
      </c>
      <c r="H505" s="1" t="s">
        <v>16476</v>
      </c>
    </row>
    <row r="506">
      <c r="A506" s="1">
        <v>60.0</v>
      </c>
      <c r="B506" s="1" t="s">
        <v>16974</v>
      </c>
      <c r="E506" s="1" t="s">
        <v>16481</v>
      </c>
      <c r="F506" s="90">
        <v>45113.541354166664</v>
      </c>
      <c r="G506" s="90">
        <v>45913.91744212963</v>
      </c>
      <c r="H506" s="1" t="s">
        <v>16476</v>
      </c>
    </row>
    <row r="507">
      <c r="A507" s="1">
        <v>178.0</v>
      </c>
      <c r="B507" s="1" t="s">
        <v>16975</v>
      </c>
      <c r="E507" s="1" t="s">
        <v>5202</v>
      </c>
      <c r="F507" s="90">
        <v>45113.54309027778</v>
      </c>
      <c r="G507" s="90">
        <v>45913.91704861111</v>
      </c>
      <c r="H507" s="1" t="s">
        <v>16476</v>
      </c>
    </row>
    <row r="508">
      <c r="A508" s="1">
        <v>632.0</v>
      </c>
      <c r="B508" s="1" t="s">
        <v>16976</v>
      </c>
      <c r="E508" s="1" t="s">
        <v>5202</v>
      </c>
      <c r="F508" s="90">
        <v>45113.549837962964</v>
      </c>
      <c r="G508" s="90">
        <v>45913.91668981482</v>
      </c>
      <c r="H508" s="1" t="s">
        <v>16476</v>
      </c>
    </row>
    <row r="509">
      <c r="A509" s="1">
        <v>229.0</v>
      </c>
      <c r="B509" s="1" t="s">
        <v>16977</v>
      </c>
      <c r="E509" s="1" t="s">
        <v>5202</v>
      </c>
      <c r="F509" s="90">
        <v>45113.54386574074</v>
      </c>
      <c r="G509" s="90">
        <v>45913.91637731482</v>
      </c>
      <c r="H509" s="1" t="s">
        <v>16476</v>
      </c>
    </row>
    <row r="510">
      <c r="A510" s="1">
        <v>377.0</v>
      </c>
      <c r="B510" s="1" t="s">
        <v>16978</v>
      </c>
      <c r="E510" s="1" t="s">
        <v>5202</v>
      </c>
      <c r="F510" s="90">
        <v>45113.54607638889</v>
      </c>
      <c r="G510" s="90">
        <v>45913.9159375</v>
      </c>
      <c r="H510" s="1" t="s">
        <v>16476</v>
      </c>
    </row>
    <row r="511">
      <c r="A511" s="89">
        <v>1201.0</v>
      </c>
      <c r="B511" s="1" t="s">
        <v>16979</v>
      </c>
      <c r="E511" s="1" t="s">
        <v>5202</v>
      </c>
      <c r="F511" s="90">
        <v>45113.55818287037</v>
      </c>
      <c r="G511" s="90">
        <v>45913.91541666666</v>
      </c>
      <c r="H511" s="1" t="s">
        <v>16476</v>
      </c>
    </row>
    <row r="512">
      <c r="A512" s="89">
        <v>1005.0</v>
      </c>
      <c r="B512" s="1" t="s">
        <v>16980</v>
      </c>
      <c r="E512" s="1" t="s">
        <v>5202</v>
      </c>
      <c r="F512" s="90">
        <v>45113.555300925924</v>
      </c>
      <c r="G512" s="90">
        <v>45913.91491898148</v>
      </c>
      <c r="H512" s="1" t="s">
        <v>16476</v>
      </c>
    </row>
    <row r="513">
      <c r="A513" s="1">
        <v>759.0</v>
      </c>
      <c r="B513" s="1" t="s">
        <v>16981</v>
      </c>
      <c r="E513" s="1" t="s">
        <v>5202</v>
      </c>
      <c r="F513" s="90">
        <v>45113.551712962966</v>
      </c>
      <c r="G513" s="90">
        <v>45913.86237268519</v>
      </c>
      <c r="H513" s="1" t="s">
        <v>16476</v>
      </c>
    </row>
    <row r="514">
      <c r="A514" s="1">
        <v>121.0</v>
      </c>
      <c r="B514" s="1" t="s">
        <v>16982</v>
      </c>
      <c r="E514" s="1" t="s">
        <v>5202</v>
      </c>
      <c r="F514" s="90">
        <v>45113.54224537037</v>
      </c>
      <c r="G514" s="90">
        <v>45913.86179398148</v>
      </c>
      <c r="H514" s="1" t="s">
        <v>16476</v>
      </c>
    </row>
    <row r="515">
      <c r="A515" s="1">
        <v>122.0</v>
      </c>
      <c r="B515" s="1" t="s">
        <v>16983</v>
      </c>
      <c r="E515" s="1" t="s">
        <v>5202</v>
      </c>
      <c r="F515" s="90">
        <v>45113.54225694444</v>
      </c>
      <c r="G515" s="90">
        <v>45913.861550925925</v>
      </c>
      <c r="H515" s="1" t="s">
        <v>16476</v>
      </c>
    </row>
    <row r="516">
      <c r="A516" s="1">
        <v>531.0</v>
      </c>
      <c r="B516" s="1" t="s">
        <v>16984</v>
      </c>
      <c r="E516" s="1" t="s">
        <v>5202</v>
      </c>
      <c r="F516" s="90">
        <v>45113.54834490741</v>
      </c>
      <c r="G516" s="90">
        <v>45913.86127314815</v>
      </c>
      <c r="H516" s="1" t="s">
        <v>16476</v>
      </c>
    </row>
    <row r="517">
      <c r="A517" s="1">
        <v>328.0</v>
      </c>
      <c r="B517" s="1" t="s">
        <v>16985</v>
      </c>
      <c r="E517" s="1" t="s">
        <v>5202</v>
      </c>
      <c r="F517" s="90">
        <v>45113.54537037037</v>
      </c>
      <c r="G517" s="90">
        <v>45913.86074074074</v>
      </c>
      <c r="H517" s="1" t="s">
        <v>16476</v>
      </c>
    </row>
    <row r="518">
      <c r="A518" s="1">
        <v>813.0</v>
      </c>
      <c r="B518" s="1" t="s">
        <v>16986</v>
      </c>
      <c r="E518" s="1" t="s">
        <v>5202</v>
      </c>
      <c r="F518" s="90">
        <v>45113.5525</v>
      </c>
      <c r="G518" s="90">
        <v>45913.859872685185</v>
      </c>
      <c r="H518" s="1" t="s">
        <v>16476</v>
      </c>
    </row>
    <row r="519">
      <c r="A519" s="89">
        <v>1108.0</v>
      </c>
      <c r="B519" s="1" t="s">
        <v>16987</v>
      </c>
      <c r="E519" s="1" t="s">
        <v>5202</v>
      </c>
      <c r="F519" s="90">
        <v>45113.556805555556</v>
      </c>
      <c r="G519" s="90">
        <v>45913.85951388889</v>
      </c>
      <c r="H519" s="1" t="s">
        <v>16476</v>
      </c>
    </row>
    <row r="520">
      <c r="A520" s="1">
        <v>980.0</v>
      </c>
      <c r="B520" s="1" t="s">
        <v>16988</v>
      </c>
      <c r="E520" s="1" t="s">
        <v>5202</v>
      </c>
      <c r="F520" s="90">
        <v>45113.55494212963</v>
      </c>
      <c r="G520" s="90">
        <v>45913.8591087963</v>
      </c>
      <c r="H520" s="1" t="s">
        <v>16476</v>
      </c>
    </row>
    <row r="521">
      <c r="A521" s="1">
        <v>119.0</v>
      </c>
      <c r="B521" s="1" t="s">
        <v>16989</v>
      </c>
      <c r="E521" s="1" t="s">
        <v>5202</v>
      </c>
      <c r="F521" s="90">
        <v>45113.54221064815</v>
      </c>
      <c r="G521" s="90">
        <v>45913.858715277776</v>
      </c>
      <c r="H521" s="1" t="s">
        <v>16476</v>
      </c>
    </row>
    <row r="522">
      <c r="A522" s="1">
        <v>532.0</v>
      </c>
      <c r="B522" s="1" t="s">
        <v>16990</v>
      </c>
      <c r="E522" s="1" t="s">
        <v>5202</v>
      </c>
      <c r="F522" s="90">
        <v>45113.548368055555</v>
      </c>
      <c r="G522" s="90">
        <v>45913.858090277776</v>
      </c>
      <c r="H522" s="1" t="s">
        <v>16476</v>
      </c>
    </row>
    <row r="523">
      <c r="A523" s="1">
        <v>343.0</v>
      </c>
      <c r="B523" s="1" t="s">
        <v>16991</v>
      </c>
      <c r="E523" s="1" t="s">
        <v>5202</v>
      </c>
      <c r="F523" s="90">
        <v>45113.545578703706</v>
      </c>
      <c r="G523" s="90">
        <v>45913.857395833336</v>
      </c>
      <c r="H523" s="1" t="s">
        <v>16476</v>
      </c>
    </row>
    <row r="524">
      <c r="A524" s="89">
        <v>1001.0</v>
      </c>
      <c r="B524" s="1" t="s">
        <v>16992</v>
      </c>
      <c r="E524" s="1" t="s">
        <v>5202</v>
      </c>
      <c r="F524" s="90">
        <v>45113.555243055554</v>
      </c>
      <c r="G524" s="90">
        <v>45913.85704861111</v>
      </c>
      <c r="H524" s="1" t="s">
        <v>16476</v>
      </c>
    </row>
    <row r="525">
      <c r="A525" s="1">
        <v>941.0</v>
      </c>
      <c r="B525" s="1" t="s">
        <v>16993</v>
      </c>
      <c r="E525" s="1" t="s">
        <v>16475</v>
      </c>
      <c r="F525" s="90">
        <v>45113.55436342592</v>
      </c>
      <c r="G525" s="90">
        <v>45913.85439814815</v>
      </c>
      <c r="H525" s="1" t="s">
        <v>16476</v>
      </c>
    </row>
    <row r="526">
      <c r="A526" s="1">
        <v>820.0</v>
      </c>
      <c r="B526" s="1" t="s">
        <v>16994</v>
      </c>
      <c r="E526" s="1" t="s">
        <v>16475</v>
      </c>
      <c r="F526" s="90">
        <v>45113.55260416667</v>
      </c>
      <c r="G526" s="90">
        <v>45913.85380787037</v>
      </c>
      <c r="H526" s="1" t="s">
        <v>16476</v>
      </c>
    </row>
    <row r="527">
      <c r="A527" s="1">
        <v>530.0</v>
      </c>
      <c r="B527" s="1" t="s">
        <v>16995</v>
      </c>
      <c r="E527" s="1" t="s">
        <v>16481</v>
      </c>
      <c r="F527" s="90">
        <v>45113.54833333333</v>
      </c>
      <c r="G527" s="90">
        <v>45913.853171296294</v>
      </c>
      <c r="H527" s="1" t="s">
        <v>16476</v>
      </c>
    </row>
    <row r="528">
      <c r="A528" s="1">
        <v>716.0</v>
      </c>
      <c r="B528" s="1" t="s">
        <v>16996</v>
      </c>
      <c r="E528" s="1" t="s">
        <v>16481</v>
      </c>
      <c r="F528" s="90">
        <v>45113.551087962966</v>
      </c>
      <c r="G528" s="90">
        <v>45913.852847222224</v>
      </c>
      <c r="H528" s="1" t="s">
        <v>16476</v>
      </c>
    </row>
    <row r="529">
      <c r="A529" s="1">
        <v>38.0</v>
      </c>
      <c r="B529" s="1" t="s">
        <v>16997</v>
      </c>
      <c r="E529" s="1" t="s">
        <v>16481</v>
      </c>
      <c r="F529" s="90">
        <v>45113.541030092594</v>
      </c>
      <c r="G529" s="90">
        <v>45913.85229166667</v>
      </c>
      <c r="H529" s="1" t="s">
        <v>16476</v>
      </c>
    </row>
    <row r="530">
      <c r="A530" s="1">
        <v>34.0</v>
      </c>
      <c r="B530" s="1" t="s">
        <v>16998</v>
      </c>
      <c r="E530" s="1" t="s">
        <v>5202</v>
      </c>
      <c r="F530" s="90">
        <v>45113.540972222225</v>
      </c>
      <c r="G530" s="90">
        <v>45913.85204861111</v>
      </c>
      <c r="H530" s="1" t="s">
        <v>16476</v>
      </c>
    </row>
    <row r="531">
      <c r="A531" s="1">
        <v>68.0</v>
      </c>
      <c r="B531" s="1" t="s">
        <v>16999</v>
      </c>
      <c r="E531" s="1" t="s">
        <v>5202</v>
      </c>
      <c r="F531" s="90">
        <v>45113.54150462963</v>
      </c>
      <c r="G531" s="90">
        <v>45913.85175925926</v>
      </c>
      <c r="H531" s="1" t="s">
        <v>16476</v>
      </c>
    </row>
    <row r="532">
      <c r="A532" s="1">
        <v>40.0</v>
      </c>
      <c r="B532" s="1" t="s">
        <v>17000</v>
      </c>
      <c r="E532" s="1" t="s">
        <v>5202</v>
      </c>
      <c r="F532" s="90">
        <v>45113.54106481482</v>
      </c>
      <c r="G532" s="90">
        <v>45913.85150462963</v>
      </c>
      <c r="H532" s="1" t="s">
        <v>16476</v>
      </c>
    </row>
    <row r="533">
      <c r="A533" s="1">
        <v>45.0</v>
      </c>
      <c r="B533" s="1" t="s">
        <v>17001</v>
      </c>
      <c r="E533" s="1" t="s">
        <v>5202</v>
      </c>
      <c r="F533" s="90">
        <v>45113.541134259256</v>
      </c>
      <c r="G533" s="90">
        <v>45913.85123842592</v>
      </c>
      <c r="H533" s="1" t="s">
        <v>16476</v>
      </c>
    </row>
    <row r="534">
      <c r="A534" s="1">
        <v>39.0</v>
      </c>
      <c r="B534" s="1" t="s">
        <v>17002</v>
      </c>
      <c r="E534" s="1" t="s">
        <v>16481</v>
      </c>
      <c r="F534" s="90">
        <v>45113.54105324074</v>
      </c>
      <c r="G534" s="90">
        <v>45913.850949074076</v>
      </c>
      <c r="H534" s="1" t="s">
        <v>16476</v>
      </c>
    </row>
    <row r="535">
      <c r="A535" s="1">
        <v>329.0</v>
      </c>
      <c r="B535" s="1" t="s">
        <v>17003</v>
      </c>
      <c r="E535" s="1" t="s">
        <v>5202</v>
      </c>
      <c r="F535" s="90">
        <v>45113.545381944445</v>
      </c>
      <c r="G535" s="90">
        <v>45913.85041666667</v>
      </c>
      <c r="H535" s="1" t="s">
        <v>16476</v>
      </c>
    </row>
    <row r="536">
      <c r="A536" s="1">
        <v>49.0</v>
      </c>
      <c r="B536" s="1" t="s">
        <v>17004</v>
      </c>
      <c r="E536" s="1" t="s">
        <v>5202</v>
      </c>
      <c r="F536" s="90">
        <v>45113.54119212963</v>
      </c>
      <c r="G536" s="90">
        <v>45913.84983796296</v>
      </c>
      <c r="H536" s="1" t="s">
        <v>16476</v>
      </c>
    </row>
    <row r="537">
      <c r="A537" s="1">
        <v>44.0</v>
      </c>
      <c r="B537" s="1" t="s">
        <v>17005</v>
      </c>
      <c r="E537" s="1" t="s">
        <v>5202</v>
      </c>
      <c r="F537" s="90">
        <v>45113.54112268519</v>
      </c>
      <c r="G537" s="90">
        <v>45913.849328703705</v>
      </c>
      <c r="H537" s="1" t="s">
        <v>16476</v>
      </c>
    </row>
    <row r="538">
      <c r="A538" s="1">
        <v>56.0</v>
      </c>
      <c r="B538" s="1" t="s">
        <v>17006</v>
      </c>
      <c r="E538" s="1" t="s">
        <v>5202</v>
      </c>
      <c r="F538" s="90">
        <v>45113.541296296295</v>
      </c>
      <c r="G538" s="90">
        <v>45913.848657407405</v>
      </c>
      <c r="H538" s="1" t="s">
        <v>16476</v>
      </c>
    </row>
    <row r="539">
      <c r="A539" s="1">
        <v>477.0</v>
      </c>
      <c r="B539" s="1" t="s">
        <v>17007</v>
      </c>
      <c r="E539" s="1" t="s">
        <v>5202</v>
      </c>
      <c r="F539" s="90">
        <v>45113.54755787037</v>
      </c>
      <c r="G539" s="90">
        <v>45913.848333333335</v>
      </c>
      <c r="H539" s="1" t="s">
        <v>16476</v>
      </c>
    </row>
    <row r="540">
      <c r="A540" s="1">
        <v>788.0</v>
      </c>
      <c r="B540" s="1" t="s">
        <v>17008</v>
      </c>
      <c r="E540" s="1" t="s">
        <v>16481</v>
      </c>
      <c r="F540" s="90">
        <v>45113.552141203705</v>
      </c>
      <c r="G540" s="90">
        <v>45913.84809027778</v>
      </c>
      <c r="H540" s="1" t="s">
        <v>16476</v>
      </c>
    </row>
    <row r="541">
      <c r="A541" s="1">
        <v>473.0</v>
      </c>
      <c r="B541" s="1" t="s">
        <v>17009</v>
      </c>
      <c r="E541" s="1" t="s">
        <v>16481</v>
      </c>
      <c r="F541" s="90">
        <v>45113.5475</v>
      </c>
      <c r="G541" s="90">
        <v>45913.84731481481</v>
      </c>
      <c r="H541" s="1" t="s">
        <v>16476</v>
      </c>
    </row>
    <row r="542">
      <c r="A542" s="89">
        <v>1131.0</v>
      </c>
      <c r="B542" s="1" t="s">
        <v>17010</v>
      </c>
      <c r="E542" s="1" t="s">
        <v>16481</v>
      </c>
      <c r="F542" s="90">
        <v>45113.55715277778</v>
      </c>
      <c r="G542" s="90">
        <v>45913.84704861111</v>
      </c>
      <c r="H542" s="1" t="s">
        <v>16476</v>
      </c>
    </row>
    <row r="543">
      <c r="A543" s="1">
        <v>244.0</v>
      </c>
      <c r="B543" s="1" t="s">
        <v>17011</v>
      </c>
      <c r="E543" s="1" t="s">
        <v>16481</v>
      </c>
      <c r="F543" s="90">
        <v>45113.54408564815</v>
      </c>
      <c r="G543" s="90">
        <v>45913.84631944444</v>
      </c>
      <c r="H543" s="1" t="s">
        <v>16476</v>
      </c>
    </row>
    <row r="544">
      <c r="A544" s="1">
        <v>393.0</v>
      </c>
      <c r="B544" s="1" t="s">
        <v>17012</v>
      </c>
      <c r="E544" s="1" t="s">
        <v>5202</v>
      </c>
      <c r="F544" s="90">
        <v>45113.546331018515</v>
      </c>
      <c r="G544" s="90">
        <v>45913.84600694444</v>
      </c>
      <c r="H544" s="1" t="s">
        <v>16476</v>
      </c>
    </row>
    <row r="545">
      <c r="A545" s="1">
        <v>835.0</v>
      </c>
      <c r="B545" s="1" t="s">
        <v>17013</v>
      </c>
      <c r="E545" s="1" t="s">
        <v>16481</v>
      </c>
      <c r="F545" s="90">
        <v>45113.552824074075</v>
      </c>
      <c r="G545" s="90">
        <v>45913.84576388889</v>
      </c>
      <c r="H545" s="1" t="s">
        <v>16476</v>
      </c>
    </row>
    <row r="546">
      <c r="A546" s="89">
        <v>1172.0</v>
      </c>
      <c r="B546" s="1" t="s">
        <v>17014</v>
      </c>
      <c r="E546" s="1" t="s">
        <v>5202</v>
      </c>
      <c r="F546" s="90">
        <v>45113.5577662037</v>
      </c>
      <c r="G546" s="90">
        <v>45913.84546296296</v>
      </c>
      <c r="H546" s="1" t="s">
        <v>16476</v>
      </c>
    </row>
    <row r="547">
      <c r="A547" s="1">
        <v>251.0</v>
      </c>
      <c r="B547" s="1" t="s">
        <v>17015</v>
      </c>
      <c r="E547" s="1" t="s">
        <v>5202</v>
      </c>
      <c r="F547" s="90">
        <v>45113.54418981481</v>
      </c>
      <c r="G547" s="90">
        <v>45913.84519675926</v>
      </c>
      <c r="H547" s="1" t="s">
        <v>16476</v>
      </c>
    </row>
    <row r="548">
      <c r="A548" s="89">
        <v>1020.0</v>
      </c>
      <c r="B548" s="1" t="s">
        <v>17016</v>
      </c>
      <c r="E548" s="1" t="s">
        <v>5202</v>
      </c>
      <c r="F548" s="90">
        <v>45113.55552083333</v>
      </c>
      <c r="G548" s="90">
        <v>45913.844618055555</v>
      </c>
      <c r="H548" s="1" t="s">
        <v>16476</v>
      </c>
    </row>
    <row r="549">
      <c r="A549" s="1">
        <v>57.0</v>
      </c>
      <c r="B549" s="1" t="s">
        <v>17017</v>
      </c>
      <c r="E549" s="1" t="s">
        <v>5202</v>
      </c>
      <c r="F549" s="90">
        <v>45113.54131944444</v>
      </c>
      <c r="G549" s="90">
        <v>45913.843981481485</v>
      </c>
      <c r="H549" s="1" t="s">
        <v>16476</v>
      </c>
    </row>
    <row r="550">
      <c r="A550" s="1">
        <v>37.0</v>
      </c>
      <c r="B550" s="1" t="s">
        <v>17018</v>
      </c>
      <c r="E550" s="1" t="s">
        <v>5202</v>
      </c>
      <c r="F550" s="90">
        <v>45113.54101851852</v>
      </c>
      <c r="G550" s="90">
        <v>45913.84076388889</v>
      </c>
      <c r="H550" s="1" t="s">
        <v>16476</v>
      </c>
    </row>
    <row r="551">
      <c r="A551" s="1">
        <v>332.0</v>
      </c>
      <c r="B551" s="1" t="s">
        <v>17019</v>
      </c>
      <c r="E551" s="1" t="s">
        <v>16475</v>
      </c>
      <c r="F551" s="90">
        <v>45113.54542824074</v>
      </c>
      <c r="G551" s="90">
        <v>45913.840150462966</v>
      </c>
      <c r="H551" s="1" t="s">
        <v>16476</v>
      </c>
    </row>
    <row r="552">
      <c r="A552" s="1">
        <v>457.0</v>
      </c>
      <c r="B552" s="1" t="s">
        <v>17020</v>
      </c>
      <c r="E552" s="1" t="s">
        <v>16481</v>
      </c>
      <c r="F552" s="90">
        <v>45113.547268518516</v>
      </c>
      <c r="G552" s="90">
        <v>45913.8384375</v>
      </c>
      <c r="H552" s="1" t="s">
        <v>16476</v>
      </c>
    </row>
    <row r="553">
      <c r="A553" s="1">
        <v>533.0</v>
      </c>
      <c r="B553" s="1" t="s">
        <v>17021</v>
      </c>
      <c r="E553" s="1" t="s">
        <v>5202</v>
      </c>
      <c r="F553" s="90">
        <v>45113.54837962963</v>
      </c>
      <c r="G553" s="90">
        <v>45913.838159722225</v>
      </c>
      <c r="H553" s="1" t="s">
        <v>16476</v>
      </c>
    </row>
    <row r="554">
      <c r="A554" s="1">
        <v>491.0</v>
      </c>
      <c r="B554" s="1" t="s">
        <v>17022</v>
      </c>
      <c r="E554" s="1" t="s">
        <v>16475</v>
      </c>
      <c r="F554" s="90">
        <v>45113.5477662037</v>
      </c>
      <c r="G554" s="90">
        <v>45913.83675925926</v>
      </c>
      <c r="H554" s="1" t="s">
        <v>16476</v>
      </c>
    </row>
    <row r="555">
      <c r="A555" s="1">
        <v>506.0</v>
      </c>
      <c r="B555" s="1" t="s">
        <v>17023</v>
      </c>
      <c r="E555" s="1" t="s">
        <v>16481</v>
      </c>
      <c r="F555" s="90">
        <v>45113.54798611111</v>
      </c>
      <c r="G555" s="90">
        <v>45913.836122685185</v>
      </c>
      <c r="H555" s="1" t="s">
        <v>16476</v>
      </c>
    </row>
    <row r="556">
      <c r="A556" s="1">
        <v>558.0</v>
      </c>
      <c r="B556" s="1" t="s">
        <v>17024</v>
      </c>
      <c r="E556" s="1" t="s">
        <v>16481</v>
      </c>
      <c r="F556" s="90">
        <v>45113.54875</v>
      </c>
      <c r="G556" s="90">
        <v>45913.8358912037</v>
      </c>
      <c r="H556" s="1" t="s">
        <v>16476</v>
      </c>
    </row>
    <row r="557">
      <c r="A557" s="1">
        <v>120.0</v>
      </c>
      <c r="B557" s="1" t="s">
        <v>17025</v>
      </c>
      <c r="E557" s="1" t="s">
        <v>5202</v>
      </c>
      <c r="F557" s="90">
        <v>45113.542233796295</v>
      </c>
      <c r="G557" s="90">
        <v>45913.83561342592</v>
      </c>
      <c r="H557" s="1" t="s">
        <v>16476</v>
      </c>
    </row>
    <row r="558">
      <c r="A558" s="1">
        <v>607.0</v>
      </c>
      <c r="B558" s="1" t="s">
        <v>17026</v>
      </c>
      <c r="E558" s="1" t="s">
        <v>5202</v>
      </c>
      <c r="F558" s="90">
        <v>45113.54945601852</v>
      </c>
      <c r="G558" s="90">
        <v>45913.83503472222</v>
      </c>
      <c r="H558" s="1" t="s">
        <v>16476</v>
      </c>
    </row>
    <row r="559">
      <c r="A559" s="1">
        <v>711.0</v>
      </c>
      <c r="B559" s="1" t="s">
        <v>17027</v>
      </c>
      <c r="E559" s="1" t="s">
        <v>5202</v>
      </c>
      <c r="F559" s="90">
        <v>45113.55101851852</v>
      </c>
      <c r="G559" s="90">
        <v>45913.834756944445</v>
      </c>
      <c r="H559" s="1" t="s">
        <v>16476</v>
      </c>
    </row>
    <row r="560">
      <c r="A560" s="1">
        <v>327.0</v>
      </c>
      <c r="B560" s="1" t="s">
        <v>17028</v>
      </c>
      <c r="E560" s="1" t="s">
        <v>5202</v>
      </c>
      <c r="F560" s="90">
        <v>45113.54534722222</v>
      </c>
      <c r="G560" s="90">
        <v>45913.83446759259</v>
      </c>
      <c r="H560" s="1" t="s">
        <v>16476</v>
      </c>
    </row>
    <row r="561">
      <c r="A561" s="1">
        <v>907.0</v>
      </c>
      <c r="B561" s="1" t="s">
        <v>17029</v>
      </c>
      <c r="E561" s="1" t="s">
        <v>5202</v>
      </c>
      <c r="F561" s="90">
        <v>45113.553877314815</v>
      </c>
      <c r="G561" s="90">
        <v>45913.8341087963</v>
      </c>
      <c r="H561" s="1" t="s">
        <v>16476</v>
      </c>
    </row>
    <row r="562">
      <c r="A562" s="1">
        <v>758.0</v>
      </c>
      <c r="B562" s="1" t="s">
        <v>17030</v>
      </c>
      <c r="E562" s="1" t="s">
        <v>5202</v>
      </c>
      <c r="F562" s="90">
        <v>45113.55170138889</v>
      </c>
      <c r="G562" s="90">
        <v>45913.83336805556</v>
      </c>
      <c r="H562" s="1" t="s">
        <v>16476</v>
      </c>
    </row>
    <row r="563">
      <c r="A563" s="89">
        <v>1004.0</v>
      </c>
      <c r="B563" s="1" t="s">
        <v>17031</v>
      </c>
      <c r="E563" s="1" t="s">
        <v>5202</v>
      </c>
      <c r="F563" s="90">
        <v>45113.555289351854</v>
      </c>
      <c r="G563" s="90">
        <v>45913.83293981481</v>
      </c>
      <c r="H563" s="1" t="s">
        <v>16476</v>
      </c>
    </row>
    <row r="564">
      <c r="A564" s="89">
        <v>1208.0</v>
      </c>
      <c r="B564" s="1" t="s">
        <v>17032</v>
      </c>
      <c r="E564" s="1" t="s">
        <v>5202</v>
      </c>
      <c r="F564" s="90">
        <v>45113.558287037034</v>
      </c>
      <c r="G564" s="90">
        <v>45913.83243055556</v>
      </c>
      <c r="H564" s="1" t="s">
        <v>16476</v>
      </c>
    </row>
    <row r="565">
      <c r="A565" s="1">
        <v>118.0</v>
      </c>
      <c r="B565" s="1" t="s">
        <v>17033</v>
      </c>
      <c r="E565" s="1" t="s">
        <v>5202</v>
      </c>
      <c r="F565" s="90">
        <v>45113.54219907407</v>
      </c>
      <c r="G565" s="90">
        <v>45913.83215277778</v>
      </c>
      <c r="H565" s="1" t="s">
        <v>16476</v>
      </c>
    </row>
    <row r="566">
      <c r="A566" s="1">
        <v>959.0</v>
      </c>
      <c r="B566" s="1" t="s">
        <v>17034</v>
      </c>
      <c r="E566" s="1" t="s">
        <v>16481</v>
      </c>
      <c r="F566" s="90">
        <v>45113.55462962963</v>
      </c>
      <c r="G566" s="90">
        <v>45913.83153935185</v>
      </c>
      <c r="H566" s="1" t="s">
        <v>16476</v>
      </c>
    </row>
    <row r="567">
      <c r="A567" s="89">
        <v>1222.0</v>
      </c>
      <c r="B567" s="1" t="s">
        <v>17035</v>
      </c>
      <c r="E567" s="1" t="s">
        <v>16481</v>
      </c>
      <c r="F567" s="90">
        <v>45113.558483796296</v>
      </c>
      <c r="G567" s="90">
        <v>45913.83128472222</v>
      </c>
      <c r="H567" s="1" t="s">
        <v>16476</v>
      </c>
    </row>
    <row r="568">
      <c r="A568" s="1">
        <v>504.0</v>
      </c>
      <c r="B568" s="1" t="s">
        <v>17036</v>
      </c>
      <c r="E568" s="1" t="s">
        <v>5202</v>
      </c>
      <c r="F568" s="90">
        <v>45113.547951388886</v>
      </c>
      <c r="G568" s="90">
        <v>45913.83084490741</v>
      </c>
      <c r="H568" s="1" t="s">
        <v>16476</v>
      </c>
    </row>
    <row r="569">
      <c r="A569" s="1">
        <v>760.0</v>
      </c>
      <c r="B569" s="1" t="s">
        <v>17037</v>
      </c>
      <c r="E569" s="1" t="s">
        <v>5202</v>
      </c>
      <c r="F569" s="90">
        <v>45113.55173611111</v>
      </c>
      <c r="G569" s="90">
        <v>45913.830034722225</v>
      </c>
      <c r="H569" s="1" t="s">
        <v>16476</v>
      </c>
    </row>
    <row r="570">
      <c r="A570" s="89">
        <v>1086.0</v>
      </c>
      <c r="B570" s="1" t="s">
        <v>17038</v>
      </c>
      <c r="E570" s="1" t="s">
        <v>5202</v>
      </c>
      <c r="F570" s="90">
        <v>45113.556493055556</v>
      </c>
      <c r="G570" s="90">
        <v>45913.82979166666</v>
      </c>
      <c r="H570" s="1" t="s">
        <v>16476</v>
      </c>
    </row>
    <row r="571">
      <c r="A571" s="1">
        <v>609.0</v>
      </c>
      <c r="B571" s="1" t="s">
        <v>17039</v>
      </c>
      <c r="E571" s="1" t="s">
        <v>5202</v>
      </c>
      <c r="F571" s="90">
        <v>45113.54949074074</v>
      </c>
      <c r="G571" s="90">
        <v>45913.829560185186</v>
      </c>
      <c r="H571" s="1" t="s">
        <v>16476</v>
      </c>
    </row>
    <row r="572">
      <c r="A572" s="1">
        <v>961.0</v>
      </c>
      <c r="B572" s="1" t="s">
        <v>17040</v>
      </c>
      <c r="E572" s="1" t="s">
        <v>5202</v>
      </c>
      <c r="F572" s="90">
        <v>45113.554664351854</v>
      </c>
      <c r="G572" s="90">
        <v>45913.829305555555</v>
      </c>
      <c r="H572" s="1" t="s">
        <v>16476</v>
      </c>
    </row>
    <row r="573">
      <c r="A573" s="1">
        <v>608.0</v>
      </c>
      <c r="B573" s="1" t="s">
        <v>17041</v>
      </c>
      <c r="E573" s="1" t="s">
        <v>5202</v>
      </c>
      <c r="F573" s="90">
        <v>45113.549479166664</v>
      </c>
      <c r="G573" s="90">
        <v>45913.82908564815</v>
      </c>
      <c r="H573" s="1" t="s">
        <v>16476</v>
      </c>
    </row>
    <row r="574">
      <c r="A574" s="1">
        <v>673.0</v>
      </c>
      <c r="B574" s="1" t="s">
        <v>17042</v>
      </c>
      <c r="E574" s="1" t="s">
        <v>16481</v>
      </c>
      <c r="F574" s="90">
        <v>45113.55043981481</v>
      </c>
      <c r="G574" s="90">
        <v>45913.82881944445</v>
      </c>
      <c r="H574" s="1" t="s">
        <v>16476</v>
      </c>
    </row>
    <row r="575">
      <c r="A575" s="89">
        <v>1115.0</v>
      </c>
      <c r="B575" s="1" t="s">
        <v>17043</v>
      </c>
      <c r="E575" s="1" t="s">
        <v>16481</v>
      </c>
      <c r="F575" s="90">
        <v>45113.556909722225</v>
      </c>
      <c r="G575" s="90">
        <v>45913.82858796296</v>
      </c>
      <c r="H575" s="1" t="s">
        <v>16476</v>
      </c>
    </row>
    <row r="576">
      <c r="A576" s="1">
        <v>890.0</v>
      </c>
      <c r="B576" s="1" t="s">
        <v>17044</v>
      </c>
      <c r="E576" s="1" t="s">
        <v>16481</v>
      </c>
      <c r="F576" s="90">
        <v>45113.553622685184</v>
      </c>
      <c r="G576" s="90">
        <v>45913.82809027778</v>
      </c>
      <c r="H576" s="1" t="s">
        <v>16476</v>
      </c>
    </row>
    <row r="577">
      <c r="A577" s="1">
        <v>872.0</v>
      </c>
      <c r="B577" s="1" t="s">
        <v>17045</v>
      </c>
      <c r="E577" s="1" t="s">
        <v>16481</v>
      </c>
      <c r="F577" s="90">
        <v>45113.55336805555</v>
      </c>
      <c r="G577" s="90">
        <v>45913.827418981484</v>
      </c>
      <c r="H577" s="1" t="s">
        <v>16476</v>
      </c>
    </row>
    <row r="578">
      <c r="A578" s="1">
        <v>537.0</v>
      </c>
      <c r="B578" s="1" t="s">
        <v>17046</v>
      </c>
      <c r="E578" s="1" t="s">
        <v>16481</v>
      </c>
      <c r="F578" s="90">
        <v>45113.5484375</v>
      </c>
      <c r="G578" s="90">
        <v>45913.82716435185</v>
      </c>
      <c r="H578" s="1" t="s">
        <v>16476</v>
      </c>
    </row>
    <row r="579">
      <c r="A579" s="1">
        <v>456.0</v>
      </c>
      <c r="B579" s="1" t="s">
        <v>17047</v>
      </c>
      <c r="E579" s="1" t="s">
        <v>16481</v>
      </c>
      <c r="F579" s="90">
        <v>45113.54725694445</v>
      </c>
      <c r="G579" s="90">
        <v>45913.8269212963</v>
      </c>
      <c r="H579" s="1" t="s">
        <v>16476</v>
      </c>
    </row>
    <row r="580">
      <c r="A580" s="1">
        <v>191.0</v>
      </c>
      <c r="B580" s="1" t="s">
        <v>17048</v>
      </c>
      <c r="E580" s="1" t="s">
        <v>16481</v>
      </c>
      <c r="F580" s="90">
        <v>45113.543275462966</v>
      </c>
      <c r="G580" s="90">
        <v>45913.8265625</v>
      </c>
      <c r="H580" s="1" t="s">
        <v>16476</v>
      </c>
    </row>
    <row r="581">
      <c r="A581" s="1">
        <v>543.0</v>
      </c>
      <c r="B581" s="1" t="s">
        <v>17049</v>
      </c>
      <c r="E581" s="1" t="s">
        <v>16481</v>
      </c>
      <c r="F581" s="90">
        <v>45113.548530092594</v>
      </c>
      <c r="G581" s="90">
        <v>45913.82628472222</v>
      </c>
      <c r="H581" s="1" t="s">
        <v>16476</v>
      </c>
    </row>
    <row r="582">
      <c r="A582" s="1">
        <v>882.0</v>
      </c>
      <c r="B582" s="1" t="s">
        <v>17050</v>
      </c>
      <c r="E582" s="1" t="s">
        <v>16481</v>
      </c>
      <c r="F582" s="90">
        <v>45113.553506944445</v>
      </c>
      <c r="G582" s="90">
        <v>45913.825578703705</v>
      </c>
      <c r="H582" s="1" t="s">
        <v>16476</v>
      </c>
    </row>
    <row r="583">
      <c r="A583" s="1">
        <v>869.0</v>
      </c>
      <c r="B583" s="1" t="s">
        <v>17051</v>
      </c>
      <c r="E583" s="1" t="s">
        <v>16481</v>
      </c>
      <c r="F583" s="90">
        <v>45113.55332175926</v>
      </c>
      <c r="G583" s="90">
        <v>45913.825219907405</v>
      </c>
      <c r="H583" s="1" t="s">
        <v>16476</v>
      </c>
    </row>
    <row r="584">
      <c r="A584" s="89">
        <v>1161.0</v>
      </c>
      <c r="B584" s="1" t="s">
        <v>17052</v>
      </c>
      <c r="E584" s="1" t="s">
        <v>5202</v>
      </c>
      <c r="F584" s="90">
        <v>45113.557604166665</v>
      </c>
      <c r="G584" s="90">
        <v>45913.825</v>
      </c>
      <c r="H584" s="1" t="s">
        <v>16476</v>
      </c>
    </row>
    <row r="585">
      <c r="A585" s="1">
        <v>802.0</v>
      </c>
      <c r="B585" s="1" t="s">
        <v>17053</v>
      </c>
      <c r="E585" s="1" t="s">
        <v>16481</v>
      </c>
      <c r="F585" s="90">
        <v>45113.55233796296</v>
      </c>
      <c r="G585" s="90">
        <v>45913.82423611111</v>
      </c>
      <c r="H585" s="1" t="s">
        <v>16476</v>
      </c>
    </row>
    <row r="586">
      <c r="A586" s="89">
        <v>1133.0</v>
      </c>
      <c r="B586" s="1" t="s">
        <v>17054</v>
      </c>
      <c r="E586" s="1" t="s">
        <v>16481</v>
      </c>
      <c r="F586" s="90">
        <v>45113.557175925926</v>
      </c>
      <c r="G586" s="90">
        <v>45913.823645833334</v>
      </c>
      <c r="H586" s="1" t="s">
        <v>16476</v>
      </c>
    </row>
    <row r="587">
      <c r="A587" s="1">
        <v>186.0</v>
      </c>
      <c r="B587" s="1" t="s">
        <v>17055</v>
      </c>
      <c r="E587" s="1" t="s">
        <v>16481</v>
      </c>
      <c r="F587" s="90">
        <v>45113.54320601852</v>
      </c>
      <c r="G587" s="90">
        <v>45913.81790509259</v>
      </c>
      <c r="H587" s="1" t="s">
        <v>16476</v>
      </c>
    </row>
    <row r="588">
      <c r="A588" s="1">
        <v>741.0</v>
      </c>
      <c r="B588" s="1" t="s">
        <v>17056</v>
      </c>
      <c r="E588" s="1" t="s">
        <v>16481</v>
      </c>
      <c r="F588" s="90">
        <v>45113.551458333335</v>
      </c>
      <c r="G588" s="90">
        <v>45913.817337962966</v>
      </c>
      <c r="H588" s="1" t="s">
        <v>16476</v>
      </c>
    </row>
    <row r="589">
      <c r="A589" s="1">
        <v>997.0</v>
      </c>
      <c r="B589" s="1" t="s">
        <v>17057</v>
      </c>
      <c r="E589" s="1" t="s">
        <v>16481</v>
      </c>
      <c r="F589" s="90">
        <v>45113.555185185185</v>
      </c>
      <c r="G589" s="90">
        <v>45913.817083333335</v>
      </c>
      <c r="H589" s="1" t="s">
        <v>16476</v>
      </c>
    </row>
    <row r="590">
      <c r="A590" s="89">
        <v>1242.0</v>
      </c>
      <c r="B590" s="1" t="s">
        <v>17058</v>
      </c>
      <c r="E590" s="1" t="s">
        <v>16481</v>
      </c>
      <c r="F590" s="90">
        <v>45113.55877314815</v>
      </c>
      <c r="G590" s="90">
        <v>45913.81684027778</v>
      </c>
      <c r="H590" s="1" t="s">
        <v>16476</v>
      </c>
    </row>
    <row r="591">
      <c r="A591" s="1">
        <v>179.0</v>
      </c>
      <c r="B591" s="1" t="s">
        <v>17059</v>
      </c>
      <c r="E591" s="1" t="s">
        <v>16481</v>
      </c>
      <c r="F591" s="90">
        <v>45113.54310185185</v>
      </c>
      <c r="G591" s="90">
        <v>45913.81633101852</v>
      </c>
      <c r="H591" s="1" t="s">
        <v>16476</v>
      </c>
    </row>
    <row r="592">
      <c r="A592" s="1">
        <v>774.0</v>
      </c>
      <c r="B592" s="1" t="s">
        <v>17060</v>
      </c>
      <c r="E592" s="1" t="s">
        <v>16481</v>
      </c>
      <c r="F592" s="90">
        <v>45113.551932870374</v>
      </c>
      <c r="G592" s="90">
        <v>45913.816030092596</v>
      </c>
      <c r="H592" s="1" t="s">
        <v>16476</v>
      </c>
    </row>
    <row r="593">
      <c r="A593" s="1">
        <v>871.0</v>
      </c>
      <c r="B593" s="1" t="s">
        <v>17061</v>
      </c>
      <c r="E593" s="1" t="s">
        <v>16481</v>
      </c>
      <c r="F593" s="90">
        <v>45113.55334490741</v>
      </c>
      <c r="G593" s="90">
        <v>45913.81576388889</v>
      </c>
      <c r="H593" s="1" t="s">
        <v>16476</v>
      </c>
    </row>
    <row r="594">
      <c r="A594" s="1">
        <v>407.0</v>
      </c>
      <c r="B594" s="1" t="s">
        <v>17062</v>
      </c>
      <c r="E594" s="1" t="s">
        <v>16481</v>
      </c>
      <c r="F594" s="90">
        <v>45113.54653935185</v>
      </c>
      <c r="G594" s="90">
        <v>45913.815405092595</v>
      </c>
      <c r="H594" s="1" t="s">
        <v>16476</v>
      </c>
    </row>
    <row r="595">
      <c r="A595" s="1">
        <v>522.0</v>
      </c>
      <c r="B595" s="1" t="s">
        <v>17063</v>
      </c>
      <c r="E595" s="1" t="s">
        <v>5202</v>
      </c>
      <c r="F595" s="90">
        <v>45113.54821759259</v>
      </c>
      <c r="G595" s="90">
        <v>45913.81512731482</v>
      </c>
      <c r="H595" s="1" t="s">
        <v>16476</v>
      </c>
    </row>
    <row r="596">
      <c r="A596" s="1">
        <v>207.0</v>
      </c>
      <c r="B596" s="1" t="s">
        <v>105</v>
      </c>
      <c r="E596" s="1" t="s">
        <v>16481</v>
      </c>
      <c r="F596" s="90">
        <v>45113.54351851852</v>
      </c>
      <c r="G596" s="90">
        <v>45913.81471064815</v>
      </c>
      <c r="H596" s="1" t="s">
        <v>16476</v>
      </c>
    </row>
    <row r="597">
      <c r="A597" s="89">
        <v>1072.0</v>
      </c>
      <c r="B597" s="1" t="s">
        <v>17064</v>
      </c>
      <c r="E597" s="1" t="s">
        <v>16481</v>
      </c>
      <c r="F597" s="90">
        <v>45113.556284722225</v>
      </c>
      <c r="G597" s="90">
        <v>45913.814039351855</v>
      </c>
      <c r="H597" s="1" t="s">
        <v>16476</v>
      </c>
    </row>
    <row r="598">
      <c r="A598" s="1">
        <v>976.0</v>
      </c>
      <c r="B598" s="1" t="s">
        <v>17065</v>
      </c>
      <c r="E598" s="1" t="s">
        <v>16481</v>
      </c>
      <c r="F598" s="90">
        <v>45113.55488425926</v>
      </c>
      <c r="G598" s="90">
        <v>45913.81376157407</v>
      </c>
      <c r="H598" s="1" t="s">
        <v>16476</v>
      </c>
    </row>
    <row r="599">
      <c r="A599" s="89">
        <v>1141.0</v>
      </c>
      <c r="B599" s="1" t="s">
        <v>17066</v>
      </c>
      <c r="E599" s="1" t="s">
        <v>16481</v>
      </c>
      <c r="F599" s="90">
        <v>45113.557291666664</v>
      </c>
      <c r="G599" s="90">
        <v>45913.81240740741</v>
      </c>
      <c r="H599" s="1" t="s">
        <v>16476</v>
      </c>
    </row>
    <row r="600">
      <c r="A600" s="1">
        <v>732.0</v>
      </c>
      <c r="B600" s="1" t="s">
        <v>17067</v>
      </c>
      <c r="E600" s="1" t="s">
        <v>16481</v>
      </c>
      <c r="F600" s="90">
        <v>45113.55131944444</v>
      </c>
      <c r="G600" s="90">
        <v>45913.81197916667</v>
      </c>
      <c r="H600" s="1" t="s">
        <v>16476</v>
      </c>
    </row>
    <row r="601">
      <c r="A601" s="1">
        <v>148.0</v>
      </c>
      <c r="B601" s="1" t="s">
        <v>17068</v>
      </c>
      <c r="E601" s="1" t="s">
        <v>16481</v>
      </c>
      <c r="F601" s="90">
        <v>45113.54263888889</v>
      </c>
      <c r="G601" s="90">
        <v>45913.806435185186</v>
      </c>
      <c r="H601" s="1" t="s">
        <v>16476</v>
      </c>
    </row>
    <row r="602">
      <c r="A602" s="1">
        <v>973.0</v>
      </c>
      <c r="B602" s="1" t="s">
        <v>17069</v>
      </c>
      <c r="E602" s="1" t="s">
        <v>16481</v>
      </c>
      <c r="F602" s="90">
        <v>45113.55483796296</v>
      </c>
      <c r="G602" s="90">
        <v>45913.80579861111</v>
      </c>
      <c r="H602" s="1" t="s">
        <v>16476</v>
      </c>
    </row>
    <row r="603">
      <c r="A603" s="1">
        <v>516.0</v>
      </c>
      <c r="B603" s="1" t="s">
        <v>17070</v>
      </c>
      <c r="E603" s="1" t="s">
        <v>16481</v>
      </c>
      <c r="F603" s="90">
        <v>45113.54813657407</v>
      </c>
      <c r="G603" s="90">
        <v>45913.8053125</v>
      </c>
      <c r="H603" s="1" t="s">
        <v>16476</v>
      </c>
    </row>
    <row r="604">
      <c r="A604" s="89">
        <v>1102.0</v>
      </c>
      <c r="B604" s="1" t="s">
        <v>17071</v>
      </c>
      <c r="E604" s="1" t="s">
        <v>16475</v>
      </c>
      <c r="F604" s="90">
        <v>45113.55672453704</v>
      </c>
      <c r="G604" s="90">
        <v>45913.80502314815</v>
      </c>
      <c r="H604" s="1" t="s">
        <v>16476</v>
      </c>
    </row>
    <row r="605">
      <c r="A605" s="1">
        <v>805.0</v>
      </c>
      <c r="B605" s="1" t="s">
        <v>17072</v>
      </c>
      <c r="E605" s="1" t="s">
        <v>16481</v>
      </c>
      <c r="F605" s="90">
        <v>45113.55238425926</v>
      </c>
      <c r="G605" s="90">
        <v>45913.8047337963</v>
      </c>
      <c r="H605" s="1" t="s">
        <v>16476</v>
      </c>
    </row>
    <row r="606">
      <c r="A606" s="89">
        <v>1262.0</v>
      </c>
      <c r="B606" s="1" t="s">
        <v>17073</v>
      </c>
      <c r="E606" s="1" t="s">
        <v>16481</v>
      </c>
      <c r="F606" s="90">
        <v>45113.5590625</v>
      </c>
      <c r="G606" s="90">
        <v>45913.80438657408</v>
      </c>
      <c r="H606" s="1" t="s">
        <v>16476</v>
      </c>
    </row>
    <row r="607">
      <c r="A607" s="1">
        <v>436.0</v>
      </c>
      <c r="B607" s="1" t="s">
        <v>17074</v>
      </c>
      <c r="E607" s="1" t="s">
        <v>16481</v>
      </c>
      <c r="F607" s="90">
        <v>45113.54696759259</v>
      </c>
      <c r="G607" s="90">
        <v>45913.804074074076</v>
      </c>
      <c r="H607" s="1" t="s">
        <v>16476</v>
      </c>
    </row>
    <row r="608">
      <c r="A608" s="89">
        <v>1151.0</v>
      </c>
      <c r="B608" s="1" t="s">
        <v>17075</v>
      </c>
      <c r="E608" s="1" t="s">
        <v>16481</v>
      </c>
      <c r="F608" s="90">
        <v>45113.557442129626</v>
      </c>
      <c r="G608" s="90">
        <v>45913.80378472222</v>
      </c>
      <c r="H608" s="1" t="s">
        <v>16476</v>
      </c>
    </row>
    <row r="609">
      <c r="A609" s="1">
        <v>266.0</v>
      </c>
      <c r="B609" s="1" t="s">
        <v>17076</v>
      </c>
      <c r="E609" s="1" t="s">
        <v>16481</v>
      </c>
      <c r="F609" s="90">
        <v>45113.5444212963</v>
      </c>
      <c r="G609" s="90">
        <v>45913.80353009259</v>
      </c>
      <c r="H609" s="1" t="s">
        <v>16476</v>
      </c>
    </row>
    <row r="610">
      <c r="A610" s="1">
        <v>470.0</v>
      </c>
      <c r="B610" s="1" t="s">
        <v>17077</v>
      </c>
      <c r="E610" s="1" t="s">
        <v>16481</v>
      </c>
      <c r="F610" s="90">
        <v>45113.54746527778</v>
      </c>
      <c r="G610" s="90">
        <v>45913.802083333336</v>
      </c>
      <c r="H610" s="1" t="s">
        <v>16476</v>
      </c>
    </row>
    <row r="611">
      <c r="A611" s="1">
        <v>958.0</v>
      </c>
      <c r="B611" s="1" t="s">
        <v>17078</v>
      </c>
      <c r="E611" s="1" t="s">
        <v>16481</v>
      </c>
      <c r="F611" s="90">
        <v>45113.554618055554</v>
      </c>
      <c r="G611" s="90">
        <v>45913.801620370374</v>
      </c>
      <c r="H611" s="1" t="s">
        <v>16476</v>
      </c>
    </row>
    <row r="612">
      <c r="A612" s="1">
        <v>370.0</v>
      </c>
      <c r="B612" s="1" t="s">
        <v>17079</v>
      </c>
      <c r="E612" s="1" t="s">
        <v>16481</v>
      </c>
      <c r="F612" s="90">
        <v>45113.54597222222</v>
      </c>
      <c r="G612" s="90">
        <v>45913.8012962963</v>
      </c>
      <c r="H612" s="1" t="s">
        <v>16476</v>
      </c>
    </row>
    <row r="613">
      <c r="A613" s="1">
        <v>583.0</v>
      </c>
      <c r="B613" s="1" t="s">
        <v>17080</v>
      </c>
      <c r="E613" s="1" t="s">
        <v>16481</v>
      </c>
      <c r="F613" s="90">
        <v>45113.549108796295</v>
      </c>
      <c r="G613" s="90">
        <v>45913.80081018519</v>
      </c>
      <c r="H613" s="1" t="s">
        <v>16476</v>
      </c>
    </row>
    <row r="614">
      <c r="A614" s="89">
        <v>1176.0</v>
      </c>
      <c r="B614" s="1" t="s">
        <v>17081</v>
      </c>
      <c r="E614" s="1" t="s">
        <v>5202</v>
      </c>
      <c r="F614" s="90">
        <v>45113.55782407407</v>
      </c>
      <c r="G614" s="90">
        <v>45913.79980324074</v>
      </c>
      <c r="H614" s="1" t="s">
        <v>16476</v>
      </c>
    </row>
    <row r="615">
      <c r="A615" s="1">
        <v>240.0</v>
      </c>
      <c r="B615" s="1" t="s">
        <v>17082</v>
      </c>
      <c r="E615" s="1" t="s">
        <v>17083</v>
      </c>
      <c r="F615" s="90">
        <v>45113.544027777774</v>
      </c>
      <c r="G615" s="90">
        <v>45913.798622685186</v>
      </c>
      <c r="H615" s="1" t="s">
        <v>16476</v>
      </c>
    </row>
    <row r="616">
      <c r="A616" s="1">
        <v>735.0</v>
      </c>
      <c r="B616" s="1" t="s">
        <v>17084</v>
      </c>
      <c r="E616" s="1" t="s">
        <v>5202</v>
      </c>
      <c r="F616" s="90">
        <v>45113.55136574074</v>
      </c>
      <c r="G616" s="90">
        <v>45913.798055555555</v>
      </c>
      <c r="H616" s="1" t="s">
        <v>16476</v>
      </c>
    </row>
    <row r="617">
      <c r="A617" s="1">
        <v>840.0</v>
      </c>
      <c r="B617" s="1" t="s">
        <v>17085</v>
      </c>
      <c r="E617" s="1" t="s">
        <v>5202</v>
      </c>
      <c r="F617" s="90">
        <v>45113.55289351852</v>
      </c>
      <c r="G617" s="90">
        <v>45913.7974537037</v>
      </c>
      <c r="H617" s="1" t="s">
        <v>16476</v>
      </c>
    </row>
    <row r="618">
      <c r="A618" s="1">
        <v>952.0</v>
      </c>
      <c r="B618" s="1" t="s">
        <v>17086</v>
      </c>
      <c r="E618" s="1" t="s">
        <v>16481</v>
      </c>
      <c r="F618" s="90">
        <v>45113.55452546296</v>
      </c>
      <c r="G618" s="90">
        <v>45913.79688657408</v>
      </c>
      <c r="H618" s="1" t="s">
        <v>16476</v>
      </c>
    </row>
    <row r="619">
      <c r="A619" s="1">
        <v>841.0</v>
      </c>
      <c r="B619" s="1" t="s">
        <v>17087</v>
      </c>
      <c r="E619" s="1" t="s">
        <v>5202</v>
      </c>
      <c r="F619" s="90">
        <v>45113.55290509259</v>
      </c>
      <c r="G619" s="90">
        <v>45913.796435185184</v>
      </c>
      <c r="H619" s="1" t="s">
        <v>16476</v>
      </c>
    </row>
    <row r="620">
      <c r="A620" s="1">
        <v>291.0</v>
      </c>
      <c r="B620" s="1" t="s">
        <v>17088</v>
      </c>
      <c r="E620" s="1" t="s">
        <v>5202</v>
      </c>
      <c r="F620" s="90">
        <v>45113.54481481481</v>
      </c>
      <c r="G620" s="90">
        <v>45913.796064814815</v>
      </c>
      <c r="H620" s="1" t="s">
        <v>16476</v>
      </c>
    </row>
    <row r="621">
      <c r="A621" s="1">
        <v>793.0</v>
      </c>
      <c r="B621" s="1" t="s">
        <v>17089</v>
      </c>
      <c r="E621" s="1" t="s">
        <v>16481</v>
      </c>
      <c r="F621" s="90">
        <v>45113.55221064815</v>
      </c>
      <c r="G621" s="90">
        <v>45913.79534722222</v>
      </c>
      <c r="H621" s="1" t="s">
        <v>16476</v>
      </c>
    </row>
    <row r="622">
      <c r="A622" s="1">
        <v>679.0</v>
      </c>
      <c r="B622" s="1" t="s">
        <v>17090</v>
      </c>
      <c r="E622" s="1" t="s">
        <v>16481</v>
      </c>
      <c r="F622" s="90">
        <v>45113.550532407404</v>
      </c>
      <c r="G622" s="90">
        <v>45913.791284722225</v>
      </c>
      <c r="H622" s="1" t="s">
        <v>16476</v>
      </c>
    </row>
    <row r="623">
      <c r="A623" s="1">
        <v>618.0</v>
      </c>
      <c r="B623" s="1" t="s">
        <v>17091</v>
      </c>
      <c r="E623" s="1" t="s">
        <v>16481</v>
      </c>
      <c r="F623" s="90">
        <v>45113.54961805556</v>
      </c>
      <c r="G623" s="90">
        <v>45913.79077546296</v>
      </c>
      <c r="H623" s="1" t="s">
        <v>16476</v>
      </c>
    </row>
    <row r="624">
      <c r="A624" s="1">
        <v>709.0</v>
      </c>
      <c r="B624" s="1" t="s">
        <v>17092</v>
      </c>
      <c r="E624" s="1" t="s">
        <v>16481</v>
      </c>
      <c r="F624" s="90">
        <v>45113.550983796296</v>
      </c>
      <c r="G624" s="90">
        <v>45913.79006944445</v>
      </c>
      <c r="H624" s="1" t="s">
        <v>16476</v>
      </c>
    </row>
    <row r="625">
      <c r="A625" s="1">
        <v>743.0</v>
      </c>
      <c r="B625" s="1" t="s">
        <v>17093</v>
      </c>
      <c r="E625" s="1" t="s">
        <v>16481</v>
      </c>
      <c r="F625" s="90">
        <v>45113.55148148148</v>
      </c>
      <c r="G625" s="90">
        <v>45913.78905092592</v>
      </c>
      <c r="H625" s="1" t="s">
        <v>16476</v>
      </c>
    </row>
    <row r="626">
      <c r="A626" s="1">
        <v>734.0</v>
      </c>
      <c r="B626" s="1" t="s">
        <v>17094</v>
      </c>
      <c r="E626" s="1" t="s">
        <v>16481</v>
      </c>
      <c r="F626" s="90">
        <v>45113.551354166666</v>
      </c>
      <c r="G626" s="90">
        <v>45913.78806712963</v>
      </c>
      <c r="H626" s="1" t="s">
        <v>16476</v>
      </c>
    </row>
    <row r="627">
      <c r="A627" s="89">
        <v>1207.0</v>
      </c>
      <c r="B627" s="1" t="s">
        <v>17095</v>
      </c>
      <c r="E627" s="1" t="s">
        <v>16481</v>
      </c>
      <c r="F627" s="90">
        <v>45113.55826388889</v>
      </c>
      <c r="G627" s="90">
        <v>45913.78761574074</v>
      </c>
      <c r="H627" s="1" t="s">
        <v>16476</v>
      </c>
    </row>
    <row r="628">
      <c r="A628" s="1">
        <v>790.0</v>
      </c>
      <c r="B628" s="1" t="s">
        <v>17096</v>
      </c>
      <c r="E628" s="1" t="s">
        <v>5202</v>
      </c>
      <c r="F628" s="90">
        <v>45113.55216435185</v>
      </c>
      <c r="G628" s="90">
        <v>45913.78674768518</v>
      </c>
      <c r="H628" s="1" t="s">
        <v>16476</v>
      </c>
    </row>
    <row r="629">
      <c r="A629" s="1">
        <v>616.0</v>
      </c>
      <c r="B629" s="1" t="s">
        <v>17097</v>
      </c>
      <c r="E629" s="1" t="s">
        <v>16481</v>
      </c>
      <c r="F629" s="90">
        <v>45113.54959490741</v>
      </c>
      <c r="G629" s="90">
        <v>45913.7859375</v>
      </c>
      <c r="H629" s="1" t="s">
        <v>16476</v>
      </c>
    </row>
    <row r="630">
      <c r="A630" s="1">
        <v>421.0</v>
      </c>
      <c r="B630" s="1" t="s">
        <v>17098</v>
      </c>
      <c r="E630" s="1" t="s">
        <v>16481</v>
      </c>
      <c r="F630" s="90">
        <v>45113.546747685185</v>
      </c>
      <c r="G630" s="90">
        <v>45913.7853125</v>
      </c>
      <c r="H630" s="1" t="s">
        <v>16476</v>
      </c>
    </row>
    <row r="631">
      <c r="A631" s="1">
        <v>880.0</v>
      </c>
      <c r="B631" s="1" t="s">
        <v>17099</v>
      </c>
      <c r="E631" s="1" t="s">
        <v>16481</v>
      </c>
      <c r="F631" s="90">
        <v>45113.5534837963</v>
      </c>
      <c r="G631" s="90">
        <v>45913.78434027778</v>
      </c>
      <c r="H631" s="1" t="s">
        <v>16476</v>
      </c>
    </row>
    <row r="632">
      <c r="A632" s="1">
        <v>722.0</v>
      </c>
      <c r="B632" s="1" t="s">
        <v>17100</v>
      </c>
      <c r="E632" s="1" t="s">
        <v>16481</v>
      </c>
      <c r="F632" s="90">
        <v>45113.55118055556</v>
      </c>
      <c r="G632" s="90">
        <v>45913.783796296295</v>
      </c>
      <c r="H632" s="1" t="s">
        <v>16476</v>
      </c>
    </row>
    <row r="633">
      <c r="A633" s="1">
        <v>30.0</v>
      </c>
      <c r="B633" s="1" t="s">
        <v>17101</v>
      </c>
      <c r="E633" s="1" t="s">
        <v>5202</v>
      </c>
      <c r="F633" s="90">
        <v>45113.540914351855</v>
      </c>
      <c r="G633" s="90">
        <v>45913.78344907407</v>
      </c>
      <c r="H633" s="1" t="s">
        <v>16476</v>
      </c>
    </row>
    <row r="634">
      <c r="A634" s="89">
        <v>1059.0</v>
      </c>
      <c r="B634" s="1" t="s">
        <v>17102</v>
      </c>
      <c r="E634" s="1" t="s">
        <v>16481</v>
      </c>
      <c r="F634" s="90">
        <v>45113.55609953704</v>
      </c>
      <c r="G634" s="90">
        <v>45913.773993055554</v>
      </c>
      <c r="H634" s="1" t="s">
        <v>16476</v>
      </c>
    </row>
    <row r="635">
      <c r="A635" s="1">
        <v>948.0</v>
      </c>
      <c r="B635" s="1" t="s">
        <v>17103</v>
      </c>
      <c r="E635" s="1" t="s">
        <v>16481</v>
      </c>
      <c r="F635" s="90">
        <v>45113.55446759259</v>
      </c>
      <c r="G635" s="90">
        <v>45913.76944444444</v>
      </c>
      <c r="H635" s="1" t="s">
        <v>16476</v>
      </c>
    </row>
    <row r="636">
      <c r="A636" s="1">
        <v>248.0</v>
      </c>
      <c r="B636" s="1" t="s">
        <v>17104</v>
      </c>
      <c r="E636" s="1" t="s">
        <v>16481</v>
      </c>
      <c r="F636" s="90">
        <v>45113.54414351852</v>
      </c>
      <c r="G636" s="90">
        <v>45913.768530092595</v>
      </c>
      <c r="H636" s="1" t="s">
        <v>16476</v>
      </c>
    </row>
    <row r="637">
      <c r="A637" s="1">
        <v>385.0</v>
      </c>
      <c r="B637" s="1" t="s">
        <v>17105</v>
      </c>
      <c r="E637" s="1" t="s">
        <v>16481</v>
      </c>
      <c r="F637" s="90">
        <v>45113.54619212963</v>
      </c>
      <c r="G637" s="90">
        <v>45913.767905092594</v>
      </c>
      <c r="H637" s="1" t="s">
        <v>16476</v>
      </c>
    </row>
    <row r="638">
      <c r="A638" s="1">
        <v>440.0</v>
      </c>
      <c r="B638" s="1" t="s">
        <v>17106</v>
      </c>
      <c r="E638" s="1" t="s">
        <v>16481</v>
      </c>
      <c r="F638" s="90">
        <v>45113.54702546296</v>
      </c>
      <c r="G638" s="90">
        <v>45912.691412037035</v>
      </c>
      <c r="H638" s="1" t="s">
        <v>16476</v>
      </c>
    </row>
    <row r="639">
      <c r="A639" s="89">
        <v>1023.0</v>
      </c>
      <c r="B639" s="1" t="s">
        <v>17107</v>
      </c>
      <c r="E639" s="1" t="s">
        <v>16481</v>
      </c>
      <c r="F639" s="90">
        <v>45113.55556712963</v>
      </c>
      <c r="G639" s="90">
        <v>45912.69064814815</v>
      </c>
      <c r="H639" s="1" t="s">
        <v>16476</v>
      </c>
    </row>
    <row r="640">
      <c r="A640" s="1">
        <v>130.0</v>
      </c>
      <c r="B640" s="1" t="s">
        <v>17108</v>
      </c>
      <c r="E640" s="1" t="s">
        <v>16481</v>
      </c>
      <c r="F640" s="90">
        <v>45113.54237268519</v>
      </c>
      <c r="G640" s="90">
        <v>45912.6903125</v>
      </c>
      <c r="H640" s="1" t="s">
        <v>16476</v>
      </c>
    </row>
    <row r="641">
      <c r="A641" s="1">
        <v>756.0</v>
      </c>
      <c r="B641" s="1" t="s">
        <v>17109</v>
      </c>
      <c r="E641" s="1" t="s">
        <v>16481</v>
      </c>
      <c r="F641" s="90">
        <v>45113.55167824074</v>
      </c>
      <c r="G641" s="90">
        <v>45912.68959490741</v>
      </c>
      <c r="H641" s="1" t="s">
        <v>16476</v>
      </c>
    </row>
    <row r="642">
      <c r="A642" s="1">
        <v>584.0</v>
      </c>
      <c r="B642" s="1" t="s">
        <v>17110</v>
      </c>
      <c r="E642" s="1" t="s">
        <v>16481</v>
      </c>
      <c r="F642" s="90">
        <v>45113.54912037037</v>
      </c>
      <c r="G642" s="90">
        <v>45912.68570601852</v>
      </c>
      <c r="H642" s="1" t="s">
        <v>16476</v>
      </c>
    </row>
    <row r="643">
      <c r="A643" s="1">
        <v>599.0</v>
      </c>
      <c r="B643" s="1" t="s">
        <v>17111</v>
      </c>
      <c r="E643" s="1" t="s">
        <v>16481</v>
      </c>
      <c r="F643" s="90">
        <v>45113.54934027778</v>
      </c>
      <c r="G643" s="90">
        <v>45912.68510416667</v>
      </c>
      <c r="H643" s="1" t="s">
        <v>16476</v>
      </c>
    </row>
    <row r="644">
      <c r="A644" s="1">
        <v>176.0</v>
      </c>
      <c r="B644" s="1" t="s">
        <v>17112</v>
      </c>
      <c r="E644" s="1" t="s">
        <v>16481</v>
      </c>
      <c r="F644" s="90">
        <v>45113.54305555556</v>
      </c>
      <c r="G644" s="90">
        <v>45912.68451388889</v>
      </c>
      <c r="H644" s="1" t="s">
        <v>16476</v>
      </c>
    </row>
    <row r="645">
      <c r="A645" s="1">
        <v>278.0</v>
      </c>
      <c r="B645" s="1" t="s">
        <v>17113</v>
      </c>
      <c r="E645" s="1" t="s">
        <v>16475</v>
      </c>
      <c r="F645" s="90">
        <v>45113.544594907406</v>
      </c>
      <c r="G645" s="90">
        <v>45912.68381944444</v>
      </c>
      <c r="H645" s="1" t="s">
        <v>16476</v>
      </c>
    </row>
    <row r="646">
      <c r="A646" s="89">
        <v>1147.0</v>
      </c>
      <c r="B646" s="1" t="s">
        <v>17114</v>
      </c>
      <c r="E646" s="1" t="s">
        <v>16481</v>
      </c>
      <c r="F646" s="90">
        <v>45113.55738425926</v>
      </c>
      <c r="G646" s="90">
        <v>45912.68336805556</v>
      </c>
      <c r="H646" s="1" t="s">
        <v>16476</v>
      </c>
    </row>
    <row r="647">
      <c r="A647" s="1">
        <v>901.0</v>
      </c>
      <c r="B647" s="1" t="s">
        <v>17115</v>
      </c>
      <c r="E647" s="1" t="s">
        <v>16475</v>
      </c>
      <c r="F647" s="90">
        <v>45113.55378472222</v>
      </c>
      <c r="G647" s="90">
        <v>45912.680243055554</v>
      </c>
      <c r="H647" s="1" t="s">
        <v>16476</v>
      </c>
    </row>
    <row r="648">
      <c r="A648" s="1">
        <v>246.0</v>
      </c>
      <c r="B648" s="1" t="s">
        <v>17116</v>
      </c>
      <c r="E648" s="1" t="s">
        <v>5202</v>
      </c>
      <c r="F648" s="90">
        <v>45113.544120370374</v>
      </c>
      <c r="G648" s="90">
        <v>45912.679293981484</v>
      </c>
      <c r="H648" s="1" t="s">
        <v>16476</v>
      </c>
    </row>
    <row r="649">
      <c r="A649" s="1">
        <v>218.0</v>
      </c>
      <c r="B649" s="1" t="s">
        <v>17117</v>
      </c>
      <c r="E649" s="1" t="s">
        <v>16475</v>
      </c>
      <c r="F649" s="90">
        <v>45113.54369212963</v>
      </c>
      <c r="G649" s="90">
        <v>45912.6784375</v>
      </c>
      <c r="H649" s="1" t="s">
        <v>16476</v>
      </c>
    </row>
    <row r="650">
      <c r="A650" s="89">
        <v>1022.0</v>
      </c>
      <c r="B650" s="1" t="s">
        <v>17118</v>
      </c>
      <c r="E650" s="1" t="s">
        <v>5202</v>
      </c>
      <c r="F650" s="90">
        <v>45113.555555555555</v>
      </c>
      <c r="G650" s="90">
        <v>45912.678032407406</v>
      </c>
      <c r="H650" s="1" t="s">
        <v>16476</v>
      </c>
    </row>
    <row r="651">
      <c r="A651" s="1">
        <v>571.0</v>
      </c>
      <c r="B651" s="1" t="s">
        <v>17119</v>
      </c>
      <c r="E651" s="1" t="s">
        <v>16481</v>
      </c>
      <c r="F651" s="90">
        <v>45113.54893518519</v>
      </c>
      <c r="G651" s="90">
        <v>45912.677708333336</v>
      </c>
      <c r="H651" s="1" t="s">
        <v>16476</v>
      </c>
    </row>
    <row r="652">
      <c r="A652" s="1">
        <v>570.0</v>
      </c>
      <c r="B652" s="1" t="s">
        <v>17119</v>
      </c>
      <c r="E652" s="1" t="s">
        <v>16481</v>
      </c>
      <c r="F652" s="90">
        <v>45113.54892361111</v>
      </c>
      <c r="G652" s="90">
        <v>45912.67753472222</v>
      </c>
      <c r="H652" s="1" t="s">
        <v>16476</v>
      </c>
    </row>
    <row r="653">
      <c r="A653" s="1">
        <v>239.0</v>
      </c>
      <c r="B653" s="1" t="s">
        <v>17120</v>
      </c>
      <c r="E653" s="1" t="s">
        <v>16481</v>
      </c>
      <c r="F653" s="90">
        <v>45113.544016203705</v>
      </c>
      <c r="G653" s="90">
        <v>45912.67716435185</v>
      </c>
      <c r="H653" s="1" t="s">
        <v>16476</v>
      </c>
    </row>
    <row r="654">
      <c r="A654" s="1">
        <v>968.0</v>
      </c>
      <c r="B654" s="1" t="s">
        <v>17121</v>
      </c>
      <c r="E654" s="1" t="s">
        <v>16481</v>
      </c>
      <c r="F654" s="90">
        <v>45113.554768518516</v>
      </c>
      <c r="G654" s="90">
        <v>45912.676828703705</v>
      </c>
      <c r="H654" s="1" t="s">
        <v>16476</v>
      </c>
    </row>
    <row r="655">
      <c r="A655" s="89">
        <v>1236.0</v>
      </c>
      <c r="B655" s="1" t="s">
        <v>17122</v>
      </c>
      <c r="E655" s="1" t="s">
        <v>16481</v>
      </c>
      <c r="F655" s="90">
        <v>45113.55869212963</v>
      </c>
      <c r="G655" s="90">
        <v>45912.67085648148</v>
      </c>
      <c r="H655" s="1" t="s">
        <v>16476</v>
      </c>
    </row>
    <row r="656">
      <c r="A656" s="1">
        <v>654.0</v>
      </c>
      <c r="B656" s="1" t="s">
        <v>17123</v>
      </c>
      <c r="E656" s="1" t="s">
        <v>16481</v>
      </c>
      <c r="F656" s="90">
        <v>45113.550162037034</v>
      </c>
      <c r="G656" s="90">
        <v>45912.67056712963</v>
      </c>
      <c r="H656" s="1" t="s">
        <v>16476</v>
      </c>
    </row>
    <row r="657">
      <c r="A657" s="1">
        <v>698.0</v>
      </c>
      <c r="B657" s="1" t="s">
        <v>17124</v>
      </c>
      <c r="E657" s="1" t="s">
        <v>16481</v>
      </c>
      <c r="F657" s="90">
        <v>45113.550833333335</v>
      </c>
      <c r="G657" s="90">
        <v>45912.67024305555</v>
      </c>
      <c r="H657" s="1" t="s">
        <v>16476</v>
      </c>
    </row>
    <row r="658">
      <c r="A658" s="1">
        <v>700.0</v>
      </c>
      <c r="B658" s="1" t="s">
        <v>17125</v>
      </c>
      <c r="E658" s="1" t="s">
        <v>16481</v>
      </c>
      <c r="F658" s="90">
        <v>45113.55085648148</v>
      </c>
      <c r="G658" s="90">
        <v>45912.66997685185</v>
      </c>
      <c r="H658" s="1" t="s">
        <v>16476</v>
      </c>
    </row>
    <row r="659">
      <c r="A659" s="1">
        <v>215.0</v>
      </c>
      <c r="B659" s="1" t="s">
        <v>17126</v>
      </c>
      <c r="E659" s="1" t="s">
        <v>5202</v>
      </c>
      <c r="F659" s="90">
        <v>45113.543657407405</v>
      </c>
      <c r="G659" s="90">
        <v>45912.66954861111</v>
      </c>
      <c r="H659" s="1" t="s">
        <v>16476</v>
      </c>
    </row>
    <row r="660">
      <c r="A660" s="1">
        <v>534.0</v>
      </c>
      <c r="B660" s="1" t="s">
        <v>17127</v>
      </c>
      <c r="E660" s="1" t="s">
        <v>5202</v>
      </c>
      <c r="F660" s="90">
        <v>45113.5483912037</v>
      </c>
      <c r="G660" s="90">
        <v>45912.6691087963</v>
      </c>
      <c r="H660" s="1" t="s">
        <v>16476</v>
      </c>
    </row>
    <row r="661">
      <c r="A661" s="1">
        <v>682.0</v>
      </c>
      <c r="B661" s="1" t="s">
        <v>17128</v>
      </c>
      <c r="E661" s="1" t="s">
        <v>16481</v>
      </c>
      <c r="F661" s="90">
        <v>45113.55059027778</v>
      </c>
      <c r="G661" s="90">
        <v>45912.668703703705</v>
      </c>
      <c r="H661" s="1" t="s">
        <v>16476</v>
      </c>
    </row>
    <row r="662">
      <c r="A662" s="1">
        <v>728.0</v>
      </c>
      <c r="B662" s="1" t="s">
        <v>17129</v>
      </c>
      <c r="E662" s="1" t="s">
        <v>16475</v>
      </c>
      <c r="F662" s="90">
        <v>45113.55126157407</v>
      </c>
      <c r="G662" s="90">
        <v>45912.66811342593</v>
      </c>
      <c r="H662" s="1" t="s">
        <v>16476</v>
      </c>
    </row>
    <row r="663">
      <c r="A663" s="1">
        <v>263.0</v>
      </c>
      <c r="B663" s="1" t="s">
        <v>17129</v>
      </c>
      <c r="E663" s="1" t="s">
        <v>16630</v>
      </c>
      <c r="F663" s="90">
        <v>45113.544375</v>
      </c>
      <c r="G663" s="90">
        <v>45912.66793981481</v>
      </c>
      <c r="H663" s="1" t="s">
        <v>16476</v>
      </c>
    </row>
    <row r="664">
      <c r="A664" s="1">
        <v>730.0</v>
      </c>
      <c r="B664" s="1" t="s">
        <v>17130</v>
      </c>
      <c r="E664" s="1" t="s">
        <v>16475</v>
      </c>
      <c r="F664" s="90">
        <v>45113.5512962963</v>
      </c>
      <c r="G664" s="90">
        <v>45912.667395833334</v>
      </c>
      <c r="H664" s="1" t="s">
        <v>16476</v>
      </c>
    </row>
    <row r="665">
      <c r="A665" s="89">
        <v>1109.0</v>
      </c>
      <c r="B665" s="1" t="s">
        <v>17131</v>
      </c>
      <c r="E665" s="1" t="s">
        <v>16475</v>
      </c>
      <c r="F665" s="90">
        <v>45113.5568287037</v>
      </c>
      <c r="G665" s="90">
        <v>45912.666655092595</v>
      </c>
      <c r="H665" s="1" t="s">
        <v>16476</v>
      </c>
    </row>
    <row r="666">
      <c r="A666" s="1">
        <v>101.0</v>
      </c>
      <c r="B666" s="1" t="s">
        <v>17132</v>
      </c>
      <c r="E666" s="1" t="s">
        <v>16485</v>
      </c>
      <c r="F666" s="90">
        <v>45113.541967592595</v>
      </c>
      <c r="G666" s="90">
        <v>45912.666354166664</v>
      </c>
      <c r="H666" s="1" t="s">
        <v>16476</v>
      </c>
    </row>
    <row r="667">
      <c r="A667" s="1">
        <v>98.0</v>
      </c>
      <c r="B667" s="1" t="s">
        <v>17133</v>
      </c>
      <c r="E667" s="1" t="s">
        <v>16485</v>
      </c>
      <c r="F667" s="90">
        <v>45113.54193287037</v>
      </c>
      <c r="G667" s="90">
        <v>45912.66578703704</v>
      </c>
      <c r="H667" s="1" t="s">
        <v>16476</v>
      </c>
    </row>
    <row r="668">
      <c r="A668" s="1">
        <v>61.0</v>
      </c>
      <c r="B668" s="1" t="s">
        <v>17134</v>
      </c>
      <c r="E668" s="1" t="s">
        <v>16475</v>
      </c>
      <c r="F668" s="90">
        <v>45113.541400462964</v>
      </c>
      <c r="G668" s="90">
        <v>45912.6652662037</v>
      </c>
      <c r="H668" s="1" t="s">
        <v>16476</v>
      </c>
    </row>
    <row r="669">
      <c r="A669" s="1">
        <v>47.0</v>
      </c>
      <c r="B669" s="1" t="s">
        <v>17135</v>
      </c>
      <c r="E669" s="1" t="s">
        <v>17136</v>
      </c>
      <c r="F669" s="90">
        <v>45113.54116898148</v>
      </c>
      <c r="G669" s="90">
        <v>45912.66501157408</v>
      </c>
      <c r="H669" s="1" t="s">
        <v>16476</v>
      </c>
    </row>
    <row r="670">
      <c r="A670" s="1">
        <v>341.0</v>
      </c>
      <c r="B670" s="1" t="s">
        <v>17137</v>
      </c>
      <c r="E670" s="1" t="s">
        <v>16485</v>
      </c>
      <c r="F670" s="90">
        <v>45113.54555555555</v>
      </c>
      <c r="G670" s="90">
        <v>45912.66454861111</v>
      </c>
      <c r="H670" s="1" t="s">
        <v>16476</v>
      </c>
    </row>
    <row r="671">
      <c r="A671" s="1">
        <v>53.0</v>
      </c>
      <c r="B671" s="1" t="s">
        <v>11560</v>
      </c>
      <c r="E671" s="1" t="s">
        <v>16882</v>
      </c>
      <c r="F671" s="90">
        <v>45113.54125</v>
      </c>
      <c r="G671" s="90">
        <v>45912.661145833335</v>
      </c>
      <c r="H671" s="1" t="s">
        <v>16476</v>
      </c>
    </row>
    <row r="672">
      <c r="A672" s="89">
        <v>1555.0</v>
      </c>
      <c r="B672" s="1" t="s">
        <v>17138</v>
      </c>
      <c r="F672" s="90">
        <v>45628.38421296296</v>
      </c>
      <c r="G672" s="90">
        <v>45912.66087962963</v>
      </c>
      <c r="H672" s="1" t="s">
        <v>16476</v>
      </c>
    </row>
    <row r="673">
      <c r="A673" s="1">
        <v>340.0</v>
      </c>
      <c r="B673" s="1" t="s">
        <v>17139</v>
      </c>
      <c r="E673" s="1" t="s">
        <v>16485</v>
      </c>
      <c r="F673" s="90">
        <v>45113.54554398148</v>
      </c>
      <c r="G673" s="90">
        <v>45912.66012731481</v>
      </c>
      <c r="H673" s="1" t="s">
        <v>16476</v>
      </c>
    </row>
    <row r="674">
      <c r="A674" s="1">
        <v>96.0</v>
      </c>
      <c r="B674" s="1" t="s">
        <v>17140</v>
      </c>
      <c r="E674" s="1" t="s">
        <v>16485</v>
      </c>
      <c r="F674" s="90">
        <v>45113.541909722226</v>
      </c>
      <c r="G674" s="90">
        <v>45912.65935185185</v>
      </c>
      <c r="H674" s="1" t="s">
        <v>16476</v>
      </c>
    </row>
    <row r="675">
      <c r="A675" s="89">
        <v>1061.0</v>
      </c>
      <c r="B675" s="1" t="s">
        <v>17141</v>
      </c>
      <c r="E675" s="1" t="s">
        <v>16485</v>
      </c>
      <c r="F675" s="90">
        <v>45113.556122685186</v>
      </c>
      <c r="G675" s="90">
        <v>45912.65837962963</v>
      </c>
      <c r="H675" s="1" t="s">
        <v>16476</v>
      </c>
    </row>
    <row r="676">
      <c r="A676" s="1">
        <v>28.0</v>
      </c>
      <c r="B676" s="1" t="s">
        <v>17142</v>
      </c>
      <c r="E676" s="1" t="s">
        <v>16485</v>
      </c>
      <c r="F676" s="90">
        <v>45113.54087962963</v>
      </c>
      <c r="G676" s="90">
        <v>45912.65804398148</v>
      </c>
      <c r="H676" s="1" t="s">
        <v>16476</v>
      </c>
    </row>
    <row r="677">
      <c r="A677" s="1">
        <v>275.0</v>
      </c>
      <c r="B677" s="1" t="s">
        <v>17143</v>
      </c>
      <c r="E677" s="1" t="s">
        <v>16475</v>
      </c>
      <c r="F677" s="90">
        <v>45113.54454861111</v>
      </c>
      <c r="G677" s="90">
        <v>45912.65587962963</v>
      </c>
      <c r="H677" s="1" t="s">
        <v>16476</v>
      </c>
    </row>
    <row r="678">
      <c r="A678" s="1">
        <v>48.0</v>
      </c>
      <c r="B678" s="1" t="s">
        <v>17144</v>
      </c>
      <c r="E678" s="1" t="s">
        <v>16475</v>
      </c>
      <c r="F678" s="90">
        <v>45113.541180555556</v>
      </c>
      <c r="G678" s="90">
        <v>45912.65528935185</v>
      </c>
      <c r="H678" s="1" t="s">
        <v>16476</v>
      </c>
    </row>
    <row r="679">
      <c r="A679" s="1">
        <v>31.0</v>
      </c>
      <c r="B679" s="1" t="s">
        <v>17145</v>
      </c>
      <c r="E679" s="1" t="s">
        <v>16485</v>
      </c>
      <c r="F679" s="90">
        <v>45113.540925925925</v>
      </c>
      <c r="G679" s="90">
        <v>45912.655011574076</v>
      </c>
      <c r="H679" s="1" t="s">
        <v>16476</v>
      </c>
    </row>
    <row r="680">
      <c r="A680" s="89">
        <v>1393.0</v>
      </c>
      <c r="B680" s="1" t="s">
        <v>17146</v>
      </c>
      <c r="E680" s="1" t="s">
        <v>16882</v>
      </c>
      <c r="F680" s="90">
        <v>45372.61085648148</v>
      </c>
      <c r="G680" s="90">
        <v>45912.65452546296</v>
      </c>
      <c r="H680" s="1" t="s">
        <v>16476</v>
      </c>
    </row>
    <row r="681">
      <c r="A681" s="1">
        <v>82.0</v>
      </c>
      <c r="B681" s="1" t="s">
        <v>17147</v>
      </c>
      <c r="E681" s="1" t="s">
        <v>16882</v>
      </c>
      <c r="F681" s="90">
        <v>45113.541712962964</v>
      </c>
      <c r="G681" s="90">
        <v>45912.654074074075</v>
      </c>
      <c r="H681" s="1" t="s">
        <v>16476</v>
      </c>
    </row>
    <row r="682">
      <c r="A682" s="1">
        <v>104.0</v>
      </c>
      <c r="B682" s="1" t="s">
        <v>17148</v>
      </c>
      <c r="E682" s="1" t="s">
        <v>5202</v>
      </c>
      <c r="F682" s="90">
        <v>45113.54201388889</v>
      </c>
      <c r="G682" s="90">
        <v>45912.65350694444</v>
      </c>
      <c r="H682" s="1" t="s">
        <v>16476</v>
      </c>
    </row>
    <row r="683">
      <c r="A683" s="1">
        <v>891.0</v>
      </c>
      <c r="B683" s="1" t="s">
        <v>17149</v>
      </c>
      <c r="E683" s="1" t="s">
        <v>16475</v>
      </c>
      <c r="F683" s="90">
        <v>45113.55364583333</v>
      </c>
      <c r="G683" s="90">
        <v>45912.6528125</v>
      </c>
      <c r="H683" s="1" t="s">
        <v>16476</v>
      </c>
    </row>
    <row r="684">
      <c r="A684" s="1">
        <v>43.0</v>
      </c>
      <c r="B684" s="1" t="s">
        <v>17150</v>
      </c>
      <c r="E684" s="1" t="s">
        <v>16475</v>
      </c>
      <c r="F684" s="90">
        <v>45113.54111111111</v>
      </c>
      <c r="G684" s="90">
        <v>45912.65247685185</v>
      </c>
      <c r="H684" s="1" t="s">
        <v>16476</v>
      </c>
    </row>
    <row r="685">
      <c r="A685" s="1">
        <v>29.0</v>
      </c>
      <c r="B685" s="1" t="s">
        <v>17151</v>
      </c>
      <c r="E685" s="1" t="s">
        <v>16485</v>
      </c>
      <c r="F685" s="90">
        <v>45113.54090277778</v>
      </c>
      <c r="G685" s="90">
        <v>45912.65127314815</v>
      </c>
      <c r="H685" s="1" t="s">
        <v>16476</v>
      </c>
    </row>
    <row r="686">
      <c r="A686" s="1">
        <v>85.0</v>
      </c>
      <c r="B686" s="1" t="s">
        <v>17152</v>
      </c>
      <c r="E686" s="1" t="s">
        <v>16485</v>
      </c>
      <c r="F686" s="90">
        <v>45113.54175925926</v>
      </c>
      <c r="G686" s="90">
        <v>45912.65070601852</v>
      </c>
      <c r="H686" s="1" t="s">
        <v>16476</v>
      </c>
    </row>
    <row r="687">
      <c r="A687" s="89">
        <v>1062.0</v>
      </c>
      <c r="B687" s="1" t="s">
        <v>17153</v>
      </c>
      <c r="E687" s="1" t="s">
        <v>16485</v>
      </c>
      <c r="F687" s="90">
        <v>45113.55613425926</v>
      </c>
      <c r="G687" s="90">
        <v>45912.64917824074</v>
      </c>
      <c r="H687" s="1" t="s">
        <v>16476</v>
      </c>
    </row>
    <row r="688">
      <c r="A688" s="1">
        <v>795.0</v>
      </c>
      <c r="B688" s="1" t="s">
        <v>17154</v>
      </c>
      <c r="E688" s="1" t="s">
        <v>16475</v>
      </c>
      <c r="F688" s="90">
        <v>45113.5522337963</v>
      </c>
      <c r="G688" s="90">
        <v>45912.648414351854</v>
      </c>
      <c r="H688" s="1" t="s">
        <v>16476</v>
      </c>
    </row>
    <row r="689">
      <c r="A689" s="1">
        <v>575.0</v>
      </c>
      <c r="B689" s="1" t="s">
        <v>17155</v>
      </c>
      <c r="E689" s="1" t="s">
        <v>16481</v>
      </c>
      <c r="F689" s="90">
        <v>45113.548993055556</v>
      </c>
      <c r="G689" s="90">
        <v>45912.647569444445</v>
      </c>
      <c r="H689" s="1" t="s">
        <v>16476</v>
      </c>
    </row>
    <row r="690">
      <c r="A690" s="1">
        <v>310.0</v>
      </c>
      <c r="B690" s="1" t="s">
        <v>17156</v>
      </c>
      <c r="E690" s="1" t="s">
        <v>16485</v>
      </c>
      <c r="F690" s="90">
        <v>45113.54510416667</v>
      </c>
      <c r="G690" s="90">
        <v>45912.64703703704</v>
      </c>
      <c r="H690" s="1" t="s">
        <v>16476</v>
      </c>
    </row>
    <row r="691">
      <c r="A691" s="89">
        <v>1156.0</v>
      </c>
      <c r="B691" s="1" t="s">
        <v>17157</v>
      </c>
      <c r="E691" s="1" t="s">
        <v>16475</v>
      </c>
      <c r="F691" s="90">
        <v>45113.55751157407</v>
      </c>
      <c r="G691" s="90">
        <v>45912.646574074075</v>
      </c>
      <c r="H691" s="1" t="s">
        <v>16476</v>
      </c>
    </row>
    <row r="692">
      <c r="A692" s="1">
        <v>311.0</v>
      </c>
      <c r="B692" s="1" t="s">
        <v>17158</v>
      </c>
      <c r="E692" s="1" t="s">
        <v>16475</v>
      </c>
      <c r="F692" s="90">
        <v>45113.545115740744</v>
      </c>
      <c r="G692" s="90">
        <v>45912.64616898148</v>
      </c>
      <c r="H692" s="1" t="s">
        <v>16476</v>
      </c>
    </row>
    <row r="693">
      <c r="A693" s="1">
        <v>780.0</v>
      </c>
      <c r="B693" s="1" t="s">
        <v>17159</v>
      </c>
      <c r="E693" s="1" t="s">
        <v>16475</v>
      </c>
      <c r="F693" s="90">
        <v>45113.55202546297</v>
      </c>
      <c r="G693" s="90">
        <v>45912.64460648148</v>
      </c>
      <c r="H693" s="1" t="s">
        <v>16476</v>
      </c>
    </row>
    <row r="694">
      <c r="A694" s="89">
        <v>1239.0</v>
      </c>
      <c r="B694" s="1" t="s">
        <v>17160</v>
      </c>
      <c r="E694" s="1" t="s">
        <v>16475</v>
      </c>
      <c r="F694" s="90">
        <v>45113.55873842593</v>
      </c>
      <c r="G694" s="90">
        <v>45912.643912037034</v>
      </c>
      <c r="H694" s="1" t="s">
        <v>16476</v>
      </c>
    </row>
    <row r="695">
      <c r="A695" s="1">
        <v>943.0</v>
      </c>
      <c r="B695" s="1" t="s">
        <v>17161</v>
      </c>
      <c r="E695" s="1" t="s">
        <v>16485</v>
      </c>
      <c r="F695" s="90">
        <v>45113.554398148146</v>
      </c>
      <c r="G695" s="90">
        <v>45912.642222222225</v>
      </c>
      <c r="H695" s="1" t="s">
        <v>16476</v>
      </c>
    </row>
    <row r="696">
      <c r="A696" s="89">
        <v>1204.0</v>
      </c>
      <c r="B696" s="1" t="s">
        <v>17162</v>
      </c>
      <c r="E696" s="1" t="s">
        <v>16485</v>
      </c>
      <c r="F696" s="90">
        <v>45113.558229166665</v>
      </c>
      <c r="G696" s="90">
        <v>45912.64150462963</v>
      </c>
      <c r="H696" s="1" t="s">
        <v>16476</v>
      </c>
    </row>
    <row r="697">
      <c r="A697" s="89">
        <v>1083.0</v>
      </c>
      <c r="B697" s="1" t="s">
        <v>17163</v>
      </c>
      <c r="E697" s="1" t="s">
        <v>16485</v>
      </c>
      <c r="F697" s="90">
        <v>45113.556446759256</v>
      </c>
      <c r="G697" s="90">
        <v>45912.641238425924</v>
      </c>
      <c r="H697" s="1" t="s">
        <v>16476</v>
      </c>
    </row>
    <row r="698">
      <c r="A698" s="1">
        <v>173.0</v>
      </c>
      <c r="B698" s="1" t="s">
        <v>17164</v>
      </c>
      <c r="E698" s="1" t="s">
        <v>16485</v>
      </c>
      <c r="F698" s="90">
        <v>45113.54300925926</v>
      </c>
      <c r="G698" s="90">
        <v>45912.64047453704</v>
      </c>
      <c r="H698" s="1" t="s">
        <v>16476</v>
      </c>
    </row>
    <row r="699">
      <c r="A699" s="1">
        <v>369.0</v>
      </c>
      <c r="B699" s="1" t="s">
        <v>17165</v>
      </c>
      <c r="E699" s="1" t="s">
        <v>16485</v>
      </c>
      <c r="F699" s="90">
        <v>45113.545960648145</v>
      </c>
      <c r="G699" s="90">
        <v>45912.64016203704</v>
      </c>
      <c r="H699" s="1" t="s">
        <v>16476</v>
      </c>
    </row>
    <row r="700">
      <c r="A700" s="1">
        <v>235.0</v>
      </c>
      <c r="B700" s="1" t="s">
        <v>17166</v>
      </c>
      <c r="E700" s="1" t="s">
        <v>17136</v>
      </c>
      <c r="F700" s="90">
        <v>45113.54394675926</v>
      </c>
      <c r="G700" s="90">
        <v>45912.63964120371</v>
      </c>
      <c r="H700" s="1" t="s">
        <v>16476</v>
      </c>
    </row>
    <row r="701">
      <c r="A701" s="1">
        <v>175.0</v>
      </c>
      <c r="B701" s="1" t="s">
        <v>17167</v>
      </c>
      <c r="E701" s="1" t="s">
        <v>16485</v>
      </c>
      <c r="F701" s="90">
        <v>45113.54304398148</v>
      </c>
      <c r="G701" s="90">
        <v>45912.639236111114</v>
      </c>
      <c r="H701" s="1" t="s">
        <v>16476</v>
      </c>
    </row>
    <row r="702">
      <c r="A702" s="1">
        <v>586.0</v>
      </c>
      <c r="B702" s="1" t="s">
        <v>17168</v>
      </c>
      <c r="E702" s="1" t="s">
        <v>16485</v>
      </c>
      <c r="F702" s="90">
        <v>45113.549155092594</v>
      </c>
      <c r="G702" s="90">
        <v>45912.63863425926</v>
      </c>
      <c r="H702" s="1" t="s">
        <v>16476</v>
      </c>
    </row>
    <row r="703">
      <c r="A703" s="1">
        <v>513.0</v>
      </c>
      <c r="B703" s="1" t="s">
        <v>17169</v>
      </c>
      <c r="E703" s="1" t="s">
        <v>16485</v>
      </c>
      <c r="F703" s="90">
        <v>45113.54809027778</v>
      </c>
      <c r="G703" s="90">
        <v>45912.63798611111</v>
      </c>
      <c r="H703" s="1" t="s">
        <v>16476</v>
      </c>
    </row>
    <row r="704">
      <c r="A704" s="89">
        <v>1019.0</v>
      </c>
      <c r="B704" s="1" t="s">
        <v>17170</v>
      </c>
      <c r="E704" s="1" t="s">
        <v>16475</v>
      </c>
      <c r="F704" s="90">
        <v>45113.55550925926</v>
      </c>
      <c r="G704" s="90">
        <v>45912.634421296294</v>
      </c>
      <c r="H704" s="1" t="s">
        <v>16476</v>
      </c>
    </row>
    <row r="705">
      <c r="A705" s="1">
        <v>264.0</v>
      </c>
      <c r="B705" s="1" t="s">
        <v>17171</v>
      </c>
      <c r="E705" s="1" t="s">
        <v>16485</v>
      </c>
      <c r="F705" s="90">
        <v>45113.544386574074</v>
      </c>
      <c r="G705" s="90">
        <v>45912.63383101852</v>
      </c>
      <c r="H705" s="1" t="s">
        <v>16476</v>
      </c>
    </row>
    <row r="706">
      <c r="A706" s="1">
        <v>776.0</v>
      </c>
      <c r="B706" s="1" t="s">
        <v>17172</v>
      </c>
      <c r="E706" s="1" t="s">
        <v>16485</v>
      </c>
      <c r="F706" s="90">
        <v>45113.55196759259</v>
      </c>
      <c r="G706" s="90">
        <v>45912.63354166667</v>
      </c>
      <c r="H706" s="1" t="s">
        <v>16476</v>
      </c>
    </row>
    <row r="707">
      <c r="A707" s="89">
        <v>1091.0</v>
      </c>
      <c r="B707" s="1" t="s">
        <v>17173</v>
      </c>
      <c r="E707" s="1" t="s">
        <v>16485</v>
      </c>
      <c r="F707" s="90">
        <v>45113.5565625</v>
      </c>
      <c r="G707" s="90">
        <v>45912.63314814815</v>
      </c>
      <c r="H707" s="1" t="s">
        <v>16476</v>
      </c>
    </row>
    <row r="708">
      <c r="A708" s="1">
        <v>664.0</v>
      </c>
      <c r="B708" s="1" t="s">
        <v>17174</v>
      </c>
      <c r="E708" s="1" t="s">
        <v>16485</v>
      </c>
      <c r="F708" s="90">
        <v>45113.5503125</v>
      </c>
      <c r="G708" s="90">
        <v>45912.632048611114</v>
      </c>
      <c r="H708" s="1" t="s">
        <v>16476</v>
      </c>
    </row>
    <row r="709">
      <c r="A709" s="1">
        <v>145.0</v>
      </c>
      <c r="B709" s="1" t="s">
        <v>17175</v>
      </c>
      <c r="E709" s="1" t="s">
        <v>16485</v>
      </c>
      <c r="F709" s="90">
        <v>45113.542604166665</v>
      </c>
      <c r="G709" s="90">
        <v>45912.63172453704</v>
      </c>
      <c r="H709" s="1" t="s">
        <v>16476</v>
      </c>
    </row>
    <row r="710">
      <c r="A710" s="89">
        <v>1003.0</v>
      </c>
      <c r="B710" s="1" t="s">
        <v>17176</v>
      </c>
      <c r="E710" s="1" t="s">
        <v>16485</v>
      </c>
      <c r="F710" s="90">
        <v>45113.55527777778</v>
      </c>
      <c r="G710" s="90">
        <v>45912.63108796296</v>
      </c>
      <c r="H710" s="1" t="s">
        <v>16476</v>
      </c>
    </row>
    <row r="711">
      <c r="A711" s="1">
        <v>579.0</v>
      </c>
      <c r="B711" s="1" t="s">
        <v>17177</v>
      </c>
      <c r="E711" s="1" t="s">
        <v>16485</v>
      </c>
      <c r="F711" s="90">
        <v>45113.549050925925</v>
      </c>
      <c r="G711" s="90">
        <v>45912.63048611111</v>
      </c>
      <c r="H711" s="1" t="s">
        <v>16476</v>
      </c>
    </row>
    <row r="712">
      <c r="A712" s="1">
        <v>834.0</v>
      </c>
      <c r="B712" s="1" t="s">
        <v>17178</v>
      </c>
      <c r="E712" s="1" t="s">
        <v>5202</v>
      </c>
      <c r="F712" s="90">
        <v>45113.5528125</v>
      </c>
      <c r="G712" s="90">
        <v>45912.629745370374</v>
      </c>
      <c r="H712" s="1" t="s">
        <v>16476</v>
      </c>
    </row>
    <row r="713">
      <c r="A713" s="89">
        <v>1127.0</v>
      </c>
      <c r="B713" s="1" t="s">
        <v>17179</v>
      </c>
      <c r="E713" s="1" t="s">
        <v>16475</v>
      </c>
      <c r="F713" s="90">
        <v>45113.55708333333</v>
      </c>
      <c r="G713" s="90">
        <v>45912.62946759259</v>
      </c>
      <c r="H713" s="1" t="s">
        <v>16476</v>
      </c>
    </row>
    <row r="714">
      <c r="A714" s="89">
        <v>1196.0</v>
      </c>
      <c r="B714" s="1" t="s">
        <v>17180</v>
      </c>
      <c r="E714" s="1" t="s">
        <v>16475</v>
      </c>
      <c r="F714" s="90">
        <v>45113.55811342593</v>
      </c>
      <c r="G714" s="90">
        <v>45912.62892361111</v>
      </c>
      <c r="H714" s="1" t="s">
        <v>16476</v>
      </c>
    </row>
    <row r="715">
      <c r="A715" s="89">
        <v>1052.0</v>
      </c>
      <c r="B715" s="1" t="s">
        <v>17181</v>
      </c>
      <c r="E715" s="1" t="s">
        <v>5202</v>
      </c>
      <c r="F715" s="90">
        <v>45113.55599537037</v>
      </c>
      <c r="G715" s="90">
        <v>45912.62850694444</v>
      </c>
      <c r="H715" s="1" t="s">
        <v>16476</v>
      </c>
    </row>
    <row r="716">
      <c r="A716" s="89">
        <v>1018.0</v>
      </c>
      <c r="B716" s="1" t="s">
        <v>17182</v>
      </c>
      <c r="E716" s="1" t="s">
        <v>16475</v>
      </c>
      <c r="F716" s="90">
        <v>45113.555497685185</v>
      </c>
      <c r="G716" s="90">
        <v>45912.628217592595</v>
      </c>
      <c r="H716" s="1" t="s">
        <v>16476</v>
      </c>
    </row>
    <row r="717">
      <c r="A717" s="1">
        <v>913.0</v>
      </c>
      <c r="B717" s="1" t="s">
        <v>17183</v>
      </c>
      <c r="E717" s="1" t="s">
        <v>16475</v>
      </c>
      <c r="F717" s="90">
        <v>45113.55395833333</v>
      </c>
      <c r="G717" s="90">
        <v>45912.62730324074</v>
      </c>
      <c r="H717" s="1" t="s">
        <v>16476</v>
      </c>
    </row>
    <row r="718">
      <c r="A718" s="1">
        <v>185.0</v>
      </c>
      <c r="B718" s="1" t="s">
        <v>17184</v>
      </c>
      <c r="E718" s="1" t="s">
        <v>16475</v>
      </c>
      <c r="F718" s="90">
        <v>45113.54319444444</v>
      </c>
      <c r="G718" s="90">
        <v>45912.62082175926</v>
      </c>
      <c r="H718" s="1" t="s">
        <v>16476</v>
      </c>
    </row>
    <row r="719">
      <c r="A719" s="1">
        <v>837.0</v>
      </c>
      <c r="B719" s="1" t="s">
        <v>17185</v>
      </c>
      <c r="E719" s="1" t="s">
        <v>5202</v>
      </c>
      <c r="F719" s="90">
        <v>45113.55284722222</v>
      </c>
      <c r="G719" s="90">
        <v>45912.62049768519</v>
      </c>
      <c r="H719" s="1" t="s">
        <v>16476</v>
      </c>
    </row>
    <row r="720">
      <c r="A720" s="89">
        <v>1164.0</v>
      </c>
      <c r="B720" s="1" t="s">
        <v>17186</v>
      </c>
      <c r="E720" s="1" t="s">
        <v>5202</v>
      </c>
      <c r="F720" s="90">
        <v>45113.557650462964</v>
      </c>
      <c r="G720" s="90">
        <v>45912.60538194444</v>
      </c>
      <c r="H720" s="1" t="s">
        <v>16476</v>
      </c>
    </row>
    <row r="721">
      <c r="A721" s="1">
        <v>474.0</v>
      </c>
      <c r="B721" s="1" t="s">
        <v>17187</v>
      </c>
      <c r="E721" s="1" t="s">
        <v>5202</v>
      </c>
      <c r="F721" s="90">
        <v>45113.54752314815</v>
      </c>
      <c r="G721" s="90">
        <v>45912.60506944444</v>
      </c>
      <c r="H721" s="1" t="s">
        <v>16476</v>
      </c>
    </row>
    <row r="722">
      <c r="A722" s="1">
        <v>636.0</v>
      </c>
      <c r="B722" s="1" t="s">
        <v>17188</v>
      </c>
      <c r="E722" s="1" t="s">
        <v>16485</v>
      </c>
      <c r="F722" s="90">
        <v>45113.549895833334</v>
      </c>
      <c r="G722" s="90">
        <v>45909.982719907406</v>
      </c>
      <c r="H722" s="1" t="s">
        <v>16476</v>
      </c>
    </row>
    <row r="723">
      <c r="A723" s="1">
        <v>163.0</v>
      </c>
      <c r="B723" s="1" t="s">
        <v>17189</v>
      </c>
      <c r="E723" s="1" t="s">
        <v>16485</v>
      </c>
      <c r="F723" s="90">
        <v>45113.542858796296</v>
      </c>
      <c r="G723" s="90">
        <v>45909.98212962963</v>
      </c>
      <c r="H723" s="1" t="s">
        <v>16476</v>
      </c>
    </row>
    <row r="724">
      <c r="A724" s="1">
        <v>260.0</v>
      </c>
      <c r="B724" s="1" t="s">
        <v>17190</v>
      </c>
      <c r="E724" s="1" t="s">
        <v>16485</v>
      </c>
      <c r="F724" s="90">
        <v>45113.544328703705</v>
      </c>
      <c r="G724" s="90">
        <v>45909.978530092594</v>
      </c>
      <c r="H724" s="1" t="s">
        <v>16476</v>
      </c>
    </row>
    <row r="725">
      <c r="A725" s="89">
        <v>1097.0</v>
      </c>
      <c r="B725" s="1" t="s">
        <v>17191</v>
      </c>
      <c r="E725" s="1" t="s">
        <v>16485</v>
      </c>
      <c r="F725" s="90">
        <v>45113.556655092594</v>
      </c>
      <c r="G725" s="90">
        <v>45909.97814814815</v>
      </c>
      <c r="H725" s="1" t="s">
        <v>16476</v>
      </c>
    </row>
    <row r="726">
      <c r="A726" s="1">
        <v>763.0</v>
      </c>
      <c r="B726" s="1" t="s">
        <v>17192</v>
      </c>
      <c r="E726" s="1" t="s">
        <v>5202</v>
      </c>
      <c r="F726" s="90">
        <v>45113.551770833335</v>
      </c>
      <c r="G726" s="90">
        <v>45909.97505787037</v>
      </c>
      <c r="H726" s="1" t="s">
        <v>16476</v>
      </c>
    </row>
    <row r="727">
      <c r="A727" s="1">
        <v>569.0</v>
      </c>
      <c r="B727" s="1" t="s">
        <v>17193</v>
      </c>
      <c r="E727" s="1" t="s">
        <v>16475</v>
      </c>
      <c r="F727" s="90">
        <v>45113.54890046296</v>
      </c>
      <c r="G727" s="90">
        <v>45909.9741087963</v>
      </c>
      <c r="H727" s="1" t="s">
        <v>16476</v>
      </c>
    </row>
    <row r="728">
      <c r="A728" s="89">
        <v>1093.0</v>
      </c>
      <c r="B728" s="1" t="s">
        <v>17194</v>
      </c>
      <c r="E728" s="1" t="s">
        <v>16485</v>
      </c>
      <c r="F728" s="90">
        <v>45113.55658564815</v>
      </c>
      <c r="G728" s="90">
        <v>45909.97314814815</v>
      </c>
      <c r="H728" s="1" t="s">
        <v>16476</v>
      </c>
    </row>
    <row r="729">
      <c r="A729" s="1">
        <v>146.0</v>
      </c>
      <c r="B729" s="1" t="s">
        <v>17195</v>
      </c>
      <c r="E729" s="1" t="s">
        <v>16475</v>
      </c>
      <c r="F729" s="90">
        <v>45113.54261574074</v>
      </c>
      <c r="G729" s="90">
        <v>45909.972766203704</v>
      </c>
      <c r="H729" s="1" t="s">
        <v>16476</v>
      </c>
    </row>
    <row r="730">
      <c r="A730" s="1">
        <v>333.0</v>
      </c>
      <c r="B730" s="1" t="s">
        <v>17196</v>
      </c>
      <c r="E730" s="1" t="s">
        <v>16475</v>
      </c>
      <c r="F730" s="90">
        <v>45113.545439814814</v>
      </c>
      <c r="G730" s="90">
        <v>45909.971979166665</v>
      </c>
      <c r="H730" s="1" t="s">
        <v>16476</v>
      </c>
    </row>
    <row r="731">
      <c r="A731" s="1">
        <v>750.0</v>
      </c>
      <c r="B731" s="1" t="s">
        <v>17197</v>
      </c>
      <c r="E731" s="1" t="s">
        <v>16475</v>
      </c>
      <c r="F731" s="90">
        <v>45113.55158564815</v>
      </c>
      <c r="G731" s="90">
        <v>45909.97162037037</v>
      </c>
      <c r="H731" s="1" t="s">
        <v>16476</v>
      </c>
    </row>
    <row r="732">
      <c r="A732" s="1">
        <v>449.0</v>
      </c>
      <c r="B732" s="1" t="s">
        <v>17198</v>
      </c>
      <c r="E732" s="1" t="s">
        <v>16485</v>
      </c>
      <c r="F732" s="90">
        <v>45113.54715277778</v>
      </c>
      <c r="G732" s="90">
        <v>45909.97133101852</v>
      </c>
      <c r="H732" s="1" t="s">
        <v>16476</v>
      </c>
    </row>
    <row r="733">
      <c r="A733" s="89">
        <v>1231.0</v>
      </c>
      <c r="B733" s="1" t="s">
        <v>17199</v>
      </c>
      <c r="E733" s="1" t="s">
        <v>16475</v>
      </c>
      <c r="F733" s="90">
        <v>45113.55862268519</v>
      </c>
      <c r="G733" s="90">
        <v>45909.971041666664</v>
      </c>
      <c r="H733" s="1" t="s">
        <v>16476</v>
      </c>
    </row>
    <row r="734">
      <c r="A734" s="89">
        <v>1094.0</v>
      </c>
      <c r="B734" s="1" t="s">
        <v>17200</v>
      </c>
      <c r="E734" s="1" t="s">
        <v>5202</v>
      </c>
      <c r="F734" s="90">
        <v>45113.556608796294</v>
      </c>
      <c r="G734" s="90">
        <v>45909.97043981482</v>
      </c>
      <c r="H734" s="1" t="s">
        <v>16476</v>
      </c>
    </row>
    <row r="735">
      <c r="A735" s="1">
        <v>634.0</v>
      </c>
      <c r="B735" s="1" t="s">
        <v>17201</v>
      </c>
      <c r="E735" s="1" t="s">
        <v>5202</v>
      </c>
      <c r="F735" s="90">
        <v>45113.54987268519</v>
      </c>
      <c r="G735" s="90">
        <v>45909.969976851855</v>
      </c>
      <c r="H735" s="1" t="s">
        <v>16476</v>
      </c>
    </row>
    <row r="736">
      <c r="A736" s="89">
        <v>1233.0</v>
      </c>
      <c r="B736" s="1" t="s">
        <v>17202</v>
      </c>
      <c r="E736" s="1" t="s">
        <v>16475</v>
      </c>
      <c r="F736" s="90">
        <v>45113.558645833335</v>
      </c>
      <c r="G736" s="90">
        <v>45909.96869212963</v>
      </c>
      <c r="H736" s="1" t="s">
        <v>16476</v>
      </c>
    </row>
    <row r="737">
      <c r="A737" s="1">
        <v>650.0</v>
      </c>
      <c r="B737" s="1" t="s">
        <v>17203</v>
      </c>
      <c r="E737" s="1" t="s">
        <v>5202</v>
      </c>
      <c r="F737" s="90">
        <v>45113.550104166665</v>
      </c>
      <c r="G737" s="90">
        <v>45909.96827546296</v>
      </c>
      <c r="H737" s="1" t="s">
        <v>16476</v>
      </c>
    </row>
    <row r="738">
      <c r="A738" s="1">
        <v>564.0</v>
      </c>
      <c r="B738" s="1" t="s">
        <v>17204</v>
      </c>
      <c r="E738" s="1" t="s">
        <v>16485</v>
      </c>
      <c r="F738" s="90">
        <v>45113.54883101852</v>
      </c>
      <c r="G738" s="90">
        <v>45909.96753472222</v>
      </c>
      <c r="H738" s="1" t="s">
        <v>16476</v>
      </c>
    </row>
    <row r="739">
      <c r="A739" s="1">
        <v>485.0</v>
      </c>
      <c r="B739" s="1" t="s">
        <v>17205</v>
      </c>
      <c r="E739" s="1" t="s">
        <v>16475</v>
      </c>
      <c r="F739" s="90">
        <v>45113.547685185185</v>
      </c>
      <c r="G739" s="90">
        <v>45909.96672453704</v>
      </c>
      <c r="H739" s="1" t="s">
        <v>16476</v>
      </c>
    </row>
    <row r="740">
      <c r="A740" s="89">
        <v>1007.0</v>
      </c>
      <c r="B740" s="1" t="s">
        <v>17206</v>
      </c>
      <c r="E740" s="1" t="s">
        <v>16475</v>
      </c>
      <c r="F740" s="90">
        <v>45113.55533564815</v>
      </c>
      <c r="G740" s="90">
        <v>45909.965104166666</v>
      </c>
      <c r="H740" s="1" t="s">
        <v>16476</v>
      </c>
    </row>
    <row r="741">
      <c r="A741" s="1">
        <v>706.0</v>
      </c>
      <c r="B741" s="1" t="s">
        <v>17207</v>
      </c>
      <c r="E741" s="1" t="s">
        <v>5202</v>
      </c>
      <c r="F741" s="90">
        <v>45113.55094907407</v>
      </c>
      <c r="G741" s="90">
        <v>45909.963217592594</v>
      </c>
      <c r="H741" s="1" t="s">
        <v>16476</v>
      </c>
    </row>
    <row r="742">
      <c r="A742" s="1">
        <v>136.0</v>
      </c>
      <c r="B742" s="1" t="s">
        <v>17208</v>
      </c>
      <c r="E742" s="1" t="s">
        <v>16475</v>
      </c>
      <c r="F742" s="90">
        <v>45113.54246527778</v>
      </c>
      <c r="G742" s="90">
        <v>45909.96262731482</v>
      </c>
      <c r="H742" s="1" t="s">
        <v>16476</v>
      </c>
    </row>
    <row r="743">
      <c r="A743" s="89">
        <v>1152.0</v>
      </c>
      <c r="B743" s="1" t="s">
        <v>17209</v>
      </c>
      <c r="E743" s="1" t="s">
        <v>16481</v>
      </c>
      <c r="F743" s="90">
        <v>45113.5574537037</v>
      </c>
      <c r="G743" s="90">
        <v>45909.96195601852</v>
      </c>
      <c r="H743" s="1" t="s">
        <v>16476</v>
      </c>
    </row>
    <row r="744">
      <c r="A744" s="1">
        <v>511.0</v>
      </c>
      <c r="B744" s="1" t="s">
        <v>17210</v>
      </c>
      <c r="E744" s="1" t="s">
        <v>16475</v>
      </c>
      <c r="F744" s="90">
        <v>45113.548055555555</v>
      </c>
      <c r="G744" s="90">
        <v>45909.96160879629</v>
      </c>
      <c r="H744" s="1" t="s">
        <v>16476</v>
      </c>
    </row>
    <row r="745">
      <c r="A745" s="1">
        <v>171.0</v>
      </c>
      <c r="B745" s="1" t="s">
        <v>17211</v>
      </c>
      <c r="E745" s="1" t="s">
        <v>16485</v>
      </c>
      <c r="F745" s="90">
        <v>45113.54298611111</v>
      </c>
      <c r="G745" s="90">
        <v>45908.818020833336</v>
      </c>
      <c r="H745" s="1" t="s">
        <v>16476</v>
      </c>
    </row>
    <row r="746">
      <c r="A746" s="1">
        <v>345.0</v>
      </c>
      <c r="B746" s="1" t="s">
        <v>17212</v>
      </c>
      <c r="E746" s="1" t="s">
        <v>16485</v>
      </c>
      <c r="F746" s="90">
        <v>45113.54561342593</v>
      </c>
      <c r="G746" s="90">
        <v>45907.989803240744</v>
      </c>
      <c r="H746" s="1" t="s">
        <v>16476</v>
      </c>
    </row>
    <row r="747">
      <c r="A747" s="1">
        <v>441.0</v>
      </c>
      <c r="B747" s="1" t="s">
        <v>17213</v>
      </c>
      <c r="E747" s="1" t="s">
        <v>16485</v>
      </c>
      <c r="F747" s="90">
        <v>45113.54703703704</v>
      </c>
      <c r="G747" s="90">
        <v>45907.9891087963</v>
      </c>
      <c r="H747" s="1" t="s">
        <v>16476</v>
      </c>
    </row>
    <row r="748">
      <c r="A748" s="1">
        <v>637.0</v>
      </c>
      <c r="B748" s="1" t="s">
        <v>17214</v>
      </c>
      <c r="E748" s="1" t="s">
        <v>16485</v>
      </c>
      <c r="F748" s="90">
        <v>45113.54991898148</v>
      </c>
      <c r="G748" s="90">
        <v>45907.98849537037</v>
      </c>
      <c r="H748" s="1" t="s">
        <v>16476</v>
      </c>
    </row>
    <row r="749">
      <c r="A749" s="1">
        <v>672.0</v>
      </c>
      <c r="B749" s="1" t="s">
        <v>17215</v>
      </c>
      <c r="E749" s="1" t="s">
        <v>16485</v>
      </c>
      <c r="F749" s="90">
        <v>45113.55042824074</v>
      </c>
      <c r="G749" s="90">
        <v>45907.98787037037</v>
      </c>
      <c r="H749" s="1" t="s">
        <v>16476</v>
      </c>
    </row>
    <row r="750">
      <c r="A750" s="89">
        <v>1248.0</v>
      </c>
      <c r="B750" s="1" t="s">
        <v>17216</v>
      </c>
      <c r="E750" s="1" t="s">
        <v>16475</v>
      </c>
      <c r="F750" s="90">
        <v>45113.55886574074</v>
      </c>
      <c r="G750" s="90">
        <v>45907.98751157407</v>
      </c>
      <c r="H750" s="1" t="s">
        <v>16476</v>
      </c>
    </row>
    <row r="751">
      <c r="A751" s="1">
        <v>926.0</v>
      </c>
      <c r="B751" s="1" t="s">
        <v>17217</v>
      </c>
      <c r="E751" s="1" t="s">
        <v>5202</v>
      </c>
      <c r="F751" s="90">
        <v>45113.55415509259</v>
      </c>
      <c r="G751" s="90">
        <v>45907.9871412037</v>
      </c>
      <c r="H751" s="1" t="s">
        <v>16476</v>
      </c>
    </row>
    <row r="752">
      <c r="A752" s="1">
        <v>425.0</v>
      </c>
      <c r="B752" s="1" t="s">
        <v>17218</v>
      </c>
      <c r="E752" s="1" t="s">
        <v>16485</v>
      </c>
      <c r="F752" s="90">
        <v>45113.546805555554</v>
      </c>
      <c r="G752" s="90">
        <v>45907.986608796295</v>
      </c>
      <c r="H752" s="1" t="s">
        <v>16476</v>
      </c>
    </row>
    <row r="753">
      <c r="A753" s="1">
        <v>400.0</v>
      </c>
      <c r="B753" s="1" t="s">
        <v>17219</v>
      </c>
      <c r="E753" s="1" t="s">
        <v>16485</v>
      </c>
      <c r="F753" s="90">
        <v>45113.546435185184</v>
      </c>
      <c r="G753" s="90">
        <v>45907.986342592594</v>
      </c>
      <c r="H753" s="1" t="s">
        <v>16476</v>
      </c>
    </row>
    <row r="754">
      <c r="A754" s="1">
        <v>868.0</v>
      </c>
      <c r="B754" s="1" t="s">
        <v>17220</v>
      </c>
      <c r="E754" s="1" t="s">
        <v>16485</v>
      </c>
      <c r="F754" s="90">
        <v>45113.55331018518</v>
      </c>
      <c r="G754" s="90">
        <v>45907.98607638889</v>
      </c>
      <c r="H754" s="1" t="s">
        <v>16476</v>
      </c>
    </row>
    <row r="755">
      <c r="A755" s="89">
        <v>1087.0</v>
      </c>
      <c r="B755" s="1" t="s">
        <v>17221</v>
      </c>
      <c r="E755" s="1" t="s">
        <v>16485</v>
      </c>
      <c r="F755" s="90">
        <v>45113.55650462963</v>
      </c>
      <c r="G755" s="90">
        <v>45907.985810185186</v>
      </c>
      <c r="H755" s="1" t="s">
        <v>16476</v>
      </c>
    </row>
    <row r="756">
      <c r="A756" s="1">
        <v>404.0</v>
      </c>
      <c r="B756" s="1" t="s">
        <v>17222</v>
      </c>
      <c r="E756" s="1" t="s">
        <v>16485</v>
      </c>
      <c r="F756" s="90">
        <v>45113.54649305555</v>
      </c>
      <c r="G756" s="90">
        <v>45907.985439814816</v>
      </c>
      <c r="H756" s="1" t="s">
        <v>16476</v>
      </c>
    </row>
    <row r="757">
      <c r="A757" s="1">
        <v>546.0</v>
      </c>
      <c r="B757" s="1" t="s">
        <v>17223</v>
      </c>
      <c r="E757" s="1" t="s">
        <v>16485</v>
      </c>
      <c r="F757" s="90">
        <v>45113.54856481482</v>
      </c>
      <c r="G757" s="90">
        <v>45907.98515046296</v>
      </c>
      <c r="H757" s="1" t="s">
        <v>16476</v>
      </c>
    </row>
    <row r="758">
      <c r="A758" s="1">
        <v>644.0</v>
      </c>
      <c r="B758" s="1" t="s">
        <v>17224</v>
      </c>
      <c r="E758" s="1" t="s">
        <v>5202</v>
      </c>
      <c r="F758" s="90">
        <v>45113.55001157407</v>
      </c>
      <c r="G758" s="90">
        <v>45907.98486111111</v>
      </c>
      <c r="H758" s="1" t="s">
        <v>16476</v>
      </c>
    </row>
    <row r="759">
      <c r="A759" s="89">
        <v>1084.0</v>
      </c>
      <c r="B759" s="1" t="s">
        <v>17225</v>
      </c>
      <c r="E759" s="1" t="s">
        <v>16475</v>
      </c>
      <c r="F759" s="90">
        <v>45113.55645833333</v>
      </c>
      <c r="G759" s="90">
        <v>45907.98434027778</v>
      </c>
      <c r="H759" s="1" t="s">
        <v>16476</v>
      </c>
    </row>
    <row r="760">
      <c r="A760" s="89">
        <v>1121.0</v>
      </c>
      <c r="B760" s="1" t="s">
        <v>17226</v>
      </c>
      <c r="E760" s="1" t="s">
        <v>16475</v>
      </c>
      <c r="F760" s="90">
        <v>45113.55700231482</v>
      </c>
      <c r="G760" s="90">
        <v>45907.98370370371</v>
      </c>
      <c r="H760" s="1" t="s">
        <v>16476</v>
      </c>
    </row>
    <row r="761">
      <c r="A761" s="1">
        <v>303.0</v>
      </c>
      <c r="B761" s="1" t="s">
        <v>17227</v>
      </c>
      <c r="E761" s="1" t="s">
        <v>16485</v>
      </c>
      <c r="F761" s="90">
        <v>45113.545</v>
      </c>
      <c r="G761" s="90">
        <v>45907.98295138889</v>
      </c>
      <c r="H761" s="1" t="s">
        <v>16476</v>
      </c>
    </row>
    <row r="762">
      <c r="A762" s="1">
        <v>424.0</v>
      </c>
      <c r="B762" s="1" t="s">
        <v>17228</v>
      </c>
      <c r="E762" s="1" t="s">
        <v>16475</v>
      </c>
      <c r="F762" s="90">
        <v>45113.54678240741</v>
      </c>
      <c r="G762" s="90">
        <v>45907.982037037036</v>
      </c>
      <c r="H762" s="1" t="s">
        <v>16476</v>
      </c>
    </row>
    <row r="763">
      <c r="A763" s="89">
        <v>1246.0</v>
      </c>
      <c r="B763" s="1" t="s">
        <v>17229</v>
      </c>
      <c r="E763" s="1" t="s">
        <v>5202</v>
      </c>
      <c r="F763" s="90">
        <v>45113.55883101852</v>
      </c>
      <c r="G763" s="90">
        <v>45907.98143518518</v>
      </c>
      <c r="H763" s="1" t="s">
        <v>16476</v>
      </c>
    </row>
    <row r="764">
      <c r="A764" s="1">
        <v>174.0</v>
      </c>
      <c r="B764" s="1" t="s">
        <v>17230</v>
      </c>
      <c r="E764" s="1" t="s">
        <v>16485</v>
      </c>
      <c r="F764" s="90">
        <v>45113.543032407404</v>
      </c>
      <c r="G764" s="90">
        <v>45907.98119212963</v>
      </c>
      <c r="H764" s="1" t="s">
        <v>16476</v>
      </c>
    </row>
    <row r="765">
      <c r="A765" s="1">
        <v>253.0</v>
      </c>
      <c r="B765" s="1" t="s">
        <v>17231</v>
      </c>
      <c r="E765" s="1" t="s">
        <v>16485</v>
      </c>
      <c r="F765" s="90">
        <v>45113.544224537036</v>
      </c>
      <c r="G765" s="90">
        <v>45907.98087962963</v>
      </c>
      <c r="H765" s="1" t="s">
        <v>16476</v>
      </c>
    </row>
    <row r="766">
      <c r="A766" s="1">
        <v>528.0</v>
      </c>
      <c r="B766" s="1" t="s">
        <v>17232</v>
      </c>
      <c r="E766" s="1" t="s">
        <v>16485</v>
      </c>
      <c r="F766" s="90">
        <v>45113.548310185186</v>
      </c>
      <c r="G766" s="90">
        <v>45907.98063657407</v>
      </c>
      <c r="H766" s="1" t="s">
        <v>16476</v>
      </c>
    </row>
    <row r="767">
      <c r="A767" s="1">
        <v>274.0</v>
      </c>
      <c r="B767" s="1" t="s">
        <v>17233</v>
      </c>
      <c r="E767" s="1" t="s">
        <v>16485</v>
      </c>
      <c r="F767" s="90">
        <v>45113.544537037036</v>
      </c>
      <c r="G767" s="90">
        <v>45907.98038194444</v>
      </c>
      <c r="H767" s="1" t="s">
        <v>16476</v>
      </c>
    </row>
    <row r="768">
      <c r="A768" s="1">
        <v>727.0</v>
      </c>
      <c r="B768" s="1" t="s">
        <v>17234</v>
      </c>
      <c r="E768" s="1" t="s">
        <v>16475</v>
      </c>
      <c r="F768" s="90">
        <v>45113.55125</v>
      </c>
      <c r="G768" s="90">
        <v>45907.97996527778</v>
      </c>
      <c r="H768" s="1" t="s">
        <v>16476</v>
      </c>
    </row>
    <row r="769">
      <c r="A769" s="1">
        <v>658.0</v>
      </c>
      <c r="B769" s="1" t="s">
        <v>17235</v>
      </c>
      <c r="E769" s="1" t="s">
        <v>16475</v>
      </c>
      <c r="F769" s="90">
        <v>45113.55021990741</v>
      </c>
      <c r="G769" s="90">
        <v>45907.979409722226</v>
      </c>
      <c r="H769" s="1" t="s">
        <v>16476</v>
      </c>
    </row>
    <row r="770">
      <c r="A770" s="1">
        <v>538.0</v>
      </c>
      <c r="B770" s="1" t="s">
        <v>17236</v>
      </c>
      <c r="E770" s="1" t="s">
        <v>16475</v>
      </c>
      <c r="F770" s="90">
        <v>45113.54844907407</v>
      </c>
      <c r="G770" s="90">
        <v>45907.9790162037</v>
      </c>
      <c r="H770" s="1" t="s">
        <v>16476</v>
      </c>
    </row>
    <row r="771">
      <c r="A771" s="1">
        <v>398.0</v>
      </c>
      <c r="B771" s="1" t="s">
        <v>17237</v>
      </c>
      <c r="E771" s="1" t="s">
        <v>16485</v>
      </c>
      <c r="F771" s="90">
        <v>45113.54640046296</v>
      </c>
      <c r="G771" s="90">
        <v>45907.978472222225</v>
      </c>
      <c r="H771" s="1" t="s">
        <v>16476</v>
      </c>
    </row>
    <row r="772">
      <c r="A772" s="1">
        <v>308.0</v>
      </c>
      <c r="B772" s="1" t="s">
        <v>17238</v>
      </c>
      <c r="E772" s="1" t="s">
        <v>16485</v>
      </c>
      <c r="F772" s="90">
        <v>45113.545069444444</v>
      </c>
      <c r="G772" s="90">
        <v>45907.97825231482</v>
      </c>
      <c r="H772" s="1" t="s">
        <v>16476</v>
      </c>
    </row>
    <row r="773">
      <c r="A773" s="1">
        <v>261.0</v>
      </c>
      <c r="B773" s="1" t="s">
        <v>17239</v>
      </c>
      <c r="E773" s="1" t="s">
        <v>16475</v>
      </c>
      <c r="F773" s="90">
        <v>45113.544340277775</v>
      </c>
      <c r="G773" s="90">
        <v>45907.97792824074</v>
      </c>
      <c r="H773" s="1" t="s">
        <v>16476</v>
      </c>
    </row>
    <row r="774">
      <c r="A774" s="89">
        <v>1189.0</v>
      </c>
      <c r="B774" s="1" t="s">
        <v>17240</v>
      </c>
      <c r="E774" s="1" t="s">
        <v>16475</v>
      </c>
      <c r="F774" s="90">
        <v>45113.55800925926</v>
      </c>
      <c r="G774" s="90">
        <v>45907.97721064815</v>
      </c>
      <c r="H774" s="1" t="s">
        <v>16476</v>
      </c>
    </row>
    <row r="775">
      <c r="A775" s="89">
        <v>1146.0</v>
      </c>
      <c r="B775" s="1" t="s">
        <v>17241</v>
      </c>
      <c r="E775" s="1" t="s">
        <v>16485</v>
      </c>
      <c r="F775" s="90">
        <v>45113.55737268519</v>
      </c>
      <c r="G775" s="90">
        <v>45907.97690972222</v>
      </c>
      <c r="H775" s="1" t="s">
        <v>16476</v>
      </c>
    </row>
    <row r="776">
      <c r="A776" s="1">
        <v>287.0</v>
      </c>
      <c r="B776" s="1" t="s">
        <v>17242</v>
      </c>
      <c r="E776" s="1" t="s">
        <v>16485</v>
      </c>
      <c r="F776" s="90">
        <v>45113.544756944444</v>
      </c>
      <c r="G776" s="90">
        <v>45907.97625</v>
      </c>
      <c r="H776" s="1" t="s">
        <v>16476</v>
      </c>
    </row>
    <row r="777">
      <c r="A777" s="1">
        <v>247.0</v>
      </c>
      <c r="B777" s="1" t="s">
        <v>17243</v>
      </c>
      <c r="E777" s="1" t="s">
        <v>16475</v>
      </c>
      <c r="F777" s="90">
        <v>45113.54413194444</v>
      </c>
      <c r="G777" s="90">
        <v>45907.97591435185</v>
      </c>
      <c r="H777" s="1" t="s">
        <v>16476</v>
      </c>
    </row>
    <row r="778">
      <c r="A778" s="1">
        <v>466.0</v>
      </c>
      <c r="B778" s="1" t="s">
        <v>17244</v>
      </c>
      <c r="E778" s="1" t="s">
        <v>16485</v>
      </c>
      <c r="F778" s="90">
        <v>45113.54740740741</v>
      </c>
      <c r="G778" s="90">
        <v>45907.97520833334</v>
      </c>
      <c r="H778" s="1" t="s">
        <v>16476</v>
      </c>
    </row>
    <row r="779">
      <c r="A779" s="1">
        <v>661.0</v>
      </c>
      <c r="B779" s="1" t="s">
        <v>17245</v>
      </c>
      <c r="E779" s="1" t="s">
        <v>16475</v>
      </c>
      <c r="F779" s="90">
        <v>45113.5502662037</v>
      </c>
      <c r="G779" s="90">
        <v>45907.97472222222</v>
      </c>
      <c r="H779" s="1" t="s">
        <v>16476</v>
      </c>
    </row>
    <row r="780">
      <c r="A780" s="89">
        <v>1177.0</v>
      </c>
      <c r="B780" s="1" t="s">
        <v>17246</v>
      </c>
      <c r="E780" s="1" t="s">
        <v>16475</v>
      </c>
      <c r="F780" s="90">
        <v>45113.55783564815</v>
      </c>
      <c r="G780" s="90">
        <v>45907.97392361111</v>
      </c>
      <c r="H780" s="1" t="s">
        <v>16476</v>
      </c>
    </row>
    <row r="781">
      <c r="A781" s="1">
        <v>267.0</v>
      </c>
      <c r="B781" s="1" t="s">
        <v>17247</v>
      </c>
      <c r="E781" s="1" t="s">
        <v>16475</v>
      </c>
      <c r="F781" s="90">
        <v>45113.54443287037</v>
      </c>
      <c r="G781" s="90">
        <v>45907.97329861111</v>
      </c>
      <c r="H781" s="1" t="s">
        <v>16476</v>
      </c>
    </row>
    <row r="782">
      <c r="A782" s="1">
        <v>580.0</v>
      </c>
      <c r="B782" s="1" t="s">
        <v>17248</v>
      </c>
      <c r="E782" s="1" t="s">
        <v>16485</v>
      </c>
      <c r="F782" s="90">
        <v>45113.5490625</v>
      </c>
      <c r="G782" s="90">
        <v>45907.972974537035</v>
      </c>
      <c r="H782" s="1" t="s">
        <v>16476</v>
      </c>
    </row>
    <row r="783">
      <c r="A783" s="1">
        <v>519.0</v>
      </c>
      <c r="B783" s="1" t="s">
        <v>17249</v>
      </c>
      <c r="E783" s="1" t="s">
        <v>16485</v>
      </c>
      <c r="F783" s="90">
        <v>45113.548171296294</v>
      </c>
      <c r="G783" s="90">
        <v>45907.97274305556</v>
      </c>
      <c r="H783" s="1" t="s">
        <v>16476</v>
      </c>
    </row>
    <row r="784">
      <c r="A784" s="1">
        <v>208.0</v>
      </c>
      <c r="B784" s="1" t="s">
        <v>17250</v>
      </c>
      <c r="E784" s="1" t="s">
        <v>16485</v>
      </c>
      <c r="F784" s="90">
        <v>45113.54353009259</v>
      </c>
      <c r="G784" s="90">
        <v>45907.97217592593</v>
      </c>
      <c r="H784" s="1" t="s">
        <v>16476</v>
      </c>
    </row>
    <row r="785">
      <c r="A785" s="89">
        <v>1118.0</v>
      </c>
      <c r="B785" s="1" t="s">
        <v>17251</v>
      </c>
      <c r="E785" s="1" t="s">
        <v>5202</v>
      </c>
      <c r="F785" s="90">
        <v>45113.55695601852</v>
      </c>
      <c r="G785" s="90">
        <v>45907.97185185185</v>
      </c>
      <c r="H785" s="1" t="s">
        <v>16476</v>
      </c>
    </row>
    <row r="786">
      <c r="A786" s="1">
        <v>510.0</v>
      </c>
      <c r="B786" s="1" t="s">
        <v>17252</v>
      </c>
      <c r="E786" s="1" t="s">
        <v>16485</v>
      </c>
      <c r="F786" s="90">
        <v>45113.54804398148</v>
      </c>
      <c r="G786" s="90">
        <v>45907.97162037037</v>
      </c>
      <c r="H786" s="1" t="s">
        <v>16476</v>
      </c>
    </row>
    <row r="787">
      <c r="A787" s="1">
        <v>268.0</v>
      </c>
      <c r="B787" s="1" t="s">
        <v>17253</v>
      </c>
      <c r="E787" s="1" t="s">
        <v>5202</v>
      </c>
      <c r="F787" s="90">
        <v>45113.544444444444</v>
      </c>
      <c r="G787" s="90">
        <v>45907.97138888889</v>
      </c>
      <c r="H787" s="1" t="s">
        <v>16476</v>
      </c>
    </row>
    <row r="788">
      <c r="A788" s="1">
        <v>262.0</v>
      </c>
      <c r="B788" s="1" t="s">
        <v>17254</v>
      </c>
      <c r="E788" s="1" t="s">
        <v>5202</v>
      </c>
      <c r="F788" s="90">
        <v>45113.54435185185</v>
      </c>
      <c r="G788" s="90">
        <v>45907.97109953704</v>
      </c>
      <c r="H788" s="1" t="s">
        <v>16476</v>
      </c>
    </row>
    <row r="789">
      <c r="A789" s="1">
        <v>895.0</v>
      </c>
      <c r="B789" s="1" t="s">
        <v>17255</v>
      </c>
      <c r="E789" s="1" t="s">
        <v>16485</v>
      </c>
      <c r="F789" s="90">
        <v>45113.55370370371</v>
      </c>
      <c r="G789" s="90">
        <v>45907.97042824074</v>
      </c>
      <c r="H789" s="1" t="s">
        <v>16476</v>
      </c>
    </row>
    <row r="790">
      <c r="A790" s="89">
        <v>1081.0</v>
      </c>
      <c r="B790" s="1" t="s">
        <v>17256</v>
      </c>
      <c r="E790" s="1" t="s">
        <v>16485</v>
      </c>
      <c r="F790" s="90">
        <v>45113.55641203704</v>
      </c>
      <c r="G790" s="90">
        <v>45907.961435185185</v>
      </c>
      <c r="H790" s="1" t="s">
        <v>16476</v>
      </c>
    </row>
    <row r="791">
      <c r="A791" s="89">
        <v>1154.0</v>
      </c>
      <c r="B791" s="1" t="s">
        <v>17257</v>
      </c>
      <c r="E791" s="1" t="s">
        <v>16485</v>
      </c>
      <c r="F791" s="90">
        <v>45113.557488425926</v>
      </c>
      <c r="G791" s="90">
        <v>45907.96105324074</v>
      </c>
      <c r="H791" s="1" t="s">
        <v>16476</v>
      </c>
    </row>
    <row r="792">
      <c r="A792" s="1">
        <v>903.0</v>
      </c>
      <c r="B792" s="1" t="s">
        <v>17258</v>
      </c>
      <c r="E792" s="1" t="s">
        <v>5202</v>
      </c>
      <c r="F792" s="90">
        <v>45113.553819444445</v>
      </c>
      <c r="G792" s="90">
        <v>45907.96053240741</v>
      </c>
      <c r="H792" s="1" t="s">
        <v>16476</v>
      </c>
    </row>
    <row r="793">
      <c r="A793" s="1">
        <v>157.0</v>
      </c>
      <c r="B793" s="1" t="s">
        <v>17259</v>
      </c>
      <c r="E793" s="1" t="s">
        <v>16485</v>
      </c>
      <c r="F793" s="90">
        <v>45113.54277777778</v>
      </c>
      <c r="G793" s="90">
        <v>45907.960277777776</v>
      </c>
      <c r="H793" s="1" t="s">
        <v>16476</v>
      </c>
    </row>
    <row r="794">
      <c r="A794" s="89">
        <v>1198.0</v>
      </c>
      <c r="B794" s="1" t="s">
        <v>17260</v>
      </c>
      <c r="E794" s="1" t="s">
        <v>16485</v>
      </c>
      <c r="F794" s="90">
        <v>45113.55813657407</v>
      </c>
      <c r="G794" s="90">
        <v>45907.9597337963</v>
      </c>
      <c r="H794" s="1" t="s">
        <v>16476</v>
      </c>
    </row>
    <row r="795">
      <c r="A795" s="1">
        <v>142.0</v>
      </c>
      <c r="B795" s="1" t="s">
        <v>17261</v>
      </c>
      <c r="E795" s="1" t="s">
        <v>16485</v>
      </c>
      <c r="F795" s="90">
        <v>45113.54255787037</v>
      </c>
      <c r="G795" s="90">
        <v>45907.95945601852</v>
      </c>
      <c r="H795" s="1" t="s">
        <v>16476</v>
      </c>
    </row>
    <row r="796">
      <c r="A796" s="1">
        <v>426.0</v>
      </c>
      <c r="B796" s="1" t="s">
        <v>17262</v>
      </c>
      <c r="E796" s="1" t="s">
        <v>5202</v>
      </c>
      <c r="F796" s="90">
        <v>45113.54681712963</v>
      </c>
      <c r="G796" s="90">
        <v>45907.95891203704</v>
      </c>
      <c r="H796" s="1" t="s">
        <v>16476</v>
      </c>
    </row>
    <row r="797">
      <c r="A797" s="89">
        <v>1080.0</v>
      </c>
      <c r="B797" s="1" t="s">
        <v>17263</v>
      </c>
      <c r="E797" s="1" t="s">
        <v>16475</v>
      </c>
      <c r="F797" s="90">
        <v>45113.55640046296</v>
      </c>
      <c r="G797" s="90">
        <v>45907.95858796296</v>
      </c>
      <c r="H797" s="1" t="s">
        <v>16476</v>
      </c>
    </row>
    <row r="798">
      <c r="A798" s="1">
        <v>252.0</v>
      </c>
      <c r="B798" s="1" t="s">
        <v>17264</v>
      </c>
      <c r="E798" s="1" t="s">
        <v>16485</v>
      </c>
      <c r="F798" s="90">
        <v>45113.54420138889</v>
      </c>
      <c r="G798" s="90">
        <v>45907.95800925926</v>
      </c>
      <c r="H798" s="1" t="s">
        <v>16476</v>
      </c>
    </row>
    <row r="799">
      <c r="A799" s="1">
        <v>885.0</v>
      </c>
      <c r="B799" s="1" t="s">
        <v>17265</v>
      </c>
      <c r="E799" s="1" t="s">
        <v>16485</v>
      </c>
      <c r="F799" s="90">
        <v>45113.55355324074</v>
      </c>
      <c r="G799" s="90">
        <v>45907.95748842593</v>
      </c>
      <c r="H799" s="1" t="s">
        <v>16476</v>
      </c>
    </row>
    <row r="800">
      <c r="A800" s="89">
        <v>1045.0</v>
      </c>
      <c r="B800" s="1" t="s">
        <v>17266</v>
      </c>
      <c r="E800" s="1" t="s">
        <v>16485</v>
      </c>
      <c r="F800" s="90">
        <v>45113.5558912037</v>
      </c>
      <c r="G800" s="90">
        <v>45907.95717592593</v>
      </c>
      <c r="H800" s="1" t="s">
        <v>16476</v>
      </c>
    </row>
    <row r="801">
      <c r="A801" s="1">
        <v>388.0</v>
      </c>
      <c r="B801" s="1" t="s">
        <v>17267</v>
      </c>
      <c r="E801" s="1" t="s">
        <v>5202</v>
      </c>
      <c r="F801" s="90">
        <v>45113.546261574076</v>
      </c>
      <c r="G801" s="90">
        <v>45907.95649305556</v>
      </c>
      <c r="H801" s="1" t="s">
        <v>16476</v>
      </c>
    </row>
    <row r="802">
      <c r="A802" s="1">
        <v>894.0</v>
      </c>
      <c r="B802" s="1" t="s">
        <v>17268</v>
      </c>
      <c r="E802" s="1" t="s">
        <v>16485</v>
      </c>
      <c r="F802" s="90">
        <v>45113.55368055555</v>
      </c>
      <c r="G802" s="90">
        <v>45907.956087962964</v>
      </c>
      <c r="H802" s="1" t="s">
        <v>16476</v>
      </c>
    </row>
    <row r="803">
      <c r="A803" s="1">
        <v>863.0</v>
      </c>
      <c r="B803" s="1" t="s">
        <v>17269</v>
      </c>
      <c r="E803" s="1" t="s">
        <v>16485</v>
      </c>
      <c r="F803" s="90">
        <v>45113.55322916667</v>
      </c>
      <c r="G803" s="90">
        <v>45907.95578703703</v>
      </c>
      <c r="H803" s="1" t="s">
        <v>16476</v>
      </c>
    </row>
    <row r="804">
      <c r="A804" s="1">
        <v>475.0</v>
      </c>
      <c r="B804" s="1" t="s">
        <v>17270</v>
      </c>
      <c r="E804" s="1" t="s">
        <v>5202</v>
      </c>
      <c r="F804" s="90">
        <v>45113.547534722224</v>
      </c>
      <c r="G804" s="90">
        <v>45907.9546875</v>
      </c>
      <c r="H804" s="1" t="s">
        <v>16476</v>
      </c>
    </row>
    <row r="805">
      <c r="A805" s="1">
        <v>892.0</v>
      </c>
      <c r="B805" s="1" t="s">
        <v>17271</v>
      </c>
      <c r="E805" s="1" t="s">
        <v>5202</v>
      </c>
      <c r="F805" s="90">
        <v>45113.55365740741</v>
      </c>
      <c r="G805" s="90">
        <v>45907.95410879629</v>
      </c>
      <c r="H805" s="1" t="s">
        <v>16476</v>
      </c>
    </row>
    <row r="806">
      <c r="A806" s="1">
        <v>857.0</v>
      </c>
      <c r="B806" s="1" t="s">
        <v>17272</v>
      </c>
      <c r="E806" s="1" t="s">
        <v>16485</v>
      </c>
      <c r="F806" s="90">
        <v>45113.553148148145</v>
      </c>
      <c r="G806" s="90">
        <v>45907.95377314815</v>
      </c>
      <c r="H806" s="1" t="s">
        <v>16476</v>
      </c>
    </row>
    <row r="807">
      <c r="A807" s="89">
        <v>1006.0</v>
      </c>
      <c r="B807" s="1" t="s">
        <v>17273</v>
      </c>
      <c r="E807" s="1" t="s">
        <v>16485</v>
      </c>
      <c r="F807" s="90">
        <v>45113.55532407408</v>
      </c>
      <c r="G807" s="90">
        <v>45907.95302083333</v>
      </c>
      <c r="H807" s="1" t="s">
        <v>16476</v>
      </c>
    </row>
    <row r="808">
      <c r="A808" s="1">
        <v>843.0</v>
      </c>
      <c r="B808" s="1" t="s">
        <v>17274</v>
      </c>
      <c r="E808" s="1" t="s">
        <v>16485</v>
      </c>
      <c r="F808" s="90">
        <v>45113.552939814814</v>
      </c>
      <c r="G808" s="90">
        <v>45907.95275462963</v>
      </c>
      <c r="H808" s="1" t="s">
        <v>16476</v>
      </c>
    </row>
    <row r="809">
      <c r="A809" s="1">
        <v>420.0</v>
      </c>
      <c r="B809" s="1" t="s">
        <v>17275</v>
      </c>
      <c r="E809" s="1" t="s">
        <v>16485</v>
      </c>
      <c r="F809" s="90">
        <v>45113.54672453704</v>
      </c>
      <c r="G809" s="90">
        <v>45907.95248842592</v>
      </c>
      <c r="H809" s="1" t="s">
        <v>16476</v>
      </c>
    </row>
    <row r="810">
      <c r="A810" s="1">
        <v>476.0</v>
      </c>
      <c r="B810" s="1" t="s">
        <v>17276</v>
      </c>
      <c r="E810" s="1" t="s">
        <v>16485</v>
      </c>
      <c r="F810" s="90">
        <v>45113.54754629629</v>
      </c>
      <c r="G810" s="90">
        <v>45907.952210648145</v>
      </c>
      <c r="H810" s="1" t="s">
        <v>16476</v>
      </c>
    </row>
    <row r="811">
      <c r="A811" s="1">
        <v>738.0</v>
      </c>
      <c r="B811" s="1" t="s">
        <v>17277</v>
      </c>
      <c r="E811" s="1" t="s">
        <v>17278</v>
      </c>
      <c r="F811" s="90">
        <v>45113.551412037035</v>
      </c>
      <c r="G811" s="90">
        <v>45907.951631944445</v>
      </c>
      <c r="H811" s="1" t="s">
        <v>16476</v>
      </c>
    </row>
    <row r="812">
      <c r="A812" s="1">
        <v>737.0</v>
      </c>
      <c r="B812" s="1" t="s">
        <v>17277</v>
      </c>
      <c r="E812" s="1" t="s">
        <v>17278</v>
      </c>
      <c r="F812" s="90">
        <v>45113.551400462966</v>
      </c>
      <c r="G812" s="90">
        <v>45907.95141203704</v>
      </c>
      <c r="H812" s="1" t="s">
        <v>16476</v>
      </c>
    </row>
    <row r="813">
      <c r="A813" s="1">
        <v>250.0</v>
      </c>
      <c r="B813" s="1" t="s">
        <v>17279</v>
      </c>
      <c r="E813" s="1" t="s">
        <v>16485</v>
      </c>
      <c r="F813" s="90">
        <v>45113.54417824074</v>
      </c>
      <c r="G813" s="90">
        <v>45907.95106481481</v>
      </c>
      <c r="H813" s="1" t="s">
        <v>16476</v>
      </c>
    </row>
    <row r="814">
      <c r="A814" s="89">
        <v>1110.0</v>
      </c>
      <c r="B814" s="1" t="s">
        <v>17280</v>
      </c>
      <c r="E814" s="1" t="s">
        <v>5202</v>
      </c>
      <c r="F814" s="90">
        <v>45113.55684027778</v>
      </c>
      <c r="G814" s="90">
        <v>45907.95076388889</v>
      </c>
      <c r="H814" s="1" t="s">
        <v>16476</v>
      </c>
    </row>
    <row r="815">
      <c r="A815" s="1">
        <v>751.0</v>
      </c>
      <c r="B815" s="1" t="s">
        <v>17281</v>
      </c>
      <c r="E815" s="1" t="s">
        <v>16485</v>
      </c>
      <c r="F815" s="90">
        <v>45113.55159722222</v>
      </c>
      <c r="G815" s="90">
        <v>45907.95025462963</v>
      </c>
      <c r="H815" s="1" t="s">
        <v>16476</v>
      </c>
    </row>
    <row r="816">
      <c r="A816" s="1">
        <v>694.0</v>
      </c>
      <c r="B816" s="1" t="s">
        <v>17282</v>
      </c>
      <c r="E816" s="1" t="s">
        <v>16485</v>
      </c>
      <c r="F816" s="90">
        <v>45113.55076388889</v>
      </c>
      <c r="G816" s="90">
        <v>45907.94997685185</v>
      </c>
      <c r="H816" s="1" t="s">
        <v>16476</v>
      </c>
    </row>
    <row r="817">
      <c r="A817" s="1">
        <v>648.0</v>
      </c>
      <c r="B817" s="1" t="s">
        <v>17283</v>
      </c>
      <c r="E817" s="1" t="s">
        <v>16485</v>
      </c>
      <c r="F817" s="90">
        <v>45113.55006944444</v>
      </c>
      <c r="G817" s="90">
        <v>45907.94917824074</v>
      </c>
      <c r="H817" s="1" t="s">
        <v>16476</v>
      </c>
    </row>
    <row r="818">
      <c r="A818" s="89">
        <v>1223.0</v>
      </c>
      <c r="B818" s="1" t="s">
        <v>17284</v>
      </c>
      <c r="E818" s="1" t="s">
        <v>16475</v>
      </c>
      <c r="F818" s="90">
        <v>45113.55849537037</v>
      </c>
      <c r="G818" s="90">
        <v>45907.947916666664</v>
      </c>
      <c r="H818" s="1" t="s">
        <v>16476</v>
      </c>
    </row>
    <row r="819">
      <c r="A819" s="89">
        <v>1136.0</v>
      </c>
      <c r="B819" s="1" t="s">
        <v>17285</v>
      </c>
      <c r="E819" s="1" t="s">
        <v>16485</v>
      </c>
      <c r="F819" s="90">
        <v>45113.557222222225</v>
      </c>
      <c r="G819" s="90">
        <v>45907.947546296295</v>
      </c>
      <c r="H819" s="1" t="s">
        <v>16476</v>
      </c>
    </row>
    <row r="820">
      <c r="A820" s="1">
        <v>269.0</v>
      </c>
      <c r="B820" s="1" t="s">
        <v>17286</v>
      </c>
      <c r="E820" s="1" t="s">
        <v>16485</v>
      </c>
      <c r="F820" s="90">
        <v>45113.54445601852</v>
      </c>
      <c r="G820" s="90">
        <v>45907.94726851852</v>
      </c>
      <c r="H820" s="1" t="s">
        <v>16476</v>
      </c>
    </row>
    <row r="821">
      <c r="A821" s="89">
        <v>1192.0</v>
      </c>
      <c r="B821" s="1" t="s">
        <v>17287</v>
      </c>
      <c r="E821" s="1" t="s">
        <v>16485</v>
      </c>
      <c r="F821" s="90">
        <v>45113.55805555556</v>
      </c>
      <c r="G821" s="90">
        <v>45907.94701388889</v>
      </c>
      <c r="H821" s="1" t="s">
        <v>16476</v>
      </c>
    </row>
    <row r="822">
      <c r="A822" s="1">
        <v>361.0</v>
      </c>
      <c r="B822" s="1" t="s">
        <v>17288</v>
      </c>
      <c r="E822" s="1" t="s">
        <v>16485</v>
      </c>
      <c r="F822" s="90">
        <v>45113.54584490741</v>
      </c>
      <c r="G822" s="90">
        <v>45907.94679398148</v>
      </c>
      <c r="H822" s="1" t="s">
        <v>16476</v>
      </c>
    </row>
    <row r="823">
      <c r="A823" s="1">
        <v>202.0</v>
      </c>
      <c r="B823" s="1" t="s">
        <v>17289</v>
      </c>
      <c r="E823" s="1" t="s">
        <v>16485</v>
      </c>
      <c r="F823" s="90">
        <v>45113.5434375</v>
      </c>
      <c r="G823" s="90">
        <v>45907.946539351855</v>
      </c>
      <c r="H823" s="1" t="s">
        <v>16476</v>
      </c>
    </row>
    <row r="824">
      <c r="A824" s="1">
        <v>927.0</v>
      </c>
      <c r="B824" s="1" t="s">
        <v>17290</v>
      </c>
      <c r="E824" s="1" t="s">
        <v>5202</v>
      </c>
      <c r="F824" s="90">
        <v>45113.55416666667</v>
      </c>
      <c r="G824" s="90">
        <v>45907.94626157408</v>
      </c>
      <c r="H824" s="1" t="s">
        <v>16476</v>
      </c>
    </row>
    <row r="825">
      <c r="A825" s="1">
        <v>378.0</v>
      </c>
      <c r="B825" s="1" t="s">
        <v>17291</v>
      </c>
      <c r="E825" s="1" t="s">
        <v>16485</v>
      </c>
      <c r="F825" s="90">
        <v>45113.54608796296</v>
      </c>
      <c r="G825" s="90">
        <v>45907.94584490741</v>
      </c>
      <c r="H825" s="1" t="s">
        <v>16476</v>
      </c>
    </row>
    <row r="826">
      <c r="A826" s="1">
        <v>149.0</v>
      </c>
      <c r="B826" s="1" t="s">
        <v>17292</v>
      </c>
      <c r="E826" s="1" t="s">
        <v>16485</v>
      </c>
      <c r="F826" s="90">
        <v>45113.542662037034</v>
      </c>
      <c r="G826" s="90">
        <v>45907.945439814815</v>
      </c>
      <c r="H826" s="1" t="s">
        <v>16476</v>
      </c>
    </row>
    <row r="827">
      <c r="A827" s="1">
        <v>729.0</v>
      </c>
      <c r="B827" s="1" t="s">
        <v>17293</v>
      </c>
      <c r="E827" s="1" t="s">
        <v>5202</v>
      </c>
      <c r="F827" s="90">
        <v>45113.55128472222</v>
      </c>
      <c r="G827" s="90">
        <v>45907.94511574074</v>
      </c>
      <c r="H827" s="1" t="s">
        <v>16476</v>
      </c>
    </row>
    <row r="828">
      <c r="A828" s="89">
        <v>1000.0</v>
      </c>
      <c r="B828" s="1" t="s">
        <v>17294</v>
      </c>
      <c r="E828" s="1" t="s">
        <v>16485</v>
      </c>
      <c r="F828" s="90">
        <v>45113.555231481485</v>
      </c>
      <c r="G828" s="90">
        <v>45907.944768518515</v>
      </c>
      <c r="H828" s="1" t="s">
        <v>16476</v>
      </c>
    </row>
    <row r="829">
      <c r="A829" s="1">
        <v>292.0</v>
      </c>
      <c r="B829" s="1" t="s">
        <v>17295</v>
      </c>
      <c r="E829" s="1" t="s">
        <v>16485</v>
      </c>
      <c r="F829" s="90">
        <v>45113.54482638889</v>
      </c>
      <c r="G829" s="90">
        <v>45907.94447916667</v>
      </c>
      <c r="H829" s="1" t="s">
        <v>16476</v>
      </c>
    </row>
    <row r="830">
      <c r="A830" s="1">
        <v>630.0</v>
      </c>
      <c r="B830" s="1" t="s">
        <v>17296</v>
      </c>
      <c r="E830" s="1" t="s">
        <v>16475</v>
      </c>
      <c r="F830" s="90">
        <v>45113.549791666665</v>
      </c>
      <c r="G830" s="90">
        <v>45907.94421296296</v>
      </c>
      <c r="H830" s="1" t="s">
        <v>16476</v>
      </c>
    </row>
    <row r="831">
      <c r="A831" s="1">
        <v>928.0</v>
      </c>
      <c r="B831" s="1" t="s">
        <v>17297</v>
      </c>
      <c r="E831" s="1" t="s">
        <v>16485</v>
      </c>
      <c r="F831" s="90">
        <v>45113.55417824074</v>
      </c>
      <c r="G831" s="90">
        <v>45907.943402777775</v>
      </c>
      <c r="H831" s="1" t="s">
        <v>16476</v>
      </c>
    </row>
    <row r="832">
      <c r="A832" s="1">
        <v>639.0</v>
      </c>
      <c r="B832" s="1" t="s">
        <v>17298</v>
      </c>
      <c r="E832" s="1" t="s">
        <v>16475</v>
      </c>
      <c r="F832" s="90">
        <v>45113.549942129626</v>
      </c>
      <c r="G832" s="90">
        <v>45907.941782407404</v>
      </c>
      <c r="H832" s="1" t="s">
        <v>16476</v>
      </c>
    </row>
    <row r="833">
      <c r="A833" s="1">
        <v>259.0</v>
      </c>
      <c r="B833" s="1" t="s">
        <v>17299</v>
      </c>
      <c r="E833" s="1" t="s">
        <v>16485</v>
      </c>
      <c r="F833" s="90">
        <v>45113.54431712963</v>
      </c>
      <c r="G833" s="90">
        <v>45907.94112268519</v>
      </c>
      <c r="H833" s="1" t="s">
        <v>16476</v>
      </c>
    </row>
    <row r="834">
      <c r="A834" s="89">
        <v>1034.0</v>
      </c>
      <c r="B834" s="1" t="s">
        <v>17300</v>
      </c>
      <c r="E834" s="1" t="s">
        <v>16475</v>
      </c>
      <c r="F834" s="90">
        <v>45113.55572916667</v>
      </c>
      <c r="G834" s="90">
        <v>45907.94090277778</v>
      </c>
      <c r="H834" s="1" t="s">
        <v>16476</v>
      </c>
    </row>
    <row r="835">
      <c r="A835" s="1">
        <v>736.0</v>
      </c>
      <c r="B835" s="1" t="s">
        <v>17301</v>
      </c>
      <c r="E835" s="1" t="s">
        <v>16485</v>
      </c>
      <c r="F835" s="90">
        <v>45113.55137731481</v>
      </c>
      <c r="G835" s="90">
        <v>45907.9262962963</v>
      </c>
      <c r="H835" s="1" t="s">
        <v>16476</v>
      </c>
    </row>
    <row r="836">
      <c r="A836" s="1">
        <v>496.0</v>
      </c>
      <c r="B836" s="1" t="s">
        <v>17302</v>
      </c>
      <c r="E836" s="1" t="s">
        <v>16485</v>
      </c>
      <c r="F836" s="90">
        <v>45113.54783564815</v>
      </c>
      <c r="G836" s="90">
        <v>45907.9012037037</v>
      </c>
      <c r="H836" s="1" t="s">
        <v>16476</v>
      </c>
    </row>
    <row r="837">
      <c r="A837" s="1">
        <v>826.0</v>
      </c>
      <c r="B837" s="1" t="s">
        <v>17303</v>
      </c>
      <c r="E837" s="1" t="s">
        <v>16485</v>
      </c>
      <c r="F837" s="90">
        <v>45113.55268518518</v>
      </c>
      <c r="G837" s="90">
        <v>45907.73909722222</v>
      </c>
      <c r="H837" s="1" t="s">
        <v>16476</v>
      </c>
    </row>
    <row r="838">
      <c r="A838" s="1">
        <v>428.0</v>
      </c>
      <c r="B838" s="1" t="s">
        <v>17304</v>
      </c>
      <c r="E838" s="1" t="s">
        <v>16485</v>
      </c>
      <c r="F838" s="90">
        <v>45113.546851851854</v>
      </c>
      <c r="G838" s="90">
        <v>45907.73880787037</v>
      </c>
      <c r="H838" s="1" t="s">
        <v>16476</v>
      </c>
    </row>
    <row r="839">
      <c r="A839" s="89">
        <v>1104.0</v>
      </c>
      <c r="B839" s="1" t="s">
        <v>17305</v>
      </c>
      <c r="E839" s="1" t="s">
        <v>16485</v>
      </c>
      <c r="F839" s="90">
        <v>45113.55674768519</v>
      </c>
      <c r="G839" s="90">
        <v>45907.73855324074</v>
      </c>
      <c r="H839" s="1" t="s">
        <v>16476</v>
      </c>
    </row>
    <row r="840">
      <c r="A840" s="1">
        <v>412.0</v>
      </c>
      <c r="B840" s="1" t="s">
        <v>17306</v>
      </c>
      <c r="E840" s="1" t="s">
        <v>16485</v>
      </c>
      <c r="F840" s="90">
        <v>45113.5466087963</v>
      </c>
      <c r="G840" s="90">
        <v>45907.738287037035</v>
      </c>
      <c r="H840" s="1" t="s">
        <v>16476</v>
      </c>
    </row>
    <row r="841">
      <c r="A841" s="1">
        <v>999.0</v>
      </c>
      <c r="B841" s="1" t="s">
        <v>17307</v>
      </c>
      <c r="E841" s="1" t="s">
        <v>5202</v>
      </c>
      <c r="F841" s="90">
        <v>45113.55521990741</v>
      </c>
      <c r="G841" s="90">
        <v>45907.73804398148</v>
      </c>
      <c r="H841" s="1" t="s">
        <v>16476</v>
      </c>
    </row>
    <row r="842">
      <c r="A842" s="1">
        <v>392.0</v>
      </c>
      <c r="B842" s="1" t="s">
        <v>17308</v>
      </c>
      <c r="E842" s="1" t="s">
        <v>16475</v>
      </c>
      <c r="F842" s="90">
        <v>45113.546319444446</v>
      </c>
      <c r="G842" s="90">
        <v>45907.73777777778</v>
      </c>
      <c r="H842" s="1" t="s">
        <v>16476</v>
      </c>
    </row>
    <row r="843">
      <c r="A843" s="1">
        <v>627.0</v>
      </c>
      <c r="B843" s="1" t="s">
        <v>17309</v>
      </c>
      <c r="E843" s="1" t="s">
        <v>16475</v>
      </c>
      <c r="F843" s="90">
        <v>45113.54975694444</v>
      </c>
      <c r="G843" s="90">
        <v>45907.73700231482</v>
      </c>
      <c r="H843" s="1" t="s">
        <v>16476</v>
      </c>
    </row>
    <row r="844">
      <c r="A844" s="89">
        <v>1047.0</v>
      </c>
      <c r="B844" s="1" t="s">
        <v>17310</v>
      </c>
      <c r="E844" s="1" t="s">
        <v>16485</v>
      </c>
      <c r="F844" s="90">
        <v>45113.555914351855</v>
      </c>
      <c r="G844" s="90">
        <v>45907.72599537037</v>
      </c>
      <c r="H844" s="1" t="s">
        <v>16476</v>
      </c>
    </row>
    <row r="845">
      <c r="A845" s="1">
        <v>172.0</v>
      </c>
      <c r="B845" s="1" t="s">
        <v>17311</v>
      </c>
      <c r="E845" s="1" t="s">
        <v>16485</v>
      </c>
      <c r="F845" s="90">
        <v>45113.54299768519</v>
      </c>
      <c r="G845" s="90">
        <v>45907.72571759259</v>
      </c>
      <c r="H845" s="1" t="s">
        <v>16476</v>
      </c>
    </row>
    <row r="846">
      <c r="A846" s="1">
        <v>435.0</v>
      </c>
      <c r="B846" s="1" t="s">
        <v>17312</v>
      </c>
      <c r="E846" s="1" t="s">
        <v>5202</v>
      </c>
      <c r="F846" s="90">
        <v>45113.546944444446</v>
      </c>
      <c r="G846" s="90">
        <v>45907.72534722222</v>
      </c>
      <c r="H846" s="1" t="s">
        <v>16476</v>
      </c>
    </row>
    <row r="847">
      <c r="A847" s="1">
        <v>493.0</v>
      </c>
      <c r="B847" s="1" t="s">
        <v>17313</v>
      </c>
      <c r="E847" s="1" t="s">
        <v>16475</v>
      </c>
      <c r="F847" s="90">
        <v>45113.547800925924</v>
      </c>
      <c r="G847" s="90">
        <v>45907.72447916667</v>
      </c>
      <c r="H847" s="1" t="s">
        <v>16476</v>
      </c>
    </row>
    <row r="848">
      <c r="A848" s="1">
        <v>684.0</v>
      </c>
      <c r="B848" s="1" t="s">
        <v>17314</v>
      </c>
      <c r="E848" s="1" t="s">
        <v>16485</v>
      </c>
      <c r="F848" s="90">
        <v>45113.550625</v>
      </c>
      <c r="G848" s="90">
        <v>45907.724178240744</v>
      </c>
      <c r="H848" s="1" t="s">
        <v>16476</v>
      </c>
    </row>
    <row r="849">
      <c r="A849" s="1">
        <v>213.0</v>
      </c>
      <c r="B849" s="1" t="s">
        <v>17315</v>
      </c>
      <c r="E849" s="1" t="s">
        <v>16475</v>
      </c>
      <c r="F849" s="90">
        <v>45113.54362268518</v>
      </c>
      <c r="G849" s="90">
        <v>45907.723807870374</v>
      </c>
      <c r="H849" s="1" t="s">
        <v>16476</v>
      </c>
    </row>
    <row r="850">
      <c r="A850" s="1">
        <v>707.0</v>
      </c>
      <c r="B850" s="1" t="s">
        <v>17316</v>
      </c>
      <c r="E850" s="1" t="s">
        <v>16485</v>
      </c>
      <c r="F850" s="90">
        <v>45113.55096064815</v>
      </c>
      <c r="G850" s="90">
        <v>45907.72347222222</v>
      </c>
      <c r="H850" s="1" t="s">
        <v>16476</v>
      </c>
    </row>
    <row r="851">
      <c r="A851" s="1">
        <v>222.0</v>
      </c>
      <c r="B851" s="1" t="s">
        <v>17317</v>
      </c>
      <c r="E851" s="1" t="s">
        <v>5202</v>
      </c>
      <c r="F851" s="90">
        <v>45113.543761574074</v>
      </c>
      <c r="G851" s="90">
        <v>45907.72304398148</v>
      </c>
      <c r="H851" s="1" t="s">
        <v>16476</v>
      </c>
    </row>
    <row r="852">
      <c r="A852" s="1">
        <v>628.0</v>
      </c>
      <c r="B852" s="1" t="s">
        <v>17318</v>
      </c>
      <c r="E852" s="1" t="s">
        <v>16475</v>
      </c>
      <c r="F852" s="90">
        <v>45113.54976851852</v>
      </c>
      <c r="G852" s="90">
        <v>45907.72200231482</v>
      </c>
      <c r="H852" s="1" t="s">
        <v>16476</v>
      </c>
    </row>
    <row r="853">
      <c r="A853" s="89">
        <v>1194.0</v>
      </c>
      <c r="B853" s="1" t="s">
        <v>17319</v>
      </c>
      <c r="E853" s="1" t="s">
        <v>16475</v>
      </c>
      <c r="F853" s="90">
        <v>45113.5580787037</v>
      </c>
      <c r="G853" s="90">
        <v>45907.72145833333</v>
      </c>
      <c r="H853" s="1" t="s">
        <v>16476</v>
      </c>
    </row>
    <row r="854">
      <c r="A854" s="1">
        <v>463.0</v>
      </c>
      <c r="B854" s="1" t="s">
        <v>17320</v>
      </c>
      <c r="E854" s="1" t="s">
        <v>5202</v>
      </c>
      <c r="F854" s="90">
        <v>45113.54736111111</v>
      </c>
      <c r="G854" s="90">
        <v>45907.72115740741</v>
      </c>
      <c r="H854" s="1" t="s">
        <v>16476</v>
      </c>
    </row>
    <row r="855">
      <c r="A855" s="1">
        <v>410.0</v>
      </c>
      <c r="B855" s="1" t="s">
        <v>17321</v>
      </c>
      <c r="E855" s="1" t="s">
        <v>16485</v>
      </c>
      <c r="F855" s="90">
        <v>45113.546585648146</v>
      </c>
      <c r="G855" s="90">
        <v>45907.72087962963</v>
      </c>
      <c r="H855" s="1" t="s">
        <v>16476</v>
      </c>
    </row>
    <row r="856">
      <c r="A856" s="89">
        <v>1254.0</v>
      </c>
      <c r="B856" s="1" t="s">
        <v>17322</v>
      </c>
      <c r="E856" s="1" t="s">
        <v>16485</v>
      </c>
      <c r="F856" s="90">
        <v>45113.55894675926</v>
      </c>
      <c r="G856" s="90">
        <v>45907.720555555556</v>
      </c>
      <c r="H856" s="1" t="s">
        <v>16476</v>
      </c>
    </row>
    <row r="857">
      <c r="A857" s="89">
        <v>1160.0</v>
      </c>
      <c r="B857" s="1" t="s">
        <v>17323</v>
      </c>
      <c r="E857" s="1" t="s">
        <v>16485</v>
      </c>
      <c r="F857" s="90">
        <v>45113.557592592595</v>
      </c>
      <c r="G857" s="90">
        <v>45907.720289351855</v>
      </c>
      <c r="H857" s="1" t="s">
        <v>16476</v>
      </c>
    </row>
    <row r="858">
      <c r="A858" s="1">
        <v>777.0</v>
      </c>
      <c r="B858" s="1" t="s">
        <v>17324</v>
      </c>
      <c r="E858" s="1" t="s">
        <v>16475</v>
      </c>
      <c r="F858" s="90">
        <v>45113.55197916667</v>
      </c>
      <c r="G858" s="90">
        <v>45907.719872685186</v>
      </c>
      <c r="H858" s="1" t="s">
        <v>16476</v>
      </c>
    </row>
    <row r="859">
      <c r="A859" s="1">
        <v>238.0</v>
      </c>
      <c r="B859" s="1" t="s">
        <v>17325</v>
      </c>
      <c r="E859" s="1" t="s">
        <v>16485</v>
      </c>
      <c r="F859" s="90">
        <v>45113.54399305556</v>
      </c>
      <c r="G859" s="90">
        <v>45907.71952546296</v>
      </c>
      <c r="H859" s="1" t="s">
        <v>16476</v>
      </c>
    </row>
    <row r="860">
      <c r="A860" s="1">
        <v>288.0</v>
      </c>
      <c r="B860" s="1" t="s">
        <v>13527</v>
      </c>
      <c r="E860" s="1" t="s">
        <v>16485</v>
      </c>
      <c r="F860" s="90">
        <v>45113.54476851852</v>
      </c>
      <c r="G860" s="90">
        <v>45907.71925925926</v>
      </c>
      <c r="H860" s="1" t="s">
        <v>16476</v>
      </c>
    </row>
    <row r="861">
      <c r="A861" s="1">
        <v>233.0</v>
      </c>
      <c r="B861" s="1" t="s">
        <v>17326</v>
      </c>
      <c r="E861" s="1" t="s">
        <v>16485</v>
      </c>
      <c r="F861" s="90">
        <v>45113.54392361111</v>
      </c>
      <c r="G861" s="90">
        <v>45907.71890046296</v>
      </c>
      <c r="H861" s="1" t="s">
        <v>16476</v>
      </c>
    </row>
    <row r="862">
      <c r="A862" s="89">
        <v>1143.0</v>
      </c>
      <c r="B862" s="1" t="s">
        <v>17327</v>
      </c>
      <c r="E862" s="1" t="s">
        <v>16485</v>
      </c>
      <c r="F862" s="90">
        <v>45113.55732638889</v>
      </c>
      <c r="G862" s="90">
        <v>45907.718564814815</v>
      </c>
      <c r="H862" s="1" t="s">
        <v>16476</v>
      </c>
    </row>
    <row r="863">
      <c r="A863" s="1">
        <v>214.0</v>
      </c>
      <c r="B863" s="1" t="s">
        <v>17328</v>
      </c>
      <c r="E863" s="1" t="s">
        <v>16485</v>
      </c>
      <c r="F863" s="90">
        <v>45113.54363425926</v>
      </c>
      <c r="G863" s="90">
        <v>45907.71758101852</v>
      </c>
      <c r="H863" s="1" t="s">
        <v>16476</v>
      </c>
    </row>
    <row r="864">
      <c r="A864" s="1">
        <v>807.0</v>
      </c>
      <c r="B864" s="1" t="s">
        <v>17329</v>
      </c>
      <c r="E864" s="1" t="s">
        <v>16485</v>
      </c>
      <c r="F864" s="90">
        <v>45113.55241898148</v>
      </c>
      <c r="G864" s="90">
        <v>45907.71734953704</v>
      </c>
      <c r="H864" s="1" t="s">
        <v>16476</v>
      </c>
    </row>
    <row r="865">
      <c r="A865" s="1">
        <v>161.0</v>
      </c>
      <c r="B865" s="1" t="s">
        <v>17330</v>
      </c>
      <c r="E865" s="1" t="s">
        <v>16485</v>
      </c>
      <c r="F865" s="90">
        <v>45113.54283564815</v>
      </c>
      <c r="G865" s="90">
        <v>45907.71704861111</v>
      </c>
      <c r="H865" s="1" t="s">
        <v>16476</v>
      </c>
    </row>
    <row r="866">
      <c r="A866" s="89">
        <v>1098.0</v>
      </c>
      <c r="B866" s="1" t="s">
        <v>17331</v>
      </c>
      <c r="E866" s="1" t="s">
        <v>5202</v>
      </c>
      <c r="F866" s="90">
        <v>45113.556666666664</v>
      </c>
      <c r="G866" s="90">
        <v>45907.716782407406</v>
      </c>
      <c r="H866" s="1" t="s">
        <v>16476</v>
      </c>
    </row>
    <row r="867">
      <c r="A867" s="1">
        <v>224.0</v>
      </c>
      <c r="B867" s="1" t="s">
        <v>17332</v>
      </c>
      <c r="E867" s="1" t="s">
        <v>16485</v>
      </c>
      <c r="F867" s="90">
        <v>45113.54378472222</v>
      </c>
      <c r="G867" s="90">
        <v>45907.7165625</v>
      </c>
      <c r="H867" s="1" t="s">
        <v>16476</v>
      </c>
    </row>
    <row r="868">
      <c r="A868" s="1">
        <v>853.0</v>
      </c>
      <c r="B868" s="1" t="s">
        <v>17333</v>
      </c>
      <c r="E868" s="1" t="s">
        <v>16485</v>
      </c>
      <c r="F868" s="90">
        <v>45113.553090277775</v>
      </c>
      <c r="G868" s="90">
        <v>45907.7162962963</v>
      </c>
      <c r="H868" s="1" t="s">
        <v>16476</v>
      </c>
    </row>
    <row r="869">
      <c r="A869" s="1">
        <v>947.0</v>
      </c>
      <c r="B869" s="1" t="s">
        <v>17334</v>
      </c>
      <c r="E869" s="1" t="s">
        <v>16485</v>
      </c>
      <c r="F869" s="90">
        <v>45113.554456018515</v>
      </c>
      <c r="G869" s="90">
        <v>45907.71592592593</v>
      </c>
      <c r="H869" s="1" t="s">
        <v>16476</v>
      </c>
    </row>
    <row r="870">
      <c r="A870" s="89">
        <v>1139.0</v>
      </c>
      <c r="B870" s="1" t="s">
        <v>17335</v>
      </c>
      <c r="E870" s="1" t="s">
        <v>16485</v>
      </c>
      <c r="F870" s="90">
        <v>45113.55726851852</v>
      </c>
      <c r="G870" s="90">
        <v>45907.7156712963</v>
      </c>
      <c r="H870" s="1" t="s">
        <v>16476</v>
      </c>
    </row>
    <row r="871">
      <c r="A871" s="1">
        <v>613.0</v>
      </c>
      <c r="B871" s="1" t="s">
        <v>17336</v>
      </c>
      <c r="E871" s="1" t="s">
        <v>16485</v>
      </c>
      <c r="F871" s="90">
        <v>45113.54954861111</v>
      </c>
      <c r="G871" s="90">
        <v>45907.7146875</v>
      </c>
      <c r="H871" s="1" t="s">
        <v>16476</v>
      </c>
    </row>
    <row r="872">
      <c r="A872" s="89">
        <v>1260.0</v>
      </c>
      <c r="B872" s="1" t="s">
        <v>17337</v>
      </c>
      <c r="E872" s="1" t="s">
        <v>16485</v>
      </c>
      <c r="F872" s="90">
        <v>45113.55903935185</v>
      </c>
      <c r="G872" s="90">
        <v>45907.71444444444</v>
      </c>
      <c r="H872" s="1" t="s">
        <v>16476</v>
      </c>
    </row>
    <row r="873">
      <c r="A873" s="1">
        <v>363.0</v>
      </c>
      <c r="B873" s="1" t="s">
        <v>17338</v>
      </c>
      <c r="E873" s="1" t="s">
        <v>16485</v>
      </c>
      <c r="F873" s="90">
        <v>45113.54586805555</v>
      </c>
      <c r="G873" s="90">
        <v>45907.714155092595</v>
      </c>
      <c r="H873" s="1" t="s">
        <v>16476</v>
      </c>
    </row>
    <row r="874">
      <c r="A874" s="89">
        <v>1135.0</v>
      </c>
      <c r="B874" s="1" t="s">
        <v>17339</v>
      </c>
      <c r="E874" s="1" t="s">
        <v>16485</v>
      </c>
      <c r="F874" s="90">
        <v>45113.55721064815</v>
      </c>
      <c r="G874" s="90">
        <v>45907.71359953703</v>
      </c>
      <c r="H874" s="1" t="s">
        <v>16476</v>
      </c>
    </row>
    <row r="875">
      <c r="A875" s="89">
        <v>1069.0</v>
      </c>
      <c r="B875" s="1" t="s">
        <v>17340</v>
      </c>
      <c r="F875" s="90">
        <v>45113.556238425925</v>
      </c>
      <c r="G875" s="90">
        <v>45907.713055555556</v>
      </c>
      <c r="H875" s="1" t="s">
        <v>16476</v>
      </c>
    </row>
    <row r="876">
      <c r="A876" s="1">
        <v>408.0</v>
      </c>
      <c r="B876" s="1" t="s">
        <v>17341</v>
      </c>
      <c r="E876" s="1" t="s">
        <v>16475</v>
      </c>
      <c r="F876" s="90">
        <v>45113.54655092592</v>
      </c>
      <c r="G876" s="90">
        <v>45907.712430555555</v>
      </c>
      <c r="H876" s="1" t="s">
        <v>16476</v>
      </c>
    </row>
    <row r="877">
      <c r="A877" s="89">
        <v>1071.0</v>
      </c>
      <c r="B877" s="1" t="s">
        <v>17342</v>
      </c>
      <c r="E877" s="1" t="s">
        <v>16485</v>
      </c>
      <c r="F877" s="90">
        <v>45113.55627314815</v>
      </c>
      <c r="G877" s="90">
        <v>45907.71207175926</v>
      </c>
      <c r="H877" s="1" t="s">
        <v>16476</v>
      </c>
    </row>
    <row r="878">
      <c r="A878" s="1">
        <v>631.0</v>
      </c>
      <c r="B878" s="1" t="s">
        <v>17343</v>
      </c>
      <c r="E878" s="1" t="s">
        <v>16485</v>
      </c>
      <c r="F878" s="90">
        <v>45113.54981481482</v>
      </c>
      <c r="G878" s="90">
        <v>45907.71177083333</v>
      </c>
      <c r="H878" s="1" t="s">
        <v>16476</v>
      </c>
    </row>
    <row r="879">
      <c r="A879" s="1">
        <v>285.0</v>
      </c>
      <c r="B879" s="1" t="s">
        <v>17344</v>
      </c>
      <c r="E879" s="1" t="s">
        <v>16485</v>
      </c>
      <c r="F879" s="90">
        <v>45113.54472222222</v>
      </c>
      <c r="G879" s="90">
        <v>45907.71144675926</v>
      </c>
      <c r="H879" s="1" t="s">
        <v>16476</v>
      </c>
    </row>
    <row r="880">
      <c r="A880" s="89">
        <v>1247.0</v>
      </c>
      <c r="B880" s="1" t="s">
        <v>17345</v>
      </c>
      <c r="E880" s="1" t="s">
        <v>5202</v>
      </c>
      <c r="F880" s="90">
        <v>45113.558854166666</v>
      </c>
      <c r="G880" s="90">
        <v>45907.710625</v>
      </c>
      <c r="H880" s="1" t="s">
        <v>16476</v>
      </c>
    </row>
    <row r="881">
      <c r="A881" s="1">
        <v>318.0</v>
      </c>
      <c r="B881" s="1" t="s">
        <v>17346</v>
      </c>
      <c r="E881" s="1" t="s">
        <v>16485</v>
      </c>
      <c r="F881" s="90">
        <v>45113.545219907406</v>
      </c>
      <c r="G881" s="90">
        <v>45907.709872685184</v>
      </c>
      <c r="H881" s="1" t="s">
        <v>16476</v>
      </c>
    </row>
    <row r="882">
      <c r="A882" s="1">
        <v>127.0</v>
      </c>
      <c r="B882" s="1" t="s">
        <v>17347</v>
      </c>
      <c r="E882" s="1" t="s">
        <v>16475</v>
      </c>
      <c r="F882" s="90">
        <v>45113.542337962965</v>
      </c>
      <c r="G882" s="90">
        <v>45907.70949074074</v>
      </c>
      <c r="H882" s="1" t="s">
        <v>16476</v>
      </c>
    </row>
    <row r="883">
      <c r="A883" s="1">
        <v>883.0</v>
      </c>
      <c r="B883" s="1" t="s">
        <v>17348</v>
      </c>
      <c r="E883" s="1" t="s">
        <v>5202</v>
      </c>
      <c r="F883" s="90">
        <v>45113.55351851852</v>
      </c>
      <c r="G883" s="90">
        <v>45907.70884259259</v>
      </c>
      <c r="H883" s="1" t="s">
        <v>16476</v>
      </c>
    </row>
    <row r="884">
      <c r="A884" s="1">
        <v>362.0</v>
      </c>
      <c r="B884" s="1" t="s">
        <v>17349</v>
      </c>
      <c r="E884" s="1" t="s">
        <v>16475</v>
      </c>
      <c r="F884" s="90">
        <v>45113.54585648148</v>
      </c>
      <c r="G884" s="90">
        <v>45907.69752314815</v>
      </c>
      <c r="H884" s="1" t="s">
        <v>16476</v>
      </c>
    </row>
    <row r="885">
      <c r="A885" s="89">
        <v>1031.0</v>
      </c>
      <c r="B885" s="1" t="s">
        <v>15079</v>
      </c>
      <c r="E885" s="1" t="s">
        <v>16475</v>
      </c>
      <c r="F885" s="90">
        <v>45113.55568287037</v>
      </c>
      <c r="G885" s="90">
        <v>45907.69710648148</v>
      </c>
      <c r="H885" s="1" t="s">
        <v>16476</v>
      </c>
    </row>
    <row r="886">
      <c r="A886" s="89">
        <v>1028.0</v>
      </c>
      <c r="B886" s="1" t="s">
        <v>17350</v>
      </c>
      <c r="E886" s="1" t="s">
        <v>16475</v>
      </c>
      <c r="F886" s="90">
        <v>45113.55563657408</v>
      </c>
      <c r="G886" s="90">
        <v>45907.69630787037</v>
      </c>
      <c r="H886" s="1" t="s">
        <v>16476</v>
      </c>
    </row>
    <row r="887">
      <c r="A887" s="1">
        <v>642.0</v>
      </c>
      <c r="B887" s="1" t="s">
        <v>17351</v>
      </c>
      <c r="E887" s="1" t="s">
        <v>16485</v>
      </c>
      <c r="F887" s="90">
        <v>45113.549988425926</v>
      </c>
      <c r="G887" s="90">
        <v>45907.695543981485</v>
      </c>
      <c r="H887" s="1" t="s">
        <v>16476</v>
      </c>
    </row>
    <row r="888">
      <c r="A888" s="89">
        <v>1169.0</v>
      </c>
      <c r="B888" s="1" t="s">
        <v>17352</v>
      </c>
      <c r="E888" s="1" t="s">
        <v>16485</v>
      </c>
      <c r="F888" s="90">
        <v>45113.55771990741</v>
      </c>
      <c r="G888" s="90">
        <v>45907.69515046296</v>
      </c>
      <c r="H888" s="1" t="s">
        <v>16476</v>
      </c>
    </row>
    <row r="889">
      <c r="A889" s="1">
        <v>184.0</v>
      </c>
      <c r="B889" s="1" t="s">
        <v>17353</v>
      </c>
      <c r="E889" s="1" t="s">
        <v>5202</v>
      </c>
      <c r="F889" s="90">
        <v>45113.543171296296</v>
      </c>
      <c r="G889" s="90">
        <v>45907.69483796296</v>
      </c>
      <c r="H889" s="1" t="s">
        <v>16476</v>
      </c>
    </row>
    <row r="890">
      <c r="A890" s="89">
        <v>1199.0</v>
      </c>
      <c r="B890" s="1" t="s">
        <v>17354</v>
      </c>
      <c r="E890" s="1" t="s">
        <v>16475</v>
      </c>
      <c r="F890" s="90">
        <v>45113.55814814815</v>
      </c>
      <c r="G890" s="90">
        <v>45907.69458333333</v>
      </c>
      <c r="H890" s="1" t="s">
        <v>16476</v>
      </c>
    </row>
    <row r="891">
      <c r="A891" s="1">
        <v>647.0</v>
      </c>
      <c r="B891" s="1" t="s">
        <v>17355</v>
      </c>
      <c r="E891" s="1" t="s">
        <v>16475</v>
      </c>
      <c r="F891" s="90">
        <v>45113.55005787037</v>
      </c>
      <c r="G891" s="90">
        <v>45907.69412037037</v>
      </c>
      <c r="H891" s="1" t="s">
        <v>16476</v>
      </c>
    </row>
    <row r="892">
      <c r="A892" s="1">
        <v>932.0</v>
      </c>
      <c r="B892" s="1" t="s">
        <v>17356</v>
      </c>
      <c r="E892" s="1" t="s">
        <v>16485</v>
      </c>
      <c r="F892" s="90">
        <v>45113.554236111115</v>
      </c>
      <c r="G892" s="90">
        <v>45907.693402777775</v>
      </c>
      <c r="H892" s="1" t="s">
        <v>16476</v>
      </c>
    </row>
    <row r="893">
      <c r="A893" s="1">
        <v>746.0</v>
      </c>
      <c r="B893" s="1" t="s">
        <v>17357</v>
      </c>
      <c r="E893" s="1" t="s">
        <v>16485</v>
      </c>
      <c r="F893" s="90">
        <v>45113.55152777778</v>
      </c>
      <c r="G893" s="90">
        <v>45907.692349537036</v>
      </c>
      <c r="H893" s="1" t="s">
        <v>16476</v>
      </c>
    </row>
    <row r="894">
      <c r="A894" s="1">
        <v>194.0</v>
      </c>
      <c r="B894" s="1" t="s">
        <v>17358</v>
      </c>
      <c r="E894" s="1" t="s">
        <v>5202</v>
      </c>
      <c r="F894" s="90">
        <v>45113.54332175926</v>
      </c>
      <c r="G894" s="90">
        <v>45907.69173611111</v>
      </c>
      <c r="H894" s="1" t="s">
        <v>16476</v>
      </c>
    </row>
    <row r="895">
      <c r="A895" s="1">
        <v>453.0</v>
      </c>
      <c r="B895" s="1" t="s">
        <v>17359</v>
      </c>
      <c r="E895" s="1" t="s">
        <v>16485</v>
      </c>
      <c r="F895" s="90">
        <v>45113.54721064815</v>
      </c>
      <c r="G895" s="90">
        <v>45907.691203703704</v>
      </c>
      <c r="H895" s="1" t="s">
        <v>16476</v>
      </c>
    </row>
    <row r="896">
      <c r="A896" s="89">
        <v>1162.0</v>
      </c>
      <c r="B896" s="1" t="s">
        <v>17360</v>
      </c>
      <c r="E896" s="1" t="s">
        <v>16485</v>
      </c>
      <c r="F896" s="90">
        <v>45113.55761574074</v>
      </c>
      <c r="G896" s="90">
        <v>45907.69094907407</v>
      </c>
      <c r="H896" s="1" t="s">
        <v>16476</v>
      </c>
    </row>
    <row r="897">
      <c r="A897" s="89">
        <v>1153.0</v>
      </c>
      <c r="B897" s="1" t="s">
        <v>17361</v>
      </c>
      <c r="E897" s="1" t="s">
        <v>16485</v>
      </c>
      <c r="F897" s="90">
        <v>45113.55746527778</v>
      </c>
      <c r="G897" s="90">
        <v>45907.69070601852</v>
      </c>
      <c r="H897" s="1" t="s">
        <v>16476</v>
      </c>
    </row>
    <row r="898">
      <c r="A898" s="1">
        <v>548.0</v>
      </c>
      <c r="B898" s="1" t="s">
        <v>17362</v>
      </c>
      <c r="E898" s="1" t="s">
        <v>16485</v>
      </c>
      <c r="F898" s="90">
        <v>45113.54859953704</v>
      </c>
      <c r="G898" s="90">
        <v>45907.69016203703</v>
      </c>
      <c r="H898" s="1" t="s">
        <v>16476</v>
      </c>
    </row>
    <row r="899">
      <c r="A899" s="1">
        <v>951.0</v>
      </c>
      <c r="B899" s="1" t="s">
        <v>17363</v>
      </c>
      <c r="E899" s="1" t="s">
        <v>16485</v>
      </c>
      <c r="F899" s="90">
        <v>45113.55451388889</v>
      </c>
      <c r="G899" s="90">
        <v>45907.689409722225</v>
      </c>
      <c r="H899" s="1" t="s">
        <v>16476</v>
      </c>
    </row>
    <row r="900">
      <c r="A900" s="1">
        <v>497.0</v>
      </c>
      <c r="B900" s="1" t="s">
        <v>17364</v>
      </c>
      <c r="E900" s="1" t="s">
        <v>16485</v>
      </c>
      <c r="F900" s="90">
        <v>45113.54785879629</v>
      </c>
      <c r="G900" s="90">
        <v>45907.689155092594</v>
      </c>
      <c r="H900" s="1" t="s">
        <v>16476</v>
      </c>
    </row>
    <row r="901">
      <c r="A901" s="1">
        <v>591.0</v>
      </c>
      <c r="B901" s="1" t="s">
        <v>17365</v>
      </c>
      <c r="E901" s="1" t="s">
        <v>16485</v>
      </c>
      <c r="F901" s="90">
        <v>45113.54922453704</v>
      </c>
      <c r="G901" s="90">
        <v>45907.68877314815</v>
      </c>
      <c r="H901" s="1" t="s">
        <v>16476</v>
      </c>
    </row>
    <row r="902">
      <c r="A902" s="89">
        <v>1157.0</v>
      </c>
      <c r="B902" s="1" t="s">
        <v>17366</v>
      </c>
      <c r="E902" s="1" t="s">
        <v>16485</v>
      </c>
      <c r="F902" s="90">
        <v>45113.557534722226</v>
      </c>
      <c r="G902" s="90">
        <v>45907.688101851854</v>
      </c>
      <c r="H902" s="1" t="s">
        <v>16476</v>
      </c>
    </row>
    <row r="903">
      <c r="A903" s="89">
        <v>1214.0</v>
      </c>
      <c r="B903" s="1" t="s">
        <v>17367</v>
      </c>
      <c r="E903" s="1" t="s">
        <v>16475</v>
      </c>
      <c r="F903" s="90">
        <v>45113.55836805556</v>
      </c>
      <c r="G903" s="90">
        <v>45907.687789351854</v>
      </c>
      <c r="H903" s="1" t="s">
        <v>16476</v>
      </c>
    </row>
    <row r="904">
      <c r="A904" s="1">
        <v>713.0</v>
      </c>
      <c r="B904" s="1" t="s">
        <v>17368</v>
      </c>
      <c r="E904" s="1" t="s">
        <v>16475</v>
      </c>
      <c r="F904" s="90">
        <v>45113.551041666666</v>
      </c>
      <c r="G904" s="90">
        <v>45907.68719907408</v>
      </c>
      <c r="H904" s="1" t="s">
        <v>16476</v>
      </c>
    </row>
    <row r="905">
      <c r="A905" s="1">
        <v>645.0</v>
      </c>
      <c r="B905" s="1" t="s">
        <v>17369</v>
      </c>
      <c r="E905" s="1" t="s">
        <v>16475</v>
      </c>
      <c r="F905" s="90">
        <v>45113.55003472222</v>
      </c>
      <c r="G905" s="90">
        <v>45907.68682870371</v>
      </c>
      <c r="H905" s="1" t="s">
        <v>16476</v>
      </c>
    </row>
    <row r="906">
      <c r="A906" s="1">
        <v>520.0</v>
      </c>
      <c r="B906" s="1" t="s">
        <v>17147</v>
      </c>
      <c r="E906" s="1" t="s">
        <v>17136</v>
      </c>
      <c r="F906" s="90">
        <v>45113.54819444445</v>
      </c>
      <c r="G906" s="90">
        <v>45907.68615740741</v>
      </c>
      <c r="H906" s="1" t="s">
        <v>16476</v>
      </c>
    </row>
    <row r="907">
      <c r="A907" s="1">
        <v>76.0</v>
      </c>
      <c r="B907" s="1" t="s">
        <v>17370</v>
      </c>
      <c r="E907" s="1" t="s">
        <v>16475</v>
      </c>
      <c r="F907" s="90">
        <v>45113.54162037037</v>
      </c>
      <c r="G907" s="90">
        <v>45907.68556712963</v>
      </c>
      <c r="H907" s="1" t="s">
        <v>16476</v>
      </c>
    </row>
    <row r="908">
      <c r="A908" s="1">
        <v>80.0</v>
      </c>
      <c r="B908" s="1" t="s">
        <v>17371</v>
      </c>
      <c r="E908" s="1" t="s">
        <v>16475</v>
      </c>
      <c r="F908" s="90">
        <v>45113.54168981482</v>
      </c>
      <c r="G908" s="90">
        <v>45907.685011574074</v>
      </c>
      <c r="H908" s="1" t="s">
        <v>16476</v>
      </c>
    </row>
    <row r="909">
      <c r="A909" s="1">
        <v>97.0</v>
      </c>
      <c r="B909" s="1" t="s">
        <v>17372</v>
      </c>
      <c r="E909" s="1" t="s">
        <v>16485</v>
      </c>
      <c r="F909" s="90">
        <v>45113.541921296295</v>
      </c>
      <c r="G909" s="90">
        <v>45907.684594907405</v>
      </c>
      <c r="H909" s="1" t="s">
        <v>16476</v>
      </c>
    </row>
    <row r="910">
      <c r="A910" s="89">
        <v>1159.0</v>
      </c>
      <c r="B910" s="1" t="s">
        <v>17373</v>
      </c>
      <c r="E910" s="1" t="s">
        <v>16475</v>
      </c>
      <c r="F910" s="90">
        <v>45113.55756944444</v>
      </c>
      <c r="G910" s="90">
        <v>45907.683796296296</v>
      </c>
      <c r="H910" s="1" t="s">
        <v>16476</v>
      </c>
    </row>
    <row r="911">
      <c r="A911" s="1">
        <v>501.0</v>
      </c>
      <c r="B911" s="1" t="s">
        <v>17374</v>
      </c>
      <c r="E911" s="1" t="s">
        <v>16475</v>
      </c>
      <c r="F911" s="90">
        <v>45113.54791666667</v>
      </c>
      <c r="G911" s="90">
        <v>45907.68341435185</v>
      </c>
      <c r="H911" s="1" t="s">
        <v>16476</v>
      </c>
    </row>
    <row r="912">
      <c r="A912" s="1">
        <v>740.0</v>
      </c>
      <c r="B912" s="1" t="s">
        <v>17375</v>
      </c>
      <c r="E912" s="1" t="s">
        <v>16475</v>
      </c>
      <c r="F912" s="90">
        <v>45113.55143518518</v>
      </c>
      <c r="G912" s="90">
        <v>45907.68310185185</v>
      </c>
      <c r="H912" s="1" t="s">
        <v>16476</v>
      </c>
    </row>
    <row r="913">
      <c r="A913" s="1">
        <v>92.0</v>
      </c>
      <c r="B913" s="1" t="s">
        <v>17376</v>
      </c>
      <c r="E913" s="1" t="s">
        <v>16882</v>
      </c>
      <c r="F913" s="90">
        <v>45113.541863425926</v>
      </c>
      <c r="G913" s="90">
        <v>45907.682708333334</v>
      </c>
      <c r="H913" s="1" t="s">
        <v>16476</v>
      </c>
    </row>
    <row r="914">
      <c r="A914" s="1">
        <v>458.0</v>
      </c>
      <c r="B914" s="1" t="s">
        <v>17377</v>
      </c>
      <c r="E914" s="1" t="s">
        <v>16475</v>
      </c>
      <c r="F914" s="90">
        <v>45113.54728009259</v>
      </c>
      <c r="G914" s="90">
        <v>45907.68225694444</v>
      </c>
      <c r="H914" s="1" t="s">
        <v>16476</v>
      </c>
    </row>
    <row r="915">
      <c r="A915" s="89">
        <v>1038.0</v>
      </c>
      <c r="B915" s="1" t="s">
        <v>17378</v>
      </c>
      <c r="E915" s="1" t="s">
        <v>16475</v>
      </c>
      <c r="F915" s="90">
        <v>45113.55578703704</v>
      </c>
      <c r="G915" s="90">
        <v>45907.68184027778</v>
      </c>
      <c r="H915" s="1" t="s">
        <v>16476</v>
      </c>
    </row>
    <row r="916">
      <c r="A916" s="89">
        <v>1016.0</v>
      </c>
      <c r="B916" s="1" t="s">
        <v>17379</v>
      </c>
      <c r="E916" s="1" t="s">
        <v>16475</v>
      </c>
      <c r="F916" s="90">
        <v>45113.55546296296</v>
      </c>
      <c r="G916" s="90">
        <v>45907.68148148148</v>
      </c>
      <c r="H916" s="1" t="s">
        <v>16476</v>
      </c>
    </row>
    <row r="917">
      <c r="A917" s="1">
        <v>351.0</v>
      </c>
      <c r="B917" s="1" t="s">
        <v>17380</v>
      </c>
      <c r="E917" s="1" t="s">
        <v>5202</v>
      </c>
      <c r="F917" s="90">
        <v>45113.545694444445</v>
      </c>
      <c r="G917" s="90">
        <v>45907.68100694445</v>
      </c>
      <c r="H917" s="1" t="s">
        <v>16476</v>
      </c>
    </row>
    <row r="918">
      <c r="A918" s="1">
        <v>701.0</v>
      </c>
      <c r="B918" s="1" t="s">
        <v>17381</v>
      </c>
      <c r="E918" s="1" t="s">
        <v>5202</v>
      </c>
      <c r="F918" s="90">
        <v>45113.55086805556</v>
      </c>
      <c r="G918" s="90">
        <v>45907.680601851855</v>
      </c>
      <c r="H918" s="1" t="s">
        <v>16476</v>
      </c>
    </row>
    <row r="919">
      <c r="A919" s="1">
        <v>468.0</v>
      </c>
      <c r="B919" s="1" t="s">
        <v>17382</v>
      </c>
      <c r="E919" s="1" t="s">
        <v>16475</v>
      </c>
      <c r="F919" s="90">
        <v>45113.547430555554</v>
      </c>
      <c r="G919" s="90">
        <v>45907.68019675926</v>
      </c>
      <c r="H919" s="1" t="s">
        <v>16476</v>
      </c>
    </row>
    <row r="920">
      <c r="A920" s="1">
        <v>300.0</v>
      </c>
      <c r="B920" s="1" t="s">
        <v>17383</v>
      </c>
      <c r="E920" s="1" t="s">
        <v>16475</v>
      </c>
      <c r="F920" s="90">
        <v>45113.544953703706</v>
      </c>
      <c r="G920" s="90">
        <v>45907.67962962963</v>
      </c>
      <c r="H920" s="1" t="s">
        <v>16476</v>
      </c>
    </row>
    <row r="921">
      <c r="A921" s="1">
        <v>105.0</v>
      </c>
      <c r="B921" s="1" t="s">
        <v>17384</v>
      </c>
      <c r="E921" s="1" t="s">
        <v>16475</v>
      </c>
      <c r="F921" s="90">
        <v>45113.542025462964</v>
      </c>
      <c r="G921" s="90">
        <v>45907.6787962963</v>
      </c>
      <c r="H921" s="1" t="s">
        <v>16476</v>
      </c>
    </row>
    <row r="922">
      <c r="A922" s="1">
        <v>831.0</v>
      </c>
      <c r="B922" s="1" t="s">
        <v>17385</v>
      </c>
      <c r="E922" s="1" t="s">
        <v>16475</v>
      </c>
      <c r="F922" s="90">
        <v>45113.552766203706</v>
      </c>
      <c r="G922" s="90">
        <v>45907.67837962963</v>
      </c>
      <c r="H922" s="1" t="s">
        <v>16476</v>
      </c>
    </row>
    <row r="923">
      <c r="A923" s="1">
        <v>91.0</v>
      </c>
      <c r="B923" s="1" t="s">
        <v>17386</v>
      </c>
      <c r="E923" s="1" t="s">
        <v>16475</v>
      </c>
      <c r="F923" s="90">
        <v>45113.54185185185</v>
      </c>
      <c r="G923" s="90">
        <v>45907.677939814814</v>
      </c>
      <c r="H923" s="1" t="s">
        <v>16476</v>
      </c>
    </row>
    <row r="924">
      <c r="A924" s="1">
        <v>659.0</v>
      </c>
      <c r="B924" s="1" t="s">
        <v>17387</v>
      </c>
      <c r="E924" s="1" t="s">
        <v>16475</v>
      </c>
      <c r="F924" s="90">
        <v>45113.55023148148</v>
      </c>
      <c r="G924" s="90">
        <v>45907.677511574075</v>
      </c>
      <c r="H924" s="1" t="s">
        <v>16476</v>
      </c>
    </row>
    <row r="925">
      <c r="A925" s="1">
        <v>201.0</v>
      </c>
      <c r="B925" s="1" t="s">
        <v>17388</v>
      </c>
      <c r="E925" s="1" t="s">
        <v>16475</v>
      </c>
      <c r="F925" s="90">
        <v>45113.54342592593</v>
      </c>
      <c r="G925" s="90">
        <v>45907.67695601852</v>
      </c>
      <c r="H925" s="1" t="s">
        <v>16476</v>
      </c>
    </row>
    <row r="926">
      <c r="A926" s="1">
        <v>99.0</v>
      </c>
      <c r="B926" s="1" t="s">
        <v>17389</v>
      </c>
      <c r="E926" s="1" t="s">
        <v>16475</v>
      </c>
      <c r="F926" s="90">
        <v>45113.54194444444</v>
      </c>
      <c r="G926" s="90">
        <v>45907.676516203705</v>
      </c>
      <c r="H926" s="1" t="s">
        <v>16476</v>
      </c>
    </row>
    <row r="927">
      <c r="A927" s="1">
        <v>94.0</v>
      </c>
      <c r="B927" s="1" t="s">
        <v>17390</v>
      </c>
      <c r="E927" s="1" t="s">
        <v>16475</v>
      </c>
      <c r="F927" s="90">
        <v>45113.54188657407</v>
      </c>
      <c r="G927" s="90">
        <v>45907.67606481481</v>
      </c>
      <c r="H927" s="1" t="s">
        <v>16476</v>
      </c>
    </row>
    <row r="928">
      <c r="A928" s="1">
        <v>90.0</v>
      </c>
      <c r="B928" s="1" t="s">
        <v>17391</v>
      </c>
      <c r="E928" s="1" t="s">
        <v>16475</v>
      </c>
      <c r="F928" s="90">
        <v>45113.54184027778</v>
      </c>
      <c r="G928" s="90">
        <v>45907.67564814815</v>
      </c>
      <c r="H928" s="1" t="s">
        <v>16476</v>
      </c>
    </row>
    <row r="929">
      <c r="A929" s="1">
        <v>102.0</v>
      </c>
      <c r="B929" s="1" t="s">
        <v>17392</v>
      </c>
      <c r="E929" s="1" t="s">
        <v>16475</v>
      </c>
      <c r="F929" s="90">
        <v>45113.541979166665</v>
      </c>
      <c r="G929" s="90">
        <v>45907.67521990741</v>
      </c>
      <c r="H929" s="1" t="s">
        <v>16476</v>
      </c>
    </row>
    <row r="930">
      <c r="A930" s="1">
        <v>84.0</v>
      </c>
      <c r="B930" s="1" t="s">
        <v>17393</v>
      </c>
      <c r="E930" s="1" t="s">
        <v>16475</v>
      </c>
      <c r="F930" s="90">
        <v>45113.54174768519</v>
      </c>
      <c r="G930" s="90">
        <v>45907.67475694444</v>
      </c>
      <c r="H930" s="1" t="s">
        <v>16476</v>
      </c>
    </row>
    <row r="931">
      <c r="A931" s="1">
        <v>73.0</v>
      </c>
      <c r="B931" s="1" t="s">
        <v>17394</v>
      </c>
      <c r="E931" s="1" t="s">
        <v>16475</v>
      </c>
      <c r="F931" s="90">
        <v>45113.54157407407</v>
      </c>
      <c r="G931" s="90">
        <v>45907.67443287037</v>
      </c>
      <c r="H931" s="1" t="s">
        <v>16476</v>
      </c>
    </row>
    <row r="932">
      <c r="A932" s="1">
        <v>991.0</v>
      </c>
      <c r="B932" s="1" t="s">
        <v>17395</v>
      </c>
      <c r="E932" s="1" t="s">
        <v>16475</v>
      </c>
      <c r="F932" s="90">
        <v>45113.55510416667</v>
      </c>
      <c r="G932" s="90">
        <v>45907.674155092594</v>
      </c>
      <c r="H932" s="1" t="s">
        <v>16476</v>
      </c>
    </row>
    <row r="933">
      <c r="A933" s="1">
        <v>93.0</v>
      </c>
      <c r="B933" s="1" t="s">
        <v>17396</v>
      </c>
      <c r="E933" s="1" t="s">
        <v>16485</v>
      </c>
      <c r="F933" s="90">
        <v>45113.541875</v>
      </c>
      <c r="G933" s="90">
        <v>45907.67369212963</v>
      </c>
      <c r="H933" s="1" t="s">
        <v>16476</v>
      </c>
    </row>
    <row r="934">
      <c r="A934" s="1">
        <v>87.0</v>
      </c>
      <c r="B934" s="1" t="s">
        <v>17397</v>
      </c>
      <c r="E934" s="1" t="s">
        <v>16485</v>
      </c>
      <c r="F934" s="90">
        <v>45113.54179398148</v>
      </c>
      <c r="G934" s="90">
        <v>45907.673414351855</v>
      </c>
      <c r="H934" s="1" t="s">
        <v>16476</v>
      </c>
    </row>
    <row r="935">
      <c r="A935" s="1">
        <v>100.0</v>
      </c>
      <c r="B935" s="1" t="s">
        <v>17398</v>
      </c>
      <c r="E935" s="1" t="s">
        <v>16485</v>
      </c>
      <c r="F935" s="90">
        <v>45113.54195601852</v>
      </c>
      <c r="G935" s="90">
        <v>45907.673101851855</v>
      </c>
      <c r="H935" s="1" t="s">
        <v>16476</v>
      </c>
    </row>
    <row r="936">
      <c r="A936" s="1">
        <v>86.0</v>
      </c>
      <c r="B936" s="1" t="s">
        <v>17399</v>
      </c>
      <c r="E936" s="1" t="s">
        <v>16485</v>
      </c>
      <c r="F936" s="90">
        <v>45113.54177083333</v>
      </c>
      <c r="G936" s="90">
        <v>45907.6725</v>
      </c>
      <c r="H936" s="1" t="s">
        <v>16476</v>
      </c>
    </row>
    <row r="937">
      <c r="A937" s="1">
        <v>95.0</v>
      </c>
      <c r="B937" s="1" t="s">
        <v>17400</v>
      </c>
      <c r="E937" s="1" t="s">
        <v>16485</v>
      </c>
      <c r="F937" s="90">
        <v>45113.54189814815</v>
      </c>
      <c r="G937" s="90">
        <v>45907.67223379629</v>
      </c>
      <c r="H937" s="1" t="s">
        <v>16476</v>
      </c>
    </row>
    <row r="938">
      <c r="A938" s="1">
        <v>74.0</v>
      </c>
      <c r="B938" s="1" t="s">
        <v>17401</v>
      </c>
      <c r="E938" s="1" t="s">
        <v>16485</v>
      </c>
      <c r="F938" s="90">
        <v>45113.541597222225</v>
      </c>
      <c r="G938" s="90">
        <v>45907.671851851854</v>
      </c>
      <c r="H938" s="1" t="s">
        <v>16476</v>
      </c>
    </row>
    <row r="939">
      <c r="A939" s="89">
        <v>1036.0</v>
      </c>
      <c r="B939" s="1" t="s">
        <v>17402</v>
      </c>
      <c r="E939" s="1" t="s">
        <v>16485</v>
      </c>
      <c r="F939" s="90">
        <v>45113.555763888886</v>
      </c>
      <c r="G939" s="90">
        <v>45907.67146990741</v>
      </c>
      <c r="H939" s="1" t="s">
        <v>16476</v>
      </c>
    </row>
    <row r="940">
      <c r="A940" s="89">
        <v>1193.0</v>
      </c>
      <c r="B940" s="1" t="s">
        <v>17403</v>
      </c>
      <c r="E940" s="1" t="s">
        <v>16475</v>
      </c>
      <c r="F940" s="90">
        <v>45113.55806712963</v>
      </c>
      <c r="G940" s="90">
        <v>45907.67008101852</v>
      </c>
      <c r="H940" s="1" t="s">
        <v>16476</v>
      </c>
    </row>
    <row r="941">
      <c r="A941" s="1">
        <v>372.0</v>
      </c>
      <c r="B941" s="1" t="s">
        <v>17404</v>
      </c>
      <c r="E941" s="1" t="s">
        <v>16475</v>
      </c>
      <c r="F941" s="90">
        <v>45113.546006944445</v>
      </c>
      <c r="G941" s="90">
        <v>45907.66962962963</v>
      </c>
      <c r="H941" s="1" t="s">
        <v>16476</v>
      </c>
    </row>
    <row r="942">
      <c r="A942" s="1">
        <v>726.0</v>
      </c>
      <c r="B942" s="1" t="s">
        <v>17405</v>
      </c>
      <c r="E942" s="1" t="s">
        <v>16475</v>
      </c>
      <c r="F942" s="90">
        <v>45113.55123842593</v>
      </c>
      <c r="G942" s="90">
        <v>45907.66923611111</v>
      </c>
      <c r="H942" s="1" t="s">
        <v>16476</v>
      </c>
    </row>
    <row r="943">
      <c r="A943" s="89">
        <v>1245.0</v>
      </c>
      <c r="B943" s="1" t="s">
        <v>17406</v>
      </c>
      <c r="E943" s="1" t="s">
        <v>16475</v>
      </c>
      <c r="F943" s="90">
        <v>45113.55881944444</v>
      </c>
      <c r="G943" s="90">
        <v>45907.667662037034</v>
      </c>
      <c r="H943" s="1" t="s">
        <v>16476</v>
      </c>
    </row>
    <row r="944">
      <c r="A944" s="1">
        <v>498.0</v>
      </c>
      <c r="B944" s="1" t="s">
        <v>17407</v>
      </c>
      <c r="E944" s="1" t="s">
        <v>16485</v>
      </c>
      <c r="F944" s="90">
        <v>45113.54787037037</v>
      </c>
      <c r="G944" s="90">
        <v>45907.66672453703</v>
      </c>
      <c r="H944" s="1" t="s">
        <v>16476</v>
      </c>
    </row>
    <row r="945">
      <c r="A945" s="1">
        <v>312.0</v>
      </c>
      <c r="B945" s="1" t="s">
        <v>17408</v>
      </c>
      <c r="E945" s="1" t="s">
        <v>16485</v>
      </c>
      <c r="F945" s="90">
        <v>45113.545127314814</v>
      </c>
      <c r="G945" s="90">
        <v>45907.66626157407</v>
      </c>
      <c r="H945" s="1" t="s">
        <v>16476</v>
      </c>
    </row>
    <row r="946">
      <c r="A946" s="1">
        <v>677.0</v>
      </c>
      <c r="B946" s="1" t="s">
        <v>17409</v>
      </c>
      <c r="E946" s="1" t="s">
        <v>16485</v>
      </c>
      <c r="F946" s="90">
        <v>45113.55049768519</v>
      </c>
      <c r="G946" s="90">
        <v>45907.66590277778</v>
      </c>
      <c r="H946" s="1" t="s">
        <v>16476</v>
      </c>
    </row>
    <row r="947">
      <c r="A947" s="89">
        <v>1171.0</v>
      </c>
      <c r="B947" s="1" t="s">
        <v>17410</v>
      </c>
      <c r="E947" s="1" t="s">
        <v>16485</v>
      </c>
      <c r="F947" s="90">
        <v>45113.557754629626</v>
      </c>
      <c r="G947" s="90">
        <v>45907.66502314815</v>
      </c>
      <c r="H947" s="1" t="s">
        <v>16476</v>
      </c>
    </row>
    <row r="948">
      <c r="A948" s="89">
        <v>1449.0</v>
      </c>
      <c r="B948" s="1" t="s">
        <v>13417</v>
      </c>
      <c r="F948" s="90">
        <v>45453.701261574075</v>
      </c>
      <c r="G948" s="90">
        <v>45907.66440972222</v>
      </c>
      <c r="H948" s="1" t="s">
        <v>16476</v>
      </c>
    </row>
    <row r="949">
      <c r="A949" s="1">
        <v>779.0</v>
      </c>
      <c r="B949" s="1" t="s">
        <v>17411</v>
      </c>
      <c r="E949" s="1" t="s">
        <v>17278</v>
      </c>
      <c r="F949" s="90">
        <v>45113.55200231481</v>
      </c>
      <c r="G949" s="90">
        <v>45907.664247685185</v>
      </c>
      <c r="H949" s="1" t="s">
        <v>16476</v>
      </c>
    </row>
    <row r="950">
      <c r="A950" s="1">
        <v>778.0</v>
      </c>
      <c r="B950" s="1" t="s">
        <v>112</v>
      </c>
      <c r="E950" s="1" t="s">
        <v>17278</v>
      </c>
      <c r="F950" s="90">
        <v>45113.55199074074</v>
      </c>
      <c r="G950" s="90">
        <v>45907.664039351854</v>
      </c>
      <c r="H950" s="1" t="s">
        <v>16476</v>
      </c>
    </row>
    <row r="951">
      <c r="A951" s="1">
        <v>934.0</v>
      </c>
      <c r="B951" s="1" t="s">
        <v>17412</v>
      </c>
      <c r="E951" s="1" t="s">
        <v>16485</v>
      </c>
      <c r="F951" s="90">
        <v>45113.55427083333</v>
      </c>
      <c r="G951" s="90">
        <v>45907.663668981484</v>
      </c>
      <c r="H951" s="1" t="s">
        <v>16476</v>
      </c>
    </row>
    <row r="952">
      <c r="A952" s="1">
        <v>151.0</v>
      </c>
      <c r="B952" s="1" t="s">
        <v>17413</v>
      </c>
      <c r="E952" s="1" t="s">
        <v>16485</v>
      </c>
      <c r="F952" s="90">
        <v>45113.54268518519</v>
      </c>
      <c r="G952" s="90">
        <v>45907.66327546296</v>
      </c>
      <c r="H952" s="1" t="s">
        <v>16476</v>
      </c>
    </row>
    <row r="953">
      <c r="A953" s="1">
        <v>314.0</v>
      </c>
      <c r="B953" s="1" t="s">
        <v>17414</v>
      </c>
      <c r="E953" s="1" t="s">
        <v>16485</v>
      </c>
      <c r="F953" s="90">
        <v>45113.54516203704</v>
      </c>
      <c r="G953" s="90">
        <v>45907.6628125</v>
      </c>
      <c r="H953" s="1" t="s">
        <v>16476</v>
      </c>
    </row>
    <row r="954">
      <c r="A954" s="1">
        <v>193.0</v>
      </c>
      <c r="B954" s="1" t="s">
        <v>17415</v>
      </c>
      <c r="E954" s="1" t="s">
        <v>16485</v>
      </c>
      <c r="F954" s="90">
        <v>45113.54331018519</v>
      </c>
      <c r="G954" s="90">
        <v>45907.66238425926</v>
      </c>
      <c r="H954" s="1" t="s">
        <v>16476</v>
      </c>
    </row>
    <row r="955">
      <c r="A955" s="89">
        <v>1263.0</v>
      </c>
      <c r="B955" s="1" t="s">
        <v>17416</v>
      </c>
      <c r="E955" s="1" t="s">
        <v>16485</v>
      </c>
      <c r="F955" s="90">
        <v>45113.55908564815</v>
      </c>
      <c r="G955" s="90">
        <v>45907.66212962963</v>
      </c>
      <c r="H955" s="1" t="s">
        <v>16476</v>
      </c>
    </row>
    <row r="956">
      <c r="A956" s="1">
        <v>881.0</v>
      </c>
      <c r="B956" s="1" t="s">
        <v>17417</v>
      </c>
      <c r="E956" s="1" t="s">
        <v>16485</v>
      </c>
      <c r="F956" s="90">
        <v>45113.55349537037</v>
      </c>
      <c r="G956" s="90">
        <v>45907.66170138889</v>
      </c>
      <c r="H956" s="1" t="s">
        <v>16476</v>
      </c>
    </row>
    <row r="957">
      <c r="A957" s="1">
        <v>803.0</v>
      </c>
      <c r="B957" s="1" t="s">
        <v>17418</v>
      </c>
      <c r="E957" s="1" t="s">
        <v>16485</v>
      </c>
      <c r="F957" s="90">
        <v>45113.552349537036</v>
      </c>
      <c r="G957" s="90">
        <v>45907.661261574074</v>
      </c>
      <c r="H957" s="1" t="s">
        <v>16476</v>
      </c>
    </row>
    <row r="958">
      <c r="A958" s="1">
        <v>321.0</v>
      </c>
      <c r="B958" s="1" t="s">
        <v>17419</v>
      </c>
      <c r="E958" s="1" t="s">
        <v>5202</v>
      </c>
      <c r="F958" s="90">
        <v>45113.545266203706</v>
      </c>
      <c r="G958" s="90">
        <v>45907.66076388889</v>
      </c>
      <c r="H958" s="1" t="s">
        <v>16476</v>
      </c>
    </row>
    <row r="959">
      <c r="A959" s="1">
        <v>416.0</v>
      </c>
      <c r="B959" s="1" t="s">
        <v>17420</v>
      </c>
      <c r="E959" s="1" t="s">
        <v>16485</v>
      </c>
      <c r="F959" s="90">
        <v>45113.54666666667</v>
      </c>
      <c r="G959" s="90">
        <v>45907.660358796296</v>
      </c>
      <c r="H959" s="1" t="s">
        <v>16476</v>
      </c>
    </row>
    <row r="960">
      <c r="A960" s="1">
        <v>159.0</v>
      </c>
      <c r="B960" s="1" t="s">
        <v>17421</v>
      </c>
      <c r="E960" s="1" t="s">
        <v>5202</v>
      </c>
      <c r="F960" s="90">
        <v>45113.54280092593</v>
      </c>
      <c r="G960" s="90">
        <v>45907.659907407404</v>
      </c>
      <c r="H960" s="1" t="s">
        <v>16476</v>
      </c>
    </row>
    <row r="961">
      <c r="A961" s="1">
        <v>489.0</v>
      </c>
      <c r="B961" s="1" t="s">
        <v>17422</v>
      </c>
      <c r="E961" s="1" t="s">
        <v>16485</v>
      </c>
      <c r="F961" s="90">
        <v>45113.547743055555</v>
      </c>
      <c r="G961" s="90">
        <v>45907.65943287037</v>
      </c>
      <c r="H961" s="1" t="s">
        <v>16476</v>
      </c>
    </row>
    <row r="962">
      <c r="A962" s="1">
        <v>617.0</v>
      </c>
      <c r="B962" s="1" t="s">
        <v>17423</v>
      </c>
      <c r="E962" s="1" t="s">
        <v>16485</v>
      </c>
      <c r="F962" s="90">
        <v>45113.54960648148</v>
      </c>
      <c r="G962" s="90">
        <v>45907.659004629626</v>
      </c>
      <c r="H962" s="1" t="s">
        <v>16476</v>
      </c>
    </row>
    <row r="963">
      <c r="A963" s="1">
        <v>132.0</v>
      </c>
      <c r="B963" s="1" t="s">
        <v>17424</v>
      </c>
      <c r="E963" s="1" t="s">
        <v>16485</v>
      </c>
      <c r="F963" s="90">
        <v>45113.54240740741</v>
      </c>
      <c r="G963" s="90">
        <v>45907.65856481482</v>
      </c>
      <c r="H963" s="1" t="s">
        <v>16476</v>
      </c>
    </row>
    <row r="964">
      <c r="A964" s="1">
        <v>656.0</v>
      </c>
      <c r="B964" s="1" t="s">
        <v>17425</v>
      </c>
      <c r="E964" s="1" t="s">
        <v>16485</v>
      </c>
      <c r="F964" s="90">
        <v>45113.55019675926</v>
      </c>
      <c r="G964" s="90">
        <v>45907.658159722225</v>
      </c>
      <c r="H964" s="1" t="s">
        <v>16476</v>
      </c>
    </row>
    <row r="965">
      <c r="A965" s="1">
        <v>846.0</v>
      </c>
      <c r="B965" s="1" t="s">
        <v>17426</v>
      </c>
      <c r="E965" s="1" t="s">
        <v>16485</v>
      </c>
      <c r="F965" s="90">
        <v>45113.55298611111</v>
      </c>
      <c r="G965" s="90">
        <v>45907.65773148148</v>
      </c>
      <c r="H965" s="1" t="s">
        <v>16476</v>
      </c>
    </row>
    <row r="966">
      <c r="A966" s="1">
        <v>366.0</v>
      </c>
      <c r="B966" s="1" t="s">
        <v>17427</v>
      </c>
      <c r="E966" s="1" t="s">
        <v>16485</v>
      </c>
      <c r="F966" s="90">
        <v>45113.54591435185</v>
      </c>
      <c r="G966" s="90">
        <v>45907.65723379629</v>
      </c>
      <c r="H966" s="1" t="s">
        <v>16476</v>
      </c>
    </row>
    <row r="967">
      <c r="A967" s="1">
        <v>985.0</v>
      </c>
      <c r="B967" s="1" t="s">
        <v>17428</v>
      </c>
      <c r="E967" s="1" t="s">
        <v>16485</v>
      </c>
      <c r="F967" s="90">
        <v>45113.55501157408</v>
      </c>
      <c r="G967" s="90">
        <v>45907.6565162037</v>
      </c>
      <c r="H967" s="1" t="s">
        <v>16476</v>
      </c>
    </row>
    <row r="968">
      <c r="A968" s="1">
        <v>923.0</v>
      </c>
      <c r="B968" s="1" t="s">
        <v>17429</v>
      </c>
      <c r="E968" s="1" t="s">
        <v>16485</v>
      </c>
      <c r="F968" s="90">
        <v>45113.5541087963</v>
      </c>
      <c r="G968" s="90">
        <v>45907.65621527778</v>
      </c>
      <c r="H968" s="1" t="s">
        <v>16476</v>
      </c>
    </row>
    <row r="969">
      <c r="A969" s="1">
        <v>270.0</v>
      </c>
      <c r="B969" s="1" t="s">
        <v>17430</v>
      </c>
      <c r="E969" s="1" t="s">
        <v>16485</v>
      </c>
      <c r="F969" s="90">
        <v>45113.54447916667</v>
      </c>
      <c r="G969" s="90">
        <v>45907.655439814815</v>
      </c>
      <c r="H969" s="1" t="s">
        <v>16476</v>
      </c>
    </row>
    <row r="970">
      <c r="A970" s="1">
        <v>78.0</v>
      </c>
      <c r="B970" s="1" t="s">
        <v>17431</v>
      </c>
      <c r="E970" s="1" t="s">
        <v>16485</v>
      </c>
      <c r="F970" s="90">
        <v>45113.541655092595</v>
      </c>
      <c r="G970" s="90">
        <v>45907.65498842593</v>
      </c>
      <c r="H970" s="1" t="s">
        <v>16476</v>
      </c>
    </row>
    <row r="971">
      <c r="A971" s="1">
        <v>75.0</v>
      </c>
      <c r="B971" s="1" t="s">
        <v>17432</v>
      </c>
      <c r="E971" s="1" t="s">
        <v>16485</v>
      </c>
      <c r="F971" s="90">
        <v>45113.541608796295</v>
      </c>
      <c r="G971" s="90">
        <v>45907.65452546296</v>
      </c>
      <c r="H971" s="1" t="s">
        <v>16476</v>
      </c>
    </row>
    <row r="972">
      <c r="A972" s="89">
        <v>1174.0</v>
      </c>
      <c r="B972" s="1" t="s">
        <v>14740</v>
      </c>
      <c r="E972" s="1" t="s">
        <v>16485</v>
      </c>
      <c r="F972" s="90">
        <v>45113.557800925926</v>
      </c>
      <c r="G972" s="90">
        <v>45907.65415509259</v>
      </c>
      <c r="H972" s="1" t="s">
        <v>16476</v>
      </c>
    </row>
    <row r="973">
      <c r="A973" s="1">
        <v>88.0</v>
      </c>
      <c r="B973" s="1" t="s">
        <v>17433</v>
      </c>
      <c r="E973" s="1" t="s">
        <v>16485</v>
      </c>
      <c r="F973" s="90">
        <v>45113.54180555556</v>
      </c>
      <c r="G973" s="90">
        <v>45907.65372685185</v>
      </c>
      <c r="H973" s="1" t="s">
        <v>16476</v>
      </c>
    </row>
    <row r="974">
      <c r="A974" s="1">
        <v>81.0</v>
      </c>
      <c r="B974" s="1" t="s">
        <v>17434</v>
      </c>
      <c r="E974" s="1" t="s">
        <v>16485</v>
      </c>
      <c r="F974" s="90">
        <v>45113.54170138889</v>
      </c>
      <c r="G974" s="90">
        <v>45907.653449074074</v>
      </c>
      <c r="H974" s="1" t="s">
        <v>16476</v>
      </c>
    </row>
    <row r="975">
      <c r="A975" s="1">
        <v>83.0</v>
      </c>
      <c r="B975" s="1" t="s">
        <v>17435</v>
      </c>
      <c r="E975" s="1" t="s">
        <v>16485</v>
      </c>
      <c r="F975" s="90">
        <v>45113.54173611111</v>
      </c>
      <c r="G975" s="90">
        <v>45907.65282407407</v>
      </c>
      <c r="H975" s="1" t="s">
        <v>16476</v>
      </c>
    </row>
    <row r="976">
      <c r="A976" s="1">
        <v>107.0</v>
      </c>
      <c r="B976" s="1" t="s">
        <v>17436</v>
      </c>
      <c r="E976" s="1" t="s">
        <v>16485</v>
      </c>
      <c r="F976" s="90">
        <v>45113.54204861111</v>
      </c>
      <c r="G976" s="90">
        <v>45907.65244212963</v>
      </c>
      <c r="H976" s="1" t="s">
        <v>16476</v>
      </c>
    </row>
    <row r="977">
      <c r="A977" s="1">
        <v>79.0</v>
      </c>
      <c r="B977" s="1" t="s">
        <v>17437</v>
      </c>
      <c r="E977" s="1" t="s">
        <v>16485</v>
      </c>
      <c r="F977" s="90">
        <v>45113.541666666664</v>
      </c>
      <c r="G977" s="90">
        <v>45907.6518287037</v>
      </c>
      <c r="H977" s="1" t="s">
        <v>16476</v>
      </c>
    </row>
    <row r="978">
      <c r="A978" s="1">
        <v>335.0</v>
      </c>
      <c r="B978" s="1" t="s">
        <v>17438</v>
      </c>
      <c r="E978" s="1" t="s">
        <v>16485</v>
      </c>
      <c r="F978" s="90">
        <v>45113.54546296296</v>
      </c>
      <c r="G978" s="90">
        <v>45907.6515625</v>
      </c>
      <c r="H978" s="1" t="s">
        <v>16476</v>
      </c>
    </row>
    <row r="979">
      <c r="A979" s="1">
        <v>89.0</v>
      </c>
      <c r="B979" s="1" t="s">
        <v>17439</v>
      </c>
      <c r="E979" s="1" t="s">
        <v>16485</v>
      </c>
      <c r="F979" s="90">
        <v>45113.541817129626</v>
      </c>
      <c r="G979" s="90">
        <v>45907.65130787037</v>
      </c>
      <c r="H979" s="1" t="s">
        <v>16476</v>
      </c>
    </row>
    <row r="980">
      <c r="A980" s="89">
        <v>1129.0</v>
      </c>
      <c r="B980" s="1" t="s">
        <v>17440</v>
      </c>
      <c r="E980" s="1" t="s">
        <v>16485</v>
      </c>
      <c r="F980" s="90">
        <v>45113.557118055556</v>
      </c>
      <c r="G980" s="90">
        <v>45907.65096064815</v>
      </c>
      <c r="H980" s="1" t="s">
        <v>16476</v>
      </c>
    </row>
    <row r="981">
      <c r="A981" s="1">
        <v>816.0</v>
      </c>
      <c r="B981" s="1" t="s">
        <v>17441</v>
      </c>
      <c r="E981" s="1" t="s">
        <v>16485</v>
      </c>
      <c r="F981" s="90">
        <v>45113.5525462963</v>
      </c>
      <c r="G981" s="90">
        <v>45907.65064814815</v>
      </c>
      <c r="H981" s="1" t="s">
        <v>16476</v>
      </c>
    </row>
    <row r="982">
      <c r="A982" s="1">
        <v>848.0</v>
      </c>
      <c r="B982" s="1" t="s">
        <v>17442</v>
      </c>
      <c r="E982" s="1" t="s">
        <v>16485</v>
      </c>
      <c r="F982" s="90">
        <v>45113.55300925926</v>
      </c>
      <c r="G982" s="90">
        <v>45907.65038194445</v>
      </c>
      <c r="H982" s="1" t="s">
        <v>16476</v>
      </c>
    </row>
    <row r="983">
      <c r="A983" s="1">
        <v>939.0</v>
      </c>
      <c r="B983" s="1" t="s">
        <v>17443</v>
      </c>
      <c r="E983" s="1" t="s">
        <v>16485</v>
      </c>
      <c r="F983" s="90">
        <v>45113.55434027778</v>
      </c>
      <c r="G983" s="90">
        <v>45907.65013888889</v>
      </c>
      <c r="H983" s="1" t="s">
        <v>16476</v>
      </c>
    </row>
    <row r="984">
      <c r="A984" s="1">
        <v>775.0</v>
      </c>
      <c r="B984" s="1" t="s">
        <v>17444</v>
      </c>
      <c r="E984" s="1" t="s">
        <v>5202</v>
      </c>
      <c r="F984" s="90">
        <v>45113.55194444444</v>
      </c>
      <c r="G984" s="90">
        <v>45907.649872685186</v>
      </c>
      <c r="H984" s="1" t="s">
        <v>16476</v>
      </c>
    </row>
    <row r="985">
      <c r="A985" s="1">
        <v>368.0</v>
      </c>
      <c r="B985" s="1" t="s">
        <v>17445</v>
      </c>
      <c r="E985" s="1" t="s">
        <v>16485</v>
      </c>
      <c r="F985" s="90">
        <v>45113.545949074076</v>
      </c>
      <c r="G985" s="90">
        <v>45907.64947916667</v>
      </c>
      <c r="H985" s="1" t="s">
        <v>16476</v>
      </c>
    </row>
    <row r="986">
      <c r="A986" s="1">
        <v>950.0</v>
      </c>
      <c r="B986" s="1" t="s">
        <v>17446</v>
      </c>
      <c r="E986" s="1" t="s">
        <v>5202</v>
      </c>
      <c r="F986" s="90">
        <v>45113.554502314815</v>
      </c>
      <c r="G986" s="90">
        <v>45907.64886574074</v>
      </c>
      <c r="H986" s="1" t="s">
        <v>16476</v>
      </c>
    </row>
    <row r="987">
      <c r="A987" s="1">
        <v>693.0</v>
      </c>
      <c r="B987" s="1" t="s">
        <v>17447</v>
      </c>
      <c r="E987" s="1" t="s">
        <v>16485</v>
      </c>
      <c r="F987" s="90">
        <v>45113.55075231481</v>
      </c>
      <c r="G987" s="90">
        <v>45907.648506944446</v>
      </c>
      <c r="H987" s="1" t="s">
        <v>16476</v>
      </c>
    </row>
    <row r="988">
      <c r="A988" s="1">
        <v>517.0</v>
      </c>
      <c r="B988" s="1" t="s">
        <v>17448</v>
      </c>
      <c r="E988" s="1" t="s">
        <v>16485</v>
      </c>
      <c r="F988" s="90">
        <v>45113.54814814815</v>
      </c>
      <c r="G988" s="90">
        <v>45907.64807870371</v>
      </c>
      <c r="H988" s="1" t="s">
        <v>16476</v>
      </c>
    </row>
    <row r="989">
      <c r="A989" s="89">
        <v>1011.0</v>
      </c>
      <c r="B989" s="1" t="s">
        <v>17449</v>
      </c>
      <c r="E989" s="1" t="s">
        <v>16485</v>
      </c>
      <c r="F989" s="90">
        <v>45113.555393518516</v>
      </c>
      <c r="G989" s="90">
        <v>45907.64778935185</v>
      </c>
      <c r="H989" s="1" t="s">
        <v>16476</v>
      </c>
    </row>
    <row r="990">
      <c r="A990" s="1">
        <v>131.0</v>
      </c>
      <c r="B990" s="1" t="s">
        <v>17450</v>
      </c>
      <c r="E990" s="1" t="s">
        <v>16485</v>
      </c>
      <c r="F990" s="90">
        <v>45113.542395833334</v>
      </c>
      <c r="G990" s="90">
        <v>45907.6475</v>
      </c>
      <c r="H990" s="1" t="s">
        <v>16476</v>
      </c>
    </row>
    <row r="991">
      <c r="A991" s="1">
        <v>749.0</v>
      </c>
      <c r="B991" s="1" t="s">
        <v>17451</v>
      </c>
      <c r="E991" s="1" t="s">
        <v>16485</v>
      </c>
      <c r="F991" s="90">
        <v>45113.551574074074</v>
      </c>
      <c r="G991" s="90">
        <v>45907.64724537037</v>
      </c>
      <c r="H991" s="1" t="s">
        <v>16476</v>
      </c>
    </row>
    <row r="992">
      <c r="A992" s="1">
        <v>929.0</v>
      </c>
      <c r="B992" s="1" t="s">
        <v>16881</v>
      </c>
      <c r="E992" s="1" t="s">
        <v>16485</v>
      </c>
      <c r="F992" s="90">
        <v>45113.554189814815</v>
      </c>
      <c r="G992" s="90">
        <v>45907.646944444445</v>
      </c>
      <c r="H992" s="1" t="s">
        <v>16476</v>
      </c>
    </row>
    <row r="993">
      <c r="A993" s="1">
        <v>545.0</v>
      </c>
      <c r="B993" s="1" t="s">
        <v>17452</v>
      </c>
      <c r="E993" s="1" t="s">
        <v>16485</v>
      </c>
      <c r="F993" s="90">
        <v>45113.54855324074</v>
      </c>
      <c r="G993" s="90">
        <v>45907.64623842593</v>
      </c>
      <c r="H993" s="1" t="s">
        <v>16476</v>
      </c>
    </row>
    <row r="994">
      <c r="A994" s="89">
        <v>1234.0</v>
      </c>
      <c r="B994" s="1" t="s">
        <v>17453</v>
      </c>
      <c r="E994" s="1" t="s">
        <v>16485</v>
      </c>
      <c r="F994" s="90">
        <v>45113.558657407404</v>
      </c>
      <c r="G994" s="90">
        <v>45907.64572916667</v>
      </c>
      <c r="H994" s="1" t="s">
        <v>16476</v>
      </c>
    </row>
    <row r="995">
      <c r="A995" s="89">
        <v>1173.0</v>
      </c>
      <c r="B995" s="1" t="s">
        <v>17454</v>
      </c>
      <c r="E995" s="1" t="s">
        <v>16485</v>
      </c>
      <c r="F995" s="90">
        <v>45113.55777777778</v>
      </c>
      <c r="G995" s="90">
        <v>45907.64525462963</v>
      </c>
      <c r="H995" s="1" t="s">
        <v>16476</v>
      </c>
    </row>
    <row r="996">
      <c r="A996" s="1">
        <v>197.0</v>
      </c>
      <c r="B996" s="1" t="s">
        <v>17455</v>
      </c>
      <c r="E996" s="1" t="s">
        <v>16485</v>
      </c>
      <c r="F996" s="90">
        <v>45113.54336805556</v>
      </c>
      <c r="G996" s="90">
        <v>45907.644849537035</v>
      </c>
      <c r="H996" s="1" t="s">
        <v>16476</v>
      </c>
    </row>
    <row r="997">
      <c r="A997" s="1">
        <v>316.0</v>
      </c>
      <c r="B997" s="1" t="s">
        <v>17456</v>
      </c>
      <c r="E997" s="1" t="s">
        <v>16485</v>
      </c>
      <c r="F997" s="90">
        <v>45113.54518518518</v>
      </c>
      <c r="G997" s="90">
        <v>45907.64424768519</v>
      </c>
      <c r="H997" s="1" t="s">
        <v>16476</v>
      </c>
    </row>
    <row r="998">
      <c r="A998" s="1">
        <v>752.0</v>
      </c>
      <c r="B998" s="1" t="s">
        <v>17457</v>
      </c>
      <c r="E998" s="1" t="s">
        <v>16485</v>
      </c>
      <c r="F998" s="90">
        <v>45113.551620370374</v>
      </c>
      <c r="G998" s="90">
        <v>45907.643854166665</v>
      </c>
      <c r="H998" s="1" t="s">
        <v>16476</v>
      </c>
    </row>
    <row r="999">
      <c r="A999" s="1">
        <v>769.0</v>
      </c>
      <c r="B999" s="1" t="s">
        <v>17458</v>
      </c>
      <c r="E999" s="1" t="s">
        <v>16485</v>
      </c>
      <c r="F999" s="90">
        <v>45113.55186342593</v>
      </c>
      <c r="G999" s="90">
        <v>45907.643125</v>
      </c>
      <c r="H999" s="1" t="s">
        <v>16476</v>
      </c>
    </row>
    <row r="1000">
      <c r="A1000" s="1">
        <v>434.0</v>
      </c>
      <c r="B1000" s="1" t="s">
        <v>17459</v>
      </c>
      <c r="E1000" s="1" t="s">
        <v>16485</v>
      </c>
      <c r="F1000" s="90">
        <v>45113.54693287037</v>
      </c>
      <c r="G1000" s="90">
        <v>45907.64226851852</v>
      </c>
      <c r="H1000" s="1" t="s">
        <v>16476</v>
      </c>
    </row>
    <row r="1001">
      <c r="A1001" s="1">
        <v>685.0</v>
      </c>
      <c r="B1001" s="1" t="s">
        <v>17460</v>
      </c>
      <c r="E1001" s="1" t="s">
        <v>16485</v>
      </c>
      <c r="F1001" s="90">
        <v>45113.55063657407</v>
      </c>
      <c r="G1001" s="90">
        <v>45907.642013888886</v>
      </c>
      <c r="H1001" s="1" t="s">
        <v>16476</v>
      </c>
    </row>
    <row r="1002">
      <c r="A1002" s="1">
        <v>188.0</v>
      </c>
      <c r="B1002" s="1" t="s">
        <v>17461</v>
      </c>
      <c r="E1002" s="1" t="s">
        <v>16485</v>
      </c>
      <c r="F1002" s="90">
        <v>45113.543229166666</v>
      </c>
      <c r="G1002" s="90">
        <v>45907.641689814816</v>
      </c>
      <c r="H1002" s="1" t="s">
        <v>16476</v>
      </c>
    </row>
    <row r="1003">
      <c r="A1003" s="1">
        <v>653.0</v>
      </c>
      <c r="B1003" s="1" t="s">
        <v>17462</v>
      </c>
      <c r="E1003" s="1" t="s">
        <v>16485</v>
      </c>
      <c r="F1003" s="90">
        <v>45113.550150462965</v>
      </c>
      <c r="G1003" s="90">
        <v>45907.64037037037</v>
      </c>
      <c r="H1003" s="1" t="s">
        <v>16476</v>
      </c>
    </row>
    <row r="1004">
      <c r="A1004" s="1">
        <v>924.0</v>
      </c>
      <c r="B1004" s="1" t="s">
        <v>17463</v>
      </c>
      <c r="E1004" s="1" t="s">
        <v>16485</v>
      </c>
      <c r="F1004" s="90">
        <v>45113.55412037037</v>
      </c>
      <c r="G1004" s="90">
        <v>45907.64011574074</v>
      </c>
      <c r="H1004" s="1" t="s">
        <v>16476</v>
      </c>
    </row>
    <row r="1005">
      <c r="A1005" s="1">
        <v>323.0</v>
      </c>
      <c r="B1005" s="1" t="s">
        <v>17464</v>
      </c>
      <c r="E1005" s="1" t="s">
        <v>16485</v>
      </c>
      <c r="F1005" s="90">
        <v>45113.54528935185</v>
      </c>
      <c r="G1005" s="90">
        <v>45907.63983796296</v>
      </c>
      <c r="H1005" s="1" t="s">
        <v>16476</v>
      </c>
    </row>
    <row r="1006">
      <c r="A1006" s="89">
        <v>1063.0</v>
      </c>
      <c r="B1006" s="1" t="s">
        <v>17465</v>
      </c>
      <c r="E1006" s="1" t="s">
        <v>16485</v>
      </c>
      <c r="F1006" s="90">
        <v>45113.55615740741</v>
      </c>
      <c r="G1006" s="90">
        <v>45907.639560185184</v>
      </c>
      <c r="H1006" s="1" t="s">
        <v>16476</v>
      </c>
    </row>
    <row r="1007">
      <c r="A1007" s="1">
        <v>576.0</v>
      </c>
      <c r="B1007" s="1" t="s">
        <v>17466</v>
      </c>
      <c r="E1007" s="1" t="s">
        <v>16485</v>
      </c>
      <c r="F1007" s="90">
        <v>45113.54900462963</v>
      </c>
      <c r="G1007" s="90">
        <v>45907.638344907406</v>
      </c>
      <c r="H1007" s="1" t="s">
        <v>16476</v>
      </c>
    </row>
    <row r="1008">
      <c r="A1008" s="1">
        <v>887.0</v>
      </c>
      <c r="B1008" s="1" t="s">
        <v>17467</v>
      </c>
      <c r="E1008" s="1" t="s">
        <v>16485</v>
      </c>
      <c r="F1008" s="90">
        <v>45113.55357638889</v>
      </c>
      <c r="G1008" s="90">
        <v>45907.63805555556</v>
      </c>
      <c r="H1008" s="1" t="s">
        <v>16476</v>
      </c>
    </row>
    <row r="1009">
      <c r="A1009" s="1">
        <v>686.0</v>
      </c>
      <c r="B1009" s="1" t="s">
        <v>17468</v>
      </c>
      <c r="E1009" s="1" t="s">
        <v>16485</v>
      </c>
      <c r="F1009" s="90">
        <v>45113.55064814815</v>
      </c>
      <c r="G1009" s="90">
        <v>45907.63761574074</v>
      </c>
      <c r="H1009" s="1" t="s">
        <v>16476</v>
      </c>
    </row>
    <row r="1010">
      <c r="A1010" s="1">
        <v>403.0</v>
      </c>
      <c r="B1010" s="1" t="s">
        <v>17469</v>
      </c>
      <c r="E1010" s="1" t="s">
        <v>16485</v>
      </c>
      <c r="F1010" s="90">
        <v>45113.546481481484</v>
      </c>
      <c r="G1010" s="90">
        <v>45907.63731481481</v>
      </c>
      <c r="H1010" s="1" t="s">
        <v>16476</v>
      </c>
    </row>
    <row r="1011">
      <c r="A1011" s="1">
        <v>413.0</v>
      </c>
      <c r="B1011" s="1" t="s">
        <v>17470</v>
      </c>
      <c r="E1011" s="1" t="s">
        <v>16485</v>
      </c>
      <c r="F1011" s="90">
        <v>45113.54662037037</v>
      </c>
      <c r="G1011" s="90">
        <v>45907.63699074074</v>
      </c>
      <c r="H1011" s="1" t="s">
        <v>16476</v>
      </c>
    </row>
    <row r="1012">
      <c r="A1012" s="1">
        <v>313.0</v>
      </c>
      <c r="B1012" s="1" t="s">
        <v>17471</v>
      </c>
      <c r="E1012" s="1" t="s">
        <v>16485</v>
      </c>
      <c r="F1012" s="90">
        <v>45113.54515046296</v>
      </c>
      <c r="G1012" s="90">
        <v>45907.63637731481</v>
      </c>
      <c r="H1012" s="1" t="s">
        <v>16476</v>
      </c>
    </row>
    <row r="1013">
      <c r="A1013" s="1">
        <v>854.0</v>
      </c>
      <c r="B1013" s="1" t="s">
        <v>17472</v>
      </c>
      <c r="E1013" s="1" t="s">
        <v>16485</v>
      </c>
      <c r="F1013" s="90">
        <v>45113.55310185185</v>
      </c>
      <c r="G1013" s="90">
        <v>45907.63605324074</v>
      </c>
      <c r="H1013" s="1" t="s">
        <v>16476</v>
      </c>
    </row>
    <row r="1014">
      <c r="A1014" s="1">
        <v>356.0</v>
      </c>
      <c r="B1014" s="1" t="s">
        <v>17473</v>
      </c>
      <c r="E1014" s="1" t="s">
        <v>16485</v>
      </c>
      <c r="F1014" s="90">
        <v>45113.54577546296</v>
      </c>
      <c r="G1014" s="90">
        <v>45907.63538194444</v>
      </c>
      <c r="H1014" s="1" t="s">
        <v>16476</v>
      </c>
    </row>
    <row r="1015">
      <c r="A1015" s="1">
        <v>315.0</v>
      </c>
      <c r="B1015" s="1" t="s">
        <v>17474</v>
      </c>
      <c r="E1015" s="1" t="s">
        <v>16485</v>
      </c>
      <c r="F1015" s="90">
        <v>45113.54517361111</v>
      </c>
      <c r="G1015" s="90">
        <v>45907.63511574074</v>
      </c>
      <c r="H1015" s="1" t="s">
        <v>16476</v>
      </c>
    </row>
    <row r="1016">
      <c r="A1016" s="1">
        <v>596.0</v>
      </c>
      <c r="B1016" s="1" t="s">
        <v>17475</v>
      </c>
      <c r="E1016" s="1" t="s">
        <v>16485</v>
      </c>
      <c r="F1016" s="90">
        <v>45113.549305555556</v>
      </c>
      <c r="G1016" s="90">
        <v>45907.63482638889</v>
      </c>
      <c r="H1016" s="1" t="s">
        <v>16476</v>
      </c>
    </row>
    <row r="1017">
      <c r="A1017" s="1">
        <v>931.0</v>
      </c>
      <c r="B1017" s="1" t="s">
        <v>17476</v>
      </c>
      <c r="E1017" s="1" t="s">
        <v>16485</v>
      </c>
      <c r="F1017" s="90">
        <v>45113.55422453704</v>
      </c>
      <c r="G1017" s="90">
        <v>45907.63443287037</v>
      </c>
      <c r="H1017" s="1" t="s">
        <v>16476</v>
      </c>
    </row>
    <row r="1018">
      <c r="A1018" s="1">
        <v>411.0</v>
      </c>
      <c r="B1018" s="1" t="s">
        <v>17477</v>
      </c>
      <c r="E1018" s="1" t="s">
        <v>16485</v>
      </c>
      <c r="F1018" s="90">
        <v>45113.54659722222</v>
      </c>
      <c r="G1018" s="90">
        <v>45907.634039351855</v>
      </c>
      <c r="H1018" s="1" t="s">
        <v>16476</v>
      </c>
    </row>
    <row r="1019">
      <c r="A1019" s="1">
        <v>755.0</v>
      </c>
      <c r="B1019" s="1" t="s">
        <v>17478</v>
      </c>
      <c r="E1019" s="1" t="s">
        <v>16485</v>
      </c>
      <c r="F1019" s="90">
        <v>45113.55165509259</v>
      </c>
      <c r="G1019" s="90">
        <v>45907.59967592593</v>
      </c>
      <c r="H1019" s="1" t="s">
        <v>16476</v>
      </c>
    </row>
    <row r="1020">
      <c r="A1020" s="1">
        <v>862.0</v>
      </c>
      <c r="B1020" s="1" t="s">
        <v>17479</v>
      </c>
      <c r="E1020" s="1" t="s">
        <v>17278</v>
      </c>
      <c r="F1020" s="90">
        <v>45113.55321759259</v>
      </c>
      <c r="G1020" s="90">
        <v>45907.59900462963</v>
      </c>
      <c r="H1020" s="1" t="s">
        <v>16476</v>
      </c>
    </row>
    <row r="1021">
      <c r="A1021" s="1">
        <v>603.0</v>
      </c>
      <c r="B1021" s="1" t="s">
        <v>17480</v>
      </c>
      <c r="E1021" s="1" t="s">
        <v>16485</v>
      </c>
      <c r="F1021" s="90">
        <v>45113.54939814815</v>
      </c>
      <c r="G1021" s="90">
        <v>45907.59806712963</v>
      </c>
      <c r="H1021" s="1" t="s">
        <v>16476</v>
      </c>
    </row>
    <row r="1022">
      <c r="A1022" s="1">
        <v>695.0</v>
      </c>
      <c r="B1022" s="1" t="s">
        <v>17481</v>
      </c>
      <c r="F1022" s="90">
        <v>45113.550787037035</v>
      </c>
      <c r="G1022" s="90">
        <v>45907.59746527778</v>
      </c>
      <c r="H1022" s="1" t="s">
        <v>16476</v>
      </c>
    </row>
    <row r="1023">
      <c r="A1023" s="1">
        <v>675.0</v>
      </c>
      <c r="B1023" s="1" t="s">
        <v>17482</v>
      </c>
      <c r="E1023" s="1" t="s">
        <v>16485</v>
      </c>
      <c r="F1023" s="90">
        <v>45113.550474537034</v>
      </c>
      <c r="G1023" s="90">
        <v>45907.59707175926</v>
      </c>
      <c r="H1023" s="1" t="s">
        <v>16476</v>
      </c>
    </row>
    <row r="1024">
      <c r="A1024" s="1">
        <v>855.0</v>
      </c>
      <c r="B1024" s="1" t="s">
        <v>17483</v>
      </c>
      <c r="E1024" s="1" t="s">
        <v>16485</v>
      </c>
      <c r="F1024" s="90">
        <v>45113.55311342593</v>
      </c>
      <c r="G1024" s="90">
        <v>45907.596817129626</v>
      </c>
      <c r="H1024" s="1" t="s">
        <v>16476</v>
      </c>
    </row>
    <row r="1025">
      <c r="A1025" s="1">
        <v>764.0</v>
      </c>
      <c r="B1025" s="1" t="s">
        <v>17484</v>
      </c>
      <c r="E1025" s="1" t="s">
        <v>17485</v>
      </c>
      <c r="F1025" s="90">
        <v>45113.55179398148</v>
      </c>
      <c r="G1025" s="90">
        <v>45907.59636574074</v>
      </c>
      <c r="H1025" s="1" t="s">
        <v>16476</v>
      </c>
    </row>
    <row r="1026">
      <c r="A1026" s="89">
        <v>1046.0</v>
      </c>
      <c r="B1026" s="1" t="s">
        <v>17486</v>
      </c>
      <c r="E1026" s="1" t="s">
        <v>16485</v>
      </c>
      <c r="F1026" s="90">
        <v>45113.55590277778</v>
      </c>
      <c r="G1026" s="90">
        <v>45907.59590277778</v>
      </c>
      <c r="H1026" s="1" t="s">
        <v>16476</v>
      </c>
    </row>
    <row r="1027">
      <c r="A1027" s="1">
        <v>5.0</v>
      </c>
      <c r="B1027" s="1" t="s">
        <v>17487</v>
      </c>
      <c r="E1027" s="1" t="s">
        <v>5202</v>
      </c>
      <c r="F1027" s="90">
        <v>45091.490219907406</v>
      </c>
      <c r="G1027" s="90">
        <v>45907.59506944445</v>
      </c>
      <c r="H1027" s="1" t="s">
        <v>16476</v>
      </c>
    </row>
    <row r="1028">
      <c r="A1028" s="1">
        <v>850.0</v>
      </c>
      <c r="B1028" s="1" t="s">
        <v>17488</v>
      </c>
      <c r="E1028" s="1" t="s">
        <v>16485</v>
      </c>
      <c r="F1028" s="90">
        <v>45113.55304398148</v>
      </c>
      <c r="G1028" s="90">
        <v>45907.59106481481</v>
      </c>
      <c r="H1028" s="1" t="s">
        <v>16476</v>
      </c>
    </row>
    <row r="1029">
      <c r="A1029" s="89">
        <v>1268.0</v>
      </c>
      <c r="B1029" s="1" t="s">
        <v>679</v>
      </c>
      <c r="E1029" s="1" t="s">
        <v>16475</v>
      </c>
      <c r="F1029" s="90">
        <v>45134.55721064815</v>
      </c>
      <c r="G1029" s="90">
        <v>45907.58825231482</v>
      </c>
      <c r="H1029" s="1" t="s">
        <v>16476</v>
      </c>
    </row>
    <row r="1030">
      <c r="A1030" s="89">
        <v>1276.0</v>
      </c>
      <c r="B1030" s="1" t="s">
        <v>17489</v>
      </c>
      <c r="F1030" s="90">
        <v>45204.639861111114</v>
      </c>
      <c r="G1030" s="90">
        <v>45907.58546296296</v>
      </c>
      <c r="H1030" s="1" t="s">
        <v>16476</v>
      </c>
    </row>
    <row r="1031">
      <c r="A1031" s="1">
        <v>792.0</v>
      </c>
      <c r="B1031" s="1" t="s">
        <v>17490</v>
      </c>
      <c r="E1031" s="1" t="s">
        <v>5202</v>
      </c>
      <c r="F1031" s="90">
        <v>45113.552199074074</v>
      </c>
      <c r="G1031" s="90">
        <v>45907.58357638889</v>
      </c>
      <c r="H1031" s="1" t="s">
        <v>16476</v>
      </c>
    </row>
    <row r="1032">
      <c r="A1032" s="89">
        <v>1294.0</v>
      </c>
      <c r="B1032" s="1" t="s">
        <v>17491</v>
      </c>
      <c r="E1032" s="1" t="s">
        <v>16475</v>
      </c>
      <c r="F1032" s="90">
        <v>45219.62396990741</v>
      </c>
      <c r="G1032" s="90">
        <v>45907.58258101852</v>
      </c>
      <c r="H1032" s="1" t="s">
        <v>16476</v>
      </c>
    </row>
    <row r="1033">
      <c r="A1033" s="89">
        <v>1342.0</v>
      </c>
      <c r="B1033" s="1" t="s">
        <v>17492</v>
      </c>
      <c r="E1033" s="1" t="s">
        <v>16485</v>
      </c>
      <c r="F1033" s="90">
        <v>45245.39681712963</v>
      </c>
      <c r="G1033" s="90">
        <v>45907.58113425926</v>
      </c>
      <c r="H1033" s="1" t="s">
        <v>16476</v>
      </c>
    </row>
    <row r="1034">
      <c r="A1034" s="89">
        <v>1343.0</v>
      </c>
      <c r="B1034" s="1" t="s">
        <v>17493</v>
      </c>
      <c r="E1034" s="1" t="s">
        <v>16485</v>
      </c>
      <c r="F1034" s="90">
        <v>45245.39685185185</v>
      </c>
      <c r="G1034" s="90">
        <v>45907.580613425926</v>
      </c>
      <c r="H1034" s="1" t="s">
        <v>16476</v>
      </c>
    </row>
    <row r="1035">
      <c r="A1035" s="89">
        <v>1336.0</v>
      </c>
      <c r="B1035" s="1" t="s">
        <v>11141</v>
      </c>
      <c r="E1035" s="1" t="s">
        <v>16485</v>
      </c>
      <c r="F1035" s="90">
        <v>45245.39637731481</v>
      </c>
      <c r="G1035" s="90">
        <v>45907.58013888889</v>
      </c>
      <c r="H1035" s="1" t="s">
        <v>16476</v>
      </c>
    </row>
    <row r="1036">
      <c r="A1036" s="89">
        <v>1338.0</v>
      </c>
      <c r="B1036" s="1" t="s">
        <v>17494</v>
      </c>
      <c r="E1036" s="1" t="s">
        <v>16485</v>
      </c>
      <c r="F1036" s="90">
        <v>45245.39712962963</v>
      </c>
      <c r="G1036" s="90">
        <v>45907.579618055555</v>
      </c>
      <c r="H1036" s="1" t="s">
        <v>16476</v>
      </c>
    </row>
    <row r="1037">
      <c r="A1037" s="89">
        <v>1308.0</v>
      </c>
      <c r="B1037" s="1" t="s">
        <v>9530</v>
      </c>
      <c r="E1037" s="1" t="s">
        <v>16485</v>
      </c>
      <c r="F1037" s="90">
        <v>45233.36137731482</v>
      </c>
      <c r="G1037" s="90">
        <v>45907.57929398148</v>
      </c>
      <c r="H1037" s="1" t="s">
        <v>16476</v>
      </c>
    </row>
    <row r="1038">
      <c r="A1038" s="89">
        <v>1330.0</v>
      </c>
      <c r="B1038" s="1" t="s">
        <v>17495</v>
      </c>
      <c r="E1038" s="1" t="s">
        <v>16485</v>
      </c>
      <c r="F1038" s="90">
        <v>45233.358310185184</v>
      </c>
      <c r="G1038" s="90">
        <v>45907.57894675926</v>
      </c>
      <c r="H1038" s="1" t="s">
        <v>16476</v>
      </c>
    </row>
    <row r="1039">
      <c r="A1039" s="89">
        <v>1315.0</v>
      </c>
      <c r="B1039" s="1" t="s">
        <v>17496</v>
      </c>
      <c r="E1039" s="1" t="s">
        <v>16485</v>
      </c>
      <c r="F1039" s="90">
        <v>45233.36819444445</v>
      </c>
      <c r="G1039" s="90">
        <v>45907.57850694445</v>
      </c>
      <c r="H1039" s="1" t="s">
        <v>16476</v>
      </c>
    </row>
    <row r="1040">
      <c r="A1040" s="89">
        <v>1325.0</v>
      </c>
      <c r="B1040" s="1" t="s">
        <v>10935</v>
      </c>
      <c r="E1040" s="1" t="s">
        <v>16485</v>
      </c>
      <c r="F1040" s="90">
        <v>45233.359085648146</v>
      </c>
      <c r="G1040" s="90">
        <v>45907.57813657408</v>
      </c>
      <c r="H1040" s="1" t="s">
        <v>16476</v>
      </c>
    </row>
    <row r="1041">
      <c r="A1041" s="89">
        <v>1312.0</v>
      </c>
      <c r="B1041" s="1" t="s">
        <v>17497</v>
      </c>
      <c r="E1041" s="1" t="s">
        <v>16485</v>
      </c>
      <c r="F1041" s="90">
        <v>45233.36524305555</v>
      </c>
      <c r="G1041" s="90">
        <v>45907.577673611115</v>
      </c>
      <c r="H1041" s="1" t="s">
        <v>16476</v>
      </c>
    </row>
    <row r="1042">
      <c r="A1042" s="89">
        <v>1327.0</v>
      </c>
      <c r="B1042" s="1" t="s">
        <v>17498</v>
      </c>
      <c r="E1042" s="1" t="s">
        <v>16485</v>
      </c>
      <c r="F1042" s="90">
        <v>45233.37552083333</v>
      </c>
      <c r="G1042" s="90">
        <v>45907.57729166667</v>
      </c>
      <c r="H1042" s="1" t="s">
        <v>16476</v>
      </c>
    </row>
    <row r="1043">
      <c r="A1043" s="89">
        <v>1310.0</v>
      </c>
      <c r="B1043" s="1" t="s">
        <v>6630</v>
      </c>
      <c r="E1043" s="1" t="s">
        <v>16485</v>
      </c>
      <c r="F1043" s="90">
        <v>45233.365011574075</v>
      </c>
      <c r="G1043" s="90">
        <v>45907.57690972222</v>
      </c>
      <c r="H1043" s="1" t="s">
        <v>16476</v>
      </c>
    </row>
    <row r="1044">
      <c r="A1044" s="89">
        <v>1328.0</v>
      </c>
      <c r="B1044" s="1" t="s">
        <v>9550</v>
      </c>
      <c r="E1044" s="1" t="s">
        <v>16485</v>
      </c>
      <c r="F1044" s="90">
        <v>45236.35460648148</v>
      </c>
      <c r="G1044" s="90">
        <v>45907.57653935185</v>
      </c>
      <c r="H1044" s="1" t="s">
        <v>16476</v>
      </c>
    </row>
    <row r="1045">
      <c r="A1045" s="89">
        <v>1321.0</v>
      </c>
      <c r="B1045" s="1" t="s">
        <v>17499</v>
      </c>
      <c r="E1045" s="1" t="s">
        <v>16485</v>
      </c>
      <c r="F1045" s="90">
        <v>45233.358310185184</v>
      </c>
      <c r="G1045" s="90">
        <v>45907.576145833336</v>
      </c>
      <c r="H1045" s="1" t="s">
        <v>16476</v>
      </c>
    </row>
    <row r="1046">
      <c r="A1046" s="89">
        <v>1316.0</v>
      </c>
      <c r="B1046" s="1" t="s">
        <v>17500</v>
      </c>
      <c r="E1046" s="1" t="s">
        <v>16485</v>
      </c>
      <c r="F1046" s="90">
        <v>45233.36912037037</v>
      </c>
      <c r="G1046" s="90">
        <v>45907.57581018518</v>
      </c>
      <c r="H1046" s="1" t="s">
        <v>16476</v>
      </c>
    </row>
    <row r="1047">
      <c r="A1047" s="89">
        <v>1314.0</v>
      </c>
      <c r="B1047" s="1" t="s">
        <v>17501</v>
      </c>
      <c r="E1047" s="1" t="s">
        <v>16485</v>
      </c>
      <c r="F1047" s="90">
        <v>45233.357453703706</v>
      </c>
      <c r="G1047" s="90">
        <v>45907.57541666667</v>
      </c>
      <c r="H1047" s="1" t="s">
        <v>16476</v>
      </c>
    </row>
    <row r="1048">
      <c r="A1048" s="89">
        <v>1306.0</v>
      </c>
      <c r="B1048" s="1" t="s">
        <v>17502</v>
      </c>
      <c r="E1048" s="1" t="s">
        <v>16485</v>
      </c>
      <c r="F1048" s="90">
        <v>45233.35885416667</v>
      </c>
      <c r="G1048" s="90">
        <v>45907.57503472222</v>
      </c>
      <c r="H1048" s="1" t="s">
        <v>16476</v>
      </c>
    </row>
    <row r="1049">
      <c r="A1049" s="89">
        <v>1329.0</v>
      </c>
      <c r="B1049" s="1" t="s">
        <v>8819</v>
      </c>
      <c r="E1049" s="1" t="s">
        <v>16485</v>
      </c>
      <c r="F1049" s="90">
        <v>45236.35592592593</v>
      </c>
      <c r="G1049" s="90">
        <v>45907.57467592593</v>
      </c>
      <c r="H1049" s="1" t="s">
        <v>16476</v>
      </c>
    </row>
    <row r="1050">
      <c r="A1050" s="89">
        <v>1319.0</v>
      </c>
      <c r="B1050" s="1" t="s">
        <v>14781</v>
      </c>
      <c r="E1050" s="1" t="s">
        <v>16485</v>
      </c>
      <c r="F1050" s="90">
        <v>45233.35832175926</v>
      </c>
      <c r="G1050" s="90">
        <v>45907.57417824074</v>
      </c>
      <c r="H1050" s="1" t="s">
        <v>16476</v>
      </c>
    </row>
    <row r="1051">
      <c r="A1051" s="89">
        <v>1318.0</v>
      </c>
      <c r="B1051" s="1" t="s">
        <v>17503</v>
      </c>
      <c r="E1051" s="1" t="s">
        <v>16485</v>
      </c>
      <c r="F1051" s="90">
        <v>45233.370104166665</v>
      </c>
      <c r="G1051" s="90">
        <v>45907.57371527778</v>
      </c>
      <c r="H1051" s="1" t="s">
        <v>16476</v>
      </c>
    </row>
    <row r="1052">
      <c r="A1052" s="89">
        <v>1322.0</v>
      </c>
      <c r="B1052" s="1" t="s">
        <v>17504</v>
      </c>
      <c r="E1052" s="1" t="s">
        <v>16485</v>
      </c>
      <c r="F1052" s="90">
        <v>45233.3602662037</v>
      </c>
      <c r="G1052" s="90">
        <v>45907.573125</v>
      </c>
      <c r="H1052" s="1" t="s">
        <v>16476</v>
      </c>
    </row>
    <row r="1053">
      <c r="A1053" s="89">
        <v>1317.0</v>
      </c>
      <c r="B1053" s="1" t="s">
        <v>17505</v>
      </c>
      <c r="E1053" s="1" t="s">
        <v>16485</v>
      </c>
      <c r="F1053" s="90">
        <v>45233.35857638889</v>
      </c>
      <c r="G1053" s="90">
        <v>45907.56993055555</v>
      </c>
      <c r="H1053" s="1" t="s">
        <v>16476</v>
      </c>
    </row>
    <row r="1054">
      <c r="A1054" s="89">
        <v>1326.0</v>
      </c>
      <c r="B1054" s="1" t="s">
        <v>12669</v>
      </c>
      <c r="E1054" s="1" t="s">
        <v>16485</v>
      </c>
      <c r="F1054" s="90">
        <v>45233.359502314815</v>
      </c>
      <c r="G1054" s="90">
        <v>45907.569502314815</v>
      </c>
      <c r="H1054" s="1" t="s">
        <v>16476</v>
      </c>
    </row>
    <row r="1055">
      <c r="A1055" s="89">
        <v>1323.0</v>
      </c>
      <c r="B1055" s="1" t="s">
        <v>8132</v>
      </c>
      <c r="E1055" s="1" t="s">
        <v>16485</v>
      </c>
      <c r="F1055" s="90">
        <v>45233.36009259259</v>
      </c>
      <c r="G1055" s="90">
        <v>45907.56885416667</v>
      </c>
      <c r="H1055" s="1" t="s">
        <v>16476</v>
      </c>
    </row>
    <row r="1056">
      <c r="A1056" s="89">
        <v>1311.0</v>
      </c>
      <c r="B1056" s="1" t="s">
        <v>17506</v>
      </c>
      <c r="E1056" s="1" t="s">
        <v>16485</v>
      </c>
      <c r="F1056" s="90">
        <v>45233.366631944446</v>
      </c>
      <c r="G1056" s="90">
        <v>45907.56847222222</v>
      </c>
      <c r="H1056" s="1" t="s">
        <v>16476</v>
      </c>
    </row>
    <row r="1057">
      <c r="A1057" s="89">
        <v>1313.0</v>
      </c>
      <c r="B1057" s="1" t="s">
        <v>17507</v>
      </c>
      <c r="E1057" s="1" t="s">
        <v>16485</v>
      </c>
      <c r="F1057" s="90">
        <v>45233.36717592592</v>
      </c>
      <c r="G1057" s="90">
        <v>45907.56804398148</v>
      </c>
      <c r="H1057" s="1" t="s">
        <v>16476</v>
      </c>
    </row>
    <row r="1058">
      <c r="A1058" s="89">
        <v>1307.0</v>
      </c>
      <c r="B1058" s="1" t="s">
        <v>17508</v>
      </c>
      <c r="E1058" s="1" t="s">
        <v>16485</v>
      </c>
      <c r="F1058" s="90">
        <v>45233.35989583333</v>
      </c>
      <c r="G1058" s="90">
        <v>45907.56762731481</v>
      </c>
      <c r="H1058" s="1" t="s">
        <v>16476</v>
      </c>
    </row>
    <row r="1059">
      <c r="A1059" s="89">
        <v>1309.0</v>
      </c>
      <c r="B1059" s="1" t="s">
        <v>17509</v>
      </c>
      <c r="E1059" s="1" t="s">
        <v>16485</v>
      </c>
      <c r="F1059" s="90">
        <v>45233.35901620371</v>
      </c>
      <c r="G1059" s="90">
        <v>45907.56725694444</v>
      </c>
      <c r="H1059" s="1" t="s">
        <v>16476</v>
      </c>
    </row>
    <row r="1060">
      <c r="A1060" s="89">
        <v>1344.0</v>
      </c>
      <c r="B1060" s="1" t="s">
        <v>14596</v>
      </c>
      <c r="F1060" s="90">
        <v>45245.39826388889</v>
      </c>
      <c r="G1060" s="90">
        <v>45907.56663194444</v>
      </c>
      <c r="H1060" s="1" t="s">
        <v>16476</v>
      </c>
    </row>
    <row r="1061">
      <c r="A1061" s="89">
        <v>1244.0</v>
      </c>
      <c r="B1061" s="1" t="s">
        <v>17510</v>
      </c>
      <c r="E1061" s="1" t="s">
        <v>17485</v>
      </c>
      <c r="F1061" s="90">
        <v>45113.55880787037</v>
      </c>
      <c r="G1061" s="90">
        <v>45907.55721064815</v>
      </c>
      <c r="H1061" s="1" t="s">
        <v>16476</v>
      </c>
    </row>
    <row r="1062">
      <c r="A1062" s="1">
        <v>337.0</v>
      </c>
      <c r="B1062" s="1" t="s">
        <v>17511</v>
      </c>
      <c r="E1062" s="1" t="s">
        <v>17485</v>
      </c>
      <c r="F1062" s="90">
        <v>45113.54549768518</v>
      </c>
      <c r="G1062" s="90">
        <v>45907.55637731482</v>
      </c>
      <c r="H1062" s="1" t="s">
        <v>16476</v>
      </c>
    </row>
    <row r="1063">
      <c r="A1063" s="89">
        <v>1595.0</v>
      </c>
      <c r="B1063" s="1" t="s">
        <v>17512</v>
      </c>
      <c r="E1063" s="1" t="s">
        <v>16487</v>
      </c>
      <c r="F1063" s="90">
        <v>45662.59002314815</v>
      </c>
      <c r="G1063" s="90">
        <v>45907.555763888886</v>
      </c>
      <c r="H1063" s="1" t="s">
        <v>16476</v>
      </c>
    </row>
    <row r="1064">
      <c r="A1064" s="1">
        <v>414.0</v>
      </c>
      <c r="B1064" s="1" t="s">
        <v>17513</v>
      </c>
      <c r="E1064" s="1" t="s">
        <v>16487</v>
      </c>
      <c r="F1064" s="90">
        <v>45113.546643518515</v>
      </c>
      <c r="G1064" s="90">
        <v>45907.554872685185</v>
      </c>
      <c r="H1064" s="1" t="s">
        <v>16476</v>
      </c>
    </row>
    <row r="1065">
      <c r="A1065" s="1">
        <v>331.0</v>
      </c>
      <c r="B1065" s="1" t="s">
        <v>17514</v>
      </c>
      <c r="E1065" s="1" t="s">
        <v>17485</v>
      </c>
      <c r="F1065" s="90">
        <v>45113.54540509259</v>
      </c>
      <c r="G1065" s="90">
        <v>45907.55394675926</v>
      </c>
      <c r="H1065" s="1" t="s">
        <v>16476</v>
      </c>
    </row>
    <row r="1066">
      <c r="A1066" s="89">
        <v>1124.0</v>
      </c>
      <c r="B1066" s="1" t="s">
        <v>17515</v>
      </c>
      <c r="E1066" s="1" t="s">
        <v>16487</v>
      </c>
      <c r="F1066" s="90">
        <v>45113.55704861111</v>
      </c>
      <c r="G1066" s="90">
        <v>45907.553564814814</v>
      </c>
      <c r="H1066" s="1" t="s">
        <v>16476</v>
      </c>
    </row>
    <row r="1067">
      <c r="A1067" s="1">
        <v>897.0</v>
      </c>
      <c r="B1067" s="1" t="s">
        <v>17516</v>
      </c>
      <c r="E1067" s="1" t="s">
        <v>17485</v>
      </c>
      <c r="F1067" s="90">
        <v>45113.55372685185</v>
      </c>
      <c r="G1067" s="90">
        <v>45907.55226851852</v>
      </c>
      <c r="H1067" s="1" t="s">
        <v>16476</v>
      </c>
    </row>
    <row r="1068">
      <c r="A1068" s="1">
        <v>753.0</v>
      </c>
      <c r="B1068" s="1" t="s">
        <v>17517</v>
      </c>
      <c r="E1068" s="1" t="s">
        <v>17485</v>
      </c>
      <c r="F1068" s="90">
        <v>45113.55163194444</v>
      </c>
      <c r="G1068" s="90">
        <v>45907.550532407404</v>
      </c>
      <c r="H1068" s="1" t="s">
        <v>16476</v>
      </c>
    </row>
    <row r="1069">
      <c r="A1069" s="89">
        <v>1008.0</v>
      </c>
      <c r="B1069" s="1" t="s">
        <v>17518</v>
      </c>
      <c r="F1069" s="90">
        <v>45113.555347222224</v>
      </c>
      <c r="G1069" s="90">
        <v>45907.55017361111</v>
      </c>
      <c r="H1069" s="1" t="s">
        <v>16476</v>
      </c>
    </row>
    <row r="1070">
      <c r="A1070" s="89">
        <v>1346.0</v>
      </c>
      <c r="B1070" s="1" t="s">
        <v>17519</v>
      </c>
      <c r="F1070" s="90">
        <v>45245.39673611111</v>
      </c>
      <c r="G1070" s="90">
        <v>45907.548796296294</v>
      </c>
      <c r="H1070" s="1" t="s">
        <v>16476</v>
      </c>
    </row>
    <row r="1071">
      <c r="A1071" s="1">
        <v>391.0</v>
      </c>
      <c r="B1071" s="1" t="s">
        <v>17520</v>
      </c>
      <c r="E1071" s="1" t="s">
        <v>17485</v>
      </c>
      <c r="F1071" s="90">
        <v>45113.54630787037</v>
      </c>
      <c r="G1071" s="90">
        <v>45907.548125</v>
      </c>
      <c r="H1071" s="1" t="s">
        <v>16476</v>
      </c>
    </row>
    <row r="1072">
      <c r="A1072" s="1">
        <v>234.0</v>
      </c>
      <c r="B1072" s="1" t="s">
        <v>17521</v>
      </c>
      <c r="E1072" s="1" t="s">
        <v>5202</v>
      </c>
      <c r="F1072" s="90">
        <v>45113.54393518518</v>
      </c>
      <c r="G1072" s="90">
        <v>45907.54767361111</v>
      </c>
      <c r="H1072" s="1" t="s">
        <v>16476</v>
      </c>
    </row>
    <row r="1073">
      <c r="A1073" s="89">
        <v>1339.0</v>
      </c>
      <c r="B1073" s="1" t="s">
        <v>17522</v>
      </c>
      <c r="F1073" s="90">
        <v>45245.39677083334</v>
      </c>
      <c r="G1073" s="90">
        <v>45907.54653935185</v>
      </c>
      <c r="H1073" s="1" t="s">
        <v>16476</v>
      </c>
    </row>
    <row r="1074">
      <c r="A1074" s="89">
        <v>1738.0</v>
      </c>
      <c r="B1074" s="1" t="s">
        <v>17523</v>
      </c>
      <c r="F1074" s="90">
        <v>45245.403819444444</v>
      </c>
      <c r="G1074" s="90">
        <v>45907.54456018518</v>
      </c>
      <c r="H1074" s="1" t="s">
        <v>16476</v>
      </c>
    </row>
    <row r="1075">
      <c r="A1075" s="1">
        <v>861.0</v>
      </c>
      <c r="B1075" s="1" t="s">
        <v>17524</v>
      </c>
      <c r="E1075" s="1" t="s">
        <v>16485</v>
      </c>
      <c r="F1075" s="90">
        <v>45113.55320601852</v>
      </c>
      <c r="G1075" s="90">
        <v>45905.02337962963</v>
      </c>
      <c r="H1075" s="1" t="s">
        <v>16476</v>
      </c>
    </row>
    <row r="1076">
      <c r="A1076" s="1">
        <v>488.0</v>
      </c>
      <c r="B1076" s="1" t="s">
        <v>17525</v>
      </c>
      <c r="E1076" s="1" t="s">
        <v>16485</v>
      </c>
      <c r="F1076" s="90">
        <v>45113.54771990741</v>
      </c>
      <c r="G1076" s="90">
        <v>45905.022372685184</v>
      </c>
      <c r="H1076" s="1" t="s">
        <v>16476</v>
      </c>
    </row>
    <row r="1077">
      <c r="A1077" s="89">
        <v>1397.0</v>
      </c>
      <c r="B1077" s="1" t="s">
        <v>13053</v>
      </c>
      <c r="E1077" s="1" t="s">
        <v>16487</v>
      </c>
      <c r="F1077" s="90">
        <v>45377.419340277775</v>
      </c>
      <c r="G1077" s="90">
        <v>45905.01541666667</v>
      </c>
      <c r="H1077" s="1" t="s">
        <v>16476</v>
      </c>
    </row>
    <row r="1078">
      <c r="A1078" s="89">
        <v>1531.0</v>
      </c>
      <c r="B1078" s="1" t="s">
        <v>9680</v>
      </c>
      <c r="F1078" s="90">
        <v>45604.51694444445</v>
      </c>
      <c r="G1078" s="90">
        <v>45905.01489583333</v>
      </c>
      <c r="H1078" s="1" t="s">
        <v>16476</v>
      </c>
    </row>
    <row r="1079">
      <c r="A1079" s="89">
        <v>1396.0</v>
      </c>
      <c r="B1079" s="1" t="s">
        <v>9680</v>
      </c>
      <c r="F1079" s="90">
        <v>45377.41957175926</v>
      </c>
      <c r="G1079" s="90">
        <v>45905.014756944445</v>
      </c>
      <c r="H1079" s="1" t="s">
        <v>16476</v>
      </c>
    </row>
    <row r="1080">
      <c r="A1080" s="89">
        <v>1400.0</v>
      </c>
      <c r="B1080" s="1" t="s">
        <v>17526</v>
      </c>
      <c r="E1080" s="1" t="s">
        <v>16487</v>
      </c>
      <c r="F1080" s="90">
        <v>45377.42465277778</v>
      </c>
      <c r="G1080" s="90">
        <v>45905.013333333336</v>
      </c>
      <c r="H1080" s="1" t="s">
        <v>16476</v>
      </c>
    </row>
    <row r="1081">
      <c r="A1081" s="89">
        <v>1406.0</v>
      </c>
      <c r="B1081" s="1" t="s">
        <v>17527</v>
      </c>
      <c r="E1081" s="1" t="s">
        <v>16487</v>
      </c>
      <c r="F1081" s="90">
        <v>45378.51400462963</v>
      </c>
      <c r="G1081" s="90">
        <v>45905.01280092593</v>
      </c>
      <c r="H1081" s="1" t="s">
        <v>16476</v>
      </c>
    </row>
    <row r="1082">
      <c r="A1082" s="89">
        <v>1402.0</v>
      </c>
      <c r="B1082" s="1" t="s">
        <v>1068</v>
      </c>
      <c r="F1082" s="90">
        <v>45378.511041666665</v>
      </c>
      <c r="G1082" s="90">
        <v>45905.01186342593</v>
      </c>
      <c r="H1082" s="1" t="s">
        <v>16476</v>
      </c>
    </row>
    <row r="1083">
      <c r="A1083" s="89">
        <v>1398.0</v>
      </c>
      <c r="B1083" s="1" t="s">
        <v>17528</v>
      </c>
      <c r="E1083" s="1" t="s">
        <v>16487</v>
      </c>
      <c r="F1083" s="90">
        <v>45377.419953703706</v>
      </c>
      <c r="G1083" s="90">
        <v>45905.01106481482</v>
      </c>
      <c r="H1083" s="1" t="s">
        <v>16476</v>
      </c>
    </row>
    <row r="1084">
      <c r="A1084" s="89">
        <v>1407.0</v>
      </c>
      <c r="B1084" s="1" t="s">
        <v>17529</v>
      </c>
      <c r="E1084" s="1" t="s">
        <v>16487</v>
      </c>
      <c r="F1084" s="90">
        <v>45379.40578703704</v>
      </c>
      <c r="G1084" s="90">
        <v>45905.00861111111</v>
      </c>
      <c r="H1084" s="1" t="s">
        <v>16476</v>
      </c>
    </row>
    <row r="1085">
      <c r="A1085" s="89">
        <v>1410.0</v>
      </c>
      <c r="B1085" s="1" t="s">
        <v>17530</v>
      </c>
      <c r="E1085" s="1" t="s">
        <v>16487</v>
      </c>
      <c r="F1085" s="90">
        <v>45384.41068287037</v>
      </c>
      <c r="G1085" s="90">
        <v>45905.0080787037</v>
      </c>
      <c r="H1085" s="1" t="s">
        <v>16476</v>
      </c>
    </row>
    <row r="1086">
      <c r="A1086" s="89">
        <v>1409.0</v>
      </c>
      <c r="B1086" s="1" t="s">
        <v>17531</v>
      </c>
      <c r="E1086" s="1" t="s">
        <v>16487</v>
      </c>
      <c r="F1086" s="90">
        <v>45384.410462962966</v>
      </c>
      <c r="G1086" s="90">
        <v>45905.00751157408</v>
      </c>
      <c r="H1086" s="1" t="s">
        <v>16476</v>
      </c>
    </row>
    <row r="1087">
      <c r="A1087" s="89">
        <v>1408.0</v>
      </c>
      <c r="B1087" s="1" t="s">
        <v>17532</v>
      </c>
      <c r="E1087" s="1" t="s">
        <v>16487</v>
      </c>
      <c r="F1087" s="90">
        <v>45384.40971064815</v>
      </c>
      <c r="G1087" s="90">
        <v>45905.00693287037</v>
      </c>
      <c r="H1087" s="1" t="s">
        <v>16476</v>
      </c>
    </row>
    <row r="1088">
      <c r="A1088" s="89">
        <v>1394.0</v>
      </c>
      <c r="B1088" s="1" t="s">
        <v>17533</v>
      </c>
      <c r="E1088" s="1" t="s">
        <v>16487</v>
      </c>
      <c r="F1088" s="90">
        <v>45377.416817129626</v>
      </c>
      <c r="G1088" s="90">
        <v>45905.00635416667</v>
      </c>
      <c r="H1088" s="1" t="s">
        <v>16476</v>
      </c>
    </row>
    <row r="1089">
      <c r="A1089" s="89">
        <v>1579.0</v>
      </c>
      <c r="B1089" s="1" t="s">
        <v>10460</v>
      </c>
      <c r="F1089" s="90">
        <v>45632.509247685186</v>
      </c>
      <c r="G1089" s="90">
        <v>45905.00299768519</v>
      </c>
      <c r="H1089" s="1" t="s">
        <v>16476</v>
      </c>
    </row>
    <row r="1090">
      <c r="A1090" s="89">
        <v>1713.0</v>
      </c>
      <c r="B1090" s="1" t="s">
        <v>2424</v>
      </c>
      <c r="F1090" s="90">
        <v>45845.606782407405</v>
      </c>
      <c r="G1090" s="90">
        <v>45862.434537037036</v>
      </c>
      <c r="H1090" s="1" t="s">
        <v>16476</v>
      </c>
    </row>
    <row r="1091">
      <c r="A1091" s="89">
        <v>1736.0</v>
      </c>
      <c r="B1091" s="1" t="s">
        <v>17534</v>
      </c>
      <c r="F1091" s="90">
        <v>45861.49537037037</v>
      </c>
      <c r="G1091" s="90">
        <v>45861.495833333334</v>
      </c>
      <c r="H1091" s="1" t="s">
        <v>16476</v>
      </c>
    </row>
    <row r="1092">
      <c r="A1092" s="89">
        <v>1735.0</v>
      </c>
      <c r="B1092" s="1" t="s">
        <v>17535</v>
      </c>
      <c r="F1092" s="90">
        <v>45856.4816087963</v>
      </c>
      <c r="G1092" s="90">
        <v>45856.48787037037</v>
      </c>
      <c r="H1092" s="1" t="s">
        <v>16476</v>
      </c>
    </row>
    <row r="1093">
      <c r="A1093" s="89">
        <v>1721.0</v>
      </c>
      <c r="B1093" s="1" t="s">
        <v>5815</v>
      </c>
      <c r="F1093" s="90">
        <v>45848.543807870374</v>
      </c>
      <c r="G1093" s="90">
        <v>45855.77412037037</v>
      </c>
      <c r="H1093" s="1" t="s">
        <v>16476</v>
      </c>
    </row>
    <row r="1094">
      <c r="A1094" s="89">
        <v>1733.0</v>
      </c>
      <c r="B1094" s="1" t="s">
        <v>17536</v>
      </c>
      <c r="F1094" s="90">
        <v>45855.53142361111</v>
      </c>
      <c r="G1094" s="90">
        <v>45855.69488425926</v>
      </c>
      <c r="H1094" s="1" t="s">
        <v>16476</v>
      </c>
    </row>
    <row r="1095">
      <c r="A1095" s="89">
        <v>1732.0</v>
      </c>
      <c r="B1095" s="1" t="s">
        <v>17537</v>
      </c>
      <c r="F1095" s="90">
        <v>45854.56024305556</v>
      </c>
      <c r="G1095" s="90">
        <v>45854.59887731481</v>
      </c>
      <c r="H1095" s="1" t="s">
        <v>16476</v>
      </c>
    </row>
    <row r="1096">
      <c r="A1096" s="89">
        <v>1731.0</v>
      </c>
      <c r="B1096" s="1" t="s">
        <v>17538</v>
      </c>
      <c r="F1096" s="90">
        <v>45854.55606481482</v>
      </c>
      <c r="G1096" s="90">
        <v>45854.58627314815</v>
      </c>
      <c r="H1096" s="1" t="s">
        <v>16476</v>
      </c>
    </row>
    <row r="1097">
      <c r="A1097" s="89">
        <v>1728.0</v>
      </c>
      <c r="B1097" s="1" t="s">
        <v>14156</v>
      </c>
      <c r="F1097" s="90">
        <v>45853.477060185185</v>
      </c>
      <c r="G1097" s="90">
        <v>45853.49471064815</v>
      </c>
      <c r="H1097" s="1" t="s">
        <v>16476</v>
      </c>
    </row>
    <row r="1098">
      <c r="A1098" s="89">
        <v>1720.0</v>
      </c>
      <c r="B1098" s="1" t="s">
        <v>17539</v>
      </c>
      <c r="F1098" s="90">
        <v>45847.544652777775</v>
      </c>
      <c r="G1098" s="90">
        <v>45852.323333333334</v>
      </c>
      <c r="H1098" s="1" t="s">
        <v>16476</v>
      </c>
    </row>
    <row r="1099">
      <c r="A1099" s="89">
        <v>1723.0</v>
      </c>
      <c r="B1099" s="1" t="s">
        <v>17540</v>
      </c>
      <c r="F1099" s="90">
        <v>45849.858252314814</v>
      </c>
      <c r="G1099" s="90">
        <v>45849.8744212963</v>
      </c>
      <c r="H1099" s="1" t="s">
        <v>16476</v>
      </c>
    </row>
    <row r="1100">
      <c r="A1100" s="89">
        <v>1722.0</v>
      </c>
      <c r="B1100" s="1" t="s">
        <v>17541</v>
      </c>
      <c r="F1100" s="90">
        <v>45849.59805555556</v>
      </c>
      <c r="G1100" s="90">
        <v>45849.59861111111</v>
      </c>
      <c r="H1100" s="1" t="s">
        <v>16476</v>
      </c>
    </row>
    <row r="1101">
      <c r="A1101" s="89">
        <v>1717.0</v>
      </c>
      <c r="B1101" s="1" t="s">
        <v>14062</v>
      </c>
      <c r="F1101" s="90">
        <v>45846.73287037037</v>
      </c>
      <c r="G1101" s="90">
        <v>45847.57576388889</v>
      </c>
      <c r="H1101" s="1" t="s">
        <v>16476</v>
      </c>
    </row>
    <row r="1102">
      <c r="A1102" s="89">
        <v>1712.0</v>
      </c>
      <c r="B1102" s="1" t="s">
        <v>17542</v>
      </c>
      <c r="F1102" s="90">
        <v>45845.59935185185</v>
      </c>
      <c r="G1102" s="90">
        <v>45847.554456018515</v>
      </c>
      <c r="H1102" s="1" t="s">
        <v>16476</v>
      </c>
    </row>
    <row r="1103">
      <c r="A1103" s="89">
        <v>1715.0</v>
      </c>
      <c r="B1103" s="1" t="s">
        <v>2909</v>
      </c>
      <c r="F1103" s="90">
        <v>45846.37328703704</v>
      </c>
      <c r="G1103" s="90">
        <v>45847.526979166665</v>
      </c>
      <c r="H1103" s="1" t="s">
        <v>16476</v>
      </c>
    </row>
    <row r="1104">
      <c r="A1104" s="89">
        <v>1719.0</v>
      </c>
      <c r="B1104" s="1" t="s">
        <v>17543</v>
      </c>
      <c r="F1104" s="90">
        <v>45847.483564814815</v>
      </c>
      <c r="G1104" s="90">
        <v>45847.501435185186</v>
      </c>
      <c r="H1104" s="1" t="s">
        <v>16476</v>
      </c>
    </row>
    <row r="1105">
      <c r="A1105" s="89">
        <v>1718.0</v>
      </c>
      <c r="B1105" s="1" t="s">
        <v>2755</v>
      </c>
      <c r="F1105" s="90">
        <v>45847.48353009259</v>
      </c>
      <c r="G1105" s="90">
        <v>45847.49513888889</v>
      </c>
      <c r="H1105" s="1" t="s">
        <v>16476</v>
      </c>
    </row>
    <row r="1106">
      <c r="A1106" s="89">
        <v>1695.0</v>
      </c>
      <c r="B1106" s="1" t="s">
        <v>17544</v>
      </c>
      <c r="F1106" s="90">
        <v>45845.595289351855</v>
      </c>
      <c r="G1106" s="90">
        <v>45846.574641203704</v>
      </c>
      <c r="H1106" s="1" t="s">
        <v>16476</v>
      </c>
    </row>
    <row r="1107">
      <c r="A1107" s="89">
        <v>1701.0</v>
      </c>
      <c r="B1107" s="1" t="s">
        <v>17545</v>
      </c>
      <c r="F1107" s="90">
        <v>45845.596030092594</v>
      </c>
      <c r="G1107" s="90">
        <v>45846.539722222224</v>
      </c>
      <c r="H1107" s="1" t="s">
        <v>16476</v>
      </c>
    </row>
    <row r="1108">
      <c r="A1108" s="89">
        <v>1716.0</v>
      </c>
      <c r="B1108" s="1" t="s">
        <v>17546</v>
      </c>
      <c r="F1108" s="90">
        <v>45846.456099537034</v>
      </c>
      <c r="G1108" s="90">
        <v>45846.47219907407</v>
      </c>
      <c r="H1108" s="1" t="s">
        <v>16476</v>
      </c>
    </row>
    <row r="1109">
      <c r="A1109" s="89">
        <v>1708.0</v>
      </c>
      <c r="B1109" s="1" t="s">
        <v>17547</v>
      </c>
      <c r="F1109" s="90">
        <v>45845.597291666665</v>
      </c>
      <c r="G1109" s="90">
        <v>45846.39815972222</v>
      </c>
      <c r="H1109" s="1" t="s">
        <v>16476</v>
      </c>
    </row>
    <row r="1110">
      <c r="A1110" s="89">
        <v>1705.0</v>
      </c>
      <c r="B1110" s="1" t="s">
        <v>17548</v>
      </c>
      <c r="F1110" s="90">
        <v>45845.596608796295</v>
      </c>
      <c r="G1110" s="90">
        <v>45846.388969907406</v>
      </c>
      <c r="H1110" s="1" t="s">
        <v>16476</v>
      </c>
    </row>
    <row r="1111">
      <c r="A1111" s="89">
        <v>1697.0</v>
      </c>
      <c r="B1111" s="1" t="s">
        <v>11246</v>
      </c>
      <c r="F1111" s="90">
        <v>45845.59576388889</v>
      </c>
      <c r="G1111" s="90">
        <v>45845.86085648148</v>
      </c>
      <c r="H1111" s="1" t="s">
        <v>16476</v>
      </c>
    </row>
    <row r="1112">
      <c r="A1112" s="89">
        <v>1704.0</v>
      </c>
      <c r="B1112" s="1" t="s">
        <v>17549</v>
      </c>
      <c r="F1112" s="90">
        <v>45845.596608796295</v>
      </c>
      <c r="G1112" s="90">
        <v>45845.84688657407</v>
      </c>
      <c r="H1112" s="1" t="s">
        <v>16476</v>
      </c>
    </row>
    <row r="1113">
      <c r="A1113" s="89">
        <v>1714.0</v>
      </c>
      <c r="B1113" s="1" t="s">
        <v>17550</v>
      </c>
      <c r="F1113" s="90">
        <v>45845.752430555556</v>
      </c>
      <c r="G1113" s="90">
        <v>45845.76516203704</v>
      </c>
      <c r="H1113" s="1" t="s">
        <v>16476</v>
      </c>
    </row>
    <row r="1114">
      <c r="A1114" s="89">
        <v>1696.0</v>
      </c>
      <c r="B1114" s="1" t="s">
        <v>17551</v>
      </c>
      <c r="F1114" s="90">
        <v>45845.595509259256</v>
      </c>
      <c r="G1114" s="90">
        <v>45845.61398148148</v>
      </c>
      <c r="H1114" s="1" t="s">
        <v>16476</v>
      </c>
    </row>
    <row r="1115">
      <c r="A1115" s="89">
        <v>1706.0</v>
      </c>
      <c r="B1115" s="1" t="s">
        <v>17552</v>
      </c>
      <c r="F1115" s="90">
        <v>45845.59668981482</v>
      </c>
      <c r="G1115" s="90">
        <v>45845.61168981482</v>
      </c>
      <c r="H1115" s="1" t="s">
        <v>16476</v>
      </c>
    </row>
    <row r="1116">
      <c r="A1116" s="89">
        <v>1698.0</v>
      </c>
      <c r="B1116" s="1" t="s">
        <v>17553</v>
      </c>
      <c r="F1116" s="90">
        <v>45845.59583333333</v>
      </c>
      <c r="G1116" s="90">
        <v>45845.60811342593</v>
      </c>
      <c r="H1116" s="1" t="s">
        <v>16476</v>
      </c>
    </row>
    <row r="1117">
      <c r="A1117" s="89">
        <v>1703.0</v>
      </c>
      <c r="B1117" s="1" t="s">
        <v>17554</v>
      </c>
      <c r="F1117" s="90">
        <v>45845.59622685185</v>
      </c>
      <c r="G1117" s="90">
        <v>45845.60460648148</v>
      </c>
      <c r="H1117" s="1" t="s">
        <v>16476</v>
      </c>
    </row>
    <row r="1118">
      <c r="A1118" s="89">
        <v>1702.0</v>
      </c>
      <c r="B1118" s="1" t="s">
        <v>17555</v>
      </c>
      <c r="F1118" s="90">
        <v>45845.59612268519</v>
      </c>
      <c r="G1118" s="90">
        <v>45845.602314814816</v>
      </c>
      <c r="H1118" s="1" t="s">
        <v>16476</v>
      </c>
    </row>
    <row r="1119">
      <c r="A1119" s="89">
        <v>1709.0</v>
      </c>
      <c r="B1119" s="1" t="s">
        <v>17556</v>
      </c>
      <c r="F1119" s="90">
        <v>45845.59811342593</v>
      </c>
      <c r="G1119" s="90">
        <v>45845.599652777775</v>
      </c>
      <c r="H1119" s="1" t="s">
        <v>16476</v>
      </c>
    </row>
    <row r="1120">
      <c r="A1120" s="89">
        <v>1711.0</v>
      </c>
      <c r="B1120" s="1" t="s">
        <v>17557</v>
      </c>
      <c r="F1120" s="90">
        <v>45845.59885416667</v>
      </c>
      <c r="G1120" s="90">
        <v>45845.599074074074</v>
      </c>
      <c r="H1120" s="1" t="s">
        <v>16476</v>
      </c>
    </row>
    <row r="1121">
      <c r="A1121" s="89">
        <v>1710.0</v>
      </c>
      <c r="B1121" s="1" t="s">
        <v>17558</v>
      </c>
      <c r="F1121" s="90">
        <v>45845.598125</v>
      </c>
      <c r="G1121" s="90">
        <v>45845.59836805556</v>
      </c>
      <c r="H1121" s="1" t="s">
        <v>16476</v>
      </c>
    </row>
    <row r="1122">
      <c r="A1122" s="89">
        <v>1707.0</v>
      </c>
      <c r="B1122" s="1" t="s">
        <v>653</v>
      </c>
      <c r="F1122" s="90">
        <v>45845.59694444444</v>
      </c>
      <c r="G1122" s="90">
        <v>45845.59783564815</v>
      </c>
      <c r="H1122" s="1" t="s">
        <v>16476</v>
      </c>
    </row>
    <row r="1123">
      <c r="A1123" s="89">
        <v>1699.0</v>
      </c>
      <c r="B1123" s="1" t="s">
        <v>17559</v>
      </c>
      <c r="F1123" s="90">
        <v>45845.59585648148</v>
      </c>
      <c r="G1123" s="90">
        <v>45845.5968287037</v>
      </c>
      <c r="H1123" s="1" t="s">
        <v>16476</v>
      </c>
    </row>
    <row r="1124">
      <c r="A1124" s="89">
        <v>1700.0</v>
      </c>
      <c r="B1124" s="1" t="s">
        <v>17560</v>
      </c>
      <c r="F1124" s="90">
        <v>45845.59590277778</v>
      </c>
      <c r="G1124" s="90">
        <v>45845.596238425926</v>
      </c>
      <c r="H1124" s="1" t="s">
        <v>16476</v>
      </c>
    </row>
    <row r="1125">
      <c r="A1125" s="89">
        <v>1545.0</v>
      </c>
      <c r="B1125" s="1" t="s">
        <v>17561</v>
      </c>
      <c r="F1125" s="90">
        <v>45615.50975694445</v>
      </c>
      <c r="G1125" s="90">
        <v>45829.695752314816</v>
      </c>
      <c r="H1125" s="1" t="s">
        <v>16476</v>
      </c>
    </row>
    <row r="1126">
      <c r="A1126" s="89">
        <v>1693.0</v>
      </c>
      <c r="B1126" s="1" t="s">
        <v>17562</v>
      </c>
      <c r="F1126" s="90">
        <v>45678.69850694444</v>
      </c>
      <c r="G1126" s="90">
        <v>45819.60627314815</v>
      </c>
      <c r="H1126" s="1" t="s">
        <v>16476</v>
      </c>
    </row>
    <row r="1127">
      <c r="A1127" s="89">
        <v>1608.0</v>
      </c>
      <c r="B1127" s="1" t="s">
        <v>17563</v>
      </c>
      <c r="F1127" s="90">
        <v>45692.58773148148</v>
      </c>
      <c r="G1127" s="90">
        <v>45819.60511574074</v>
      </c>
      <c r="H1127" s="1" t="s">
        <v>16476</v>
      </c>
    </row>
    <row r="1128">
      <c r="A1128" s="89">
        <v>1692.0</v>
      </c>
      <c r="B1128" s="1" t="s">
        <v>17564</v>
      </c>
      <c r="F1128" s="90">
        <v>45816.61560185185</v>
      </c>
      <c r="G1128" s="90">
        <v>45816.616898148146</v>
      </c>
      <c r="H1128" s="1" t="s">
        <v>16476</v>
      </c>
    </row>
    <row r="1129">
      <c r="A1129" s="89">
        <v>1684.0</v>
      </c>
      <c r="B1129" s="1" t="s">
        <v>4181</v>
      </c>
      <c r="F1129" s="90">
        <v>45774.90515046296</v>
      </c>
      <c r="G1129" s="90">
        <v>45807.645474537036</v>
      </c>
      <c r="H1129" s="1" t="s">
        <v>16476</v>
      </c>
    </row>
    <row r="1130">
      <c r="A1130" s="89">
        <v>1690.0</v>
      </c>
      <c r="B1130" s="1" t="s">
        <v>17565</v>
      </c>
      <c r="F1130" s="90">
        <v>45793.6228587963</v>
      </c>
      <c r="G1130" s="90">
        <v>45807.611354166664</v>
      </c>
      <c r="H1130" s="1" t="s">
        <v>16476</v>
      </c>
    </row>
    <row r="1131">
      <c r="A1131" s="89">
        <v>1691.0</v>
      </c>
      <c r="B1131" s="1" t="s">
        <v>17566</v>
      </c>
      <c r="F1131" s="90">
        <v>45806.49266203704</v>
      </c>
      <c r="G1131" s="90">
        <v>45807.56071759259</v>
      </c>
      <c r="H1131" s="1" t="s">
        <v>16476</v>
      </c>
    </row>
    <row r="1132">
      <c r="A1132" s="89">
        <v>1622.0</v>
      </c>
      <c r="B1132" s="1" t="s">
        <v>5618</v>
      </c>
      <c r="F1132" s="90">
        <v>45715.30677083333</v>
      </c>
      <c r="G1132" s="90">
        <v>45804.914305555554</v>
      </c>
      <c r="H1132" s="1" t="s">
        <v>16476</v>
      </c>
    </row>
    <row r="1133">
      <c r="A1133" s="89">
        <v>1689.0</v>
      </c>
      <c r="B1133" s="1" t="s">
        <v>17567</v>
      </c>
      <c r="F1133" s="90">
        <v>45789.443449074075</v>
      </c>
      <c r="G1133" s="90">
        <v>45789.44505787037</v>
      </c>
      <c r="H1133" s="1" t="s">
        <v>16476</v>
      </c>
    </row>
    <row r="1134">
      <c r="A1134" s="89">
        <v>1688.0</v>
      </c>
      <c r="B1134" s="1" t="s">
        <v>14626</v>
      </c>
      <c r="F1134" s="90">
        <v>45789.44275462963</v>
      </c>
      <c r="G1134" s="90">
        <v>45789.444189814814</v>
      </c>
      <c r="H1134" s="1" t="s">
        <v>16476</v>
      </c>
    </row>
    <row r="1135">
      <c r="A1135" s="89">
        <v>1687.0</v>
      </c>
      <c r="B1135" s="1" t="s">
        <v>647</v>
      </c>
      <c r="F1135" s="90">
        <v>45786.634375</v>
      </c>
      <c r="G1135" s="90">
        <v>45786.65923611111</v>
      </c>
      <c r="H1135" s="1" t="s">
        <v>16476</v>
      </c>
    </row>
    <row r="1136">
      <c r="A1136" s="89">
        <v>1686.0</v>
      </c>
      <c r="B1136" s="1" t="s">
        <v>17568</v>
      </c>
      <c r="F1136" s="90">
        <v>45779.444340277776</v>
      </c>
      <c r="G1136" s="90">
        <v>45779.462916666664</v>
      </c>
      <c r="H1136" s="1" t="s">
        <v>16476</v>
      </c>
    </row>
    <row r="1137">
      <c r="A1137" s="89">
        <v>1671.0</v>
      </c>
      <c r="B1137" s="1" t="s">
        <v>17569</v>
      </c>
      <c r="F1137" s="90">
        <v>45771.44159722222</v>
      </c>
      <c r="G1137" s="90">
        <v>45779.45658564815</v>
      </c>
      <c r="H1137" s="1" t="s">
        <v>16476</v>
      </c>
    </row>
    <row r="1138">
      <c r="A1138" s="89">
        <v>1666.0</v>
      </c>
      <c r="B1138" s="1" t="s">
        <v>17570</v>
      </c>
      <c r="F1138" s="90">
        <v>45771.43803240741</v>
      </c>
      <c r="G1138" s="90">
        <v>45779.45475694445</v>
      </c>
      <c r="H1138" s="1" t="s">
        <v>16476</v>
      </c>
    </row>
    <row r="1139">
      <c r="A1139" s="89">
        <v>1685.0</v>
      </c>
      <c r="B1139" s="1" t="s">
        <v>17571</v>
      </c>
      <c r="F1139" s="90">
        <v>45779.44700231482</v>
      </c>
      <c r="G1139" s="90">
        <v>45779.452731481484</v>
      </c>
      <c r="H1139" s="1" t="s">
        <v>16476</v>
      </c>
    </row>
    <row r="1140">
      <c r="A1140" s="89">
        <v>1682.0</v>
      </c>
      <c r="B1140" s="1" t="s">
        <v>4429</v>
      </c>
      <c r="F1140" s="90">
        <v>45771.71123842592</v>
      </c>
      <c r="G1140" s="90">
        <v>45771.71193287037</v>
      </c>
      <c r="H1140" s="1" t="s">
        <v>16476</v>
      </c>
    </row>
    <row r="1141">
      <c r="A1141" s="89">
        <v>1681.0</v>
      </c>
      <c r="B1141" s="1" t="s">
        <v>17572</v>
      </c>
      <c r="F1141" s="90">
        <v>45771.456087962964</v>
      </c>
      <c r="G1141" s="90">
        <v>45771.465</v>
      </c>
      <c r="H1141" s="1" t="s">
        <v>16476</v>
      </c>
    </row>
    <row r="1142">
      <c r="A1142" s="89">
        <v>1680.0</v>
      </c>
      <c r="B1142" s="1" t="s">
        <v>17573</v>
      </c>
      <c r="F1142" s="90">
        <v>45771.45071759259</v>
      </c>
      <c r="G1142" s="90">
        <v>45771.455717592595</v>
      </c>
      <c r="H1142" s="1" t="s">
        <v>16476</v>
      </c>
    </row>
    <row r="1143">
      <c r="A1143" s="89">
        <v>1679.0</v>
      </c>
      <c r="B1143" s="1" t="s">
        <v>17574</v>
      </c>
      <c r="F1143" s="90">
        <v>45771.44574074074</v>
      </c>
      <c r="G1143" s="90">
        <v>45771.454872685186</v>
      </c>
      <c r="H1143" s="1" t="s">
        <v>16476</v>
      </c>
    </row>
    <row r="1144">
      <c r="A1144" s="89">
        <v>1678.0</v>
      </c>
      <c r="B1144" s="1" t="s">
        <v>17575</v>
      </c>
      <c r="F1144" s="90">
        <v>45771.4503125</v>
      </c>
      <c r="G1144" s="90">
        <v>45771.45278935185</v>
      </c>
      <c r="H1144" s="1" t="s">
        <v>16476</v>
      </c>
    </row>
    <row r="1145">
      <c r="A1145" s="89">
        <v>1677.0</v>
      </c>
      <c r="B1145" s="1" t="s">
        <v>17576</v>
      </c>
      <c r="F1145" s="90">
        <v>45771.44997685185</v>
      </c>
      <c r="G1145" s="90">
        <v>45771.45130787037</v>
      </c>
      <c r="H1145" s="1" t="s">
        <v>16476</v>
      </c>
    </row>
    <row r="1146">
      <c r="A1146" s="89">
        <v>1676.0</v>
      </c>
      <c r="B1146" s="1" t="s">
        <v>17577</v>
      </c>
      <c r="F1146" s="90">
        <v>45771.44792824074</v>
      </c>
      <c r="G1146" s="90">
        <v>45771.448796296296</v>
      </c>
      <c r="H1146" s="1" t="s">
        <v>16476</v>
      </c>
    </row>
    <row r="1147">
      <c r="A1147" s="89">
        <v>1675.0</v>
      </c>
      <c r="B1147" s="1" t="s">
        <v>15471</v>
      </c>
      <c r="F1147" s="90">
        <v>45771.44773148148</v>
      </c>
      <c r="G1147" s="90">
        <v>45771.44844907407</v>
      </c>
      <c r="H1147" s="1" t="s">
        <v>16476</v>
      </c>
    </row>
    <row r="1148">
      <c r="A1148" s="89">
        <v>1674.0</v>
      </c>
      <c r="B1148" s="1" t="s">
        <v>17578</v>
      </c>
      <c r="F1148" s="90">
        <v>45771.44520833333</v>
      </c>
      <c r="G1148" s="90">
        <v>45771.44826388889</v>
      </c>
      <c r="H1148" s="1" t="s">
        <v>16476</v>
      </c>
    </row>
    <row r="1149">
      <c r="A1149" s="89">
        <v>1673.0</v>
      </c>
      <c r="B1149" s="1" t="s">
        <v>15295</v>
      </c>
      <c r="F1149" s="90">
        <v>45771.44267361111</v>
      </c>
      <c r="G1149" s="90">
        <v>45771.4474537037</v>
      </c>
      <c r="H1149" s="1" t="s">
        <v>16476</v>
      </c>
    </row>
    <row r="1150">
      <c r="A1150" s="89">
        <v>1672.0</v>
      </c>
      <c r="B1150" s="1" t="s">
        <v>17579</v>
      </c>
      <c r="F1150" s="90">
        <v>45771.44237268518</v>
      </c>
      <c r="G1150" s="90">
        <v>45771.44744212963</v>
      </c>
      <c r="H1150" s="1" t="s">
        <v>16476</v>
      </c>
    </row>
    <row r="1151">
      <c r="A1151" s="89">
        <v>1670.0</v>
      </c>
      <c r="B1151" s="1" t="s">
        <v>17580</v>
      </c>
      <c r="F1151" s="90">
        <v>45771.44553240741</v>
      </c>
      <c r="G1151" s="90">
        <v>45771.44740740741</v>
      </c>
      <c r="H1151" s="1" t="s">
        <v>16476</v>
      </c>
    </row>
    <row r="1152">
      <c r="A1152" s="89">
        <v>1669.0</v>
      </c>
      <c r="B1152" s="1" t="s">
        <v>17581</v>
      </c>
      <c r="F1152" s="90">
        <v>45771.443877314814</v>
      </c>
      <c r="G1152" s="90">
        <v>45771.44608796296</v>
      </c>
      <c r="H1152" s="1" t="s">
        <v>16476</v>
      </c>
    </row>
    <row r="1153">
      <c r="A1153" s="89">
        <v>1668.0</v>
      </c>
      <c r="B1153" s="1" t="s">
        <v>17582</v>
      </c>
      <c r="F1153" s="90">
        <v>45771.4444212963</v>
      </c>
      <c r="G1153" s="90">
        <v>45771.44496527778</v>
      </c>
      <c r="H1153" s="1" t="s">
        <v>16476</v>
      </c>
    </row>
    <row r="1154">
      <c r="A1154" s="89">
        <v>1667.0</v>
      </c>
      <c r="B1154" s="1" t="s">
        <v>10814</v>
      </c>
      <c r="F1154" s="90">
        <v>45771.44422453704</v>
      </c>
      <c r="G1154" s="90">
        <v>45771.44480324074</v>
      </c>
      <c r="H1154" s="1" t="s">
        <v>16476</v>
      </c>
    </row>
    <row r="1155">
      <c r="A1155" s="89">
        <v>1665.0</v>
      </c>
      <c r="B1155" s="1" t="s">
        <v>17583</v>
      </c>
      <c r="F1155" s="90">
        <v>45771.4384375</v>
      </c>
      <c r="G1155" s="90">
        <v>45771.4390625</v>
      </c>
      <c r="H1155" s="1" t="s">
        <v>16476</v>
      </c>
    </row>
    <row r="1156">
      <c r="A1156" s="89">
        <v>1661.0</v>
      </c>
      <c r="B1156" s="1" t="s">
        <v>17584</v>
      </c>
      <c r="F1156" s="90">
        <v>45744.569027777776</v>
      </c>
      <c r="G1156" s="90">
        <v>45754.813796296294</v>
      </c>
      <c r="H1156" s="1" t="s">
        <v>16476</v>
      </c>
    </row>
    <row r="1157">
      <c r="A1157" s="89">
        <v>1662.0</v>
      </c>
      <c r="B1157" s="1" t="s">
        <v>17585</v>
      </c>
      <c r="F1157" s="90">
        <v>45750.50346064815</v>
      </c>
      <c r="G1157" s="90">
        <v>45750.522152777776</v>
      </c>
      <c r="H1157" s="1" t="s">
        <v>16476</v>
      </c>
    </row>
    <row r="1158">
      <c r="A1158" s="89">
        <v>1663.0</v>
      </c>
      <c r="B1158" s="1" t="s">
        <v>17586</v>
      </c>
      <c r="F1158" s="90">
        <v>45727.53324074074</v>
      </c>
      <c r="G1158" s="90">
        <v>45750.50984953704</v>
      </c>
      <c r="H1158" s="1" t="s">
        <v>16476</v>
      </c>
    </row>
    <row r="1159">
      <c r="A1159" s="89">
        <v>1660.0</v>
      </c>
      <c r="B1159" s="1" t="s">
        <v>17586</v>
      </c>
      <c r="F1159" s="90">
        <v>45743.504212962966</v>
      </c>
      <c r="G1159" s="90">
        <v>45743.52579861111</v>
      </c>
      <c r="H1159" s="1" t="s">
        <v>16476</v>
      </c>
    </row>
    <row r="1160">
      <c r="A1160" s="89">
        <v>1659.0</v>
      </c>
      <c r="B1160" s="1" t="s">
        <v>17587</v>
      </c>
      <c r="F1160" s="90">
        <v>45743.50273148148</v>
      </c>
      <c r="G1160" s="90">
        <v>45743.50480324074</v>
      </c>
      <c r="H1160" s="1" t="s">
        <v>16476</v>
      </c>
    </row>
    <row r="1161">
      <c r="A1161" s="89">
        <v>1658.0</v>
      </c>
      <c r="B1161" s="1" t="s">
        <v>17588</v>
      </c>
      <c r="F1161" s="90">
        <v>45740.65659722222</v>
      </c>
      <c r="G1161" s="90">
        <v>45740.663356481484</v>
      </c>
      <c r="H1161" s="1" t="s">
        <v>16476</v>
      </c>
    </row>
    <row r="1162">
      <c r="A1162" s="89">
        <v>1656.0</v>
      </c>
      <c r="B1162" s="1" t="s">
        <v>17589</v>
      </c>
      <c r="F1162" s="90">
        <v>45733.967523148145</v>
      </c>
      <c r="G1162" s="90">
        <v>45733.985972222225</v>
      </c>
      <c r="H1162" s="1" t="s">
        <v>16476</v>
      </c>
    </row>
    <row r="1163">
      <c r="A1163" s="89">
        <v>1655.0</v>
      </c>
      <c r="B1163" s="1" t="s">
        <v>17589</v>
      </c>
      <c r="F1163" s="90">
        <v>45733.70707175926</v>
      </c>
      <c r="G1163" s="90">
        <v>45733.74081018518</v>
      </c>
      <c r="H1163" s="1" t="s">
        <v>16476</v>
      </c>
    </row>
    <row r="1164">
      <c r="A1164" s="89">
        <v>1654.0</v>
      </c>
      <c r="B1164" s="1" t="s">
        <v>17590</v>
      </c>
      <c r="F1164" s="90">
        <v>45733.67513888889</v>
      </c>
      <c r="G1164" s="90">
        <v>45733.676087962966</v>
      </c>
      <c r="H1164" s="1" t="s">
        <v>16476</v>
      </c>
    </row>
    <row r="1165">
      <c r="A1165" s="89">
        <v>1653.0</v>
      </c>
      <c r="B1165" s="1" t="s">
        <v>17591</v>
      </c>
      <c r="F1165" s="90">
        <v>45733.642604166664</v>
      </c>
      <c r="G1165" s="90">
        <v>45733.65211805556</v>
      </c>
      <c r="H1165" s="1" t="s">
        <v>16476</v>
      </c>
    </row>
    <row r="1166">
      <c r="A1166" s="89">
        <v>1652.0</v>
      </c>
      <c r="B1166" s="1" t="s">
        <v>17592</v>
      </c>
      <c r="F1166" s="90">
        <v>45733.41616898148</v>
      </c>
      <c r="G1166" s="90">
        <v>45733.627071759256</v>
      </c>
      <c r="H1166" s="1" t="s">
        <v>16476</v>
      </c>
    </row>
    <row r="1167">
      <c r="A1167" s="89">
        <v>1651.0</v>
      </c>
      <c r="B1167" s="1" t="s">
        <v>17592</v>
      </c>
      <c r="F1167" s="90">
        <v>45730.66133101852</v>
      </c>
      <c r="G1167" s="90">
        <v>45730.73103009259</v>
      </c>
      <c r="H1167" s="1" t="s">
        <v>16476</v>
      </c>
    </row>
    <row r="1168">
      <c r="A1168" s="89">
        <v>1650.0</v>
      </c>
      <c r="B1168" s="1" t="s">
        <v>17592</v>
      </c>
      <c r="F1168" s="90">
        <v>45730.65460648148</v>
      </c>
      <c r="G1168" s="90">
        <v>45730.65493055555</v>
      </c>
      <c r="H1168" s="1" t="s">
        <v>16476</v>
      </c>
    </row>
    <row r="1169">
      <c r="A1169" s="89">
        <v>1649.0</v>
      </c>
      <c r="B1169" s="1" t="s">
        <v>17593</v>
      </c>
      <c r="F1169" s="90">
        <v>45730.64680555555</v>
      </c>
      <c r="G1169" s="90">
        <v>45730.65292824074</v>
      </c>
      <c r="H1169" s="1" t="s">
        <v>16476</v>
      </c>
    </row>
    <row r="1170">
      <c r="A1170" s="89">
        <v>1648.0</v>
      </c>
      <c r="B1170" s="1" t="s">
        <v>17594</v>
      </c>
      <c r="F1170" s="90">
        <v>45730.51605324074</v>
      </c>
      <c r="G1170" s="90">
        <v>45730.53386574074</v>
      </c>
      <c r="H1170" s="1" t="s">
        <v>16476</v>
      </c>
    </row>
    <row r="1171">
      <c r="A1171" s="89">
        <v>1639.0</v>
      </c>
      <c r="B1171" s="1" t="s">
        <v>17595</v>
      </c>
      <c r="F1171" s="90">
        <v>45729.48925925926</v>
      </c>
      <c r="G1171" s="90">
        <v>45729.53773148148</v>
      </c>
      <c r="H1171" s="1" t="s">
        <v>16476</v>
      </c>
    </row>
    <row r="1172">
      <c r="A1172" s="89">
        <v>1645.0</v>
      </c>
      <c r="B1172" s="1" t="s">
        <v>9072</v>
      </c>
      <c r="F1172" s="90">
        <v>45729.51107638889</v>
      </c>
      <c r="G1172" s="90">
        <v>45729.536516203705</v>
      </c>
      <c r="H1172" s="1" t="s">
        <v>16476</v>
      </c>
    </row>
    <row r="1173">
      <c r="A1173" s="89">
        <v>1641.0</v>
      </c>
      <c r="B1173" s="1" t="s">
        <v>17596</v>
      </c>
      <c r="F1173" s="90">
        <v>45729.500914351855</v>
      </c>
      <c r="G1173" s="90">
        <v>45729.53369212963</v>
      </c>
      <c r="H1173" s="1" t="s">
        <v>16476</v>
      </c>
    </row>
    <row r="1174">
      <c r="A1174" s="89">
        <v>1644.0</v>
      </c>
      <c r="B1174" s="1" t="s">
        <v>17597</v>
      </c>
      <c r="F1174" s="90">
        <v>45729.5183912037</v>
      </c>
      <c r="G1174" s="90">
        <v>45729.531701388885</v>
      </c>
      <c r="H1174" s="1" t="s">
        <v>16476</v>
      </c>
    </row>
    <row r="1175">
      <c r="A1175" s="89">
        <v>1646.0</v>
      </c>
      <c r="B1175" s="1" t="s">
        <v>17598</v>
      </c>
      <c r="F1175" s="90">
        <v>45729.52769675926</v>
      </c>
      <c r="G1175" s="90">
        <v>45729.52908564815</v>
      </c>
      <c r="H1175" s="1" t="s">
        <v>16476</v>
      </c>
    </row>
    <row r="1176">
      <c r="A1176" s="89">
        <v>1643.0</v>
      </c>
      <c r="B1176" s="1" t="s">
        <v>8435</v>
      </c>
      <c r="F1176" s="90">
        <v>45729.514328703706</v>
      </c>
      <c r="G1176" s="90">
        <v>45729.52769675926</v>
      </c>
      <c r="H1176" s="1" t="s">
        <v>16476</v>
      </c>
    </row>
    <row r="1177">
      <c r="A1177" s="89">
        <v>1638.0</v>
      </c>
      <c r="B1177" s="1" t="s">
        <v>17599</v>
      </c>
      <c r="F1177" s="90">
        <v>45729.48736111111</v>
      </c>
      <c r="G1177" s="90">
        <v>45729.524664351855</v>
      </c>
      <c r="H1177" s="1" t="s">
        <v>16476</v>
      </c>
    </row>
    <row r="1178">
      <c r="A1178" s="89">
        <v>1640.0</v>
      </c>
      <c r="B1178" s="1" t="s">
        <v>17600</v>
      </c>
      <c r="F1178" s="90">
        <v>45729.50289351852</v>
      </c>
      <c r="G1178" s="90">
        <v>45729.521006944444</v>
      </c>
      <c r="H1178" s="1" t="s">
        <v>16476</v>
      </c>
    </row>
    <row r="1179">
      <c r="A1179" s="89">
        <v>1642.0</v>
      </c>
      <c r="B1179" s="1" t="s">
        <v>17601</v>
      </c>
      <c r="F1179" s="90">
        <v>45729.51122685185</v>
      </c>
      <c r="G1179" s="90">
        <v>45729.51253472222</v>
      </c>
      <c r="H1179" s="1" t="s">
        <v>16476</v>
      </c>
    </row>
    <row r="1180">
      <c r="A1180" s="89">
        <v>1637.0</v>
      </c>
      <c r="B1180" s="1" t="s">
        <v>8768</v>
      </c>
      <c r="F1180" s="90">
        <v>45729.48575231482</v>
      </c>
      <c r="G1180" s="90">
        <v>45729.50782407408</v>
      </c>
      <c r="H1180" s="1" t="s">
        <v>16476</v>
      </c>
    </row>
    <row r="1181">
      <c r="A1181" s="89">
        <v>1635.0</v>
      </c>
      <c r="B1181" s="1" t="s">
        <v>12192</v>
      </c>
      <c r="F1181" s="90">
        <v>45727.53396990741</v>
      </c>
      <c r="G1181" s="90">
        <v>45729.50545138889</v>
      </c>
      <c r="H1181" s="1" t="s">
        <v>16476</v>
      </c>
    </row>
    <row r="1182">
      <c r="A1182" s="89">
        <v>1632.0</v>
      </c>
      <c r="B1182" s="1" t="s">
        <v>6784</v>
      </c>
      <c r="F1182" s="90">
        <v>45723.533229166664</v>
      </c>
      <c r="G1182" s="90">
        <v>45729.504583333335</v>
      </c>
      <c r="H1182" s="1" t="s">
        <v>16476</v>
      </c>
    </row>
    <row r="1183">
      <c r="A1183" s="89">
        <v>1636.0</v>
      </c>
      <c r="B1183" s="1" t="s">
        <v>17602</v>
      </c>
      <c r="F1183" s="90">
        <v>45727.533321759256</v>
      </c>
      <c r="G1183" s="90">
        <v>45729.50021990741</v>
      </c>
      <c r="H1183" s="1" t="s">
        <v>16476</v>
      </c>
    </row>
    <row r="1184">
      <c r="A1184" s="89">
        <v>1630.0</v>
      </c>
      <c r="B1184" s="1" t="s">
        <v>17603</v>
      </c>
      <c r="F1184" s="90">
        <v>45723.517233796294</v>
      </c>
      <c r="G1184" s="90">
        <v>45729.48677083333</v>
      </c>
      <c r="H1184" s="1" t="s">
        <v>16476</v>
      </c>
    </row>
    <row r="1185">
      <c r="A1185" s="89">
        <v>1634.0</v>
      </c>
      <c r="B1185" s="1" t="s">
        <v>17604</v>
      </c>
      <c r="F1185" s="90">
        <v>45727.52211805555</v>
      </c>
      <c r="G1185" s="90">
        <v>45727.54108796296</v>
      </c>
      <c r="H1185" s="1" t="s">
        <v>16476</v>
      </c>
    </row>
    <row r="1186">
      <c r="A1186" s="89">
        <v>1633.0</v>
      </c>
      <c r="B1186" s="1" t="s">
        <v>3709</v>
      </c>
      <c r="F1186" s="90">
        <v>45726.12200231481</v>
      </c>
      <c r="G1186" s="90">
        <v>45726.129837962966</v>
      </c>
      <c r="H1186" s="1" t="s">
        <v>16476</v>
      </c>
    </row>
    <row r="1187">
      <c r="A1187" s="89">
        <v>1631.0</v>
      </c>
      <c r="B1187" s="1" t="s">
        <v>17605</v>
      </c>
      <c r="F1187" s="90">
        <v>45723.52217592593</v>
      </c>
      <c r="G1187" s="90">
        <v>45723.52342592592</v>
      </c>
      <c r="H1187" s="1" t="s">
        <v>16476</v>
      </c>
    </row>
    <row r="1188">
      <c r="A1188" s="89">
        <v>1627.0</v>
      </c>
      <c r="B1188" s="1" t="s">
        <v>5577</v>
      </c>
      <c r="F1188" s="90">
        <v>45714.977847222224</v>
      </c>
      <c r="G1188" s="90">
        <v>45715.86628472222</v>
      </c>
      <c r="H1188" s="1" t="s">
        <v>16476</v>
      </c>
    </row>
    <row r="1189">
      <c r="A1189" s="89">
        <v>1623.0</v>
      </c>
      <c r="B1189" s="1" t="s">
        <v>17606</v>
      </c>
      <c r="F1189" s="90">
        <v>45715.30679398148</v>
      </c>
      <c r="G1189" s="90">
        <v>45715.653865740744</v>
      </c>
      <c r="H1189" s="1" t="s">
        <v>16476</v>
      </c>
    </row>
    <row r="1190">
      <c r="A1190" s="89">
        <v>1624.0</v>
      </c>
      <c r="B1190" s="1" t="s">
        <v>17607</v>
      </c>
      <c r="F1190" s="90">
        <v>45715.306666666664</v>
      </c>
      <c r="G1190" s="90">
        <v>45715.33018518519</v>
      </c>
      <c r="H1190" s="1" t="s">
        <v>16476</v>
      </c>
    </row>
    <row r="1191">
      <c r="A1191" s="89">
        <v>1621.0</v>
      </c>
      <c r="B1191" s="1" t="s">
        <v>17608</v>
      </c>
      <c r="F1191" s="90">
        <v>45715.30664351852</v>
      </c>
      <c r="G1191" s="90">
        <v>45715.325902777775</v>
      </c>
      <c r="H1191" s="1" t="s">
        <v>16476</v>
      </c>
    </row>
    <row r="1192">
      <c r="A1192" s="89">
        <v>1628.0</v>
      </c>
      <c r="B1192" s="1" t="s">
        <v>14442</v>
      </c>
      <c r="F1192" s="90">
        <v>45715.31201388889</v>
      </c>
      <c r="G1192" s="90">
        <v>45715.3240625</v>
      </c>
      <c r="H1192" s="1" t="s">
        <v>16476</v>
      </c>
    </row>
    <row r="1193">
      <c r="A1193" s="89">
        <v>1625.0</v>
      </c>
      <c r="B1193" s="1" t="s">
        <v>17609</v>
      </c>
      <c r="F1193" s="90">
        <v>45715.31056712963</v>
      </c>
      <c r="G1193" s="90">
        <v>45715.319027777776</v>
      </c>
      <c r="H1193" s="1" t="s">
        <v>16476</v>
      </c>
    </row>
    <row r="1194">
      <c r="A1194" s="89">
        <v>1629.0</v>
      </c>
      <c r="B1194" s="1" t="s">
        <v>2142</v>
      </c>
      <c r="F1194" s="90">
        <v>45715.313159722224</v>
      </c>
      <c r="G1194" s="90">
        <v>45715.31358796296</v>
      </c>
      <c r="H1194" s="1" t="s">
        <v>16476</v>
      </c>
    </row>
    <row r="1195">
      <c r="A1195" s="89">
        <v>1626.0</v>
      </c>
      <c r="B1195" s="1" t="s">
        <v>5933</v>
      </c>
      <c r="F1195" s="90">
        <v>45715.311898148146</v>
      </c>
      <c r="G1195" s="90">
        <v>45715.31260416667</v>
      </c>
      <c r="H1195" s="1" t="s">
        <v>16476</v>
      </c>
    </row>
    <row r="1196">
      <c r="A1196" s="89">
        <v>1617.0</v>
      </c>
      <c r="B1196" s="1" t="s">
        <v>17610</v>
      </c>
      <c r="F1196" s="90">
        <v>45712.766805555555</v>
      </c>
      <c r="G1196" s="90">
        <v>45714.87399305555</v>
      </c>
      <c r="H1196" s="1" t="s">
        <v>16476</v>
      </c>
    </row>
    <row r="1197">
      <c r="A1197" s="89">
        <v>1620.0</v>
      </c>
      <c r="B1197" s="1" t="s">
        <v>17611</v>
      </c>
      <c r="F1197" s="90">
        <v>45714.75894675926</v>
      </c>
      <c r="G1197" s="90">
        <v>45714.76694444445</v>
      </c>
      <c r="H1197" s="1" t="s">
        <v>16476</v>
      </c>
    </row>
    <row r="1198">
      <c r="A1198" s="89">
        <v>1619.0</v>
      </c>
      <c r="B1198" s="1" t="s">
        <v>17612</v>
      </c>
      <c r="F1198" s="90">
        <v>45713.588483796295</v>
      </c>
      <c r="G1198" s="90">
        <v>45713.59930555556</v>
      </c>
      <c r="H1198" s="1" t="s">
        <v>16476</v>
      </c>
    </row>
    <row r="1199">
      <c r="A1199" s="89">
        <v>1618.0</v>
      </c>
      <c r="B1199" s="1" t="s">
        <v>17613</v>
      </c>
      <c r="F1199" s="90">
        <v>45712.82146990741</v>
      </c>
      <c r="G1199" s="90">
        <v>45712.82340277778</v>
      </c>
      <c r="H1199" s="1" t="s">
        <v>16476</v>
      </c>
    </row>
    <row r="1200">
      <c r="A1200" s="89">
        <v>1609.0</v>
      </c>
      <c r="B1200" s="1" t="s">
        <v>17614</v>
      </c>
      <c r="F1200" s="90">
        <v>45692.58886574074</v>
      </c>
      <c r="G1200" s="90">
        <v>45710.57596064815</v>
      </c>
      <c r="H1200" s="1" t="s">
        <v>16476</v>
      </c>
    </row>
    <row r="1201">
      <c r="A1201" s="89">
        <v>1607.0</v>
      </c>
      <c r="B1201" s="1" t="s">
        <v>2177</v>
      </c>
      <c r="F1201" s="90">
        <v>45692.58909722222</v>
      </c>
      <c r="G1201" s="90">
        <v>45708.448067129626</v>
      </c>
      <c r="H1201" s="1" t="s">
        <v>16476</v>
      </c>
    </row>
    <row r="1202">
      <c r="A1202" s="89">
        <v>1616.0</v>
      </c>
      <c r="B1202" s="1" t="s">
        <v>17615</v>
      </c>
      <c r="F1202" s="90">
        <v>45693.56146990741</v>
      </c>
      <c r="G1202" s="90">
        <v>45700.63195601852</v>
      </c>
      <c r="H1202" s="1" t="s">
        <v>16476</v>
      </c>
    </row>
    <row r="1203">
      <c r="A1203" s="89">
        <v>1610.0</v>
      </c>
      <c r="B1203" s="1" t="s">
        <v>9094</v>
      </c>
      <c r="F1203" s="90">
        <v>45692.588900462964</v>
      </c>
      <c r="G1203" s="90">
        <v>45699.594618055555</v>
      </c>
      <c r="H1203" s="1" t="s">
        <v>16476</v>
      </c>
    </row>
    <row r="1204">
      <c r="A1204" s="89">
        <v>1604.0</v>
      </c>
      <c r="B1204" s="1" t="s">
        <v>13202</v>
      </c>
      <c r="F1204" s="90">
        <v>45692.58849537037</v>
      </c>
      <c r="G1204" s="90">
        <v>45699.59081018518</v>
      </c>
      <c r="H1204" s="1" t="s">
        <v>16476</v>
      </c>
    </row>
    <row r="1205">
      <c r="A1205" s="89">
        <v>1603.0</v>
      </c>
      <c r="B1205" s="1" t="s">
        <v>17616</v>
      </c>
      <c r="F1205" s="90">
        <v>45692.58641203704</v>
      </c>
      <c r="G1205" s="90">
        <v>45699.580775462964</v>
      </c>
      <c r="H1205" s="1" t="s">
        <v>16476</v>
      </c>
    </row>
    <row r="1206">
      <c r="A1206" s="89">
        <v>1606.0</v>
      </c>
      <c r="B1206" s="1" t="s">
        <v>17617</v>
      </c>
      <c r="F1206" s="90">
        <v>45692.58850694444</v>
      </c>
      <c r="G1206" s="90">
        <v>45697.801828703705</v>
      </c>
      <c r="H1206" s="1" t="s">
        <v>16476</v>
      </c>
    </row>
    <row r="1207">
      <c r="A1207" s="89">
        <v>1615.0</v>
      </c>
      <c r="B1207" s="1" t="s">
        <v>9342</v>
      </c>
      <c r="F1207" s="90">
        <v>45693.64630787037</v>
      </c>
      <c r="G1207" s="90">
        <v>45694.777407407404</v>
      </c>
      <c r="H1207" s="1" t="s">
        <v>16476</v>
      </c>
    </row>
    <row r="1208">
      <c r="A1208" s="89">
        <v>1614.0</v>
      </c>
      <c r="B1208" s="1" t="s">
        <v>17532</v>
      </c>
      <c r="F1208" s="90">
        <v>45693.627847222226</v>
      </c>
      <c r="G1208" s="90">
        <v>45693.62883101852</v>
      </c>
      <c r="H1208" s="1" t="s">
        <v>16476</v>
      </c>
    </row>
    <row r="1209">
      <c r="A1209" s="89">
        <v>1613.0</v>
      </c>
      <c r="B1209" s="1" t="s">
        <v>9342</v>
      </c>
      <c r="F1209" s="90">
        <v>45693.61775462963</v>
      </c>
      <c r="G1209" s="90">
        <v>45693.62162037037</v>
      </c>
      <c r="H1209" s="1" t="s">
        <v>16476</v>
      </c>
    </row>
    <row r="1210">
      <c r="A1210" s="89">
        <v>1612.0</v>
      </c>
      <c r="B1210" s="1" t="s">
        <v>17615</v>
      </c>
      <c r="F1210" s="90">
        <v>45693.562581018516</v>
      </c>
      <c r="G1210" s="90">
        <v>45693.563043981485</v>
      </c>
      <c r="H1210" s="1" t="s">
        <v>16476</v>
      </c>
    </row>
    <row r="1211">
      <c r="A1211" s="89">
        <v>1611.0</v>
      </c>
      <c r="B1211" s="1" t="s">
        <v>9342</v>
      </c>
      <c r="F1211" s="90">
        <v>45692.590844907405</v>
      </c>
      <c r="G1211" s="90">
        <v>45692.59165509259</v>
      </c>
      <c r="H1211" s="1" t="s">
        <v>16476</v>
      </c>
    </row>
    <row r="1212">
      <c r="A1212" s="89">
        <v>1605.0</v>
      </c>
      <c r="B1212" s="1" t="s">
        <v>17618</v>
      </c>
      <c r="F1212" s="90">
        <v>45692.58909722222</v>
      </c>
      <c r="G1212" s="90">
        <v>45692.58980324074</v>
      </c>
      <c r="H1212" s="1" t="s">
        <v>16476</v>
      </c>
    </row>
    <row r="1213">
      <c r="A1213" s="89">
        <v>1602.0</v>
      </c>
      <c r="B1213" s="1" t="s">
        <v>6479</v>
      </c>
      <c r="F1213" s="90">
        <v>45680.654594907406</v>
      </c>
      <c r="G1213" s="90">
        <v>45680.65560185185</v>
      </c>
      <c r="H1213" s="1" t="s">
        <v>16476</v>
      </c>
    </row>
    <row r="1214">
      <c r="A1214" s="89">
        <v>1601.0</v>
      </c>
      <c r="B1214" s="1" t="s">
        <v>17619</v>
      </c>
      <c r="F1214" s="90">
        <v>45680.623148148145</v>
      </c>
      <c r="G1214" s="90">
        <v>45680.624560185184</v>
      </c>
      <c r="H1214" s="1" t="s">
        <v>16476</v>
      </c>
    </row>
    <row r="1215">
      <c r="A1215" s="89">
        <v>1600.0</v>
      </c>
      <c r="B1215" s="1" t="s">
        <v>13620</v>
      </c>
      <c r="F1215" s="90">
        <v>45680.619618055556</v>
      </c>
      <c r="G1215" s="90">
        <v>45680.62055555556</v>
      </c>
      <c r="H1215" s="1" t="s">
        <v>16476</v>
      </c>
    </row>
    <row r="1216">
      <c r="A1216" s="89">
        <v>1567.0</v>
      </c>
      <c r="B1216" s="1" t="s">
        <v>6865</v>
      </c>
      <c r="F1216" s="90">
        <v>45631.495787037034</v>
      </c>
      <c r="G1216" s="90">
        <v>45676.55181712963</v>
      </c>
      <c r="H1216" s="1" t="s">
        <v>16476</v>
      </c>
    </row>
    <row r="1217">
      <c r="A1217" s="89">
        <v>1558.0</v>
      </c>
      <c r="B1217" s="1" t="s">
        <v>1788</v>
      </c>
      <c r="F1217" s="90">
        <v>45631.49454861111</v>
      </c>
      <c r="G1217" s="90">
        <v>45675.9212962963</v>
      </c>
      <c r="H1217" s="1" t="s">
        <v>16476</v>
      </c>
    </row>
    <row r="1218">
      <c r="A1218" s="89">
        <v>1564.0</v>
      </c>
      <c r="B1218" s="1" t="s">
        <v>17620</v>
      </c>
      <c r="F1218" s="90">
        <v>45631.49612268519</v>
      </c>
      <c r="G1218" s="90">
        <v>45675.91962962963</v>
      </c>
      <c r="H1218" s="1" t="s">
        <v>16476</v>
      </c>
    </row>
    <row r="1219">
      <c r="A1219" s="89">
        <v>1563.0</v>
      </c>
      <c r="B1219" s="1" t="s">
        <v>17621</v>
      </c>
      <c r="F1219" s="90">
        <v>45631.49528935185</v>
      </c>
      <c r="G1219" s="90">
        <v>45675.9131712963</v>
      </c>
      <c r="H1219" s="1" t="s">
        <v>16476</v>
      </c>
    </row>
    <row r="1220">
      <c r="A1220" s="89">
        <v>1556.0</v>
      </c>
      <c r="B1220" s="1" t="s">
        <v>17622</v>
      </c>
      <c r="F1220" s="90">
        <v>45628.56633101852</v>
      </c>
      <c r="G1220" s="90">
        <v>45673.48849537037</v>
      </c>
      <c r="H1220" s="1" t="s">
        <v>16476</v>
      </c>
    </row>
    <row r="1221">
      <c r="A1221" s="89">
        <v>1570.0</v>
      </c>
      <c r="B1221" s="1" t="s">
        <v>17623</v>
      </c>
      <c r="F1221" s="90">
        <v>45632.392164351855</v>
      </c>
      <c r="G1221" s="90">
        <v>45673.482569444444</v>
      </c>
      <c r="H1221" s="1" t="s">
        <v>16476</v>
      </c>
    </row>
    <row r="1222">
      <c r="A1222" s="89">
        <v>1337.0</v>
      </c>
      <c r="B1222" s="1" t="s">
        <v>17624</v>
      </c>
      <c r="F1222" s="90">
        <v>45245.39628472222</v>
      </c>
      <c r="G1222" s="90">
        <v>45670.982083333336</v>
      </c>
      <c r="H1222" s="1" t="s">
        <v>16476</v>
      </c>
    </row>
    <row r="1223">
      <c r="A1223" s="89">
        <v>1599.0</v>
      </c>
      <c r="B1223" s="1" t="s">
        <v>17625</v>
      </c>
      <c r="E1223" s="1" t="s">
        <v>16485</v>
      </c>
      <c r="F1223" s="90">
        <v>45245.39627314815</v>
      </c>
      <c r="G1223" s="90">
        <v>45670.97756944445</v>
      </c>
      <c r="H1223" s="1" t="s">
        <v>16476</v>
      </c>
    </row>
    <row r="1224">
      <c r="A1224" s="89">
        <v>1340.0</v>
      </c>
      <c r="B1224" s="1" t="s">
        <v>17626</v>
      </c>
      <c r="F1224" s="90">
        <v>45245.39670138889</v>
      </c>
      <c r="G1224" s="90">
        <v>45670.971296296295</v>
      </c>
      <c r="H1224" s="1" t="s">
        <v>16476</v>
      </c>
    </row>
    <row r="1225">
      <c r="A1225" s="89">
        <v>1598.0</v>
      </c>
      <c r="B1225" s="1" t="s">
        <v>17627</v>
      </c>
      <c r="E1225" s="1" t="s">
        <v>16485</v>
      </c>
      <c r="F1225" s="90">
        <v>45670.96192129629</v>
      </c>
      <c r="G1225" s="90">
        <v>45670.96266203704</v>
      </c>
      <c r="H1225" s="1" t="s">
        <v>16476</v>
      </c>
    </row>
    <row r="1226">
      <c r="A1226" s="89">
        <v>1597.0</v>
      </c>
      <c r="B1226" s="1" t="s">
        <v>17628</v>
      </c>
      <c r="E1226" s="1" t="s">
        <v>16487</v>
      </c>
      <c r="F1226" s="90">
        <v>45670.954409722224</v>
      </c>
      <c r="G1226" s="90">
        <v>45670.9546875</v>
      </c>
      <c r="H1226" s="1" t="s">
        <v>16476</v>
      </c>
    </row>
    <row r="1227">
      <c r="A1227" s="89">
        <v>1596.0</v>
      </c>
      <c r="B1227" s="1" t="s">
        <v>17629</v>
      </c>
      <c r="E1227" s="1" t="s">
        <v>16487</v>
      </c>
      <c r="F1227" s="90">
        <v>45670.93004629629</v>
      </c>
      <c r="G1227" s="90">
        <v>45670.93004629629</v>
      </c>
      <c r="H1227" s="1" t="s">
        <v>16476</v>
      </c>
    </row>
    <row r="1228">
      <c r="A1228" s="89">
        <v>1542.0</v>
      </c>
      <c r="B1228" s="1" t="s">
        <v>11953</v>
      </c>
      <c r="F1228" s="90">
        <v>45615.50987268519</v>
      </c>
      <c r="G1228" s="90">
        <v>45670.51513888889</v>
      </c>
      <c r="H1228" s="1" t="s">
        <v>16476</v>
      </c>
    </row>
    <row r="1229">
      <c r="A1229" s="89">
        <v>1588.0</v>
      </c>
      <c r="B1229" s="1" t="s">
        <v>8096</v>
      </c>
      <c r="F1229" s="90">
        <v>45637.55289351852</v>
      </c>
      <c r="G1229" s="90">
        <v>45667.530335648145</v>
      </c>
      <c r="H1229" s="1" t="s">
        <v>16476</v>
      </c>
    </row>
    <row r="1230">
      <c r="A1230" s="89">
        <v>1544.0</v>
      </c>
      <c r="B1230" s="1" t="s">
        <v>6733</v>
      </c>
      <c r="F1230" s="90">
        <v>45615.50815972222</v>
      </c>
      <c r="G1230" s="90">
        <v>45667.51479166667</v>
      </c>
      <c r="H1230" s="1" t="s">
        <v>16476</v>
      </c>
    </row>
    <row r="1231">
      <c r="A1231" s="89">
        <v>1538.0</v>
      </c>
      <c r="B1231" s="1" t="s">
        <v>17630</v>
      </c>
      <c r="F1231" s="90">
        <v>45615.50953703704</v>
      </c>
      <c r="G1231" s="90">
        <v>45665.55842592593</v>
      </c>
      <c r="H1231" s="1" t="s">
        <v>16476</v>
      </c>
    </row>
    <row r="1232">
      <c r="A1232" s="89">
        <v>1548.0</v>
      </c>
      <c r="B1232" s="1" t="s">
        <v>5531</v>
      </c>
      <c r="F1232" s="90">
        <v>45615.511296296296</v>
      </c>
      <c r="G1232" s="90">
        <v>45665.55731481482</v>
      </c>
      <c r="H1232" s="1" t="s">
        <v>16476</v>
      </c>
    </row>
    <row r="1233">
      <c r="A1233" s="89">
        <v>1552.0</v>
      </c>
      <c r="B1233" s="1" t="s">
        <v>9451</v>
      </c>
      <c r="F1233" s="90">
        <v>45615.5131712963</v>
      </c>
      <c r="G1233" s="90">
        <v>45665.554074074076</v>
      </c>
      <c r="H1233" s="1" t="s">
        <v>16476</v>
      </c>
    </row>
    <row r="1234">
      <c r="A1234" s="89">
        <v>1549.0</v>
      </c>
      <c r="B1234" s="1" t="s">
        <v>2545</v>
      </c>
      <c r="F1234" s="90">
        <v>45615.50991898148</v>
      </c>
      <c r="G1234" s="90">
        <v>45665.554074074076</v>
      </c>
      <c r="H1234" s="1" t="s">
        <v>16476</v>
      </c>
    </row>
    <row r="1235">
      <c r="A1235" s="89">
        <v>1594.0</v>
      </c>
      <c r="B1235" s="1" t="s">
        <v>17631</v>
      </c>
      <c r="E1235" s="1" t="s">
        <v>16487</v>
      </c>
      <c r="F1235" s="90">
        <v>45662.58261574074</v>
      </c>
      <c r="G1235" s="90">
        <v>45662.58288194444</v>
      </c>
      <c r="H1235" s="1" t="s">
        <v>16476</v>
      </c>
    </row>
    <row r="1236">
      <c r="A1236" s="89">
        <v>1593.0</v>
      </c>
      <c r="B1236" s="1" t="s">
        <v>17632</v>
      </c>
      <c r="E1236" s="1" t="s">
        <v>16487</v>
      </c>
      <c r="F1236" s="90">
        <v>45661.83560185185</v>
      </c>
      <c r="G1236" s="90">
        <v>45661.83608796296</v>
      </c>
      <c r="H1236" s="1" t="s">
        <v>16476</v>
      </c>
    </row>
    <row r="1237">
      <c r="A1237" s="89">
        <v>1590.0</v>
      </c>
      <c r="B1237" s="1" t="s">
        <v>17633</v>
      </c>
      <c r="F1237" s="90">
        <v>45631.49553240741</v>
      </c>
      <c r="G1237" s="90">
        <v>45646.400625</v>
      </c>
      <c r="H1237" s="1" t="s">
        <v>16476</v>
      </c>
    </row>
    <row r="1238">
      <c r="A1238" s="89">
        <v>1592.0</v>
      </c>
      <c r="B1238" s="1" t="s">
        <v>6206</v>
      </c>
      <c r="F1238" s="90">
        <v>45645.383784722224</v>
      </c>
      <c r="G1238" s="90">
        <v>45646.38119212963</v>
      </c>
      <c r="H1238" s="1" t="s">
        <v>16476</v>
      </c>
    </row>
    <row r="1239">
      <c r="A1239" s="89">
        <v>1560.0</v>
      </c>
      <c r="B1239" s="1" t="s">
        <v>17634</v>
      </c>
      <c r="F1239" s="90">
        <v>45631.494942129626</v>
      </c>
      <c r="G1239" s="90">
        <v>45645.49459490741</v>
      </c>
      <c r="H1239" s="1" t="s">
        <v>16476</v>
      </c>
    </row>
    <row r="1240">
      <c r="A1240" s="89">
        <v>1562.0</v>
      </c>
      <c r="B1240" s="1" t="s">
        <v>17635</v>
      </c>
      <c r="F1240" s="90">
        <v>45631.4946412037</v>
      </c>
      <c r="G1240" s="90">
        <v>45645.49037037037</v>
      </c>
      <c r="H1240" s="1" t="s">
        <v>16476</v>
      </c>
    </row>
    <row r="1241">
      <c r="A1241" s="89">
        <v>1557.0</v>
      </c>
      <c r="B1241" s="1" t="s">
        <v>9749</v>
      </c>
      <c r="F1241" s="90">
        <v>45631.4933912037</v>
      </c>
      <c r="G1241" s="90">
        <v>45645.48322916667</v>
      </c>
      <c r="H1241" s="1" t="s">
        <v>16476</v>
      </c>
    </row>
    <row r="1242">
      <c r="A1242" s="89">
        <v>1572.0</v>
      </c>
      <c r="B1242" s="1" t="s">
        <v>9783</v>
      </c>
      <c r="F1242" s="90">
        <v>45631.49459490741</v>
      </c>
      <c r="G1242" s="90">
        <v>45645.480405092596</v>
      </c>
      <c r="H1242" s="1" t="s">
        <v>16476</v>
      </c>
    </row>
    <row r="1243">
      <c r="A1243" s="89">
        <v>1589.0</v>
      </c>
      <c r="B1243" s="1" t="s">
        <v>14487</v>
      </c>
      <c r="F1243" s="90">
        <v>45638.48585648148</v>
      </c>
      <c r="G1243" s="90">
        <v>45645.40929398148</v>
      </c>
      <c r="H1243" s="1" t="s">
        <v>16476</v>
      </c>
    </row>
    <row r="1244">
      <c r="A1244" s="89">
        <v>1565.0</v>
      </c>
      <c r="B1244" s="1" t="s">
        <v>17636</v>
      </c>
      <c r="F1244" s="90">
        <v>45631.49590277778</v>
      </c>
      <c r="G1244" s="90">
        <v>45645.400509259256</v>
      </c>
      <c r="H1244" s="1" t="s">
        <v>16476</v>
      </c>
    </row>
    <row r="1245">
      <c r="A1245" s="89">
        <v>1566.0</v>
      </c>
      <c r="B1245" s="1" t="s">
        <v>6697</v>
      </c>
      <c r="F1245" s="90">
        <v>45631.495358796295</v>
      </c>
      <c r="G1245" s="90">
        <v>45645.39953703704</v>
      </c>
      <c r="H1245" s="1" t="s">
        <v>16476</v>
      </c>
    </row>
    <row r="1246">
      <c r="A1246" s="89">
        <v>1569.0</v>
      </c>
      <c r="B1246" s="1" t="s">
        <v>17637</v>
      </c>
      <c r="F1246" s="90">
        <v>45632.39202546296</v>
      </c>
      <c r="G1246" s="90">
        <v>45645.39724537037</v>
      </c>
      <c r="H1246" s="1" t="s">
        <v>16476</v>
      </c>
    </row>
    <row r="1247">
      <c r="A1247" s="89">
        <v>1559.0</v>
      </c>
      <c r="B1247" s="1" t="s">
        <v>17638</v>
      </c>
      <c r="F1247" s="90">
        <v>45631.49453703704</v>
      </c>
      <c r="G1247" s="90">
        <v>45645.395324074074</v>
      </c>
      <c r="H1247" s="1" t="s">
        <v>16476</v>
      </c>
    </row>
    <row r="1248">
      <c r="A1248" s="89">
        <v>1571.0</v>
      </c>
      <c r="B1248" s="1" t="s">
        <v>17639</v>
      </c>
      <c r="F1248" s="90">
        <v>45632.392592592594</v>
      </c>
      <c r="G1248" s="90">
        <v>45645.383564814816</v>
      </c>
      <c r="H1248" s="1" t="s">
        <v>16476</v>
      </c>
    </row>
    <row r="1249">
      <c r="A1249" s="89">
        <v>1591.0</v>
      </c>
      <c r="B1249" s="1" t="s">
        <v>17640</v>
      </c>
      <c r="F1249" s="90">
        <v>45639.66005787037</v>
      </c>
      <c r="G1249" s="90">
        <v>45639.66061342593</v>
      </c>
      <c r="H1249" s="1" t="s">
        <v>16476</v>
      </c>
    </row>
    <row r="1250">
      <c r="A1250" s="89">
        <v>1568.0</v>
      </c>
      <c r="B1250" s="1" t="s">
        <v>17641</v>
      </c>
      <c r="F1250" s="90">
        <v>45631.49513888889</v>
      </c>
      <c r="G1250" s="90">
        <v>45638.581875</v>
      </c>
      <c r="H1250" s="1" t="s">
        <v>16476</v>
      </c>
    </row>
    <row r="1251">
      <c r="A1251" s="89">
        <v>1535.0</v>
      </c>
      <c r="B1251" s="1" t="s">
        <v>12005</v>
      </c>
      <c r="F1251" s="90">
        <v>45615.50947916666</v>
      </c>
      <c r="G1251" s="90">
        <v>45637.55902777778</v>
      </c>
      <c r="H1251" s="1" t="s">
        <v>16476</v>
      </c>
    </row>
    <row r="1252">
      <c r="A1252" s="89">
        <v>1536.0</v>
      </c>
      <c r="B1252" s="1" t="s">
        <v>4968</v>
      </c>
      <c r="F1252" s="90">
        <v>45615.509467592594</v>
      </c>
      <c r="G1252" s="90">
        <v>45637.55820601852</v>
      </c>
      <c r="H1252" s="1" t="s">
        <v>16476</v>
      </c>
    </row>
    <row r="1253">
      <c r="A1253" s="89">
        <v>1551.0</v>
      </c>
      <c r="B1253" s="1" t="s">
        <v>791</v>
      </c>
      <c r="F1253" s="90">
        <v>45615.51016203704</v>
      </c>
      <c r="G1253" s="90">
        <v>45637.556921296295</v>
      </c>
      <c r="H1253" s="1" t="s">
        <v>16476</v>
      </c>
    </row>
    <row r="1254">
      <c r="A1254" s="89">
        <v>1534.0</v>
      </c>
      <c r="B1254" s="1" t="s">
        <v>11141</v>
      </c>
      <c r="F1254" s="90">
        <v>45615.50892361111</v>
      </c>
      <c r="G1254" s="90">
        <v>45637.555810185186</v>
      </c>
      <c r="H1254" s="1" t="s">
        <v>16476</v>
      </c>
    </row>
    <row r="1255">
      <c r="A1255" s="89">
        <v>1587.0</v>
      </c>
      <c r="B1255" s="1" t="s">
        <v>3440</v>
      </c>
      <c r="F1255" s="90">
        <v>45637.55300925926</v>
      </c>
      <c r="G1255" s="90">
        <v>45637.55383101852</v>
      </c>
      <c r="H1255" s="1" t="s">
        <v>16476</v>
      </c>
    </row>
    <row r="1256">
      <c r="A1256" s="89">
        <v>1539.0</v>
      </c>
      <c r="B1256" s="1" t="s">
        <v>11155</v>
      </c>
      <c r="F1256" s="90">
        <v>45615.510416666664</v>
      </c>
      <c r="G1256" s="90">
        <v>45637.55297453704</v>
      </c>
      <c r="H1256" s="1" t="s">
        <v>16476</v>
      </c>
    </row>
    <row r="1257">
      <c r="A1257" s="89">
        <v>1533.0</v>
      </c>
      <c r="B1257" s="1" t="s">
        <v>17642</v>
      </c>
      <c r="F1257" s="90">
        <v>45615.50863425926</v>
      </c>
      <c r="G1257" s="90">
        <v>45637.549675925926</v>
      </c>
      <c r="H1257" s="1" t="s">
        <v>16476</v>
      </c>
    </row>
    <row r="1258">
      <c r="A1258" s="89">
        <v>1586.0</v>
      </c>
      <c r="B1258" s="1" t="s">
        <v>17643</v>
      </c>
      <c r="F1258" s="90">
        <v>45637.521828703706</v>
      </c>
      <c r="G1258" s="90">
        <v>45637.52851851852</v>
      </c>
      <c r="H1258" s="1" t="s">
        <v>16476</v>
      </c>
    </row>
    <row r="1259">
      <c r="A1259" s="89">
        <v>1581.0</v>
      </c>
      <c r="B1259" s="1" t="s">
        <v>10450</v>
      </c>
      <c r="F1259" s="90">
        <v>45632.52291666667</v>
      </c>
      <c r="G1259" s="90">
        <v>45637.52774305556</v>
      </c>
      <c r="H1259" s="1" t="s">
        <v>16476</v>
      </c>
    </row>
    <row r="1260">
      <c r="A1260" s="89">
        <v>1574.0</v>
      </c>
      <c r="B1260" s="1" t="s">
        <v>4117</v>
      </c>
      <c r="F1260" s="90">
        <v>45632.50634259259</v>
      </c>
      <c r="G1260" s="90">
        <v>45637.52658564815</v>
      </c>
      <c r="H1260" s="1" t="s">
        <v>16476</v>
      </c>
    </row>
    <row r="1261">
      <c r="A1261" s="89">
        <v>1584.0</v>
      </c>
      <c r="B1261" s="1" t="s">
        <v>17644</v>
      </c>
      <c r="F1261" s="90">
        <v>45632.52177083334</v>
      </c>
      <c r="G1261" s="90">
        <v>45637.52652777778</v>
      </c>
      <c r="H1261" s="1" t="s">
        <v>16476</v>
      </c>
    </row>
    <row r="1262">
      <c r="A1262" s="89">
        <v>1448.0</v>
      </c>
      <c r="B1262" s="1" t="s">
        <v>17645</v>
      </c>
      <c r="F1262" s="90">
        <v>45448.517164351855</v>
      </c>
      <c r="G1262" s="90">
        <v>45637.50890046296</v>
      </c>
      <c r="H1262" s="1" t="s">
        <v>16476</v>
      </c>
    </row>
    <row r="1263">
      <c r="A1263" s="89">
        <v>1451.0</v>
      </c>
      <c r="B1263" s="1" t="s">
        <v>1788</v>
      </c>
      <c r="F1263" s="90">
        <v>45461.623344907406</v>
      </c>
      <c r="G1263" s="90">
        <v>45636.49248842592</v>
      </c>
      <c r="H1263" s="1" t="s">
        <v>16476</v>
      </c>
    </row>
    <row r="1264">
      <c r="A1264" s="89">
        <v>1585.0</v>
      </c>
      <c r="B1264" s="1" t="s">
        <v>17646</v>
      </c>
      <c r="F1264" s="90">
        <v>45635.734189814815</v>
      </c>
      <c r="G1264" s="90">
        <v>45635.734826388885</v>
      </c>
      <c r="H1264" s="1" t="s">
        <v>16476</v>
      </c>
    </row>
    <row r="1265">
      <c r="A1265" s="89">
        <v>1573.0</v>
      </c>
      <c r="B1265" s="1" t="s">
        <v>17647</v>
      </c>
      <c r="F1265" s="90">
        <v>45632.46503472222</v>
      </c>
      <c r="G1265" s="90">
        <v>45632.53128472222</v>
      </c>
      <c r="H1265" s="1" t="s">
        <v>16476</v>
      </c>
    </row>
    <row r="1266">
      <c r="A1266" s="89">
        <v>1576.0</v>
      </c>
      <c r="B1266" s="1" t="s">
        <v>17648</v>
      </c>
      <c r="F1266" s="90">
        <v>45632.505590277775</v>
      </c>
      <c r="G1266" s="90">
        <v>45632.529398148145</v>
      </c>
      <c r="H1266" s="1" t="s">
        <v>16476</v>
      </c>
    </row>
    <row r="1267">
      <c r="A1267" s="89">
        <v>1583.0</v>
      </c>
      <c r="B1267" s="1" t="s">
        <v>15949</v>
      </c>
      <c r="F1267" s="90">
        <v>45632.52287037037</v>
      </c>
      <c r="G1267" s="90">
        <v>45632.52543981482</v>
      </c>
      <c r="H1267" s="1" t="s">
        <v>16476</v>
      </c>
    </row>
    <row r="1268">
      <c r="A1268" s="89">
        <v>1582.0</v>
      </c>
      <c r="B1268" s="1" t="s">
        <v>17649</v>
      </c>
      <c r="F1268" s="90">
        <v>45632.52337962963</v>
      </c>
      <c r="G1268" s="90">
        <v>45632.52496527778</v>
      </c>
      <c r="H1268" s="1" t="s">
        <v>16476</v>
      </c>
    </row>
    <row r="1269">
      <c r="A1269" s="89">
        <v>1580.0</v>
      </c>
      <c r="B1269" s="1" t="s">
        <v>17650</v>
      </c>
      <c r="F1269" s="90">
        <v>45632.509571759256</v>
      </c>
      <c r="G1269" s="90">
        <v>45632.513645833336</v>
      </c>
      <c r="H1269" s="1" t="s">
        <v>16476</v>
      </c>
    </row>
    <row r="1270">
      <c r="A1270" s="89">
        <v>1578.0</v>
      </c>
      <c r="B1270" s="1" t="s">
        <v>17651</v>
      </c>
      <c r="F1270" s="90">
        <v>45632.50880787037</v>
      </c>
      <c r="G1270" s="90">
        <v>45632.51042824074</v>
      </c>
      <c r="H1270" s="1" t="s">
        <v>16476</v>
      </c>
    </row>
    <row r="1271">
      <c r="A1271" s="89">
        <v>1577.0</v>
      </c>
      <c r="B1271" s="1" t="s">
        <v>14969</v>
      </c>
      <c r="F1271" s="90">
        <v>45632.50646990741</v>
      </c>
      <c r="G1271" s="90">
        <v>45632.50921296296</v>
      </c>
      <c r="H1271" s="1" t="s">
        <v>16476</v>
      </c>
    </row>
    <row r="1272">
      <c r="A1272" s="89">
        <v>1575.0</v>
      </c>
      <c r="B1272" s="1" t="s">
        <v>17652</v>
      </c>
      <c r="F1272" s="90">
        <v>45632.50561342593</v>
      </c>
      <c r="G1272" s="90">
        <v>45632.50792824074</v>
      </c>
      <c r="H1272" s="1" t="s">
        <v>16476</v>
      </c>
    </row>
    <row r="1273">
      <c r="A1273" s="89">
        <v>1561.0</v>
      </c>
      <c r="B1273" s="1" t="s">
        <v>17653</v>
      </c>
      <c r="F1273" s="90">
        <v>45631.4946412037</v>
      </c>
      <c r="G1273" s="90">
        <v>45631.496342592596</v>
      </c>
      <c r="H1273" s="1" t="s">
        <v>16476</v>
      </c>
    </row>
    <row r="1274">
      <c r="A1274" s="1">
        <v>36.0</v>
      </c>
      <c r="B1274" s="1" t="s">
        <v>9833</v>
      </c>
      <c r="E1274" s="1" t="s">
        <v>17136</v>
      </c>
      <c r="F1274" s="90">
        <v>45113.54100694445</v>
      </c>
      <c r="G1274" s="90">
        <v>45630.7162962963</v>
      </c>
      <c r="H1274" s="1" t="s">
        <v>16476</v>
      </c>
    </row>
    <row r="1275">
      <c r="A1275" s="89">
        <v>1553.0</v>
      </c>
      <c r="B1275" s="1" t="s">
        <v>17654</v>
      </c>
      <c r="F1275" s="90">
        <v>45615.510879629626</v>
      </c>
      <c r="G1275" s="90">
        <v>45630.56061342593</v>
      </c>
      <c r="H1275" s="1" t="s">
        <v>16476</v>
      </c>
    </row>
    <row r="1276">
      <c r="A1276" s="89">
        <v>1540.0</v>
      </c>
      <c r="B1276" s="1" t="s">
        <v>17655</v>
      </c>
      <c r="F1276" s="90">
        <v>45615.50974537037</v>
      </c>
      <c r="G1276" s="90">
        <v>45630.559745370374</v>
      </c>
      <c r="H1276" s="1" t="s">
        <v>16476</v>
      </c>
    </row>
    <row r="1277">
      <c r="A1277" s="89">
        <v>1546.0</v>
      </c>
      <c r="B1277" s="1" t="s">
        <v>6478</v>
      </c>
      <c r="F1277" s="90">
        <v>45615.510659722226</v>
      </c>
      <c r="G1277" s="90">
        <v>45630.558657407404</v>
      </c>
      <c r="H1277" s="1" t="s">
        <v>16476</v>
      </c>
    </row>
    <row r="1278">
      <c r="A1278" s="1">
        <v>825.0</v>
      </c>
      <c r="B1278" s="1" t="s">
        <v>17656</v>
      </c>
      <c r="E1278" s="1" t="s">
        <v>5202</v>
      </c>
      <c r="F1278" s="90">
        <v>45113.55267361111</v>
      </c>
      <c r="G1278" s="90">
        <v>45620.933958333335</v>
      </c>
      <c r="H1278" s="1" t="s">
        <v>16476</v>
      </c>
    </row>
    <row r="1279">
      <c r="A1279" s="89">
        <v>1029.0</v>
      </c>
      <c r="B1279" s="1" t="s">
        <v>17657</v>
      </c>
      <c r="E1279" s="1" t="s">
        <v>5202</v>
      </c>
      <c r="F1279" s="90">
        <v>45113.555659722224</v>
      </c>
      <c r="G1279" s="90">
        <v>45620.93234953703</v>
      </c>
      <c r="H1279" s="1" t="s">
        <v>16476</v>
      </c>
    </row>
    <row r="1280">
      <c r="A1280" s="1">
        <v>499.0</v>
      </c>
      <c r="B1280" s="1" t="s">
        <v>17658</v>
      </c>
      <c r="E1280" s="1" t="s">
        <v>16475</v>
      </c>
      <c r="F1280" s="90">
        <v>45113.54788194445</v>
      </c>
      <c r="G1280" s="90">
        <v>45620.93167824074</v>
      </c>
      <c r="H1280" s="1" t="s">
        <v>16476</v>
      </c>
    </row>
    <row r="1281">
      <c r="A1281" s="1">
        <v>594.0</v>
      </c>
      <c r="B1281" s="1" t="s">
        <v>17659</v>
      </c>
      <c r="E1281" s="1" t="s">
        <v>5202</v>
      </c>
      <c r="F1281" s="90">
        <v>45113.54927083333</v>
      </c>
      <c r="G1281" s="90">
        <v>45620.93027777778</v>
      </c>
      <c r="H1281" s="1" t="s">
        <v>16476</v>
      </c>
    </row>
    <row r="1282">
      <c r="A1282" s="89">
        <v>1010.0</v>
      </c>
      <c r="B1282" s="1" t="s">
        <v>17660</v>
      </c>
      <c r="E1282" s="1" t="s">
        <v>5202</v>
      </c>
      <c r="F1282" s="90">
        <v>45113.55538194445</v>
      </c>
      <c r="G1282" s="90">
        <v>45620.92895833333</v>
      </c>
      <c r="H1282" s="1" t="s">
        <v>16476</v>
      </c>
    </row>
    <row r="1283">
      <c r="A1283" s="89">
        <v>1144.0</v>
      </c>
      <c r="B1283" s="1" t="s">
        <v>17661</v>
      </c>
      <c r="E1283" s="1" t="s">
        <v>16475</v>
      </c>
      <c r="F1283" s="90">
        <v>45113.557337962964</v>
      </c>
      <c r="G1283" s="90">
        <v>45620.926840277774</v>
      </c>
      <c r="H1283" s="1" t="s">
        <v>16476</v>
      </c>
    </row>
    <row r="1284">
      <c r="A1284" s="1">
        <v>518.0</v>
      </c>
      <c r="B1284" s="1" t="s">
        <v>11466</v>
      </c>
      <c r="E1284" s="1" t="s">
        <v>16475</v>
      </c>
      <c r="F1284" s="90">
        <v>45113.548159722224</v>
      </c>
      <c r="G1284" s="90">
        <v>45620.92395833333</v>
      </c>
      <c r="H1284" s="1" t="s">
        <v>16476</v>
      </c>
    </row>
    <row r="1285">
      <c r="A1285" s="1">
        <v>348.0</v>
      </c>
      <c r="B1285" s="1" t="s">
        <v>17662</v>
      </c>
      <c r="E1285" s="1" t="s">
        <v>5202</v>
      </c>
      <c r="F1285" s="90">
        <v>45113.545648148145</v>
      </c>
      <c r="G1285" s="90">
        <v>45620.921875</v>
      </c>
      <c r="H1285" s="1" t="s">
        <v>16476</v>
      </c>
    </row>
    <row r="1286">
      <c r="A1286" s="1">
        <v>781.0</v>
      </c>
      <c r="B1286" s="1" t="s">
        <v>17663</v>
      </c>
      <c r="E1286" s="1" t="s">
        <v>5202</v>
      </c>
      <c r="F1286" s="90">
        <v>45113.552037037036</v>
      </c>
      <c r="G1286" s="90">
        <v>45620.92034722222</v>
      </c>
      <c r="H1286" s="1" t="s">
        <v>16476</v>
      </c>
    </row>
    <row r="1287">
      <c r="A1287" s="1">
        <v>572.0</v>
      </c>
      <c r="B1287" s="1" t="s">
        <v>17664</v>
      </c>
      <c r="E1287" s="1" t="s">
        <v>5202</v>
      </c>
      <c r="F1287" s="90">
        <v>45113.548946759256</v>
      </c>
      <c r="G1287" s="90">
        <v>45620.91894675926</v>
      </c>
      <c r="H1287" s="1" t="s">
        <v>16476</v>
      </c>
    </row>
    <row r="1288">
      <c r="A1288" s="1">
        <v>429.0</v>
      </c>
      <c r="B1288" s="1" t="s">
        <v>17665</v>
      </c>
      <c r="E1288" s="1" t="s">
        <v>5202</v>
      </c>
      <c r="F1288" s="90">
        <v>45113.54686342592</v>
      </c>
      <c r="G1288" s="90">
        <v>45619.75770833333</v>
      </c>
      <c r="H1288" s="1" t="s">
        <v>16476</v>
      </c>
    </row>
    <row r="1289">
      <c r="A1289" s="89">
        <v>1197.0</v>
      </c>
      <c r="B1289" s="1" t="s">
        <v>17666</v>
      </c>
      <c r="E1289" s="1" t="s">
        <v>16475</v>
      </c>
      <c r="F1289" s="90">
        <v>45113.558125</v>
      </c>
      <c r="G1289" s="90">
        <v>45619.756898148145</v>
      </c>
      <c r="H1289" s="1" t="s">
        <v>16476</v>
      </c>
    </row>
    <row r="1290">
      <c r="A1290" s="1">
        <v>134.0</v>
      </c>
      <c r="B1290" s="1" t="s">
        <v>17667</v>
      </c>
      <c r="E1290" s="1" t="s">
        <v>16475</v>
      </c>
      <c r="F1290" s="90">
        <v>45113.54243055556</v>
      </c>
      <c r="G1290" s="90">
        <v>45619.75502314815</v>
      </c>
      <c r="H1290" s="1" t="s">
        <v>16476</v>
      </c>
    </row>
    <row r="1291">
      <c r="A1291" s="1">
        <v>472.0</v>
      </c>
      <c r="B1291" s="1" t="s">
        <v>17668</v>
      </c>
      <c r="E1291" s="1" t="s">
        <v>5202</v>
      </c>
      <c r="F1291" s="90">
        <v>45113.547488425924</v>
      </c>
      <c r="G1291" s="90">
        <v>45619.75344907407</v>
      </c>
      <c r="H1291" s="1" t="s">
        <v>16476</v>
      </c>
    </row>
    <row r="1292">
      <c r="A1292" s="1">
        <v>15.0</v>
      </c>
      <c r="B1292" s="1" t="s">
        <v>17669</v>
      </c>
      <c r="E1292" s="1" t="s">
        <v>16475</v>
      </c>
      <c r="F1292" s="90">
        <v>45113.54069444445</v>
      </c>
      <c r="G1292" s="90">
        <v>45619.752800925926</v>
      </c>
      <c r="H1292" s="1" t="s">
        <v>16476</v>
      </c>
    </row>
    <row r="1293">
      <c r="A1293" s="89">
        <v>1088.0</v>
      </c>
      <c r="B1293" s="1" t="s">
        <v>17670</v>
      </c>
      <c r="E1293" s="1" t="s">
        <v>5202</v>
      </c>
      <c r="F1293" s="90">
        <v>45113.5565162037</v>
      </c>
      <c r="G1293" s="90">
        <v>45619.75178240741</v>
      </c>
      <c r="H1293" s="1" t="s">
        <v>16476</v>
      </c>
    </row>
    <row r="1294">
      <c r="A1294" s="1">
        <v>305.0</v>
      </c>
      <c r="B1294" s="1" t="s">
        <v>17671</v>
      </c>
      <c r="E1294" s="1" t="s">
        <v>16475</v>
      </c>
      <c r="F1294" s="90">
        <v>45113.545023148145</v>
      </c>
      <c r="G1294" s="90">
        <v>45619.75104166667</v>
      </c>
      <c r="H1294" s="1" t="s">
        <v>16476</v>
      </c>
    </row>
    <row r="1295">
      <c r="A1295" s="1">
        <v>600.0</v>
      </c>
      <c r="B1295" s="1" t="s">
        <v>17672</v>
      </c>
      <c r="E1295" s="1" t="s">
        <v>16475</v>
      </c>
      <c r="F1295" s="90">
        <v>45113.549363425926</v>
      </c>
      <c r="G1295" s="90">
        <v>45619.750081018516</v>
      </c>
      <c r="H1295" s="1" t="s">
        <v>16476</v>
      </c>
    </row>
    <row r="1296">
      <c r="A1296" s="1">
        <v>168.0</v>
      </c>
      <c r="B1296" s="1" t="s">
        <v>17673</v>
      </c>
      <c r="E1296" s="1" t="s">
        <v>16475</v>
      </c>
      <c r="F1296" s="90">
        <v>45113.54293981481</v>
      </c>
      <c r="G1296" s="90">
        <v>45619.727476851855</v>
      </c>
      <c r="H1296" s="1" t="s">
        <v>16476</v>
      </c>
    </row>
    <row r="1297">
      <c r="A1297" s="1">
        <v>16.0</v>
      </c>
      <c r="B1297" s="1" t="s">
        <v>17674</v>
      </c>
      <c r="E1297" s="1" t="s">
        <v>16475</v>
      </c>
      <c r="F1297" s="90">
        <v>45113.54070601852</v>
      </c>
      <c r="G1297" s="90">
        <v>45619.72635416667</v>
      </c>
      <c r="H1297" s="1" t="s">
        <v>16476</v>
      </c>
    </row>
    <row r="1298">
      <c r="A1298" s="1">
        <v>633.0</v>
      </c>
      <c r="B1298" s="1" t="s">
        <v>17675</v>
      </c>
      <c r="E1298" s="1" t="s">
        <v>5202</v>
      </c>
      <c r="F1298" s="90">
        <v>45113.54986111111</v>
      </c>
      <c r="G1298" s="90">
        <v>45619.72515046296</v>
      </c>
      <c r="H1298" s="1" t="s">
        <v>16476</v>
      </c>
    </row>
    <row r="1299">
      <c r="A1299" s="1">
        <v>198.0</v>
      </c>
      <c r="B1299" s="1" t="s">
        <v>17676</v>
      </c>
      <c r="E1299" s="1" t="s">
        <v>16475</v>
      </c>
      <c r="F1299" s="90">
        <v>45113.54337962963</v>
      </c>
      <c r="G1299" s="90">
        <v>45619.72342592593</v>
      </c>
      <c r="H1299" s="1" t="s">
        <v>16476</v>
      </c>
    </row>
    <row r="1300">
      <c r="A1300" s="1">
        <v>873.0</v>
      </c>
      <c r="B1300" s="1" t="s">
        <v>17677</v>
      </c>
      <c r="E1300" s="1" t="s">
        <v>16475</v>
      </c>
      <c r="F1300" s="90">
        <v>45113.55337962963</v>
      </c>
      <c r="G1300" s="90">
        <v>45619.71959490741</v>
      </c>
      <c r="H1300" s="1" t="s">
        <v>16476</v>
      </c>
    </row>
    <row r="1301">
      <c r="A1301" s="1">
        <v>289.0</v>
      </c>
      <c r="B1301" s="1" t="s">
        <v>17678</v>
      </c>
      <c r="E1301" s="1" t="s">
        <v>16475</v>
      </c>
      <c r="F1301" s="90">
        <v>45113.54479166667</v>
      </c>
      <c r="G1301" s="90">
        <v>45619.71849537037</v>
      </c>
      <c r="H1301" s="1" t="s">
        <v>16476</v>
      </c>
    </row>
    <row r="1302">
      <c r="A1302" s="1">
        <v>500.0</v>
      </c>
      <c r="B1302" s="1" t="s">
        <v>17679</v>
      </c>
      <c r="E1302" s="1" t="s">
        <v>16475</v>
      </c>
      <c r="F1302" s="90">
        <v>45113.54789351852</v>
      </c>
      <c r="G1302" s="90">
        <v>45619.71771990741</v>
      </c>
      <c r="H1302" s="1" t="s">
        <v>16476</v>
      </c>
    </row>
    <row r="1303">
      <c r="A1303" s="1">
        <v>117.0</v>
      </c>
      <c r="B1303" s="1" t="s">
        <v>17680</v>
      </c>
      <c r="E1303" s="1" t="s">
        <v>5202</v>
      </c>
      <c r="F1303" s="90">
        <v>45113.5421875</v>
      </c>
      <c r="G1303" s="90">
        <v>45619.716898148145</v>
      </c>
      <c r="H1303" s="1" t="s">
        <v>16476</v>
      </c>
    </row>
    <row r="1304">
      <c r="A1304" s="1">
        <v>912.0</v>
      </c>
      <c r="B1304" s="1" t="s">
        <v>17681</v>
      </c>
      <c r="E1304" s="1" t="s">
        <v>16475</v>
      </c>
      <c r="F1304" s="90">
        <v>45113.55394675926</v>
      </c>
      <c r="G1304" s="90">
        <v>45619.713796296295</v>
      </c>
      <c r="H1304" s="1" t="s">
        <v>16476</v>
      </c>
    </row>
    <row r="1305">
      <c r="A1305" s="89">
        <v>1264.0</v>
      </c>
      <c r="B1305" s="1" t="s">
        <v>17682</v>
      </c>
      <c r="E1305" s="1" t="s">
        <v>16475</v>
      </c>
      <c r="F1305" s="90">
        <v>45113.55909722222</v>
      </c>
      <c r="G1305" s="90">
        <v>45619.712847222225</v>
      </c>
      <c r="H1305" s="1" t="s">
        <v>16476</v>
      </c>
    </row>
    <row r="1306">
      <c r="A1306" s="1">
        <v>354.0</v>
      </c>
      <c r="B1306" s="1" t="s">
        <v>17683</v>
      </c>
      <c r="E1306" s="1" t="s">
        <v>16475</v>
      </c>
      <c r="F1306" s="90">
        <v>45113.54574074074</v>
      </c>
      <c r="G1306" s="90">
        <v>45619.71188657408</v>
      </c>
      <c r="H1306" s="1" t="s">
        <v>16476</v>
      </c>
    </row>
    <row r="1307">
      <c r="A1307" s="89">
        <v>1249.0</v>
      </c>
      <c r="B1307" s="1" t="s">
        <v>17684</v>
      </c>
      <c r="E1307" s="1" t="s">
        <v>5202</v>
      </c>
      <c r="F1307" s="90">
        <v>45113.55887731481</v>
      </c>
      <c r="G1307" s="90">
        <v>45619.710856481484</v>
      </c>
      <c r="H1307" s="1" t="s">
        <v>16476</v>
      </c>
    </row>
    <row r="1308">
      <c r="A1308" s="1">
        <v>582.0</v>
      </c>
      <c r="B1308" s="1" t="s">
        <v>17685</v>
      </c>
      <c r="E1308" s="1" t="s">
        <v>16475</v>
      </c>
      <c r="F1308" s="90">
        <v>45113.549097222225</v>
      </c>
      <c r="G1308" s="90">
        <v>45619.70984953704</v>
      </c>
      <c r="H1308" s="1" t="s">
        <v>16476</v>
      </c>
    </row>
    <row r="1309">
      <c r="A1309" s="1">
        <v>17.0</v>
      </c>
      <c r="B1309" s="1" t="s">
        <v>17686</v>
      </c>
      <c r="E1309" s="1" t="s">
        <v>16475</v>
      </c>
      <c r="F1309" s="90">
        <v>45113.540717592594</v>
      </c>
      <c r="G1309" s="90">
        <v>45619.70768518518</v>
      </c>
      <c r="H1309" s="1" t="s">
        <v>16476</v>
      </c>
    </row>
    <row r="1310">
      <c r="A1310" s="89">
        <v>1187.0</v>
      </c>
      <c r="B1310" s="1" t="s">
        <v>17687</v>
      </c>
      <c r="E1310" s="1" t="s">
        <v>5202</v>
      </c>
      <c r="F1310" s="90">
        <v>45113.55798611111</v>
      </c>
      <c r="G1310" s="90">
        <v>45619.70715277778</v>
      </c>
      <c r="H1310" s="1" t="s">
        <v>16476</v>
      </c>
    </row>
    <row r="1311">
      <c r="A1311" s="1">
        <v>904.0</v>
      </c>
      <c r="B1311" s="1" t="s">
        <v>17688</v>
      </c>
      <c r="E1311" s="1" t="s">
        <v>16475</v>
      </c>
      <c r="F1311" s="90">
        <v>45113.55383101852</v>
      </c>
      <c r="G1311" s="90">
        <v>45619.706400462965</v>
      </c>
      <c r="H1311" s="1" t="s">
        <v>16476</v>
      </c>
    </row>
    <row r="1312">
      <c r="A1312" s="1">
        <v>977.0</v>
      </c>
      <c r="B1312" s="1" t="s">
        <v>46</v>
      </c>
      <c r="E1312" s="1" t="s">
        <v>16475</v>
      </c>
      <c r="F1312" s="90">
        <v>45113.55489583333</v>
      </c>
      <c r="G1312" s="90">
        <v>45619.705196759256</v>
      </c>
      <c r="H1312" s="1" t="s">
        <v>16476</v>
      </c>
    </row>
    <row r="1313">
      <c r="A1313" s="1">
        <v>272.0</v>
      </c>
      <c r="B1313" s="1" t="s">
        <v>17689</v>
      </c>
      <c r="E1313" s="1" t="s">
        <v>16475</v>
      </c>
      <c r="F1313" s="90">
        <v>45113.54450231481</v>
      </c>
      <c r="G1313" s="90">
        <v>45619.70439814815</v>
      </c>
      <c r="H1313" s="1" t="s">
        <v>16476</v>
      </c>
    </row>
    <row r="1314">
      <c r="A1314" s="1">
        <v>265.0</v>
      </c>
      <c r="B1314" s="1" t="s">
        <v>17690</v>
      </c>
      <c r="E1314" s="1" t="s">
        <v>16475</v>
      </c>
      <c r="F1314" s="90">
        <v>45113.54439814815</v>
      </c>
      <c r="G1314" s="90">
        <v>45619.70369212963</v>
      </c>
      <c r="H1314" s="1" t="s">
        <v>16476</v>
      </c>
    </row>
    <row r="1315">
      <c r="A1315" s="89">
        <v>1077.0</v>
      </c>
      <c r="B1315" s="1" t="s">
        <v>17691</v>
      </c>
      <c r="E1315" s="1" t="s">
        <v>16475</v>
      </c>
      <c r="F1315" s="90">
        <v>45113.55635416666</v>
      </c>
      <c r="G1315" s="90">
        <v>45619.67616898148</v>
      </c>
      <c r="H1315" s="1" t="s">
        <v>16476</v>
      </c>
    </row>
    <row r="1316">
      <c r="A1316" s="1">
        <v>150.0</v>
      </c>
      <c r="B1316" s="1" t="s">
        <v>17692</v>
      </c>
      <c r="E1316" s="1" t="s">
        <v>5202</v>
      </c>
      <c r="F1316" s="90">
        <v>45113.54267361111</v>
      </c>
      <c r="G1316" s="90">
        <v>45619.67386574074</v>
      </c>
      <c r="H1316" s="1" t="s">
        <v>16476</v>
      </c>
    </row>
    <row r="1317">
      <c r="A1317" s="89">
        <v>1092.0</v>
      </c>
      <c r="B1317" s="1" t="s">
        <v>17693</v>
      </c>
      <c r="E1317" s="1" t="s">
        <v>16475</v>
      </c>
      <c r="F1317" s="90">
        <v>45113.55657407407</v>
      </c>
      <c r="G1317" s="90">
        <v>45619.67288194445</v>
      </c>
      <c r="H1317" s="1" t="s">
        <v>16476</v>
      </c>
    </row>
    <row r="1318">
      <c r="A1318" s="1">
        <v>770.0</v>
      </c>
      <c r="B1318" s="1" t="s">
        <v>17694</v>
      </c>
      <c r="E1318" s="1" t="s">
        <v>16475</v>
      </c>
      <c r="F1318" s="90">
        <v>45113.551875</v>
      </c>
      <c r="G1318" s="90">
        <v>45619.671898148146</v>
      </c>
      <c r="H1318" s="1" t="s">
        <v>16476</v>
      </c>
    </row>
    <row r="1319">
      <c r="A1319" s="1">
        <v>849.0</v>
      </c>
      <c r="B1319" s="1" t="s">
        <v>17695</v>
      </c>
      <c r="E1319" s="1" t="s">
        <v>16475</v>
      </c>
      <c r="F1319" s="90">
        <v>45113.553032407406</v>
      </c>
      <c r="G1319" s="90">
        <v>45619.67037037037</v>
      </c>
      <c r="H1319" s="1" t="s">
        <v>16476</v>
      </c>
    </row>
    <row r="1320">
      <c r="A1320" s="89">
        <v>1213.0</v>
      </c>
      <c r="B1320" s="1" t="s">
        <v>17696</v>
      </c>
      <c r="E1320" s="1" t="s">
        <v>16475</v>
      </c>
      <c r="F1320" s="90">
        <v>45113.55835648148</v>
      </c>
      <c r="G1320" s="90">
        <v>45619.669340277775</v>
      </c>
      <c r="H1320" s="1" t="s">
        <v>16476</v>
      </c>
    </row>
    <row r="1321">
      <c r="A1321" s="89">
        <v>1056.0</v>
      </c>
      <c r="B1321" s="1" t="s">
        <v>17697</v>
      </c>
      <c r="E1321" s="1" t="s">
        <v>16475</v>
      </c>
      <c r="F1321" s="90">
        <v>45113.55605324074</v>
      </c>
      <c r="G1321" s="90">
        <v>45619.66840277778</v>
      </c>
      <c r="H1321" s="1" t="s">
        <v>16476</v>
      </c>
    </row>
    <row r="1322">
      <c r="A1322" s="89">
        <v>1217.0</v>
      </c>
      <c r="B1322" s="1" t="s">
        <v>17698</v>
      </c>
      <c r="E1322" s="1" t="s">
        <v>16475</v>
      </c>
      <c r="F1322" s="90">
        <v>45113.55841435185</v>
      </c>
      <c r="G1322" s="90">
        <v>45619.66755787037</v>
      </c>
      <c r="H1322" s="1" t="s">
        <v>16476</v>
      </c>
    </row>
    <row r="1323">
      <c r="A1323" s="1">
        <v>205.0</v>
      </c>
      <c r="B1323" s="1" t="s">
        <v>17699</v>
      </c>
      <c r="E1323" s="1" t="s">
        <v>16475</v>
      </c>
      <c r="F1323" s="90">
        <v>45113.5434837963</v>
      </c>
      <c r="G1323" s="90">
        <v>45619.66614583333</v>
      </c>
      <c r="H1323" s="1" t="s">
        <v>16476</v>
      </c>
    </row>
    <row r="1324">
      <c r="A1324" s="1">
        <v>888.0</v>
      </c>
      <c r="B1324" s="1" t="s">
        <v>17700</v>
      </c>
      <c r="E1324" s="1" t="s">
        <v>16475</v>
      </c>
      <c r="F1324" s="90">
        <v>45113.55359953704</v>
      </c>
      <c r="G1324" s="90">
        <v>45619.66547453704</v>
      </c>
      <c r="H1324" s="1" t="s">
        <v>16476</v>
      </c>
    </row>
    <row r="1325">
      <c r="A1325" s="1">
        <v>827.0</v>
      </c>
      <c r="B1325" s="1" t="s">
        <v>17701</v>
      </c>
      <c r="E1325" s="1" t="s">
        <v>16475</v>
      </c>
      <c r="F1325" s="90">
        <v>45113.552708333336</v>
      </c>
      <c r="G1325" s="90">
        <v>45619.664722222224</v>
      </c>
      <c r="H1325" s="1" t="s">
        <v>16476</v>
      </c>
    </row>
    <row r="1326">
      <c r="A1326" s="1">
        <v>158.0</v>
      </c>
      <c r="B1326" s="1" t="s">
        <v>17702</v>
      </c>
      <c r="E1326" s="1" t="s">
        <v>5202</v>
      </c>
      <c r="F1326" s="90">
        <v>45113.54278935185</v>
      </c>
      <c r="G1326" s="90">
        <v>45619.663935185185</v>
      </c>
      <c r="H1326" s="1" t="s">
        <v>16476</v>
      </c>
    </row>
    <row r="1327">
      <c r="A1327" s="89">
        <v>1050.0</v>
      </c>
      <c r="B1327" s="1" t="s">
        <v>1729</v>
      </c>
      <c r="E1327" s="1" t="s">
        <v>16475</v>
      </c>
      <c r="F1327" s="90">
        <v>45113.55596064815</v>
      </c>
      <c r="G1327" s="90">
        <v>45619.66332175926</v>
      </c>
      <c r="H1327" s="1" t="s">
        <v>16476</v>
      </c>
    </row>
    <row r="1328">
      <c r="A1328" s="89">
        <v>1195.0</v>
      </c>
      <c r="B1328" s="1" t="s">
        <v>17703</v>
      </c>
      <c r="E1328" s="1" t="s">
        <v>5202</v>
      </c>
      <c r="F1328" s="90">
        <v>45113.55809027778</v>
      </c>
      <c r="G1328" s="90">
        <v>45619.66244212963</v>
      </c>
      <c r="H1328" s="1" t="s">
        <v>16476</v>
      </c>
    </row>
    <row r="1329">
      <c r="A1329" s="1">
        <v>671.0</v>
      </c>
      <c r="B1329" s="1" t="s">
        <v>17704</v>
      </c>
      <c r="E1329" s="1" t="s">
        <v>5202</v>
      </c>
      <c r="F1329" s="90">
        <v>45113.550416666665</v>
      </c>
      <c r="G1329" s="90">
        <v>45619.66138888889</v>
      </c>
      <c r="H1329" s="1" t="s">
        <v>16476</v>
      </c>
    </row>
    <row r="1330">
      <c r="A1330" s="1">
        <v>257.0</v>
      </c>
      <c r="B1330" s="1" t="s">
        <v>17705</v>
      </c>
      <c r="E1330" s="1" t="s">
        <v>5202</v>
      </c>
      <c r="F1330" s="90">
        <v>45113.544282407405</v>
      </c>
      <c r="G1330" s="90">
        <v>45619.6609375</v>
      </c>
      <c r="H1330" s="1" t="s">
        <v>16476</v>
      </c>
    </row>
    <row r="1331">
      <c r="A1331" s="1">
        <v>375.0</v>
      </c>
      <c r="B1331" s="1" t="s">
        <v>17706</v>
      </c>
      <c r="E1331" s="1" t="s">
        <v>5202</v>
      </c>
      <c r="F1331" s="90">
        <v>45113.54605324074</v>
      </c>
      <c r="G1331" s="90">
        <v>45619.65436342593</v>
      </c>
      <c r="H1331" s="1" t="s">
        <v>16476</v>
      </c>
    </row>
    <row r="1332">
      <c r="A1332" s="1">
        <v>595.0</v>
      </c>
      <c r="B1332" s="1" t="s">
        <v>17707</v>
      </c>
      <c r="E1332" s="1" t="s">
        <v>16475</v>
      </c>
      <c r="F1332" s="90">
        <v>45113.54928240741</v>
      </c>
      <c r="G1332" s="90">
        <v>45619.652592592596</v>
      </c>
      <c r="H1332" s="1" t="s">
        <v>16476</v>
      </c>
    </row>
    <row r="1333">
      <c r="A1333" s="1">
        <v>757.0</v>
      </c>
      <c r="B1333" s="1" t="s">
        <v>17708</v>
      </c>
      <c r="E1333" s="1" t="s">
        <v>5202</v>
      </c>
      <c r="F1333" s="90">
        <v>45113.55168981481</v>
      </c>
      <c r="G1333" s="90">
        <v>45619.651979166665</v>
      </c>
      <c r="H1333" s="1" t="s">
        <v>16476</v>
      </c>
    </row>
    <row r="1334">
      <c r="A1334" s="1">
        <v>970.0</v>
      </c>
      <c r="B1334" s="1" t="s">
        <v>17709</v>
      </c>
      <c r="E1334" s="1" t="s">
        <v>5202</v>
      </c>
      <c r="F1334" s="90">
        <v>45113.55479166667</v>
      </c>
      <c r="G1334" s="90">
        <v>45619.65137731482</v>
      </c>
      <c r="H1334" s="1" t="s">
        <v>16476</v>
      </c>
    </row>
    <row r="1335">
      <c r="A1335" s="1">
        <v>687.0</v>
      </c>
      <c r="B1335" s="1" t="s">
        <v>17710</v>
      </c>
      <c r="E1335" s="1" t="s">
        <v>5202</v>
      </c>
      <c r="F1335" s="90">
        <v>45113.550671296296</v>
      </c>
      <c r="G1335" s="90">
        <v>45619.65090277778</v>
      </c>
      <c r="H1335" s="1" t="s">
        <v>16476</v>
      </c>
    </row>
    <row r="1336">
      <c r="A1336" s="1">
        <v>164.0</v>
      </c>
      <c r="B1336" s="1" t="s">
        <v>17711</v>
      </c>
      <c r="E1336" s="1" t="s">
        <v>5202</v>
      </c>
      <c r="F1336" s="90">
        <v>45113.54288194444</v>
      </c>
      <c r="G1336" s="90">
        <v>45619.650416666664</v>
      </c>
      <c r="H1336" s="1" t="s">
        <v>16476</v>
      </c>
    </row>
    <row r="1337">
      <c r="A1337" s="1">
        <v>301.0</v>
      </c>
      <c r="B1337" s="1" t="s">
        <v>17712</v>
      </c>
      <c r="E1337" s="1" t="s">
        <v>5202</v>
      </c>
      <c r="F1337" s="90">
        <v>45113.544965277775</v>
      </c>
      <c r="G1337" s="90">
        <v>45619.64934027778</v>
      </c>
      <c r="H1337" s="1" t="s">
        <v>16476</v>
      </c>
    </row>
    <row r="1338">
      <c r="A1338" s="1">
        <v>437.0</v>
      </c>
      <c r="B1338" s="1" t="s">
        <v>17713</v>
      </c>
      <c r="E1338" s="1" t="s">
        <v>5202</v>
      </c>
      <c r="F1338" s="90">
        <v>45113.54697916667</v>
      </c>
      <c r="G1338" s="90">
        <v>45619.64828703704</v>
      </c>
      <c r="H1338" s="1" t="s">
        <v>16476</v>
      </c>
    </row>
    <row r="1339">
      <c r="A1339" s="89">
        <v>1188.0</v>
      </c>
      <c r="B1339" s="1" t="s">
        <v>17714</v>
      </c>
      <c r="E1339" s="1" t="s">
        <v>5202</v>
      </c>
      <c r="F1339" s="90">
        <v>45113.55799768519</v>
      </c>
      <c r="G1339" s="90">
        <v>45619.64740740741</v>
      </c>
      <c r="H1339" s="1" t="s">
        <v>16476</v>
      </c>
    </row>
    <row r="1340">
      <c r="A1340" s="1">
        <v>824.0</v>
      </c>
      <c r="B1340" s="1" t="s">
        <v>17715</v>
      </c>
      <c r="E1340" s="1" t="s">
        <v>16475</v>
      </c>
      <c r="F1340" s="90">
        <v>45113.55266203704</v>
      </c>
      <c r="G1340" s="90">
        <v>45619.64650462963</v>
      </c>
      <c r="H1340" s="1" t="s">
        <v>16476</v>
      </c>
    </row>
    <row r="1341">
      <c r="A1341" s="1">
        <v>358.0</v>
      </c>
      <c r="B1341" s="1" t="s">
        <v>17716</v>
      </c>
      <c r="E1341" s="1" t="s">
        <v>5202</v>
      </c>
      <c r="F1341" s="90">
        <v>45113.545798611114</v>
      </c>
      <c r="G1341" s="90">
        <v>45619.643055555556</v>
      </c>
      <c r="H1341" s="1" t="s">
        <v>16476</v>
      </c>
    </row>
    <row r="1342">
      <c r="A1342" s="1">
        <v>772.0</v>
      </c>
      <c r="B1342" s="1" t="s">
        <v>17717</v>
      </c>
      <c r="E1342" s="1" t="s">
        <v>5202</v>
      </c>
      <c r="F1342" s="90">
        <v>45113.55190972222</v>
      </c>
      <c r="G1342" s="90">
        <v>45619.64236111111</v>
      </c>
      <c r="H1342" s="1" t="s">
        <v>16476</v>
      </c>
    </row>
    <row r="1343">
      <c r="A1343" s="1">
        <v>360.0</v>
      </c>
      <c r="B1343" s="1" t="s">
        <v>17718</v>
      </c>
      <c r="E1343" s="1" t="s">
        <v>16475</v>
      </c>
      <c r="F1343" s="90">
        <v>45113.54583333333</v>
      </c>
      <c r="G1343" s="90">
        <v>45619.641377314816</v>
      </c>
      <c r="H1343" s="1" t="s">
        <v>16476</v>
      </c>
    </row>
    <row r="1344">
      <c r="A1344" s="89">
        <v>1058.0</v>
      </c>
      <c r="B1344" s="1" t="s">
        <v>14205</v>
      </c>
      <c r="E1344" s="1" t="s">
        <v>5202</v>
      </c>
      <c r="F1344" s="90">
        <v>45113.556076388886</v>
      </c>
      <c r="G1344" s="90">
        <v>45619.64059027778</v>
      </c>
      <c r="H1344" s="1" t="s">
        <v>16476</v>
      </c>
    </row>
    <row r="1345">
      <c r="A1345" s="89">
        <v>1074.0</v>
      </c>
      <c r="B1345" s="1" t="s">
        <v>17719</v>
      </c>
      <c r="E1345" s="1" t="s">
        <v>16475</v>
      </c>
      <c r="F1345" s="90">
        <v>45113.55630787037</v>
      </c>
      <c r="G1345" s="90">
        <v>45619.63854166667</v>
      </c>
      <c r="H1345" s="1" t="s">
        <v>16476</v>
      </c>
    </row>
    <row r="1346">
      <c r="A1346" s="1">
        <v>809.0</v>
      </c>
      <c r="B1346" s="1" t="s">
        <v>17720</v>
      </c>
      <c r="E1346" s="1" t="s">
        <v>16475</v>
      </c>
      <c r="F1346" s="90">
        <v>45113.55244212963</v>
      </c>
      <c r="G1346" s="90">
        <v>45619.63636574074</v>
      </c>
      <c r="H1346" s="1" t="s">
        <v>16476</v>
      </c>
    </row>
    <row r="1347">
      <c r="A1347" s="1">
        <v>515.0</v>
      </c>
      <c r="B1347" s="1" t="s">
        <v>17721</v>
      </c>
      <c r="E1347" s="1" t="s">
        <v>16475</v>
      </c>
      <c r="F1347" s="90">
        <v>45113.548113425924</v>
      </c>
      <c r="G1347" s="90">
        <v>45619.634722222225</v>
      </c>
      <c r="H1347" s="1" t="s">
        <v>16476</v>
      </c>
    </row>
    <row r="1348">
      <c r="A1348" s="1">
        <v>430.0</v>
      </c>
      <c r="B1348" s="1" t="s">
        <v>17722</v>
      </c>
      <c r="E1348" s="1" t="s">
        <v>16475</v>
      </c>
      <c r="F1348" s="90">
        <v>45113.546875</v>
      </c>
      <c r="G1348" s="90">
        <v>45619.63277777778</v>
      </c>
      <c r="H1348" s="1" t="s">
        <v>16476</v>
      </c>
    </row>
    <row r="1349">
      <c r="A1349" s="1">
        <v>829.0</v>
      </c>
      <c r="B1349" s="1" t="s">
        <v>17723</v>
      </c>
      <c r="E1349" s="1" t="s">
        <v>5202</v>
      </c>
      <c r="F1349" s="90">
        <v>45113.55273148148</v>
      </c>
      <c r="G1349" s="90">
        <v>45619.62939814815</v>
      </c>
      <c r="H1349" s="1" t="s">
        <v>16476</v>
      </c>
    </row>
    <row r="1350">
      <c r="A1350" s="1">
        <v>154.0</v>
      </c>
      <c r="B1350" s="1" t="s">
        <v>17724</v>
      </c>
      <c r="E1350" s="1" t="s">
        <v>16475</v>
      </c>
      <c r="F1350" s="90">
        <v>45113.54273148148</v>
      </c>
      <c r="G1350" s="90">
        <v>45619.627592592595</v>
      </c>
      <c r="H1350" s="1" t="s">
        <v>16476</v>
      </c>
    </row>
    <row r="1351">
      <c r="A1351" s="1">
        <v>325.0</v>
      </c>
      <c r="B1351" s="1" t="s">
        <v>17725</v>
      </c>
      <c r="E1351" s="1" t="s">
        <v>5202</v>
      </c>
      <c r="F1351" s="90">
        <v>45113.545324074075</v>
      </c>
      <c r="G1351" s="90">
        <v>45619.62400462963</v>
      </c>
      <c r="H1351" s="1" t="s">
        <v>16476</v>
      </c>
    </row>
    <row r="1352">
      <c r="A1352" s="1">
        <v>183.0</v>
      </c>
      <c r="B1352" s="1" t="s">
        <v>17726</v>
      </c>
      <c r="E1352" s="1" t="s">
        <v>5202</v>
      </c>
      <c r="F1352" s="90">
        <v>45113.54315972222</v>
      </c>
      <c r="G1352" s="90">
        <v>45619.62157407407</v>
      </c>
      <c r="H1352" s="1" t="s">
        <v>16476</v>
      </c>
    </row>
    <row r="1353">
      <c r="A1353" s="89">
        <v>1033.0</v>
      </c>
      <c r="B1353" s="1" t="s">
        <v>17727</v>
      </c>
      <c r="E1353" s="1" t="s">
        <v>5202</v>
      </c>
      <c r="F1353" s="90">
        <v>45113.55571759259</v>
      </c>
      <c r="G1353" s="90">
        <v>45619.62018518519</v>
      </c>
      <c r="H1353" s="1" t="s">
        <v>16476</v>
      </c>
    </row>
    <row r="1354">
      <c r="A1354" s="89">
        <v>1070.0</v>
      </c>
      <c r="B1354" s="1" t="s">
        <v>17728</v>
      </c>
      <c r="E1354" s="1" t="s">
        <v>16475</v>
      </c>
      <c r="F1354" s="90">
        <v>45113.55625</v>
      </c>
      <c r="G1354" s="90">
        <v>45619.6190162037</v>
      </c>
      <c r="H1354" s="1" t="s">
        <v>16476</v>
      </c>
    </row>
    <row r="1355">
      <c r="A1355" s="1">
        <v>744.0</v>
      </c>
      <c r="B1355" s="1" t="s">
        <v>17729</v>
      </c>
      <c r="E1355" s="1" t="s">
        <v>16475</v>
      </c>
      <c r="F1355" s="90">
        <v>45113.55150462963</v>
      </c>
      <c r="G1355" s="90">
        <v>45619.61766203704</v>
      </c>
      <c r="H1355" s="1" t="s">
        <v>16476</v>
      </c>
    </row>
    <row r="1356">
      <c r="A1356" s="1">
        <v>920.0</v>
      </c>
      <c r="B1356" s="1" t="s">
        <v>17730</v>
      </c>
      <c r="E1356" s="1" t="s">
        <v>16475</v>
      </c>
      <c r="F1356" s="90">
        <v>45113.5540625</v>
      </c>
      <c r="G1356" s="90">
        <v>45619.61672453704</v>
      </c>
      <c r="H1356" s="1" t="s">
        <v>16476</v>
      </c>
    </row>
    <row r="1357">
      <c r="A1357" s="1">
        <v>295.0</v>
      </c>
      <c r="B1357" s="1" t="s">
        <v>17731</v>
      </c>
      <c r="E1357" s="1" t="s">
        <v>16475</v>
      </c>
      <c r="F1357" s="90">
        <v>45113.54487268518</v>
      </c>
      <c r="G1357" s="90">
        <v>45619.61482638889</v>
      </c>
      <c r="H1357" s="1" t="s">
        <v>16476</v>
      </c>
    </row>
    <row r="1358">
      <c r="A1358" s="1">
        <v>389.0</v>
      </c>
      <c r="B1358" s="1" t="s">
        <v>611</v>
      </c>
      <c r="E1358" s="1" t="s">
        <v>16475</v>
      </c>
      <c r="F1358" s="90">
        <v>45113.546273148146</v>
      </c>
      <c r="G1358" s="90">
        <v>45619.57876157408</v>
      </c>
      <c r="H1358" s="1" t="s">
        <v>16476</v>
      </c>
    </row>
    <row r="1359">
      <c r="A1359" s="89">
        <v>1513.0</v>
      </c>
      <c r="B1359" s="1" t="s">
        <v>17732</v>
      </c>
      <c r="E1359" s="1" t="s">
        <v>16487</v>
      </c>
      <c r="F1359" s="90">
        <v>45585.0122337963</v>
      </c>
      <c r="G1359" s="90">
        <v>45619.55719907407</v>
      </c>
      <c r="H1359" s="1" t="s">
        <v>16476</v>
      </c>
    </row>
    <row r="1360">
      <c r="A1360" s="89">
        <v>1376.0</v>
      </c>
      <c r="B1360" s="1" t="s">
        <v>17733</v>
      </c>
      <c r="E1360" s="1" t="s">
        <v>16475</v>
      </c>
      <c r="F1360" s="90">
        <v>45300.02111111111</v>
      </c>
      <c r="G1360" s="90">
        <v>45618.47353009259</v>
      </c>
      <c r="H1360" s="1" t="s">
        <v>16476</v>
      </c>
    </row>
    <row r="1361">
      <c r="A1361" s="89">
        <v>1351.0</v>
      </c>
      <c r="B1361" s="1" t="s">
        <v>17734</v>
      </c>
      <c r="E1361" s="1" t="s">
        <v>16475</v>
      </c>
      <c r="F1361" s="90">
        <v>45278.59577546296</v>
      </c>
      <c r="G1361" s="90">
        <v>45618.47353009259</v>
      </c>
      <c r="H1361" s="1" t="s">
        <v>16476</v>
      </c>
    </row>
    <row r="1362">
      <c r="A1362" s="89">
        <v>1364.0</v>
      </c>
      <c r="B1362" s="1" t="s">
        <v>17735</v>
      </c>
      <c r="E1362" s="1" t="s">
        <v>16475</v>
      </c>
      <c r="F1362" s="90">
        <v>45299.59987268518</v>
      </c>
      <c r="G1362" s="90">
        <v>45618.47353009259</v>
      </c>
      <c r="H1362" s="1" t="s">
        <v>16476</v>
      </c>
    </row>
    <row r="1363">
      <c r="A1363" s="89">
        <v>1369.0</v>
      </c>
      <c r="B1363" s="1" t="s">
        <v>6463</v>
      </c>
      <c r="E1363" s="1" t="s">
        <v>16475</v>
      </c>
      <c r="F1363" s="90">
        <v>45301.68077546296</v>
      </c>
      <c r="G1363" s="90">
        <v>45618.47353009259</v>
      </c>
      <c r="H1363" s="1" t="s">
        <v>16476</v>
      </c>
    </row>
    <row r="1364">
      <c r="A1364" s="89">
        <v>1368.0</v>
      </c>
      <c r="B1364" s="1" t="s">
        <v>5736</v>
      </c>
      <c r="E1364" s="1" t="s">
        <v>16475</v>
      </c>
      <c r="F1364" s="90">
        <v>45301.68462962963</v>
      </c>
      <c r="G1364" s="90">
        <v>45618.47353009259</v>
      </c>
      <c r="H1364" s="1" t="s">
        <v>16476</v>
      </c>
    </row>
    <row r="1365">
      <c r="A1365" s="1">
        <v>106.0</v>
      </c>
      <c r="B1365" s="1" t="s">
        <v>17736</v>
      </c>
      <c r="E1365" s="1" t="s">
        <v>17136</v>
      </c>
      <c r="F1365" s="90">
        <v>45113.542037037034</v>
      </c>
      <c r="G1365" s="90">
        <v>45618.47353009259</v>
      </c>
      <c r="H1365" s="1" t="s">
        <v>16476</v>
      </c>
    </row>
    <row r="1366">
      <c r="A1366" s="89">
        <v>1370.0</v>
      </c>
      <c r="B1366" s="1" t="s">
        <v>17737</v>
      </c>
      <c r="E1366" s="1" t="s">
        <v>16475</v>
      </c>
      <c r="F1366" s="90">
        <v>45302.527395833335</v>
      </c>
      <c r="G1366" s="90">
        <v>45618.47353009259</v>
      </c>
      <c r="H1366" s="1" t="s">
        <v>16476</v>
      </c>
    </row>
    <row r="1367">
      <c r="A1367" s="1">
        <v>103.0</v>
      </c>
      <c r="B1367" s="1" t="s">
        <v>17738</v>
      </c>
      <c r="E1367" s="1" t="s">
        <v>16475</v>
      </c>
      <c r="F1367" s="90">
        <v>45113.54200231482</v>
      </c>
      <c r="G1367" s="90">
        <v>45618.47353009259</v>
      </c>
      <c r="H1367" s="1" t="s">
        <v>16476</v>
      </c>
    </row>
    <row r="1368">
      <c r="A1368" s="89">
        <v>1554.0</v>
      </c>
      <c r="B1368" s="1" t="s">
        <v>17739</v>
      </c>
      <c r="F1368" s="90">
        <v>45617.69565972222</v>
      </c>
      <c r="G1368" s="90">
        <v>45617.77118055556</v>
      </c>
      <c r="H1368" s="1" t="s">
        <v>16476</v>
      </c>
    </row>
    <row r="1369">
      <c r="A1369" s="89">
        <v>1550.0</v>
      </c>
      <c r="B1369" s="1" t="s">
        <v>17740</v>
      </c>
      <c r="F1369" s="90">
        <v>45615.51059027778</v>
      </c>
      <c r="G1369" s="90">
        <v>45616.55850694444</v>
      </c>
      <c r="H1369" s="1" t="s">
        <v>16476</v>
      </c>
    </row>
    <row r="1370">
      <c r="A1370" s="89">
        <v>1541.0</v>
      </c>
      <c r="B1370" s="1" t="s">
        <v>17741</v>
      </c>
      <c r="F1370" s="90">
        <v>45615.50981481482</v>
      </c>
      <c r="G1370" s="90">
        <v>45616.55688657407</v>
      </c>
      <c r="H1370" s="1" t="s">
        <v>16476</v>
      </c>
    </row>
    <row r="1371">
      <c r="A1371" s="89">
        <v>1537.0</v>
      </c>
      <c r="B1371" s="1" t="s">
        <v>17742</v>
      </c>
      <c r="F1371" s="90">
        <v>45615.50865740741</v>
      </c>
      <c r="G1371" s="90">
        <v>45616.5512962963</v>
      </c>
      <c r="H1371" s="1" t="s">
        <v>16476</v>
      </c>
    </row>
    <row r="1372">
      <c r="A1372" s="89">
        <v>1532.0</v>
      </c>
      <c r="B1372" s="1" t="s">
        <v>3100</v>
      </c>
      <c r="F1372" s="90">
        <v>45615.50863425926</v>
      </c>
      <c r="G1372" s="90">
        <v>45616.54746527778</v>
      </c>
      <c r="H1372" s="1" t="s">
        <v>16476</v>
      </c>
    </row>
    <row r="1373">
      <c r="A1373" s="89">
        <v>1547.0</v>
      </c>
      <c r="B1373" s="1" t="s">
        <v>17743</v>
      </c>
      <c r="F1373" s="90">
        <v>45615.51150462963</v>
      </c>
      <c r="G1373" s="90">
        <v>45615.513078703705</v>
      </c>
      <c r="H1373" s="1" t="s">
        <v>16476</v>
      </c>
    </row>
    <row r="1374">
      <c r="A1374" s="89">
        <v>1543.0</v>
      </c>
      <c r="B1374" s="1" t="s">
        <v>3440</v>
      </c>
      <c r="F1374" s="90">
        <v>45615.510659722226</v>
      </c>
      <c r="G1374" s="90">
        <v>45615.51221064815</v>
      </c>
      <c r="H1374" s="1" t="s">
        <v>16476</v>
      </c>
    </row>
    <row r="1375">
      <c r="A1375" s="89">
        <v>1528.0</v>
      </c>
      <c r="B1375" s="1" t="s">
        <v>17744</v>
      </c>
      <c r="F1375" s="90">
        <v>45604.50696759259</v>
      </c>
      <c r="G1375" s="90">
        <v>45604.522777777776</v>
      </c>
      <c r="H1375" s="1" t="s">
        <v>16476</v>
      </c>
    </row>
    <row r="1376">
      <c r="A1376" s="89">
        <v>1530.0</v>
      </c>
      <c r="B1376" s="1" t="s">
        <v>10450</v>
      </c>
      <c r="F1376" s="90">
        <v>45604.5144212963</v>
      </c>
      <c r="G1376" s="90">
        <v>45604.515706018516</v>
      </c>
      <c r="H1376" s="1" t="s">
        <v>16476</v>
      </c>
    </row>
    <row r="1377">
      <c r="A1377" s="89">
        <v>1529.0</v>
      </c>
      <c r="B1377" s="1" t="s">
        <v>17745</v>
      </c>
      <c r="F1377" s="90">
        <v>45604.50729166667</v>
      </c>
      <c r="G1377" s="90">
        <v>45604.508726851855</v>
      </c>
      <c r="H1377" s="1" t="s">
        <v>16476</v>
      </c>
    </row>
    <row r="1378">
      <c r="A1378" s="89">
        <v>1527.0</v>
      </c>
      <c r="B1378" s="1" t="s">
        <v>17746</v>
      </c>
      <c r="F1378" s="90">
        <v>45603.81078703704</v>
      </c>
      <c r="G1378" s="90">
        <v>45603.85894675926</v>
      </c>
      <c r="H1378" s="1" t="s">
        <v>16476</v>
      </c>
    </row>
    <row r="1379">
      <c r="A1379" s="89">
        <v>1526.0</v>
      </c>
      <c r="B1379" s="1" t="s">
        <v>6342</v>
      </c>
      <c r="F1379" s="90">
        <v>45603.79854166666</v>
      </c>
      <c r="G1379" s="90">
        <v>45603.81925925926</v>
      </c>
      <c r="H1379" s="1" t="s">
        <v>16476</v>
      </c>
    </row>
    <row r="1380">
      <c r="A1380" s="89">
        <v>1525.0</v>
      </c>
      <c r="B1380" s="1" t="s">
        <v>17747</v>
      </c>
      <c r="F1380" s="90">
        <v>45602.61954861111</v>
      </c>
      <c r="G1380" s="90">
        <v>45602.65063657407</v>
      </c>
      <c r="H1380" s="1" t="s">
        <v>16476</v>
      </c>
    </row>
    <row r="1381">
      <c r="A1381" s="89">
        <v>1524.0</v>
      </c>
      <c r="B1381" s="1" t="s">
        <v>17748</v>
      </c>
      <c r="F1381" s="90">
        <v>45600.47725694445</v>
      </c>
      <c r="G1381" s="90">
        <v>45600.484664351854</v>
      </c>
      <c r="H1381" s="1" t="s">
        <v>16476</v>
      </c>
    </row>
    <row r="1382">
      <c r="A1382" s="89">
        <v>1522.0</v>
      </c>
      <c r="B1382" s="1" t="s">
        <v>17749</v>
      </c>
      <c r="F1382" s="90">
        <v>45597.46440972222</v>
      </c>
      <c r="G1382" s="90">
        <v>45597.46505787037</v>
      </c>
      <c r="H1382" s="1" t="s">
        <v>16476</v>
      </c>
    </row>
    <row r="1383">
      <c r="A1383" s="89">
        <v>1521.0</v>
      </c>
      <c r="B1383" s="1" t="s">
        <v>17750</v>
      </c>
      <c r="F1383" s="90">
        <v>45596.5541087963</v>
      </c>
      <c r="G1383" s="90">
        <v>45596.5597337963</v>
      </c>
      <c r="H1383" s="1" t="s">
        <v>16476</v>
      </c>
    </row>
    <row r="1384">
      <c r="A1384" s="89">
        <v>1520.0</v>
      </c>
      <c r="B1384" s="1" t="s">
        <v>17751</v>
      </c>
      <c r="F1384" s="90">
        <v>45594.59984953704</v>
      </c>
      <c r="G1384" s="90">
        <v>45594.629108796296</v>
      </c>
      <c r="H1384" s="1" t="s">
        <v>16476</v>
      </c>
    </row>
    <row r="1385">
      <c r="A1385" s="89">
        <v>1519.0</v>
      </c>
      <c r="B1385" s="1" t="s">
        <v>15140</v>
      </c>
      <c r="F1385" s="90">
        <v>45589.66357638889</v>
      </c>
      <c r="G1385" s="90">
        <v>45589.68738425926</v>
      </c>
      <c r="H1385" s="1" t="s">
        <v>16476</v>
      </c>
    </row>
    <row r="1386">
      <c r="A1386" s="89">
        <v>1517.0</v>
      </c>
      <c r="B1386" s="1" t="s">
        <v>17752</v>
      </c>
      <c r="F1386" s="90">
        <v>45589.66358796296</v>
      </c>
      <c r="G1386" s="90">
        <v>45589.68653935185</v>
      </c>
      <c r="H1386" s="1" t="s">
        <v>16476</v>
      </c>
    </row>
    <row r="1387">
      <c r="A1387" s="89">
        <v>1468.0</v>
      </c>
      <c r="B1387" s="1" t="s">
        <v>5507</v>
      </c>
      <c r="F1387" s="90">
        <v>45478.66806712963</v>
      </c>
      <c r="G1387" s="90">
        <v>45589.67722222222</v>
      </c>
      <c r="H1387" s="1" t="s">
        <v>16476</v>
      </c>
    </row>
    <row r="1388">
      <c r="A1388" s="89">
        <v>1515.0</v>
      </c>
      <c r="B1388" s="1" t="s">
        <v>17753</v>
      </c>
      <c r="F1388" s="90">
        <v>45589.65986111111</v>
      </c>
      <c r="G1388" s="90">
        <v>45589.67528935185</v>
      </c>
      <c r="H1388" s="1" t="s">
        <v>16476</v>
      </c>
    </row>
    <row r="1389">
      <c r="A1389" s="89">
        <v>1518.0</v>
      </c>
      <c r="B1389" s="1" t="s">
        <v>17754</v>
      </c>
      <c r="F1389" s="90">
        <v>45589.663668981484</v>
      </c>
      <c r="G1389" s="90">
        <v>45589.67333333333</v>
      </c>
      <c r="H1389" s="1" t="s">
        <v>16476</v>
      </c>
    </row>
    <row r="1390">
      <c r="A1390" s="89">
        <v>1516.0</v>
      </c>
      <c r="B1390" s="1" t="s">
        <v>17755</v>
      </c>
      <c r="F1390" s="90">
        <v>45589.66171296296</v>
      </c>
      <c r="G1390" s="90">
        <v>45589.67260416667</v>
      </c>
      <c r="H1390" s="1" t="s">
        <v>16476</v>
      </c>
    </row>
    <row r="1391">
      <c r="A1391" s="89">
        <v>1514.0</v>
      </c>
      <c r="B1391" s="1" t="s">
        <v>17750</v>
      </c>
      <c r="F1391" s="90">
        <v>45589.55247685185</v>
      </c>
      <c r="G1391" s="90">
        <v>45589.562048611115</v>
      </c>
      <c r="H1391" s="1" t="s">
        <v>16476</v>
      </c>
    </row>
    <row r="1392">
      <c r="A1392" s="89">
        <v>1512.0</v>
      </c>
      <c r="B1392" s="1" t="s">
        <v>14708</v>
      </c>
      <c r="F1392" s="90">
        <v>45582.62598379629</v>
      </c>
      <c r="G1392" s="90">
        <v>45582.64072916667</v>
      </c>
      <c r="H1392" s="1" t="s">
        <v>16476</v>
      </c>
    </row>
    <row r="1393">
      <c r="A1393" s="89">
        <v>1511.0</v>
      </c>
      <c r="B1393" s="1" t="s">
        <v>8859</v>
      </c>
      <c r="F1393" s="90">
        <v>45580.619722222225</v>
      </c>
      <c r="G1393" s="90">
        <v>45580.62914351852</v>
      </c>
      <c r="H1393" s="1" t="s">
        <v>16476</v>
      </c>
    </row>
    <row r="1394">
      <c r="A1394" s="89">
        <v>1510.0</v>
      </c>
      <c r="B1394" s="1" t="s">
        <v>12439</v>
      </c>
      <c r="F1394" s="90">
        <v>45576.65859953704</v>
      </c>
      <c r="G1394" s="90">
        <v>45576.66537037037</v>
      </c>
      <c r="H1394" s="1" t="s">
        <v>16476</v>
      </c>
    </row>
    <row r="1395">
      <c r="A1395" s="89">
        <v>1509.0</v>
      </c>
      <c r="B1395" s="1" t="s">
        <v>6403</v>
      </c>
      <c r="F1395" s="90">
        <v>45575.66774305556</v>
      </c>
      <c r="G1395" s="90">
        <v>45575.69385416667</v>
      </c>
      <c r="H1395" s="1" t="s">
        <v>16476</v>
      </c>
    </row>
    <row r="1396">
      <c r="A1396" s="89">
        <v>1507.0</v>
      </c>
      <c r="B1396" s="1" t="s">
        <v>1593</v>
      </c>
      <c r="F1396" s="90">
        <v>45575.66636574074</v>
      </c>
      <c r="G1396" s="90">
        <v>45575.6903125</v>
      </c>
      <c r="H1396" s="1" t="s">
        <v>16476</v>
      </c>
    </row>
    <row r="1397">
      <c r="A1397" s="89">
        <v>1506.0</v>
      </c>
      <c r="B1397" s="1" t="s">
        <v>11074</v>
      </c>
      <c r="F1397" s="90">
        <v>45575.66700231482</v>
      </c>
      <c r="G1397" s="90">
        <v>45575.689259259256</v>
      </c>
      <c r="H1397" s="1" t="s">
        <v>16476</v>
      </c>
    </row>
    <row r="1398">
      <c r="A1398" s="89">
        <v>1508.0</v>
      </c>
      <c r="B1398" s="1" t="s">
        <v>15097</v>
      </c>
      <c r="F1398" s="90">
        <v>45575.666446759256</v>
      </c>
      <c r="G1398" s="90">
        <v>45575.68875</v>
      </c>
      <c r="H1398" s="1" t="s">
        <v>16476</v>
      </c>
    </row>
    <row r="1399">
      <c r="A1399" s="89">
        <v>1504.0</v>
      </c>
      <c r="B1399" s="1" t="s">
        <v>15228</v>
      </c>
      <c r="F1399" s="90">
        <v>45575.66583333333</v>
      </c>
      <c r="G1399" s="90">
        <v>45575.68258101852</v>
      </c>
      <c r="H1399" s="1" t="s">
        <v>16476</v>
      </c>
    </row>
    <row r="1400">
      <c r="A1400" s="89">
        <v>1502.0</v>
      </c>
      <c r="B1400" s="1" t="s">
        <v>5069</v>
      </c>
      <c r="F1400" s="90">
        <v>45575.663622685184</v>
      </c>
      <c r="G1400" s="90">
        <v>45575.67994212963</v>
      </c>
      <c r="H1400" s="1" t="s">
        <v>16476</v>
      </c>
    </row>
    <row r="1401">
      <c r="A1401" s="89">
        <v>1503.0</v>
      </c>
      <c r="B1401" s="1" t="s">
        <v>17756</v>
      </c>
      <c r="F1401" s="90">
        <v>45575.66508101852</v>
      </c>
      <c r="G1401" s="90">
        <v>45575.679930555554</v>
      </c>
      <c r="H1401" s="1" t="s">
        <v>16476</v>
      </c>
    </row>
    <row r="1402">
      <c r="A1402" s="89">
        <v>1505.0</v>
      </c>
      <c r="B1402" s="1" t="s">
        <v>16074</v>
      </c>
      <c r="F1402" s="90">
        <v>45575.66614583333</v>
      </c>
      <c r="G1402" s="90">
        <v>45575.66894675926</v>
      </c>
      <c r="H1402" s="1" t="s">
        <v>16476</v>
      </c>
    </row>
    <row r="1403">
      <c r="A1403" s="89">
        <v>1501.0</v>
      </c>
      <c r="B1403" s="1" t="s">
        <v>17757</v>
      </c>
      <c r="F1403" s="90">
        <v>45572.50678240741</v>
      </c>
      <c r="G1403" s="90">
        <v>45572.51133101852</v>
      </c>
      <c r="H1403" s="1" t="s">
        <v>16476</v>
      </c>
    </row>
    <row r="1404">
      <c r="A1404" s="89">
        <v>1500.0</v>
      </c>
      <c r="B1404" s="1" t="s">
        <v>17758</v>
      </c>
      <c r="F1404" s="90">
        <v>45565.398252314815</v>
      </c>
      <c r="G1404" s="90">
        <v>45565.408055555556</v>
      </c>
      <c r="H1404" s="1" t="s">
        <v>16476</v>
      </c>
    </row>
    <row r="1405">
      <c r="A1405" s="89">
        <v>1499.0</v>
      </c>
      <c r="B1405" s="1" t="s">
        <v>17759</v>
      </c>
      <c r="F1405" s="90">
        <v>45561.55268518518</v>
      </c>
      <c r="G1405" s="90">
        <v>45561.60731481481</v>
      </c>
      <c r="H1405" s="1" t="s">
        <v>16476</v>
      </c>
    </row>
    <row r="1406">
      <c r="A1406" s="89">
        <v>1497.0</v>
      </c>
      <c r="B1406" s="1" t="s">
        <v>17760</v>
      </c>
      <c r="E1406" s="1" t="s">
        <v>16487</v>
      </c>
      <c r="F1406" s="90">
        <v>45541.609131944446</v>
      </c>
      <c r="G1406" s="90">
        <v>45541.609131944446</v>
      </c>
      <c r="H1406" s="1" t="s">
        <v>16476</v>
      </c>
    </row>
    <row r="1407">
      <c r="A1407" s="89">
        <v>1496.0</v>
      </c>
      <c r="B1407" s="1" t="s">
        <v>17761</v>
      </c>
      <c r="E1407" s="1" t="s">
        <v>16487</v>
      </c>
      <c r="F1407" s="90">
        <v>45465.68130787037</v>
      </c>
      <c r="G1407" s="90">
        <v>45515.61923611111</v>
      </c>
      <c r="H1407" s="1" t="s">
        <v>16476</v>
      </c>
    </row>
    <row r="1408">
      <c r="A1408" s="89">
        <v>1480.0</v>
      </c>
      <c r="B1408" s="1" t="s">
        <v>17762</v>
      </c>
      <c r="E1408" s="1" t="s">
        <v>16485</v>
      </c>
      <c r="F1408" s="90">
        <v>45481.577361111114</v>
      </c>
      <c r="G1408" s="90">
        <v>45512.554456018515</v>
      </c>
      <c r="H1408" s="1" t="s">
        <v>16476</v>
      </c>
    </row>
    <row r="1409">
      <c r="A1409" s="89">
        <v>1482.0</v>
      </c>
      <c r="B1409" s="1" t="s">
        <v>17763</v>
      </c>
      <c r="E1409" s="1" t="s">
        <v>16485</v>
      </c>
      <c r="F1409" s="90">
        <v>45481.58636574074</v>
      </c>
      <c r="G1409" s="90">
        <v>45512.54996527778</v>
      </c>
      <c r="H1409" s="1" t="s">
        <v>16476</v>
      </c>
    </row>
    <row r="1410">
      <c r="A1410" s="89">
        <v>1483.0</v>
      </c>
      <c r="B1410" s="1" t="s">
        <v>17764</v>
      </c>
      <c r="E1410" s="1" t="s">
        <v>16485</v>
      </c>
      <c r="F1410" s="90">
        <v>45483.637824074074</v>
      </c>
      <c r="G1410" s="90">
        <v>45512.548634259256</v>
      </c>
      <c r="H1410" s="1" t="s">
        <v>16476</v>
      </c>
    </row>
    <row r="1411">
      <c r="A1411" s="89">
        <v>1477.0</v>
      </c>
      <c r="B1411" s="1" t="s">
        <v>17765</v>
      </c>
      <c r="E1411" s="1" t="s">
        <v>16485</v>
      </c>
      <c r="F1411" s="90">
        <v>45481.558645833335</v>
      </c>
      <c r="G1411" s="90">
        <v>45512.543703703705</v>
      </c>
      <c r="H1411" s="1" t="s">
        <v>16476</v>
      </c>
    </row>
    <row r="1412">
      <c r="A1412" s="89">
        <v>1476.0</v>
      </c>
      <c r="B1412" s="1" t="s">
        <v>6342</v>
      </c>
      <c r="E1412" s="1" t="s">
        <v>16485</v>
      </c>
      <c r="F1412" s="90">
        <v>45481.550983796296</v>
      </c>
      <c r="G1412" s="90">
        <v>45512.53013888889</v>
      </c>
      <c r="H1412" s="1" t="s">
        <v>16476</v>
      </c>
    </row>
    <row r="1413">
      <c r="A1413" s="89">
        <v>1479.0</v>
      </c>
      <c r="B1413" s="1" t="s">
        <v>17766</v>
      </c>
      <c r="E1413" s="1" t="s">
        <v>16485</v>
      </c>
      <c r="F1413" s="90">
        <v>45481.56875</v>
      </c>
      <c r="G1413" s="90">
        <v>45506.68568287037</v>
      </c>
      <c r="H1413" s="1" t="s">
        <v>16476</v>
      </c>
    </row>
    <row r="1414">
      <c r="A1414" s="89">
        <v>1485.0</v>
      </c>
      <c r="B1414" s="1" t="s">
        <v>17767</v>
      </c>
      <c r="E1414" s="1" t="s">
        <v>16485</v>
      </c>
      <c r="F1414" s="90">
        <v>45484.61820601852</v>
      </c>
      <c r="G1414" s="90">
        <v>45506.68472222222</v>
      </c>
      <c r="H1414" s="1" t="s">
        <v>16476</v>
      </c>
    </row>
    <row r="1415">
      <c r="A1415" s="89">
        <v>1466.0</v>
      </c>
      <c r="B1415" s="1" t="s">
        <v>6316</v>
      </c>
      <c r="E1415" s="1" t="s">
        <v>16485</v>
      </c>
      <c r="F1415" s="90">
        <v>45478.64575231481</v>
      </c>
      <c r="G1415" s="90">
        <v>45506.66059027778</v>
      </c>
      <c r="H1415" s="1" t="s">
        <v>16476</v>
      </c>
    </row>
    <row r="1416">
      <c r="A1416" s="89">
        <v>1475.0</v>
      </c>
      <c r="B1416" s="1" t="s">
        <v>17768</v>
      </c>
      <c r="E1416" s="1" t="s">
        <v>16485</v>
      </c>
      <c r="F1416" s="90">
        <v>45481.51721064815</v>
      </c>
      <c r="G1416" s="90">
        <v>45506.64738425926</v>
      </c>
      <c r="H1416" s="1" t="s">
        <v>16476</v>
      </c>
    </row>
    <row r="1417">
      <c r="A1417" s="89">
        <v>1471.0</v>
      </c>
      <c r="B1417" s="1" t="s">
        <v>17769</v>
      </c>
      <c r="E1417" s="1" t="s">
        <v>16485</v>
      </c>
      <c r="F1417" s="90">
        <v>45481.50351851852</v>
      </c>
      <c r="G1417" s="90">
        <v>45506.6427662037</v>
      </c>
      <c r="H1417" s="1" t="s">
        <v>16476</v>
      </c>
    </row>
    <row r="1418">
      <c r="A1418" s="89">
        <v>1486.0</v>
      </c>
      <c r="B1418" s="1" t="s">
        <v>17770</v>
      </c>
      <c r="F1418" s="90">
        <v>45484.62501157408</v>
      </c>
      <c r="G1418" s="90">
        <v>45506.64127314815</v>
      </c>
      <c r="H1418" s="1" t="s">
        <v>16476</v>
      </c>
    </row>
    <row r="1419">
      <c r="A1419" s="89">
        <v>1467.0</v>
      </c>
      <c r="B1419" s="1" t="s">
        <v>17771</v>
      </c>
      <c r="E1419" s="1" t="s">
        <v>16485</v>
      </c>
      <c r="F1419" s="90">
        <v>45478.65571759259</v>
      </c>
      <c r="G1419" s="90">
        <v>45506.632627314815</v>
      </c>
      <c r="H1419" s="1" t="s">
        <v>16476</v>
      </c>
    </row>
    <row r="1420">
      <c r="A1420" s="89">
        <v>1170.0</v>
      </c>
      <c r="B1420" s="1" t="s">
        <v>17772</v>
      </c>
      <c r="E1420" s="1" t="s">
        <v>16950</v>
      </c>
      <c r="F1420" s="90">
        <v>45113.55773148148</v>
      </c>
      <c r="G1420" s="90">
        <v>45492.485439814816</v>
      </c>
      <c r="H1420" s="1" t="s">
        <v>16476</v>
      </c>
    </row>
    <row r="1421">
      <c r="A1421" s="89">
        <v>1494.0</v>
      </c>
      <c r="B1421" s="1" t="s">
        <v>17773</v>
      </c>
      <c r="F1421" s="90">
        <v>45488.62868055556</v>
      </c>
      <c r="G1421" s="90">
        <v>45488.62880787037</v>
      </c>
      <c r="H1421" s="1" t="s">
        <v>16476</v>
      </c>
    </row>
    <row r="1422">
      <c r="A1422" s="89">
        <v>1469.0</v>
      </c>
      <c r="B1422" s="1" t="s">
        <v>12699</v>
      </c>
      <c r="E1422" s="1" t="s">
        <v>16485</v>
      </c>
      <c r="F1422" s="90">
        <v>45478.67613425926</v>
      </c>
      <c r="G1422" s="90">
        <v>45484.66517361111</v>
      </c>
      <c r="H1422" s="1" t="s">
        <v>16476</v>
      </c>
    </row>
    <row r="1423">
      <c r="A1423" s="89">
        <v>1478.0</v>
      </c>
      <c r="B1423" s="1" t="s">
        <v>17774</v>
      </c>
      <c r="E1423" s="1" t="s">
        <v>16485</v>
      </c>
      <c r="F1423" s="90">
        <v>45481.56622685185</v>
      </c>
      <c r="G1423" s="90">
        <v>45484.66443287037</v>
      </c>
      <c r="H1423" s="1" t="s">
        <v>16476</v>
      </c>
    </row>
    <row r="1424">
      <c r="A1424" s="89">
        <v>1488.0</v>
      </c>
      <c r="B1424" s="1" t="s">
        <v>17775</v>
      </c>
      <c r="E1424" s="1" t="s">
        <v>16485</v>
      </c>
      <c r="F1424" s="90">
        <v>45484.63521990741</v>
      </c>
      <c r="G1424" s="90">
        <v>45484.664131944446</v>
      </c>
      <c r="H1424" s="1" t="s">
        <v>16476</v>
      </c>
    </row>
    <row r="1425">
      <c r="A1425" s="89">
        <v>1465.0</v>
      </c>
      <c r="B1425" s="1" t="s">
        <v>17776</v>
      </c>
      <c r="E1425" s="1" t="s">
        <v>16485</v>
      </c>
      <c r="F1425" s="90">
        <v>45478.6271875</v>
      </c>
      <c r="G1425" s="90">
        <v>45484.663449074076</v>
      </c>
      <c r="H1425" s="1" t="s">
        <v>16476</v>
      </c>
    </row>
    <row r="1426">
      <c r="A1426" s="89">
        <v>1493.0</v>
      </c>
      <c r="B1426" s="1" t="s">
        <v>17777</v>
      </c>
      <c r="F1426" s="90">
        <v>45484.66100694444</v>
      </c>
      <c r="G1426" s="90">
        <v>45484.663310185184</v>
      </c>
      <c r="H1426" s="1" t="s">
        <v>16476</v>
      </c>
    </row>
    <row r="1427">
      <c r="A1427" s="89">
        <v>1492.0</v>
      </c>
      <c r="B1427" s="1" t="s">
        <v>17778</v>
      </c>
      <c r="F1427" s="90">
        <v>45484.659895833334</v>
      </c>
      <c r="G1427" s="90">
        <v>45484.66003472222</v>
      </c>
      <c r="H1427" s="1" t="s">
        <v>16476</v>
      </c>
    </row>
    <row r="1428">
      <c r="A1428" s="89">
        <v>1491.0</v>
      </c>
      <c r="B1428" s="1" t="s">
        <v>17779</v>
      </c>
      <c r="F1428" s="90">
        <v>45484.658530092594</v>
      </c>
      <c r="G1428" s="90">
        <v>45484.65865740741</v>
      </c>
      <c r="H1428" s="1" t="s">
        <v>16476</v>
      </c>
    </row>
    <row r="1429">
      <c r="A1429" s="89">
        <v>1490.0</v>
      </c>
      <c r="B1429" s="1" t="s">
        <v>17780</v>
      </c>
      <c r="F1429" s="90">
        <v>45484.64934027778</v>
      </c>
      <c r="G1429" s="90">
        <v>45484.65431712963</v>
      </c>
      <c r="H1429" s="1" t="s">
        <v>16476</v>
      </c>
    </row>
    <row r="1430">
      <c r="A1430" s="89">
        <v>1489.0</v>
      </c>
      <c r="B1430" s="1" t="s">
        <v>17781</v>
      </c>
      <c r="F1430" s="90">
        <v>45484.640173611115</v>
      </c>
      <c r="G1430" s="90">
        <v>45484.64030092592</v>
      </c>
      <c r="H1430" s="1" t="s">
        <v>16476</v>
      </c>
    </row>
    <row r="1431">
      <c r="A1431" s="89">
        <v>1487.0</v>
      </c>
      <c r="B1431" s="1" t="s">
        <v>17782</v>
      </c>
      <c r="E1431" s="1" t="s">
        <v>5202</v>
      </c>
      <c r="F1431" s="90">
        <v>45484.631377314814</v>
      </c>
      <c r="G1431" s="90">
        <v>45484.631689814814</v>
      </c>
      <c r="H1431" s="1" t="s">
        <v>16476</v>
      </c>
    </row>
    <row r="1432">
      <c r="A1432" s="89">
        <v>1484.0</v>
      </c>
      <c r="B1432" s="1" t="s">
        <v>17783</v>
      </c>
      <c r="F1432" s="90">
        <v>45484.49998842592</v>
      </c>
      <c r="G1432" s="90">
        <v>45484.50013888889</v>
      </c>
      <c r="H1432" s="1" t="s">
        <v>16476</v>
      </c>
    </row>
    <row r="1433">
      <c r="A1433" s="89">
        <v>1481.0</v>
      </c>
      <c r="B1433" s="1" t="s">
        <v>1948</v>
      </c>
      <c r="F1433" s="90">
        <v>45481.57829861111</v>
      </c>
      <c r="G1433" s="90">
        <v>45481.57875</v>
      </c>
      <c r="H1433" s="1" t="s">
        <v>16476</v>
      </c>
    </row>
    <row r="1434">
      <c r="A1434" s="89">
        <v>1474.0</v>
      </c>
      <c r="B1434" s="1" t="s">
        <v>17770</v>
      </c>
      <c r="E1434" s="1" t="s">
        <v>16485</v>
      </c>
      <c r="F1434" s="90">
        <v>45481.507372685184</v>
      </c>
      <c r="G1434" s="90">
        <v>45481.5077662037</v>
      </c>
      <c r="H1434" s="1" t="s">
        <v>16476</v>
      </c>
    </row>
    <row r="1435">
      <c r="A1435" s="89">
        <v>1473.0</v>
      </c>
      <c r="B1435" s="1" t="s">
        <v>17784</v>
      </c>
      <c r="E1435" s="1" t="s">
        <v>5202</v>
      </c>
      <c r="F1435" s="90">
        <v>45481.50565972222</v>
      </c>
      <c r="G1435" s="90">
        <v>45481.507361111115</v>
      </c>
      <c r="H1435" s="1" t="s">
        <v>16476</v>
      </c>
    </row>
    <row r="1436">
      <c r="A1436" s="89">
        <v>1472.0</v>
      </c>
      <c r="B1436" s="1" t="s">
        <v>17785</v>
      </c>
      <c r="E1436" s="1" t="s">
        <v>5202</v>
      </c>
      <c r="F1436" s="90">
        <v>45481.50378472222</v>
      </c>
      <c r="G1436" s="90">
        <v>45481.504641203705</v>
      </c>
      <c r="H1436" s="1" t="s">
        <v>16476</v>
      </c>
    </row>
    <row r="1437">
      <c r="A1437" s="89">
        <v>1470.0</v>
      </c>
      <c r="B1437" s="1" t="s">
        <v>17786</v>
      </c>
      <c r="F1437" s="90">
        <v>45479.55949074074</v>
      </c>
      <c r="G1437" s="90">
        <v>45479.560636574075</v>
      </c>
      <c r="H1437" s="1" t="s">
        <v>16476</v>
      </c>
    </row>
    <row r="1438">
      <c r="A1438" s="89">
        <v>1464.0</v>
      </c>
      <c r="B1438" s="1" t="s">
        <v>7781</v>
      </c>
      <c r="F1438" s="90">
        <v>45470.86996527778</v>
      </c>
      <c r="G1438" s="90">
        <v>45470.87128472222</v>
      </c>
      <c r="H1438" s="1" t="s">
        <v>16476</v>
      </c>
    </row>
    <row r="1439">
      <c r="A1439" s="89">
        <v>1463.0</v>
      </c>
      <c r="B1439" s="1" t="s">
        <v>17787</v>
      </c>
      <c r="F1439" s="90">
        <v>45468.55732638889</v>
      </c>
      <c r="G1439" s="90">
        <v>45468.557708333334</v>
      </c>
      <c r="H1439" s="1" t="s">
        <v>16476</v>
      </c>
    </row>
    <row r="1440">
      <c r="A1440" s="89">
        <v>1462.0</v>
      </c>
      <c r="B1440" s="1" t="s">
        <v>17724</v>
      </c>
      <c r="F1440" s="90">
        <v>45465.68121527778</v>
      </c>
      <c r="G1440" s="90">
        <v>45465.68785879629</v>
      </c>
      <c r="H1440" s="1" t="s">
        <v>16476</v>
      </c>
    </row>
    <row r="1441">
      <c r="A1441" s="89">
        <v>1460.0</v>
      </c>
      <c r="B1441" s="1" t="s">
        <v>5449</v>
      </c>
      <c r="F1441" s="90">
        <v>45465.683171296296</v>
      </c>
      <c r="G1441" s="90">
        <v>45465.683275462965</v>
      </c>
      <c r="H1441" s="1" t="s">
        <v>16476</v>
      </c>
    </row>
    <row r="1442">
      <c r="A1442" s="89">
        <v>1459.0</v>
      </c>
      <c r="B1442" s="1" t="s">
        <v>17788</v>
      </c>
      <c r="F1442" s="90">
        <v>45465.682337962964</v>
      </c>
      <c r="G1442" s="90">
        <v>45465.68319444444</v>
      </c>
      <c r="H1442" s="1" t="s">
        <v>16476</v>
      </c>
    </row>
    <row r="1443">
      <c r="A1443" s="89">
        <v>1458.0</v>
      </c>
      <c r="B1443" s="1" t="s">
        <v>17789</v>
      </c>
      <c r="F1443" s="90">
        <v>45465.68119212963</v>
      </c>
      <c r="G1443" s="90">
        <v>45465.68292824074</v>
      </c>
      <c r="H1443" s="1" t="s">
        <v>16476</v>
      </c>
    </row>
    <row r="1444">
      <c r="A1444" s="89">
        <v>1457.0</v>
      </c>
      <c r="B1444" s="1" t="s">
        <v>17790</v>
      </c>
      <c r="F1444" s="90">
        <v>45464.82303240741</v>
      </c>
      <c r="G1444" s="90">
        <v>45464.823125</v>
      </c>
      <c r="H1444" s="1" t="s">
        <v>16476</v>
      </c>
    </row>
    <row r="1445">
      <c r="A1445" s="89">
        <v>1456.0</v>
      </c>
      <c r="B1445" s="1" t="s">
        <v>17791</v>
      </c>
      <c r="F1445" s="90">
        <v>45464.709861111114</v>
      </c>
      <c r="G1445" s="90">
        <v>45464.70997685185</v>
      </c>
      <c r="H1445" s="1" t="s">
        <v>16476</v>
      </c>
    </row>
    <row r="1446">
      <c r="A1446" s="89">
        <v>1454.0</v>
      </c>
      <c r="B1446" s="1" t="s">
        <v>3108</v>
      </c>
      <c r="F1446" s="90">
        <v>45463.69673611111</v>
      </c>
      <c r="G1446" s="90">
        <v>45464.69513888889</v>
      </c>
      <c r="H1446" s="1" t="s">
        <v>16476</v>
      </c>
    </row>
    <row r="1447">
      <c r="A1447" s="89">
        <v>1455.0</v>
      </c>
      <c r="B1447" s="1" t="s">
        <v>17778</v>
      </c>
      <c r="F1447" s="90">
        <v>45446.6177662037</v>
      </c>
      <c r="G1447" s="90">
        <v>45464.59480324074</v>
      </c>
      <c r="H1447" s="1" t="s">
        <v>16476</v>
      </c>
    </row>
    <row r="1448">
      <c r="A1448" s="89">
        <v>1453.0</v>
      </c>
      <c r="B1448" s="1" t="s">
        <v>17792</v>
      </c>
      <c r="F1448" s="90">
        <v>45359.012337962966</v>
      </c>
      <c r="G1448" s="90">
        <v>45463.76534722222</v>
      </c>
      <c r="H1448" s="1" t="s">
        <v>16476</v>
      </c>
    </row>
    <row r="1449">
      <c r="A1449" s="89">
        <v>1452.0</v>
      </c>
      <c r="B1449" s="1" t="s">
        <v>17777</v>
      </c>
      <c r="F1449" s="90">
        <v>45461.66033564815</v>
      </c>
      <c r="G1449" s="90">
        <v>45461.66045138889</v>
      </c>
      <c r="H1449" s="1" t="s">
        <v>16476</v>
      </c>
    </row>
    <row r="1450">
      <c r="A1450" s="89">
        <v>1450.0</v>
      </c>
      <c r="B1450" s="1" t="s">
        <v>17793</v>
      </c>
      <c r="F1450" s="90">
        <v>45454.42648148148</v>
      </c>
      <c r="G1450" s="90">
        <v>45454.42690972222</v>
      </c>
      <c r="H1450" s="1" t="s">
        <v>16476</v>
      </c>
    </row>
    <row r="1451">
      <c r="A1451" s="89">
        <v>1447.0</v>
      </c>
      <c r="B1451" s="1" t="s">
        <v>17794</v>
      </c>
      <c r="F1451" s="90">
        <v>45446.616898148146</v>
      </c>
      <c r="G1451" s="90">
        <v>45446.622777777775</v>
      </c>
      <c r="H1451" s="1" t="s">
        <v>16476</v>
      </c>
    </row>
    <row r="1452">
      <c r="A1452" s="89">
        <v>1442.0</v>
      </c>
      <c r="B1452" s="1" t="s">
        <v>17795</v>
      </c>
      <c r="E1452" s="1" t="s">
        <v>16487</v>
      </c>
      <c r="F1452" s="90">
        <v>45419.41074074074</v>
      </c>
      <c r="G1452" s="90">
        <v>45441.513449074075</v>
      </c>
      <c r="H1452" s="1" t="s">
        <v>16476</v>
      </c>
    </row>
    <row r="1453">
      <c r="A1453" s="89">
        <v>1446.0</v>
      </c>
      <c r="B1453" s="1" t="s">
        <v>17796</v>
      </c>
      <c r="F1453" s="90">
        <v>45440.414351851854</v>
      </c>
      <c r="G1453" s="90">
        <v>45440.419490740744</v>
      </c>
      <c r="H1453" s="1" t="s">
        <v>16476</v>
      </c>
    </row>
    <row r="1454">
      <c r="A1454" s="89">
        <v>1445.0</v>
      </c>
      <c r="B1454" s="1" t="s">
        <v>17797</v>
      </c>
      <c r="F1454" s="90">
        <v>45433.416041666664</v>
      </c>
      <c r="G1454" s="90">
        <v>45433.41971064815</v>
      </c>
      <c r="H1454" s="1" t="s">
        <v>16476</v>
      </c>
    </row>
    <row r="1455">
      <c r="A1455" s="89">
        <v>1403.0</v>
      </c>
      <c r="B1455" s="1" t="s">
        <v>17798</v>
      </c>
      <c r="E1455" s="1" t="s">
        <v>16487</v>
      </c>
      <c r="F1455" s="90">
        <v>45378.511712962965</v>
      </c>
      <c r="G1455" s="90">
        <v>45427.39440972222</v>
      </c>
      <c r="H1455" s="1" t="s">
        <v>16476</v>
      </c>
    </row>
    <row r="1456">
      <c r="A1456" s="89">
        <v>1324.0</v>
      </c>
      <c r="B1456" s="1" t="s">
        <v>17799</v>
      </c>
      <c r="E1456" s="1" t="s">
        <v>16485</v>
      </c>
      <c r="F1456" s="90">
        <v>45233.364375</v>
      </c>
      <c r="G1456" s="90">
        <v>45426.55432870371</v>
      </c>
      <c r="H1456" s="1" t="s">
        <v>16476</v>
      </c>
    </row>
    <row r="1457">
      <c r="A1457" s="89">
        <v>1444.0</v>
      </c>
      <c r="B1457" s="1" t="s">
        <v>17800</v>
      </c>
      <c r="F1457" s="90">
        <v>45233.35984953704</v>
      </c>
      <c r="G1457" s="90">
        <v>45426.55163194444</v>
      </c>
      <c r="H1457" s="1" t="s">
        <v>16476</v>
      </c>
    </row>
    <row r="1458">
      <c r="A1458" s="89">
        <v>1443.0</v>
      </c>
      <c r="B1458" s="1" t="s">
        <v>8279</v>
      </c>
      <c r="F1458" s="90">
        <v>45419.41508101852</v>
      </c>
      <c r="G1458" s="90">
        <v>45419.41994212963</v>
      </c>
      <c r="H1458" s="1" t="s">
        <v>16476</v>
      </c>
    </row>
    <row r="1459">
      <c r="A1459" s="89">
        <v>1441.0</v>
      </c>
      <c r="B1459" s="1" t="s">
        <v>17650</v>
      </c>
      <c r="E1459" s="1" t="s">
        <v>16487</v>
      </c>
      <c r="F1459" s="90">
        <v>45414.416909722226</v>
      </c>
      <c r="G1459" s="90">
        <v>45415.423472222225</v>
      </c>
      <c r="H1459" s="1" t="s">
        <v>16476</v>
      </c>
    </row>
    <row r="1460">
      <c r="A1460" s="89">
        <v>1440.0</v>
      </c>
      <c r="B1460" s="1" t="s">
        <v>17801</v>
      </c>
      <c r="E1460" s="1" t="s">
        <v>5202</v>
      </c>
      <c r="F1460" s="90">
        <v>45414.41663194444</v>
      </c>
      <c r="G1460" s="90">
        <v>45415.42152777778</v>
      </c>
      <c r="H1460" s="1" t="s">
        <v>16476</v>
      </c>
    </row>
    <row r="1461">
      <c r="A1461" s="89">
        <v>1439.0</v>
      </c>
      <c r="B1461" s="1" t="s">
        <v>1285</v>
      </c>
      <c r="E1461" s="1" t="s">
        <v>16487</v>
      </c>
      <c r="F1461" s="90">
        <v>45414.4152662037</v>
      </c>
      <c r="G1461" s="90">
        <v>45415.418761574074</v>
      </c>
      <c r="H1461" s="1" t="s">
        <v>16476</v>
      </c>
    </row>
    <row r="1462">
      <c r="A1462" s="89">
        <v>1438.0</v>
      </c>
      <c r="B1462" s="1" t="s">
        <v>5814</v>
      </c>
      <c r="E1462" s="1" t="s">
        <v>16475</v>
      </c>
      <c r="F1462" s="90">
        <v>45409.92637731481</v>
      </c>
      <c r="G1462" s="90">
        <v>45411.46020833333</v>
      </c>
      <c r="H1462" s="1" t="s">
        <v>16476</v>
      </c>
    </row>
    <row r="1463">
      <c r="A1463" s="89">
        <v>1437.0</v>
      </c>
      <c r="B1463" s="1" t="s">
        <v>17802</v>
      </c>
      <c r="E1463" s="1" t="s">
        <v>16475</v>
      </c>
      <c r="F1463" s="90">
        <v>45407.79640046296</v>
      </c>
      <c r="G1463" s="90">
        <v>45407.81815972222</v>
      </c>
      <c r="H1463" s="1" t="s">
        <v>16476</v>
      </c>
    </row>
    <row r="1464">
      <c r="A1464" s="89">
        <v>1436.0</v>
      </c>
      <c r="B1464" s="1" t="s">
        <v>17803</v>
      </c>
      <c r="F1464" s="90">
        <v>45407.58652777778</v>
      </c>
      <c r="G1464" s="90">
        <v>45407.58675925926</v>
      </c>
      <c r="H1464" s="1" t="s">
        <v>16476</v>
      </c>
    </row>
    <row r="1465">
      <c r="A1465" s="89">
        <v>1435.0</v>
      </c>
      <c r="B1465" s="1" t="s">
        <v>17804</v>
      </c>
      <c r="F1465" s="90">
        <v>45407.58550925926</v>
      </c>
      <c r="G1465" s="90">
        <v>45407.58579861111</v>
      </c>
      <c r="H1465" s="1" t="s">
        <v>16476</v>
      </c>
    </row>
    <row r="1466">
      <c r="A1466" s="89">
        <v>1433.0</v>
      </c>
      <c r="B1466" s="1" t="s">
        <v>15195</v>
      </c>
      <c r="F1466" s="90">
        <v>45405.45417824074</v>
      </c>
      <c r="G1466" s="90">
        <v>45407.42864583333</v>
      </c>
      <c r="H1466" s="1" t="s">
        <v>16476</v>
      </c>
    </row>
    <row r="1467">
      <c r="A1467" s="89">
        <v>1434.0</v>
      </c>
      <c r="B1467" s="1" t="s">
        <v>17805</v>
      </c>
      <c r="F1467" s="90">
        <v>45406.44877314815</v>
      </c>
      <c r="G1467" s="90">
        <v>45406.449282407404</v>
      </c>
      <c r="H1467" s="1" t="s">
        <v>16476</v>
      </c>
    </row>
    <row r="1468">
      <c r="A1468" s="89">
        <v>1432.0</v>
      </c>
      <c r="B1468" s="1" t="s">
        <v>17806</v>
      </c>
      <c r="F1468" s="90">
        <v>45404.454201388886</v>
      </c>
      <c r="G1468" s="90">
        <v>45404.45527777778</v>
      </c>
      <c r="H1468" s="1" t="s">
        <v>16476</v>
      </c>
    </row>
    <row r="1469">
      <c r="A1469" s="89">
        <v>1431.0</v>
      </c>
      <c r="B1469" s="1" t="s">
        <v>17807</v>
      </c>
      <c r="F1469" s="90">
        <v>45399.44584490741</v>
      </c>
      <c r="G1469" s="90">
        <v>45399.44703703704</v>
      </c>
      <c r="H1469" s="1" t="s">
        <v>16476</v>
      </c>
    </row>
    <row r="1470">
      <c r="A1470" s="89">
        <v>1430.0</v>
      </c>
      <c r="B1470" s="1" t="s">
        <v>17808</v>
      </c>
      <c r="F1470" s="90">
        <v>45399.44598379629</v>
      </c>
      <c r="G1470" s="90">
        <v>45399.446747685186</v>
      </c>
      <c r="H1470" s="1" t="s">
        <v>16476</v>
      </c>
    </row>
    <row r="1471">
      <c r="A1471" s="89">
        <v>1429.0</v>
      </c>
      <c r="B1471" s="1" t="s">
        <v>17809</v>
      </c>
      <c r="F1471" s="90">
        <v>45399.44577546296</v>
      </c>
      <c r="G1471" s="90">
        <v>45399.446701388886</v>
      </c>
      <c r="H1471" s="1" t="s">
        <v>16476</v>
      </c>
    </row>
    <row r="1472">
      <c r="A1472" s="89">
        <v>1428.0</v>
      </c>
      <c r="B1472" s="1" t="s">
        <v>15971</v>
      </c>
      <c r="F1472" s="90">
        <v>45399.44516203704</v>
      </c>
      <c r="G1472" s="90">
        <v>45399.446597222224</v>
      </c>
      <c r="H1472" s="1" t="s">
        <v>16476</v>
      </c>
    </row>
    <row r="1473">
      <c r="A1473" s="89">
        <v>1427.0</v>
      </c>
      <c r="B1473" s="1" t="s">
        <v>17810</v>
      </c>
      <c r="F1473" s="90">
        <v>45399.445856481485</v>
      </c>
      <c r="G1473" s="90">
        <v>45399.44658564815</v>
      </c>
      <c r="H1473" s="1" t="s">
        <v>16476</v>
      </c>
    </row>
    <row r="1474">
      <c r="A1474" s="89">
        <v>1426.0</v>
      </c>
      <c r="B1474" s="1" t="s">
        <v>17811</v>
      </c>
      <c r="F1474" s="90">
        <v>45399.445185185185</v>
      </c>
      <c r="G1474" s="90">
        <v>45399.4465625</v>
      </c>
      <c r="H1474" s="1" t="s">
        <v>16476</v>
      </c>
    </row>
    <row r="1475">
      <c r="A1475" s="89">
        <v>1425.0</v>
      </c>
      <c r="B1475" s="1" t="s">
        <v>2587</v>
      </c>
      <c r="F1475" s="90">
        <v>45399.4458912037</v>
      </c>
      <c r="G1475" s="90">
        <v>45399.446550925924</v>
      </c>
      <c r="H1475" s="1" t="s">
        <v>16476</v>
      </c>
    </row>
    <row r="1476">
      <c r="A1476" s="89">
        <v>1424.0</v>
      </c>
      <c r="B1476" s="1" t="s">
        <v>15982</v>
      </c>
      <c r="F1476" s="90">
        <v>45399.44537037037</v>
      </c>
      <c r="G1476" s="90">
        <v>45399.446539351855</v>
      </c>
      <c r="H1476" s="1" t="s">
        <v>16476</v>
      </c>
    </row>
    <row r="1477">
      <c r="A1477" s="89">
        <v>1423.0</v>
      </c>
      <c r="B1477" s="1" t="s">
        <v>17812</v>
      </c>
      <c r="F1477" s="90">
        <v>45399.44510416667</v>
      </c>
      <c r="G1477" s="90">
        <v>45399.44645833333</v>
      </c>
      <c r="H1477" s="1" t="s">
        <v>16476</v>
      </c>
    </row>
    <row r="1478">
      <c r="A1478" s="89">
        <v>1422.0</v>
      </c>
      <c r="B1478" s="1" t="s">
        <v>17813</v>
      </c>
      <c r="F1478" s="90">
        <v>45399.44574074074</v>
      </c>
      <c r="G1478" s="90">
        <v>45399.44645833333</v>
      </c>
      <c r="H1478" s="1" t="s">
        <v>16476</v>
      </c>
    </row>
    <row r="1479">
      <c r="A1479" s="89">
        <v>1421.0</v>
      </c>
      <c r="B1479" s="1" t="s">
        <v>17814</v>
      </c>
      <c r="F1479" s="90">
        <v>45399.44550925926</v>
      </c>
      <c r="G1479" s="90">
        <v>45399.44640046296</v>
      </c>
      <c r="H1479" s="1" t="s">
        <v>16476</v>
      </c>
    </row>
    <row r="1480">
      <c r="A1480" s="89">
        <v>1420.0</v>
      </c>
      <c r="B1480" s="1" t="s">
        <v>17815</v>
      </c>
      <c r="F1480" s="90">
        <v>45399.44579861111</v>
      </c>
      <c r="G1480" s="90">
        <v>45399.446377314816</v>
      </c>
      <c r="H1480" s="1" t="s">
        <v>16476</v>
      </c>
    </row>
    <row r="1481">
      <c r="A1481" s="89">
        <v>1419.0</v>
      </c>
      <c r="B1481" s="1" t="s">
        <v>15976</v>
      </c>
      <c r="F1481" s="90">
        <v>45399.4452662037</v>
      </c>
      <c r="G1481" s="90">
        <v>45399.44633101852</v>
      </c>
      <c r="H1481" s="1" t="s">
        <v>16476</v>
      </c>
    </row>
    <row r="1482">
      <c r="A1482" s="89">
        <v>1418.0</v>
      </c>
      <c r="B1482" s="1" t="s">
        <v>15979</v>
      </c>
      <c r="F1482" s="90">
        <v>45399.4453125</v>
      </c>
      <c r="G1482" s="90">
        <v>45399.445752314816</v>
      </c>
      <c r="H1482" s="1" t="s">
        <v>16476</v>
      </c>
    </row>
    <row r="1483">
      <c r="A1483" s="89">
        <v>1417.0</v>
      </c>
      <c r="B1483" s="1" t="s">
        <v>17816</v>
      </c>
      <c r="F1483" s="90">
        <v>45395.43848379629</v>
      </c>
      <c r="G1483" s="90">
        <v>45395.45611111111</v>
      </c>
      <c r="H1483" s="1" t="s">
        <v>16476</v>
      </c>
    </row>
    <row r="1484">
      <c r="A1484" s="89">
        <v>1416.0</v>
      </c>
      <c r="B1484" s="1" t="s">
        <v>17817</v>
      </c>
      <c r="F1484" s="90">
        <v>45391.42123842592</v>
      </c>
      <c r="G1484" s="90">
        <v>45394.40851851852</v>
      </c>
      <c r="H1484" s="1" t="s">
        <v>16476</v>
      </c>
    </row>
    <row r="1485">
      <c r="A1485" s="89">
        <v>1415.0</v>
      </c>
      <c r="B1485" s="1" t="s">
        <v>17818</v>
      </c>
      <c r="F1485" s="90">
        <v>45386.56527777778</v>
      </c>
      <c r="G1485" s="90">
        <v>45386.565416666665</v>
      </c>
      <c r="H1485" s="1" t="s">
        <v>16476</v>
      </c>
    </row>
    <row r="1486">
      <c r="A1486" s="89">
        <v>1414.0</v>
      </c>
      <c r="B1486" s="1" t="s">
        <v>17819</v>
      </c>
      <c r="F1486" s="90">
        <v>45385.50622685185</v>
      </c>
      <c r="G1486" s="90">
        <v>45385.52111111111</v>
      </c>
      <c r="H1486" s="1" t="s">
        <v>16476</v>
      </c>
    </row>
    <row r="1487">
      <c r="A1487" s="89">
        <v>1405.0</v>
      </c>
      <c r="B1487" s="1" t="s">
        <v>17820</v>
      </c>
      <c r="E1487" s="1" t="s">
        <v>16487</v>
      </c>
      <c r="F1487" s="90">
        <v>45378.51482638889</v>
      </c>
      <c r="G1487" s="90">
        <v>45385.51084490741</v>
      </c>
      <c r="H1487" s="1" t="s">
        <v>16476</v>
      </c>
    </row>
    <row r="1488">
      <c r="A1488" s="89">
        <v>1413.0</v>
      </c>
      <c r="B1488" s="1" t="s">
        <v>14951</v>
      </c>
      <c r="F1488" s="90">
        <v>45385.420902777776</v>
      </c>
      <c r="G1488" s="90">
        <v>45385.4246875</v>
      </c>
      <c r="H1488" s="1" t="s">
        <v>16476</v>
      </c>
    </row>
    <row r="1489">
      <c r="A1489" s="89">
        <v>1412.0</v>
      </c>
      <c r="B1489" s="1" t="s">
        <v>17821</v>
      </c>
      <c r="F1489" s="90">
        <v>45384.41855324074</v>
      </c>
      <c r="G1489" s="90">
        <v>45384.428402777776</v>
      </c>
      <c r="H1489" s="1" t="s">
        <v>16476</v>
      </c>
    </row>
    <row r="1490">
      <c r="A1490" s="89">
        <v>1411.0</v>
      </c>
      <c r="B1490" s="1" t="s">
        <v>12999</v>
      </c>
      <c r="F1490" s="90">
        <v>45384.41280092593</v>
      </c>
      <c r="G1490" s="90">
        <v>45384.41395833333</v>
      </c>
      <c r="H1490" s="1" t="s">
        <v>16476</v>
      </c>
    </row>
    <row r="1491">
      <c r="A1491" s="89">
        <v>1399.0</v>
      </c>
      <c r="B1491" s="1" t="s">
        <v>17822</v>
      </c>
      <c r="E1491" s="1" t="s">
        <v>16487</v>
      </c>
      <c r="F1491" s="90">
        <v>45377.42204861111</v>
      </c>
      <c r="G1491" s="90">
        <v>45378.52788194444</v>
      </c>
      <c r="H1491" s="1" t="s">
        <v>16476</v>
      </c>
    </row>
    <row r="1492">
      <c r="A1492" s="89">
        <v>1404.0</v>
      </c>
      <c r="B1492" s="1" t="s">
        <v>17529</v>
      </c>
      <c r="F1492" s="90">
        <v>45378.51284722222</v>
      </c>
      <c r="G1492" s="90">
        <v>45378.51503472222</v>
      </c>
      <c r="H1492" s="1" t="s">
        <v>16476</v>
      </c>
    </row>
    <row r="1493">
      <c r="A1493" s="89">
        <v>1395.0</v>
      </c>
      <c r="B1493" s="1" t="s">
        <v>17820</v>
      </c>
      <c r="F1493" s="90">
        <v>45377.41881944444</v>
      </c>
      <c r="G1493" s="90">
        <v>45377.42074074074</v>
      </c>
      <c r="H1493" s="1" t="s">
        <v>16476</v>
      </c>
    </row>
    <row r="1494">
      <c r="A1494" s="89">
        <v>1392.0</v>
      </c>
      <c r="B1494" s="1" t="s">
        <v>17823</v>
      </c>
      <c r="F1494" s="90">
        <v>45369.61614583333</v>
      </c>
      <c r="G1494" s="90">
        <v>45369.616377314815</v>
      </c>
      <c r="H1494" s="1" t="s">
        <v>16476</v>
      </c>
    </row>
    <row r="1495">
      <c r="A1495" s="89">
        <v>1380.0</v>
      </c>
      <c r="B1495" s="1" t="s">
        <v>17824</v>
      </c>
      <c r="E1495" s="1" t="s">
        <v>16487</v>
      </c>
      <c r="F1495" s="90">
        <v>45313.50728009259</v>
      </c>
      <c r="G1495" s="90">
        <v>45355.95297453704</v>
      </c>
      <c r="H1495" s="1" t="s">
        <v>16476</v>
      </c>
    </row>
    <row r="1496">
      <c r="A1496" s="89">
        <v>1387.0</v>
      </c>
      <c r="B1496" s="1" t="s">
        <v>17825</v>
      </c>
      <c r="E1496" s="1" t="s">
        <v>16487</v>
      </c>
      <c r="F1496" s="90">
        <v>45317.40844907407</v>
      </c>
      <c r="G1496" s="90">
        <v>45355.9525462963</v>
      </c>
      <c r="H1496" s="1" t="s">
        <v>16476</v>
      </c>
    </row>
    <row r="1497">
      <c r="A1497" s="89">
        <v>1385.0</v>
      </c>
      <c r="B1497" s="1" t="s">
        <v>9094</v>
      </c>
      <c r="E1497" s="1" t="s">
        <v>16487</v>
      </c>
      <c r="F1497" s="90">
        <v>45313.57974537037</v>
      </c>
      <c r="G1497" s="90">
        <v>45355.951828703706</v>
      </c>
      <c r="H1497" s="1" t="s">
        <v>16476</v>
      </c>
    </row>
    <row r="1498">
      <c r="A1498" s="89">
        <v>1386.0</v>
      </c>
      <c r="B1498" s="1" t="s">
        <v>6825</v>
      </c>
      <c r="E1498" s="1" t="s">
        <v>16487</v>
      </c>
      <c r="F1498" s="90">
        <v>45313.59339120371</v>
      </c>
      <c r="G1498" s="90">
        <v>45355.95149305555</v>
      </c>
      <c r="H1498" s="1" t="s">
        <v>16476</v>
      </c>
    </row>
    <row r="1499">
      <c r="A1499" s="89">
        <v>1377.0</v>
      </c>
      <c r="B1499" s="1" t="s">
        <v>17826</v>
      </c>
      <c r="E1499" s="1" t="s">
        <v>16475</v>
      </c>
      <c r="F1499" s="90">
        <v>45310.432488425926</v>
      </c>
      <c r="G1499" s="90">
        <v>45355.943402777775</v>
      </c>
      <c r="H1499" s="1" t="s">
        <v>16476</v>
      </c>
    </row>
    <row r="1500">
      <c r="A1500" s="89">
        <v>1371.0</v>
      </c>
      <c r="B1500" s="1" t="s">
        <v>17827</v>
      </c>
      <c r="E1500" s="1" t="s">
        <v>16475</v>
      </c>
      <c r="F1500" s="90">
        <v>45302.5466087963</v>
      </c>
      <c r="G1500" s="90">
        <v>45355.9428125</v>
      </c>
      <c r="H1500" s="1" t="s">
        <v>16476</v>
      </c>
    </row>
    <row r="1501">
      <c r="A1501" s="89">
        <v>1374.0</v>
      </c>
      <c r="B1501" s="1" t="s">
        <v>17828</v>
      </c>
      <c r="E1501" s="1" t="s">
        <v>16475</v>
      </c>
      <c r="F1501" s="90">
        <v>45310.42159722222</v>
      </c>
      <c r="G1501" s="90">
        <v>45355.94201388889</v>
      </c>
      <c r="H1501" s="1" t="s">
        <v>16476</v>
      </c>
    </row>
    <row r="1502">
      <c r="A1502" s="89">
        <v>1378.0</v>
      </c>
      <c r="B1502" s="1" t="s">
        <v>17829</v>
      </c>
      <c r="E1502" s="1" t="s">
        <v>16475</v>
      </c>
      <c r="F1502" s="90">
        <v>45310.438043981485</v>
      </c>
      <c r="G1502" s="90">
        <v>45355.94167824074</v>
      </c>
      <c r="H1502" s="1" t="s">
        <v>16476</v>
      </c>
    </row>
    <row r="1503">
      <c r="A1503" s="89">
        <v>1358.0</v>
      </c>
      <c r="B1503" s="1" t="s">
        <v>17830</v>
      </c>
      <c r="E1503" s="1" t="s">
        <v>16475</v>
      </c>
      <c r="F1503" s="90">
        <v>45281.636342592596</v>
      </c>
      <c r="G1503" s="90">
        <v>45355.941400462965</v>
      </c>
      <c r="H1503" s="1" t="s">
        <v>16476</v>
      </c>
    </row>
    <row r="1504">
      <c r="A1504" s="89">
        <v>1357.0</v>
      </c>
      <c r="B1504" s="1" t="s">
        <v>17831</v>
      </c>
      <c r="E1504" s="1" t="s">
        <v>16475</v>
      </c>
      <c r="F1504" s="90">
        <v>45295.50980324074</v>
      </c>
      <c r="G1504" s="90">
        <v>45355.93914351852</v>
      </c>
      <c r="H1504" s="1" t="s">
        <v>16476</v>
      </c>
    </row>
    <row r="1505">
      <c r="A1505" s="89">
        <v>1391.0</v>
      </c>
      <c r="B1505" s="1" t="s">
        <v>17832</v>
      </c>
      <c r="E1505" s="1" t="s">
        <v>16487</v>
      </c>
      <c r="F1505" s="90">
        <v>45322.65655092592</v>
      </c>
      <c r="G1505" s="90">
        <v>45322.667974537035</v>
      </c>
      <c r="H1505" s="1" t="s">
        <v>16476</v>
      </c>
    </row>
    <row r="1506">
      <c r="A1506" s="89">
        <v>1388.0</v>
      </c>
      <c r="B1506" s="1" t="s">
        <v>4968</v>
      </c>
      <c r="E1506" s="1" t="s">
        <v>16487</v>
      </c>
      <c r="F1506" s="90">
        <v>45320.54717592592</v>
      </c>
      <c r="G1506" s="90">
        <v>45322.582453703704</v>
      </c>
      <c r="H1506" s="1" t="s">
        <v>16476</v>
      </c>
    </row>
    <row r="1507">
      <c r="A1507" s="89">
        <v>1390.0</v>
      </c>
      <c r="B1507" s="1" t="s">
        <v>8924</v>
      </c>
      <c r="E1507" s="1" t="s">
        <v>16487</v>
      </c>
      <c r="F1507" s="90">
        <v>45321.587118055555</v>
      </c>
      <c r="G1507" s="90">
        <v>45321.60392361111</v>
      </c>
      <c r="H1507" s="1" t="s">
        <v>16476</v>
      </c>
    </row>
    <row r="1508">
      <c r="A1508" s="89">
        <v>1389.0</v>
      </c>
      <c r="B1508" s="1" t="s">
        <v>5857</v>
      </c>
      <c r="E1508" s="1" t="s">
        <v>16487</v>
      </c>
      <c r="F1508" s="90">
        <v>45321.40767361111</v>
      </c>
      <c r="G1508" s="90">
        <v>45321.43709490741</v>
      </c>
      <c r="H1508" s="1" t="s">
        <v>16476</v>
      </c>
    </row>
    <row r="1509">
      <c r="A1509" s="1">
        <v>444.0</v>
      </c>
      <c r="B1509" s="1" t="s">
        <v>17833</v>
      </c>
      <c r="E1509" s="1" t="s">
        <v>16475</v>
      </c>
      <c r="F1509" s="90">
        <v>45113.54708333333</v>
      </c>
      <c r="G1509" s="90">
        <v>45316.001388888886</v>
      </c>
      <c r="H1509" s="1" t="s">
        <v>16476</v>
      </c>
    </row>
    <row r="1510">
      <c r="A1510" s="89">
        <v>1375.0</v>
      </c>
      <c r="B1510" s="1" t="s">
        <v>17834</v>
      </c>
      <c r="E1510" s="1" t="s">
        <v>16475</v>
      </c>
      <c r="F1510" s="90">
        <v>45310.42537037037</v>
      </c>
      <c r="G1510" s="90">
        <v>45315.41887731481</v>
      </c>
      <c r="H1510" s="1" t="s">
        <v>16476</v>
      </c>
    </row>
    <row r="1511">
      <c r="A1511" s="89">
        <v>1353.0</v>
      </c>
      <c r="B1511" s="1" t="s">
        <v>8859</v>
      </c>
      <c r="E1511" s="1" t="s">
        <v>16475</v>
      </c>
      <c r="F1511" s="90">
        <v>45281.51006944444</v>
      </c>
      <c r="G1511" s="90">
        <v>45314.39931712963</v>
      </c>
      <c r="H1511" s="1" t="s">
        <v>16476</v>
      </c>
    </row>
    <row r="1512">
      <c r="A1512" s="89">
        <v>1384.0</v>
      </c>
      <c r="B1512" s="1" t="s">
        <v>17835</v>
      </c>
      <c r="E1512" s="1" t="s">
        <v>16487</v>
      </c>
      <c r="F1512" s="90">
        <v>45313.5759837963</v>
      </c>
      <c r="G1512" s="90">
        <v>45313.59716435185</v>
      </c>
      <c r="H1512" s="1" t="s">
        <v>16476</v>
      </c>
    </row>
    <row r="1513">
      <c r="A1513" s="89">
        <v>1356.0</v>
      </c>
      <c r="B1513" s="1" t="s">
        <v>17836</v>
      </c>
      <c r="E1513" s="1" t="s">
        <v>16487</v>
      </c>
      <c r="F1513" s="90">
        <v>45295.52333333333</v>
      </c>
      <c r="G1513" s="90">
        <v>45313.579675925925</v>
      </c>
      <c r="H1513" s="1" t="s">
        <v>16476</v>
      </c>
    </row>
    <row r="1514">
      <c r="A1514" s="89">
        <v>1383.0</v>
      </c>
      <c r="B1514" s="1" t="s">
        <v>6689</v>
      </c>
      <c r="E1514" s="1" t="s">
        <v>16487</v>
      </c>
      <c r="F1514" s="90">
        <v>45309.66887731481</v>
      </c>
      <c r="G1514" s="90">
        <v>45313.55298611111</v>
      </c>
      <c r="H1514" s="1" t="s">
        <v>16476</v>
      </c>
    </row>
    <row r="1515">
      <c r="A1515" s="89">
        <v>1382.0</v>
      </c>
      <c r="B1515" s="1" t="s">
        <v>17837</v>
      </c>
      <c r="E1515" s="1" t="s">
        <v>16487</v>
      </c>
      <c r="F1515" s="90">
        <v>45313.507685185185</v>
      </c>
      <c r="G1515" s="90">
        <v>45313.54251157407</v>
      </c>
      <c r="H1515" s="1" t="s">
        <v>16476</v>
      </c>
    </row>
    <row r="1516">
      <c r="A1516" s="89">
        <v>1381.0</v>
      </c>
      <c r="B1516" s="1" t="s">
        <v>7215</v>
      </c>
      <c r="E1516" s="1" t="s">
        <v>16487</v>
      </c>
      <c r="F1516" s="90">
        <v>45313.50846064815</v>
      </c>
      <c r="G1516" s="90">
        <v>45313.53319444445</v>
      </c>
      <c r="H1516" s="1" t="s">
        <v>16476</v>
      </c>
    </row>
    <row r="1517">
      <c r="A1517" s="89">
        <v>1379.0</v>
      </c>
      <c r="B1517" s="1" t="s">
        <v>9607</v>
      </c>
      <c r="E1517" s="1" t="s">
        <v>16487</v>
      </c>
      <c r="F1517" s="90">
        <v>45310.568020833336</v>
      </c>
      <c r="G1517" s="90">
        <v>45310.59318287037</v>
      </c>
      <c r="H1517" s="1" t="s">
        <v>16476</v>
      </c>
    </row>
    <row r="1518">
      <c r="A1518" s="89">
        <v>1373.0</v>
      </c>
      <c r="B1518" s="1" t="s">
        <v>9050</v>
      </c>
      <c r="E1518" s="1" t="s">
        <v>16487</v>
      </c>
      <c r="F1518" s="90">
        <v>45309.5071875</v>
      </c>
      <c r="G1518" s="90">
        <v>45309.54094907407</v>
      </c>
      <c r="H1518" s="1" t="s">
        <v>16476</v>
      </c>
    </row>
    <row r="1519">
      <c r="A1519" s="89">
        <v>1372.0</v>
      </c>
      <c r="B1519" s="1" t="s">
        <v>8810</v>
      </c>
      <c r="E1519" s="1" t="s">
        <v>16487</v>
      </c>
      <c r="F1519" s="90">
        <v>45309.45153935185</v>
      </c>
      <c r="G1519" s="90">
        <v>45309.4884375</v>
      </c>
      <c r="H1519" s="1" t="s">
        <v>16476</v>
      </c>
    </row>
    <row r="1520">
      <c r="A1520" s="89">
        <v>1367.0</v>
      </c>
      <c r="B1520" s="1" t="s">
        <v>17838</v>
      </c>
      <c r="E1520" s="1" t="s">
        <v>16475</v>
      </c>
      <c r="F1520" s="90">
        <v>45300.626435185186</v>
      </c>
      <c r="G1520" s="90">
        <v>45301.63978009259</v>
      </c>
      <c r="H1520" s="1" t="s">
        <v>16476</v>
      </c>
    </row>
    <row r="1521">
      <c r="A1521" s="1">
        <v>640.0</v>
      </c>
      <c r="B1521" s="1" t="s">
        <v>17839</v>
      </c>
      <c r="E1521" s="1" t="s">
        <v>16485</v>
      </c>
      <c r="F1521" s="90">
        <v>45113.5499537037</v>
      </c>
      <c r="G1521" s="90">
        <v>45300.66376157408</v>
      </c>
      <c r="H1521" s="1" t="s">
        <v>16476</v>
      </c>
    </row>
    <row r="1522">
      <c r="A1522" s="89">
        <v>1365.0</v>
      </c>
      <c r="B1522" s="1" t="s">
        <v>9477</v>
      </c>
      <c r="E1522" s="1" t="s">
        <v>16487</v>
      </c>
      <c r="F1522" s="90">
        <v>45300.50564814815</v>
      </c>
      <c r="G1522" s="90">
        <v>45300.53188657408</v>
      </c>
      <c r="H1522" s="1" t="s">
        <v>16476</v>
      </c>
    </row>
    <row r="1523">
      <c r="A1523" s="89">
        <v>1366.0</v>
      </c>
      <c r="B1523" s="1" t="s">
        <v>17840</v>
      </c>
      <c r="E1523" s="1" t="s">
        <v>16487</v>
      </c>
      <c r="F1523" s="90">
        <v>45300.50540509259</v>
      </c>
      <c r="G1523" s="90">
        <v>45300.53184027778</v>
      </c>
      <c r="H1523" s="1" t="s">
        <v>16476</v>
      </c>
    </row>
    <row r="1524">
      <c r="A1524" s="89">
        <v>1355.0</v>
      </c>
      <c r="B1524" s="1" t="s">
        <v>17841</v>
      </c>
      <c r="E1524" s="1" t="s">
        <v>16487</v>
      </c>
      <c r="F1524" s="90">
        <v>45295.52287037037</v>
      </c>
      <c r="G1524" s="90">
        <v>45299.72521990741</v>
      </c>
      <c r="H1524" s="1" t="s">
        <v>16476</v>
      </c>
    </row>
    <row r="1525">
      <c r="A1525" s="89">
        <v>1363.0</v>
      </c>
      <c r="B1525" s="1" t="s">
        <v>17842</v>
      </c>
      <c r="E1525" s="1" t="s">
        <v>16475</v>
      </c>
      <c r="F1525" s="90">
        <v>45296.64429398148</v>
      </c>
      <c r="G1525" s="90">
        <v>45296.673993055556</v>
      </c>
      <c r="H1525" s="1" t="s">
        <v>16476</v>
      </c>
    </row>
    <row r="1526">
      <c r="A1526" s="89">
        <v>1362.0</v>
      </c>
      <c r="B1526" s="1" t="s">
        <v>17843</v>
      </c>
      <c r="E1526" s="1" t="s">
        <v>16475</v>
      </c>
      <c r="F1526" s="90">
        <v>45296.64336805556</v>
      </c>
      <c r="G1526" s="90">
        <v>45296.67381944445</v>
      </c>
      <c r="H1526" s="1" t="s">
        <v>16476</v>
      </c>
    </row>
    <row r="1527">
      <c r="A1527" s="89">
        <v>1361.0</v>
      </c>
      <c r="B1527" s="1" t="s">
        <v>6000</v>
      </c>
      <c r="E1527" s="1" t="s">
        <v>16487</v>
      </c>
      <c r="F1527" s="90">
        <v>45296.618125</v>
      </c>
      <c r="G1527" s="90">
        <v>45296.63594907407</v>
      </c>
      <c r="H1527" s="1" t="s">
        <v>16476</v>
      </c>
    </row>
    <row r="1528">
      <c r="A1528" s="89">
        <v>1360.0</v>
      </c>
      <c r="B1528" s="1" t="s">
        <v>546</v>
      </c>
      <c r="F1528" s="90">
        <v>45295.8996875</v>
      </c>
      <c r="G1528" s="90">
        <v>45295.9046875</v>
      </c>
      <c r="H1528" s="1" t="s">
        <v>16476</v>
      </c>
    </row>
    <row r="1529">
      <c r="A1529" s="89">
        <v>1359.0</v>
      </c>
      <c r="B1529" s="1" t="s">
        <v>546</v>
      </c>
      <c r="F1529" s="90">
        <v>45295.88958333333</v>
      </c>
      <c r="G1529" s="90">
        <v>45295.890023148146</v>
      </c>
      <c r="H1529" s="1" t="s">
        <v>16476</v>
      </c>
    </row>
    <row r="1530">
      <c r="A1530" s="89">
        <v>1354.0</v>
      </c>
      <c r="B1530" s="1" t="s">
        <v>17844</v>
      </c>
      <c r="F1530" s="90">
        <v>45281.604837962965</v>
      </c>
      <c r="G1530" s="90">
        <v>45281.610914351855</v>
      </c>
      <c r="H1530" s="1" t="s">
        <v>16476</v>
      </c>
    </row>
    <row r="1531">
      <c r="A1531" s="89">
        <v>1350.0</v>
      </c>
      <c r="B1531" s="1" t="s">
        <v>17845</v>
      </c>
      <c r="F1531" s="90">
        <v>45265.75466435185</v>
      </c>
      <c r="G1531" s="90">
        <v>45280.46413194444</v>
      </c>
      <c r="H1531" s="1" t="s">
        <v>16476</v>
      </c>
    </row>
    <row r="1532">
      <c r="A1532" s="89">
        <v>1352.0</v>
      </c>
      <c r="B1532" s="1" t="s">
        <v>17846</v>
      </c>
      <c r="F1532" s="90">
        <v>45279.55386574074</v>
      </c>
      <c r="G1532" s="90">
        <v>45279.553981481484</v>
      </c>
      <c r="H1532" s="1" t="s">
        <v>16476</v>
      </c>
    </row>
    <row r="1533">
      <c r="A1533" s="89">
        <v>1349.0</v>
      </c>
      <c r="B1533" s="1" t="s">
        <v>17847</v>
      </c>
      <c r="F1533" s="90">
        <v>45259.632256944446</v>
      </c>
      <c r="G1533" s="90">
        <v>45259.63280092592</v>
      </c>
      <c r="H1533" s="1" t="s">
        <v>16476</v>
      </c>
    </row>
    <row r="1534">
      <c r="A1534" s="89">
        <v>1331.0</v>
      </c>
      <c r="B1534" s="1" t="s">
        <v>3776</v>
      </c>
      <c r="E1534" s="1" t="s">
        <v>16485</v>
      </c>
      <c r="F1534" s="90">
        <v>45233.362349537034</v>
      </c>
      <c r="G1534" s="90">
        <v>45251.57502314815</v>
      </c>
      <c r="H1534" s="1" t="s">
        <v>16476</v>
      </c>
    </row>
    <row r="1535">
      <c r="A1535" s="89">
        <v>1333.0</v>
      </c>
      <c r="B1535" s="1" t="s">
        <v>17848</v>
      </c>
      <c r="E1535" s="1" t="s">
        <v>16485</v>
      </c>
      <c r="F1535" s="90">
        <v>45238.42736111111</v>
      </c>
      <c r="G1535" s="90">
        <v>45251.569502314815</v>
      </c>
      <c r="H1535" s="1" t="s">
        <v>16476</v>
      </c>
    </row>
    <row r="1536">
      <c r="A1536" s="89">
        <v>1348.0</v>
      </c>
      <c r="B1536" s="1" t="s">
        <v>17849</v>
      </c>
      <c r="E1536" s="1" t="s">
        <v>16487</v>
      </c>
      <c r="F1536" s="90">
        <v>45250.46991898148</v>
      </c>
      <c r="G1536" s="90">
        <v>45250.68040509259</v>
      </c>
      <c r="H1536" s="1" t="s">
        <v>16476</v>
      </c>
    </row>
    <row r="1537">
      <c r="A1537" s="89">
        <v>1347.0</v>
      </c>
      <c r="B1537" s="1" t="s">
        <v>17850</v>
      </c>
      <c r="F1537" s="90">
        <v>45246.453576388885</v>
      </c>
      <c r="G1537" s="90">
        <v>45246.45548611111</v>
      </c>
      <c r="H1537" s="1" t="s">
        <v>16476</v>
      </c>
    </row>
    <row r="1538">
      <c r="A1538" s="89">
        <v>1341.0</v>
      </c>
      <c r="B1538" s="1" t="s">
        <v>17851</v>
      </c>
      <c r="E1538" s="1" t="s">
        <v>16485</v>
      </c>
      <c r="F1538" s="90">
        <v>45245.396145833336</v>
      </c>
      <c r="G1538" s="90">
        <v>45245.40893518519</v>
      </c>
      <c r="H1538" s="1" t="s">
        <v>16476</v>
      </c>
    </row>
    <row r="1539">
      <c r="A1539" s="89">
        <v>1345.0</v>
      </c>
      <c r="B1539" s="1" t="s">
        <v>17852</v>
      </c>
      <c r="F1539" s="90">
        <v>45245.39612268518</v>
      </c>
      <c r="G1539" s="90">
        <v>45245.39875</v>
      </c>
      <c r="H1539" s="1" t="s">
        <v>16476</v>
      </c>
    </row>
    <row r="1540">
      <c r="A1540" s="89">
        <v>1334.0</v>
      </c>
      <c r="B1540" s="1" t="s">
        <v>17853</v>
      </c>
      <c r="F1540" s="90">
        <v>45239.38361111111</v>
      </c>
      <c r="G1540" s="90">
        <v>45239.38428240741</v>
      </c>
      <c r="H1540" s="1" t="s">
        <v>16476</v>
      </c>
    </row>
    <row r="1541">
      <c r="A1541" s="89">
        <v>1296.0</v>
      </c>
      <c r="B1541" s="1" t="s">
        <v>17854</v>
      </c>
      <c r="E1541" s="1" t="s">
        <v>5202</v>
      </c>
      <c r="F1541" s="90">
        <v>45223.78236111111</v>
      </c>
      <c r="G1541" s="90">
        <v>45238.64796296296</v>
      </c>
      <c r="H1541" s="1" t="s">
        <v>16476</v>
      </c>
    </row>
    <row r="1542">
      <c r="A1542" s="89">
        <v>1304.0</v>
      </c>
      <c r="B1542" s="1" t="s">
        <v>10230</v>
      </c>
      <c r="E1542" s="1" t="s">
        <v>5202</v>
      </c>
      <c r="F1542" s="90">
        <v>45226.599375</v>
      </c>
      <c r="G1542" s="90">
        <v>45238.39824074074</v>
      </c>
      <c r="H1542" s="1" t="s">
        <v>16476</v>
      </c>
    </row>
    <row r="1543">
      <c r="A1543" s="89">
        <v>1332.0</v>
      </c>
      <c r="B1543" s="1" t="s">
        <v>17855</v>
      </c>
      <c r="F1543" s="90">
        <v>45236.49508101852</v>
      </c>
      <c r="G1543" s="90">
        <v>45236.4952662037</v>
      </c>
      <c r="H1543" s="1" t="s">
        <v>16476</v>
      </c>
    </row>
    <row r="1544">
      <c r="A1544" s="89">
        <v>1320.0</v>
      </c>
      <c r="B1544" s="1" t="s">
        <v>11676</v>
      </c>
      <c r="E1544" s="1" t="s">
        <v>16485</v>
      </c>
      <c r="F1544" s="90">
        <v>45233.36821759259</v>
      </c>
      <c r="G1544" s="90">
        <v>45236.36534722222</v>
      </c>
      <c r="H1544" s="1" t="s">
        <v>16476</v>
      </c>
    </row>
    <row r="1545">
      <c r="A1545" s="89">
        <v>1305.0</v>
      </c>
      <c r="B1545" s="1" t="s">
        <v>17856</v>
      </c>
      <c r="F1545" s="90">
        <v>45233.35700231481</v>
      </c>
      <c r="G1545" s="90">
        <v>45233.35775462963</v>
      </c>
      <c r="H1545" s="1" t="s">
        <v>16476</v>
      </c>
    </row>
    <row r="1546">
      <c r="A1546" s="89">
        <v>1303.0</v>
      </c>
      <c r="B1546" s="1" t="s">
        <v>17857</v>
      </c>
      <c r="F1546" s="90">
        <v>45225.55038194444</v>
      </c>
      <c r="G1546" s="90">
        <v>45225.56396990741</v>
      </c>
      <c r="H1546" s="1" t="s">
        <v>16476</v>
      </c>
    </row>
    <row r="1547">
      <c r="A1547" s="89">
        <v>1302.0</v>
      </c>
      <c r="B1547" s="1" t="s">
        <v>17858</v>
      </c>
      <c r="F1547" s="90">
        <v>45194.44541666667</v>
      </c>
      <c r="G1547" s="90">
        <v>45224.660046296296</v>
      </c>
      <c r="H1547" s="1" t="s">
        <v>16476</v>
      </c>
    </row>
    <row r="1548">
      <c r="A1548" s="89">
        <v>1301.0</v>
      </c>
      <c r="B1548" s="1" t="s">
        <v>17859</v>
      </c>
      <c r="F1548" s="90">
        <v>45224.62961805556</v>
      </c>
      <c r="G1548" s="90">
        <v>45224.63170138889</v>
      </c>
      <c r="H1548" s="1" t="s">
        <v>16476</v>
      </c>
    </row>
    <row r="1549">
      <c r="A1549" s="89">
        <v>1300.0</v>
      </c>
      <c r="B1549" s="1" t="s">
        <v>14751</v>
      </c>
      <c r="F1549" s="90">
        <v>45224.62289351852</v>
      </c>
      <c r="G1549" s="90">
        <v>45224.62333333334</v>
      </c>
      <c r="H1549" s="1" t="s">
        <v>16476</v>
      </c>
    </row>
    <row r="1550">
      <c r="A1550" s="89">
        <v>1299.0</v>
      </c>
      <c r="B1550" s="1" t="s">
        <v>17860</v>
      </c>
      <c r="F1550" s="90">
        <v>45223.992002314815</v>
      </c>
      <c r="G1550" s="90">
        <v>45224.01204861111</v>
      </c>
      <c r="H1550" s="1" t="s">
        <v>16476</v>
      </c>
    </row>
    <row r="1551">
      <c r="A1551" s="89">
        <v>1298.0</v>
      </c>
      <c r="B1551" s="1" t="s">
        <v>17861</v>
      </c>
      <c r="F1551" s="90">
        <v>45223.82424768519</v>
      </c>
      <c r="G1551" s="90">
        <v>45223.98736111111</v>
      </c>
      <c r="H1551" s="1" t="s">
        <v>16476</v>
      </c>
    </row>
    <row r="1552">
      <c r="A1552" s="89">
        <v>1297.0</v>
      </c>
      <c r="B1552" s="1" t="s">
        <v>17862</v>
      </c>
      <c r="F1552" s="90">
        <v>45223.805983796294</v>
      </c>
      <c r="G1552" s="90">
        <v>45223.80614583333</v>
      </c>
      <c r="H1552" s="1" t="s">
        <v>16476</v>
      </c>
    </row>
    <row r="1553">
      <c r="A1553" s="89">
        <v>1295.0</v>
      </c>
      <c r="B1553" s="1" t="s">
        <v>17863</v>
      </c>
      <c r="E1553" s="1" t="s">
        <v>5202</v>
      </c>
      <c r="F1553" s="90">
        <v>45223.509467592594</v>
      </c>
      <c r="G1553" s="90">
        <v>45223.52579861111</v>
      </c>
      <c r="H1553" s="1" t="s">
        <v>16476</v>
      </c>
    </row>
    <row r="1554">
      <c r="A1554" s="89">
        <v>1281.0</v>
      </c>
      <c r="B1554" s="1" t="s">
        <v>17864</v>
      </c>
      <c r="E1554" s="1" t="s">
        <v>16475</v>
      </c>
      <c r="F1554" s="90">
        <v>45204.64383101852</v>
      </c>
      <c r="G1554" s="90">
        <v>45223.51650462963</v>
      </c>
      <c r="H1554" s="1" t="s">
        <v>16476</v>
      </c>
    </row>
    <row r="1555">
      <c r="A1555" s="89">
        <v>1293.0</v>
      </c>
      <c r="B1555" s="1" t="s">
        <v>17865</v>
      </c>
      <c r="E1555" s="1" t="s">
        <v>5202</v>
      </c>
      <c r="F1555" s="90">
        <v>45219.62420138889</v>
      </c>
      <c r="G1555" s="90">
        <v>45219.6400462963</v>
      </c>
      <c r="H1555" s="1" t="s">
        <v>16476</v>
      </c>
    </row>
    <row r="1556">
      <c r="A1556" s="89">
        <v>1292.0</v>
      </c>
      <c r="B1556" s="1" t="s">
        <v>17866</v>
      </c>
      <c r="E1556" s="1" t="s">
        <v>16475</v>
      </c>
      <c r="F1556" s="90">
        <v>45218.622662037036</v>
      </c>
      <c r="G1556" s="90">
        <v>45218.64059027778</v>
      </c>
      <c r="H1556" s="1" t="s">
        <v>16476</v>
      </c>
    </row>
    <row r="1557">
      <c r="A1557" s="89">
        <v>1290.0</v>
      </c>
      <c r="B1557" s="1" t="s">
        <v>17867</v>
      </c>
      <c r="E1557" s="1" t="s">
        <v>16475</v>
      </c>
      <c r="F1557" s="90">
        <v>45218.62181712963</v>
      </c>
      <c r="G1557" s="90">
        <v>45218.63929398148</v>
      </c>
      <c r="H1557" s="1" t="s">
        <v>16476</v>
      </c>
    </row>
    <row r="1558">
      <c r="A1558" s="89">
        <v>1291.0</v>
      </c>
      <c r="B1558" s="1" t="s">
        <v>17868</v>
      </c>
      <c r="E1558" s="1" t="s">
        <v>5202</v>
      </c>
      <c r="F1558" s="90">
        <v>45218.62204861111</v>
      </c>
      <c r="G1558" s="90">
        <v>45218.638194444444</v>
      </c>
      <c r="H1558" s="1" t="s">
        <v>16476</v>
      </c>
    </row>
    <row r="1559">
      <c r="A1559" s="89">
        <v>1275.0</v>
      </c>
      <c r="B1559" s="1" t="s">
        <v>5950</v>
      </c>
      <c r="E1559" s="1" t="s">
        <v>16475</v>
      </c>
      <c r="F1559" s="90">
        <v>45204.6375462963</v>
      </c>
      <c r="G1559" s="90">
        <v>45215.40667824074</v>
      </c>
      <c r="H1559" s="1" t="s">
        <v>16476</v>
      </c>
    </row>
    <row r="1560">
      <c r="A1560" s="89">
        <v>1286.0</v>
      </c>
      <c r="B1560" s="1" t="s">
        <v>17869</v>
      </c>
      <c r="E1560" s="1" t="s">
        <v>5202</v>
      </c>
      <c r="F1560" s="90">
        <v>45211.622766203705</v>
      </c>
      <c r="G1560" s="90">
        <v>45215.40621527778</v>
      </c>
      <c r="H1560" s="1" t="s">
        <v>16476</v>
      </c>
    </row>
    <row r="1561">
      <c r="A1561" s="89">
        <v>1287.0</v>
      </c>
      <c r="B1561" s="1" t="s">
        <v>12919</v>
      </c>
      <c r="E1561" s="1" t="s">
        <v>16475</v>
      </c>
      <c r="F1561" s="90">
        <v>45211.62283564815</v>
      </c>
      <c r="G1561" s="90">
        <v>45211.64141203704</v>
      </c>
      <c r="H1561" s="1" t="s">
        <v>16476</v>
      </c>
    </row>
    <row r="1562">
      <c r="A1562" s="89">
        <v>1288.0</v>
      </c>
      <c r="B1562" s="1" t="s">
        <v>17870</v>
      </c>
      <c r="E1562" s="1" t="s">
        <v>16475</v>
      </c>
      <c r="F1562" s="90">
        <v>45211.62719907407</v>
      </c>
      <c r="G1562" s="90">
        <v>45211.64047453704</v>
      </c>
      <c r="H1562" s="1" t="s">
        <v>16476</v>
      </c>
    </row>
    <row r="1563">
      <c r="A1563" s="89">
        <v>1285.0</v>
      </c>
      <c r="B1563" s="1" t="s">
        <v>17871</v>
      </c>
      <c r="E1563" s="1" t="s">
        <v>16475</v>
      </c>
      <c r="F1563" s="90">
        <v>45211.55844907407</v>
      </c>
      <c r="G1563" s="90">
        <v>45211.56993055555</v>
      </c>
      <c r="H1563" s="1" t="s">
        <v>16476</v>
      </c>
    </row>
    <row r="1564">
      <c r="A1564" s="89">
        <v>1284.0</v>
      </c>
      <c r="B1564" s="1" t="s">
        <v>17872</v>
      </c>
      <c r="F1564" s="90">
        <v>45210.96938657408</v>
      </c>
      <c r="G1564" s="90">
        <v>45210.970868055556</v>
      </c>
      <c r="H1564" s="1" t="s">
        <v>16476</v>
      </c>
    </row>
    <row r="1565">
      <c r="A1565" s="89">
        <v>1282.0</v>
      </c>
      <c r="B1565" s="1" t="s">
        <v>14183</v>
      </c>
      <c r="E1565" s="1" t="s">
        <v>5202</v>
      </c>
      <c r="F1565" s="90">
        <v>45209.63841435185</v>
      </c>
      <c r="G1565" s="90">
        <v>45209.656747685185</v>
      </c>
      <c r="H1565" s="1" t="s">
        <v>16476</v>
      </c>
    </row>
    <row r="1566">
      <c r="A1566" s="89">
        <v>1283.0</v>
      </c>
      <c r="B1566" s="1" t="s">
        <v>17873</v>
      </c>
      <c r="E1566" s="1" t="s">
        <v>16475</v>
      </c>
      <c r="F1566" s="90">
        <v>45209.626909722225</v>
      </c>
      <c r="G1566" s="90">
        <v>45209.64755787037</v>
      </c>
      <c r="H1566" s="1" t="s">
        <v>16476</v>
      </c>
    </row>
    <row r="1567">
      <c r="A1567" s="89">
        <v>1280.0</v>
      </c>
      <c r="B1567" s="1" t="s">
        <v>17874</v>
      </c>
      <c r="E1567" s="1" t="s">
        <v>5202</v>
      </c>
      <c r="F1567" s="90">
        <v>45209.63255787037</v>
      </c>
      <c r="G1567" s="90">
        <v>45209.64649305555</v>
      </c>
      <c r="H1567" s="1" t="s">
        <v>16476</v>
      </c>
    </row>
    <row r="1568">
      <c r="A1568" s="89">
        <v>1279.0</v>
      </c>
      <c r="B1568" s="1" t="s">
        <v>7189</v>
      </c>
      <c r="E1568" s="1" t="s">
        <v>16475</v>
      </c>
      <c r="F1568" s="90">
        <v>45204.640185185184</v>
      </c>
      <c r="G1568" s="90">
        <v>45209.64299768519</v>
      </c>
      <c r="H1568" s="1" t="s">
        <v>16476</v>
      </c>
    </row>
    <row r="1569">
      <c r="A1569" s="89">
        <v>1277.0</v>
      </c>
      <c r="B1569" s="1" t="s">
        <v>13081</v>
      </c>
      <c r="E1569" s="1" t="s">
        <v>16475</v>
      </c>
      <c r="F1569" s="90">
        <v>45204.64037037037</v>
      </c>
      <c r="G1569" s="90">
        <v>45209.6408912037</v>
      </c>
      <c r="H1569" s="1" t="s">
        <v>16476</v>
      </c>
    </row>
    <row r="1570">
      <c r="A1570" s="89">
        <v>1274.0</v>
      </c>
      <c r="B1570" s="1" t="s">
        <v>17367</v>
      </c>
      <c r="E1570" s="1" t="s">
        <v>16475</v>
      </c>
      <c r="F1570" s="90">
        <v>45204.63555555556</v>
      </c>
      <c r="G1570" s="90">
        <v>45204.686689814815</v>
      </c>
      <c r="H1570" s="1" t="s">
        <v>16476</v>
      </c>
    </row>
    <row r="1571">
      <c r="A1571" s="89">
        <v>1278.0</v>
      </c>
      <c r="B1571" s="1" t="s">
        <v>17875</v>
      </c>
      <c r="F1571" s="90">
        <v>45204.64020833333</v>
      </c>
      <c r="G1571" s="90">
        <v>45204.642060185186</v>
      </c>
      <c r="H1571" s="1" t="s">
        <v>16476</v>
      </c>
    </row>
    <row r="1572">
      <c r="A1572" s="89">
        <v>1272.0</v>
      </c>
      <c r="B1572" s="1" t="s">
        <v>17876</v>
      </c>
      <c r="F1572" s="90">
        <v>45197.03693287037</v>
      </c>
      <c r="G1572" s="90">
        <v>45197.037314814814</v>
      </c>
      <c r="H1572" s="1" t="s">
        <v>16476</v>
      </c>
    </row>
    <row r="1573">
      <c r="A1573" s="1">
        <v>2.0</v>
      </c>
      <c r="B1573" s="1" t="s">
        <v>17877</v>
      </c>
      <c r="E1573" s="1" t="s">
        <v>5202</v>
      </c>
      <c r="F1573" s="90">
        <v>45090.507835648146</v>
      </c>
      <c r="G1573" s="90">
        <v>45190.61603009259</v>
      </c>
      <c r="H1573" s="1" t="s">
        <v>16476</v>
      </c>
    </row>
    <row r="1574">
      <c r="A1574" s="89">
        <v>1270.0</v>
      </c>
      <c r="B1574" s="1" t="s">
        <v>17878</v>
      </c>
      <c r="F1574" s="90">
        <v>45145.64396990741</v>
      </c>
      <c r="G1574" s="90">
        <v>45145.64527777778</v>
      </c>
      <c r="H1574" s="1" t="s">
        <v>16476</v>
      </c>
    </row>
    <row r="1575">
      <c r="A1575" s="89">
        <v>1267.0</v>
      </c>
      <c r="B1575" s="1" t="s">
        <v>17879</v>
      </c>
      <c r="E1575" s="1" t="s">
        <v>5202</v>
      </c>
      <c r="F1575" s="90">
        <v>45121.649976851855</v>
      </c>
      <c r="G1575" s="90">
        <v>45138.92361111111</v>
      </c>
      <c r="H1575" s="1" t="s">
        <v>16476</v>
      </c>
    </row>
    <row r="1576">
      <c r="A1576" s="1">
        <v>11.0</v>
      </c>
      <c r="B1576" s="1" t="s">
        <v>17880</v>
      </c>
      <c r="E1576" s="1" t="s">
        <v>16475</v>
      </c>
      <c r="F1576" s="90">
        <v>45099.72677083333</v>
      </c>
      <c r="G1576" s="90">
        <v>45138.92359953704</v>
      </c>
      <c r="H1576" s="1" t="s">
        <v>16476</v>
      </c>
    </row>
    <row r="1577">
      <c r="A1577" s="1">
        <v>9.0</v>
      </c>
      <c r="B1577" s="1" t="s">
        <v>17881</v>
      </c>
      <c r="E1577" s="1" t="s">
        <v>16475</v>
      </c>
      <c r="F1577" s="90">
        <v>45095.91473379629</v>
      </c>
      <c r="G1577" s="90">
        <v>45138.92359953704</v>
      </c>
      <c r="H1577" s="1" t="s">
        <v>16476</v>
      </c>
    </row>
    <row r="1578">
      <c r="A1578" s="1">
        <v>8.0</v>
      </c>
      <c r="B1578" s="1" t="s">
        <v>17882</v>
      </c>
      <c r="E1578" s="1" t="s">
        <v>16475</v>
      </c>
      <c r="F1578" s="90">
        <v>45093.7494212963</v>
      </c>
      <c r="G1578" s="90">
        <v>45138.92359953704</v>
      </c>
      <c r="H1578" s="1" t="s">
        <v>16476</v>
      </c>
    </row>
    <row r="1579">
      <c r="A1579" s="1">
        <v>7.0</v>
      </c>
      <c r="B1579" s="1" t="s">
        <v>17883</v>
      </c>
      <c r="E1579" s="1" t="s">
        <v>5202</v>
      </c>
      <c r="F1579" s="90">
        <v>45092.40744212963</v>
      </c>
      <c r="G1579" s="90">
        <v>45138.92358796296</v>
      </c>
      <c r="H1579" s="1" t="s">
        <v>16476</v>
      </c>
    </row>
    <row r="1580">
      <c r="A1580" s="1">
        <v>3.0</v>
      </c>
      <c r="B1580" s="1" t="s">
        <v>17884</v>
      </c>
      <c r="E1580" s="1" t="s">
        <v>16475</v>
      </c>
      <c r="F1580" s="90">
        <v>45090.50814814815</v>
      </c>
      <c r="G1580" s="90">
        <v>45138.92357638889</v>
      </c>
      <c r="H1580" s="1" t="s">
        <v>16476</v>
      </c>
    </row>
    <row r="1581">
      <c r="A1581" s="1">
        <v>12.0</v>
      </c>
      <c r="B1581" s="1" t="s">
        <v>17882</v>
      </c>
      <c r="E1581" s="1" t="s">
        <v>16475</v>
      </c>
      <c r="F1581" s="90">
        <v>45100.72758101852</v>
      </c>
      <c r="G1581" s="90">
        <v>45138.92356481482</v>
      </c>
      <c r="H1581" s="1" t="s">
        <v>16476</v>
      </c>
    </row>
    <row r="1582">
      <c r="A1582" s="89">
        <v>1266.0</v>
      </c>
      <c r="B1582" s="1" t="s">
        <v>17885</v>
      </c>
      <c r="F1582" s="90">
        <v>45120.5468287037</v>
      </c>
      <c r="G1582" s="90">
        <v>45120.54820601852</v>
      </c>
      <c r="H1582" s="1" t="s">
        <v>16476</v>
      </c>
    </row>
    <row r="1583">
      <c r="A1583" s="89">
        <v>1265.0</v>
      </c>
      <c r="B1583" s="1" t="s">
        <v>17886</v>
      </c>
      <c r="F1583" s="90">
        <v>45118.567407407405</v>
      </c>
      <c r="G1583" s="90">
        <v>45118.57013888889</v>
      </c>
      <c r="H1583" s="1" t="s">
        <v>16476</v>
      </c>
    </row>
    <row r="1584">
      <c r="A1584" s="89">
        <v>1235.0</v>
      </c>
      <c r="B1584" s="1" t="s">
        <v>17887</v>
      </c>
      <c r="E1584" s="1" t="s">
        <v>16485</v>
      </c>
      <c r="F1584" s="90">
        <v>45113.55868055556</v>
      </c>
      <c r="G1584" s="90">
        <v>45113.55868055556</v>
      </c>
      <c r="H1584" s="1" t="s">
        <v>16476</v>
      </c>
    </row>
    <row r="1585">
      <c r="A1585" s="89">
        <v>1229.0</v>
      </c>
      <c r="B1585" s="1" t="s">
        <v>17888</v>
      </c>
      <c r="E1585" s="1" t="s">
        <v>16481</v>
      </c>
      <c r="F1585" s="90">
        <v>45113.558587962965</v>
      </c>
      <c r="G1585" s="90">
        <v>45113.558587962965</v>
      </c>
      <c r="H1585" s="1" t="s">
        <v>16476</v>
      </c>
    </row>
    <row r="1586">
      <c r="A1586" s="89">
        <v>1228.0</v>
      </c>
      <c r="B1586" s="1" t="s">
        <v>17889</v>
      </c>
      <c r="E1586" s="1" t="s">
        <v>16481</v>
      </c>
      <c r="F1586" s="90">
        <v>45113.55857638889</v>
      </c>
      <c r="G1586" s="90">
        <v>45113.55857638889</v>
      </c>
      <c r="H1586" s="1" t="s">
        <v>16476</v>
      </c>
    </row>
    <row r="1587">
      <c r="A1587" s="89">
        <v>1221.0</v>
      </c>
      <c r="B1587" s="1" t="s">
        <v>17890</v>
      </c>
      <c r="E1587" s="1" t="s">
        <v>5202</v>
      </c>
      <c r="F1587" s="90">
        <v>45113.55847222222</v>
      </c>
      <c r="G1587" s="90">
        <v>45113.55847222222</v>
      </c>
      <c r="H1587" s="1" t="s">
        <v>16476</v>
      </c>
    </row>
    <row r="1588">
      <c r="A1588" s="89">
        <v>1215.0</v>
      </c>
      <c r="B1588" s="1" t="s">
        <v>17891</v>
      </c>
      <c r="E1588" s="1" t="s">
        <v>16485</v>
      </c>
      <c r="F1588" s="90">
        <v>45113.55837962963</v>
      </c>
      <c r="G1588" s="90">
        <v>45113.55837962963</v>
      </c>
      <c r="H1588" s="1" t="s">
        <v>16476</v>
      </c>
    </row>
    <row r="1589">
      <c r="A1589" s="89">
        <v>1191.0</v>
      </c>
      <c r="B1589" s="1" t="s">
        <v>17892</v>
      </c>
      <c r="E1589" s="1" t="s">
        <v>5202</v>
      </c>
      <c r="F1589" s="90">
        <v>45113.55804398148</v>
      </c>
      <c r="G1589" s="90">
        <v>45113.55804398148</v>
      </c>
      <c r="H1589" s="1" t="s">
        <v>16476</v>
      </c>
    </row>
    <row r="1590">
      <c r="A1590" s="89">
        <v>1190.0</v>
      </c>
      <c r="B1590" s="1" t="s">
        <v>17893</v>
      </c>
      <c r="E1590" s="1" t="s">
        <v>16481</v>
      </c>
      <c r="F1590" s="90">
        <v>45113.558020833334</v>
      </c>
      <c r="G1590" s="90">
        <v>45113.558020833334</v>
      </c>
      <c r="H1590" s="1" t="s">
        <v>16476</v>
      </c>
    </row>
    <row r="1591">
      <c r="A1591" s="89">
        <v>1185.0</v>
      </c>
      <c r="B1591" s="1" t="s">
        <v>17894</v>
      </c>
      <c r="E1591" s="1" t="s">
        <v>5202</v>
      </c>
      <c r="F1591" s="90">
        <v>45113.55795138889</v>
      </c>
      <c r="G1591" s="90">
        <v>45113.55795138889</v>
      </c>
      <c r="H1591" s="1" t="s">
        <v>16476</v>
      </c>
    </row>
    <row r="1592">
      <c r="A1592" s="89">
        <v>1183.0</v>
      </c>
      <c r="B1592" s="1" t="s">
        <v>17895</v>
      </c>
      <c r="E1592" s="1" t="s">
        <v>5202</v>
      </c>
      <c r="F1592" s="90">
        <v>45113.55792824074</v>
      </c>
      <c r="G1592" s="90">
        <v>45113.55792824074</v>
      </c>
      <c r="H1592" s="1" t="s">
        <v>16476</v>
      </c>
    </row>
    <row r="1593">
      <c r="A1593" s="89">
        <v>1180.0</v>
      </c>
      <c r="B1593" s="1" t="s">
        <v>17896</v>
      </c>
      <c r="E1593" s="1" t="s">
        <v>16485</v>
      </c>
      <c r="F1593" s="90">
        <v>45113.55788194444</v>
      </c>
      <c r="G1593" s="90">
        <v>45113.55788194444</v>
      </c>
      <c r="H1593" s="1" t="s">
        <v>16476</v>
      </c>
    </row>
    <row r="1594">
      <c r="A1594" s="89">
        <v>1168.0</v>
      </c>
      <c r="B1594" s="1" t="s">
        <v>17897</v>
      </c>
      <c r="E1594" s="1" t="s">
        <v>16485</v>
      </c>
      <c r="F1594" s="90">
        <v>45113.557708333334</v>
      </c>
      <c r="G1594" s="90">
        <v>45113.557708333334</v>
      </c>
      <c r="H1594" s="1" t="s">
        <v>16476</v>
      </c>
    </row>
    <row r="1595">
      <c r="A1595" s="89">
        <v>1167.0</v>
      </c>
      <c r="B1595" s="1" t="s">
        <v>17898</v>
      </c>
      <c r="E1595" s="1" t="s">
        <v>16481</v>
      </c>
      <c r="F1595" s="90">
        <v>45113.55769675926</v>
      </c>
      <c r="G1595" s="90">
        <v>45113.55769675926</v>
      </c>
      <c r="H1595" s="1" t="s">
        <v>16476</v>
      </c>
    </row>
    <row r="1596">
      <c r="A1596" s="89">
        <v>1158.0</v>
      </c>
      <c r="B1596" s="1" t="s">
        <v>17899</v>
      </c>
      <c r="E1596" s="1" t="s">
        <v>16485</v>
      </c>
      <c r="F1596" s="90">
        <v>45113.557546296295</v>
      </c>
      <c r="G1596" s="90">
        <v>45113.557546296295</v>
      </c>
      <c r="H1596" s="1" t="s">
        <v>16476</v>
      </c>
    </row>
    <row r="1597">
      <c r="A1597" s="89">
        <v>1145.0</v>
      </c>
      <c r="B1597" s="1" t="s">
        <v>17900</v>
      </c>
      <c r="E1597" s="1" t="s">
        <v>5202</v>
      </c>
      <c r="F1597" s="90">
        <v>45113.55734953703</v>
      </c>
      <c r="G1597" s="90">
        <v>45113.55734953703</v>
      </c>
      <c r="H1597" s="1" t="s">
        <v>16476</v>
      </c>
    </row>
    <row r="1598">
      <c r="A1598" s="89">
        <v>1140.0</v>
      </c>
      <c r="B1598" s="1" t="s">
        <v>17901</v>
      </c>
      <c r="E1598" s="1" t="s">
        <v>16475</v>
      </c>
      <c r="F1598" s="90">
        <v>45113.557280092595</v>
      </c>
      <c r="G1598" s="90">
        <v>45113.557280092595</v>
      </c>
      <c r="H1598" s="1" t="s">
        <v>16476</v>
      </c>
    </row>
    <row r="1599">
      <c r="A1599" s="89">
        <v>1138.0</v>
      </c>
      <c r="B1599" s="1" t="s">
        <v>17902</v>
      </c>
      <c r="F1599" s="90">
        <v>45113.55724537037</v>
      </c>
      <c r="G1599" s="90">
        <v>45113.55724537037</v>
      </c>
      <c r="H1599" s="1" t="s">
        <v>16476</v>
      </c>
    </row>
    <row r="1600">
      <c r="A1600" s="89">
        <v>1137.0</v>
      </c>
      <c r="B1600" s="1" t="s">
        <v>17903</v>
      </c>
      <c r="E1600" s="1" t="s">
        <v>5202</v>
      </c>
      <c r="F1600" s="90">
        <v>45113.557233796295</v>
      </c>
      <c r="G1600" s="90">
        <v>45113.557233796295</v>
      </c>
      <c r="H1600" s="1" t="s">
        <v>16476</v>
      </c>
    </row>
    <row r="1601">
      <c r="A1601" s="89">
        <v>1125.0</v>
      </c>
      <c r="B1601" s="1" t="s">
        <v>17904</v>
      </c>
      <c r="E1601" s="1" t="s">
        <v>5202</v>
      </c>
      <c r="F1601" s="90">
        <v>45113.55706018519</v>
      </c>
      <c r="G1601" s="90">
        <v>45113.55706018519</v>
      </c>
      <c r="H1601" s="1" t="s">
        <v>16476</v>
      </c>
    </row>
    <row r="1602">
      <c r="A1602" s="89">
        <v>1122.0</v>
      </c>
      <c r="B1602" s="1" t="s">
        <v>17905</v>
      </c>
      <c r="E1602" s="1" t="s">
        <v>16485</v>
      </c>
      <c r="F1602" s="90">
        <v>45113.55701388889</v>
      </c>
      <c r="G1602" s="90">
        <v>45113.55701388889</v>
      </c>
      <c r="H1602" s="1" t="s">
        <v>16476</v>
      </c>
    </row>
    <row r="1603">
      <c r="A1603" s="89">
        <v>1116.0</v>
      </c>
      <c r="B1603" s="1" t="s">
        <v>2576</v>
      </c>
      <c r="E1603" s="1" t="s">
        <v>16475</v>
      </c>
      <c r="F1603" s="90">
        <v>45113.55693287037</v>
      </c>
      <c r="G1603" s="90">
        <v>45113.55693287037</v>
      </c>
      <c r="H1603" s="1" t="s">
        <v>16476</v>
      </c>
    </row>
    <row r="1604">
      <c r="A1604" s="89">
        <v>1114.0</v>
      </c>
      <c r="B1604" s="1" t="s">
        <v>17906</v>
      </c>
      <c r="E1604" s="1" t="s">
        <v>5202</v>
      </c>
      <c r="F1604" s="90">
        <v>45113.55689814815</v>
      </c>
      <c r="G1604" s="90">
        <v>45113.55689814815</v>
      </c>
      <c r="H1604" s="1" t="s">
        <v>16476</v>
      </c>
    </row>
    <row r="1605">
      <c r="A1605" s="89">
        <v>1112.0</v>
      </c>
      <c r="B1605" s="1" t="s">
        <v>17907</v>
      </c>
      <c r="E1605" s="1" t="s">
        <v>16481</v>
      </c>
      <c r="F1605" s="90">
        <v>45113.556863425925</v>
      </c>
      <c r="G1605" s="90">
        <v>45113.556863425925</v>
      </c>
      <c r="H1605" s="1" t="s">
        <v>16476</v>
      </c>
    </row>
    <row r="1606">
      <c r="A1606" s="89">
        <v>1111.0</v>
      </c>
      <c r="B1606" s="1" t="s">
        <v>17908</v>
      </c>
      <c r="E1606" s="1" t="s">
        <v>16485</v>
      </c>
      <c r="F1606" s="90">
        <v>45113.55685185185</v>
      </c>
      <c r="G1606" s="90">
        <v>45113.55685185185</v>
      </c>
      <c r="H1606" s="1" t="s">
        <v>16476</v>
      </c>
    </row>
    <row r="1607">
      <c r="A1607" s="89">
        <v>1099.0</v>
      </c>
      <c r="B1607" s="1" t="s">
        <v>17909</v>
      </c>
      <c r="E1607" s="1" t="s">
        <v>16475</v>
      </c>
      <c r="F1607" s="90">
        <v>45113.55667824074</v>
      </c>
      <c r="G1607" s="90">
        <v>45113.55667824074</v>
      </c>
      <c r="H1607" s="1" t="s">
        <v>16476</v>
      </c>
    </row>
    <row r="1608">
      <c r="A1608" s="89">
        <v>1095.0</v>
      </c>
      <c r="B1608" s="1" t="s">
        <v>17910</v>
      </c>
      <c r="E1608" s="1" t="s">
        <v>5202</v>
      </c>
      <c r="F1608" s="90">
        <v>45113.55662037037</v>
      </c>
      <c r="G1608" s="90">
        <v>45113.55662037037</v>
      </c>
      <c r="H1608" s="1" t="s">
        <v>16476</v>
      </c>
    </row>
    <row r="1609">
      <c r="A1609" s="89">
        <v>1076.0</v>
      </c>
      <c r="B1609" s="1" t="s">
        <v>17911</v>
      </c>
      <c r="E1609" s="1" t="s">
        <v>16475</v>
      </c>
      <c r="F1609" s="90">
        <v>45113.556342592594</v>
      </c>
      <c r="G1609" s="90">
        <v>45113.556342592594</v>
      </c>
      <c r="H1609" s="1" t="s">
        <v>16476</v>
      </c>
    </row>
    <row r="1610">
      <c r="A1610" s="89">
        <v>1073.0</v>
      </c>
      <c r="B1610" s="1" t="s">
        <v>17912</v>
      </c>
      <c r="E1610" s="1" t="s">
        <v>16481</v>
      </c>
      <c r="F1610" s="90">
        <v>45113.556296296294</v>
      </c>
      <c r="G1610" s="90">
        <v>45113.556296296294</v>
      </c>
      <c r="H1610" s="1" t="s">
        <v>16476</v>
      </c>
    </row>
    <row r="1611">
      <c r="A1611" s="89">
        <v>1064.0</v>
      </c>
      <c r="B1611" s="1" t="s">
        <v>17913</v>
      </c>
      <c r="E1611" s="1" t="s">
        <v>5202</v>
      </c>
      <c r="F1611" s="90">
        <v>45113.55616898148</v>
      </c>
      <c r="G1611" s="90">
        <v>45113.55616898148</v>
      </c>
      <c r="H1611" s="1" t="s">
        <v>16476</v>
      </c>
    </row>
    <row r="1612">
      <c r="A1612" s="89">
        <v>1057.0</v>
      </c>
      <c r="B1612" s="1" t="s">
        <v>17914</v>
      </c>
      <c r="E1612" s="1" t="s">
        <v>16475</v>
      </c>
      <c r="F1612" s="90">
        <v>45113.55606481482</v>
      </c>
      <c r="G1612" s="90">
        <v>45113.55606481482</v>
      </c>
      <c r="H1612" s="1" t="s">
        <v>16476</v>
      </c>
    </row>
    <row r="1613">
      <c r="A1613" s="89">
        <v>1053.0</v>
      </c>
      <c r="B1613" s="1" t="s">
        <v>17915</v>
      </c>
      <c r="E1613" s="1" t="s">
        <v>16475</v>
      </c>
      <c r="F1613" s="90">
        <v>45113.55600694445</v>
      </c>
      <c r="G1613" s="90">
        <v>45113.55600694445</v>
      </c>
      <c r="H1613" s="1" t="s">
        <v>16476</v>
      </c>
    </row>
    <row r="1614">
      <c r="A1614" s="89">
        <v>1051.0</v>
      </c>
      <c r="B1614" s="1" t="s">
        <v>17916</v>
      </c>
      <c r="E1614" s="1" t="s">
        <v>5202</v>
      </c>
      <c r="F1614" s="90">
        <v>45113.555972222224</v>
      </c>
      <c r="G1614" s="90">
        <v>45113.555972222224</v>
      </c>
      <c r="H1614" s="1" t="s">
        <v>16476</v>
      </c>
    </row>
    <row r="1615">
      <c r="A1615" s="89">
        <v>1048.0</v>
      </c>
      <c r="B1615" s="1" t="s">
        <v>17917</v>
      </c>
      <c r="E1615" s="1" t="s">
        <v>5202</v>
      </c>
      <c r="F1615" s="90">
        <v>45113.5559375</v>
      </c>
      <c r="G1615" s="90">
        <v>45113.5559375</v>
      </c>
      <c r="H1615" s="1" t="s">
        <v>16476</v>
      </c>
    </row>
    <row r="1616">
      <c r="A1616" s="89">
        <v>1040.0</v>
      </c>
      <c r="B1616" s="1" t="s">
        <v>17918</v>
      </c>
      <c r="E1616" s="1" t="s">
        <v>16475</v>
      </c>
      <c r="F1616" s="90">
        <v>45113.55582175926</v>
      </c>
      <c r="G1616" s="90">
        <v>45113.55582175926</v>
      </c>
      <c r="H1616" s="1" t="s">
        <v>16476</v>
      </c>
    </row>
    <row r="1617">
      <c r="A1617" s="89">
        <v>1039.0</v>
      </c>
      <c r="B1617" s="1" t="s">
        <v>17919</v>
      </c>
      <c r="E1617" s="1" t="s">
        <v>5202</v>
      </c>
      <c r="F1617" s="90">
        <v>45113.55579861111</v>
      </c>
      <c r="G1617" s="90">
        <v>45113.55579861111</v>
      </c>
      <c r="H1617" s="1" t="s">
        <v>16476</v>
      </c>
    </row>
    <row r="1618">
      <c r="A1618" s="89">
        <v>1021.0</v>
      </c>
      <c r="B1618" s="1" t="s">
        <v>17920</v>
      </c>
      <c r="E1618" s="1" t="s">
        <v>5202</v>
      </c>
      <c r="F1618" s="90">
        <v>45113.55554398148</v>
      </c>
      <c r="G1618" s="90">
        <v>45113.55554398148</v>
      </c>
      <c r="H1618" s="1" t="s">
        <v>16476</v>
      </c>
    </row>
    <row r="1619">
      <c r="A1619" s="1">
        <v>995.0</v>
      </c>
      <c r="B1619" s="1" t="s">
        <v>17921</v>
      </c>
      <c r="E1619" s="1" t="s">
        <v>16485</v>
      </c>
      <c r="F1619" s="90">
        <v>45113.55516203704</v>
      </c>
      <c r="G1619" s="90">
        <v>45113.55516203704</v>
      </c>
      <c r="H1619" s="1" t="s">
        <v>16476</v>
      </c>
    </row>
    <row r="1620">
      <c r="A1620" s="1">
        <v>993.0</v>
      </c>
      <c r="B1620" s="1" t="s">
        <v>17922</v>
      </c>
      <c r="E1620" s="1" t="s">
        <v>16475</v>
      </c>
      <c r="F1620" s="90">
        <v>45113.555127314816</v>
      </c>
      <c r="G1620" s="90">
        <v>45113.555127314816</v>
      </c>
      <c r="H1620" s="1" t="s">
        <v>16476</v>
      </c>
    </row>
    <row r="1621">
      <c r="A1621" s="1">
        <v>992.0</v>
      </c>
      <c r="B1621" s="1" t="s">
        <v>17923</v>
      </c>
      <c r="E1621" s="1" t="s">
        <v>5202</v>
      </c>
      <c r="F1621" s="90">
        <v>45113.55511574074</v>
      </c>
      <c r="G1621" s="90">
        <v>45113.55511574074</v>
      </c>
      <c r="H1621" s="1" t="s">
        <v>16476</v>
      </c>
    </row>
    <row r="1622">
      <c r="A1622" s="1">
        <v>990.0</v>
      </c>
      <c r="B1622" s="1" t="s">
        <v>17924</v>
      </c>
      <c r="E1622" s="1" t="s">
        <v>16485</v>
      </c>
      <c r="F1622" s="90">
        <v>45113.555081018516</v>
      </c>
      <c r="G1622" s="90">
        <v>45113.555081018516</v>
      </c>
      <c r="H1622" s="1" t="s">
        <v>16476</v>
      </c>
    </row>
    <row r="1623">
      <c r="A1623" s="1">
        <v>986.0</v>
      </c>
      <c r="B1623" s="1" t="s">
        <v>17925</v>
      </c>
      <c r="E1623" s="1" t="s">
        <v>16485</v>
      </c>
      <c r="F1623" s="90">
        <v>45113.55502314815</v>
      </c>
      <c r="G1623" s="90">
        <v>45113.55502314815</v>
      </c>
      <c r="H1623" s="1" t="s">
        <v>16476</v>
      </c>
    </row>
    <row r="1624">
      <c r="A1624" s="1">
        <v>984.0</v>
      </c>
      <c r="B1624" s="1" t="s">
        <v>17436</v>
      </c>
      <c r="E1624" s="1" t="s">
        <v>16485</v>
      </c>
      <c r="F1624" s="90">
        <v>45113.555</v>
      </c>
      <c r="G1624" s="90">
        <v>45113.555</v>
      </c>
      <c r="H1624" s="1" t="s">
        <v>16476</v>
      </c>
    </row>
    <row r="1625">
      <c r="A1625" s="1">
        <v>981.0</v>
      </c>
      <c r="B1625" s="1" t="s">
        <v>17926</v>
      </c>
      <c r="E1625" s="1" t="s">
        <v>5202</v>
      </c>
      <c r="F1625" s="90">
        <v>45113.5549537037</v>
      </c>
      <c r="G1625" s="90">
        <v>45113.5549537037</v>
      </c>
      <c r="H1625" s="1" t="s">
        <v>16476</v>
      </c>
    </row>
    <row r="1626">
      <c r="A1626" s="1">
        <v>974.0</v>
      </c>
      <c r="B1626" s="1" t="s">
        <v>17927</v>
      </c>
      <c r="E1626" s="1" t="s">
        <v>5202</v>
      </c>
      <c r="F1626" s="90">
        <v>45113.55484953704</v>
      </c>
      <c r="G1626" s="90">
        <v>45113.55484953704</v>
      </c>
      <c r="H1626" s="1" t="s">
        <v>16476</v>
      </c>
    </row>
    <row r="1627">
      <c r="A1627" s="1">
        <v>972.0</v>
      </c>
      <c r="B1627" s="1" t="s">
        <v>17928</v>
      </c>
      <c r="E1627" s="1" t="s">
        <v>16485</v>
      </c>
      <c r="F1627" s="90">
        <v>45113.55482638889</v>
      </c>
      <c r="G1627" s="90">
        <v>45113.55482638889</v>
      </c>
      <c r="H1627" s="1" t="s">
        <v>16476</v>
      </c>
    </row>
    <row r="1628">
      <c r="A1628" s="1">
        <v>963.0</v>
      </c>
      <c r="B1628" s="1" t="s">
        <v>17929</v>
      </c>
      <c r="E1628" s="1" t="s">
        <v>5202</v>
      </c>
      <c r="F1628" s="90">
        <v>45113.5546875</v>
      </c>
      <c r="G1628" s="90">
        <v>45113.5546875</v>
      </c>
      <c r="H1628" s="1" t="s">
        <v>16476</v>
      </c>
    </row>
    <row r="1629">
      <c r="A1629" s="1">
        <v>954.0</v>
      </c>
      <c r="B1629" s="1" t="s">
        <v>17930</v>
      </c>
      <c r="E1629" s="1" t="s">
        <v>16475</v>
      </c>
      <c r="F1629" s="90">
        <v>45113.554560185185</v>
      </c>
      <c r="G1629" s="90">
        <v>45113.554560185185</v>
      </c>
      <c r="H1629" s="1" t="s">
        <v>16476</v>
      </c>
    </row>
    <row r="1630">
      <c r="A1630" s="1">
        <v>938.0</v>
      </c>
      <c r="B1630" s="1" t="s">
        <v>5133</v>
      </c>
      <c r="E1630" s="1" t="s">
        <v>16475</v>
      </c>
      <c r="F1630" s="90">
        <v>45113.55432870371</v>
      </c>
      <c r="G1630" s="90">
        <v>45113.55432870371</v>
      </c>
      <c r="H1630" s="1" t="s">
        <v>16476</v>
      </c>
    </row>
    <row r="1631">
      <c r="A1631" s="1">
        <v>935.0</v>
      </c>
      <c r="B1631" s="1" t="s">
        <v>17931</v>
      </c>
      <c r="E1631" s="1" t="s">
        <v>16485</v>
      </c>
      <c r="F1631" s="90">
        <v>45113.55428240741</v>
      </c>
      <c r="G1631" s="90">
        <v>45113.55428240741</v>
      </c>
      <c r="H1631" s="1" t="s">
        <v>16476</v>
      </c>
    </row>
    <row r="1632">
      <c r="A1632" s="1">
        <v>933.0</v>
      </c>
      <c r="B1632" s="1" t="s">
        <v>17932</v>
      </c>
      <c r="E1632" s="1" t="s">
        <v>16481</v>
      </c>
      <c r="F1632" s="90">
        <v>45113.554247685184</v>
      </c>
      <c r="G1632" s="90">
        <v>45113.554247685184</v>
      </c>
      <c r="H1632" s="1" t="s">
        <v>16476</v>
      </c>
    </row>
    <row r="1633">
      <c r="A1633" s="1">
        <v>922.0</v>
      </c>
      <c r="B1633" s="1" t="s">
        <v>17933</v>
      </c>
      <c r="E1633" s="1" t="s">
        <v>16475</v>
      </c>
      <c r="F1633" s="90">
        <v>45113.554085648146</v>
      </c>
      <c r="G1633" s="90">
        <v>45113.554085648146</v>
      </c>
      <c r="H1633" s="1" t="s">
        <v>16476</v>
      </c>
    </row>
    <row r="1634">
      <c r="A1634" s="1">
        <v>921.0</v>
      </c>
      <c r="B1634" s="1" t="s">
        <v>17934</v>
      </c>
      <c r="F1634" s="90">
        <v>45113.554074074076</v>
      </c>
      <c r="G1634" s="90">
        <v>45113.554074074076</v>
      </c>
      <c r="H1634" s="1" t="s">
        <v>16476</v>
      </c>
    </row>
    <row r="1635">
      <c r="A1635" s="1">
        <v>918.0</v>
      </c>
      <c r="B1635" s="1" t="s">
        <v>17935</v>
      </c>
      <c r="E1635" s="1" t="s">
        <v>16481</v>
      </c>
      <c r="F1635" s="90">
        <v>45113.554027777776</v>
      </c>
      <c r="G1635" s="90">
        <v>45113.554027777776</v>
      </c>
      <c r="H1635" s="1" t="s">
        <v>16476</v>
      </c>
    </row>
    <row r="1636">
      <c r="A1636" s="1">
        <v>917.0</v>
      </c>
      <c r="B1636" s="1" t="s">
        <v>17936</v>
      </c>
      <c r="E1636" s="1" t="s">
        <v>5202</v>
      </c>
      <c r="F1636" s="90">
        <v>45113.55401620371</v>
      </c>
      <c r="G1636" s="90">
        <v>45113.55401620371</v>
      </c>
      <c r="H1636" s="1" t="s">
        <v>16476</v>
      </c>
    </row>
    <row r="1637">
      <c r="A1637" s="1">
        <v>916.0</v>
      </c>
      <c r="B1637" s="1" t="s">
        <v>17937</v>
      </c>
      <c r="E1637" s="1" t="s">
        <v>16475</v>
      </c>
      <c r="F1637" s="90">
        <v>45113.55400462963</v>
      </c>
      <c r="G1637" s="90">
        <v>45113.55400462963</v>
      </c>
      <c r="H1637" s="1" t="s">
        <v>16476</v>
      </c>
    </row>
    <row r="1638">
      <c r="A1638" s="1">
        <v>914.0</v>
      </c>
      <c r="B1638" s="1" t="s">
        <v>17938</v>
      </c>
      <c r="E1638" s="1" t="s">
        <v>5202</v>
      </c>
      <c r="F1638" s="90">
        <v>45113.55396990741</v>
      </c>
      <c r="G1638" s="90">
        <v>45113.55396990741</v>
      </c>
      <c r="H1638" s="1" t="s">
        <v>16476</v>
      </c>
    </row>
    <row r="1639">
      <c r="A1639" s="1">
        <v>898.0</v>
      </c>
      <c r="B1639" s="1" t="s">
        <v>17939</v>
      </c>
      <c r="E1639" s="1" t="s">
        <v>16485</v>
      </c>
      <c r="F1639" s="90">
        <v>45113.55373842592</v>
      </c>
      <c r="G1639" s="90">
        <v>45113.55373842592</v>
      </c>
      <c r="H1639" s="1" t="s">
        <v>16476</v>
      </c>
    </row>
    <row r="1640">
      <c r="A1640" s="1">
        <v>896.0</v>
      </c>
      <c r="B1640" s="1" t="s">
        <v>17940</v>
      </c>
      <c r="E1640" s="1" t="s">
        <v>16485</v>
      </c>
      <c r="F1640" s="90">
        <v>45113.553715277776</v>
      </c>
      <c r="G1640" s="90">
        <v>45113.553715277776</v>
      </c>
      <c r="H1640" s="1" t="s">
        <v>16476</v>
      </c>
    </row>
    <row r="1641">
      <c r="A1641" s="1">
        <v>889.0</v>
      </c>
      <c r="B1641" s="1" t="s">
        <v>17941</v>
      </c>
      <c r="E1641" s="1" t="s">
        <v>16475</v>
      </c>
      <c r="F1641" s="90">
        <v>45113.553611111114</v>
      </c>
      <c r="G1641" s="90">
        <v>45113.553611111114</v>
      </c>
      <c r="H1641" s="1" t="s">
        <v>16476</v>
      </c>
    </row>
    <row r="1642">
      <c r="A1642" s="1">
        <v>884.0</v>
      </c>
      <c r="B1642" s="1" t="s">
        <v>17942</v>
      </c>
      <c r="E1642" s="1" t="s">
        <v>5202</v>
      </c>
      <c r="F1642" s="90">
        <v>45113.55354166667</v>
      </c>
      <c r="G1642" s="90">
        <v>45113.55354166667</v>
      </c>
      <c r="H1642" s="1" t="s">
        <v>16476</v>
      </c>
    </row>
    <row r="1643">
      <c r="A1643" s="1">
        <v>875.0</v>
      </c>
      <c r="B1643" s="1" t="s">
        <v>17943</v>
      </c>
      <c r="E1643" s="1" t="s">
        <v>16481</v>
      </c>
      <c r="F1643" s="90">
        <v>45113.553402777776</v>
      </c>
      <c r="G1643" s="90">
        <v>45113.553402777776</v>
      </c>
      <c r="H1643" s="1" t="s">
        <v>16476</v>
      </c>
    </row>
    <row r="1644">
      <c r="A1644" s="1">
        <v>874.0</v>
      </c>
      <c r="B1644" s="1" t="s">
        <v>17944</v>
      </c>
      <c r="E1644" s="1" t="s">
        <v>16485</v>
      </c>
      <c r="F1644" s="90">
        <v>45113.553391203706</v>
      </c>
      <c r="G1644" s="90">
        <v>45113.553391203706</v>
      </c>
      <c r="H1644" s="1" t="s">
        <v>16476</v>
      </c>
    </row>
    <row r="1645">
      <c r="A1645" s="1">
        <v>867.0</v>
      </c>
      <c r="B1645" s="1" t="s">
        <v>17945</v>
      </c>
      <c r="E1645" s="1" t="s">
        <v>5202</v>
      </c>
      <c r="F1645" s="90">
        <v>45113.55328703704</v>
      </c>
      <c r="G1645" s="90">
        <v>45113.55328703704</v>
      </c>
      <c r="H1645" s="1" t="s">
        <v>16476</v>
      </c>
    </row>
    <row r="1646">
      <c r="A1646" s="1">
        <v>864.0</v>
      </c>
      <c r="B1646" s="1" t="s">
        <v>17479</v>
      </c>
      <c r="E1646" s="1" t="s">
        <v>17083</v>
      </c>
      <c r="F1646" s="90">
        <v>45113.553252314814</v>
      </c>
      <c r="G1646" s="90">
        <v>45113.553252314814</v>
      </c>
      <c r="H1646" s="1" t="s">
        <v>16476</v>
      </c>
    </row>
    <row r="1647">
      <c r="A1647" s="1">
        <v>860.0</v>
      </c>
      <c r="B1647" s="1" t="s">
        <v>17946</v>
      </c>
      <c r="E1647" s="1" t="s">
        <v>16485</v>
      </c>
      <c r="F1647" s="90">
        <v>45113.55318287037</v>
      </c>
      <c r="G1647" s="90">
        <v>45113.55318287037</v>
      </c>
      <c r="H1647" s="1" t="s">
        <v>16476</v>
      </c>
    </row>
    <row r="1648">
      <c r="A1648" s="1">
        <v>851.0</v>
      </c>
      <c r="B1648" s="1" t="s">
        <v>17947</v>
      </c>
      <c r="E1648" s="1" t="s">
        <v>16485</v>
      </c>
      <c r="F1648" s="90">
        <v>45113.55305555555</v>
      </c>
      <c r="G1648" s="90">
        <v>45113.55305555555</v>
      </c>
      <c r="H1648" s="1" t="s">
        <v>16476</v>
      </c>
    </row>
    <row r="1649">
      <c r="A1649" s="1">
        <v>847.0</v>
      </c>
      <c r="B1649" s="1" t="s">
        <v>17948</v>
      </c>
      <c r="E1649" s="1" t="s">
        <v>16481</v>
      </c>
      <c r="F1649" s="90">
        <v>45113.55299768518</v>
      </c>
      <c r="G1649" s="90">
        <v>45113.55299768518</v>
      </c>
      <c r="H1649" s="1" t="s">
        <v>16476</v>
      </c>
    </row>
    <row r="1650">
      <c r="A1650" s="1">
        <v>844.0</v>
      </c>
      <c r="B1650" s="1" t="s">
        <v>17949</v>
      </c>
      <c r="E1650" s="1" t="s">
        <v>16475</v>
      </c>
      <c r="F1650" s="90">
        <v>45113.55295138889</v>
      </c>
      <c r="G1650" s="90">
        <v>45113.55295138889</v>
      </c>
      <c r="H1650" s="1" t="s">
        <v>16476</v>
      </c>
    </row>
    <row r="1651">
      <c r="A1651" s="1">
        <v>842.0</v>
      </c>
      <c r="B1651" s="1" t="s">
        <v>17950</v>
      </c>
      <c r="E1651" s="1" t="s">
        <v>16475</v>
      </c>
      <c r="F1651" s="90">
        <v>45113.552928240744</v>
      </c>
      <c r="G1651" s="90">
        <v>45113.552928240744</v>
      </c>
      <c r="H1651" s="1" t="s">
        <v>16476</v>
      </c>
    </row>
    <row r="1652">
      <c r="A1652" s="1">
        <v>839.0</v>
      </c>
      <c r="B1652" s="1" t="s">
        <v>17951</v>
      </c>
      <c r="E1652" s="1" t="s">
        <v>5202</v>
      </c>
      <c r="F1652" s="90">
        <v>45113.552881944444</v>
      </c>
      <c r="G1652" s="90">
        <v>45113.552881944444</v>
      </c>
      <c r="H1652" s="1" t="s">
        <v>16476</v>
      </c>
    </row>
    <row r="1653">
      <c r="A1653" s="1">
        <v>836.0</v>
      </c>
      <c r="B1653" s="1" t="s">
        <v>12493</v>
      </c>
      <c r="E1653" s="1" t="s">
        <v>5202</v>
      </c>
      <c r="F1653" s="90">
        <v>45113.552835648145</v>
      </c>
      <c r="G1653" s="90">
        <v>45113.552835648145</v>
      </c>
      <c r="H1653" s="1" t="s">
        <v>16476</v>
      </c>
    </row>
    <row r="1654">
      <c r="A1654" s="1">
        <v>832.0</v>
      </c>
      <c r="B1654" s="1" t="s">
        <v>17952</v>
      </c>
      <c r="E1654" s="1" t="s">
        <v>5202</v>
      </c>
      <c r="F1654" s="90">
        <v>45113.552777777775</v>
      </c>
      <c r="G1654" s="90">
        <v>45113.552777777775</v>
      </c>
      <c r="H1654" s="1" t="s">
        <v>16476</v>
      </c>
    </row>
    <row r="1655">
      <c r="A1655" s="1">
        <v>822.0</v>
      </c>
      <c r="B1655" s="1" t="s">
        <v>17953</v>
      </c>
      <c r="E1655" s="1" t="s">
        <v>16485</v>
      </c>
      <c r="F1655" s="90">
        <v>45113.55262731481</v>
      </c>
      <c r="G1655" s="90">
        <v>45113.55262731481</v>
      </c>
      <c r="H1655" s="1" t="s">
        <v>16476</v>
      </c>
    </row>
    <row r="1656">
      <c r="A1656" s="1">
        <v>806.0</v>
      </c>
      <c r="B1656" s="1" t="s">
        <v>17954</v>
      </c>
      <c r="E1656" s="1" t="s">
        <v>16475</v>
      </c>
      <c r="F1656" s="90">
        <v>45113.552395833336</v>
      </c>
      <c r="G1656" s="90">
        <v>45113.552395833336</v>
      </c>
      <c r="H1656" s="1" t="s">
        <v>16476</v>
      </c>
    </row>
    <row r="1657">
      <c r="A1657" s="1">
        <v>804.0</v>
      </c>
      <c r="B1657" s="1" t="s">
        <v>17940</v>
      </c>
      <c r="E1657" s="1" t="s">
        <v>16485</v>
      </c>
      <c r="F1657" s="90">
        <v>45113.55237268518</v>
      </c>
      <c r="G1657" s="90">
        <v>45113.55237268518</v>
      </c>
      <c r="H1657" s="1" t="s">
        <v>16476</v>
      </c>
    </row>
    <row r="1658">
      <c r="A1658" s="1">
        <v>800.0</v>
      </c>
      <c r="B1658" s="1" t="s">
        <v>17000</v>
      </c>
      <c r="E1658" s="1" t="s">
        <v>5202</v>
      </c>
      <c r="F1658" s="90">
        <v>45113.55231481481</v>
      </c>
      <c r="G1658" s="90">
        <v>45113.55231481481</v>
      </c>
      <c r="H1658" s="1" t="s">
        <v>16476</v>
      </c>
    </row>
    <row r="1659">
      <c r="A1659" s="1">
        <v>784.0</v>
      </c>
      <c r="B1659" s="1" t="s">
        <v>17955</v>
      </c>
      <c r="E1659" s="1" t="s">
        <v>16481</v>
      </c>
      <c r="F1659" s="90">
        <v>45113.552083333336</v>
      </c>
      <c r="G1659" s="90">
        <v>45113.552083333336</v>
      </c>
      <c r="H1659" s="1" t="s">
        <v>16476</v>
      </c>
    </row>
    <row r="1660">
      <c r="A1660" s="1">
        <v>782.0</v>
      </c>
      <c r="B1660" s="1" t="s">
        <v>17956</v>
      </c>
      <c r="E1660" s="1" t="s">
        <v>16481</v>
      </c>
      <c r="F1660" s="90">
        <v>45113.55204861111</v>
      </c>
      <c r="G1660" s="90">
        <v>45113.55204861111</v>
      </c>
      <c r="H1660" s="1" t="s">
        <v>16476</v>
      </c>
    </row>
    <row r="1661">
      <c r="A1661" s="1">
        <v>768.0</v>
      </c>
      <c r="B1661" s="1" t="s">
        <v>17957</v>
      </c>
      <c r="E1661" s="1" t="s">
        <v>16481</v>
      </c>
      <c r="F1661" s="90">
        <v>45113.55185185185</v>
      </c>
      <c r="G1661" s="90">
        <v>45113.55185185185</v>
      </c>
      <c r="H1661" s="1" t="s">
        <v>16476</v>
      </c>
    </row>
    <row r="1662">
      <c r="A1662" s="1">
        <v>762.0</v>
      </c>
      <c r="B1662" s="1" t="s">
        <v>17958</v>
      </c>
      <c r="E1662" s="1" t="s">
        <v>16475</v>
      </c>
      <c r="F1662" s="90">
        <v>45113.55175925926</v>
      </c>
      <c r="G1662" s="90">
        <v>45113.55175925926</v>
      </c>
      <c r="H1662" s="1" t="s">
        <v>16476</v>
      </c>
    </row>
    <row r="1663">
      <c r="A1663" s="1">
        <v>747.0</v>
      </c>
      <c r="B1663" s="1" t="s">
        <v>17959</v>
      </c>
      <c r="E1663" s="1" t="s">
        <v>5202</v>
      </c>
      <c r="F1663" s="90">
        <v>45113.55153935185</v>
      </c>
      <c r="G1663" s="90">
        <v>45113.55153935185</v>
      </c>
      <c r="H1663" s="1" t="s">
        <v>16476</v>
      </c>
    </row>
    <row r="1664">
      <c r="A1664" s="1">
        <v>742.0</v>
      </c>
      <c r="B1664" s="1" t="s">
        <v>17960</v>
      </c>
      <c r="E1664" s="1" t="s">
        <v>16485</v>
      </c>
      <c r="F1664" s="90">
        <v>45113.551469907405</v>
      </c>
      <c r="G1664" s="90">
        <v>45113.551469907405</v>
      </c>
      <c r="H1664" s="1" t="s">
        <v>16476</v>
      </c>
    </row>
    <row r="1665">
      <c r="A1665" s="1">
        <v>733.0</v>
      </c>
      <c r="B1665" s="1" t="s">
        <v>17961</v>
      </c>
      <c r="E1665" s="1" t="s">
        <v>16485</v>
      </c>
      <c r="F1665" s="90">
        <v>45113.55134259259</v>
      </c>
      <c r="G1665" s="90">
        <v>45113.55134259259</v>
      </c>
      <c r="H1665" s="1" t="s">
        <v>16476</v>
      </c>
    </row>
    <row r="1666">
      <c r="A1666" s="1">
        <v>724.0</v>
      </c>
      <c r="B1666" s="1" t="s">
        <v>17962</v>
      </c>
      <c r="E1666" s="1" t="s">
        <v>16481</v>
      </c>
      <c r="F1666" s="90">
        <v>45113.551203703704</v>
      </c>
      <c r="G1666" s="90">
        <v>45113.551203703704</v>
      </c>
      <c r="H1666" s="1" t="s">
        <v>16476</v>
      </c>
    </row>
    <row r="1667">
      <c r="A1667" s="1">
        <v>719.0</v>
      </c>
      <c r="B1667" s="1" t="s">
        <v>17963</v>
      </c>
      <c r="E1667" s="1" t="s">
        <v>16485</v>
      </c>
      <c r="F1667" s="90">
        <v>45113.55113425926</v>
      </c>
      <c r="G1667" s="90">
        <v>45113.55113425926</v>
      </c>
      <c r="H1667" s="1" t="s">
        <v>16476</v>
      </c>
    </row>
    <row r="1668">
      <c r="A1668" s="1">
        <v>697.0</v>
      </c>
      <c r="B1668" s="1" t="s">
        <v>17964</v>
      </c>
      <c r="E1668" s="1" t="s">
        <v>16475</v>
      </c>
      <c r="F1668" s="90">
        <v>45113.55081018519</v>
      </c>
      <c r="G1668" s="90">
        <v>45113.55081018519</v>
      </c>
      <c r="H1668" s="1" t="s">
        <v>16476</v>
      </c>
    </row>
    <row r="1669">
      <c r="A1669" s="1">
        <v>692.0</v>
      </c>
      <c r="B1669" s="1" t="s">
        <v>17965</v>
      </c>
      <c r="F1669" s="90">
        <v>45113.55074074074</v>
      </c>
      <c r="G1669" s="90">
        <v>45113.55074074074</v>
      </c>
      <c r="H1669" s="1" t="s">
        <v>16476</v>
      </c>
    </row>
    <row r="1670">
      <c r="A1670" s="1">
        <v>683.0</v>
      </c>
      <c r="B1670" s="1" t="s">
        <v>17966</v>
      </c>
      <c r="E1670" s="1" t="s">
        <v>5202</v>
      </c>
      <c r="F1670" s="90">
        <v>45113.55061342593</v>
      </c>
      <c r="G1670" s="90">
        <v>45113.55061342593</v>
      </c>
      <c r="H1670" s="1" t="s">
        <v>16476</v>
      </c>
    </row>
    <row r="1671">
      <c r="A1671" s="1">
        <v>680.0</v>
      </c>
      <c r="B1671" s="1" t="s">
        <v>17967</v>
      </c>
      <c r="E1671" s="1" t="s">
        <v>5202</v>
      </c>
      <c r="F1671" s="90">
        <v>45113.55054398148</v>
      </c>
      <c r="G1671" s="90">
        <v>45113.55054398148</v>
      </c>
      <c r="H1671" s="1" t="s">
        <v>16476</v>
      </c>
    </row>
    <row r="1672">
      <c r="A1672" s="1">
        <v>676.0</v>
      </c>
      <c r="B1672" s="1" t="s">
        <v>17968</v>
      </c>
      <c r="E1672" s="1" t="s">
        <v>17969</v>
      </c>
      <c r="F1672" s="90">
        <v>45113.55048611111</v>
      </c>
      <c r="G1672" s="90">
        <v>45113.55048611111</v>
      </c>
      <c r="H1672" s="1" t="s">
        <v>16476</v>
      </c>
    </row>
    <row r="1673">
      <c r="A1673" s="1">
        <v>670.0</v>
      </c>
      <c r="B1673" s="1" t="s">
        <v>17970</v>
      </c>
      <c r="E1673" s="1" t="s">
        <v>5202</v>
      </c>
      <c r="F1673" s="90">
        <v>45113.55039351852</v>
      </c>
      <c r="G1673" s="90">
        <v>45113.55039351852</v>
      </c>
      <c r="H1673" s="1" t="s">
        <v>16476</v>
      </c>
    </row>
    <row r="1674">
      <c r="A1674" s="1">
        <v>655.0</v>
      </c>
      <c r="B1674" s="1" t="s">
        <v>17971</v>
      </c>
      <c r="E1674" s="1" t="s">
        <v>16485</v>
      </c>
      <c r="F1674" s="90">
        <v>45113.55017361111</v>
      </c>
      <c r="G1674" s="90">
        <v>45113.55017361111</v>
      </c>
      <c r="H1674" s="1" t="s">
        <v>16476</v>
      </c>
    </row>
    <row r="1675">
      <c r="A1675" s="1">
        <v>652.0</v>
      </c>
      <c r="B1675" s="1" t="s">
        <v>17972</v>
      </c>
      <c r="E1675" s="1" t="s">
        <v>16485</v>
      </c>
      <c r="F1675" s="90">
        <v>45113.55013888889</v>
      </c>
      <c r="G1675" s="90">
        <v>45113.55013888889</v>
      </c>
      <c r="H1675" s="1" t="s">
        <v>16476</v>
      </c>
    </row>
    <row r="1676">
      <c r="A1676" s="1">
        <v>646.0</v>
      </c>
      <c r="B1676" s="1" t="s">
        <v>17973</v>
      </c>
      <c r="F1676" s="90">
        <v>45113.550046296295</v>
      </c>
      <c r="G1676" s="90">
        <v>45113.550046296295</v>
      </c>
      <c r="H1676" s="1" t="s">
        <v>16476</v>
      </c>
    </row>
    <row r="1677">
      <c r="A1677" s="1">
        <v>638.0</v>
      </c>
      <c r="B1677" s="1" t="s">
        <v>17974</v>
      </c>
      <c r="E1677" s="1" t="s">
        <v>16485</v>
      </c>
      <c r="F1677" s="90">
        <v>45113.54993055556</v>
      </c>
      <c r="G1677" s="90">
        <v>45113.54993055556</v>
      </c>
      <c r="H1677" s="1" t="s">
        <v>16476</v>
      </c>
    </row>
    <row r="1678">
      <c r="A1678" s="1">
        <v>629.0</v>
      </c>
      <c r="B1678" s="1" t="s">
        <v>17975</v>
      </c>
      <c r="E1678" s="1" t="s">
        <v>16481</v>
      </c>
      <c r="F1678" s="90">
        <v>45113.549780092595</v>
      </c>
      <c r="G1678" s="90">
        <v>45113.549780092595</v>
      </c>
      <c r="H1678" s="1" t="s">
        <v>16476</v>
      </c>
    </row>
    <row r="1679">
      <c r="A1679" s="1">
        <v>626.0</v>
      </c>
      <c r="B1679" s="1" t="s">
        <v>17976</v>
      </c>
      <c r="E1679" s="1" t="s">
        <v>5202</v>
      </c>
      <c r="F1679" s="90">
        <v>45113.549733796295</v>
      </c>
      <c r="G1679" s="90">
        <v>45113.549733796295</v>
      </c>
      <c r="H1679" s="1" t="s">
        <v>16476</v>
      </c>
    </row>
    <row r="1680">
      <c r="A1680" s="1">
        <v>623.0</v>
      </c>
      <c r="B1680" s="1" t="s">
        <v>17977</v>
      </c>
      <c r="F1680" s="90">
        <v>45113.54969907407</v>
      </c>
      <c r="G1680" s="90">
        <v>45113.54969907407</v>
      </c>
      <c r="H1680" s="1" t="s">
        <v>16476</v>
      </c>
    </row>
    <row r="1681">
      <c r="A1681" s="1">
        <v>622.0</v>
      </c>
      <c r="B1681" s="1" t="s">
        <v>17978</v>
      </c>
      <c r="E1681" s="1" t="s">
        <v>5202</v>
      </c>
      <c r="F1681" s="90">
        <v>45113.549675925926</v>
      </c>
      <c r="G1681" s="90">
        <v>45113.549675925926</v>
      </c>
      <c r="H1681" s="1" t="s">
        <v>16476</v>
      </c>
    </row>
    <row r="1682">
      <c r="A1682" s="1">
        <v>615.0</v>
      </c>
      <c r="B1682" s="1" t="s">
        <v>84</v>
      </c>
      <c r="E1682" s="1" t="s">
        <v>16481</v>
      </c>
      <c r="F1682" s="90">
        <v>45113.54958333333</v>
      </c>
      <c r="G1682" s="90">
        <v>45113.54958333333</v>
      </c>
      <c r="H1682" s="1" t="s">
        <v>16476</v>
      </c>
    </row>
    <row r="1683">
      <c r="A1683" s="1">
        <v>611.0</v>
      </c>
      <c r="B1683" s="1" t="s">
        <v>17979</v>
      </c>
      <c r="E1683" s="1" t="s">
        <v>5202</v>
      </c>
      <c r="F1683" s="90">
        <v>45113.54951388889</v>
      </c>
      <c r="G1683" s="90">
        <v>45113.54951388889</v>
      </c>
      <c r="H1683" s="1" t="s">
        <v>16476</v>
      </c>
    </row>
    <row r="1684">
      <c r="A1684" s="1">
        <v>592.0</v>
      </c>
      <c r="F1684" s="90">
        <v>45113.54924768519</v>
      </c>
      <c r="G1684" s="90">
        <v>45113.54924768519</v>
      </c>
      <c r="H1684" s="1" t="s">
        <v>16476</v>
      </c>
    </row>
    <row r="1685">
      <c r="A1685" s="1">
        <v>585.0</v>
      </c>
      <c r="B1685" s="1" t="s">
        <v>17980</v>
      </c>
      <c r="E1685" s="1" t="s">
        <v>5202</v>
      </c>
      <c r="F1685" s="90">
        <v>45113.54914351852</v>
      </c>
      <c r="G1685" s="90">
        <v>45113.54914351852</v>
      </c>
      <c r="H1685" s="1" t="s">
        <v>16476</v>
      </c>
    </row>
    <row r="1686">
      <c r="A1686" s="1">
        <v>578.0</v>
      </c>
      <c r="B1686" s="1" t="s">
        <v>17981</v>
      </c>
      <c r="F1686" s="90">
        <v>45113.54903935185</v>
      </c>
      <c r="G1686" s="90">
        <v>45113.54903935185</v>
      </c>
      <c r="H1686" s="1" t="s">
        <v>16476</v>
      </c>
    </row>
    <row r="1687">
      <c r="A1687" s="1">
        <v>577.0</v>
      </c>
      <c r="B1687" s="1" t="s">
        <v>17982</v>
      </c>
      <c r="E1687" s="1" t="s">
        <v>16481</v>
      </c>
      <c r="F1687" s="90">
        <v>45113.54902777778</v>
      </c>
      <c r="G1687" s="90">
        <v>45113.54902777778</v>
      </c>
      <c r="H1687" s="1" t="s">
        <v>16476</v>
      </c>
    </row>
    <row r="1688">
      <c r="A1688" s="1">
        <v>567.0</v>
      </c>
      <c r="B1688" s="1" t="s">
        <v>17983</v>
      </c>
      <c r="E1688" s="1" t="s">
        <v>16475</v>
      </c>
      <c r="F1688" s="90">
        <v>45113.54887731482</v>
      </c>
      <c r="G1688" s="90">
        <v>45113.54887731482</v>
      </c>
      <c r="H1688" s="1" t="s">
        <v>16476</v>
      </c>
    </row>
    <row r="1689">
      <c r="A1689" s="1">
        <v>566.0</v>
      </c>
      <c r="B1689" s="1" t="s">
        <v>17984</v>
      </c>
      <c r="E1689" s="1" t="s">
        <v>16475</v>
      </c>
      <c r="F1689" s="90">
        <v>45113.54886574074</v>
      </c>
      <c r="G1689" s="90">
        <v>45113.54886574074</v>
      </c>
      <c r="H1689" s="1" t="s">
        <v>16476</v>
      </c>
    </row>
    <row r="1690">
      <c r="A1690" s="1">
        <v>563.0</v>
      </c>
      <c r="B1690" s="1" t="s">
        <v>11178</v>
      </c>
      <c r="E1690" s="1" t="s">
        <v>5202</v>
      </c>
      <c r="F1690" s="90">
        <v>45113.54881944445</v>
      </c>
      <c r="G1690" s="90">
        <v>45113.54881944445</v>
      </c>
      <c r="H1690" s="1" t="s">
        <v>16476</v>
      </c>
    </row>
    <row r="1691">
      <c r="A1691" s="1">
        <v>560.0</v>
      </c>
      <c r="B1691" s="1" t="s">
        <v>17985</v>
      </c>
      <c r="E1691" s="1" t="s">
        <v>16481</v>
      </c>
      <c r="F1691" s="90">
        <v>45113.54877314815</v>
      </c>
      <c r="G1691" s="90">
        <v>45113.54877314815</v>
      </c>
      <c r="H1691" s="1" t="s">
        <v>16476</v>
      </c>
    </row>
    <row r="1692">
      <c r="A1692" s="1">
        <v>559.0</v>
      </c>
      <c r="B1692" s="1" t="s">
        <v>17986</v>
      </c>
      <c r="E1692" s="1" t="s">
        <v>16481</v>
      </c>
      <c r="F1692" s="90">
        <v>45113.54876157407</v>
      </c>
      <c r="G1692" s="90">
        <v>45113.54876157407</v>
      </c>
      <c r="H1692" s="1" t="s">
        <v>16476</v>
      </c>
    </row>
    <row r="1693">
      <c r="A1693" s="1">
        <v>557.0</v>
      </c>
      <c r="B1693" s="1" t="s">
        <v>17987</v>
      </c>
      <c r="E1693" s="1" t="s">
        <v>5202</v>
      </c>
      <c r="F1693" s="90">
        <v>45113.548726851855</v>
      </c>
      <c r="G1693" s="90">
        <v>45113.548726851855</v>
      </c>
      <c r="H1693" s="1" t="s">
        <v>16476</v>
      </c>
    </row>
    <row r="1694">
      <c r="A1694" s="1">
        <v>549.0</v>
      </c>
      <c r="B1694" s="1" t="s">
        <v>17988</v>
      </c>
      <c r="E1694" s="1" t="s">
        <v>16481</v>
      </c>
      <c r="F1694" s="90">
        <v>45113.54861111111</v>
      </c>
      <c r="G1694" s="90">
        <v>45113.54861111111</v>
      </c>
      <c r="H1694" s="1" t="s">
        <v>16476</v>
      </c>
    </row>
    <row r="1695">
      <c r="A1695" s="1">
        <v>544.0</v>
      </c>
      <c r="B1695" s="1" t="s">
        <v>17989</v>
      </c>
      <c r="E1695" s="1" t="s">
        <v>5202</v>
      </c>
      <c r="F1695" s="90">
        <v>45113.54854166666</v>
      </c>
      <c r="G1695" s="90">
        <v>45113.54854166666</v>
      </c>
      <c r="H1695" s="1" t="s">
        <v>16476</v>
      </c>
    </row>
    <row r="1696">
      <c r="A1696" s="1">
        <v>536.0</v>
      </c>
      <c r="B1696" s="1" t="s">
        <v>17990</v>
      </c>
      <c r="E1696" s="1" t="s">
        <v>16481</v>
      </c>
      <c r="F1696" s="90">
        <v>45113.548425925925</v>
      </c>
      <c r="G1696" s="90">
        <v>45113.548425925925</v>
      </c>
      <c r="H1696" s="1" t="s">
        <v>16476</v>
      </c>
    </row>
    <row r="1697">
      <c r="A1697" s="1">
        <v>527.0</v>
      </c>
      <c r="B1697" s="1" t="s">
        <v>17991</v>
      </c>
      <c r="E1697" s="1" t="s">
        <v>16485</v>
      </c>
      <c r="F1697" s="90">
        <v>45113.54828703704</v>
      </c>
      <c r="G1697" s="90">
        <v>45113.54828703704</v>
      </c>
      <c r="H1697" s="1" t="s">
        <v>16476</v>
      </c>
    </row>
    <row r="1698">
      <c r="A1698" s="1">
        <v>525.0</v>
      </c>
      <c r="B1698" s="1" t="s">
        <v>17992</v>
      </c>
      <c r="E1698" s="1" t="s">
        <v>5202</v>
      </c>
      <c r="F1698" s="90">
        <v>45113.548263888886</v>
      </c>
      <c r="G1698" s="90">
        <v>45113.548263888886</v>
      </c>
      <c r="H1698" s="1" t="s">
        <v>16476</v>
      </c>
    </row>
    <row r="1699">
      <c r="A1699" s="1">
        <v>524.0</v>
      </c>
      <c r="B1699" s="1" t="s">
        <v>17993</v>
      </c>
      <c r="F1699" s="90">
        <v>45113.54825231482</v>
      </c>
      <c r="G1699" s="90">
        <v>45113.54825231482</v>
      </c>
      <c r="H1699" s="1" t="s">
        <v>16476</v>
      </c>
    </row>
    <row r="1700">
      <c r="A1700" s="1">
        <v>521.0</v>
      </c>
      <c r="B1700" s="1" t="s">
        <v>17994</v>
      </c>
      <c r="E1700" s="1" t="s">
        <v>5202</v>
      </c>
      <c r="F1700" s="90">
        <v>45113.54820601852</v>
      </c>
      <c r="G1700" s="90">
        <v>45113.54820601852</v>
      </c>
      <c r="H1700" s="1" t="s">
        <v>16476</v>
      </c>
    </row>
    <row r="1701">
      <c r="A1701" s="1">
        <v>508.0</v>
      </c>
      <c r="B1701" s="1" t="s">
        <v>17995</v>
      </c>
      <c r="E1701" s="1" t="s">
        <v>16485</v>
      </c>
      <c r="F1701" s="90">
        <v>45113.54800925926</v>
      </c>
      <c r="G1701" s="90">
        <v>45113.54800925926</v>
      </c>
      <c r="H1701" s="1" t="s">
        <v>16476</v>
      </c>
    </row>
    <row r="1702">
      <c r="A1702" s="1">
        <v>505.0</v>
      </c>
      <c r="B1702" s="1" t="s">
        <v>17996</v>
      </c>
      <c r="E1702" s="1" t="s">
        <v>5202</v>
      </c>
      <c r="F1702" s="90">
        <v>45113.54797453704</v>
      </c>
      <c r="G1702" s="90">
        <v>45113.54797453704</v>
      </c>
      <c r="H1702" s="1" t="s">
        <v>16476</v>
      </c>
    </row>
    <row r="1703">
      <c r="A1703" s="1">
        <v>494.0</v>
      </c>
      <c r="B1703" s="1" t="s">
        <v>5089</v>
      </c>
      <c r="E1703" s="1" t="s">
        <v>16475</v>
      </c>
      <c r="F1703" s="90">
        <v>45113.5478125</v>
      </c>
      <c r="G1703" s="90">
        <v>45113.5478125</v>
      </c>
      <c r="H1703" s="1" t="s">
        <v>16476</v>
      </c>
    </row>
    <row r="1704">
      <c r="A1704" s="1">
        <v>490.0</v>
      </c>
      <c r="B1704" s="1" t="s">
        <v>17997</v>
      </c>
      <c r="E1704" s="1" t="s">
        <v>16485</v>
      </c>
      <c r="F1704" s="90">
        <v>45113.54775462963</v>
      </c>
      <c r="G1704" s="90">
        <v>45113.54775462963</v>
      </c>
      <c r="H1704" s="1" t="s">
        <v>16476</v>
      </c>
    </row>
    <row r="1705">
      <c r="A1705" s="1">
        <v>484.0</v>
      </c>
      <c r="B1705" s="1" t="s">
        <v>17998</v>
      </c>
      <c r="E1705" s="1" t="s">
        <v>16481</v>
      </c>
      <c r="F1705" s="90">
        <v>45113.54766203704</v>
      </c>
      <c r="G1705" s="90">
        <v>45113.54766203704</v>
      </c>
      <c r="H1705" s="1" t="s">
        <v>16476</v>
      </c>
    </row>
    <row r="1706">
      <c r="A1706" s="1">
        <v>482.0</v>
      </c>
      <c r="B1706" s="1" t="s">
        <v>17999</v>
      </c>
      <c r="E1706" s="1" t="s">
        <v>16475</v>
      </c>
      <c r="F1706" s="90">
        <v>45113.547638888886</v>
      </c>
      <c r="G1706" s="90">
        <v>45113.547638888886</v>
      </c>
      <c r="H1706" s="1" t="s">
        <v>16476</v>
      </c>
    </row>
    <row r="1707">
      <c r="A1707" s="1">
        <v>481.0</v>
      </c>
      <c r="B1707" s="1" t="s">
        <v>18000</v>
      </c>
      <c r="E1707" s="1" t="s">
        <v>16485</v>
      </c>
      <c r="F1707" s="90">
        <v>45113.54761574074</v>
      </c>
      <c r="G1707" s="90">
        <v>45113.54761574074</v>
      </c>
      <c r="H1707" s="1" t="s">
        <v>16476</v>
      </c>
    </row>
    <row r="1708">
      <c r="A1708" s="1">
        <v>464.0</v>
      </c>
      <c r="B1708" s="1" t="s">
        <v>18001</v>
      </c>
      <c r="E1708" s="1" t="s">
        <v>5202</v>
      </c>
      <c r="F1708" s="90">
        <v>45113.547372685185</v>
      </c>
      <c r="G1708" s="90">
        <v>45113.547372685185</v>
      </c>
      <c r="H1708" s="1" t="s">
        <v>16476</v>
      </c>
    </row>
    <row r="1709">
      <c r="A1709" s="1">
        <v>459.0</v>
      </c>
      <c r="B1709" s="1" t="s">
        <v>18002</v>
      </c>
      <c r="E1709" s="1" t="s">
        <v>16481</v>
      </c>
      <c r="F1709" s="90">
        <v>45113.54730324074</v>
      </c>
      <c r="G1709" s="90">
        <v>45113.54730324074</v>
      </c>
      <c r="H1709" s="1" t="s">
        <v>16476</v>
      </c>
    </row>
    <row r="1710">
      <c r="A1710" s="1">
        <v>446.0</v>
      </c>
      <c r="B1710" s="1" t="s">
        <v>18003</v>
      </c>
      <c r="E1710" s="1" t="s">
        <v>16475</v>
      </c>
      <c r="F1710" s="90">
        <v>45113.547106481485</v>
      </c>
      <c r="G1710" s="90">
        <v>45113.547106481485</v>
      </c>
      <c r="H1710" s="1" t="s">
        <v>16476</v>
      </c>
    </row>
    <row r="1711">
      <c r="A1711" s="1">
        <v>438.0</v>
      </c>
      <c r="B1711" s="1" t="s">
        <v>18004</v>
      </c>
      <c r="E1711" s="1" t="s">
        <v>5202</v>
      </c>
      <c r="F1711" s="90">
        <v>45113.54699074074</v>
      </c>
      <c r="G1711" s="90">
        <v>45113.54699074074</v>
      </c>
      <c r="H1711" s="1" t="s">
        <v>16476</v>
      </c>
    </row>
    <row r="1712">
      <c r="A1712" s="1">
        <v>432.0</v>
      </c>
      <c r="B1712" s="1" t="s">
        <v>18005</v>
      </c>
      <c r="E1712" s="1" t="s">
        <v>5202</v>
      </c>
      <c r="F1712" s="90">
        <v>45113.54690972222</v>
      </c>
      <c r="G1712" s="90">
        <v>45113.54690972222</v>
      </c>
      <c r="H1712" s="1" t="s">
        <v>16476</v>
      </c>
    </row>
    <row r="1713">
      <c r="A1713" s="1">
        <v>431.0</v>
      </c>
      <c r="B1713" s="1" t="s">
        <v>18006</v>
      </c>
      <c r="E1713" s="1" t="s">
        <v>5202</v>
      </c>
      <c r="F1713" s="90">
        <v>45113.54688657408</v>
      </c>
      <c r="G1713" s="90">
        <v>45113.54688657408</v>
      </c>
      <c r="H1713" s="1" t="s">
        <v>16476</v>
      </c>
    </row>
    <row r="1714">
      <c r="A1714" s="1">
        <v>427.0</v>
      </c>
      <c r="B1714" s="1" t="s">
        <v>18007</v>
      </c>
      <c r="E1714" s="1" t="s">
        <v>5202</v>
      </c>
      <c r="F1714" s="90">
        <v>45113.5468287037</v>
      </c>
      <c r="G1714" s="90">
        <v>45113.5468287037</v>
      </c>
      <c r="H1714" s="1" t="s">
        <v>16476</v>
      </c>
    </row>
    <row r="1715">
      <c r="A1715" s="1">
        <v>417.0</v>
      </c>
      <c r="B1715" s="1" t="s">
        <v>18008</v>
      </c>
      <c r="E1715" s="1" t="s">
        <v>16481</v>
      </c>
      <c r="F1715" s="90">
        <v>45113.54667824074</v>
      </c>
      <c r="G1715" s="90">
        <v>45113.54667824074</v>
      </c>
      <c r="H1715" s="1" t="s">
        <v>16476</v>
      </c>
    </row>
    <row r="1716">
      <c r="A1716" s="1">
        <v>409.0</v>
      </c>
      <c r="B1716" s="1" t="s">
        <v>18009</v>
      </c>
      <c r="E1716" s="1" t="s">
        <v>16485</v>
      </c>
      <c r="F1716" s="90">
        <v>45113.5465625</v>
      </c>
      <c r="G1716" s="90">
        <v>45113.5465625</v>
      </c>
      <c r="H1716" s="1" t="s">
        <v>16476</v>
      </c>
    </row>
    <row r="1717">
      <c r="A1717" s="1">
        <v>395.0</v>
      </c>
      <c r="B1717" s="1" t="s">
        <v>18010</v>
      </c>
      <c r="E1717" s="1" t="s">
        <v>16481</v>
      </c>
      <c r="F1717" s="90">
        <v>45113.54636574074</v>
      </c>
      <c r="G1717" s="90">
        <v>45113.54636574074</v>
      </c>
      <c r="H1717" s="1" t="s">
        <v>16476</v>
      </c>
    </row>
    <row r="1718">
      <c r="A1718" s="1">
        <v>387.0</v>
      </c>
      <c r="B1718" s="1" t="s">
        <v>18011</v>
      </c>
      <c r="E1718" s="1" t="s">
        <v>5202</v>
      </c>
      <c r="F1718" s="90">
        <v>45113.54622685185</v>
      </c>
      <c r="G1718" s="90">
        <v>45113.54622685185</v>
      </c>
      <c r="H1718" s="1" t="s">
        <v>16476</v>
      </c>
    </row>
    <row r="1719">
      <c r="A1719" s="1">
        <v>386.0</v>
      </c>
      <c r="B1719" s="1" t="s">
        <v>18012</v>
      </c>
      <c r="E1719" s="1" t="s">
        <v>16475</v>
      </c>
      <c r="F1719" s="90">
        <v>45113.546215277776</v>
      </c>
      <c r="G1719" s="90">
        <v>45113.546215277776</v>
      </c>
      <c r="H1719" s="1" t="s">
        <v>16476</v>
      </c>
    </row>
    <row r="1720">
      <c r="A1720" s="1">
        <v>367.0</v>
      </c>
      <c r="B1720" s="1" t="s">
        <v>18013</v>
      </c>
      <c r="E1720" s="1" t="s">
        <v>16485</v>
      </c>
      <c r="F1720" s="90">
        <v>45113.54592592592</v>
      </c>
      <c r="G1720" s="90">
        <v>45113.54592592592</v>
      </c>
      <c r="H1720" s="1" t="s">
        <v>16476</v>
      </c>
    </row>
    <row r="1721">
      <c r="A1721" s="1">
        <v>364.0</v>
      </c>
      <c r="B1721" s="1" t="s">
        <v>18014</v>
      </c>
      <c r="E1721" s="1" t="s">
        <v>16485</v>
      </c>
      <c r="F1721" s="90">
        <v>45113.54589120371</v>
      </c>
      <c r="G1721" s="90">
        <v>45113.54589120371</v>
      </c>
      <c r="H1721" s="1" t="s">
        <v>16476</v>
      </c>
    </row>
    <row r="1722">
      <c r="A1722" s="1">
        <v>357.0</v>
      </c>
      <c r="B1722" s="1" t="s">
        <v>18015</v>
      </c>
      <c r="E1722" s="1" t="s">
        <v>5202</v>
      </c>
      <c r="F1722" s="90">
        <v>45113.54578703704</v>
      </c>
      <c r="G1722" s="90">
        <v>45113.54578703704</v>
      </c>
      <c r="H1722" s="1" t="s">
        <v>16476</v>
      </c>
    </row>
    <row r="1723">
      <c r="A1723" s="1">
        <v>347.0</v>
      </c>
      <c r="B1723" s="1" t="s">
        <v>18016</v>
      </c>
      <c r="E1723" s="1" t="s">
        <v>16481</v>
      </c>
      <c r="F1723" s="90">
        <v>45113.545636574076</v>
      </c>
      <c r="G1723" s="90">
        <v>45113.545636574076</v>
      </c>
      <c r="H1723" s="1" t="s">
        <v>16476</v>
      </c>
    </row>
    <row r="1724">
      <c r="A1724" s="1">
        <v>344.0</v>
      </c>
      <c r="B1724" s="1" t="s">
        <v>18017</v>
      </c>
      <c r="E1724" s="1" t="s">
        <v>16475</v>
      </c>
      <c r="F1724" s="90">
        <v>45113.54560185185</v>
      </c>
      <c r="G1724" s="90">
        <v>45113.54560185185</v>
      </c>
      <c r="H1724" s="1" t="s">
        <v>16476</v>
      </c>
    </row>
    <row r="1725">
      <c r="A1725" s="1">
        <v>330.0</v>
      </c>
      <c r="B1725" s="1" t="s">
        <v>18018</v>
      </c>
      <c r="E1725" s="1" t="s">
        <v>16481</v>
      </c>
      <c r="F1725" s="90">
        <v>45113.54539351852</v>
      </c>
      <c r="G1725" s="90">
        <v>45113.54539351852</v>
      </c>
      <c r="H1725" s="1" t="s">
        <v>16476</v>
      </c>
    </row>
    <row r="1726">
      <c r="A1726" s="1">
        <v>326.0</v>
      </c>
      <c r="B1726" s="1" t="s">
        <v>18019</v>
      </c>
      <c r="E1726" s="1" t="s">
        <v>5202</v>
      </c>
      <c r="F1726" s="90">
        <v>45113.545335648145</v>
      </c>
      <c r="G1726" s="90">
        <v>45113.545335648145</v>
      </c>
      <c r="H1726" s="1" t="s">
        <v>16476</v>
      </c>
    </row>
    <row r="1727">
      <c r="A1727" s="1">
        <v>320.0</v>
      </c>
      <c r="B1727" s="1" t="s">
        <v>18020</v>
      </c>
      <c r="E1727" s="1" t="s">
        <v>16481</v>
      </c>
      <c r="F1727" s="90">
        <v>45113.54524305555</v>
      </c>
      <c r="G1727" s="90">
        <v>45113.54524305555</v>
      </c>
      <c r="H1727" s="1" t="s">
        <v>16476</v>
      </c>
    </row>
    <row r="1728">
      <c r="A1728" s="1">
        <v>319.0</v>
      </c>
      <c r="B1728" s="1" t="s">
        <v>18021</v>
      </c>
      <c r="E1728" s="1" t="s">
        <v>16485</v>
      </c>
      <c r="F1728" s="90">
        <v>45113.54523148148</v>
      </c>
      <c r="G1728" s="90">
        <v>45113.54523148148</v>
      </c>
      <c r="H1728" s="1" t="s">
        <v>16476</v>
      </c>
    </row>
    <row r="1729">
      <c r="A1729" s="1">
        <v>306.0</v>
      </c>
      <c r="B1729" s="1" t="s">
        <v>18022</v>
      </c>
      <c r="E1729" s="1" t="s">
        <v>5202</v>
      </c>
      <c r="F1729" s="90">
        <v>45113.5450462963</v>
      </c>
      <c r="G1729" s="90">
        <v>45113.5450462963</v>
      </c>
      <c r="H1729" s="1" t="s">
        <v>16476</v>
      </c>
    </row>
    <row r="1730">
      <c r="A1730" s="1">
        <v>298.0</v>
      </c>
      <c r="B1730" s="1" t="s">
        <v>18023</v>
      </c>
      <c r="E1730" s="1" t="s">
        <v>5202</v>
      </c>
      <c r="F1730" s="90">
        <v>45113.54491898148</v>
      </c>
      <c r="G1730" s="90">
        <v>45113.54491898148</v>
      </c>
      <c r="H1730" s="1" t="s">
        <v>16476</v>
      </c>
    </row>
    <row r="1731">
      <c r="A1731" s="1">
        <v>290.0</v>
      </c>
      <c r="B1731" s="1" t="s">
        <v>18024</v>
      </c>
      <c r="F1731" s="90">
        <v>45113.544803240744</v>
      </c>
      <c r="G1731" s="90">
        <v>45113.544803240744</v>
      </c>
      <c r="H1731" s="1" t="s">
        <v>16476</v>
      </c>
    </row>
    <row r="1732">
      <c r="A1732" s="1">
        <v>283.0</v>
      </c>
      <c r="B1732" s="1" t="s">
        <v>18025</v>
      </c>
      <c r="E1732" s="1" t="s">
        <v>16485</v>
      </c>
      <c r="F1732" s="90">
        <v>45113.544699074075</v>
      </c>
      <c r="G1732" s="90">
        <v>45113.544699074075</v>
      </c>
      <c r="H1732" s="1" t="s">
        <v>16476</v>
      </c>
    </row>
    <row r="1733">
      <c r="A1733" s="1">
        <v>282.0</v>
      </c>
      <c r="B1733" s="1" t="s">
        <v>18026</v>
      </c>
      <c r="E1733" s="1" t="s">
        <v>5202</v>
      </c>
      <c r="F1733" s="90">
        <v>45113.54467592593</v>
      </c>
      <c r="G1733" s="90">
        <v>45113.54467592593</v>
      </c>
      <c r="H1733" s="1" t="s">
        <v>16476</v>
      </c>
    </row>
    <row r="1734">
      <c r="A1734" s="1">
        <v>281.0</v>
      </c>
      <c r="B1734" s="1" t="s">
        <v>18027</v>
      </c>
      <c r="E1734" s="1" t="s">
        <v>16485</v>
      </c>
      <c r="F1734" s="90">
        <v>45113.54466435185</v>
      </c>
      <c r="G1734" s="90">
        <v>45113.54466435185</v>
      </c>
      <c r="H1734" s="1" t="s">
        <v>16476</v>
      </c>
    </row>
    <row r="1735">
      <c r="A1735" s="1">
        <v>280.0</v>
      </c>
      <c r="B1735" s="1" t="s">
        <v>18028</v>
      </c>
      <c r="E1735" s="1" t="s">
        <v>16481</v>
      </c>
      <c r="F1735" s="90">
        <v>45113.54462962963</v>
      </c>
      <c r="G1735" s="90">
        <v>45113.54462962963</v>
      </c>
      <c r="H1735" s="1" t="s">
        <v>16476</v>
      </c>
    </row>
    <row r="1736">
      <c r="A1736" s="1">
        <v>276.0</v>
      </c>
      <c r="B1736" s="1" t="s">
        <v>18029</v>
      </c>
      <c r="E1736" s="1" t="s">
        <v>16481</v>
      </c>
      <c r="F1736" s="90">
        <v>45113.54456018518</v>
      </c>
      <c r="G1736" s="90">
        <v>45113.54456018518</v>
      </c>
      <c r="H1736" s="1" t="s">
        <v>16476</v>
      </c>
    </row>
    <row r="1737">
      <c r="A1737" s="1">
        <v>258.0</v>
      </c>
      <c r="B1737" s="1" t="s">
        <v>18030</v>
      </c>
      <c r="E1737" s="1" t="s">
        <v>16475</v>
      </c>
      <c r="F1737" s="90">
        <v>45113.54429398148</v>
      </c>
      <c r="G1737" s="90">
        <v>45113.54429398148</v>
      </c>
      <c r="H1737" s="1" t="s">
        <v>16476</v>
      </c>
    </row>
    <row r="1738">
      <c r="A1738" s="1">
        <v>255.0</v>
      </c>
      <c r="B1738" s="1" t="s">
        <v>18031</v>
      </c>
      <c r="E1738" s="1" t="s">
        <v>16481</v>
      </c>
      <c r="F1738" s="90">
        <v>45113.54424768518</v>
      </c>
      <c r="G1738" s="90">
        <v>45113.54424768518</v>
      </c>
      <c r="H1738" s="1" t="s">
        <v>16476</v>
      </c>
    </row>
    <row r="1739">
      <c r="A1739" s="1">
        <v>243.0</v>
      </c>
      <c r="B1739" s="1" t="s">
        <v>18032</v>
      </c>
      <c r="E1739" s="1" t="s">
        <v>5202</v>
      </c>
      <c r="F1739" s="90">
        <v>45113.544074074074</v>
      </c>
      <c r="G1739" s="90">
        <v>45113.544074074074</v>
      </c>
      <c r="H1739" s="1" t="s">
        <v>16476</v>
      </c>
    </row>
    <row r="1740">
      <c r="A1740" s="1">
        <v>242.0</v>
      </c>
      <c r="B1740" s="1" t="s">
        <v>18033</v>
      </c>
      <c r="E1740" s="1" t="s">
        <v>16475</v>
      </c>
      <c r="F1740" s="90">
        <v>45113.54405092593</v>
      </c>
      <c r="G1740" s="90">
        <v>45113.54405092593</v>
      </c>
      <c r="H1740" s="1" t="s">
        <v>16476</v>
      </c>
    </row>
    <row r="1741">
      <c r="A1741" s="1">
        <v>241.0</v>
      </c>
      <c r="B1741" s="1" t="s">
        <v>17082</v>
      </c>
      <c r="E1741" s="1" t="s">
        <v>17278</v>
      </c>
      <c r="F1741" s="90">
        <v>45113.54403935185</v>
      </c>
      <c r="G1741" s="90">
        <v>45113.54403935185</v>
      </c>
      <c r="H1741" s="1" t="s">
        <v>16476</v>
      </c>
    </row>
    <row r="1742">
      <c r="A1742" s="1">
        <v>232.0</v>
      </c>
      <c r="B1742" s="1" t="s">
        <v>18034</v>
      </c>
      <c r="E1742" s="1" t="s">
        <v>16485</v>
      </c>
      <c r="F1742" s="90">
        <v>45113.543900462966</v>
      </c>
      <c r="G1742" s="90">
        <v>45113.543900462966</v>
      </c>
      <c r="H1742" s="1" t="s">
        <v>16476</v>
      </c>
    </row>
    <row r="1743">
      <c r="A1743" s="1">
        <v>231.0</v>
      </c>
      <c r="B1743" s="1" t="s">
        <v>18035</v>
      </c>
      <c r="E1743" s="1" t="s">
        <v>16485</v>
      </c>
      <c r="F1743" s="90">
        <v>45113.54388888889</v>
      </c>
      <c r="G1743" s="90">
        <v>45113.54388888889</v>
      </c>
      <c r="H1743" s="1" t="s">
        <v>16476</v>
      </c>
    </row>
    <row r="1744">
      <c r="A1744" s="1">
        <v>230.0</v>
      </c>
      <c r="B1744" s="1" t="s">
        <v>18036</v>
      </c>
      <c r="E1744" s="1" t="s">
        <v>16485</v>
      </c>
      <c r="F1744" s="90">
        <v>45113.54387731481</v>
      </c>
      <c r="G1744" s="90">
        <v>45113.54387731481</v>
      </c>
      <c r="H1744" s="1" t="s">
        <v>16476</v>
      </c>
    </row>
    <row r="1745">
      <c r="A1745" s="1">
        <v>228.0</v>
      </c>
      <c r="B1745" s="1" t="s">
        <v>18037</v>
      </c>
      <c r="E1745" s="1" t="s">
        <v>16475</v>
      </c>
      <c r="F1745" s="90">
        <v>45113.54384259259</v>
      </c>
      <c r="G1745" s="90">
        <v>45113.54384259259</v>
      </c>
      <c r="H1745" s="1" t="s">
        <v>16476</v>
      </c>
    </row>
    <row r="1746">
      <c r="A1746" s="1">
        <v>225.0</v>
      </c>
      <c r="B1746" s="1" t="s">
        <v>18038</v>
      </c>
      <c r="E1746" s="1" t="s">
        <v>5202</v>
      </c>
      <c r="F1746" s="90">
        <v>45113.5437962963</v>
      </c>
      <c r="G1746" s="90">
        <v>45113.5437962963</v>
      </c>
      <c r="H1746" s="1" t="s">
        <v>16476</v>
      </c>
    </row>
    <row r="1747">
      <c r="A1747" s="1">
        <v>221.0</v>
      </c>
      <c r="B1747" s="1" t="s">
        <v>18039</v>
      </c>
      <c r="E1747" s="1" t="s">
        <v>5202</v>
      </c>
      <c r="F1747" s="90">
        <v>45113.54373842593</v>
      </c>
      <c r="G1747" s="90">
        <v>45113.54373842593</v>
      </c>
      <c r="H1747" s="1" t="s">
        <v>16476</v>
      </c>
    </row>
    <row r="1748">
      <c r="A1748" s="1">
        <v>220.0</v>
      </c>
      <c r="B1748" s="1" t="s">
        <v>18040</v>
      </c>
      <c r="E1748" s="1" t="s">
        <v>16481</v>
      </c>
      <c r="F1748" s="90">
        <v>45113.54372685185</v>
      </c>
      <c r="G1748" s="90">
        <v>45113.54372685185</v>
      </c>
      <c r="H1748" s="1" t="s">
        <v>16476</v>
      </c>
    </row>
    <row r="1749">
      <c r="A1749" s="1">
        <v>212.0</v>
      </c>
      <c r="B1749" s="1" t="s">
        <v>18041</v>
      </c>
      <c r="E1749" s="1" t="s">
        <v>5202</v>
      </c>
      <c r="F1749" s="90">
        <v>45113.54361111111</v>
      </c>
      <c r="G1749" s="90">
        <v>45113.54361111111</v>
      </c>
      <c r="H1749" s="1" t="s">
        <v>16476</v>
      </c>
    </row>
    <row r="1750">
      <c r="A1750" s="1">
        <v>203.0</v>
      </c>
      <c r="B1750" s="1" t="s">
        <v>18042</v>
      </c>
      <c r="E1750" s="1" t="s">
        <v>5202</v>
      </c>
      <c r="F1750" s="90">
        <v>45113.54346064815</v>
      </c>
      <c r="G1750" s="90">
        <v>45113.54346064815</v>
      </c>
      <c r="H1750" s="1" t="s">
        <v>16476</v>
      </c>
    </row>
    <row r="1751">
      <c r="A1751" s="1">
        <v>196.0</v>
      </c>
      <c r="B1751" s="1" t="s">
        <v>18043</v>
      </c>
      <c r="E1751" s="1" t="s">
        <v>16475</v>
      </c>
      <c r="F1751" s="90">
        <v>45113.54335648148</v>
      </c>
      <c r="G1751" s="90">
        <v>45113.54335648148</v>
      </c>
      <c r="H1751" s="1" t="s">
        <v>16476</v>
      </c>
    </row>
    <row r="1752">
      <c r="A1752" s="1">
        <v>190.0</v>
      </c>
      <c r="B1752" s="1" t="s">
        <v>8210</v>
      </c>
      <c r="E1752" s="1" t="s">
        <v>5202</v>
      </c>
      <c r="F1752" s="90">
        <v>45113.54326388889</v>
      </c>
      <c r="G1752" s="90">
        <v>45113.54326388889</v>
      </c>
      <c r="H1752" s="1" t="s">
        <v>16476</v>
      </c>
    </row>
    <row r="1753">
      <c r="A1753" s="1">
        <v>187.0</v>
      </c>
      <c r="B1753" s="1" t="s">
        <v>18044</v>
      </c>
      <c r="E1753" s="1" t="s">
        <v>16475</v>
      </c>
      <c r="F1753" s="90">
        <v>45113.543217592596</v>
      </c>
      <c r="G1753" s="90">
        <v>45113.543217592596</v>
      </c>
      <c r="H1753" s="1" t="s">
        <v>16476</v>
      </c>
    </row>
    <row r="1754">
      <c r="A1754" s="1">
        <v>180.0</v>
      </c>
      <c r="B1754" s="1" t="s">
        <v>18045</v>
      </c>
      <c r="E1754" s="1" t="s">
        <v>16485</v>
      </c>
      <c r="F1754" s="90">
        <v>45113.54311342593</v>
      </c>
      <c r="G1754" s="90">
        <v>45113.54311342593</v>
      </c>
      <c r="H1754" s="1" t="s">
        <v>16476</v>
      </c>
    </row>
    <row r="1755">
      <c r="A1755" s="1">
        <v>165.0</v>
      </c>
      <c r="B1755" s="1" t="s">
        <v>18046</v>
      </c>
      <c r="E1755" s="1" t="s">
        <v>16481</v>
      </c>
      <c r="F1755" s="90">
        <v>45113.54289351852</v>
      </c>
      <c r="G1755" s="90">
        <v>45113.54289351852</v>
      </c>
      <c r="H1755" s="1" t="s">
        <v>16476</v>
      </c>
    </row>
    <row r="1756">
      <c r="A1756" s="1">
        <v>162.0</v>
      </c>
      <c r="B1756" s="1" t="s">
        <v>18047</v>
      </c>
      <c r="E1756" s="1" t="s">
        <v>16485</v>
      </c>
      <c r="F1756" s="90">
        <v>45113.54284722222</v>
      </c>
      <c r="G1756" s="90">
        <v>45113.54284722222</v>
      </c>
      <c r="H1756" s="1" t="s">
        <v>16476</v>
      </c>
    </row>
    <row r="1757">
      <c r="A1757" s="1">
        <v>143.0</v>
      </c>
      <c r="B1757" s="1" t="s">
        <v>18048</v>
      </c>
      <c r="E1757" s="1" t="s">
        <v>16481</v>
      </c>
      <c r="F1757" s="90">
        <v>45113.54256944444</v>
      </c>
      <c r="G1757" s="90">
        <v>45113.54256944444</v>
      </c>
      <c r="H1757" s="1" t="s">
        <v>16476</v>
      </c>
    </row>
    <row r="1758">
      <c r="A1758" s="1">
        <v>141.0</v>
      </c>
      <c r="B1758" s="1" t="s">
        <v>18049</v>
      </c>
      <c r="E1758" s="1" t="s">
        <v>16481</v>
      </c>
      <c r="F1758" s="90">
        <v>45113.54253472222</v>
      </c>
      <c r="G1758" s="90">
        <v>45113.54253472222</v>
      </c>
      <c r="H1758" s="1" t="s">
        <v>16476</v>
      </c>
    </row>
    <row r="1759">
      <c r="A1759" s="1">
        <v>140.0</v>
      </c>
      <c r="B1759" s="1" t="s">
        <v>18050</v>
      </c>
      <c r="E1759" s="1" t="s">
        <v>16485</v>
      </c>
      <c r="F1759" s="90">
        <v>45113.54252314815</v>
      </c>
      <c r="G1759" s="90">
        <v>45113.54252314815</v>
      </c>
      <c r="H1759" s="1" t="s">
        <v>16476</v>
      </c>
    </row>
    <row r="1760">
      <c r="A1760" s="1">
        <v>139.0</v>
      </c>
      <c r="B1760" s="1" t="s">
        <v>18051</v>
      </c>
      <c r="E1760" s="1" t="s">
        <v>16481</v>
      </c>
      <c r="F1760" s="90">
        <v>45113.54251157407</v>
      </c>
      <c r="G1760" s="90">
        <v>45113.54251157407</v>
      </c>
      <c r="H1760" s="1" t="s">
        <v>16476</v>
      </c>
    </row>
    <row r="1761">
      <c r="A1761" s="1">
        <v>138.0</v>
      </c>
      <c r="B1761" s="1" t="s">
        <v>18052</v>
      </c>
      <c r="E1761" s="1" t="s">
        <v>5202</v>
      </c>
      <c r="F1761" s="90">
        <v>45113.5425</v>
      </c>
      <c r="G1761" s="90">
        <v>45113.5425</v>
      </c>
      <c r="H1761" s="1" t="s">
        <v>16476</v>
      </c>
    </row>
    <row r="1762">
      <c r="A1762" s="1">
        <v>133.0</v>
      </c>
      <c r="B1762" s="1" t="s">
        <v>18053</v>
      </c>
      <c r="E1762" s="1" t="s">
        <v>5202</v>
      </c>
      <c r="F1762" s="90">
        <v>45113.54241898148</v>
      </c>
      <c r="G1762" s="90">
        <v>45113.54241898148</v>
      </c>
      <c r="H1762" s="1" t="s">
        <v>16476</v>
      </c>
    </row>
    <row r="1763">
      <c r="A1763" s="1">
        <v>124.0</v>
      </c>
      <c r="B1763" s="1" t="s">
        <v>18054</v>
      </c>
      <c r="E1763" s="1" t="s">
        <v>5202</v>
      </c>
      <c r="F1763" s="90">
        <v>45113.542291666665</v>
      </c>
      <c r="G1763" s="90">
        <v>45113.542291666665</v>
      </c>
      <c r="H1763" s="1" t="s">
        <v>16476</v>
      </c>
    </row>
    <row r="1764">
      <c r="A1764" s="1">
        <v>110.0</v>
      </c>
      <c r="B1764" s="1" t="s">
        <v>18055</v>
      </c>
      <c r="E1764" s="1" t="s">
        <v>16475</v>
      </c>
      <c r="F1764" s="90">
        <v>45113.542083333334</v>
      </c>
      <c r="G1764" s="90">
        <v>45113.542083333334</v>
      </c>
      <c r="H1764" s="1" t="s">
        <v>16476</v>
      </c>
    </row>
    <row r="1765">
      <c r="A1765" s="1">
        <v>109.0</v>
      </c>
      <c r="B1765" s="1" t="s">
        <v>18056</v>
      </c>
      <c r="E1765" s="1" t="s">
        <v>5202</v>
      </c>
      <c r="F1765" s="90">
        <v>45113.54207175926</v>
      </c>
      <c r="G1765" s="90">
        <v>45113.54207175926</v>
      </c>
      <c r="H1765" s="1" t="s">
        <v>16476</v>
      </c>
    </row>
    <row r="1766">
      <c r="A1766" s="1">
        <v>64.0</v>
      </c>
      <c r="B1766" s="1" t="s">
        <v>18057</v>
      </c>
      <c r="E1766" s="1" t="s">
        <v>5202</v>
      </c>
      <c r="F1766" s="90">
        <v>45113.541446759256</v>
      </c>
      <c r="G1766" s="90">
        <v>45113.541446759256</v>
      </c>
      <c r="H1766" s="1" t="s">
        <v>16476</v>
      </c>
    </row>
    <row r="1767">
      <c r="A1767" s="1">
        <v>26.0</v>
      </c>
      <c r="B1767" s="1" t="s">
        <v>18058</v>
      </c>
      <c r="E1767" s="1" t="s">
        <v>16481</v>
      </c>
      <c r="F1767" s="90">
        <v>45113.54085648148</v>
      </c>
      <c r="G1767" s="90">
        <v>45113.54085648148</v>
      </c>
      <c r="H1767" s="1" t="s">
        <v>16476</v>
      </c>
    </row>
    <row r="1768">
      <c r="A1768" s="1">
        <v>25.0</v>
      </c>
      <c r="B1768" s="1" t="s">
        <v>18059</v>
      </c>
      <c r="E1768" s="1" t="s">
        <v>16481</v>
      </c>
      <c r="F1768" s="90">
        <v>45113.54084490741</v>
      </c>
      <c r="G1768" s="90">
        <v>45113.54084490741</v>
      </c>
      <c r="H1768" s="1" t="s">
        <v>16476</v>
      </c>
    </row>
    <row r="1769">
      <c r="A1769" s="1">
        <v>23.0</v>
      </c>
      <c r="B1769" s="1" t="s">
        <v>18060</v>
      </c>
      <c r="E1769" s="1" t="s">
        <v>16481</v>
      </c>
      <c r="F1769" s="90">
        <v>45113.540810185186</v>
      </c>
      <c r="G1769" s="90">
        <v>45113.540810185186</v>
      </c>
      <c r="H1769" s="1" t="s">
        <v>16476</v>
      </c>
    </row>
    <row r="1770">
      <c r="A1770" s="1">
        <v>19.0</v>
      </c>
      <c r="B1770" s="1" t="s">
        <v>18061</v>
      </c>
      <c r="E1770" s="1" t="s">
        <v>16481</v>
      </c>
      <c r="F1770" s="90">
        <v>45113.54075231482</v>
      </c>
      <c r="G1770" s="90">
        <v>45113.54075231482</v>
      </c>
      <c r="H1770" s="1" t="s">
        <v>16476</v>
      </c>
    </row>
    <row r="1771">
      <c r="A1771" s="1">
        <v>10.0</v>
      </c>
      <c r="B1771" s="1" t="s">
        <v>10581</v>
      </c>
      <c r="E1771" s="1" t="s">
        <v>16475</v>
      </c>
      <c r="F1771" s="90">
        <v>45098.4308912037</v>
      </c>
      <c r="G1771" s="90">
        <v>45104.226643518516</v>
      </c>
      <c r="H1771" s="1" t="s">
        <v>16476</v>
      </c>
    </row>
    <row r="1772">
      <c r="A1772" s="1">
        <v>13.0</v>
      </c>
      <c r="B1772" s="1" t="s">
        <v>18062</v>
      </c>
      <c r="E1772" s="1" t="s">
        <v>16475</v>
      </c>
      <c r="F1772" s="90">
        <v>45101.165983796294</v>
      </c>
      <c r="G1772" s="90">
        <v>45101.620844907404</v>
      </c>
      <c r="H1772" s="1" t="s">
        <v>16476</v>
      </c>
    </row>
    <row r="1773">
      <c r="A1773" s="1">
        <v>6.0</v>
      </c>
      <c r="B1773" s="1" t="s">
        <v>18063</v>
      </c>
      <c r="F1773" s="90">
        <v>45091.54966435185</v>
      </c>
      <c r="G1773" s="90">
        <v>45091.55054398148</v>
      </c>
      <c r="H1773" s="1" t="s">
        <v>16476</v>
      </c>
    </row>
    <row r="1774">
      <c r="A1774" s="1">
        <v>4.0</v>
      </c>
      <c r="B1774" s="1" t="s">
        <v>18064</v>
      </c>
      <c r="F1774" s="90">
        <v>45091.4590625</v>
      </c>
      <c r="G1774" s="90">
        <v>45091.46079861111</v>
      </c>
      <c r="H1774" s="1" t="s">
        <v>16476</v>
      </c>
    </row>
    <row r="1775">
      <c r="A1775" s="1">
        <v>1.0</v>
      </c>
      <c r="B1775" s="1" t="s">
        <v>18065</v>
      </c>
      <c r="F1775" s="90">
        <v>45085.31564814815</v>
      </c>
      <c r="G1775" s="90">
        <v>45085.31591435185</v>
      </c>
      <c r="H1775" s="1" t="s">
        <v>16476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16468</v>
      </c>
      <c r="C1" s="1" t="s">
        <v>16469</v>
      </c>
      <c r="D1" s="1" t="s">
        <v>18066</v>
      </c>
      <c r="E1" s="1" t="s">
        <v>16080</v>
      </c>
      <c r="F1" s="1" t="s">
        <v>18067</v>
      </c>
      <c r="G1" s="1" t="s">
        <v>16471</v>
      </c>
      <c r="H1" s="1" t="s">
        <v>16472</v>
      </c>
      <c r="I1" s="1" t="s">
        <v>18068</v>
      </c>
    </row>
    <row r="2">
      <c r="A2" s="1">
        <v>327.0</v>
      </c>
      <c r="B2" s="1" t="s">
        <v>18069</v>
      </c>
      <c r="E2" s="1" t="s">
        <v>571</v>
      </c>
      <c r="F2" s="1" t="s">
        <v>10220</v>
      </c>
      <c r="G2" s="90">
        <v>45113.539675925924</v>
      </c>
      <c r="H2" s="90">
        <v>46058.85872685185</v>
      </c>
      <c r="I2" s="1" t="s">
        <v>16476</v>
      </c>
    </row>
    <row r="3">
      <c r="A3" s="1">
        <v>158.0</v>
      </c>
      <c r="B3" s="1" t="s">
        <v>18070</v>
      </c>
      <c r="E3" s="1" t="s">
        <v>1549</v>
      </c>
      <c r="F3" s="1" t="s">
        <v>10220</v>
      </c>
      <c r="G3" s="90">
        <v>45113.53806712963</v>
      </c>
      <c r="H3" s="90">
        <v>46058.84564814815</v>
      </c>
      <c r="I3" s="1" t="s">
        <v>16476</v>
      </c>
    </row>
    <row r="4">
      <c r="A4" s="1">
        <v>87.0</v>
      </c>
      <c r="B4" s="1" t="s">
        <v>18071</v>
      </c>
      <c r="E4" s="1" t="s">
        <v>18072</v>
      </c>
      <c r="F4" s="1" t="s">
        <v>10220</v>
      </c>
      <c r="G4" s="90">
        <v>45113.53737268518</v>
      </c>
      <c r="H4" s="90">
        <v>46057.9455787037</v>
      </c>
      <c r="I4" s="1" t="s">
        <v>16476</v>
      </c>
    </row>
    <row r="5">
      <c r="A5" s="1">
        <v>390.0</v>
      </c>
      <c r="B5" s="1" t="s">
        <v>18073</v>
      </c>
      <c r="E5" s="1" t="s">
        <v>18074</v>
      </c>
      <c r="F5" s="1" t="s">
        <v>10220</v>
      </c>
      <c r="G5" s="90">
        <v>45113.540300925924</v>
      </c>
      <c r="H5" s="90">
        <v>46057.69069444444</v>
      </c>
      <c r="I5" s="1" t="s">
        <v>16476</v>
      </c>
    </row>
    <row r="6">
      <c r="A6" s="1">
        <v>668.0</v>
      </c>
      <c r="B6" s="1" t="s">
        <v>18075</v>
      </c>
      <c r="E6" s="1" t="s">
        <v>50</v>
      </c>
      <c r="F6" s="1" t="s">
        <v>10220</v>
      </c>
      <c r="G6" s="90">
        <v>46006.74559027778</v>
      </c>
      <c r="H6" s="90">
        <v>46048.97149305556</v>
      </c>
      <c r="I6" s="1" t="s">
        <v>16476</v>
      </c>
    </row>
    <row r="7">
      <c r="A7" s="1">
        <v>662.0</v>
      </c>
      <c r="B7" s="1" t="s">
        <v>18076</v>
      </c>
      <c r="E7" s="1" t="s">
        <v>50</v>
      </c>
      <c r="F7" s="1" t="s">
        <v>10220</v>
      </c>
      <c r="G7" s="90">
        <v>46006.74556712963</v>
      </c>
      <c r="H7" s="90">
        <v>46048.97149305556</v>
      </c>
      <c r="I7" s="1" t="s">
        <v>16476</v>
      </c>
    </row>
    <row r="8">
      <c r="A8" s="1">
        <v>661.0</v>
      </c>
      <c r="B8" s="1" t="s">
        <v>18077</v>
      </c>
      <c r="E8" s="1" t="s">
        <v>50</v>
      </c>
      <c r="F8" s="1" t="s">
        <v>10220</v>
      </c>
      <c r="G8" s="90">
        <v>46006.74556712963</v>
      </c>
      <c r="H8" s="90">
        <v>46048.97149305556</v>
      </c>
      <c r="I8" s="1" t="s">
        <v>16476</v>
      </c>
    </row>
    <row r="9">
      <c r="A9" s="1">
        <v>645.0</v>
      </c>
      <c r="B9" s="1" t="s">
        <v>18078</v>
      </c>
      <c r="E9" s="1" t="s">
        <v>50</v>
      </c>
      <c r="F9" s="1" t="s">
        <v>10220</v>
      </c>
      <c r="G9" s="90">
        <v>46006.74549768519</v>
      </c>
      <c r="H9" s="90">
        <v>46048.97148148148</v>
      </c>
      <c r="I9" s="1" t="s">
        <v>16476</v>
      </c>
    </row>
    <row r="10">
      <c r="A10" s="1">
        <v>644.0</v>
      </c>
      <c r="B10" s="1" t="s">
        <v>18079</v>
      </c>
      <c r="E10" s="1" t="s">
        <v>50</v>
      </c>
      <c r="F10" s="1" t="s">
        <v>10220</v>
      </c>
      <c r="G10" s="90">
        <v>46006.74549768519</v>
      </c>
      <c r="H10" s="90">
        <v>46048.97148148148</v>
      </c>
      <c r="I10" s="1" t="s">
        <v>16476</v>
      </c>
    </row>
    <row r="11">
      <c r="A11" s="1">
        <v>639.0</v>
      </c>
      <c r="B11" s="1" t="s">
        <v>18080</v>
      </c>
      <c r="E11" s="1" t="s">
        <v>50</v>
      </c>
      <c r="F11" s="1" t="s">
        <v>10220</v>
      </c>
      <c r="G11" s="90">
        <v>46006.745474537034</v>
      </c>
      <c r="H11" s="90">
        <v>46048.97148148148</v>
      </c>
      <c r="I11" s="1" t="s">
        <v>16476</v>
      </c>
    </row>
    <row r="12">
      <c r="A12" s="1">
        <v>637.0</v>
      </c>
      <c r="B12" s="1" t="s">
        <v>18081</v>
      </c>
      <c r="E12" s="1" t="s">
        <v>50</v>
      </c>
      <c r="F12" s="1" t="s">
        <v>10220</v>
      </c>
      <c r="G12" s="90">
        <v>46006.745462962965</v>
      </c>
      <c r="H12" s="90">
        <v>46048.97148148148</v>
      </c>
      <c r="I12" s="1" t="s">
        <v>16476</v>
      </c>
    </row>
    <row r="13">
      <c r="A13" s="1">
        <v>633.0</v>
      </c>
      <c r="B13" s="1" t="s">
        <v>18082</v>
      </c>
      <c r="E13" s="1" t="s">
        <v>50</v>
      </c>
      <c r="F13" s="1" t="s">
        <v>10220</v>
      </c>
      <c r="G13" s="90">
        <v>46006.74545138889</v>
      </c>
      <c r="H13" s="90">
        <v>46048.97146990741</v>
      </c>
      <c r="I13" s="1" t="s">
        <v>16476</v>
      </c>
    </row>
    <row r="14">
      <c r="A14" s="1">
        <v>577.0</v>
      </c>
      <c r="B14" s="1" t="s">
        <v>18083</v>
      </c>
      <c r="E14" s="1" t="s">
        <v>50</v>
      </c>
      <c r="F14" s="1" t="s">
        <v>10220</v>
      </c>
      <c r="G14" s="90">
        <v>46006.745208333334</v>
      </c>
      <c r="H14" s="90">
        <v>46048.97146990741</v>
      </c>
      <c r="I14" s="1" t="s">
        <v>16476</v>
      </c>
    </row>
    <row r="15">
      <c r="A15" s="1">
        <v>574.0</v>
      </c>
      <c r="B15" s="1" t="s">
        <v>18084</v>
      </c>
      <c r="E15" s="1" t="s">
        <v>50</v>
      </c>
      <c r="F15" s="1" t="s">
        <v>10220</v>
      </c>
      <c r="G15" s="90">
        <v>46006.74519675926</v>
      </c>
      <c r="H15" s="90">
        <v>46048.97146990741</v>
      </c>
      <c r="I15" s="1" t="s">
        <v>16476</v>
      </c>
    </row>
    <row r="16">
      <c r="A16" s="1">
        <v>570.0</v>
      </c>
      <c r="B16" s="1" t="s">
        <v>18085</v>
      </c>
      <c r="E16" s="1" t="s">
        <v>50</v>
      </c>
      <c r="F16" s="1" t="s">
        <v>10220</v>
      </c>
      <c r="G16" s="90">
        <v>46006.74518518519</v>
      </c>
      <c r="H16" s="90">
        <v>46048.97146990741</v>
      </c>
      <c r="I16" s="1" t="s">
        <v>16476</v>
      </c>
    </row>
    <row r="17">
      <c r="A17" s="1">
        <v>568.0</v>
      </c>
      <c r="B17" s="1" t="s">
        <v>18086</v>
      </c>
      <c r="E17" s="1" t="s">
        <v>50</v>
      </c>
      <c r="F17" s="1" t="s">
        <v>10220</v>
      </c>
      <c r="G17" s="90">
        <v>46006.74517361111</v>
      </c>
      <c r="H17" s="90">
        <v>46048.97146990741</v>
      </c>
      <c r="I17" s="1" t="s">
        <v>16476</v>
      </c>
    </row>
    <row r="18">
      <c r="A18" s="1">
        <v>565.0</v>
      </c>
      <c r="B18" s="1" t="s">
        <v>18087</v>
      </c>
      <c r="E18" s="1" t="s">
        <v>50</v>
      </c>
      <c r="F18" s="1" t="s">
        <v>10220</v>
      </c>
      <c r="G18" s="90">
        <v>46006.745162037034</v>
      </c>
      <c r="H18" s="90">
        <v>46048.97145833333</v>
      </c>
      <c r="I18" s="1" t="s">
        <v>16476</v>
      </c>
    </row>
    <row r="19">
      <c r="A19" s="1">
        <v>556.0</v>
      </c>
      <c r="B19" s="1" t="s">
        <v>18088</v>
      </c>
      <c r="E19" s="1" t="s">
        <v>50</v>
      </c>
      <c r="F19" s="1" t="s">
        <v>10220</v>
      </c>
      <c r="G19" s="90">
        <v>46006.74512731482</v>
      </c>
      <c r="H19" s="90">
        <v>46048.97144675926</v>
      </c>
      <c r="I19" s="1" t="s">
        <v>16476</v>
      </c>
    </row>
    <row r="20">
      <c r="A20" s="1">
        <v>553.0</v>
      </c>
      <c r="B20" s="1" t="s">
        <v>18089</v>
      </c>
      <c r="E20" s="1" t="s">
        <v>50</v>
      </c>
      <c r="F20" s="1" t="s">
        <v>10220</v>
      </c>
      <c r="G20" s="90">
        <v>46006.74511574074</v>
      </c>
      <c r="H20" s="90">
        <v>46048.97143518519</v>
      </c>
      <c r="I20" s="1" t="s">
        <v>16476</v>
      </c>
    </row>
    <row r="21">
      <c r="A21" s="1">
        <v>546.0</v>
      </c>
      <c r="B21" s="1" t="s">
        <v>18090</v>
      </c>
      <c r="E21" s="1" t="s">
        <v>50</v>
      </c>
      <c r="F21" s="1" t="s">
        <v>10220</v>
      </c>
      <c r="G21" s="90">
        <v>46006.74508101852</v>
      </c>
      <c r="H21" s="90">
        <v>46048.97143518519</v>
      </c>
      <c r="I21" s="1" t="s">
        <v>16476</v>
      </c>
    </row>
    <row r="22">
      <c r="A22" s="1">
        <v>545.0</v>
      </c>
      <c r="B22" s="1" t="s">
        <v>18091</v>
      </c>
      <c r="E22" s="1" t="s">
        <v>50</v>
      </c>
      <c r="F22" s="1" t="s">
        <v>10220</v>
      </c>
      <c r="G22" s="90">
        <v>46006.74508101852</v>
      </c>
      <c r="H22" s="90">
        <v>46048.97142361111</v>
      </c>
      <c r="I22" s="1" t="s">
        <v>16476</v>
      </c>
    </row>
    <row r="23">
      <c r="A23" s="1">
        <v>533.0</v>
      </c>
      <c r="B23" s="1" t="s">
        <v>18092</v>
      </c>
      <c r="E23" s="1" t="s">
        <v>50</v>
      </c>
      <c r="F23" s="1" t="s">
        <v>10220</v>
      </c>
      <c r="G23" s="90">
        <v>46006.745034722226</v>
      </c>
      <c r="H23" s="90">
        <v>46048.97142361111</v>
      </c>
      <c r="I23" s="1" t="s">
        <v>16476</v>
      </c>
    </row>
    <row r="24">
      <c r="A24" s="1">
        <v>531.0</v>
      </c>
      <c r="B24" s="1" t="s">
        <v>18093</v>
      </c>
      <c r="E24" s="1" t="s">
        <v>50</v>
      </c>
      <c r="F24" s="1" t="s">
        <v>10220</v>
      </c>
      <c r="G24" s="90">
        <v>46006.74502314815</v>
      </c>
      <c r="H24" s="90">
        <v>46048.97142361111</v>
      </c>
      <c r="I24" s="1" t="s">
        <v>16476</v>
      </c>
    </row>
    <row r="25">
      <c r="A25" s="1">
        <v>530.0</v>
      </c>
      <c r="B25" s="1" t="s">
        <v>18094</v>
      </c>
      <c r="E25" s="1" t="s">
        <v>50</v>
      </c>
      <c r="F25" s="1" t="s">
        <v>10220</v>
      </c>
      <c r="G25" s="90">
        <v>46006.74501157407</v>
      </c>
      <c r="H25" s="90">
        <v>46048.97141203703</v>
      </c>
      <c r="I25" s="1" t="s">
        <v>16476</v>
      </c>
    </row>
    <row r="26">
      <c r="A26" s="1">
        <v>529.0</v>
      </c>
      <c r="B26" s="1" t="s">
        <v>18095</v>
      </c>
      <c r="E26" s="1" t="s">
        <v>50</v>
      </c>
      <c r="F26" s="1" t="s">
        <v>10220</v>
      </c>
      <c r="G26" s="90">
        <v>46006.74501157407</v>
      </c>
      <c r="H26" s="90">
        <v>46048.97141203703</v>
      </c>
      <c r="I26" s="1" t="s">
        <v>16476</v>
      </c>
    </row>
    <row r="27">
      <c r="A27" s="1">
        <v>528.0</v>
      </c>
      <c r="B27" s="1" t="s">
        <v>18096</v>
      </c>
      <c r="E27" s="1" t="s">
        <v>50</v>
      </c>
      <c r="F27" s="1" t="s">
        <v>10220</v>
      </c>
      <c r="G27" s="90">
        <v>46006.74501157407</v>
      </c>
      <c r="H27" s="90">
        <v>46048.97141203703</v>
      </c>
      <c r="I27" s="1" t="s">
        <v>16476</v>
      </c>
    </row>
    <row r="28">
      <c r="A28" s="1">
        <v>527.0</v>
      </c>
      <c r="B28" s="1" t="s">
        <v>18097</v>
      </c>
      <c r="E28" s="1" t="s">
        <v>50</v>
      </c>
      <c r="F28" s="1" t="s">
        <v>10220</v>
      </c>
      <c r="G28" s="90">
        <v>46006.745</v>
      </c>
      <c r="H28" s="90">
        <v>46048.97141203703</v>
      </c>
      <c r="I28" s="1" t="s">
        <v>16476</v>
      </c>
    </row>
    <row r="29">
      <c r="A29" s="1">
        <v>526.0</v>
      </c>
      <c r="B29" s="1" t="s">
        <v>18098</v>
      </c>
      <c r="E29" s="1" t="s">
        <v>50</v>
      </c>
      <c r="F29" s="1" t="s">
        <v>10220</v>
      </c>
      <c r="G29" s="90">
        <v>46006.745</v>
      </c>
      <c r="H29" s="90">
        <v>46048.97141203703</v>
      </c>
      <c r="I29" s="1" t="s">
        <v>16476</v>
      </c>
    </row>
    <row r="30">
      <c r="A30" s="1">
        <v>525.0</v>
      </c>
      <c r="B30" s="1" t="s">
        <v>18099</v>
      </c>
      <c r="E30" s="1" t="s">
        <v>50</v>
      </c>
      <c r="F30" s="1" t="s">
        <v>10220</v>
      </c>
      <c r="G30" s="90">
        <v>46006.745</v>
      </c>
      <c r="H30" s="90">
        <v>46048.971400462964</v>
      </c>
      <c r="I30" s="1" t="s">
        <v>16476</v>
      </c>
    </row>
    <row r="31">
      <c r="A31" s="1">
        <v>524.0</v>
      </c>
      <c r="B31" s="1" t="s">
        <v>18100</v>
      </c>
      <c r="E31" s="1" t="s">
        <v>50</v>
      </c>
      <c r="F31" s="1" t="s">
        <v>10220</v>
      </c>
      <c r="G31" s="90">
        <v>46006.744988425926</v>
      </c>
      <c r="H31" s="90">
        <v>46048.971400462964</v>
      </c>
      <c r="I31" s="1" t="s">
        <v>16476</v>
      </c>
    </row>
    <row r="32">
      <c r="A32" s="1">
        <v>523.0</v>
      </c>
      <c r="B32" s="1" t="s">
        <v>18101</v>
      </c>
      <c r="E32" s="1" t="s">
        <v>50</v>
      </c>
      <c r="F32" s="1" t="s">
        <v>10220</v>
      </c>
      <c r="G32" s="90">
        <v>46006.744988425926</v>
      </c>
      <c r="H32" s="90">
        <v>46048.971400462964</v>
      </c>
      <c r="I32" s="1" t="s">
        <v>16476</v>
      </c>
    </row>
    <row r="33">
      <c r="A33" s="1">
        <v>522.0</v>
      </c>
      <c r="B33" s="1" t="s">
        <v>18102</v>
      </c>
      <c r="E33" s="1" t="s">
        <v>50</v>
      </c>
      <c r="F33" s="1" t="s">
        <v>10220</v>
      </c>
      <c r="G33" s="90">
        <v>46006.74497685185</v>
      </c>
      <c r="H33" s="90">
        <v>46048.97138888889</v>
      </c>
      <c r="I33" s="1" t="s">
        <v>16476</v>
      </c>
    </row>
    <row r="34">
      <c r="A34" s="1">
        <v>521.0</v>
      </c>
      <c r="B34" s="1" t="s">
        <v>18103</v>
      </c>
      <c r="E34" s="1" t="s">
        <v>50</v>
      </c>
      <c r="F34" s="1" t="s">
        <v>10220</v>
      </c>
      <c r="G34" s="90">
        <v>46006.74497685185</v>
      </c>
      <c r="H34" s="90">
        <v>46048.97138888889</v>
      </c>
      <c r="I34" s="1" t="s">
        <v>16476</v>
      </c>
    </row>
    <row r="35">
      <c r="A35" s="1">
        <v>520.0</v>
      </c>
      <c r="B35" s="1" t="s">
        <v>18104</v>
      </c>
      <c r="E35" s="1" t="s">
        <v>50</v>
      </c>
      <c r="F35" s="1" t="s">
        <v>10220</v>
      </c>
      <c r="G35" s="90">
        <v>46006.74497685185</v>
      </c>
      <c r="H35" s="90">
        <v>46048.97138888889</v>
      </c>
      <c r="I35" s="1" t="s">
        <v>16476</v>
      </c>
    </row>
    <row r="36">
      <c r="A36" s="1">
        <v>519.0</v>
      </c>
      <c r="B36" s="1" t="s">
        <v>18105</v>
      </c>
      <c r="E36" s="1" t="s">
        <v>50</v>
      </c>
      <c r="F36" s="1" t="s">
        <v>10220</v>
      </c>
      <c r="G36" s="90">
        <v>46006.74496527778</v>
      </c>
      <c r="H36" s="90">
        <v>46048.97138888889</v>
      </c>
      <c r="I36" s="1" t="s">
        <v>16476</v>
      </c>
    </row>
    <row r="37">
      <c r="A37" s="1">
        <v>517.0</v>
      </c>
      <c r="B37" s="1" t="s">
        <v>18106</v>
      </c>
      <c r="E37" s="1" t="s">
        <v>50</v>
      </c>
      <c r="F37" s="1" t="s">
        <v>10220</v>
      </c>
      <c r="G37" s="90">
        <v>46006.74496527778</v>
      </c>
      <c r="H37" s="90">
        <v>46048.97137731482</v>
      </c>
      <c r="I37" s="1" t="s">
        <v>16476</v>
      </c>
    </row>
    <row r="38">
      <c r="A38" s="1">
        <v>516.0</v>
      </c>
      <c r="B38" s="1" t="s">
        <v>18107</v>
      </c>
      <c r="E38" s="1" t="s">
        <v>50</v>
      </c>
      <c r="F38" s="1" t="s">
        <v>10220</v>
      </c>
      <c r="G38" s="90">
        <v>46006.7449537037</v>
      </c>
      <c r="H38" s="90">
        <v>46048.97137731482</v>
      </c>
      <c r="I38" s="1" t="s">
        <v>16476</v>
      </c>
    </row>
    <row r="39">
      <c r="A39" s="1">
        <v>515.0</v>
      </c>
      <c r="B39" s="1" t="s">
        <v>18108</v>
      </c>
      <c r="E39" s="1" t="s">
        <v>50</v>
      </c>
      <c r="F39" s="1" t="s">
        <v>10220</v>
      </c>
      <c r="G39" s="90">
        <v>46006.7449537037</v>
      </c>
      <c r="H39" s="90">
        <v>46048.97137731482</v>
      </c>
      <c r="I39" s="1" t="s">
        <v>16476</v>
      </c>
    </row>
    <row r="40">
      <c r="A40" s="1">
        <v>514.0</v>
      </c>
      <c r="B40" s="1" t="s">
        <v>18109</v>
      </c>
      <c r="E40" s="1" t="s">
        <v>50</v>
      </c>
      <c r="F40" s="1" t="s">
        <v>10220</v>
      </c>
      <c r="G40" s="90">
        <v>46006.7449537037</v>
      </c>
      <c r="H40" s="90">
        <v>46048.97136574074</v>
      </c>
      <c r="I40" s="1" t="s">
        <v>16476</v>
      </c>
    </row>
    <row r="41">
      <c r="A41" s="1">
        <v>513.0</v>
      </c>
      <c r="B41" s="1" t="s">
        <v>18110</v>
      </c>
      <c r="E41" s="1" t="s">
        <v>50</v>
      </c>
      <c r="F41" s="1" t="s">
        <v>10220</v>
      </c>
      <c r="G41" s="90">
        <v>46006.744942129626</v>
      </c>
      <c r="H41" s="90">
        <v>46048.97136574074</v>
      </c>
      <c r="I41" s="1" t="s">
        <v>16476</v>
      </c>
    </row>
    <row r="42">
      <c r="A42" s="1">
        <v>512.0</v>
      </c>
      <c r="B42" s="1" t="s">
        <v>18111</v>
      </c>
      <c r="E42" s="1" t="s">
        <v>50</v>
      </c>
      <c r="F42" s="1" t="s">
        <v>10220</v>
      </c>
      <c r="G42" s="90">
        <v>46006.744942129626</v>
      </c>
      <c r="H42" s="90">
        <v>46048.971354166664</v>
      </c>
      <c r="I42" s="1" t="s">
        <v>16476</v>
      </c>
    </row>
    <row r="43">
      <c r="A43" s="1">
        <v>511.0</v>
      </c>
      <c r="B43" s="1" t="s">
        <v>18112</v>
      </c>
      <c r="E43" s="1" t="s">
        <v>50</v>
      </c>
      <c r="F43" s="1" t="s">
        <v>10220</v>
      </c>
      <c r="G43" s="90">
        <v>46006.744942129626</v>
      </c>
      <c r="H43" s="90">
        <v>46048.971354166664</v>
      </c>
      <c r="I43" s="1" t="s">
        <v>16476</v>
      </c>
    </row>
    <row r="44">
      <c r="A44" s="1">
        <v>510.0</v>
      </c>
      <c r="B44" s="1" t="s">
        <v>18113</v>
      </c>
      <c r="E44" s="1" t="s">
        <v>50</v>
      </c>
      <c r="F44" s="1" t="s">
        <v>10220</v>
      </c>
      <c r="G44" s="90">
        <v>46006.74493055556</v>
      </c>
      <c r="H44" s="90">
        <v>46048.971354166664</v>
      </c>
      <c r="I44" s="1" t="s">
        <v>16476</v>
      </c>
    </row>
    <row r="45">
      <c r="A45" s="1">
        <v>509.0</v>
      </c>
      <c r="B45" s="1" t="s">
        <v>18114</v>
      </c>
      <c r="E45" s="1" t="s">
        <v>50</v>
      </c>
      <c r="F45" s="1" t="s">
        <v>10220</v>
      </c>
      <c r="G45" s="90">
        <v>46006.74493055556</v>
      </c>
      <c r="H45" s="90">
        <v>46048.971342592595</v>
      </c>
      <c r="I45" s="1" t="s">
        <v>16476</v>
      </c>
    </row>
    <row r="46">
      <c r="A46" s="1">
        <v>508.0</v>
      </c>
      <c r="B46" s="1" t="s">
        <v>18115</v>
      </c>
      <c r="E46" s="1" t="s">
        <v>50</v>
      </c>
      <c r="F46" s="1" t="s">
        <v>10220</v>
      </c>
      <c r="G46" s="90">
        <v>46006.74491898148</v>
      </c>
      <c r="H46" s="90">
        <v>46048.971342592595</v>
      </c>
      <c r="I46" s="1" t="s">
        <v>16476</v>
      </c>
    </row>
    <row r="47">
      <c r="A47" s="1">
        <v>507.0</v>
      </c>
      <c r="B47" s="1" t="s">
        <v>18116</v>
      </c>
      <c r="E47" s="1" t="s">
        <v>50</v>
      </c>
      <c r="F47" s="1" t="s">
        <v>10220</v>
      </c>
      <c r="G47" s="90">
        <v>46006.74491898148</v>
      </c>
      <c r="H47" s="90">
        <v>46048.97133101852</v>
      </c>
      <c r="I47" s="1" t="s">
        <v>16476</v>
      </c>
    </row>
    <row r="48">
      <c r="A48" s="1">
        <v>506.0</v>
      </c>
      <c r="B48" s="1" t="s">
        <v>18117</v>
      </c>
      <c r="E48" s="1" t="s">
        <v>50</v>
      </c>
      <c r="F48" s="1" t="s">
        <v>10220</v>
      </c>
      <c r="G48" s="90">
        <v>46006.74491898148</v>
      </c>
      <c r="H48" s="90">
        <v>46048.97133101852</v>
      </c>
      <c r="I48" s="1" t="s">
        <v>16476</v>
      </c>
    </row>
    <row r="49">
      <c r="A49" s="1">
        <v>505.0</v>
      </c>
      <c r="B49" s="1" t="s">
        <v>18118</v>
      </c>
      <c r="E49" s="1" t="s">
        <v>50</v>
      </c>
      <c r="F49" s="1" t="s">
        <v>10220</v>
      </c>
      <c r="G49" s="90">
        <v>46006.74490740741</v>
      </c>
      <c r="H49" s="90">
        <v>46048.97133101852</v>
      </c>
      <c r="I49" s="1" t="s">
        <v>16476</v>
      </c>
    </row>
    <row r="50">
      <c r="A50" s="1">
        <v>504.0</v>
      </c>
      <c r="B50" s="1" t="s">
        <v>18119</v>
      </c>
      <c r="E50" s="1" t="s">
        <v>50</v>
      </c>
      <c r="F50" s="1" t="s">
        <v>10220</v>
      </c>
      <c r="G50" s="90">
        <v>46006.74490740741</v>
      </c>
      <c r="H50" s="90">
        <v>46048.97131944444</v>
      </c>
      <c r="I50" s="1" t="s">
        <v>16476</v>
      </c>
    </row>
    <row r="51">
      <c r="A51" s="1">
        <v>503.0</v>
      </c>
      <c r="B51" s="1" t="s">
        <v>18120</v>
      </c>
      <c r="E51" s="1" t="s">
        <v>50</v>
      </c>
      <c r="F51" s="1" t="s">
        <v>10220</v>
      </c>
      <c r="G51" s="90">
        <v>46006.74490740741</v>
      </c>
      <c r="H51" s="90">
        <v>46048.97131944444</v>
      </c>
      <c r="I51" s="1" t="s">
        <v>16476</v>
      </c>
    </row>
    <row r="52">
      <c r="A52" s="1">
        <v>502.0</v>
      </c>
      <c r="B52" s="1" t="s">
        <v>18121</v>
      </c>
      <c r="E52" s="1" t="s">
        <v>50</v>
      </c>
      <c r="F52" s="1" t="s">
        <v>10220</v>
      </c>
      <c r="G52" s="90">
        <v>46006.74489583333</v>
      </c>
      <c r="H52" s="90">
        <v>46048.97130787037</v>
      </c>
      <c r="I52" s="1" t="s">
        <v>16476</v>
      </c>
    </row>
    <row r="53">
      <c r="A53" s="1">
        <v>489.0</v>
      </c>
      <c r="B53" s="1" t="s">
        <v>18122</v>
      </c>
      <c r="E53" s="1" t="s">
        <v>50</v>
      </c>
      <c r="F53" s="1" t="s">
        <v>10220</v>
      </c>
      <c r="G53" s="90">
        <v>45541.603842592594</v>
      </c>
      <c r="H53" s="90">
        <v>46048.97130787037</v>
      </c>
      <c r="I53" s="1" t="s">
        <v>16476</v>
      </c>
    </row>
    <row r="54">
      <c r="A54" s="1">
        <v>473.0</v>
      </c>
      <c r="B54" s="1" t="s">
        <v>13487</v>
      </c>
      <c r="E54" s="1" t="s">
        <v>18123</v>
      </c>
      <c r="F54" s="1" t="s">
        <v>10220</v>
      </c>
      <c r="G54" s="90">
        <v>45345.46532407407</v>
      </c>
      <c r="H54" s="90">
        <v>46048.971296296295</v>
      </c>
      <c r="I54" s="1" t="s">
        <v>16476</v>
      </c>
    </row>
    <row r="55">
      <c r="A55" s="1">
        <v>472.0</v>
      </c>
      <c r="B55" s="1" t="s">
        <v>2308</v>
      </c>
      <c r="E55" s="1" t="s">
        <v>18124</v>
      </c>
      <c r="F55" s="1" t="s">
        <v>10220</v>
      </c>
      <c r="G55" s="90">
        <v>45336.50413194444</v>
      </c>
      <c r="H55" s="90">
        <v>46048.971284722225</v>
      </c>
      <c r="I55" s="1" t="s">
        <v>16476</v>
      </c>
    </row>
    <row r="56">
      <c r="A56" s="1">
        <v>471.0</v>
      </c>
      <c r="B56" s="1" t="s">
        <v>18125</v>
      </c>
      <c r="E56" s="1" t="s">
        <v>18126</v>
      </c>
      <c r="F56" s="1" t="s">
        <v>10220</v>
      </c>
      <c r="G56" s="90">
        <v>45315.42800925926</v>
      </c>
      <c r="H56" s="90">
        <v>46048.971284722225</v>
      </c>
      <c r="I56" s="1" t="s">
        <v>16476</v>
      </c>
    </row>
    <row r="57">
      <c r="A57" s="1">
        <v>469.0</v>
      </c>
      <c r="B57" s="1" t="s">
        <v>18127</v>
      </c>
      <c r="E57" s="1" t="s">
        <v>18128</v>
      </c>
      <c r="F57" s="1" t="s">
        <v>10220</v>
      </c>
      <c r="G57" s="90">
        <v>45313.624814814815</v>
      </c>
      <c r="H57" s="90">
        <v>46048.971284722225</v>
      </c>
      <c r="I57" s="1" t="s">
        <v>16476</v>
      </c>
    </row>
    <row r="58">
      <c r="A58" s="1">
        <v>467.0</v>
      </c>
      <c r="B58" s="1" t="s">
        <v>3765</v>
      </c>
      <c r="E58" s="1" t="s">
        <v>18129</v>
      </c>
      <c r="F58" s="1" t="s">
        <v>10220</v>
      </c>
      <c r="G58" s="90">
        <v>45308.391122685185</v>
      </c>
      <c r="H58" s="90">
        <v>46048.97126157407</v>
      </c>
      <c r="I58" s="1" t="s">
        <v>16476</v>
      </c>
    </row>
    <row r="59">
      <c r="A59" s="1">
        <v>466.0</v>
      </c>
      <c r="B59" s="1" t="s">
        <v>18130</v>
      </c>
      <c r="E59" s="1" t="s">
        <v>18131</v>
      </c>
      <c r="F59" s="1" t="s">
        <v>10220</v>
      </c>
      <c r="G59" s="90">
        <v>45293.80364583333</v>
      </c>
      <c r="H59" s="90">
        <v>46048.97126157407</v>
      </c>
      <c r="I59" s="1" t="s">
        <v>16476</v>
      </c>
    </row>
    <row r="60">
      <c r="A60" s="1">
        <v>464.0</v>
      </c>
      <c r="B60" s="1" t="s">
        <v>18132</v>
      </c>
      <c r="E60" s="1" t="s">
        <v>18133</v>
      </c>
      <c r="F60" s="1" t="s">
        <v>10220</v>
      </c>
      <c r="G60" s="90">
        <v>45283.51894675926</v>
      </c>
      <c r="H60" s="90">
        <v>46048.97126157407</v>
      </c>
      <c r="I60" s="1" t="s">
        <v>16476</v>
      </c>
    </row>
    <row r="61">
      <c r="A61" s="1">
        <v>459.0</v>
      </c>
      <c r="B61" s="1" t="s">
        <v>3728</v>
      </c>
      <c r="E61" s="1" t="s">
        <v>18134</v>
      </c>
      <c r="F61" s="1" t="s">
        <v>10220</v>
      </c>
      <c r="G61" s="90">
        <v>45258.937256944446</v>
      </c>
      <c r="H61" s="90">
        <v>46048.971238425926</v>
      </c>
      <c r="I61" s="1" t="s">
        <v>16476</v>
      </c>
    </row>
    <row r="62">
      <c r="A62" s="1">
        <v>450.0</v>
      </c>
      <c r="B62" s="1" t="s">
        <v>3709</v>
      </c>
      <c r="E62" s="1" t="s">
        <v>18135</v>
      </c>
      <c r="F62" s="1" t="s">
        <v>10220</v>
      </c>
      <c r="G62" s="90">
        <v>45189.58574074074</v>
      </c>
      <c r="H62" s="90">
        <v>46048.97122685185</v>
      </c>
      <c r="I62" s="1" t="s">
        <v>16476</v>
      </c>
    </row>
    <row r="63">
      <c r="A63" s="1">
        <v>448.0</v>
      </c>
      <c r="B63" s="1" t="s">
        <v>18136</v>
      </c>
      <c r="E63" s="1" t="s">
        <v>50</v>
      </c>
      <c r="F63" s="1" t="s">
        <v>10220</v>
      </c>
      <c r="G63" s="90">
        <v>45187.64821759259</v>
      </c>
      <c r="H63" s="90">
        <v>46048.9712037037</v>
      </c>
      <c r="I63" s="1" t="s">
        <v>16476</v>
      </c>
    </row>
    <row r="64">
      <c r="A64" s="1">
        <v>445.0</v>
      </c>
      <c r="B64" s="1" t="s">
        <v>846</v>
      </c>
      <c r="E64" s="1" t="s">
        <v>18137</v>
      </c>
      <c r="F64" s="1" t="s">
        <v>10220</v>
      </c>
      <c r="G64" s="90">
        <v>45181.45075231481</v>
      </c>
      <c r="H64" s="90">
        <v>46048.9712037037</v>
      </c>
      <c r="I64" s="1" t="s">
        <v>16476</v>
      </c>
    </row>
    <row r="65">
      <c r="A65" s="1">
        <v>439.0</v>
      </c>
      <c r="B65" s="1" t="s">
        <v>18138</v>
      </c>
      <c r="E65" s="1" t="s">
        <v>18139</v>
      </c>
      <c r="F65" s="1" t="s">
        <v>10220</v>
      </c>
      <c r="G65" s="90">
        <v>45145.67758101852</v>
      </c>
      <c r="H65" s="90">
        <v>46048.97119212963</v>
      </c>
      <c r="I65" s="1" t="s">
        <v>16476</v>
      </c>
    </row>
    <row r="66">
      <c r="A66" s="1">
        <v>437.0</v>
      </c>
      <c r="B66" s="1" t="s">
        <v>18140</v>
      </c>
      <c r="E66" s="1" t="s">
        <v>18141</v>
      </c>
      <c r="F66" s="1" t="s">
        <v>10220</v>
      </c>
      <c r="G66" s="90">
        <v>45137.38928240741</v>
      </c>
      <c r="H66" s="90">
        <v>46048.97119212963</v>
      </c>
      <c r="I66" s="1" t="s">
        <v>16476</v>
      </c>
    </row>
    <row r="67">
      <c r="A67" s="1">
        <v>436.0</v>
      </c>
      <c r="B67" s="1" t="s">
        <v>18142</v>
      </c>
      <c r="E67" s="1" t="s">
        <v>18143</v>
      </c>
      <c r="F67" s="1" t="s">
        <v>10220</v>
      </c>
      <c r="G67" s="90">
        <v>45134.734502314815</v>
      </c>
      <c r="H67" s="90">
        <v>46048.97119212963</v>
      </c>
      <c r="I67" s="1" t="s">
        <v>16476</v>
      </c>
    </row>
    <row r="68">
      <c r="A68" s="1">
        <v>417.0</v>
      </c>
      <c r="B68" s="1" t="s">
        <v>18144</v>
      </c>
      <c r="E68" s="1" t="s">
        <v>3581</v>
      </c>
      <c r="F68" s="1" t="s">
        <v>10220</v>
      </c>
      <c r="G68" s="90">
        <v>45113.540555555555</v>
      </c>
      <c r="H68" s="90">
        <v>46048.971180555556</v>
      </c>
      <c r="I68" s="1" t="s">
        <v>16476</v>
      </c>
    </row>
    <row r="69">
      <c r="A69" s="1">
        <v>404.0</v>
      </c>
      <c r="B69" s="1" t="s">
        <v>18145</v>
      </c>
      <c r="E69" s="1" t="s">
        <v>3476</v>
      </c>
      <c r="F69" s="1" t="s">
        <v>10220</v>
      </c>
      <c r="G69" s="90">
        <v>45113.54042824074</v>
      </c>
      <c r="H69" s="90">
        <v>46048.97116898148</v>
      </c>
      <c r="I69" s="1" t="s">
        <v>16476</v>
      </c>
    </row>
    <row r="70">
      <c r="A70" s="1">
        <v>389.0</v>
      </c>
      <c r="B70" s="1" t="s">
        <v>18146</v>
      </c>
      <c r="E70" s="1" t="s">
        <v>3378</v>
      </c>
      <c r="F70" s="1" t="s">
        <v>10220</v>
      </c>
      <c r="G70" s="90">
        <v>45113.540289351855</v>
      </c>
      <c r="H70" s="90">
        <v>46048.97115740741</v>
      </c>
      <c r="I70" s="1" t="s">
        <v>16476</v>
      </c>
    </row>
    <row r="71">
      <c r="A71" s="1">
        <v>381.0</v>
      </c>
      <c r="B71" s="1" t="s">
        <v>18147</v>
      </c>
      <c r="E71" s="1" t="s">
        <v>50</v>
      </c>
      <c r="F71" s="1" t="s">
        <v>10220</v>
      </c>
      <c r="G71" s="90">
        <v>45113.54019675926</v>
      </c>
      <c r="H71" s="90">
        <v>46048.97114583333</v>
      </c>
      <c r="I71" s="1" t="s">
        <v>16476</v>
      </c>
    </row>
    <row r="72">
      <c r="A72" s="1">
        <v>378.0</v>
      </c>
      <c r="B72" s="1" t="s">
        <v>18148</v>
      </c>
      <c r="E72" s="1" t="s">
        <v>3285</v>
      </c>
      <c r="F72" s="1" t="s">
        <v>10220</v>
      </c>
      <c r="G72" s="90">
        <v>45113.54016203704</v>
      </c>
      <c r="H72" s="90">
        <v>46048.97114583333</v>
      </c>
      <c r="I72" s="1" t="s">
        <v>16476</v>
      </c>
    </row>
    <row r="73">
      <c r="A73" s="1">
        <v>368.0</v>
      </c>
      <c r="B73" s="1" t="s">
        <v>18149</v>
      </c>
      <c r="E73" s="1" t="s">
        <v>3205</v>
      </c>
      <c r="F73" s="1" t="s">
        <v>10220</v>
      </c>
      <c r="G73" s="90">
        <v>45113.54006944445</v>
      </c>
      <c r="H73" s="90">
        <v>46048.97114583333</v>
      </c>
      <c r="I73" s="1" t="s">
        <v>16476</v>
      </c>
    </row>
    <row r="74">
      <c r="A74" s="1">
        <v>349.0</v>
      </c>
      <c r="B74" s="1" t="s">
        <v>18150</v>
      </c>
      <c r="E74" s="1" t="s">
        <v>3057</v>
      </c>
      <c r="F74" s="1" t="s">
        <v>10220</v>
      </c>
      <c r="G74" s="90">
        <v>45113.53988425926</v>
      </c>
      <c r="H74" s="90">
        <v>46048.97112268519</v>
      </c>
      <c r="I74" s="1" t="s">
        <v>16476</v>
      </c>
    </row>
    <row r="75">
      <c r="A75" s="1">
        <v>348.0</v>
      </c>
      <c r="B75" s="1" t="s">
        <v>18151</v>
      </c>
      <c r="E75" s="1" t="s">
        <v>3048</v>
      </c>
      <c r="F75" s="1" t="s">
        <v>10220</v>
      </c>
      <c r="G75" s="90">
        <v>45113.539872685185</v>
      </c>
      <c r="H75" s="90">
        <v>46048.97112268519</v>
      </c>
      <c r="I75" s="1" t="s">
        <v>16476</v>
      </c>
    </row>
    <row r="76">
      <c r="A76" s="1">
        <v>347.0</v>
      </c>
      <c r="B76" s="1" t="s">
        <v>18152</v>
      </c>
      <c r="E76" s="1" t="s">
        <v>3041</v>
      </c>
      <c r="F76" s="1" t="s">
        <v>10220</v>
      </c>
      <c r="G76" s="90">
        <v>45113.539872685185</v>
      </c>
      <c r="H76" s="90">
        <v>46048.97112268519</v>
      </c>
      <c r="I76" s="1" t="s">
        <v>16476</v>
      </c>
    </row>
    <row r="77">
      <c r="A77" s="1">
        <v>346.0</v>
      </c>
      <c r="B77" s="1" t="s">
        <v>18153</v>
      </c>
      <c r="E77" s="1" t="s">
        <v>3033</v>
      </c>
      <c r="F77" s="1" t="s">
        <v>10220</v>
      </c>
      <c r="G77" s="90">
        <v>45113.53986111111</v>
      </c>
      <c r="H77" s="90">
        <v>46048.97112268519</v>
      </c>
      <c r="I77" s="1" t="s">
        <v>16476</v>
      </c>
    </row>
    <row r="78">
      <c r="A78" s="1">
        <v>345.0</v>
      </c>
      <c r="B78" s="1" t="s">
        <v>18154</v>
      </c>
      <c r="E78" s="1" t="s">
        <v>3023</v>
      </c>
      <c r="F78" s="1" t="s">
        <v>10220</v>
      </c>
      <c r="G78" s="90">
        <v>45113.53984953704</v>
      </c>
      <c r="H78" s="90">
        <v>46048.97112268519</v>
      </c>
      <c r="I78" s="1" t="s">
        <v>16476</v>
      </c>
    </row>
    <row r="79">
      <c r="A79" s="1">
        <v>344.0</v>
      </c>
      <c r="B79" s="1" t="s">
        <v>18155</v>
      </c>
      <c r="E79" s="1" t="s">
        <v>3015</v>
      </c>
      <c r="F79" s="1" t="s">
        <v>10220</v>
      </c>
      <c r="G79" s="90">
        <v>45113.53983796296</v>
      </c>
      <c r="H79" s="90">
        <v>46048.97111111111</v>
      </c>
      <c r="I79" s="1" t="s">
        <v>16476</v>
      </c>
    </row>
    <row r="80">
      <c r="A80" s="1">
        <v>342.0</v>
      </c>
      <c r="B80" s="1" t="s">
        <v>18156</v>
      </c>
      <c r="E80" s="1" t="s">
        <v>3000</v>
      </c>
      <c r="F80" s="1" t="s">
        <v>10220</v>
      </c>
      <c r="G80" s="90">
        <v>45113.539814814816</v>
      </c>
      <c r="H80" s="90">
        <v>46048.97111111111</v>
      </c>
      <c r="I80" s="1" t="s">
        <v>16476</v>
      </c>
    </row>
    <row r="81">
      <c r="A81" s="1">
        <v>341.0</v>
      </c>
      <c r="B81" s="1" t="s">
        <v>18157</v>
      </c>
      <c r="E81" s="1" t="s">
        <v>2993</v>
      </c>
      <c r="F81" s="1" t="s">
        <v>10220</v>
      </c>
      <c r="G81" s="90">
        <v>45113.539814814816</v>
      </c>
      <c r="H81" s="90">
        <v>46048.97111111111</v>
      </c>
      <c r="I81" s="1" t="s">
        <v>16476</v>
      </c>
    </row>
    <row r="82">
      <c r="A82" s="1">
        <v>340.0</v>
      </c>
      <c r="B82" s="1" t="s">
        <v>18158</v>
      </c>
      <c r="E82" s="1" t="s">
        <v>50</v>
      </c>
      <c r="F82" s="1" t="s">
        <v>10220</v>
      </c>
      <c r="G82" s="90">
        <v>45113.53980324074</v>
      </c>
      <c r="H82" s="90">
        <v>46048.97111111111</v>
      </c>
      <c r="I82" s="1" t="s">
        <v>16476</v>
      </c>
    </row>
    <row r="83">
      <c r="A83" s="1">
        <v>339.0</v>
      </c>
      <c r="B83" s="1" t="s">
        <v>18159</v>
      </c>
      <c r="E83" s="1" t="s">
        <v>2979</v>
      </c>
      <c r="F83" s="1" t="s">
        <v>10220</v>
      </c>
      <c r="G83" s="90">
        <v>45113.53979166667</v>
      </c>
      <c r="H83" s="90">
        <v>46048.97109953704</v>
      </c>
      <c r="I83" s="1" t="s">
        <v>16476</v>
      </c>
    </row>
    <row r="84">
      <c r="A84" s="1">
        <v>338.0</v>
      </c>
      <c r="B84" s="1" t="s">
        <v>18160</v>
      </c>
      <c r="E84" s="1" t="s">
        <v>2972</v>
      </c>
      <c r="F84" s="1" t="s">
        <v>10220</v>
      </c>
      <c r="G84" s="90">
        <v>45113.53978009259</v>
      </c>
      <c r="H84" s="90">
        <v>46048.97109953704</v>
      </c>
      <c r="I84" s="1" t="s">
        <v>16476</v>
      </c>
    </row>
    <row r="85">
      <c r="A85" s="1">
        <v>337.0</v>
      </c>
      <c r="B85" s="1" t="s">
        <v>18161</v>
      </c>
      <c r="E85" s="1" t="s">
        <v>2963</v>
      </c>
      <c r="F85" s="1" t="s">
        <v>10220</v>
      </c>
      <c r="G85" s="90">
        <v>45113.539768518516</v>
      </c>
      <c r="H85" s="90">
        <v>46048.97109953704</v>
      </c>
      <c r="I85" s="1" t="s">
        <v>16476</v>
      </c>
    </row>
    <row r="86">
      <c r="A86" s="1">
        <v>336.0</v>
      </c>
      <c r="B86" s="1" t="s">
        <v>18162</v>
      </c>
      <c r="E86" s="1" t="s">
        <v>2956</v>
      </c>
      <c r="F86" s="1" t="s">
        <v>10220</v>
      </c>
      <c r="G86" s="90">
        <v>45113.53975694445</v>
      </c>
      <c r="H86" s="90">
        <v>46048.97107638889</v>
      </c>
      <c r="I86" s="1" t="s">
        <v>16476</v>
      </c>
    </row>
    <row r="87">
      <c r="A87" s="1">
        <v>335.0</v>
      </c>
      <c r="B87" s="1" t="s">
        <v>18163</v>
      </c>
      <c r="E87" s="1" t="s">
        <v>2947</v>
      </c>
      <c r="F87" s="1" t="s">
        <v>10220</v>
      </c>
      <c r="G87" s="90">
        <v>45113.53975694445</v>
      </c>
      <c r="H87" s="90">
        <v>46048.97107638889</v>
      </c>
      <c r="I87" s="1" t="s">
        <v>16476</v>
      </c>
    </row>
    <row r="88">
      <c r="A88" s="1">
        <v>334.0</v>
      </c>
      <c r="B88" s="1" t="s">
        <v>18164</v>
      </c>
      <c r="E88" s="1" t="s">
        <v>2939</v>
      </c>
      <c r="F88" s="1" t="s">
        <v>10220</v>
      </c>
      <c r="G88" s="90">
        <v>45113.53974537037</v>
      </c>
      <c r="H88" s="90">
        <v>46048.97106481482</v>
      </c>
      <c r="I88" s="1" t="s">
        <v>16476</v>
      </c>
    </row>
    <row r="89">
      <c r="A89" s="1">
        <v>333.0</v>
      </c>
      <c r="B89" s="1" t="s">
        <v>18165</v>
      </c>
      <c r="E89" s="1" t="s">
        <v>2928</v>
      </c>
      <c r="F89" s="1" t="s">
        <v>10220</v>
      </c>
      <c r="G89" s="90">
        <v>45113.53973379629</v>
      </c>
      <c r="H89" s="90">
        <v>46048.97106481482</v>
      </c>
      <c r="I89" s="1" t="s">
        <v>16476</v>
      </c>
    </row>
    <row r="90">
      <c r="A90" s="1">
        <v>332.0</v>
      </c>
      <c r="B90" s="1" t="s">
        <v>18166</v>
      </c>
      <c r="E90" s="1" t="s">
        <v>2922</v>
      </c>
      <c r="F90" s="1" t="s">
        <v>10220</v>
      </c>
      <c r="G90" s="90">
        <v>45113.539722222224</v>
      </c>
      <c r="H90" s="90">
        <v>46048.97105324074</v>
      </c>
      <c r="I90" s="1" t="s">
        <v>16476</v>
      </c>
    </row>
    <row r="91">
      <c r="A91" s="1">
        <v>331.0</v>
      </c>
      <c r="B91" s="1" t="s">
        <v>18167</v>
      </c>
      <c r="E91" s="1" t="s">
        <v>2912</v>
      </c>
      <c r="F91" s="1" t="s">
        <v>10220</v>
      </c>
      <c r="G91" s="90">
        <v>45113.53971064815</v>
      </c>
      <c r="H91" s="90">
        <v>46048.97105324074</v>
      </c>
      <c r="I91" s="1" t="s">
        <v>16476</v>
      </c>
    </row>
    <row r="92">
      <c r="A92" s="1">
        <v>330.0</v>
      </c>
      <c r="B92" s="1" t="s">
        <v>18168</v>
      </c>
      <c r="E92" s="1" t="s">
        <v>2906</v>
      </c>
      <c r="F92" s="1" t="s">
        <v>10220</v>
      </c>
      <c r="G92" s="90">
        <v>45113.53969907408</v>
      </c>
      <c r="H92" s="90">
        <v>46048.97105324074</v>
      </c>
      <c r="I92" s="1" t="s">
        <v>16476</v>
      </c>
    </row>
    <row r="93">
      <c r="A93" s="1">
        <v>328.0</v>
      </c>
      <c r="B93" s="1" t="s">
        <v>18169</v>
      </c>
      <c r="E93" s="1" t="s">
        <v>2891</v>
      </c>
      <c r="F93" s="1" t="s">
        <v>10220</v>
      </c>
      <c r="G93" s="90">
        <v>45113.5396875</v>
      </c>
      <c r="H93" s="90">
        <v>46048.97105324074</v>
      </c>
      <c r="I93" s="1" t="s">
        <v>16476</v>
      </c>
    </row>
    <row r="94">
      <c r="A94" s="1">
        <v>326.0</v>
      </c>
      <c r="B94" s="1" t="s">
        <v>18170</v>
      </c>
      <c r="E94" s="1" t="s">
        <v>2885</v>
      </c>
      <c r="F94" s="1" t="s">
        <v>10220</v>
      </c>
      <c r="G94" s="90">
        <v>45113.539664351854</v>
      </c>
      <c r="H94" s="90">
        <v>46048.971041666664</v>
      </c>
      <c r="I94" s="1" t="s">
        <v>16476</v>
      </c>
    </row>
    <row r="95">
      <c r="A95" s="1">
        <v>325.0</v>
      </c>
      <c r="B95" s="1" t="s">
        <v>18171</v>
      </c>
      <c r="E95" s="1" t="s">
        <v>2878</v>
      </c>
      <c r="F95" s="1" t="s">
        <v>10220</v>
      </c>
      <c r="G95" s="90">
        <v>45113.53965277778</v>
      </c>
      <c r="H95" s="90">
        <v>46048.971041666664</v>
      </c>
      <c r="I95" s="1" t="s">
        <v>16476</v>
      </c>
    </row>
    <row r="96">
      <c r="A96" s="1">
        <v>324.0</v>
      </c>
      <c r="B96" s="1" t="s">
        <v>18172</v>
      </c>
      <c r="E96" s="1" t="s">
        <v>2869</v>
      </c>
      <c r="F96" s="1" t="s">
        <v>10220</v>
      </c>
      <c r="G96" s="90">
        <v>45113.53965277778</v>
      </c>
      <c r="H96" s="90">
        <v>46048.971041666664</v>
      </c>
      <c r="I96" s="1" t="s">
        <v>16476</v>
      </c>
    </row>
    <row r="97">
      <c r="A97" s="1">
        <v>323.0</v>
      </c>
      <c r="B97" s="1" t="s">
        <v>18173</v>
      </c>
      <c r="E97" s="1" t="s">
        <v>2861</v>
      </c>
      <c r="F97" s="1" t="s">
        <v>10220</v>
      </c>
      <c r="G97" s="90">
        <v>45113.5396412037</v>
      </c>
      <c r="H97" s="90">
        <v>46048.971030092594</v>
      </c>
      <c r="I97" s="1" t="s">
        <v>16476</v>
      </c>
    </row>
    <row r="98">
      <c r="A98" s="1">
        <v>322.0</v>
      </c>
      <c r="B98" s="1" t="s">
        <v>18174</v>
      </c>
      <c r="E98" s="1" t="s">
        <v>2852</v>
      </c>
      <c r="F98" s="1" t="s">
        <v>10220</v>
      </c>
      <c r="G98" s="90">
        <v>45113.53962962963</v>
      </c>
      <c r="H98" s="90">
        <v>46048.971030092594</v>
      </c>
      <c r="I98" s="1" t="s">
        <v>16476</v>
      </c>
    </row>
    <row r="99">
      <c r="A99" s="1">
        <v>321.0</v>
      </c>
      <c r="B99" s="1" t="s">
        <v>18175</v>
      </c>
      <c r="E99" s="1" t="s">
        <v>2844</v>
      </c>
      <c r="F99" s="1" t="s">
        <v>10220</v>
      </c>
      <c r="G99" s="90">
        <v>45113.539618055554</v>
      </c>
      <c r="H99" s="90">
        <v>46048.971030092594</v>
      </c>
      <c r="I99" s="1" t="s">
        <v>16476</v>
      </c>
    </row>
    <row r="100">
      <c r="A100" s="1">
        <v>320.0</v>
      </c>
      <c r="B100" s="1" t="s">
        <v>18176</v>
      </c>
      <c r="E100" s="1" t="s">
        <v>2833</v>
      </c>
      <c r="F100" s="1" t="s">
        <v>10220</v>
      </c>
      <c r="G100" s="90">
        <v>45113.539606481485</v>
      </c>
      <c r="H100" s="90">
        <v>46048.971030092594</v>
      </c>
      <c r="I100" s="1" t="s">
        <v>16476</v>
      </c>
    </row>
    <row r="101">
      <c r="A101" s="1">
        <v>319.0</v>
      </c>
      <c r="B101" s="1" t="s">
        <v>18177</v>
      </c>
      <c r="E101" s="1" t="s">
        <v>50</v>
      </c>
      <c r="F101" s="1" t="s">
        <v>10220</v>
      </c>
      <c r="G101" s="90">
        <v>45113.53959490741</v>
      </c>
      <c r="H101" s="90">
        <v>46048.97101851852</v>
      </c>
      <c r="I101" s="1" t="s">
        <v>16476</v>
      </c>
    </row>
    <row r="102">
      <c r="A102" s="1">
        <v>318.0</v>
      </c>
      <c r="B102" s="1" t="s">
        <v>18178</v>
      </c>
      <c r="E102" s="1" t="s">
        <v>2818</v>
      </c>
      <c r="F102" s="1" t="s">
        <v>10220</v>
      </c>
      <c r="G102" s="90">
        <v>45113.53959490741</v>
      </c>
      <c r="H102" s="90">
        <v>46048.97101851852</v>
      </c>
      <c r="I102" s="1" t="s">
        <v>16476</v>
      </c>
    </row>
    <row r="103">
      <c r="A103" s="1">
        <v>316.0</v>
      </c>
      <c r="B103" s="1" t="s">
        <v>18179</v>
      </c>
      <c r="E103" s="1" t="s">
        <v>2803</v>
      </c>
      <c r="F103" s="1" t="s">
        <v>10220</v>
      </c>
      <c r="G103" s="90">
        <v>45113.53957175926</v>
      </c>
      <c r="H103" s="90">
        <v>46048.97100694444</v>
      </c>
      <c r="I103" s="1" t="s">
        <v>16476</v>
      </c>
    </row>
    <row r="104">
      <c r="A104" s="1">
        <v>314.0</v>
      </c>
      <c r="B104" s="1" t="s">
        <v>18180</v>
      </c>
      <c r="E104" s="1" t="s">
        <v>2790</v>
      </c>
      <c r="F104" s="1" t="s">
        <v>10220</v>
      </c>
      <c r="G104" s="90">
        <v>45113.53954861111</v>
      </c>
      <c r="H104" s="90">
        <v>46048.97100694444</v>
      </c>
      <c r="I104" s="1" t="s">
        <v>16476</v>
      </c>
    </row>
    <row r="105">
      <c r="A105" s="1">
        <v>313.0</v>
      </c>
      <c r="B105" s="1" t="s">
        <v>18181</v>
      </c>
      <c r="E105" s="1" t="s">
        <v>2781</v>
      </c>
      <c r="F105" s="1" t="s">
        <v>10220</v>
      </c>
      <c r="G105" s="90">
        <v>45113.53953703704</v>
      </c>
      <c r="H105" s="90">
        <v>46048.97099537037</v>
      </c>
      <c r="I105" s="1" t="s">
        <v>16476</v>
      </c>
    </row>
    <row r="106">
      <c r="A106" s="1">
        <v>312.0</v>
      </c>
      <c r="B106" s="1" t="s">
        <v>18182</v>
      </c>
      <c r="E106" s="1" t="s">
        <v>50</v>
      </c>
      <c r="F106" s="1" t="s">
        <v>10220</v>
      </c>
      <c r="G106" s="90">
        <v>45113.53953703704</v>
      </c>
      <c r="H106" s="90">
        <v>46048.970983796295</v>
      </c>
      <c r="I106" s="1" t="s">
        <v>16476</v>
      </c>
    </row>
    <row r="107">
      <c r="A107" s="1">
        <v>311.0</v>
      </c>
      <c r="B107" s="1" t="s">
        <v>18183</v>
      </c>
      <c r="E107" s="1" t="s">
        <v>2766</v>
      </c>
      <c r="F107" s="1" t="s">
        <v>10220</v>
      </c>
      <c r="G107" s="90">
        <v>45113.53952546296</v>
      </c>
      <c r="H107" s="90">
        <v>46048.970983796295</v>
      </c>
      <c r="I107" s="1" t="s">
        <v>16476</v>
      </c>
    </row>
    <row r="108">
      <c r="A108" s="1">
        <v>309.0</v>
      </c>
      <c r="B108" s="1" t="s">
        <v>18184</v>
      </c>
      <c r="E108" s="1" t="s">
        <v>2752</v>
      </c>
      <c r="F108" s="1" t="s">
        <v>10220</v>
      </c>
      <c r="G108" s="90">
        <v>45113.539502314816</v>
      </c>
      <c r="H108" s="90">
        <v>46048.970983796295</v>
      </c>
      <c r="I108" s="1" t="s">
        <v>16476</v>
      </c>
    </row>
    <row r="109">
      <c r="A109" s="1">
        <v>308.0</v>
      </c>
      <c r="B109" s="1" t="s">
        <v>18185</v>
      </c>
      <c r="E109" s="1" t="s">
        <v>2740</v>
      </c>
      <c r="F109" s="1" t="s">
        <v>10220</v>
      </c>
      <c r="G109" s="90">
        <v>45113.53949074074</v>
      </c>
      <c r="H109" s="90">
        <v>46048.970983796295</v>
      </c>
      <c r="I109" s="1" t="s">
        <v>16476</v>
      </c>
    </row>
    <row r="110">
      <c r="A110" s="1">
        <v>307.0</v>
      </c>
      <c r="B110" s="1" t="s">
        <v>18186</v>
      </c>
      <c r="E110" s="1" t="s">
        <v>2732</v>
      </c>
      <c r="F110" s="1" t="s">
        <v>10220</v>
      </c>
      <c r="G110" s="90">
        <v>45113.53949074074</v>
      </c>
      <c r="H110" s="90">
        <v>46048.970972222225</v>
      </c>
      <c r="I110" s="1" t="s">
        <v>16476</v>
      </c>
    </row>
    <row r="111">
      <c r="A111" s="1">
        <v>306.0</v>
      </c>
      <c r="B111" s="1" t="s">
        <v>18187</v>
      </c>
      <c r="E111" s="1" t="s">
        <v>2723</v>
      </c>
      <c r="F111" s="1" t="s">
        <v>10220</v>
      </c>
      <c r="G111" s="90">
        <v>45113.53947916667</v>
      </c>
      <c r="H111" s="90">
        <v>46048.97096064815</v>
      </c>
      <c r="I111" s="1" t="s">
        <v>16476</v>
      </c>
    </row>
    <row r="112">
      <c r="A112" s="1">
        <v>305.0</v>
      </c>
      <c r="B112" s="1" t="s">
        <v>18188</v>
      </c>
      <c r="E112" s="1" t="s">
        <v>2717</v>
      </c>
      <c r="F112" s="1" t="s">
        <v>10220</v>
      </c>
      <c r="G112" s="90">
        <v>45113.53946759259</v>
      </c>
      <c r="H112" s="90">
        <v>46048.97094907407</v>
      </c>
      <c r="I112" s="1" t="s">
        <v>16476</v>
      </c>
    </row>
    <row r="113">
      <c r="A113" s="1">
        <v>304.0</v>
      </c>
      <c r="B113" s="1" t="s">
        <v>18189</v>
      </c>
      <c r="E113" s="1" t="s">
        <v>2710</v>
      </c>
      <c r="F113" s="1" t="s">
        <v>10220</v>
      </c>
      <c r="G113" s="90">
        <v>45113.539456018516</v>
      </c>
      <c r="H113" s="90">
        <v>46048.97094907407</v>
      </c>
      <c r="I113" s="1" t="s">
        <v>16476</v>
      </c>
    </row>
    <row r="114">
      <c r="A114" s="1">
        <v>302.0</v>
      </c>
      <c r="B114" s="1" t="s">
        <v>18190</v>
      </c>
      <c r="E114" s="1" t="s">
        <v>2697</v>
      </c>
      <c r="F114" s="1" t="s">
        <v>10220</v>
      </c>
      <c r="G114" s="90">
        <v>45113.53943287037</v>
      </c>
      <c r="H114" s="90">
        <v>46048.97094907407</v>
      </c>
      <c r="I114" s="1" t="s">
        <v>16476</v>
      </c>
    </row>
    <row r="115">
      <c r="A115" s="1">
        <v>301.0</v>
      </c>
      <c r="B115" s="1" t="s">
        <v>18191</v>
      </c>
      <c r="E115" s="1" t="s">
        <v>2687</v>
      </c>
      <c r="F115" s="1" t="s">
        <v>10220</v>
      </c>
      <c r="G115" s="90">
        <v>45113.53943287037</v>
      </c>
      <c r="H115" s="90">
        <v>46048.97094907407</v>
      </c>
      <c r="I115" s="1" t="s">
        <v>16476</v>
      </c>
    </row>
    <row r="116">
      <c r="A116" s="1">
        <v>299.0</v>
      </c>
      <c r="B116" s="1" t="s">
        <v>18192</v>
      </c>
      <c r="E116" s="1" t="s">
        <v>2672</v>
      </c>
      <c r="F116" s="1" t="s">
        <v>10220</v>
      </c>
      <c r="G116" s="90">
        <v>45113.53940972222</v>
      </c>
      <c r="H116" s="90">
        <v>46048.9709375</v>
      </c>
      <c r="I116" s="1" t="s">
        <v>16476</v>
      </c>
    </row>
    <row r="117">
      <c r="A117" s="1">
        <v>298.0</v>
      </c>
      <c r="B117" s="1" t="s">
        <v>18193</v>
      </c>
      <c r="E117" s="1" t="s">
        <v>2666</v>
      </c>
      <c r="F117" s="1" t="s">
        <v>10220</v>
      </c>
      <c r="G117" s="90">
        <v>45113.53939814815</v>
      </c>
      <c r="H117" s="90">
        <v>46048.97091435185</v>
      </c>
      <c r="I117" s="1" t="s">
        <v>16476</v>
      </c>
    </row>
    <row r="118">
      <c r="A118" s="1">
        <v>297.0</v>
      </c>
      <c r="B118" s="1" t="s">
        <v>18194</v>
      </c>
      <c r="E118" s="1" t="s">
        <v>2658</v>
      </c>
      <c r="F118" s="1" t="s">
        <v>10220</v>
      </c>
      <c r="G118" s="90">
        <v>45113.53938657408</v>
      </c>
      <c r="H118" s="90">
        <v>46048.97090277778</v>
      </c>
      <c r="I118" s="1" t="s">
        <v>16476</v>
      </c>
    </row>
    <row r="119">
      <c r="A119" s="1">
        <v>295.0</v>
      </c>
      <c r="B119" s="1" t="s">
        <v>18195</v>
      </c>
      <c r="E119" s="1" t="s">
        <v>2642</v>
      </c>
      <c r="F119" s="1" t="s">
        <v>10220</v>
      </c>
      <c r="G119" s="90">
        <v>45113.539375</v>
      </c>
      <c r="H119" s="90">
        <v>46048.97090277778</v>
      </c>
      <c r="I119" s="1" t="s">
        <v>16476</v>
      </c>
    </row>
    <row r="120">
      <c r="A120" s="1">
        <v>294.0</v>
      </c>
      <c r="B120" s="1" t="s">
        <v>18196</v>
      </c>
      <c r="E120" s="1" t="s">
        <v>2632</v>
      </c>
      <c r="F120" s="1" t="s">
        <v>10220</v>
      </c>
      <c r="G120" s="90">
        <v>45113.53936342592</v>
      </c>
      <c r="H120" s="90">
        <v>46048.97090277778</v>
      </c>
      <c r="I120" s="1" t="s">
        <v>16476</v>
      </c>
    </row>
    <row r="121">
      <c r="A121" s="1">
        <v>293.0</v>
      </c>
      <c r="B121" s="1" t="s">
        <v>18197</v>
      </c>
      <c r="E121" s="1" t="s">
        <v>18198</v>
      </c>
      <c r="F121" s="1" t="s">
        <v>10220</v>
      </c>
      <c r="G121" s="90">
        <v>45113.539351851854</v>
      </c>
      <c r="H121" s="90">
        <v>46048.9708912037</v>
      </c>
      <c r="I121" s="1" t="s">
        <v>16476</v>
      </c>
    </row>
    <row r="122">
      <c r="A122" s="1">
        <v>291.0</v>
      </c>
      <c r="B122" s="1" t="s">
        <v>18199</v>
      </c>
      <c r="E122" s="1" t="s">
        <v>2607</v>
      </c>
      <c r="F122" s="1" t="s">
        <v>10220</v>
      </c>
      <c r="G122" s="90">
        <v>45113.5393287037</v>
      </c>
      <c r="H122" s="90">
        <v>46048.9708912037</v>
      </c>
      <c r="I122" s="1" t="s">
        <v>16476</v>
      </c>
    </row>
    <row r="123">
      <c r="A123" s="1">
        <v>290.0</v>
      </c>
      <c r="B123" s="1" t="s">
        <v>18200</v>
      </c>
      <c r="E123" s="1" t="s">
        <v>2597</v>
      </c>
      <c r="F123" s="1" t="s">
        <v>10220</v>
      </c>
      <c r="G123" s="90">
        <v>45113.5393287037</v>
      </c>
      <c r="H123" s="90">
        <v>46048.9708912037</v>
      </c>
      <c r="I123" s="1" t="s">
        <v>16476</v>
      </c>
    </row>
    <row r="124">
      <c r="A124" s="1">
        <v>287.0</v>
      </c>
      <c r="B124" s="1" t="s">
        <v>18201</v>
      </c>
      <c r="E124" s="1" t="s">
        <v>1370</v>
      </c>
      <c r="F124" s="1" t="s">
        <v>10220</v>
      </c>
      <c r="G124" s="90">
        <v>45113.539293981485</v>
      </c>
      <c r="H124" s="90">
        <v>46048.97087962963</v>
      </c>
      <c r="I124" s="1" t="s">
        <v>16476</v>
      </c>
    </row>
    <row r="125">
      <c r="A125" s="1">
        <v>286.0</v>
      </c>
      <c r="B125" s="1" t="s">
        <v>18202</v>
      </c>
      <c r="E125" s="1" t="s">
        <v>2574</v>
      </c>
      <c r="F125" s="1" t="s">
        <v>10220</v>
      </c>
      <c r="G125" s="90">
        <v>45113.53928240741</v>
      </c>
      <c r="H125" s="90">
        <v>46048.97087962963</v>
      </c>
      <c r="I125" s="1" t="s">
        <v>16476</v>
      </c>
    </row>
    <row r="126">
      <c r="A126" s="1">
        <v>284.0</v>
      </c>
      <c r="B126" s="1" t="s">
        <v>18203</v>
      </c>
      <c r="E126" s="1" t="s">
        <v>2559</v>
      </c>
      <c r="F126" s="1" t="s">
        <v>10220</v>
      </c>
      <c r="G126" s="90">
        <v>45113.53927083333</v>
      </c>
      <c r="H126" s="90">
        <v>46048.97087962963</v>
      </c>
      <c r="I126" s="1" t="s">
        <v>16476</v>
      </c>
    </row>
    <row r="127">
      <c r="A127" s="1">
        <v>282.0</v>
      </c>
      <c r="B127" s="1" t="s">
        <v>18204</v>
      </c>
      <c r="E127" s="1" t="s">
        <v>2542</v>
      </c>
      <c r="F127" s="1" t="s">
        <v>10220</v>
      </c>
      <c r="G127" s="90">
        <v>45113.539247685185</v>
      </c>
      <c r="H127" s="90">
        <v>46048.97087962963</v>
      </c>
      <c r="I127" s="1" t="s">
        <v>16476</v>
      </c>
    </row>
    <row r="128">
      <c r="A128" s="1">
        <v>281.0</v>
      </c>
      <c r="B128" s="1" t="s">
        <v>18205</v>
      </c>
      <c r="E128" s="1" t="s">
        <v>18206</v>
      </c>
      <c r="F128" s="1" t="s">
        <v>10220</v>
      </c>
      <c r="G128" s="90">
        <v>45113.53923611111</v>
      </c>
      <c r="H128" s="90">
        <v>46048.970868055556</v>
      </c>
      <c r="I128" s="1" t="s">
        <v>16476</v>
      </c>
    </row>
    <row r="129">
      <c r="A129" s="1">
        <v>280.0</v>
      </c>
      <c r="B129" s="1" t="s">
        <v>18207</v>
      </c>
      <c r="E129" s="1" t="s">
        <v>2514</v>
      </c>
      <c r="F129" s="1" t="s">
        <v>10220</v>
      </c>
      <c r="G129" s="90">
        <v>45113.53922453704</v>
      </c>
      <c r="H129" s="90">
        <v>46048.970868055556</v>
      </c>
      <c r="I129" s="1" t="s">
        <v>16476</v>
      </c>
    </row>
    <row r="130">
      <c r="A130" s="1">
        <v>279.0</v>
      </c>
      <c r="B130" s="1" t="s">
        <v>18208</v>
      </c>
      <c r="E130" s="1" t="s">
        <v>2507</v>
      </c>
      <c r="F130" s="1" t="s">
        <v>10220</v>
      </c>
      <c r="G130" s="90">
        <v>45113.53922453704</v>
      </c>
      <c r="H130" s="90">
        <v>46048.970868055556</v>
      </c>
      <c r="I130" s="1" t="s">
        <v>16476</v>
      </c>
    </row>
    <row r="131">
      <c r="A131" s="1">
        <v>278.0</v>
      </c>
      <c r="B131" s="1" t="s">
        <v>18209</v>
      </c>
      <c r="E131" s="1" t="s">
        <v>2499</v>
      </c>
      <c r="F131" s="1" t="s">
        <v>10220</v>
      </c>
      <c r="G131" s="90">
        <v>45113.53921296296</v>
      </c>
      <c r="H131" s="90">
        <v>46048.970868055556</v>
      </c>
      <c r="I131" s="1" t="s">
        <v>16476</v>
      </c>
    </row>
    <row r="132">
      <c r="A132" s="1">
        <v>277.0</v>
      </c>
      <c r="B132" s="1" t="s">
        <v>18210</v>
      </c>
      <c r="E132" s="1" t="s">
        <v>2489</v>
      </c>
      <c r="F132" s="1" t="s">
        <v>10220</v>
      </c>
      <c r="G132" s="90">
        <v>45113.53920138889</v>
      </c>
      <c r="H132" s="90">
        <v>46048.97085648148</v>
      </c>
      <c r="I132" s="1" t="s">
        <v>16476</v>
      </c>
    </row>
    <row r="133">
      <c r="A133" s="1">
        <v>276.0</v>
      </c>
      <c r="B133" s="1" t="s">
        <v>18211</v>
      </c>
      <c r="E133" s="1" t="s">
        <v>50</v>
      </c>
      <c r="F133" s="1" t="s">
        <v>10220</v>
      </c>
      <c r="G133" s="90">
        <v>45113.539189814815</v>
      </c>
      <c r="H133" s="90">
        <v>46048.97085648148</v>
      </c>
      <c r="I133" s="1" t="s">
        <v>16476</v>
      </c>
    </row>
    <row r="134">
      <c r="A134" s="1">
        <v>274.0</v>
      </c>
      <c r="B134" s="1" t="s">
        <v>18212</v>
      </c>
      <c r="E134" s="1" t="s">
        <v>2468</v>
      </c>
      <c r="F134" s="1" t="s">
        <v>10220</v>
      </c>
      <c r="G134" s="90">
        <v>45113.53917824074</v>
      </c>
      <c r="H134" s="90">
        <v>46048.97083333333</v>
      </c>
      <c r="I134" s="1" t="s">
        <v>16476</v>
      </c>
    </row>
    <row r="135">
      <c r="A135" s="1">
        <v>272.0</v>
      </c>
      <c r="B135" s="1" t="s">
        <v>18213</v>
      </c>
      <c r="E135" s="1" t="s">
        <v>2454</v>
      </c>
      <c r="F135" s="1" t="s">
        <v>10220</v>
      </c>
      <c r="G135" s="90">
        <v>45113.53915509259</v>
      </c>
      <c r="H135" s="90">
        <v>46048.97083333333</v>
      </c>
      <c r="I135" s="1" t="s">
        <v>16476</v>
      </c>
    </row>
    <row r="136">
      <c r="A136" s="1">
        <v>271.0</v>
      </c>
      <c r="B136" s="1" t="s">
        <v>18214</v>
      </c>
      <c r="E136" s="1" t="s">
        <v>2444</v>
      </c>
      <c r="F136" s="1" t="s">
        <v>10220</v>
      </c>
      <c r="G136" s="90">
        <v>45113.539143518516</v>
      </c>
      <c r="H136" s="90">
        <v>46048.970821759256</v>
      </c>
      <c r="I136" s="1" t="s">
        <v>16476</v>
      </c>
    </row>
    <row r="137">
      <c r="A137" s="1">
        <v>270.0</v>
      </c>
      <c r="B137" s="1" t="s">
        <v>18215</v>
      </c>
      <c r="E137" s="1" t="s">
        <v>2439</v>
      </c>
      <c r="F137" s="1" t="s">
        <v>10220</v>
      </c>
      <c r="G137" s="90">
        <v>45113.539131944446</v>
      </c>
      <c r="H137" s="90">
        <v>46048.970821759256</v>
      </c>
      <c r="I137" s="1" t="s">
        <v>16476</v>
      </c>
    </row>
    <row r="138">
      <c r="A138" s="1">
        <v>269.0</v>
      </c>
      <c r="B138" s="1" t="s">
        <v>18216</v>
      </c>
      <c r="E138" s="1" t="s">
        <v>2429</v>
      </c>
      <c r="F138" s="1" t="s">
        <v>10220</v>
      </c>
      <c r="G138" s="90">
        <v>45113.53912037037</v>
      </c>
      <c r="H138" s="90">
        <v>46048.970821759256</v>
      </c>
      <c r="I138" s="1" t="s">
        <v>16476</v>
      </c>
    </row>
    <row r="139">
      <c r="A139" s="1">
        <v>268.0</v>
      </c>
      <c r="B139" s="1" t="s">
        <v>18217</v>
      </c>
      <c r="E139" s="1" t="s">
        <v>2420</v>
      </c>
      <c r="F139" s="1" t="s">
        <v>10220</v>
      </c>
      <c r="G139" s="90">
        <v>45113.53912037037</v>
      </c>
      <c r="H139" s="90">
        <v>46048.970821759256</v>
      </c>
      <c r="I139" s="1" t="s">
        <v>16476</v>
      </c>
    </row>
    <row r="140">
      <c r="A140" s="1">
        <v>266.0</v>
      </c>
      <c r="B140" s="1" t="s">
        <v>18218</v>
      </c>
      <c r="E140" s="1" t="s">
        <v>2410</v>
      </c>
      <c r="F140" s="1" t="s">
        <v>10220</v>
      </c>
      <c r="G140" s="90">
        <v>45113.53909722222</v>
      </c>
      <c r="H140" s="90">
        <v>46048.970821759256</v>
      </c>
      <c r="I140" s="1" t="s">
        <v>16476</v>
      </c>
    </row>
    <row r="141">
      <c r="A141" s="1">
        <v>265.0</v>
      </c>
      <c r="B141" s="1" t="s">
        <v>18219</v>
      </c>
      <c r="E141" s="1" t="s">
        <v>2402</v>
      </c>
      <c r="F141" s="1" t="s">
        <v>10220</v>
      </c>
      <c r="G141" s="90">
        <v>45113.539085648146</v>
      </c>
      <c r="H141" s="90">
        <v>46048.970821759256</v>
      </c>
      <c r="I141" s="1" t="s">
        <v>16476</v>
      </c>
    </row>
    <row r="142">
      <c r="A142" s="1">
        <v>264.0</v>
      </c>
      <c r="B142" s="1" t="s">
        <v>18220</v>
      </c>
      <c r="E142" s="1" t="s">
        <v>2395</v>
      </c>
      <c r="F142" s="1" t="s">
        <v>10220</v>
      </c>
      <c r="G142" s="90">
        <v>45113.53907407408</v>
      </c>
      <c r="H142" s="90">
        <v>46048.97081018519</v>
      </c>
      <c r="I142" s="1" t="s">
        <v>16476</v>
      </c>
    </row>
    <row r="143">
      <c r="A143" s="1">
        <v>263.0</v>
      </c>
      <c r="B143" s="1" t="s">
        <v>18221</v>
      </c>
      <c r="E143" s="1" t="s">
        <v>50</v>
      </c>
      <c r="F143" s="1" t="s">
        <v>10220</v>
      </c>
      <c r="G143" s="90">
        <v>45113.5390625</v>
      </c>
      <c r="H143" s="90">
        <v>46048.97081018519</v>
      </c>
      <c r="I143" s="1" t="s">
        <v>16476</v>
      </c>
    </row>
    <row r="144">
      <c r="A144" s="1">
        <v>261.0</v>
      </c>
      <c r="B144" s="1" t="s">
        <v>18222</v>
      </c>
      <c r="E144" s="1" t="s">
        <v>2372</v>
      </c>
      <c r="F144" s="1" t="s">
        <v>10220</v>
      </c>
      <c r="G144" s="90">
        <v>45113.53905092592</v>
      </c>
      <c r="H144" s="90">
        <v>46048.97081018519</v>
      </c>
      <c r="I144" s="1" t="s">
        <v>16476</v>
      </c>
    </row>
    <row r="145">
      <c r="A145" s="1">
        <v>260.0</v>
      </c>
      <c r="B145" s="1" t="s">
        <v>18223</v>
      </c>
      <c r="E145" s="1" t="s">
        <v>2364</v>
      </c>
      <c r="F145" s="1" t="s">
        <v>10220</v>
      </c>
      <c r="G145" s="90">
        <v>45113.539039351854</v>
      </c>
      <c r="H145" s="90">
        <v>46048.97079861111</v>
      </c>
      <c r="I145" s="1" t="s">
        <v>16476</v>
      </c>
    </row>
    <row r="146">
      <c r="A146" s="1">
        <v>259.0</v>
      </c>
      <c r="B146" s="1" t="s">
        <v>18224</v>
      </c>
      <c r="E146" s="1" t="s">
        <v>2354</v>
      </c>
      <c r="F146" s="1" t="s">
        <v>10220</v>
      </c>
      <c r="G146" s="90">
        <v>45113.53902777778</v>
      </c>
      <c r="H146" s="90">
        <v>46048.97079861111</v>
      </c>
      <c r="I146" s="1" t="s">
        <v>16476</v>
      </c>
    </row>
    <row r="147">
      <c r="A147" s="1">
        <v>258.0</v>
      </c>
      <c r="B147" s="1" t="s">
        <v>18225</v>
      </c>
      <c r="E147" s="1" t="s">
        <v>18226</v>
      </c>
      <c r="F147" s="1" t="s">
        <v>10220</v>
      </c>
      <c r="G147" s="90">
        <v>45113.5390162037</v>
      </c>
      <c r="H147" s="90">
        <v>46048.97079861111</v>
      </c>
      <c r="I147" s="1" t="s">
        <v>16476</v>
      </c>
    </row>
    <row r="148">
      <c r="A148" s="1">
        <v>257.0</v>
      </c>
      <c r="B148" s="1" t="s">
        <v>18227</v>
      </c>
      <c r="E148" s="1" t="s">
        <v>2335</v>
      </c>
      <c r="F148" s="1" t="s">
        <v>10220</v>
      </c>
      <c r="G148" s="90">
        <v>45113.53900462963</v>
      </c>
      <c r="H148" s="90">
        <v>46048.97078703704</v>
      </c>
      <c r="I148" s="1" t="s">
        <v>16476</v>
      </c>
    </row>
    <row r="149">
      <c r="A149" s="1">
        <v>256.0</v>
      </c>
      <c r="B149" s="1" t="s">
        <v>18228</v>
      </c>
      <c r="E149" s="1" t="s">
        <v>2326</v>
      </c>
      <c r="F149" s="1" t="s">
        <v>10220</v>
      </c>
      <c r="G149" s="90">
        <v>45113.53900462963</v>
      </c>
      <c r="H149" s="90">
        <v>46048.97078703704</v>
      </c>
      <c r="I149" s="1" t="s">
        <v>16476</v>
      </c>
    </row>
    <row r="150">
      <c r="A150" s="1">
        <v>255.0</v>
      </c>
      <c r="B150" s="1" t="s">
        <v>18229</v>
      </c>
      <c r="E150" s="1" t="s">
        <v>2320</v>
      </c>
      <c r="F150" s="1" t="s">
        <v>10220</v>
      </c>
      <c r="G150" s="90">
        <v>45113.538993055554</v>
      </c>
      <c r="H150" s="90">
        <v>46048.97077546296</v>
      </c>
      <c r="I150" s="1" t="s">
        <v>16476</v>
      </c>
    </row>
    <row r="151">
      <c r="A151" s="1">
        <v>253.0</v>
      </c>
      <c r="B151" s="1" t="s">
        <v>18230</v>
      </c>
      <c r="E151" s="1" t="s">
        <v>5047</v>
      </c>
      <c r="F151" s="1" t="s">
        <v>10220</v>
      </c>
      <c r="G151" s="90">
        <v>45113.53896990741</v>
      </c>
      <c r="H151" s="90">
        <v>46048.97077546296</v>
      </c>
      <c r="I151" s="1" t="s">
        <v>16476</v>
      </c>
    </row>
    <row r="152">
      <c r="A152" s="1">
        <v>252.0</v>
      </c>
      <c r="B152" s="1" t="s">
        <v>18231</v>
      </c>
      <c r="E152" s="1" t="s">
        <v>2305</v>
      </c>
      <c r="F152" s="1" t="s">
        <v>10220</v>
      </c>
      <c r="G152" s="90">
        <v>45113.53895833333</v>
      </c>
      <c r="H152" s="90">
        <v>46048.97077546296</v>
      </c>
      <c r="I152" s="1" t="s">
        <v>16476</v>
      </c>
    </row>
    <row r="153">
      <c r="A153" s="1">
        <v>243.0</v>
      </c>
      <c r="B153" s="1" t="s">
        <v>18232</v>
      </c>
      <c r="E153" s="1" t="s">
        <v>2231</v>
      </c>
      <c r="F153" s="1" t="s">
        <v>10220</v>
      </c>
      <c r="G153" s="90">
        <v>45113.538877314815</v>
      </c>
      <c r="H153" s="90">
        <v>46048.97076388889</v>
      </c>
      <c r="I153" s="1" t="s">
        <v>16476</v>
      </c>
    </row>
    <row r="154">
      <c r="A154" s="1">
        <v>239.0</v>
      </c>
      <c r="B154" s="1" t="s">
        <v>18233</v>
      </c>
      <c r="E154" s="1" t="s">
        <v>2200</v>
      </c>
      <c r="F154" s="1" t="s">
        <v>10220</v>
      </c>
      <c r="G154" s="90">
        <v>45113.53884259259</v>
      </c>
      <c r="H154" s="90">
        <v>46048.970717592594</v>
      </c>
      <c r="I154" s="1" t="s">
        <v>16476</v>
      </c>
    </row>
    <row r="155">
      <c r="A155" s="1">
        <v>237.0</v>
      </c>
      <c r="B155" s="1" t="s">
        <v>18234</v>
      </c>
      <c r="E155" s="1" t="s">
        <v>2181</v>
      </c>
      <c r="F155" s="1" t="s">
        <v>10220</v>
      </c>
      <c r="G155" s="90">
        <v>45113.538819444446</v>
      </c>
      <c r="H155" s="90">
        <v>46048.97069444445</v>
      </c>
      <c r="I155" s="1" t="s">
        <v>16476</v>
      </c>
    </row>
    <row r="156">
      <c r="A156" s="1">
        <v>228.0</v>
      </c>
      <c r="B156" s="1" t="s">
        <v>18235</v>
      </c>
      <c r="E156" s="1" t="s">
        <v>2113</v>
      </c>
      <c r="F156" s="1" t="s">
        <v>10220</v>
      </c>
      <c r="G156" s="90">
        <v>45113.53873842592</v>
      </c>
      <c r="H156" s="90">
        <v>46048.97068287037</v>
      </c>
      <c r="I156" s="1" t="s">
        <v>16476</v>
      </c>
    </row>
    <row r="157">
      <c r="A157" s="1">
        <v>220.0</v>
      </c>
      <c r="B157" s="1" t="s">
        <v>18236</v>
      </c>
      <c r="E157" s="1" t="s">
        <v>2044</v>
      </c>
      <c r="F157" s="1" t="s">
        <v>10220</v>
      </c>
      <c r="G157" s="90">
        <v>45113.53865740741</v>
      </c>
      <c r="H157" s="90">
        <v>46048.97068287037</v>
      </c>
      <c r="I157" s="1" t="s">
        <v>16476</v>
      </c>
    </row>
    <row r="158">
      <c r="A158" s="1">
        <v>216.0</v>
      </c>
      <c r="B158" s="1" t="s">
        <v>18237</v>
      </c>
      <c r="E158" s="1" t="s">
        <v>2013</v>
      </c>
      <c r="F158" s="1" t="s">
        <v>10220</v>
      </c>
      <c r="G158" s="90">
        <v>45113.538622685184</v>
      </c>
      <c r="H158" s="90">
        <v>46048.970671296294</v>
      </c>
      <c r="I158" s="1" t="s">
        <v>16476</v>
      </c>
    </row>
    <row r="159">
      <c r="A159" s="1">
        <v>172.0</v>
      </c>
      <c r="B159" s="1" t="s">
        <v>18238</v>
      </c>
      <c r="E159" s="1" t="s">
        <v>1666</v>
      </c>
      <c r="F159" s="1" t="s">
        <v>10220</v>
      </c>
      <c r="G159" s="90">
        <v>45113.538194444445</v>
      </c>
      <c r="H159" s="90">
        <v>46048.97063657407</v>
      </c>
      <c r="I159" s="1" t="s">
        <v>16476</v>
      </c>
    </row>
    <row r="160">
      <c r="A160" s="1">
        <v>156.0</v>
      </c>
      <c r="B160" s="1" t="s">
        <v>18239</v>
      </c>
      <c r="E160" s="1" t="s">
        <v>1532</v>
      </c>
      <c r="F160" s="1" t="s">
        <v>10220</v>
      </c>
      <c r="G160" s="90">
        <v>45113.53804398148</v>
      </c>
      <c r="H160" s="90">
        <v>46048.970625</v>
      </c>
      <c r="I160" s="1" t="s">
        <v>16476</v>
      </c>
    </row>
    <row r="161">
      <c r="A161" s="1">
        <v>151.0</v>
      </c>
      <c r="B161" s="1" t="s">
        <v>18240</v>
      </c>
      <c r="E161" s="1" t="s">
        <v>1494</v>
      </c>
      <c r="F161" s="1" t="s">
        <v>10220</v>
      </c>
      <c r="G161" s="90">
        <v>45113.537997685184</v>
      </c>
      <c r="H161" s="90">
        <v>46048.970601851855</v>
      </c>
      <c r="I161" s="1" t="s">
        <v>16476</v>
      </c>
    </row>
    <row r="162">
      <c r="A162" s="1">
        <v>131.0</v>
      </c>
      <c r="B162" s="1" t="s">
        <v>18241</v>
      </c>
      <c r="E162" s="1" t="s">
        <v>1326</v>
      </c>
      <c r="F162" s="1" t="s">
        <v>10220</v>
      </c>
      <c r="G162" s="90">
        <v>45113.53778935185</v>
      </c>
      <c r="H162" s="90">
        <v>46048.970555555556</v>
      </c>
      <c r="I162" s="1" t="s">
        <v>16476</v>
      </c>
    </row>
    <row r="163">
      <c r="A163" s="1">
        <v>128.0</v>
      </c>
      <c r="B163" s="1" t="s">
        <v>18242</v>
      </c>
      <c r="E163" s="1" t="s">
        <v>4987</v>
      </c>
      <c r="F163" s="1" t="s">
        <v>10220</v>
      </c>
      <c r="G163" s="90">
        <v>45113.537766203706</v>
      </c>
      <c r="H163" s="90">
        <v>46048.97054398148</v>
      </c>
      <c r="I163" s="1" t="s">
        <v>16476</v>
      </c>
    </row>
    <row r="164">
      <c r="A164" s="1">
        <v>94.0</v>
      </c>
      <c r="B164" s="1" t="s">
        <v>18243</v>
      </c>
      <c r="E164" s="1" t="s">
        <v>1033</v>
      </c>
      <c r="F164" s="1" t="s">
        <v>10220</v>
      </c>
      <c r="G164" s="90">
        <v>45113.53744212963</v>
      </c>
      <c r="H164" s="90">
        <v>46048.97052083333</v>
      </c>
      <c r="I164" s="1" t="s">
        <v>16476</v>
      </c>
    </row>
    <row r="165">
      <c r="A165" s="1">
        <v>91.0</v>
      </c>
      <c r="B165" s="1" t="s">
        <v>18244</v>
      </c>
      <c r="E165" s="1" t="s">
        <v>1008</v>
      </c>
      <c r="F165" s="1" t="s">
        <v>10220</v>
      </c>
      <c r="G165" s="90">
        <v>45113.537407407406</v>
      </c>
      <c r="H165" s="90">
        <v>46048.97052083333</v>
      </c>
      <c r="I165" s="1" t="s">
        <v>16476</v>
      </c>
    </row>
    <row r="166">
      <c r="A166" s="1">
        <v>88.0</v>
      </c>
      <c r="B166" s="1" t="s">
        <v>18245</v>
      </c>
      <c r="E166" s="1" t="s">
        <v>980</v>
      </c>
      <c r="F166" s="1" t="s">
        <v>10220</v>
      </c>
      <c r="G166" s="90">
        <v>45113.53738425926</v>
      </c>
      <c r="H166" s="90">
        <v>46048.970509259256</v>
      </c>
      <c r="I166" s="1" t="s">
        <v>16476</v>
      </c>
    </row>
    <row r="167">
      <c r="A167" s="1">
        <v>67.0</v>
      </c>
      <c r="B167" s="1" t="s">
        <v>18246</v>
      </c>
      <c r="E167" s="1" t="s">
        <v>804</v>
      </c>
      <c r="F167" s="1" t="s">
        <v>10220</v>
      </c>
      <c r="G167" s="90">
        <v>45113.53717592593</v>
      </c>
      <c r="H167" s="90">
        <v>46048.97046296296</v>
      </c>
      <c r="I167" s="1" t="s">
        <v>16476</v>
      </c>
    </row>
    <row r="168">
      <c r="A168" s="1">
        <v>58.0</v>
      </c>
      <c r="B168" s="1" t="s">
        <v>18247</v>
      </c>
      <c r="E168" s="1" t="s">
        <v>732</v>
      </c>
      <c r="F168" s="1" t="s">
        <v>10220</v>
      </c>
      <c r="G168" s="90">
        <v>45113.537094907406</v>
      </c>
      <c r="H168" s="90">
        <v>46048.97042824074</v>
      </c>
      <c r="I168" s="1" t="s">
        <v>16476</v>
      </c>
    </row>
    <row r="169">
      <c r="A169" s="1">
        <v>56.0</v>
      </c>
      <c r="B169" s="1" t="s">
        <v>18248</v>
      </c>
      <c r="E169" s="1" t="s">
        <v>712</v>
      </c>
      <c r="F169" s="1" t="s">
        <v>10220</v>
      </c>
      <c r="G169" s="90">
        <v>45113.53707175926</v>
      </c>
      <c r="H169" s="90">
        <v>46048.97042824074</v>
      </c>
      <c r="I169" s="1" t="s">
        <v>16476</v>
      </c>
    </row>
    <row r="170">
      <c r="A170" s="1">
        <v>40.0</v>
      </c>
      <c r="B170" s="1" t="s">
        <v>18249</v>
      </c>
      <c r="E170" s="1" t="s">
        <v>571</v>
      </c>
      <c r="F170" s="1" t="s">
        <v>10220</v>
      </c>
      <c r="G170" s="90">
        <v>45113.5369212963</v>
      </c>
      <c r="H170" s="90">
        <v>46048.97041666666</v>
      </c>
      <c r="I170" s="1" t="s">
        <v>16476</v>
      </c>
    </row>
    <row r="171">
      <c r="A171" s="1">
        <v>32.0</v>
      </c>
      <c r="B171" s="1" t="s">
        <v>18250</v>
      </c>
      <c r="E171" s="1" t="s">
        <v>498</v>
      </c>
      <c r="F171" s="1" t="s">
        <v>10220</v>
      </c>
      <c r="G171" s="90">
        <v>45113.53685185185</v>
      </c>
      <c r="H171" s="90">
        <v>46048.970405092594</v>
      </c>
      <c r="I171" s="1" t="s">
        <v>16476</v>
      </c>
    </row>
    <row r="172">
      <c r="A172" s="1">
        <v>468.0</v>
      </c>
      <c r="B172" s="1" t="s">
        <v>18251</v>
      </c>
      <c r="E172" s="1" t="s">
        <v>18252</v>
      </c>
      <c r="F172" s="1" t="s">
        <v>10220</v>
      </c>
      <c r="G172" s="90">
        <v>45312.78486111111</v>
      </c>
      <c r="H172" s="90">
        <v>46048.95925925926</v>
      </c>
      <c r="I172" s="1" t="s">
        <v>16476</v>
      </c>
    </row>
    <row r="173">
      <c r="A173" s="1">
        <v>461.0</v>
      </c>
      <c r="B173" s="1" t="s">
        <v>18253</v>
      </c>
      <c r="E173" s="1" t="s">
        <v>18254</v>
      </c>
      <c r="F173" s="1" t="s">
        <v>10220</v>
      </c>
      <c r="G173" s="90">
        <v>45266.48165509259</v>
      </c>
      <c r="H173" s="90">
        <v>46048.95924768518</v>
      </c>
      <c r="I173" s="1" t="s">
        <v>16476</v>
      </c>
    </row>
    <row r="174">
      <c r="A174" s="1">
        <v>460.0</v>
      </c>
      <c r="B174" s="1" t="s">
        <v>18255</v>
      </c>
      <c r="E174" s="1" t="s">
        <v>18256</v>
      </c>
      <c r="F174" s="1" t="s">
        <v>10220</v>
      </c>
      <c r="G174" s="90">
        <v>45265.88596064815</v>
      </c>
      <c r="H174" s="90">
        <v>46048.95924768518</v>
      </c>
      <c r="I174" s="1" t="s">
        <v>16476</v>
      </c>
    </row>
    <row r="175">
      <c r="A175" s="1">
        <v>455.0</v>
      </c>
      <c r="B175" s="1" t="s">
        <v>3721</v>
      </c>
      <c r="E175" s="1" t="s">
        <v>18257</v>
      </c>
      <c r="F175" s="1" t="s">
        <v>10220</v>
      </c>
      <c r="G175" s="90">
        <v>45220.95798611111</v>
      </c>
      <c r="H175" s="90">
        <v>46048.95924768518</v>
      </c>
      <c r="I175" s="1" t="s">
        <v>16476</v>
      </c>
    </row>
    <row r="176">
      <c r="A176" s="1">
        <v>428.0</v>
      </c>
      <c r="B176" s="1" t="s">
        <v>18258</v>
      </c>
      <c r="E176" s="1" t="s">
        <v>3660</v>
      </c>
      <c r="F176" s="1" t="s">
        <v>10220</v>
      </c>
      <c r="G176" s="90">
        <v>45113.540659722225</v>
      </c>
      <c r="H176" s="90">
        <v>46048.95924768518</v>
      </c>
      <c r="I176" s="1" t="s">
        <v>16476</v>
      </c>
    </row>
    <row r="177">
      <c r="A177" s="1">
        <v>427.0</v>
      </c>
      <c r="B177" s="1" t="s">
        <v>18259</v>
      </c>
      <c r="E177" s="1" t="s">
        <v>3653</v>
      </c>
      <c r="F177" s="1" t="s">
        <v>10220</v>
      </c>
      <c r="G177" s="90">
        <v>45113.54064814815</v>
      </c>
      <c r="H177" s="90">
        <v>46048.95924768518</v>
      </c>
      <c r="I177" s="1" t="s">
        <v>16476</v>
      </c>
    </row>
    <row r="178">
      <c r="A178" s="1">
        <v>426.0</v>
      </c>
      <c r="B178" s="1" t="s">
        <v>18260</v>
      </c>
      <c r="E178" s="1" t="s">
        <v>3647</v>
      </c>
      <c r="F178" s="1" t="s">
        <v>10220</v>
      </c>
      <c r="G178" s="90">
        <v>45113.54063657407</v>
      </c>
      <c r="H178" s="90">
        <v>46048.95924768518</v>
      </c>
      <c r="I178" s="1" t="s">
        <v>16476</v>
      </c>
    </row>
    <row r="179">
      <c r="A179" s="1">
        <v>424.0</v>
      </c>
      <c r="B179" s="1" t="s">
        <v>18261</v>
      </c>
      <c r="E179" s="1" t="s">
        <v>3635</v>
      </c>
      <c r="F179" s="1" t="s">
        <v>10220</v>
      </c>
      <c r="G179" s="90">
        <v>45113.540625</v>
      </c>
      <c r="H179" s="90">
        <v>46048.95924768518</v>
      </c>
      <c r="I179" s="1" t="s">
        <v>16476</v>
      </c>
    </row>
    <row r="180">
      <c r="A180" s="1">
        <v>423.0</v>
      </c>
      <c r="B180" s="1" t="s">
        <v>18262</v>
      </c>
      <c r="E180" s="1" t="s">
        <v>18263</v>
      </c>
      <c r="F180" s="1" t="s">
        <v>10220</v>
      </c>
      <c r="G180" s="90">
        <v>45113.540613425925</v>
      </c>
      <c r="H180" s="90">
        <v>46048.95924768518</v>
      </c>
      <c r="I180" s="1" t="s">
        <v>16476</v>
      </c>
    </row>
    <row r="181">
      <c r="A181" s="1">
        <v>422.0</v>
      </c>
      <c r="B181" s="1" t="s">
        <v>18264</v>
      </c>
      <c r="E181" s="1" t="s">
        <v>3617</v>
      </c>
      <c r="F181" s="1" t="s">
        <v>10220</v>
      </c>
      <c r="G181" s="90">
        <v>45113.540601851855</v>
      </c>
      <c r="H181" s="90">
        <v>46048.95924768518</v>
      </c>
      <c r="I181" s="1" t="s">
        <v>16476</v>
      </c>
    </row>
    <row r="182">
      <c r="A182" s="1">
        <v>421.0</v>
      </c>
      <c r="B182" s="1" t="s">
        <v>18265</v>
      </c>
      <c r="E182" s="1" t="s">
        <v>50</v>
      </c>
      <c r="F182" s="1" t="s">
        <v>10220</v>
      </c>
      <c r="G182" s="90">
        <v>45113.54059027778</v>
      </c>
      <c r="H182" s="90">
        <v>46048.95924768518</v>
      </c>
      <c r="I182" s="1" t="s">
        <v>16476</v>
      </c>
    </row>
    <row r="183">
      <c r="A183" s="1">
        <v>420.0</v>
      </c>
      <c r="B183" s="1" t="s">
        <v>18266</v>
      </c>
      <c r="E183" s="1" t="s">
        <v>3605</v>
      </c>
      <c r="F183" s="1" t="s">
        <v>10220</v>
      </c>
      <c r="G183" s="90">
        <v>45113.5405787037</v>
      </c>
      <c r="H183" s="90">
        <v>46048.95924768518</v>
      </c>
      <c r="I183" s="1" t="s">
        <v>16476</v>
      </c>
    </row>
    <row r="184">
      <c r="A184" s="1">
        <v>419.0</v>
      </c>
      <c r="B184" s="1" t="s">
        <v>18267</v>
      </c>
      <c r="E184" s="1" t="s">
        <v>3595</v>
      </c>
      <c r="F184" s="1" t="s">
        <v>10220</v>
      </c>
      <c r="G184" s="90">
        <v>45113.5405787037</v>
      </c>
      <c r="H184" s="90">
        <v>46048.95924768518</v>
      </c>
      <c r="I184" s="1" t="s">
        <v>16476</v>
      </c>
    </row>
    <row r="185">
      <c r="A185" s="1">
        <v>418.0</v>
      </c>
      <c r="B185" s="1" t="s">
        <v>18268</v>
      </c>
      <c r="E185" s="1" t="s">
        <v>3590</v>
      </c>
      <c r="F185" s="1" t="s">
        <v>10220</v>
      </c>
      <c r="G185" s="90">
        <v>45113.54056712963</v>
      </c>
      <c r="H185" s="90">
        <v>46048.95924768518</v>
      </c>
      <c r="I185" s="1" t="s">
        <v>16476</v>
      </c>
    </row>
    <row r="186">
      <c r="A186" s="1">
        <v>416.0</v>
      </c>
      <c r="B186" s="1" t="s">
        <v>18269</v>
      </c>
      <c r="E186" s="1" t="s">
        <v>3572</v>
      </c>
      <c r="F186" s="1" t="s">
        <v>10220</v>
      </c>
      <c r="G186" s="90">
        <v>45113.54054398148</v>
      </c>
      <c r="H186" s="90">
        <v>46048.95924768518</v>
      </c>
      <c r="I186" s="1" t="s">
        <v>16476</v>
      </c>
    </row>
    <row r="187">
      <c r="A187" s="1">
        <v>415.0</v>
      </c>
      <c r="B187" s="1" t="s">
        <v>18270</v>
      </c>
      <c r="E187" s="1" t="s">
        <v>3563</v>
      </c>
      <c r="F187" s="1" t="s">
        <v>10220</v>
      </c>
      <c r="G187" s="90">
        <v>45113.54053240741</v>
      </c>
      <c r="H187" s="90">
        <v>46048.95924768518</v>
      </c>
      <c r="I187" s="1" t="s">
        <v>16476</v>
      </c>
    </row>
    <row r="188">
      <c r="A188" s="1">
        <v>414.0</v>
      </c>
      <c r="B188" s="1" t="s">
        <v>18271</v>
      </c>
      <c r="E188" s="1" t="s">
        <v>3557</v>
      </c>
      <c r="F188" s="1" t="s">
        <v>10220</v>
      </c>
      <c r="G188" s="90">
        <v>45113.54052083333</v>
      </c>
      <c r="H188" s="90">
        <v>46048.95924768518</v>
      </c>
      <c r="I188" s="1" t="s">
        <v>16476</v>
      </c>
    </row>
    <row r="189">
      <c r="A189" s="1">
        <v>413.0</v>
      </c>
      <c r="B189" s="1" t="s">
        <v>18272</v>
      </c>
      <c r="E189" s="1" t="s">
        <v>3550</v>
      </c>
      <c r="F189" s="1" t="s">
        <v>10220</v>
      </c>
      <c r="G189" s="90">
        <v>45113.54052083333</v>
      </c>
      <c r="H189" s="90">
        <v>46048.95924768518</v>
      </c>
      <c r="I189" s="1" t="s">
        <v>16476</v>
      </c>
    </row>
    <row r="190">
      <c r="A190" s="1">
        <v>412.0</v>
      </c>
      <c r="B190" s="1" t="s">
        <v>18273</v>
      </c>
      <c r="E190" s="1" t="s">
        <v>3539</v>
      </c>
      <c r="F190" s="1" t="s">
        <v>10220</v>
      </c>
      <c r="G190" s="90">
        <v>45113.54050925926</v>
      </c>
      <c r="H190" s="90">
        <v>46048.95924768518</v>
      </c>
      <c r="I190" s="1" t="s">
        <v>16476</v>
      </c>
    </row>
    <row r="191">
      <c r="A191" s="1">
        <v>411.0</v>
      </c>
      <c r="B191" s="1" t="s">
        <v>18274</v>
      </c>
      <c r="E191" s="1" t="s">
        <v>3529</v>
      </c>
      <c r="F191" s="1" t="s">
        <v>10220</v>
      </c>
      <c r="G191" s="90">
        <v>45113.540497685186</v>
      </c>
      <c r="H191" s="90">
        <v>46048.95924768518</v>
      </c>
      <c r="I191" s="1" t="s">
        <v>16476</v>
      </c>
    </row>
    <row r="192">
      <c r="A192" s="1">
        <v>410.0</v>
      </c>
      <c r="B192" s="1" t="s">
        <v>18275</v>
      </c>
      <c r="E192" s="1" t="s">
        <v>3524</v>
      </c>
      <c r="F192" s="1" t="s">
        <v>10220</v>
      </c>
      <c r="G192" s="90">
        <v>45113.54048611111</v>
      </c>
      <c r="H192" s="90">
        <v>46048.95924768518</v>
      </c>
      <c r="I192" s="1" t="s">
        <v>16476</v>
      </c>
    </row>
    <row r="193">
      <c r="A193" s="1">
        <v>409.0</v>
      </c>
      <c r="B193" s="1" t="s">
        <v>18276</v>
      </c>
      <c r="E193" s="1" t="s">
        <v>3514</v>
      </c>
      <c r="F193" s="1" t="s">
        <v>10220</v>
      </c>
      <c r="G193" s="90">
        <v>45113.54047453704</v>
      </c>
      <c r="H193" s="90">
        <v>46048.95923611111</v>
      </c>
      <c r="I193" s="1" t="s">
        <v>16476</v>
      </c>
    </row>
    <row r="194">
      <c r="A194" s="1">
        <v>408.0</v>
      </c>
      <c r="B194" s="1" t="s">
        <v>18277</v>
      </c>
      <c r="E194" s="1" t="s">
        <v>3507</v>
      </c>
      <c r="F194" s="1" t="s">
        <v>10220</v>
      </c>
      <c r="G194" s="90">
        <v>45113.54046296296</v>
      </c>
      <c r="H194" s="90">
        <v>46048.95923611111</v>
      </c>
      <c r="I194" s="1" t="s">
        <v>16476</v>
      </c>
    </row>
    <row r="195">
      <c r="A195" s="1">
        <v>407.0</v>
      </c>
      <c r="B195" s="1" t="s">
        <v>18278</v>
      </c>
      <c r="E195" s="1" t="s">
        <v>3498</v>
      </c>
      <c r="F195" s="1" t="s">
        <v>10220</v>
      </c>
      <c r="G195" s="90">
        <v>45113.54046296296</v>
      </c>
      <c r="H195" s="90">
        <v>46048.95923611111</v>
      </c>
      <c r="I195" s="1" t="s">
        <v>16476</v>
      </c>
    </row>
    <row r="196">
      <c r="A196" s="1">
        <v>406.0</v>
      </c>
      <c r="B196" s="1" t="s">
        <v>18279</v>
      </c>
      <c r="E196" s="1" t="s">
        <v>3492</v>
      </c>
      <c r="F196" s="1" t="s">
        <v>10220</v>
      </c>
      <c r="G196" s="90">
        <v>45113.540451388886</v>
      </c>
      <c r="H196" s="90">
        <v>46048.95923611111</v>
      </c>
      <c r="I196" s="1" t="s">
        <v>16476</v>
      </c>
    </row>
    <row r="197">
      <c r="A197" s="1">
        <v>405.0</v>
      </c>
      <c r="B197" s="1" t="s">
        <v>18280</v>
      </c>
      <c r="E197" s="1" t="s">
        <v>50</v>
      </c>
      <c r="F197" s="1" t="s">
        <v>10220</v>
      </c>
      <c r="G197" s="90">
        <v>45113.54043981482</v>
      </c>
      <c r="H197" s="90">
        <v>46048.95923611111</v>
      </c>
      <c r="I197" s="1" t="s">
        <v>16476</v>
      </c>
    </row>
    <row r="198">
      <c r="A198" s="1">
        <v>403.0</v>
      </c>
      <c r="B198" s="1" t="s">
        <v>18281</v>
      </c>
      <c r="E198" s="1" t="s">
        <v>3470</v>
      </c>
      <c r="F198" s="1" t="s">
        <v>10220</v>
      </c>
      <c r="G198" s="90">
        <v>45113.54041666666</v>
      </c>
      <c r="H198" s="90">
        <v>46048.95923611111</v>
      </c>
      <c r="I198" s="1" t="s">
        <v>16476</v>
      </c>
    </row>
    <row r="199">
      <c r="A199" s="1">
        <v>402.0</v>
      </c>
      <c r="B199" s="1" t="s">
        <v>18282</v>
      </c>
      <c r="E199" s="1" t="s">
        <v>2741</v>
      </c>
      <c r="F199" s="1" t="s">
        <v>10220</v>
      </c>
      <c r="G199" s="90">
        <v>45113.54040509259</v>
      </c>
      <c r="H199" s="90">
        <v>46048.95923611111</v>
      </c>
      <c r="I199" s="1" t="s">
        <v>16476</v>
      </c>
    </row>
    <row r="200">
      <c r="A200" s="1">
        <v>401.0</v>
      </c>
      <c r="B200" s="1" t="s">
        <v>18283</v>
      </c>
      <c r="E200" s="1" t="s">
        <v>3459</v>
      </c>
      <c r="F200" s="1" t="s">
        <v>10220</v>
      </c>
      <c r="G200" s="90">
        <v>45113.54040509259</v>
      </c>
      <c r="H200" s="90">
        <v>46048.95923611111</v>
      </c>
      <c r="I200" s="1" t="s">
        <v>16476</v>
      </c>
    </row>
    <row r="201">
      <c r="A201" s="1">
        <v>400.0</v>
      </c>
      <c r="B201" s="1" t="s">
        <v>18284</v>
      </c>
      <c r="E201" s="1" t="s">
        <v>3456</v>
      </c>
      <c r="F201" s="1" t="s">
        <v>10220</v>
      </c>
      <c r="G201" s="90">
        <v>45113.54039351852</v>
      </c>
      <c r="H201" s="90">
        <v>46048.95923611111</v>
      </c>
      <c r="I201" s="1" t="s">
        <v>16476</v>
      </c>
    </row>
    <row r="202">
      <c r="A202" s="1">
        <v>399.0</v>
      </c>
      <c r="B202" s="1" t="s">
        <v>18285</v>
      </c>
      <c r="E202" s="1" t="s">
        <v>3450</v>
      </c>
      <c r="F202" s="1" t="s">
        <v>10220</v>
      </c>
      <c r="G202" s="90">
        <v>45113.54038194445</v>
      </c>
      <c r="H202" s="90">
        <v>46048.95923611111</v>
      </c>
      <c r="I202" s="1" t="s">
        <v>16476</v>
      </c>
    </row>
    <row r="203">
      <c r="A203" s="1">
        <v>398.0</v>
      </c>
      <c r="B203" s="1" t="s">
        <v>18286</v>
      </c>
      <c r="E203" s="1" t="s">
        <v>3444</v>
      </c>
      <c r="F203" s="1" t="s">
        <v>10220</v>
      </c>
      <c r="G203" s="90">
        <v>45113.54037037037</v>
      </c>
      <c r="H203" s="90">
        <v>46048.95923611111</v>
      </c>
      <c r="I203" s="1" t="s">
        <v>16476</v>
      </c>
    </row>
    <row r="204">
      <c r="A204" s="1">
        <v>397.0</v>
      </c>
      <c r="B204" s="1" t="s">
        <v>18287</v>
      </c>
      <c r="E204" s="1" t="s">
        <v>3437</v>
      </c>
      <c r="F204" s="1" t="s">
        <v>10220</v>
      </c>
      <c r="G204" s="90">
        <v>45113.540358796294</v>
      </c>
      <c r="H204" s="90">
        <v>46048.95923611111</v>
      </c>
      <c r="I204" s="1" t="s">
        <v>16476</v>
      </c>
    </row>
    <row r="205">
      <c r="A205" s="1">
        <v>396.0</v>
      </c>
      <c r="B205" s="1" t="s">
        <v>18288</v>
      </c>
      <c r="E205" s="1" t="s">
        <v>3431</v>
      </c>
      <c r="F205" s="1" t="s">
        <v>10220</v>
      </c>
      <c r="G205" s="90">
        <v>45113.540347222224</v>
      </c>
      <c r="H205" s="90">
        <v>46048.95923611111</v>
      </c>
      <c r="I205" s="1" t="s">
        <v>16476</v>
      </c>
    </row>
    <row r="206">
      <c r="A206" s="1">
        <v>395.0</v>
      </c>
      <c r="B206" s="1" t="s">
        <v>18289</v>
      </c>
      <c r="E206" s="1" t="s">
        <v>3422</v>
      </c>
      <c r="F206" s="1" t="s">
        <v>10220</v>
      </c>
      <c r="G206" s="90">
        <v>45113.540347222224</v>
      </c>
      <c r="H206" s="90">
        <v>46048.95923611111</v>
      </c>
      <c r="I206" s="1" t="s">
        <v>16476</v>
      </c>
    </row>
    <row r="207">
      <c r="A207" s="1">
        <v>394.0</v>
      </c>
      <c r="B207" s="1" t="s">
        <v>18290</v>
      </c>
      <c r="E207" s="1" t="s">
        <v>3417</v>
      </c>
      <c r="F207" s="1" t="s">
        <v>10220</v>
      </c>
      <c r="G207" s="90">
        <v>45113.54033564815</v>
      </c>
      <c r="H207" s="90">
        <v>46048.95923611111</v>
      </c>
      <c r="I207" s="1" t="s">
        <v>16476</v>
      </c>
    </row>
    <row r="208">
      <c r="A208" s="1">
        <v>393.0</v>
      </c>
      <c r="B208" s="1" t="s">
        <v>18291</v>
      </c>
      <c r="E208" s="1" t="s">
        <v>3408</v>
      </c>
      <c r="F208" s="1" t="s">
        <v>10220</v>
      </c>
      <c r="G208" s="90">
        <v>45113.54032407407</v>
      </c>
      <c r="H208" s="90">
        <v>46048.95923611111</v>
      </c>
      <c r="I208" s="1" t="s">
        <v>16476</v>
      </c>
    </row>
    <row r="209">
      <c r="A209" s="1">
        <v>392.0</v>
      </c>
      <c r="B209" s="1" t="s">
        <v>18292</v>
      </c>
      <c r="E209" s="1" t="s">
        <v>18293</v>
      </c>
      <c r="F209" s="1" t="s">
        <v>10220</v>
      </c>
      <c r="G209" s="90">
        <v>45113.5403125</v>
      </c>
      <c r="H209" s="90">
        <v>46048.95923611111</v>
      </c>
      <c r="I209" s="1" t="s">
        <v>16476</v>
      </c>
    </row>
    <row r="210">
      <c r="A210" s="1">
        <v>391.0</v>
      </c>
      <c r="B210" s="1" t="s">
        <v>18294</v>
      </c>
      <c r="E210" s="1" t="s">
        <v>3392</v>
      </c>
      <c r="F210" s="1" t="s">
        <v>10220</v>
      </c>
      <c r="G210" s="90">
        <v>45113.540300925924</v>
      </c>
      <c r="H210" s="90">
        <v>46048.95923611111</v>
      </c>
      <c r="I210" s="1" t="s">
        <v>16476</v>
      </c>
    </row>
    <row r="211">
      <c r="A211" s="1">
        <v>388.0</v>
      </c>
      <c r="B211" s="1" t="s">
        <v>18295</v>
      </c>
      <c r="E211" s="1" t="s">
        <v>3369</v>
      </c>
      <c r="F211" s="1" t="s">
        <v>10220</v>
      </c>
      <c r="G211" s="90">
        <v>45113.54027777778</v>
      </c>
      <c r="H211" s="90">
        <v>46048.95923611111</v>
      </c>
      <c r="I211" s="1" t="s">
        <v>16476</v>
      </c>
    </row>
    <row r="212">
      <c r="A212" s="1">
        <v>387.0</v>
      </c>
      <c r="B212" s="1" t="s">
        <v>18296</v>
      </c>
      <c r="E212" s="1" t="s">
        <v>3356</v>
      </c>
      <c r="F212" s="1" t="s">
        <v>10220</v>
      </c>
      <c r="G212" s="90">
        <v>45113.5402662037</v>
      </c>
      <c r="H212" s="90">
        <v>46048.95923611111</v>
      </c>
      <c r="I212" s="1" t="s">
        <v>16476</v>
      </c>
    </row>
    <row r="213">
      <c r="A213" s="1">
        <v>386.0</v>
      </c>
      <c r="B213" s="1" t="s">
        <v>18297</v>
      </c>
      <c r="E213" s="1" t="s">
        <v>3349</v>
      </c>
      <c r="F213" s="1" t="s">
        <v>10220</v>
      </c>
      <c r="G213" s="90">
        <v>45113.54025462963</v>
      </c>
      <c r="H213" s="90">
        <v>46048.95923611111</v>
      </c>
      <c r="I213" s="1" t="s">
        <v>16476</v>
      </c>
    </row>
    <row r="214">
      <c r="A214" s="1">
        <v>385.0</v>
      </c>
      <c r="B214" s="1" t="s">
        <v>18298</v>
      </c>
      <c r="E214" s="1" t="s">
        <v>3339</v>
      </c>
      <c r="F214" s="1" t="s">
        <v>10220</v>
      </c>
      <c r="G214" s="90">
        <v>45113.540243055555</v>
      </c>
      <c r="H214" s="90">
        <v>46048.95923611111</v>
      </c>
      <c r="I214" s="1" t="s">
        <v>16476</v>
      </c>
    </row>
    <row r="215">
      <c r="A215" s="1">
        <v>384.0</v>
      </c>
      <c r="B215" s="1" t="s">
        <v>18299</v>
      </c>
      <c r="E215" s="1" t="s">
        <v>3330</v>
      </c>
      <c r="F215" s="1" t="s">
        <v>10220</v>
      </c>
      <c r="G215" s="90">
        <v>45113.540243055555</v>
      </c>
      <c r="H215" s="90">
        <v>46048.95923611111</v>
      </c>
      <c r="I215" s="1" t="s">
        <v>16476</v>
      </c>
    </row>
    <row r="216">
      <c r="A216" s="1">
        <v>383.0</v>
      </c>
      <c r="B216" s="1" t="s">
        <v>18300</v>
      </c>
      <c r="E216" s="1" t="s">
        <v>3321</v>
      </c>
      <c r="F216" s="1" t="s">
        <v>10220</v>
      </c>
      <c r="G216" s="90">
        <v>45113.54023148148</v>
      </c>
      <c r="H216" s="90">
        <v>46048.95923611111</v>
      </c>
      <c r="I216" s="1" t="s">
        <v>16476</v>
      </c>
    </row>
    <row r="217">
      <c r="A217" s="1">
        <v>382.0</v>
      </c>
      <c r="B217" s="1" t="s">
        <v>18301</v>
      </c>
      <c r="E217" s="1" t="s">
        <v>3315</v>
      </c>
      <c r="F217" s="1" t="s">
        <v>10220</v>
      </c>
      <c r="G217" s="90">
        <v>45113.54020833333</v>
      </c>
      <c r="H217" s="90">
        <v>46048.95923611111</v>
      </c>
      <c r="I217" s="1" t="s">
        <v>16476</v>
      </c>
    </row>
    <row r="218">
      <c r="A218" s="1">
        <v>380.0</v>
      </c>
      <c r="B218" s="1" t="s">
        <v>18302</v>
      </c>
      <c r="E218" s="1" t="s">
        <v>3298</v>
      </c>
      <c r="F218" s="1" t="s">
        <v>10220</v>
      </c>
      <c r="G218" s="90">
        <v>45113.540185185186</v>
      </c>
      <c r="H218" s="90">
        <v>46048.95923611111</v>
      </c>
      <c r="I218" s="1" t="s">
        <v>16476</v>
      </c>
    </row>
    <row r="219">
      <c r="A219" s="1">
        <v>377.0</v>
      </c>
      <c r="B219" s="1" t="s">
        <v>18303</v>
      </c>
      <c r="E219" s="1" t="s">
        <v>3279</v>
      </c>
      <c r="F219" s="1" t="s">
        <v>10220</v>
      </c>
      <c r="G219" s="90">
        <v>45113.54015046296</v>
      </c>
      <c r="H219" s="90">
        <v>46048.95923611111</v>
      </c>
      <c r="I219" s="1" t="s">
        <v>16476</v>
      </c>
    </row>
    <row r="220">
      <c r="A220" s="1">
        <v>376.0</v>
      </c>
      <c r="B220" s="1" t="s">
        <v>18304</v>
      </c>
      <c r="E220" s="1" t="s">
        <v>3271</v>
      </c>
      <c r="F220" s="1" t="s">
        <v>10220</v>
      </c>
      <c r="G220" s="90">
        <v>45113.540138888886</v>
      </c>
      <c r="H220" s="90">
        <v>46048.95923611111</v>
      </c>
      <c r="I220" s="1" t="s">
        <v>16476</v>
      </c>
    </row>
    <row r="221">
      <c r="A221" s="1">
        <v>375.0</v>
      </c>
      <c r="B221" s="1" t="s">
        <v>18305</v>
      </c>
      <c r="E221" s="1" t="s">
        <v>50</v>
      </c>
      <c r="F221" s="1" t="s">
        <v>10220</v>
      </c>
      <c r="G221" s="90">
        <v>45113.540138888886</v>
      </c>
      <c r="H221" s="90">
        <v>46048.95923611111</v>
      </c>
      <c r="I221" s="1" t="s">
        <v>16476</v>
      </c>
    </row>
    <row r="222">
      <c r="A222" s="1">
        <v>374.0</v>
      </c>
      <c r="B222" s="1" t="s">
        <v>18306</v>
      </c>
      <c r="E222" s="1" t="s">
        <v>3257</v>
      </c>
      <c r="F222" s="1" t="s">
        <v>10220</v>
      </c>
      <c r="G222" s="90">
        <v>45113.540127314816</v>
      </c>
      <c r="H222" s="90">
        <v>46048.95923611111</v>
      </c>
      <c r="I222" s="1" t="s">
        <v>16476</v>
      </c>
    </row>
    <row r="223">
      <c r="A223" s="1">
        <v>373.0</v>
      </c>
      <c r="B223" s="1" t="s">
        <v>18307</v>
      </c>
      <c r="E223" s="1" t="s">
        <v>3249</v>
      </c>
      <c r="F223" s="1" t="s">
        <v>10220</v>
      </c>
      <c r="G223" s="90">
        <v>45113.54011574074</v>
      </c>
      <c r="H223" s="90">
        <v>46048.95923611111</v>
      </c>
      <c r="I223" s="1" t="s">
        <v>16476</v>
      </c>
    </row>
    <row r="224">
      <c r="A224" s="1">
        <v>372.0</v>
      </c>
      <c r="B224" s="1" t="s">
        <v>18308</v>
      </c>
      <c r="E224" s="1" t="s">
        <v>3240</v>
      </c>
      <c r="F224" s="1" t="s">
        <v>10220</v>
      </c>
      <c r="G224" s="90">
        <v>45113.54010416667</v>
      </c>
      <c r="H224" s="90">
        <v>46048.95923611111</v>
      </c>
      <c r="I224" s="1" t="s">
        <v>16476</v>
      </c>
    </row>
    <row r="225">
      <c r="A225" s="1">
        <v>371.0</v>
      </c>
      <c r="B225" s="1" t="s">
        <v>18309</v>
      </c>
      <c r="E225" s="1" t="s">
        <v>3228</v>
      </c>
      <c r="F225" s="1" t="s">
        <v>10220</v>
      </c>
      <c r="G225" s="90">
        <v>45113.54009259259</v>
      </c>
      <c r="H225" s="90">
        <v>46048.95922453704</v>
      </c>
      <c r="I225" s="1" t="s">
        <v>16476</v>
      </c>
    </row>
    <row r="226">
      <c r="A226" s="1">
        <v>370.0</v>
      </c>
      <c r="B226" s="1" t="s">
        <v>18310</v>
      </c>
      <c r="E226" s="1" t="s">
        <v>3220</v>
      </c>
      <c r="F226" s="1" t="s">
        <v>10220</v>
      </c>
      <c r="G226" s="90">
        <v>45113.54008101852</v>
      </c>
      <c r="H226" s="90">
        <v>46048.95922453704</v>
      </c>
      <c r="I226" s="1" t="s">
        <v>16476</v>
      </c>
    </row>
    <row r="227">
      <c r="A227" s="1">
        <v>369.0</v>
      </c>
      <c r="B227" s="1" t="s">
        <v>18311</v>
      </c>
      <c r="E227" s="1" t="s">
        <v>3213</v>
      </c>
      <c r="F227" s="1" t="s">
        <v>10220</v>
      </c>
      <c r="G227" s="90">
        <v>45113.54008101852</v>
      </c>
      <c r="H227" s="90">
        <v>46048.95922453704</v>
      </c>
      <c r="I227" s="1" t="s">
        <v>16476</v>
      </c>
    </row>
    <row r="228">
      <c r="A228" s="1">
        <v>366.0</v>
      </c>
      <c r="B228" s="1" t="s">
        <v>18312</v>
      </c>
      <c r="E228" s="1" t="s">
        <v>3190</v>
      </c>
      <c r="F228" s="1" t="s">
        <v>10220</v>
      </c>
      <c r="G228" s="90">
        <v>45113.54004629629</v>
      </c>
      <c r="H228" s="90">
        <v>46048.95922453704</v>
      </c>
      <c r="I228" s="1" t="s">
        <v>16476</v>
      </c>
    </row>
    <row r="229">
      <c r="A229" s="1">
        <v>365.0</v>
      </c>
      <c r="B229" s="1" t="s">
        <v>18313</v>
      </c>
      <c r="E229" s="1" t="s">
        <v>3179</v>
      </c>
      <c r="F229" s="1" t="s">
        <v>10220</v>
      </c>
      <c r="G229" s="90">
        <v>45113.540034722224</v>
      </c>
      <c r="H229" s="90">
        <v>46048.95922453704</v>
      </c>
      <c r="I229" s="1" t="s">
        <v>16476</v>
      </c>
    </row>
    <row r="230">
      <c r="A230" s="1">
        <v>364.0</v>
      </c>
      <c r="B230" s="1" t="s">
        <v>18314</v>
      </c>
      <c r="E230" s="1" t="s">
        <v>3172</v>
      </c>
      <c r="F230" s="1" t="s">
        <v>10220</v>
      </c>
      <c r="G230" s="90">
        <v>45113.54002314815</v>
      </c>
      <c r="H230" s="90">
        <v>46048.95922453704</v>
      </c>
      <c r="I230" s="1" t="s">
        <v>16476</v>
      </c>
    </row>
    <row r="231">
      <c r="A231" s="1">
        <v>362.0</v>
      </c>
      <c r="B231" s="1" t="s">
        <v>18315</v>
      </c>
      <c r="E231" s="1" t="s">
        <v>3160</v>
      </c>
      <c r="F231" s="1" t="s">
        <v>10220</v>
      </c>
      <c r="G231" s="90">
        <v>45113.54001157408</v>
      </c>
      <c r="H231" s="90">
        <v>46048.95922453704</v>
      </c>
      <c r="I231" s="1" t="s">
        <v>16476</v>
      </c>
    </row>
    <row r="232">
      <c r="A232" s="1">
        <v>361.0</v>
      </c>
      <c r="B232" s="1" t="s">
        <v>18316</v>
      </c>
      <c r="E232" s="1" t="s">
        <v>3149</v>
      </c>
      <c r="F232" s="1" t="s">
        <v>10220</v>
      </c>
      <c r="G232" s="90">
        <v>45113.54</v>
      </c>
      <c r="H232" s="90">
        <v>46048.95922453704</v>
      </c>
      <c r="I232" s="1" t="s">
        <v>16476</v>
      </c>
    </row>
    <row r="233">
      <c r="A233" s="1">
        <v>360.0</v>
      </c>
      <c r="B233" s="1" t="s">
        <v>18317</v>
      </c>
      <c r="E233" s="1" t="s">
        <v>3142</v>
      </c>
      <c r="F233" s="1" t="s">
        <v>10220</v>
      </c>
      <c r="G233" s="90">
        <v>45113.539988425924</v>
      </c>
      <c r="H233" s="90">
        <v>46048.95922453704</v>
      </c>
      <c r="I233" s="1" t="s">
        <v>16476</v>
      </c>
    </row>
    <row r="234">
      <c r="A234" s="1">
        <v>359.0</v>
      </c>
      <c r="B234" s="1" t="s">
        <v>18318</v>
      </c>
      <c r="E234" s="1" t="s">
        <v>3134</v>
      </c>
      <c r="F234" s="1" t="s">
        <v>10220</v>
      </c>
      <c r="G234" s="90">
        <v>45113.539976851855</v>
      </c>
      <c r="H234" s="90">
        <v>46048.95922453704</v>
      </c>
      <c r="I234" s="1" t="s">
        <v>16476</v>
      </c>
    </row>
    <row r="235">
      <c r="A235" s="1">
        <v>358.0</v>
      </c>
      <c r="B235" s="1" t="s">
        <v>18319</v>
      </c>
      <c r="E235" s="1" t="s">
        <v>3126</v>
      </c>
      <c r="F235" s="1" t="s">
        <v>10220</v>
      </c>
      <c r="G235" s="90">
        <v>45113.539976851855</v>
      </c>
      <c r="H235" s="90">
        <v>46048.95922453704</v>
      </c>
      <c r="I235" s="1" t="s">
        <v>16476</v>
      </c>
    </row>
    <row r="236">
      <c r="A236" s="1">
        <v>357.0</v>
      </c>
      <c r="B236" s="1" t="s">
        <v>18320</v>
      </c>
      <c r="E236" s="1" t="s">
        <v>3120</v>
      </c>
      <c r="F236" s="1" t="s">
        <v>10220</v>
      </c>
      <c r="G236" s="90">
        <v>45113.53996527778</v>
      </c>
      <c r="H236" s="90">
        <v>46048.95922453704</v>
      </c>
      <c r="I236" s="1" t="s">
        <v>16476</v>
      </c>
    </row>
    <row r="237">
      <c r="A237" s="1">
        <v>356.0</v>
      </c>
      <c r="B237" s="1" t="s">
        <v>18321</v>
      </c>
      <c r="E237" s="1" t="s">
        <v>3112</v>
      </c>
      <c r="F237" s="1" t="s">
        <v>10220</v>
      </c>
      <c r="G237" s="90">
        <v>45113.5399537037</v>
      </c>
      <c r="H237" s="90">
        <v>46048.95922453704</v>
      </c>
      <c r="I237" s="1" t="s">
        <v>16476</v>
      </c>
    </row>
    <row r="238">
      <c r="A238" s="1">
        <v>355.0</v>
      </c>
      <c r="B238" s="1" t="s">
        <v>18322</v>
      </c>
      <c r="E238" s="1" t="s">
        <v>3104</v>
      </c>
      <c r="F238" s="1" t="s">
        <v>10220</v>
      </c>
      <c r="G238" s="90">
        <v>45113.53994212963</v>
      </c>
      <c r="H238" s="90">
        <v>46048.95922453704</v>
      </c>
      <c r="I238" s="1" t="s">
        <v>16476</v>
      </c>
    </row>
    <row r="239">
      <c r="A239" s="1">
        <v>354.0</v>
      </c>
      <c r="B239" s="1" t="s">
        <v>18323</v>
      </c>
      <c r="E239" s="1" t="s">
        <v>3094</v>
      </c>
      <c r="F239" s="1" t="s">
        <v>10220</v>
      </c>
      <c r="G239" s="90">
        <v>45113.539930555555</v>
      </c>
      <c r="H239" s="90">
        <v>46048.95922453704</v>
      </c>
      <c r="I239" s="1" t="s">
        <v>16476</v>
      </c>
    </row>
    <row r="240">
      <c r="A240" s="1">
        <v>353.0</v>
      </c>
      <c r="B240" s="1" t="s">
        <v>18324</v>
      </c>
      <c r="E240" s="1" t="s">
        <v>1568</v>
      </c>
      <c r="F240" s="1" t="s">
        <v>10220</v>
      </c>
      <c r="G240" s="90">
        <v>45113.53991898148</v>
      </c>
      <c r="H240" s="90">
        <v>46048.95922453704</v>
      </c>
      <c r="I240" s="1" t="s">
        <v>16476</v>
      </c>
    </row>
    <row r="241">
      <c r="A241" s="1">
        <v>352.0</v>
      </c>
      <c r="B241" s="1" t="s">
        <v>18325</v>
      </c>
      <c r="E241" s="1" t="s">
        <v>3082</v>
      </c>
      <c r="F241" s="1" t="s">
        <v>10220</v>
      </c>
      <c r="G241" s="90">
        <v>45113.53991898148</v>
      </c>
      <c r="H241" s="90">
        <v>46048.95922453704</v>
      </c>
      <c r="I241" s="1" t="s">
        <v>16476</v>
      </c>
    </row>
    <row r="242">
      <c r="A242" s="1">
        <v>351.0</v>
      </c>
      <c r="B242" s="1" t="s">
        <v>18326</v>
      </c>
      <c r="E242" s="1" t="s">
        <v>3075</v>
      </c>
      <c r="F242" s="1" t="s">
        <v>10220</v>
      </c>
      <c r="G242" s="90">
        <v>45113.53990740741</v>
      </c>
      <c r="H242" s="90">
        <v>46048.95922453704</v>
      </c>
      <c r="I242" s="1" t="s">
        <v>16476</v>
      </c>
    </row>
    <row r="243">
      <c r="A243" s="1">
        <v>350.0</v>
      </c>
      <c r="B243" s="1" t="s">
        <v>18327</v>
      </c>
      <c r="E243" s="1" t="s">
        <v>3065</v>
      </c>
      <c r="F243" s="1" t="s">
        <v>10220</v>
      </c>
      <c r="G243" s="90">
        <v>45113.53989583333</v>
      </c>
      <c r="H243" s="90">
        <v>46048.95922453704</v>
      </c>
      <c r="I243" s="1" t="s">
        <v>16476</v>
      </c>
    </row>
    <row r="244">
      <c r="A244" s="1">
        <v>343.0</v>
      </c>
      <c r="B244" s="1" t="s">
        <v>18328</v>
      </c>
      <c r="E244" s="1" t="s">
        <v>3007</v>
      </c>
      <c r="F244" s="1" t="s">
        <v>10220</v>
      </c>
      <c r="G244" s="90">
        <v>45113.539826388886</v>
      </c>
      <c r="H244" s="90">
        <v>46048.95922453704</v>
      </c>
      <c r="I244" s="1" t="s">
        <v>16476</v>
      </c>
    </row>
    <row r="245">
      <c r="A245" s="1">
        <v>329.0</v>
      </c>
      <c r="B245" s="1" t="s">
        <v>18329</v>
      </c>
      <c r="E245" s="1" t="s">
        <v>2899</v>
      </c>
      <c r="F245" s="1" t="s">
        <v>10220</v>
      </c>
      <c r="G245" s="90">
        <v>45113.53969907408</v>
      </c>
      <c r="H245" s="90">
        <v>46048.95921296296</v>
      </c>
      <c r="I245" s="1" t="s">
        <v>16476</v>
      </c>
    </row>
    <row r="246">
      <c r="A246" s="1">
        <v>317.0</v>
      </c>
      <c r="B246" s="1" t="s">
        <v>18330</v>
      </c>
      <c r="E246" s="1" t="s">
        <v>2811</v>
      </c>
      <c r="F246" s="1" t="s">
        <v>10220</v>
      </c>
      <c r="G246" s="90">
        <v>45113.53958333333</v>
      </c>
      <c r="H246" s="90">
        <v>46048.95921296296</v>
      </c>
      <c r="I246" s="1" t="s">
        <v>16476</v>
      </c>
    </row>
    <row r="247">
      <c r="A247" s="1">
        <v>315.0</v>
      </c>
      <c r="B247" s="1" t="s">
        <v>18331</v>
      </c>
      <c r="E247" s="1" t="s">
        <v>2796</v>
      </c>
      <c r="F247" s="1" t="s">
        <v>10220</v>
      </c>
      <c r="G247" s="90">
        <v>45113.539560185185</v>
      </c>
      <c r="H247" s="90">
        <v>46048.95921296296</v>
      </c>
      <c r="I247" s="1" t="s">
        <v>16476</v>
      </c>
    </row>
    <row r="248">
      <c r="A248" s="1">
        <v>310.0</v>
      </c>
      <c r="B248" s="1" t="s">
        <v>18332</v>
      </c>
      <c r="E248" s="1" t="s">
        <v>2759</v>
      </c>
      <c r="F248" s="1" t="s">
        <v>10220</v>
      </c>
      <c r="G248" s="90">
        <v>45113.539513888885</v>
      </c>
      <c r="H248" s="90">
        <v>46048.95921296296</v>
      </c>
      <c r="I248" s="1" t="s">
        <v>16476</v>
      </c>
    </row>
    <row r="249">
      <c r="A249" s="1">
        <v>303.0</v>
      </c>
      <c r="B249" s="1" t="s">
        <v>18333</v>
      </c>
      <c r="E249" s="1" t="s">
        <v>2704</v>
      </c>
      <c r="F249" s="1" t="s">
        <v>10220</v>
      </c>
      <c r="G249" s="90">
        <v>45113.53944444445</v>
      </c>
      <c r="H249" s="90">
        <v>46048.95921296296</v>
      </c>
      <c r="I249" s="1" t="s">
        <v>16476</v>
      </c>
    </row>
    <row r="250">
      <c r="A250" s="1">
        <v>300.0</v>
      </c>
      <c r="B250" s="1" t="s">
        <v>18334</v>
      </c>
      <c r="E250" s="1" t="s">
        <v>2679</v>
      </c>
      <c r="F250" s="1" t="s">
        <v>10220</v>
      </c>
      <c r="G250" s="90">
        <v>45113.53942129629</v>
      </c>
      <c r="H250" s="90">
        <v>46048.95921296296</v>
      </c>
      <c r="I250" s="1" t="s">
        <v>16476</v>
      </c>
    </row>
    <row r="251">
      <c r="A251" s="1">
        <v>296.0</v>
      </c>
      <c r="B251" s="1" t="s">
        <v>18335</v>
      </c>
      <c r="E251" s="1" t="s">
        <v>2651</v>
      </c>
      <c r="F251" s="1" t="s">
        <v>10220</v>
      </c>
      <c r="G251" s="90">
        <v>45113.539375</v>
      </c>
      <c r="H251" s="90">
        <v>46048.95921296296</v>
      </c>
      <c r="I251" s="1" t="s">
        <v>16476</v>
      </c>
    </row>
    <row r="252">
      <c r="A252" s="1">
        <v>292.0</v>
      </c>
      <c r="B252" s="1" t="s">
        <v>18336</v>
      </c>
      <c r="E252" s="1" t="s">
        <v>2612</v>
      </c>
      <c r="F252" s="1" t="s">
        <v>10220</v>
      </c>
      <c r="G252" s="90">
        <v>45113.53934027778</v>
      </c>
      <c r="H252" s="90">
        <v>46048.95920138889</v>
      </c>
      <c r="I252" s="1" t="s">
        <v>16476</v>
      </c>
    </row>
    <row r="253">
      <c r="A253" s="1">
        <v>289.0</v>
      </c>
      <c r="B253" s="1" t="s">
        <v>18337</v>
      </c>
      <c r="E253" s="1" t="s">
        <v>2591</v>
      </c>
      <c r="F253" s="1" t="s">
        <v>10220</v>
      </c>
      <c r="G253" s="90">
        <v>45113.53931712963</v>
      </c>
      <c r="H253" s="90">
        <v>46048.95920138889</v>
      </c>
      <c r="I253" s="1" t="s">
        <v>16476</v>
      </c>
    </row>
    <row r="254">
      <c r="A254" s="1">
        <v>285.0</v>
      </c>
      <c r="B254" s="1" t="s">
        <v>18338</v>
      </c>
      <c r="E254" s="1" t="s">
        <v>2569</v>
      </c>
      <c r="F254" s="1" t="s">
        <v>10220</v>
      </c>
      <c r="G254" s="90">
        <v>45113.53927083333</v>
      </c>
      <c r="H254" s="90">
        <v>46048.95920138889</v>
      </c>
      <c r="I254" s="1" t="s">
        <v>16476</v>
      </c>
    </row>
    <row r="255">
      <c r="A255" s="1">
        <v>283.0</v>
      </c>
      <c r="B255" s="1" t="s">
        <v>18339</v>
      </c>
      <c r="E255" s="1" t="s">
        <v>2550</v>
      </c>
      <c r="F255" s="1" t="s">
        <v>10220</v>
      </c>
      <c r="G255" s="90">
        <v>45113.53925925926</v>
      </c>
      <c r="H255" s="90">
        <v>46048.95920138889</v>
      </c>
      <c r="I255" s="1" t="s">
        <v>16476</v>
      </c>
    </row>
    <row r="256">
      <c r="A256" s="1">
        <v>275.0</v>
      </c>
      <c r="B256" s="1" t="s">
        <v>18340</v>
      </c>
      <c r="E256" s="1" t="s">
        <v>2479</v>
      </c>
      <c r="F256" s="1" t="s">
        <v>10220</v>
      </c>
      <c r="G256" s="90">
        <v>45113.53917824074</v>
      </c>
      <c r="H256" s="90">
        <v>46048.95920138889</v>
      </c>
      <c r="I256" s="1" t="s">
        <v>16476</v>
      </c>
    </row>
    <row r="257">
      <c r="A257" s="1">
        <v>273.0</v>
      </c>
      <c r="B257" s="1" t="s">
        <v>18341</v>
      </c>
      <c r="E257" s="1" t="s">
        <v>2462</v>
      </c>
      <c r="F257" s="1" t="s">
        <v>10220</v>
      </c>
      <c r="G257" s="90">
        <v>45113.53916666667</v>
      </c>
      <c r="H257" s="90">
        <v>46048.95920138889</v>
      </c>
      <c r="I257" s="1" t="s">
        <v>16476</v>
      </c>
    </row>
    <row r="258">
      <c r="A258" s="1">
        <v>267.0</v>
      </c>
      <c r="B258" s="1" t="s">
        <v>18342</v>
      </c>
      <c r="E258" s="1" t="s">
        <v>1172</v>
      </c>
      <c r="F258" s="1" t="s">
        <v>10220</v>
      </c>
      <c r="G258" s="90">
        <v>45113.5391087963</v>
      </c>
      <c r="H258" s="90">
        <v>46048.95920138889</v>
      </c>
      <c r="I258" s="1" t="s">
        <v>16476</v>
      </c>
    </row>
    <row r="259">
      <c r="A259" s="1">
        <v>262.0</v>
      </c>
      <c r="B259" s="1" t="s">
        <v>18343</v>
      </c>
      <c r="E259" s="1" t="s">
        <v>2380</v>
      </c>
      <c r="F259" s="1" t="s">
        <v>10220</v>
      </c>
      <c r="G259" s="90">
        <v>45113.5390625</v>
      </c>
      <c r="H259" s="90">
        <v>46048.95920138889</v>
      </c>
      <c r="I259" s="1" t="s">
        <v>16476</v>
      </c>
    </row>
    <row r="260">
      <c r="A260" s="1">
        <v>254.0</v>
      </c>
      <c r="B260" s="1" t="s">
        <v>18344</v>
      </c>
      <c r="E260" s="1" t="s">
        <v>492</v>
      </c>
      <c r="F260" s="1" t="s">
        <v>10220</v>
      </c>
      <c r="G260" s="90">
        <v>45113.538981481484</v>
      </c>
      <c r="H260" s="90">
        <v>46048.959189814814</v>
      </c>
      <c r="I260" s="1" t="s">
        <v>16476</v>
      </c>
    </row>
    <row r="261">
      <c r="A261" s="1">
        <v>251.0</v>
      </c>
      <c r="B261" s="1" t="s">
        <v>18345</v>
      </c>
      <c r="E261" s="1" t="s">
        <v>2297</v>
      </c>
      <c r="F261" s="1" t="s">
        <v>10220</v>
      </c>
      <c r="G261" s="90">
        <v>45113.53895833333</v>
      </c>
      <c r="H261" s="90">
        <v>46048.959189814814</v>
      </c>
      <c r="I261" s="1" t="s">
        <v>16476</v>
      </c>
    </row>
    <row r="262">
      <c r="A262" s="1">
        <v>250.0</v>
      </c>
      <c r="B262" s="1" t="s">
        <v>18346</v>
      </c>
      <c r="E262" s="1" t="s">
        <v>2289</v>
      </c>
      <c r="F262" s="1" t="s">
        <v>10220</v>
      </c>
      <c r="G262" s="90">
        <v>45113.53894675926</v>
      </c>
      <c r="H262" s="90">
        <v>46048.959189814814</v>
      </c>
      <c r="I262" s="1" t="s">
        <v>16476</v>
      </c>
    </row>
    <row r="263">
      <c r="A263" s="1">
        <v>249.0</v>
      </c>
      <c r="B263" s="1" t="s">
        <v>18347</v>
      </c>
      <c r="E263" s="1" t="s">
        <v>2277</v>
      </c>
      <c r="F263" s="1" t="s">
        <v>10220</v>
      </c>
      <c r="G263" s="90">
        <v>45113.538935185185</v>
      </c>
      <c r="H263" s="90">
        <v>46048.959189814814</v>
      </c>
      <c r="I263" s="1" t="s">
        <v>16476</v>
      </c>
    </row>
    <row r="264">
      <c r="A264" s="1">
        <v>248.0</v>
      </c>
      <c r="B264" s="1" t="s">
        <v>18348</v>
      </c>
      <c r="E264" s="1" t="s">
        <v>2269</v>
      </c>
      <c r="F264" s="1" t="s">
        <v>10220</v>
      </c>
      <c r="G264" s="90">
        <v>45113.53892361111</v>
      </c>
      <c r="H264" s="90">
        <v>46048.959189814814</v>
      </c>
      <c r="I264" s="1" t="s">
        <v>16476</v>
      </c>
    </row>
    <row r="265">
      <c r="A265" s="1">
        <v>247.0</v>
      </c>
      <c r="B265" s="1" t="s">
        <v>18349</v>
      </c>
      <c r="E265" s="1" t="s">
        <v>2263</v>
      </c>
      <c r="F265" s="1" t="s">
        <v>10220</v>
      </c>
      <c r="G265" s="90">
        <v>45113.53891203704</v>
      </c>
      <c r="H265" s="90">
        <v>46048.959189814814</v>
      </c>
      <c r="I265" s="1" t="s">
        <v>16476</v>
      </c>
    </row>
    <row r="266">
      <c r="A266" s="1">
        <v>246.0</v>
      </c>
      <c r="B266" s="1" t="s">
        <v>18350</v>
      </c>
      <c r="E266" s="1" t="s">
        <v>2254</v>
      </c>
      <c r="F266" s="1" t="s">
        <v>10220</v>
      </c>
      <c r="G266" s="90">
        <v>45113.53890046296</v>
      </c>
      <c r="H266" s="90">
        <v>46048.959189814814</v>
      </c>
      <c r="I266" s="1" t="s">
        <v>16476</v>
      </c>
    </row>
    <row r="267">
      <c r="A267" s="1">
        <v>245.0</v>
      </c>
      <c r="B267" s="1" t="s">
        <v>18351</v>
      </c>
      <c r="E267" s="1" t="s">
        <v>2246</v>
      </c>
      <c r="F267" s="1" t="s">
        <v>10220</v>
      </c>
      <c r="G267" s="90">
        <v>45113.53890046296</v>
      </c>
      <c r="H267" s="90">
        <v>46048.959189814814</v>
      </c>
      <c r="I267" s="1" t="s">
        <v>16476</v>
      </c>
    </row>
    <row r="268">
      <c r="A268" s="1">
        <v>244.0</v>
      </c>
      <c r="B268" s="1" t="s">
        <v>18352</v>
      </c>
      <c r="E268" s="1" t="s">
        <v>2237</v>
      </c>
      <c r="F268" s="1" t="s">
        <v>10220</v>
      </c>
      <c r="G268" s="90">
        <v>45113.53888888889</v>
      </c>
      <c r="H268" s="90">
        <v>46048.959189814814</v>
      </c>
      <c r="I268" s="1" t="s">
        <v>16476</v>
      </c>
    </row>
    <row r="269">
      <c r="A269" s="1">
        <v>242.0</v>
      </c>
      <c r="B269" s="1" t="s">
        <v>18353</v>
      </c>
      <c r="E269" s="1" t="s">
        <v>2224</v>
      </c>
      <c r="F269" s="1" t="s">
        <v>10220</v>
      </c>
      <c r="G269" s="90">
        <v>45113.53886574074</v>
      </c>
      <c r="H269" s="90">
        <v>46048.959189814814</v>
      </c>
      <c r="I269" s="1" t="s">
        <v>16476</v>
      </c>
    </row>
    <row r="270">
      <c r="A270" s="1">
        <v>241.0</v>
      </c>
      <c r="B270" s="1" t="s">
        <v>18354</v>
      </c>
      <c r="E270" s="1" t="s">
        <v>2215</v>
      </c>
      <c r="F270" s="1" t="s">
        <v>10220</v>
      </c>
      <c r="G270" s="90">
        <v>45113.53885416667</v>
      </c>
      <c r="H270" s="90">
        <v>46048.959189814814</v>
      </c>
      <c r="I270" s="1" t="s">
        <v>16476</v>
      </c>
    </row>
    <row r="271">
      <c r="A271" s="1">
        <v>240.0</v>
      </c>
      <c r="B271" s="1" t="s">
        <v>18355</v>
      </c>
      <c r="E271" s="1" t="s">
        <v>2209</v>
      </c>
      <c r="F271" s="1" t="s">
        <v>10220</v>
      </c>
      <c r="G271" s="90">
        <v>45113.53884259259</v>
      </c>
      <c r="H271" s="90">
        <v>46048.959189814814</v>
      </c>
      <c r="I271" s="1" t="s">
        <v>16476</v>
      </c>
    </row>
    <row r="272">
      <c r="A272" s="1">
        <v>238.0</v>
      </c>
      <c r="B272" s="1" t="s">
        <v>18356</v>
      </c>
      <c r="E272" s="1" t="s">
        <v>2190</v>
      </c>
      <c r="F272" s="1" t="s">
        <v>10220</v>
      </c>
      <c r="G272" s="90">
        <v>45113.538831018515</v>
      </c>
      <c r="H272" s="90">
        <v>46048.959189814814</v>
      </c>
      <c r="I272" s="1" t="s">
        <v>16476</v>
      </c>
    </row>
    <row r="273">
      <c r="A273" s="1">
        <v>236.0</v>
      </c>
      <c r="B273" s="1" t="s">
        <v>18357</v>
      </c>
      <c r="E273" s="1" t="s">
        <v>2171</v>
      </c>
      <c r="F273" s="1" t="s">
        <v>10220</v>
      </c>
      <c r="G273" s="90">
        <v>45113.53880787037</v>
      </c>
      <c r="H273" s="90">
        <v>46048.959189814814</v>
      </c>
      <c r="I273" s="1" t="s">
        <v>16476</v>
      </c>
    </row>
    <row r="274">
      <c r="A274" s="1">
        <v>235.0</v>
      </c>
      <c r="B274" s="1" t="s">
        <v>18358</v>
      </c>
      <c r="E274" s="1" t="s">
        <v>2162</v>
      </c>
      <c r="F274" s="1" t="s">
        <v>10220</v>
      </c>
      <c r="G274" s="90">
        <v>45113.5387962963</v>
      </c>
      <c r="H274" s="90">
        <v>46048.959189814814</v>
      </c>
      <c r="I274" s="1" t="s">
        <v>16476</v>
      </c>
    </row>
    <row r="275">
      <c r="A275" s="1">
        <v>234.0</v>
      </c>
      <c r="B275" s="1" t="s">
        <v>18359</v>
      </c>
      <c r="E275" s="1" t="s">
        <v>2154</v>
      </c>
      <c r="F275" s="1" t="s">
        <v>10220</v>
      </c>
      <c r="G275" s="90">
        <v>45113.53878472222</v>
      </c>
      <c r="H275" s="90">
        <v>46048.959189814814</v>
      </c>
      <c r="I275" s="1" t="s">
        <v>16476</v>
      </c>
    </row>
    <row r="276">
      <c r="A276" s="1">
        <v>233.0</v>
      </c>
      <c r="B276" s="1" t="s">
        <v>18360</v>
      </c>
      <c r="E276" s="1" t="s">
        <v>5055</v>
      </c>
      <c r="F276" s="1" t="s">
        <v>10220</v>
      </c>
      <c r="G276" s="90">
        <v>45113.53878472222</v>
      </c>
      <c r="H276" s="90">
        <v>46048.959189814814</v>
      </c>
      <c r="I276" s="1" t="s">
        <v>16476</v>
      </c>
    </row>
    <row r="277">
      <c r="A277" s="1">
        <v>232.0</v>
      </c>
      <c r="B277" s="1" t="s">
        <v>18361</v>
      </c>
      <c r="E277" s="1" t="s">
        <v>2146</v>
      </c>
      <c r="F277" s="1" t="s">
        <v>10220</v>
      </c>
      <c r="G277" s="90">
        <v>45113.538773148146</v>
      </c>
      <c r="H277" s="90">
        <v>46048.959189814814</v>
      </c>
      <c r="I277" s="1" t="s">
        <v>16476</v>
      </c>
    </row>
    <row r="278">
      <c r="A278" s="1">
        <v>231.0</v>
      </c>
      <c r="B278" s="1" t="s">
        <v>18362</v>
      </c>
      <c r="E278" s="1" t="s">
        <v>2137</v>
      </c>
      <c r="F278" s="1" t="s">
        <v>10220</v>
      </c>
      <c r="G278" s="90">
        <v>45113.53876157408</v>
      </c>
      <c r="H278" s="90">
        <v>46048.959189814814</v>
      </c>
      <c r="I278" s="1" t="s">
        <v>16476</v>
      </c>
    </row>
    <row r="279">
      <c r="A279" s="1">
        <v>230.0</v>
      </c>
      <c r="B279" s="1" t="s">
        <v>18363</v>
      </c>
      <c r="E279" s="1" t="s">
        <v>2130</v>
      </c>
      <c r="F279" s="1" t="s">
        <v>10220</v>
      </c>
      <c r="G279" s="90">
        <v>45113.53875</v>
      </c>
      <c r="H279" s="90">
        <v>46048.959189814814</v>
      </c>
      <c r="I279" s="1" t="s">
        <v>16476</v>
      </c>
    </row>
    <row r="280">
      <c r="A280" s="1">
        <v>229.0</v>
      </c>
      <c r="B280" s="1" t="s">
        <v>18364</v>
      </c>
      <c r="E280" s="1" t="s">
        <v>2121</v>
      </c>
      <c r="F280" s="1" t="s">
        <v>10220</v>
      </c>
      <c r="G280" s="90">
        <v>45113.53873842592</v>
      </c>
      <c r="H280" s="90">
        <v>46048.959189814814</v>
      </c>
      <c r="I280" s="1" t="s">
        <v>16476</v>
      </c>
    </row>
    <row r="281">
      <c r="A281" s="1">
        <v>227.0</v>
      </c>
      <c r="B281" s="1" t="s">
        <v>18365</v>
      </c>
      <c r="E281" s="1" t="s">
        <v>2104</v>
      </c>
      <c r="F281" s="1" t="s">
        <v>10220</v>
      </c>
      <c r="G281" s="90">
        <v>45113.53872685185</v>
      </c>
      <c r="H281" s="90">
        <v>46048.959189814814</v>
      </c>
      <c r="I281" s="1" t="s">
        <v>16476</v>
      </c>
    </row>
    <row r="282">
      <c r="A282" s="1">
        <v>226.0</v>
      </c>
      <c r="B282" s="1" t="s">
        <v>18366</v>
      </c>
      <c r="E282" s="1" t="s">
        <v>2095</v>
      </c>
      <c r="F282" s="1" t="s">
        <v>10220</v>
      </c>
      <c r="G282" s="90">
        <v>45113.53871527778</v>
      </c>
      <c r="H282" s="90">
        <v>46048.959189814814</v>
      </c>
      <c r="I282" s="1" t="s">
        <v>16476</v>
      </c>
    </row>
    <row r="283">
      <c r="A283" s="1">
        <v>225.0</v>
      </c>
      <c r="B283" s="1" t="s">
        <v>18367</v>
      </c>
      <c r="E283" s="1" t="s">
        <v>2087</v>
      </c>
      <c r="F283" s="1" t="s">
        <v>10220</v>
      </c>
      <c r="G283" s="90">
        <v>45113.53870370371</v>
      </c>
      <c r="H283" s="90">
        <v>46048.959189814814</v>
      </c>
      <c r="I283" s="1" t="s">
        <v>16476</v>
      </c>
    </row>
    <row r="284">
      <c r="A284" s="1">
        <v>224.0</v>
      </c>
      <c r="B284" s="1" t="s">
        <v>18368</v>
      </c>
      <c r="E284" s="1" t="s">
        <v>2079</v>
      </c>
      <c r="F284" s="1" t="s">
        <v>10220</v>
      </c>
      <c r="G284" s="90">
        <v>45113.53869212963</v>
      </c>
      <c r="H284" s="90">
        <v>46048.959189814814</v>
      </c>
      <c r="I284" s="1" t="s">
        <v>16476</v>
      </c>
    </row>
    <row r="285">
      <c r="A285" s="1">
        <v>223.0</v>
      </c>
      <c r="B285" s="1" t="s">
        <v>18369</v>
      </c>
      <c r="E285" s="1" t="s">
        <v>2070</v>
      </c>
      <c r="F285" s="1" t="s">
        <v>10220</v>
      </c>
      <c r="G285" s="90">
        <v>45113.53868055555</v>
      </c>
      <c r="H285" s="90">
        <v>46048.959189814814</v>
      </c>
      <c r="I285" s="1" t="s">
        <v>16476</v>
      </c>
    </row>
    <row r="286">
      <c r="A286" s="1">
        <v>222.0</v>
      </c>
      <c r="B286" s="1" t="s">
        <v>18370</v>
      </c>
      <c r="E286" s="1" t="s">
        <v>2062</v>
      </c>
      <c r="F286" s="1" t="s">
        <v>10220</v>
      </c>
      <c r="G286" s="90">
        <v>45113.53868055555</v>
      </c>
      <c r="H286" s="90">
        <v>46048.959189814814</v>
      </c>
      <c r="I286" s="1" t="s">
        <v>16476</v>
      </c>
    </row>
    <row r="287">
      <c r="A287" s="1">
        <v>219.0</v>
      </c>
      <c r="B287" s="1" t="s">
        <v>18371</v>
      </c>
      <c r="E287" s="1" t="s">
        <v>2037</v>
      </c>
      <c r="F287" s="1" t="s">
        <v>10220</v>
      </c>
      <c r="G287" s="90">
        <v>45113.53864583333</v>
      </c>
      <c r="H287" s="90">
        <v>46048.959189814814</v>
      </c>
      <c r="I287" s="1" t="s">
        <v>16476</v>
      </c>
    </row>
    <row r="288">
      <c r="A288" s="1">
        <v>218.0</v>
      </c>
      <c r="B288" s="1" t="s">
        <v>18372</v>
      </c>
      <c r="E288" s="1" t="s">
        <v>2030</v>
      </c>
      <c r="F288" s="1" t="s">
        <v>10220</v>
      </c>
      <c r="G288" s="90">
        <v>45113.53863425926</v>
      </c>
      <c r="H288" s="90">
        <v>46048.959189814814</v>
      </c>
      <c r="I288" s="1" t="s">
        <v>16476</v>
      </c>
    </row>
    <row r="289">
      <c r="A289" s="1">
        <v>217.0</v>
      </c>
      <c r="B289" s="1" t="s">
        <v>18373</v>
      </c>
      <c r="E289" s="1" t="s">
        <v>2021</v>
      </c>
      <c r="F289" s="1" t="s">
        <v>10220</v>
      </c>
      <c r="G289" s="90">
        <v>45113.53863425926</v>
      </c>
      <c r="H289" s="90">
        <v>46048.959189814814</v>
      </c>
      <c r="I289" s="1" t="s">
        <v>16476</v>
      </c>
    </row>
    <row r="290">
      <c r="A290" s="1">
        <v>215.0</v>
      </c>
      <c r="B290" s="1" t="s">
        <v>18374</v>
      </c>
      <c r="E290" s="1" t="s">
        <v>2002</v>
      </c>
      <c r="F290" s="1" t="s">
        <v>10220</v>
      </c>
      <c r="G290" s="90">
        <v>45113.538611111115</v>
      </c>
      <c r="H290" s="90">
        <v>46048.959178240744</v>
      </c>
      <c r="I290" s="1" t="s">
        <v>16476</v>
      </c>
    </row>
    <row r="291">
      <c r="A291" s="1">
        <v>214.0</v>
      </c>
      <c r="B291" s="1" t="s">
        <v>18375</v>
      </c>
      <c r="E291" s="1" t="s">
        <v>1996</v>
      </c>
      <c r="F291" s="1" t="s">
        <v>10220</v>
      </c>
      <c r="G291" s="90">
        <v>45113.53859953704</v>
      </c>
      <c r="H291" s="90">
        <v>46048.959178240744</v>
      </c>
      <c r="I291" s="1" t="s">
        <v>16476</v>
      </c>
    </row>
    <row r="292">
      <c r="A292" s="1">
        <v>213.0</v>
      </c>
      <c r="B292" s="1" t="s">
        <v>18376</v>
      </c>
      <c r="E292" s="1" t="s">
        <v>1989</v>
      </c>
      <c r="F292" s="1" t="s">
        <v>10220</v>
      </c>
      <c r="G292" s="90">
        <v>45113.53858796296</v>
      </c>
      <c r="H292" s="90">
        <v>46048.959178240744</v>
      </c>
      <c r="I292" s="1" t="s">
        <v>16476</v>
      </c>
    </row>
    <row r="293">
      <c r="A293" s="1">
        <v>212.0</v>
      </c>
      <c r="B293" s="1" t="s">
        <v>18377</v>
      </c>
      <c r="E293" s="1" t="s">
        <v>1979</v>
      </c>
      <c r="F293" s="1" t="s">
        <v>10220</v>
      </c>
      <c r="G293" s="90">
        <v>45113.53857638889</v>
      </c>
      <c r="H293" s="90">
        <v>46048.959178240744</v>
      </c>
      <c r="I293" s="1" t="s">
        <v>16476</v>
      </c>
    </row>
    <row r="294">
      <c r="A294" s="1">
        <v>211.0</v>
      </c>
      <c r="B294" s="1" t="s">
        <v>18378</v>
      </c>
      <c r="E294" s="1" t="s">
        <v>1971</v>
      </c>
      <c r="F294" s="1" t="s">
        <v>10220</v>
      </c>
      <c r="G294" s="90">
        <v>45113.53857638889</v>
      </c>
      <c r="H294" s="90">
        <v>46048.959178240744</v>
      </c>
      <c r="I294" s="1" t="s">
        <v>16476</v>
      </c>
    </row>
    <row r="295">
      <c r="A295" s="1">
        <v>210.0</v>
      </c>
      <c r="B295" s="1" t="s">
        <v>18379</v>
      </c>
      <c r="E295" s="1" t="s">
        <v>1964</v>
      </c>
      <c r="F295" s="1" t="s">
        <v>10220</v>
      </c>
      <c r="G295" s="90">
        <v>45113.538564814815</v>
      </c>
      <c r="H295" s="90">
        <v>46048.959178240744</v>
      </c>
      <c r="I295" s="1" t="s">
        <v>16476</v>
      </c>
    </row>
    <row r="296">
      <c r="A296" s="1">
        <v>209.0</v>
      </c>
      <c r="B296" s="1" t="s">
        <v>18380</v>
      </c>
      <c r="E296" s="1" t="s">
        <v>1953</v>
      </c>
      <c r="F296" s="1" t="s">
        <v>10220</v>
      </c>
      <c r="G296" s="90">
        <v>45113.53855324074</v>
      </c>
      <c r="H296" s="90">
        <v>46048.959178240744</v>
      </c>
      <c r="I296" s="1" t="s">
        <v>16476</v>
      </c>
    </row>
    <row r="297">
      <c r="A297" s="1">
        <v>208.0</v>
      </c>
      <c r="B297" s="1" t="s">
        <v>18381</v>
      </c>
      <c r="E297" s="1" t="s">
        <v>1946</v>
      </c>
      <c r="F297" s="1" t="s">
        <v>10220</v>
      </c>
      <c r="G297" s="90">
        <v>45113.53854166667</v>
      </c>
      <c r="H297" s="90">
        <v>46048.959178240744</v>
      </c>
      <c r="I297" s="1" t="s">
        <v>16476</v>
      </c>
    </row>
    <row r="298">
      <c r="A298" s="1">
        <v>207.0</v>
      </c>
      <c r="B298" s="1" t="s">
        <v>18382</v>
      </c>
      <c r="E298" s="1" t="s">
        <v>1936</v>
      </c>
      <c r="F298" s="1" t="s">
        <v>10220</v>
      </c>
      <c r="G298" s="90">
        <v>45113.53853009259</v>
      </c>
      <c r="H298" s="90">
        <v>46048.959178240744</v>
      </c>
      <c r="I298" s="1" t="s">
        <v>16476</v>
      </c>
    </row>
    <row r="299">
      <c r="A299" s="1">
        <v>206.0</v>
      </c>
      <c r="B299" s="1" t="s">
        <v>18383</v>
      </c>
      <c r="E299" s="1" t="s">
        <v>1930</v>
      </c>
      <c r="F299" s="1" t="s">
        <v>10220</v>
      </c>
      <c r="G299" s="90">
        <v>45113.53853009259</v>
      </c>
      <c r="H299" s="90">
        <v>46048.959178240744</v>
      </c>
      <c r="I299" s="1" t="s">
        <v>16476</v>
      </c>
    </row>
    <row r="300">
      <c r="A300" s="1">
        <v>205.0</v>
      </c>
      <c r="B300" s="1" t="s">
        <v>18384</v>
      </c>
      <c r="E300" s="1" t="s">
        <v>1918</v>
      </c>
      <c r="F300" s="1" t="s">
        <v>10220</v>
      </c>
      <c r="G300" s="90">
        <v>45113.538518518515</v>
      </c>
      <c r="H300" s="90">
        <v>46048.959178240744</v>
      </c>
      <c r="I300" s="1" t="s">
        <v>16476</v>
      </c>
    </row>
    <row r="301">
      <c r="A301" s="1">
        <v>204.0</v>
      </c>
      <c r="B301" s="1" t="s">
        <v>18385</v>
      </c>
      <c r="E301" s="1" t="s">
        <v>18386</v>
      </c>
      <c r="F301" s="1" t="s">
        <v>10220</v>
      </c>
      <c r="G301" s="90">
        <v>45113.538506944446</v>
      </c>
      <c r="H301" s="90">
        <v>46048.959178240744</v>
      </c>
      <c r="I301" s="1" t="s">
        <v>16476</v>
      </c>
    </row>
    <row r="302">
      <c r="A302" s="1">
        <v>203.0</v>
      </c>
      <c r="B302" s="1" t="s">
        <v>18387</v>
      </c>
      <c r="E302" s="1" t="s">
        <v>1901</v>
      </c>
      <c r="F302" s="1" t="s">
        <v>10220</v>
      </c>
      <c r="G302" s="90">
        <v>45113.53849537037</v>
      </c>
      <c r="H302" s="90">
        <v>46048.959178240744</v>
      </c>
      <c r="I302" s="1" t="s">
        <v>16476</v>
      </c>
    </row>
    <row r="303">
      <c r="A303" s="1">
        <v>202.0</v>
      </c>
      <c r="B303" s="1" t="s">
        <v>18388</v>
      </c>
      <c r="E303" s="1" t="s">
        <v>1893</v>
      </c>
      <c r="F303" s="1" t="s">
        <v>10220</v>
      </c>
      <c r="G303" s="90">
        <v>45113.5384837963</v>
      </c>
      <c r="H303" s="90">
        <v>46048.959178240744</v>
      </c>
      <c r="I303" s="1" t="s">
        <v>16476</v>
      </c>
    </row>
    <row r="304">
      <c r="A304" s="1">
        <v>201.0</v>
      </c>
      <c r="B304" s="1" t="s">
        <v>18389</v>
      </c>
      <c r="E304" s="1" t="s">
        <v>1884</v>
      </c>
      <c r="F304" s="1" t="s">
        <v>10220</v>
      </c>
      <c r="G304" s="90">
        <v>45113.53847222222</v>
      </c>
      <c r="H304" s="90">
        <v>46048.959178240744</v>
      </c>
      <c r="I304" s="1" t="s">
        <v>16476</v>
      </c>
    </row>
    <row r="305">
      <c r="A305" s="1">
        <v>200.0</v>
      </c>
      <c r="B305" s="1" t="s">
        <v>18390</v>
      </c>
      <c r="E305" s="1" t="s">
        <v>1875</v>
      </c>
      <c r="F305" s="1" t="s">
        <v>10220</v>
      </c>
      <c r="G305" s="90">
        <v>45113.53847222222</v>
      </c>
      <c r="H305" s="90">
        <v>46048.959178240744</v>
      </c>
      <c r="I305" s="1" t="s">
        <v>16476</v>
      </c>
    </row>
    <row r="306">
      <c r="A306" s="1">
        <v>198.0</v>
      </c>
      <c r="B306" s="1" t="s">
        <v>18391</v>
      </c>
      <c r="E306" s="1" t="s">
        <v>1869</v>
      </c>
      <c r="F306" s="1" t="s">
        <v>10220</v>
      </c>
      <c r="G306" s="90">
        <v>45113.538449074076</v>
      </c>
      <c r="H306" s="90">
        <v>46048.959178240744</v>
      </c>
      <c r="I306" s="1" t="s">
        <v>16476</v>
      </c>
    </row>
    <row r="307">
      <c r="A307" s="1">
        <v>197.0</v>
      </c>
      <c r="B307" s="1" t="s">
        <v>18392</v>
      </c>
      <c r="E307" s="1" t="s">
        <v>1858</v>
      </c>
      <c r="F307" s="1" t="s">
        <v>10220</v>
      </c>
      <c r="G307" s="90">
        <v>45113.5384375</v>
      </c>
      <c r="H307" s="90">
        <v>46048.959178240744</v>
      </c>
      <c r="I307" s="1" t="s">
        <v>16476</v>
      </c>
    </row>
    <row r="308">
      <c r="A308" s="1">
        <v>196.0</v>
      </c>
      <c r="B308" s="1" t="s">
        <v>18393</v>
      </c>
      <c r="E308" s="1" t="s">
        <v>1850</v>
      </c>
      <c r="F308" s="1" t="s">
        <v>10220</v>
      </c>
      <c r="G308" s="90">
        <v>45113.53842592592</v>
      </c>
      <c r="H308" s="90">
        <v>46048.959178240744</v>
      </c>
      <c r="I308" s="1" t="s">
        <v>16476</v>
      </c>
    </row>
    <row r="309">
      <c r="A309" s="1">
        <v>195.0</v>
      </c>
      <c r="B309" s="1" t="s">
        <v>18394</v>
      </c>
      <c r="E309" s="1" t="s">
        <v>1840</v>
      </c>
      <c r="F309" s="1" t="s">
        <v>10220</v>
      </c>
      <c r="G309" s="90">
        <v>45113.53841435185</v>
      </c>
      <c r="H309" s="90">
        <v>46048.959178240744</v>
      </c>
      <c r="I309" s="1" t="s">
        <v>16476</v>
      </c>
    </row>
    <row r="310">
      <c r="A310" s="1">
        <v>194.0</v>
      </c>
      <c r="B310" s="1" t="s">
        <v>18395</v>
      </c>
      <c r="E310" s="1" t="s">
        <v>1833</v>
      </c>
      <c r="F310" s="1" t="s">
        <v>10220</v>
      </c>
      <c r="G310" s="90">
        <v>45113.53841435185</v>
      </c>
      <c r="H310" s="90">
        <v>46048.959178240744</v>
      </c>
      <c r="I310" s="1" t="s">
        <v>16476</v>
      </c>
    </row>
    <row r="311">
      <c r="A311" s="1">
        <v>193.0</v>
      </c>
      <c r="B311" s="1" t="s">
        <v>18396</v>
      </c>
      <c r="E311" s="1" t="s">
        <v>1381</v>
      </c>
      <c r="F311" s="1" t="s">
        <v>10220</v>
      </c>
      <c r="G311" s="90">
        <v>45113.538402777776</v>
      </c>
      <c r="H311" s="90">
        <v>46048.959178240744</v>
      </c>
      <c r="I311" s="1" t="s">
        <v>16476</v>
      </c>
    </row>
    <row r="312">
      <c r="A312" s="1">
        <v>192.0</v>
      </c>
      <c r="B312" s="1" t="s">
        <v>18397</v>
      </c>
      <c r="E312" s="1" t="s">
        <v>1349</v>
      </c>
      <c r="F312" s="1" t="s">
        <v>10220</v>
      </c>
      <c r="G312" s="90">
        <v>45113.53839120371</v>
      </c>
      <c r="H312" s="90">
        <v>46048.959178240744</v>
      </c>
      <c r="I312" s="1" t="s">
        <v>16476</v>
      </c>
    </row>
    <row r="313">
      <c r="A313" s="1">
        <v>191.0</v>
      </c>
      <c r="B313" s="1" t="s">
        <v>18398</v>
      </c>
      <c r="E313" s="1" t="s">
        <v>1814</v>
      </c>
      <c r="F313" s="1" t="s">
        <v>10220</v>
      </c>
      <c r="G313" s="90">
        <v>45113.53837962963</v>
      </c>
      <c r="H313" s="90">
        <v>46048.959178240744</v>
      </c>
      <c r="I313" s="1" t="s">
        <v>16476</v>
      </c>
    </row>
    <row r="314">
      <c r="A314" s="1">
        <v>190.0</v>
      </c>
      <c r="B314" s="1" t="s">
        <v>18399</v>
      </c>
      <c r="E314" s="1" t="s">
        <v>1802</v>
      </c>
      <c r="F314" s="1" t="s">
        <v>10220</v>
      </c>
      <c r="G314" s="90">
        <v>45113.53836805555</v>
      </c>
      <c r="H314" s="90">
        <v>46048.959178240744</v>
      </c>
      <c r="I314" s="1" t="s">
        <v>16476</v>
      </c>
    </row>
    <row r="315">
      <c r="A315" s="1">
        <v>189.0</v>
      </c>
      <c r="B315" s="1" t="s">
        <v>18400</v>
      </c>
      <c r="E315" s="1" t="s">
        <v>1792</v>
      </c>
      <c r="F315" s="1" t="s">
        <v>10220</v>
      </c>
      <c r="G315" s="90">
        <v>45113.53836805555</v>
      </c>
      <c r="H315" s="90">
        <v>46048.959178240744</v>
      </c>
      <c r="I315" s="1" t="s">
        <v>16476</v>
      </c>
    </row>
    <row r="316">
      <c r="A316" s="1">
        <v>188.0</v>
      </c>
      <c r="B316" s="1" t="s">
        <v>18401</v>
      </c>
      <c r="E316" s="1" t="s">
        <v>1783</v>
      </c>
      <c r="F316" s="1" t="s">
        <v>10220</v>
      </c>
      <c r="G316" s="90">
        <v>45113.538356481484</v>
      </c>
      <c r="H316" s="90">
        <v>46048.959178240744</v>
      </c>
      <c r="I316" s="1" t="s">
        <v>16476</v>
      </c>
    </row>
    <row r="317">
      <c r="A317" s="1">
        <v>187.0</v>
      </c>
      <c r="B317" s="1" t="s">
        <v>18402</v>
      </c>
      <c r="E317" s="1" t="s">
        <v>1774</v>
      </c>
      <c r="F317" s="1" t="s">
        <v>10220</v>
      </c>
      <c r="G317" s="90">
        <v>45113.53834490741</v>
      </c>
      <c r="H317" s="90">
        <v>46048.959178240744</v>
      </c>
      <c r="I317" s="1" t="s">
        <v>16476</v>
      </c>
    </row>
    <row r="318">
      <c r="A318" s="1">
        <v>186.0</v>
      </c>
      <c r="B318" s="1" t="s">
        <v>18403</v>
      </c>
      <c r="E318" s="1" t="s">
        <v>1766</v>
      </c>
      <c r="F318" s="1" t="s">
        <v>10220</v>
      </c>
      <c r="G318" s="90">
        <v>45113.53833333333</v>
      </c>
      <c r="H318" s="90">
        <v>46048.959178240744</v>
      </c>
      <c r="I318" s="1" t="s">
        <v>16476</v>
      </c>
    </row>
    <row r="319">
      <c r="A319" s="1">
        <v>185.0</v>
      </c>
      <c r="B319" s="1" t="s">
        <v>18404</v>
      </c>
      <c r="E319" s="1" t="s">
        <v>1761</v>
      </c>
      <c r="F319" s="1" t="s">
        <v>10220</v>
      </c>
      <c r="G319" s="90">
        <v>45113.53832175926</v>
      </c>
      <c r="H319" s="90">
        <v>46048.959178240744</v>
      </c>
      <c r="I319" s="1" t="s">
        <v>16476</v>
      </c>
    </row>
    <row r="320">
      <c r="A320" s="1">
        <v>183.0</v>
      </c>
      <c r="B320" s="1" t="s">
        <v>18405</v>
      </c>
      <c r="E320" s="1" t="s">
        <v>1751</v>
      </c>
      <c r="F320" s="1" t="s">
        <v>10220</v>
      </c>
      <c r="G320" s="90">
        <v>45113.538310185184</v>
      </c>
      <c r="H320" s="90">
        <v>46048.959178240744</v>
      </c>
      <c r="I320" s="1" t="s">
        <v>16476</v>
      </c>
    </row>
    <row r="321">
      <c r="A321" s="1">
        <v>182.0</v>
      </c>
      <c r="B321" s="1" t="s">
        <v>18406</v>
      </c>
      <c r="E321" s="1" t="s">
        <v>1744</v>
      </c>
      <c r="F321" s="1" t="s">
        <v>10220</v>
      </c>
      <c r="G321" s="90">
        <v>45113.538298611114</v>
      </c>
      <c r="H321" s="90">
        <v>46048.959178240744</v>
      </c>
      <c r="I321" s="1" t="s">
        <v>16476</v>
      </c>
    </row>
    <row r="322">
      <c r="A322" s="1">
        <v>181.0</v>
      </c>
      <c r="B322" s="1" t="s">
        <v>18407</v>
      </c>
      <c r="E322" s="1" t="s">
        <v>1736</v>
      </c>
      <c r="F322" s="1" t="s">
        <v>10220</v>
      </c>
      <c r="G322" s="90">
        <v>45113.53828703704</v>
      </c>
      <c r="H322" s="90">
        <v>46048.959178240744</v>
      </c>
      <c r="I322" s="1" t="s">
        <v>16476</v>
      </c>
    </row>
    <row r="323">
      <c r="A323" s="1">
        <v>180.0</v>
      </c>
      <c r="B323" s="1" t="s">
        <v>18408</v>
      </c>
      <c r="E323" s="1" t="s">
        <v>1727</v>
      </c>
      <c r="F323" s="1" t="s">
        <v>10220</v>
      </c>
      <c r="G323" s="90">
        <v>45113.53827546296</v>
      </c>
      <c r="H323" s="90">
        <v>46048.959178240744</v>
      </c>
      <c r="I323" s="1" t="s">
        <v>16476</v>
      </c>
    </row>
    <row r="324">
      <c r="A324" s="1">
        <v>179.0</v>
      </c>
      <c r="B324" s="1" t="s">
        <v>18409</v>
      </c>
      <c r="E324" s="1" t="s">
        <v>1720</v>
      </c>
      <c r="F324" s="1" t="s">
        <v>10220</v>
      </c>
      <c r="G324" s="90">
        <v>45113.53826388889</v>
      </c>
      <c r="H324" s="90">
        <v>46048.959178240744</v>
      </c>
      <c r="I324" s="1" t="s">
        <v>16476</v>
      </c>
    </row>
    <row r="325">
      <c r="A325" s="1">
        <v>178.0</v>
      </c>
      <c r="B325" s="1" t="s">
        <v>18410</v>
      </c>
      <c r="E325" s="1" t="s">
        <v>1712</v>
      </c>
      <c r="F325" s="1" t="s">
        <v>10220</v>
      </c>
      <c r="G325" s="90">
        <v>45113.538252314815</v>
      </c>
      <c r="H325" s="90">
        <v>46048.959178240744</v>
      </c>
      <c r="I325" s="1" t="s">
        <v>16476</v>
      </c>
    </row>
    <row r="326">
      <c r="A326" s="1">
        <v>177.0</v>
      </c>
      <c r="B326" s="1" t="s">
        <v>18411</v>
      </c>
      <c r="E326" s="1" t="s">
        <v>1705</v>
      </c>
      <c r="F326" s="1" t="s">
        <v>10220</v>
      </c>
      <c r="G326" s="90">
        <v>45113.538252314815</v>
      </c>
      <c r="H326" s="90">
        <v>46048.95916666667</v>
      </c>
      <c r="I326" s="1" t="s">
        <v>16476</v>
      </c>
    </row>
    <row r="327">
      <c r="A327" s="1">
        <v>176.0</v>
      </c>
      <c r="B327" s="1" t="s">
        <v>18412</v>
      </c>
      <c r="E327" s="1" t="s">
        <v>1697</v>
      </c>
      <c r="F327" s="1" t="s">
        <v>10220</v>
      </c>
      <c r="G327" s="90">
        <v>45113.53824074074</v>
      </c>
      <c r="H327" s="90">
        <v>46048.95916666667</v>
      </c>
      <c r="I327" s="1" t="s">
        <v>16476</v>
      </c>
    </row>
    <row r="328">
      <c r="A328" s="1">
        <v>175.0</v>
      </c>
      <c r="B328" s="1" t="s">
        <v>18413</v>
      </c>
      <c r="E328" s="1" t="s">
        <v>1687</v>
      </c>
      <c r="F328" s="1" t="s">
        <v>10220</v>
      </c>
      <c r="G328" s="90">
        <v>45113.53822916667</v>
      </c>
      <c r="H328" s="90">
        <v>46048.95916666667</v>
      </c>
      <c r="I328" s="1" t="s">
        <v>16476</v>
      </c>
    </row>
    <row r="329">
      <c r="A329" s="1">
        <v>174.0</v>
      </c>
      <c r="B329" s="1" t="s">
        <v>18414</v>
      </c>
      <c r="E329" s="1" t="s">
        <v>1680</v>
      </c>
      <c r="F329" s="1" t="s">
        <v>10220</v>
      </c>
      <c r="G329" s="90">
        <v>45113.53821759259</v>
      </c>
      <c r="H329" s="90">
        <v>46048.95916666667</v>
      </c>
      <c r="I329" s="1" t="s">
        <v>16476</v>
      </c>
    </row>
    <row r="330">
      <c r="A330" s="1">
        <v>173.0</v>
      </c>
      <c r="B330" s="1" t="s">
        <v>18415</v>
      </c>
      <c r="E330" s="1" t="s">
        <v>18416</v>
      </c>
      <c r="F330" s="1" t="s">
        <v>10220</v>
      </c>
      <c r="G330" s="90">
        <v>45113.53820601852</v>
      </c>
      <c r="H330" s="90">
        <v>46048.95916666667</v>
      </c>
      <c r="I330" s="1" t="s">
        <v>16476</v>
      </c>
    </row>
    <row r="331">
      <c r="A331" s="1">
        <v>171.0</v>
      </c>
      <c r="B331" s="1" t="s">
        <v>18417</v>
      </c>
      <c r="E331" s="1" t="s">
        <v>1657</v>
      </c>
      <c r="F331" s="1" t="s">
        <v>10220</v>
      </c>
      <c r="G331" s="90">
        <v>45113.538194444445</v>
      </c>
      <c r="H331" s="90">
        <v>46048.95916666667</v>
      </c>
      <c r="I331" s="1" t="s">
        <v>16476</v>
      </c>
    </row>
    <row r="332">
      <c r="A332" s="1">
        <v>170.0</v>
      </c>
      <c r="B332" s="1" t="s">
        <v>18418</v>
      </c>
      <c r="E332" s="1" t="s">
        <v>1647</v>
      </c>
      <c r="F332" s="1" t="s">
        <v>10220</v>
      </c>
      <c r="G332" s="90">
        <v>45113.53818287037</v>
      </c>
      <c r="H332" s="90">
        <v>46048.95916666667</v>
      </c>
      <c r="I332" s="1" t="s">
        <v>16476</v>
      </c>
    </row>
    <row r="333">
      <c r="A333" s="1">
        <v>169.0</v>
      </c>
      <c r="B333" s="1" t="s">
        <v>18419</v>
      </c>
      <c r="E333" s="1" t="s">
        <v>1639</v>
      </c>
      <c r="F333" s="1" t="s">
        <v>10220</v>
      </c>
      <c r="G333" s="90">
        <v>45113.5381712963</v>
      </c>
      <c r="H333" s="90">
        <v>46048.95916666667</v>
      </c>
      <c r="I333" s="1" t="s">
        <v>16476</v>
      </c>
    </row>
    <row r="334">
      <c r="A334" s="1">
        <v>167.0</v>
      </c>
      <c r="B334" s="1" t="s">
        <v>18420</v>
      </c>
      <c r="E334" s="1" t="s">
        <v>1623</v>
      </c>
      <c r="F334" s="1" t="s">
        <v>10220</v>
      </c>
      <c r="G334" s="90">
        <v>45113.538148148145</v>
      </c>
      <c r="H334" s="90">
        <v>46048.95916666667</v>
      </c>
      <c r="I334" s="1" t="s">
        <v>16476</v>
      </c>
    </row>
    <row r="335">
      <c r="A335" s="1">
        <v>166.0</v>
      </c>
      <c r="B335" s="1" t="s">
        <v>18421</v>
      </c>
      <c r="E335" s="1" t="s">
        <v>1614</v>
      </c>
      <c r="F335" s="1" t="s">
        <v>10220</v>
      </c>
      <c r="G335" s="90">
        <v>45113.538148148145</v>
      </c>
      <c r="H335" s="90">
        <v>46048.95916666667</v>
      </c>
      <c r="I335" s="1" t="s">
        <v>16476</v>
      </c>
    </row>
    <row r="336">
      <c r="A336" s="1">
        <v>165.0</v>
      </c>
      <c r="B336" s="1" t="s">
        <v>18422</v>
      </c>
      <c r="E336" s="1" t="s">
        <v>1606</v>
      </c>
      <c r="F336" s="1" t="s">
        <v>10220</v>
      </c>
      <c r="G336" s="90">
        <v>45113.538136574076</v>
      </c>
      <c r="H336" s="90">
        <v>46048.95916666667</v>
      </c>
      <c r="I336" s="1" t="s">
        <v>16476</v>
      </c>
    </row>
    <row r="337">
      <c r="A337" s="1">
        <v>163.0</v>
      </c>
      <c r="B337" s="1" t="s">
        <v>18423</v>
      </c>
      <c r="E337" s="1" t="s">
        <v>1589</v>
      </c>
      <c r="F337" s="1" t="s">
        <v>10220</v>
      </c>
      <c r="G337" s="90">
        <v>45113.53811342592</v>
      </c>
      <c r="H337" s="90">
        <v>46048.95916666667</v>
      </c>
      <c r="I337" s="1" t="s">
        <v>16476</v>
      </c>
    </row>
    <row r="338">
      <c r="A338" s="1">
        <v>162.0</v>
      </c>
      <c r="B338" s="1" t="s">
        <v>18424</v>
      </c>
      <c r="E338" s="1" t="s">
        <v>1581</v>
      </c>
      <c r="F338" s="1" t="s">
        <v>10220</v>
      </c>
      <c r="G338" s="90">
        <v>45113.53810185185</v>
      </c>
      <c r="H338" s="90">
        <v>46048.95916666667</v>
      </c>
      <c r="I338" s="1" t="s">
        <v>16476</v>
      </c>
    </row>
    <row r="339">
      <c r="A339" s="1">
        <v>161.0</v>
      </c>
      <c r="B339" s="1" t="s">
        <v>18425</v>
      </c>
      <c r="E339" s="1" t="s">
        <v>1576</v>
      </c>
      <c r="F339" s="1" t="s">
        <v>10220</v>
      </c>
      <c r="G339" s="90">
        <v>45113.538090277776</v>
      </c>
      <c r="H339" s="90">
        <v>46048.95916666667</v>
      </c>
      <c r="I339" s="1" t="s">
        <v>16476</v>
      </c>
    </row>
    <row r="340">
      <c r="A340" s="1">
        <v>160.0</v>
      </c>
      <c r="B340" s="1" t="s">
        <v>18426</v>
      </c>
      <c r="E340" s="1" t="s">
        <v>1567</v>
      </c>
      <c r="F340" s="1" t="s">
        <v>10220</v>
      </c>
      <c r="G340" s="90">
        <v>45113.538090277776</v>
      </c>
      <c r="H340" s="90">
        <v>46048.95916666667</v>
      </c>
      <c r="I340" s="1" t="s">
        <v>16476</v>
      </c>
    </row>
    <row r="341">
      <c r="A341" s="1">
        <v>159.0</v>
      </c>
      <c r="B341" s="1" t="s">
        <v>18427</v>
      </c>
      <c r="E341" s="1" t="s">
        <v>18428</v>
      </c>
      <c r="F341" s="1" t="s">
        <v>10220</v>
      </c>
      <c r="G341" s="90">
        <v>45113.53807870371</v>
      </c>
      <c r="H341" s="90">
        <v>46048.95916666667</v>
      </c>
      <c r="I341" s="1" t="s">
        <v>16476</v>
      </c>
    </row>
    <row r="342">
      <c r="A342" s="1">
        <v>157.0</v>
      </c>
      <c r="B342" s="1" t="s">
        <v>18429</v>
      </c>
      <c r="E342" s="1" t="s">
        <v>1542</v>
      </c>
      <c r="F342" s="1" t="s">
        <v>10220</v>
      </c>
      <c r="G342" s="90">
        <v>45113.53805555555</v>
      </c>
      <c r="H342" s="90">
        <v>46048.95916666667</v>
      </c>
      <c r="I342" s="1" t="s">
        <v>16476</v>
      </c>
    </row>
    <row r="343">
      <c r="A343" s="1">
        <v>155.0</v>
      </c>
      <c r="B343" s="1" t="s">
        <v>18430</v>
      </c>
      <c r="E343" s="1" t="s">
        <v>1522</v>
      </c>
      <c r="F343" s="1" t="s">
        <v>10220</v>
      </c>
      <c r="G343" s="90">
        <v>45113.53803240741</v>
      </c>
      <c r="H343" s="90">
        <v>46048.95916666667</v>
      </c>
      <c r="I343" s="1" t="s">
        <v>16476</v>
      </c>
    </row>
    <row r="344">
      <c r="A344" s="1">
        <v>154.0</v>
      </c>
      <c r="B344" s="1" t="s">
        <v>18431</v>
      </c>
      <c r="E344" s="1" t="s">
        <v>5098</v>
      </c>
      <c r="F344" s="1" t="s">
        <v>10220</v>
      </c>
      <c r="G344" s="90">
        <v>45113.53803240741</v>
      </c>
      <c r="H344" s="90">
        <v>46048.95916666667</v>
      </c>
      <c r="I344" s="1" t="s">
        <v>16476</v>
      </c>
    </row>
    <row r="345">
      <c r="A345" s="1">
        <v>153.0</v>
      </c>
      <c r="B345" s="1" t="s">
        <v>18432</v>
      </c>
      <c r="E345" s="1" t="s">
        <v>1513</v>
      </c>
      <c r="F345" s="1" t="s">
        <v>10220</v>
      </c>
      <c r="G345" s="90">
        <v>45113.53802083333</v>
      </c>
      <c r="H345" s="90">
        <v>46048.95916666667</v>
      </c>
      <c r="I345" s="1" t="s">
        <v>16476</v>
      </c>
    </row>
    <row r="346">
      <c r="A346" s="1">
        <v>152.0</v>
      </c>
      <c r="B346" s="1" t="s">
        <v>18433</v>
      </c>
      <c r="E346" s="1" t="s">
        <v>1501</v>
      </c>
      <c r="F346" s="1" t="s">
        <v>10220</v>
      </c>
      <c r="G346" s="90">
        <v>45113.53800925926</v>
      </c>
      <c r="H346" s="90">
        <v>46048.95916666667</v>
      </c>
      <c r="I346" s="1" t="s">
        <v>16476</v>
      </c>
    </row>
    <row r="347">
      <c r="A347" s="1">
        <v>149.0</v>
      </c>
      <c r="B347" s="1" t="s">
        <v>18434</v>
      </c>
      <c r="E347" s="1" t="s">
        <v>1481</v>
      </c>
      <c r="F347" s="1" t="s">
        <v>10220</v>
      </c>
      <c r="G347" s="90">
        <v>45113.537986111114</v>
      </c>
      <c r="H347" s="90">
        <v>46048.95916666667</v>
      </c>
      <c r="I347" s="1" t="s">
        <v>16476</v>
      </c>
    </row>
    <row r="348">
      <c r="A348" s="1">
        <v>148.0</v>
      </c>
      <c r="B348" s="1" t="s">
        <v>18435</v>
      </c>
      <c r="E348" s="1" t="s">
        <v>1473</v>
      </c>
      <c r="F348" s="1" t="s">
        <v>10220</v>
      </c>
      <c r="G348" s="90">
        <v>45113.53797453704</v>
      </c>
      <c r="H348" s="90">
        <v>46048.95916666667</v>
      </c>
      <c r="I348" s="1" t="s">
        <v>16476</v>
      </c>
    </row>
    <row r="349">
      <c r="A349" s="1">
        <v>146.0</v>
      </c>
      <c r="B349" s="1" t="s">
        <v>18436</v>
      </c>
      <c r="E349" s="1" t="s">
        <v>1456</v>
      </c>
      <c r="F349" s="1" t="s">
        <v>10220</v>
      </c>
      <c r="G349" s="90">
        <v>45113.53795138889</v>
      </c>
      <c r="H349" s="90">
        <v>46048.95916666667</v>
      </c>
      <c r="I349" s="1" t="s">
        <v>16476</v>
      </c>
    </row>
    <row r="350">
      <c r="A350" s="1">
        <v>145.0</v>
      </c>
      <c r="B350" s="1" t="s">
        <v>18437</v>
      </c>
      <c r="E350" s="1" t="s">
        <v>1447</v>
      </c>
      <c r="F350" s="1" t="s">
        <v>10220</v>
      </c>
      <c r="G350" s="90">
        <v>45113.537939814814</v>
      </c>
      <c r="H350" s="90">
        <v>46048.95916666667</v>
      </c>
      <c r="I350" s="1" t="s">
        <v>16476</v>
      </c>
    </row>
    <row r="351">
      <c r="A351" s="1">
        <v>144.0</v>
      </c>
      <c r="B351" s="1" t="s">
        <v>18438</v>
      </c>
      <c r="E351" s="1" t="s">
        <v>1438</v>
      </c>
      <c r="F351" s="1" t="s">
        <v>10220</v>
      </c>
      <c r="G351" s="90">
        <v>45113.53792824074</v>
      </c>
      <c r="H351" s="90">
        <v>46048.95916666667</v>
      </c>
      <c r="I351" s="1" t="s">
        <v>16476</v>
      </c>
    </row>
    <row r="352">
      <c r="A352" s="1">
        <v>143.0</v>
      </c>
      <c r="B352" s="1" t="s">
        <v>18439</v>
      </c>
      <c r="E352" s="1" t="s">
        <v>1428</v>
      </c>
      <c r="F352" s="1" t="s">
        <v>10220</v>
      </c>
      <c r="G352" s="90">
        <v>45113.53792824074</v>
      </c>
      <c r="H352" s="90">
        <v>46048.95916666667</v>
      </c>
      <c r="I352" s="1" t="s">
        <v>16476</v>
      </c>
    </row>
    <row r="353">
      <c r="A353" s="1">
        <v>142.0</v>
      </c>
      <c r="B353" s="1" t="s">
        <v>18440</v>
      </c>
      <c r="E353" s="1" t="s">
        <v>1418</v>
      </c>
      <c r="F353" s="1" t="s">
        <v>10220</v>
      </c>
      <c r="G353" s="90">
        <v>45113.53790509259</v>
      </c>
      <c r="H353" s="90">
        <v>46048.95916666667</v>
      </c>
      <c r="I353" s="1" t="s">
        <v>16476</v>
      </c>
    </row>
    <row r="354">
      <c r="A354" s="1">
        <v>141.0</v>
      </c>
      <c r="B354" s="1" t="s">
        <v>18441</v>
      </c>
      <c r="E354" s="1" t="s">
        <v>1411</v>
      </c>
      <c r="F354" s="1" t="s">
        <v>10220</v>
      </c>
      <c r="G354" s="90">
        <v>45113.53789351852</v>
      </c>
      <c r="H354" s="90">
        <v>46048.95915509259</v>
      </c>
      <c r="I354" s="1" t="s">
        <v>16476</v>
      </c>
    </row>
    <row r="355">
      <c r="A355" s="1">
        <v>140.0</v>
      </c>
      <c r="B355" s="1" t="s">
        <v>18442</v>
      </c>
      <c r="E355" s="1" t="s">
        <v>1404</v>
      </c>
      <c r="F355" s="1" t="s">
        <v>10220</v>
      </c>
      <c r="G355" s="90">
        <v>45113.537881944445</v>
      </c>
      <c r="H355" s="90">
        <v>46048.95915509259</v>
      </c>
      <c r="I355" s="1" t="s">
        <v>16476</v>
      </c>
    </row>
    <row r="356">
      <c r="A356" s="1">
        <v>139.0</v>
      </c>
      <c r="B356" s="1" t="s">
        <v>18443</v>
      </c>
      <c r="E356" s="1" t="s">
        <v>1397</v>
      </c>
      <c r="F356" s="1" t="s">
        <v>10220</v>
      </c>
      <c r="G356" s="90">
        <v>45113.53787037037</v>
      </c>
      <c r="H356" s="90">
        <v>46048.95915509259</v>
      </c>
      <c r="I356" s="1" t="s">
        <v>16476</v>
      </c>
    </row>
    <row r="357">
      <c r="A357" s="1">
        <v>138.0</v>
      </c>
      <c r="B357" s="1" t="s">
        <v>18444</v>
      </c>
      <c r="E357" s="1" t="s">
        <v>1388</v>
      </c>
      <c r="F357" s="1" t="s">
        <v>10220</v>
      </c>
      <c r="G357" s="90">
        <v>45113.5378587963</v>
      </c>
      <c r="H357" s="90">
        <v>46048.95915509259</v>
      </c>
      <c r="I357" s="1" t="s">
        <v>16476</v>
      </c>
    </row>
    <row r="358">
      <c r="A358" s="1">
        <v>135.0</v>
      </c>
      <c r="B358" s="1" t="s">
        <v>18445</v>
      </c>
      <c r="E358" s="1" t="s">
        <v>1356</v>
      </c>
      <c r="F358" s="1" t="s">
        <v>10220</v>
      </c>
      <c r="G358" s="90">
        <v>45113.537824074076</v>
      </c>
      <c r="H358" s="90">
        <v>46048.95915509259</v>
      </c>
      <c r="I358" s="1" t="s">
        <v>16476</v>
      </c>
    </row>
    <row r="359">
      <c r="A359" s="1">
        <v>134.0</v>
      </c>
      <c r="B359" s="1" t="s">
        <v>18446</v>
      </c>
      <c r="E359" s="1" t="s">
        <v>1348</v>
      </c>
      <c r="F359" s="1" t="s">
        <v>10220</v>
      </c>
      <c r="G359" s="90">
        <v>45113.5378125</v>
      </c>
      <c r="H359" s="90">
        <v>46048.95915509259</v>
      </c>
      <c r="I359" s="1" t="s">
        <v>16476</v>
      </c>
    </row>
    <row r="360">
      <c r="A360" s="1">
        <v>133.0</v>
      </c>
      <c r="B360" s="1" t="s">
        <v>18447</v>
      </c>
      <c r="E360" s="1" t="s">
        <v>1340</v>
      </c>
      <c r="F360" s="1" t="s">
        <v>10220</v>
      </c>
      <c r="G360" s="90">
        <v>45113.5378125</v>
      </c>
      <c r="H360" s="90">
        <v>46048.95915509259</v>
      </c>
      <c r="I360" s="1" t="s">
        <v>16476</v>
      </c>
    </row>
    <row r="361">
      <c r="A361" s="1">
        <v>132.0</v>
      </c>
      <c r="B361" s="1" t="s">
        <v>18448</v>
      </c>
      <c r="E361" s="1" t="s">
        <v>1333</v>
      </c>
      <c r="F361" s="1" t="s">
        <v>10220</v>
      </c>
      <c r="G361" s="90">
        <v>45113.53780092593</v>
      </c>
      <c r="H361" s="90">
        <v>46048.95915509259</v>
      </c>
      <c r="I361" s="1" t="s">
        <v>16476</v>
      </c>
    </row>
    <row r="362">
      <c r="A362" s="1">
        <v>130.0</v>
      </c>
      <c r="B362" s="1" t="s">
        <v>18449</v>
      </c>
      <c r="E362" s="1" t="s">
        <v>1319</v>
      </c>
      <c r="F362" s="1" t="s">
        <v>10220</v>
      </c>
      <c r="G362" s="90">
        <v>45113.537777777776</v>
      </c>
      <c r="H362" s="90">
        <v>46048.95915509259</v>
      </c>
      <c r="I362" s="1" t="s">
        <v>16476</v>
      </c>
    </row>
    <row r="363">
      <c r="A363" s="1">
        <v>129.0</v>
      </c>
      <c r="B363" s="1" t="s">
        <v>18450</v>
      </c>
      <c r="E363" s="1" t="s">
        <v>50</v>
      </c>
      <c r="F363" s="1" t="s">
        <v>10220</v>
      </c>
      <c r="G363" s="90">
        <v>45113.537766203706</v>
      </c>
      <c r="H363" s="90">
        <v>46048.95915509259</v>
      </c>
      <c r="I363" s="1" t="s">
        <v>16476</v>
      </c>
    </row>
    <row r="364">
      <c r="A364" s="1">
        <v>127.0</v>
      </c>
      <c r="B364" s="1" t="s">
        <v>18451</v>
      </c>
      <c r="E364" s="1" t="s">
        <v>1302</v>
      </c>
      <c r="F364" s="1" t="s">
        <v>10220</v>
      </c>
      <c r="G364" s="90">
        <v>45113.53775462963</v>
      </c>
      <c r="H364" s="90">
        <v>46048.95915509259</v>
      </c>
      <c r="I364" s="1" t="s">
        <v>16476</v>
      </c>
    </row>
    <row r="365">
      <c r="A365" s="1">
        <v>126.0</v>
      </c>
      <c r="B365" s="1" t="s">
        <v>18452</v>
      </c>
      <c r="E365" s="1" t="s">
        <v>1295</v>
      </c>
      <c r="F365" s="1" t="s">
        <v>10220</v>
      </c>
      <c r="G365" s="90">
        <v>45113.53774305555</v>
      </c>
      <c r="H365" s="90">
        <v>46048.95915509259</v>
      </c>
      <c r="I365" s="1" t="s">
        <v>16476</v>
      </c>
    </row>
    <row r="366">
      <c r="A366" s="1">
        <v>125.0</v>
      </c>
      <c r="B366" s="1" t="s">
        <v>18453</v>
      </c>
      <c r="E366" s="1" t="s">
        <v>1288</v>
      </c>
      <c r="F366" s="1" t="s">
        <v>10220</v>
      </c>
      <c r="G366" s="90">
        <v>45113.53773148148</v>
      </c>
      <c r="H366" s="90">
        <v>46048.95915509259</v>
      </c>
      <c r="I366" s="1" t="s">
        <v>16476</v>
      </c>
    </row>
    <row r="367">
      <c r="A367" s="1">
        <v>124.0</v>
      </c>
      <c r="B367" s="1" t="s">
        <v>18454</v>
      </c>
      <c r="E367" s="1" t="s">
        <v>1280</v>
      </c>
      <c r="F367" s="1" t="s">
        <v>10220</v>
      </c>
      <c r="G367" s="90">
        <v>45113.53771990741</v>
      </c>
      <c r="H367" s="90">
        <v>46048.95915509259</v>
      </c>
      <c r="I367" s="1" t="s">
        <v>16476</v>
      </c>
    </row>
    <row r="368">
      <c r="A368" s="1">
        <v>123.0</v>
      </c>
      <c r="B368" s="1" t="s">
        <v>18455</v>
      </c>
      <c r="E368" s="1" t="s">
        <v>1272</v>
      </c>
      <c r="F368" s="1" t="s">
        <v>10220</v>
      </c>
      <c r="G368" s="90">
        <v>45113.53770833334</v>
      </c>
      <c r="H368" s="90">
        <v>46048.95915509259</v>
      </c>
      <c r="I368" s="1" t="s">
        <v>16476</v>
      </c>
    </row>
    <row r="369">
      <c r="A369" s="1">
        <v>122.0</v>
      </c>
      <c r="B369" s="1" t="s">
        <v>18456</v>
      </c>
      <c r="E369" s="1" t="s">
        <v>1264</v>
      </c>
      <c r="F369" s="1" t="s">
        <v>10220</v>
      </c>
      <c r="G369" s="90">
        <v>45113.53770833334</v>
      </c>
      <c r="H369" s="90">
        <v>46048.95915509259</v>
      </c>
      <c r="I369" s="1" t="s">
        <v>16476</v>
      </c>
    </row>
    <row r="370">
      <c r="A370" s="1">
        <v>121.0</v>
      </c>
      <c r="B370" s="1" t="s">
        <v>18457</v>
      </c>
      <c r="E370" s="1" t="s">
        <v>1255</v>
      </c>
      <c r="F370" s="1" t="s">
        <v>10220</v>
      </c>
      <c r="G370" s="90">
        <v>45113.53769675926</v>
      </c>
      <c r="H370" s="90">
        <v>46048.95915509259</v>
      </c>
      <c r="I370" s="1" t="s">
        <v>16476</v>
      </c>
    </row>
    <row r="371">
      <c r="A371" s="1">
        <v>120.0</v>
      </c>
      <c r="B371" s="1" t="s">
        <v>18458</v>
      </c>
      <c r="E371" s="1" t="s">
        <v>1245</v>
      </c>
      <c r="F371" s="1" t="s">
        <v>10220</v>
      </c>
      <c r="G371" s="90">
        <v>45113.53768518518</v>
      </c>
      <c r="H371" s="90">
        <v>46048.95915509259</v>
      </c>
      <c r="I371" s="1" t="s">
        <v>16476</v>
      </c>
    </row>
    <row r="372">
      <c r="A372" s="1">
        <v>119.0</v>
      </c>
      <c r="B372" s="1" t="s">
        <v>18459</v>
      </c>
      <c r="E372" s="1" t="s">
        <v>50</v>
      </c>
      <c r="F372" s="1" t="s">
        <v>10220</v>
      </c>
      <c r="G372" s="90">
        <v>45113.537673611114</v>
      </c>
      <c r="H372" s="90">
        <v>46048.95915509259</v>
      </c>
      <c r="I372" s="1" t="s">
        <v>16476</v>
      </c>
    </row>
    <row r="373">
      <c r="A373" s="1">
        <v>118.0</v>
      </c>
      <c r="B373" s="1" t="s">
        <v>18460</v>
      </c>
      <c r="E373" s="1" t="s">
        <v>1225</v>
      </c>
      <c r="F373" s="1" t="s">
        <v>10220</v>
      </c>
      <c r="G373" s="90">
        <v>45113.53766203704</v>
      </c>
      <c r="H373" s="90">
        <v>46048.95915509259</v>
      </c>
      <c r="I373" s="1" t="s">
        <v>16476</v>
      </c>
    </row>
    <row r="374">
      <c r="A374" s="1">
        <v>117.0</v>
      </c>
      <c r="B374" s="1" t="s">
        <v>18461</v>
      </c>
      <c r="E374" s="1" t="s">
        <v>1216</v>
      </c>
      <c r="F374" s="1" t="s">
        <v>10220</v>
      </c>
      <c r="G374" s="90">
        <v>45113.53766203704</v>
      </c>
      <c r="H374" s="90">
        <v>46048.95915509259</v>
      </c>
      <c r="I374" s="1" t="s">
        <v>16476</v>
      </c>
    </row>
    <row r="375">
      <c r="A375" s="1">
        <v>116.0</v>
      </c>
      <c r="B375" s="1" t="s">
        <v>18462</v>
      </c>
      <c r="E375" s="1" t="s">
        <v>1207</v>
      </c>
      <c r="F375" s="1" t="s">
        <v>10220</v>
      </c>
      <c r="G375" s="90">
        <v>45113.53765046296</v>
      </c>
      <c r="H375" s="90">
        <v>46048.95915509259</v>
      </c>
      <c r="I375" s="1" t="s">
        <v>16476</v>
      </c>
    </row>
    <row r="376">
      <c r="A376" s="1">
        <v>115.0</v>
      </c>
      <c r="B376" s="1" t="s">
        <v>18463</v>
      </c>
      <c r="E376" s="1" t="s">
        <v>1200</v>
      </c>
      <c r="F376" s="1" t="s">
        <v>10220</v>
      </c>
      <c r="G376" s="90">
        <v>45113.53763888889</v>
      </c>
      <c r="H376" s="90">
        <v>46048.95915509259</v>
      </c>
      <c r="I376" s="1" t="s">
        <v>16476</v>
      </c>
    </row>
    <row r="377">
      <c r="A377" s="1">
        <v>114.0</v>
      </c>
      <c r="B377" s="1" t="s">
        <v>18464</v>
      </c>
      <c r="E377" s="1" t="s">
        <v>1192</v>
      </c>
      <c r="F377" s="1" t="s">
        <v>10220</v>
      </c>
      <c r="G377" s="90">
        <v>45113.537627314814</v>
      </c>
      <c r="H377" s="90">
        <v>46048.95914351852</v>
      </c>
      <c r="I377" s="1" t="s">
        <v>16476</v>
      </c>
    </row>
    <row r="378">
      <c r="A378" s="1">
        <v>113.0</v>
      </c>
      <c r="B378" s="1" t="s">
        <v>18465</v>
      </c>
      <c r="E378" s="1" t="s">
        <v>1182</v>
      </c>
      <c r="F378" s="1" t="s">
        <v>10220</v>
      </c>
      <c r="G378" s="90">
        <v>45113.53761574074</v>
      </c>
      <c r="H378" s="90">
        <v>46048.95914351852</v>
      </c>
      <c r="I378" s="1" t="s">
        <v>16476</v>
      </c>
    </row>
    <row r="379">
      <c r="A379" s="1">
        <v>112.0</v>
      </c>
      <c r="B379" s="1" t="s">
        <v>18466</v>
      </c>
      <c r="E379" s="1" t="s">
        <v>50</v>
      </c>
      <c r="F379" s="1" t="s">
        <v>10220</v>
      </c>
      <c r="G379" s="90">
        <v>45113.53760416667</v>
      </c>
      <c r="H379" s="90">
        <v>46048.95914351852</v>
      </c>
      <c r="I379" s="1" t="s">
        <v>16476</v>
      </c>
    </row>
    <row r="380">
      <c r="A380" s="1">
        <v>111.0</v>
      </c>
      <c r="B380" s="1" t="s">
        <v>18467</v>
      </c>
      <c r="E380" s="1" t="s">
        <v>1171</v>
      </c>
      <c r="F380" s="1" t="s">
        <v>10220</v>
      </c>
      <c r="G380" s="90">
        <v>45113.53760416667</v>
      </c>
      <c r="H380" s="90">
        <v>46048.95914351852</v>
      </c>
      <c r="I380" s="1" t="s">
        <v>16476</v>
      </c>
    </row>
    <row r="381">
      <c r="A381" s="1">
        <v>109.0</v>
      </c>
      <c r="B381" s="1" t="s">
        <v>18468</v>
      </c>
      <c r="E381" s="1" t="s">
        <v>1155</v>
      </c>
      <c r="F381" s="1" t="s">
        <v>10220</v>
      </c>
      <c r="G381" s="90">
        <v>45113.53758101852</v>
      </c>
      <c r="H381" s="90">
        <v>46048.95914351852</v>
      </c>
      <c r="I381" s="1" t="s">
        <v>16476</v>
      </c>
    </row>
    <row r="382">
      <c r="A382" s="1">
        <v>108.0</v>
      </c>
      <c r="B382" s="1" t="s">
        <v>18469</v>
      </c>
      <c r="E382" s="1" t="s">
        <v>1143</v>
      </c>
      <c r="F382" s="1" t="s">
        <v>10220</v>
      </c>
      <c r="G382" s="90">
        <v>45113.537569444445</v>
      </c>
      <c r="H382" s="90">
        <v>46048.95914351852</v>
      </c>
      <c r="I382" s="1" t="s">
        <v>16476</v>
      </c>
    </row>
    <row r="383">
      <c r="A383" s="1">
        <v>107.0</v>
      </c>
      <c r="B383" s="1" t="s">
        <v>18470</v>
      </c>
      <c r="E383" s="1" t="s">
        <v>5025</v>
      </c>
      <c r="F383" s="1" t="s">
        <v>10220</v>
      </c>
      <c r="G383" s="90">
        <v>45113.53755787037</v>
      </c>
      <c r="H383" s="90">
        <v>46048.95914351852</v>
      </c>
      <c r="I383" s="1" t="s">
        <v>16476</v>
      </c>
    </row>
    <row r="384">
      <c r="A384" s="1">
        <v>106.0</v>
      </c>
      <c r="B384" s="1" t="s">
        <v>18471</v>
      </c>
      <c r="E384" s="1" t="s">
        <v>1135</v>
      </c>
      <c r="F384" s="1" t="s">
        <v>10220</v>
      </c>
      <c r="G384" s="90">
        <v>45113.5375462963</v>
      </c>
      <c r="H384" s="90">
        <v>46048.95914351852</v>
      </c>
      <c r="I384" s="1" t="s">
        <v>16476</v>
      </c>
    </row>
    <row r="385">
      <c r="A385" s="1">
        <v>105.0</v>
      </c>
      <c r="B385" s="1" t="s">
        <v>18472</v>
      </c>
      <c r="E385" s="1" t="s">
        <v>1126</v>
      </c>
      <c r="F385" s="1" t="s">
        <v>10220</v>
      </c>
      <c r="G385" s="90">
        <v>45113.5375462963</v>
      </c>
      <c r="H385" s="90">
        <v>46048.95914351852</v>
      </c>
      <c r="I385" s="1" t="s">
        <v>16476</v>
      </c>
    </row>
    <row r="386">
      <c r="A386" s="1">
        <v>104.0</v>
      </c>
      <c r="B386" s="1" t="s">
        <v>18473</v>
      </c>
      <c r="E386" s="1" t="s">
        <v>1115</v>
      </c>
      <c r="F386" s="1" t="s">
        <v>10220</v>
      </c>
      <c r="G386" s="90">
        <v>45113.53753472222</v>
      </c>
      <c r="H386" s="90">
        <v>46048.95914351852</v>
      </c>
      <c r="I386" s="1" t="s">
        <v>16476</v>
      </c>
    </row>
    <row r="387">
      <c r="A387" s="1">
        <v>103.0</v>
      </c>
      <c r="B387" s="1" t="s">
        <v>18474</v>
      </c>
      <c r="E387" s="1" t="s">
        <v>1108</v>
      </c>
      <c r="F387" s="1" t="s">
        <v>10220</v>
      </c>
      <c r="G387" s="90">
        <v>45113.537523148145</v>
      </c>
      <c r="H387" s="90">
        <v>46048.95914351852</v>
      </c>
      <c r="I387" s="1" t="s">
        <v>16476</v>
      </c>
    </row>
    <row r="388">
      <c r="A388" s="1">
        <v>102.0</v>
      </c>
      <c r="B388" s="1" t="s">
        <v>18475</v>
      </c>
      <c r="E388" s="1" t="s">
        <v>1100</v>
      </c>
      <c r="F388" s="1" t="s">
        <v>10220</v>
      </c>
      <c r="G388" s="90">
        <v>45113.537511574075</v>
      </c>
      <c r="H388" s="90">
        <v>46048.95914351852</v>
      </c>
      <c r="I388" s="1" t="s">
        <v>16476</v>
      </c>
    </row>
    <row r="389">
      <c r="A389" s="1">
        <v>101.0</v>
      </c>
      <c r="B389" s="1" t="s">
        <v>18476</v>
      </c>
      <c r="E389" s="1" t="s">
        <v>1090</v>
      </c>
      <c r="F389" s="1" t="s">
        <v>10220</v>
      </c>
      <c r="G389" s="90">
        <v>45113.5375</v>
      </c>
      <c r="H389" s="90">
        <v>46048.95914351852</v>
      </c>
      <c r="I389" s="1" t="s">
        <v>16476</v>
      </c>
    </row>
    <row r="390">
      <c r="A390" s="1">
        <v>100.0</v>
      </c>
      <c r="B390" s="1" t="s">
        <v>18477</v>
      </c>
      <c r="E390" s="1" t="s">
        <v>1082</v>
      </c>
      <c r="F390" s="1" t="s">
        <v>10220</v>
      </c>
      <c r="G390" s="90">
        <v>45113.53748842593</v>
      </c>
      <c r="H390" s="90">
        <v>46048.95914351852</v>
      </c>
      <c r="I390" s="1" t="s">
        <v>16476</v>
      </c>
    </row>
    <row r="391">
      <c r="A391" s="1">
        <v>99.0</v>
      </c>
      <c r="B391" s="1" t="s">
        <v>18478</v>
      </c>
      <c r="E391" s="1" t="s">
        <v>1072</v>
      </c>
      <c r="F391" s="1" t="s">
        <v>10220</v>
      </c>
      <c r="G391" s="90">
        <v>45113.53748842593</v>
      </c>
      <c r="H391" s="90">
        <v>46048.95914351852</v>
      </c>
      <c r="I391" s="1" t="s">
        <v>16476</v>
      </c>
    </row>
    <row r="392">
      <c r="A392" s="1">
        <v>98.0</v>
      </c>
      <c r="B392" s="1" t="s">
        <v>18479</v>
      </c>
      <c r="E392" s="1" t="s">
        <v>1065</v>
      </c>
      <c r="F392" s="1" t="s">
        <v>10220</v>
      </c>
      <c r="G392" s="90">
        <v>45113.53747685185</v>
      </c>
      <c r="H392" s="90">
        <v>46048.95914351852</v>
      </c>
      <c r="I392" s="1" t="s">
        <v>16476</v>
      </c>
    </row>
    <row r="393">
      <c r="A393" s="1">
        <v>97.0</v>
      </c>
      <c r="B393" s="1" t="s">
        <v>18480</v>
      </c>
      <c r="E393" s="1" t="s">
        <v>1054</v>
      </c>
      <c r="F393" s="1" t="s">
        <v>10220</v>
      </c>
      <c r="G393" s="90">
        <v>45113.537465277775</v>
      </c>
      <c r="H393" s="90">
        <v>46048.95914351852</v>
      </c>
      <c r="I393" s="1" t="s">
        <v>16476</v>
      </c>
    </row>
    <row r="394">
      <c r="A394" s="1">
        <v>96.0</v>
      </c>
      <c r="B394" s="1" t="s">
        <v>18481</v>
      </c>
      <c r="E394" s="1" t="s">
        <v>1049</v>
      </c>
      <c r="F394" s="1" t="s">
        <v>10220</v>
      </c>
      <c r="G394" s="90">
        <v>45113.537453703706</v>
      </c>
      <c r="H394" s="90">
        <v>46048.95914351852</v>
      </c>
      <c r="I394" s="1" t="s">
        <v>16476</v>
      </c>
    </row>
    <row r="395">
      <c r="A395" s="1">
        <v>95.0</v>
      </c>
      <c r="B395" s="1" t="s">
        <v>18482</v>
      </c>
      <c r="E395" s="1" t="s">
        <v>1042</v>
      </c>
      <c r="F395" s="1" t="s">
        <v>10220</v>
      </c>
      <c r="G395" s="90">
        <v>45113.53744212963</v>
      </c>
      <c r="H395" s="90">
        <v>46048.95914351852</v>
      </c>
      <c r="I395" s="1" t="s">
        <v>16476</v>
      </c>
    </row>
    <row r="396">
      <c r="A396" s="1">
        <v>93.0</v>
      </c>
      <c r="B396" s="1" t="s">
        <v>18483</v>
      </c>
      <c r="E396" s="1" t="s">
        <v>18484</v>
      </c>
      <c r="F396" s="1" t="s">
        <v>10220</v>
      </c>
      <c r="G396" s="90">
        <v>45113.53743055555</v>
      </c>
      <c r="H396" s="90">
        <v>46048.95914351852</v>
      </c>
      <c r="I396" s="1" t="s">
        <v>16476</v>
      </c>
    </row>
    <row r="397">
      <c r="A397" s="1">
        <v>92.0</v>
      </c>
      <c r="B397" s="1" t="s">
        <v>18485</v>
      </c>
      <c r="E397" s="1" t="s">
        <v>1016</v>
      </c>
      <c r="F397" s="1" t="s">
        <v>10220</v>
      </c>
      <c r="G397" s="90">
        <v>45113.53741898148</v>
      </c>
      <c r="H397" s="90">
        <v>46048.95914351852</v>
      </c>
      <c r="I397" s="1" t="s">
        <v>16476</v>
      </c>
    </row>
    <row r="398">
      <c r="A398" s="1">
        <v>90.0</v>
      </c>
      <c r="B398" s="1" t="s">
        <v>18486</v>
      </c>
      <c r="E398" s="1" t="s">
        <v>996</v>
      </c>
      <c r="F398" s="1" t="s">
        <v>10220</v>
      </c>
      <c r="G398" s="90">
        <v>45113.53739583334</v>
      </c>
      <c r="H398" s="90">
        <v>46048.95914351852</v>
      </c>
      <c r="I398" s="1" t="s">
        <v>16476</v>
      </c>
    </row>
    <row r="399">
      <c r="A399" s="1">
        <v>89.0</v>
      </c>
      <c r="B399" s="1" t="s">
        <v>18487</v>
      </c>
      <c r="E399" s="1" t="s">
        <v>990</v>
      </c>
      <c r="F399" s="1" t="s">
        <v>10220</v>
      </c>
      <c r="G399" s="90">
        <v>45113.53738425926</v>
      </c>
      <c r="H399" s="90">
        <v>46048.95914351852</v>
      </c>
      <c r="I399" s="1" t="s">
        <v>16476</v>
      </c>
    </row>
    <row r="400">
      <c r="A400" s="1">
        <v>86.0</v>
      </c>
      <c r="B400" s="1" t="s">
        <v>18488</v>
      </c>
      <c r="E400" s="1" t="s">
        <v>973</v>
      </c>
      <c r="F400" s="1" t="s">
        <v>10220</v>
      </c>
      <c r="G400" s="90">
        <v>45113.53736111111</v>
      </c>
      <c r="H400" s="90">
        <v>46048.95914351852</v>
      </c>
      <c r="I400" s="1" t="s">
        <v>16476</v>
      </c>
    </row>
    <row r="401">
      <c r="A401" s="1">
        <v>85.0</v>
      </c>
      <c r="B401" s="1" t="s">
        <v>18489</v>
      </c>
      <c r="E401" s="1" t="s">
        <v>965</v>
      </c>
      <c r="F401" s="1" t="s">
        <v>10220</v>
      </c>
      <c r="G401" s="90">
        <v>45113.53734953704</v>
      </c>
      <c r="H401" s="90">
        <v>46048.95914351852</v>
      </c>
      <c r="I401" s="1" t="s">
        <v>16476</v>
      </c>
    </row>
    <row r="402">
      <c r="A402" s="1">
        <v>84.0</v>
      </c>
      <c r="B402" s="1" t="s">
        <v>18490</v>
      </c>
      <c r="E402" s="1" t="s">
        <v>954</v>
      </c>
      <c r="F402" s="1" t="s">
        <v>10220</v>
      </c>
      <c r="G402" s="90">
        <v>45113.53733796296</v>
      </c>
      <c r="H402" s="90">
        <v>46048.95914351852</v>
      </c>
      <c r="I402" s="1" t="s">
        <v>16476</v>
      </c>
    </row>
    <row r="403">
      <c r="A403" s="1">
        <v>83.0</v>
      </c>
      <c r="B403" s="1" t="s">
        <v>18491</v>
      </c>
      <c r="E403" s="1" t="s">
        <v>946</v>
      </c>
      <c r="F403" s="1" t="s">
        <v>10220</v>
      </c>
      <c r="G403" s="90">
        <v>45113.53733796296</v>
      </c>
      <c r="H403" s="90">
        <v>46048.95914351852</v>
      </c>
      <c r="I403" s="1" t="s">
        <v>16476</v>
      </c>
    </row>
    <row r="404">
      <c r="A404" s="1">
        <v>82.0</v>
      </c>
      <c r="B404" s="1" t="s">
        <v>18492</v>
      </c>
      <c r="E404" s="1" t="s">
        <v>937</v>
      </c>
      <c r="F404" s="1" t="s">
        <v>10220</v>
      </c>
      <c r="G404" s="90">
        <v>45113.53732638889</v>
      </c>
      <c r="H404" s="90">
        <v>46048.95914351852</v>
      </c>
      <c r="I404" s="1" t="s">
        <v>16476</v>
      </c>
    </row>
    <row r="405">
      <c r="A405" s="1">
        <v>81.0</v>
      </c>
      <c r="B405" s="1" t="s">
        <v>18493</v>
      </c>
      <c r="E405" s="1" t="s">
        <v>929</v>
      </c>
      <c r="F405" s="1" t="s">
        <v>10220</v>
      </c>
      <c r="G405" s="90">
        <v>45113.537314814814</v>
      </c>
      <c r="H405" s="90">
        <v>46048.959131944444</v>
      </c>
      <c r="I405" s="1" t="s">
        <v>16476</v>
      </c>
    </row>
    <row r="406">
      <c r="A406" s="1">
        <v>80.0</v>
      </c>
      <c r="B406" s="1" t="s">
        <v>18494</v>
      </c>
      <c r="E406" s="1" t="s">
        <v>919</v>
      </c>
      <c r="F406" s="1" t="s">
        <v>10220</v>
      </c>
      <c r="G406" s="90">
        <v>45113.537303240744</v>
      </c>
      <c r="H406" s="90">
        <v>46048.959131944444</v>
      </c>
      <c r="I406" s="1" t="s">
        <v>16476</v>
      </c>
    </row>
    <row r="407">
      <c r="A407" s="1">
        <v>79.0</v>
      </c>
      <c r="B407" s="1" t="s">
        <v>18495</v>
      </c>
      <c r="E407" s="1" t="s">
        <v>910</v>
      </c>
      <c r="F407" s="1" t="s">
        <v>10220</v>
      </c>
      <c r="G407" s="90">
        <v>45113.53729166667</v>
      </c>
      <c r="H407" s="90">
        <v>46048.959131944444</v>
      </c>
      <c r="I407" s="1" t="s">
        <v>16476</v>
      </c>
    </row>
    <row r="408">
      <c r="A408" s="1">
        <v>78.0</v>
      </c>
      <c r="B408" s="1" t="s">
        <v>18496</v>
      </c>
      <c r="E408" s="1" t="s">
        <v>902</v>
      </c>
      <c r="F408" s="1" t="s">
        <v>10220</v>
      </c>
      <c r="G408" s="90">
        <v>45113.53728009259</v>
      </c>
      <c r="H408" s="90">
        <v>46048.959131944444</v>
      </c>
      <c r="I408" s="1" t="s">
        <v>16476</v>
      </c>
    </row>
    <row r="409">
      <c r="A409" s="1">
        <v>77.0</v>
      </c>
      <c r="B409" s="1" t="s">
        <v>18497</v>
      </c>
      <c r="E409" s="1" t="s">
        <v>893</v>
      </c>
      <c r="F409" s="1" t="s">
        <v>10220</v>
      </c>
      <c r="G409" s="90">
        <v>45113.53728009259</v>
      </c>
      <c r="H409" s="90">
        <v>46048.959131944444</v>
      </c>
      <c r="I409" s="1" t="s">
        <v>16476</v>
      </c>
    </row>
    <row r="410">
      <c r="A410" s="1">
        <v>76.0</v>
      </c>
      <c r="B410" s="1" t="s">
        <v>18498</v>
      </c>
      <c r="E410" s="1" t="s">
        <v>881</v>
      </c>
      <c r="F410" s="1" t="s">
        <v>10220</v>
      </c>
      <c r="G410" s="90">
        <v>45113.53726851852</v>
      </c>
      <c r="H410" s="90">
        <v>46048.959131944444</v>
      </c>
      <c r="I410" s="1" t="s">
        <v>16476</v>
      </c>
    </row>
    <row r="411">
      <c r="A411" s="1">
        <v>75.0</v>
      </c>
      <c r="B411" s="1" t="s">
        <v>18499</v>
      </c>
      <c r="E411" s="1" t="s">
        <v>872</v>
      </c>
      <c r="F411" s="1" t="s">
        <v>10220</v>
      </c>
      <c r="G411" s="90">
        <v>45113.537256944444</v>
      </c>
      <c r="H411" s="90">
        <v>46048.959131944444</v>
      </c>
      <c r="I411" s="1" t="s">
        <v>16476</v>
      </c>
    </row>
    <row r="412">
      <c r="A412" s="1">
        <v>74.0</v>
      </c>
      <c r="B412" s="1" t="s">
        <v>18500</v>
      </c>
      <c r="E412" s="1" t="s">
        <v>866</v>
      </c>
      <c r="F412" s="1" t="s">
        <v>10220</v>
      </c>
      <c r="G412" s="90">
        <v>45113.53724537037</v>
      </c>
      <c r="H412" s="90">
        <v>46048.959131944444</v>
      </c>
      <c r="I412" s="1" t="s">
        <v>16476</v>
      </c>
    </row>
    <row r="413">
      <c r="A413" s="1">
        <v>73.0</v>
      </c>
      <c r="B413" s="1" t="s">
        <v>18501</v>
      </c>
      <c r="E413" s="1" t="s">
        <v>858</v>
      </c>
      <c r="F413" s="1" t="s">
        <v>10220</v>
      </c>
      <c r="G413" s="90">
        <v>45113.5372337963</v>
      </c>
      <c r="H413" s="90">
        <v>46048.959131944444</v>
      </c>
      <c r="I413" s="1" t="s">
        <v>16476</v>
      </c>
    </row>
    <row r="414">
      <c r="A414" s="1">
        <v>72.0</v>
      </c>
      <c r="B414" s="1" t="s">
        <v>18502</v>
      </c>
      <c r="E414" s="1" t="s">
        <v>851</v>
      </c>
      <c r="F414" s="1" t="s">
        <v>10220</v>
      </c>
      <c r="G414" s="90">
        <v>45113.5372337963</v>
      </c>
      <c r="H414" s="90">
        <v>46048.959131944444</v>
      </c>
      <c r="I414" s="1" t="s">
        <v>16476</v>
      </c>
    </row>
    <row r="415">
      <c r="A415" s="1">
        <v>71.0</v>
      </c>
      <c r="B415" s="1" t="s">
        <v>18503</v>
      </c>
      <c r="E415" s="1" t="s">
        <v>18504</v>
      </c>
      <c r="F415" s="1" t="s">
        <v>10220</v>
      </c>
      <c r="G415" s="90">
        <v>45113.53722222222</v>
      </c>
      <c r="H415" s="90">
        <v>46048.959131944444</v>
      </c>
      <c r="I415" s="1" t="s">
        <v>16476</v>
      </c>
    </row>
    <row r="416">
      <c r="A416" s="1">
        <v>70.0</v>
      </c>
      <c r="B416" s="1" t="s">
        <v>18505</v>
      </c>
      <c r="E416" s="1" t="s">
        <v>830</v>
      </c>
      <c r="F416" s="1" t="s">
        <v>10220</v>
      </c>
      <c r="G416" s="90">
        <v>45113.537210648145</v>
      </c>
      <c r="H416" s="90">
        <v>46048.959131944444</v>
      </c>
      <c r="I416" s="1" t="s">
        <v>16476</v>
      </c>
    </row>
    <row r="417">
      <c r="A417" s="1">
        <v>69.0</v>
      </c>
      <c r="B417" s="1" t="s">
        <v>18506</v>
      </c>
      <c r="E417" s="1" t="s">
        <v>821</v>
      </c>
      <c r="F417" s="1" t="s">
        <v>10220</v>
      </c>
      <c r="G417" s="90">
        <v>45113.537199074075</v>
      </c>
      <c r="H417" s="90">
        <v>46048.959131944444</v>
      </c>
      <c r="I417" s="1" t="s">
        <v>16476</v>
      </c>
    </row>
    <row r="418">
      <c r="A418" s="1">
        <v>68.0</v>
      </c>
      <c r="B418" s="1" t="s">
        <v>18507</v>
      </c>
      <c r="E418" s="1" t="s">
        <v>811</v>
      </c>
      <c r="F418" s="1" t="s">
        <v>10220</v>
      </c>
      <c r="G418" s="90">
        <v>45113.5371875</v>
      </c>
      <c r="H418" s="90">
        <v>46048.959131944444</v>
      </c>
      <c r="I418" s="1" t="s">
        <v>16476</v>
      </c>
    </row>
    <row r="419">
      <c r="A419" s="1">
        <v>66.0</v>
      </c>
      <c r="B419" s="1" t="s">
        <v>18508</v>
      </c>
      <c r="E419" s="1" t="s">
        <v>796</v>
      </c>
      <c r="F419" s="1" t="s">
        <v>10220</v>
      </c>
      <c r="G419" s="90">
        <v>45113.53717592593</v>
      </c>
      <c r="H419" s="90">
        <v>46048.959131944444</v>
      </c>
      <c r="I419" s="1" t="s">
        <v>16476</v>
      </c>
    </row>
    <row r="420">
      <c r="A420" s="1">
        <v>65.0</v>
      </c>
      <c r="B420" s="1" t="s">
        <v>18509</v>
      </c>
      <c r="E420" s="1" t="s">
        <v>787</v>
      </c>
      <c r="F420" s="1" t="s">
        <v>10220</v>
      </c>
      <c r="G420" s="90">
        <v>45113.53716435185</v>
      </c>
      <c r="H420" s="90">
        <v>46048.959131944444</v>
      </c>
      <c r="I420" s="1" t="s">
        <v>16476</v>
      </c>
    </row>
    <row r="421">
      <c r="A421" s="1">
        <v>64.0</v>
      </c>
      <c r="B421" s="1" t="s">
        <v>18510</v>
      </c>
      <c r="E421" s="1" t="s">
        <v>778</v>
      </c>
      <c r="F421" s="1" t="s">
        <v>10220</v>
      </c>
      <c r="G421" s="90">
        <v>45113.537152777775</v>
      </c>
      <c r="H421" s="90">
        <v>46048.959131944444</v>
      </c>
      <c r="I421" s="1" t="s">
        <v>16476</v>
      </c>
    </row>
    <row r="422">
      <c r="A422" s="1">
        <v>63.0</v>
      </c>
      <c r="B422" s="1" t="s">
        <v>18511</v>
      </c>
      <c r="E422" s="1" t="s">
        <v>771</v>
      </c>
      <c r="F422" s="1" t="s">
        <v>10220</v>
      </c>
      <c r="G422" s="90">
        <v>45113.537141203706</v>
      </c>
      <c r="H422" s="90">
        <v>46048.959131944444</v>
      </c>
      <c r="I422" s="1" t="s">
        <v>16476</v>
      </c>
    </row>
    <row r="423">
      <c r="A423" s="1">
        <v>62.0</v>
      </c>
      <c r="B423" s="1" t="s">
        <v>18512</v>
      </c>
      <c r="E423" s="1" t="s">
        <v>762</v>
      </c>
      <c r="F423" s="1" t="s">
        <v>10220</v>
      </c>
      <c r="G423" s="90">
        <v>45113.53712962963</v>
      </c>
      <c r="H423" s="90">
        <v>46048.959131944444</v>
      </c>
      <c r="I423" s="1" t="s">
        <v>16476</v>
      </c>
    </row>
    <row r="424">
      <c r="A424" s="1">
        <v>61.0</v>
      </c>
      <c r="B424" s="1" t="s">
        <v>18513</v>
      </c>
      <c r="E424" s="1" t="s">
        <v>754</v>
      </c>
      <c r="F424" s="1" t="s">
        <v>10220</v>
      </c>
      <c r="G424" s="90">
        <v>45113.53712962963</v>
      </c>
      <c r="H424" s="90">
        <v>46048.959131944444</v>
      </c>
      <c r="I424" s="1" t="s">
        <v>16476</v>
      </c>
    </row>
    <row r="425">
      <c r="A425" s="1">
        <v>60.0</v>
      </c>
      <c r="B425" s="1" t="s">
        <v>18514</v>
      </c>
      <c r="E425" s="1" t="s">
        <v>746</v>
      </c>
      <c r="F425" s="1" t="s">
        <v>10220</v>
      </c>
      <c r="G425" s="90">
        <v>45113.53711805555</v>
      </c>
      <c r="H425" s="90">
        <v>46048.959131944444</v>
      </c>
      <c r="I425" s="1" t="s">
        <v>16476</v>
      </c>
    </row>
    <row r="426">
      <c r="A426" s="1">
        <v>59.0</v>
      </c>
      <c r="B426" s="1" t="s">
        <v>18515</v>
      </c>
      <c r="E426" s="1" t="s">
        <v>50</v>
      </c>
      <c r="F426" s="1" t="s">
        <v>10220</v>
      </c>
      <c r="G426" s="90">
        <v>45113.53710648148</v>
      </c>
      <c r="H426" s="90">
        <v>46048.959131944444</v>
      </c>
      <c r="I426" s="1" t="s">
        <v>16476</v>
      </c>
    </row>
    <row r="427">
      <c r="A427" s="1">
        <v>57.0</v>
      </c>
      <c r="B427" s="1" t="s">
        <v>18516</v>
      </c>
      <c r="E427" s="1" t="s">
        <v>722</v>
      </c>
      <c r="F427" s="1" t="s">
        <v>10220</v>
      </c>
      <c r="G427" s="90">
        <v>45113.537083333336</v>
      </c>
      <c r="H427" s="90">
        <v>46048.959131944444</v>
      </c>
      <c r="I427" s="1" t="s">
        <v>16476</v>
      </c>
    </row>
    <row r="428">
      <c r="A428" s="1">
        <v>55.0</v>
      </c>
      <c r="B428" s="1" t="s">
        <v>18517</v>
      </c>
      <c r="E428" s="1" t="s">
        <v>699</v>
      </c>
      <c r="F428" s="1" t="s">
        <v>10220</v>
      </c>
      <c r="G428" s="90">
        <v>45113.53707175926</v>
      </c>
      <c r="H428" s="90">
        <v>46048.959131944444</v>
      </c>
      <c r="I428" s="1" t="s">
        <v>16476</v>
      </c>
    </row>
    <row r="429">
      <c r="A429" s="1">
        <v>54.0</v>
      </c>
      <c r="B429" s="1" t="s">
        <v>18518</v>
      </c>
      <c r="E429" s="1" t="s">
        <v>690</v>
      </c>
      <c r="F429" s="1" t="s">
        <v>10220</v>
      </c>
      <c r="G429" s="90">
        <v>45113.53706018518</v>
      </c>
      <c r="H429" s="90">
        <v>46048.959131944444</v>
      </c>
      <c r="I429" s="1" t="s">
        <v>16476</v>
      </c>
    </row>
    <row r="430">
      <c r="A430" s="1">
        <v>53.0</v>
      </c>
      <c r="B430" s="1" t="s">
        <v>18519</v>
      </c>
      <c r="E430" s="1" t="s">
        <v>683</v>
      </c>
      <c r="F430" s="1" t="s">
        <v>10220</v>
      </c>
      <c r="G430" s="90">
        <v>45113.53704861111</v>
      </c>
      <c r="H430" s="90">
        <v>46048.959131944444</v>
      </c>
      <c r="I430" s="1" t="s">
        <v>16476</v>
      </c>
    </row>
    <row r="431">
      <c r="A431" s="1">
        <v>52.0</v>
      </c>
      <c r="B431" s="1" t="s">
        <v>18520</v>
      </c>
      <c r="E431" s="1" t="s">
        <v>673</v>
      </c>
      <c r="F431" s="1" t="s">
        <v>10220</v>
      </c>
      <c r="G431" s="90">
        <v>45113.53703703704</v>
      </c>
      <c r="H431" s="90">
        <v>46048.959131944444</v>
      </c>
      <c r="I431" s="1" t="s">
        <v>16476</v>
      </c>
    </row>
    <row r="432">
      <c r="A432" s="1">
        <v>51.0</v>
      </c>
      <c r="B432" s="1" t="s">
        <v>18521</v>
      </c>
      <c r="E432" s="1" t="s">
        <v>664</v>
      </c>
      <c r="F432" s="1" t="s">
        <v>10220</v>
      </c>
      <c r="G432" s="90">
        <v>45113.53702546296</v>
      </c>
      <c r="H432" s="90">
        <v>46048.959131944444</v>
      </c>
      <c r="I432" s="1" t="s">
        <v>16476</v>
      </c>
    </row>
    <row r="433">
      <c r="A433" s="1">
        <v>50.0</v>
      </c>
      <c r="B433" s="1" t="s">
        <v>18522</v>
      </c>
      <c r="E433" s="1" t="s">
        <v>657</v>
      </c>
      <c r="F433" s="1" t="s">
        <v>10220</v>
      </c>
      <c r="G433" s="90">
        <v>45113.53701388889</v>
      </c>
      <c r="H433" s="90">
        <v>46048.959131944444</v>
      </c>
      <c r="I433" s="1" t="s">
        <v>16476</v>
      </c>
    </row>
    <row r="434">
      <c r="A434" s="1">
        <v>48.0</v>
      </c>
      <c r="B434" s="1" t="s">
        <v>18523</v>
      </c>
      <c r="E434" s="1" t="s">
        <v>641</v>
      </c>
      <c r="F434" s="1" t="s">
        <v>10220</v>
      </c>
      <c r="G434" s="90">
        <v>45113.53700231481</v>
      </c>
      <c r="H434" s="90">
        <v>46048.959131944444</v>
      </c>
      <c r="I434" s="1" t="s">
        <v>16476</v>
      </c>
    </row>
    <row r="435">
      <c r="A435" s="1">
        <v>47.0</v>
      </c>
      <c r="B435" s="1" t="s">
        <v>18524</v>
      </c>
      <c r="E435" s="1" t="s">
        <v>634</v>
      </c>
      <c r="F435" s="1" t="s">
        <v>10220</v>
      </c>
      <c r="G435" s="90">
        <v>45113.536990740744</v>
      </c>
      <c r="H435" s="90">
        <v>46048.95912037037</v>
      </c>
      <c r="I435" s="1" t="s">
        <v>16476</v>
      </c>
    </row>
    <row r="436">
      <c r="A436" s="1">
        <v>46.0</v>
      </c>
      <c r="B436" s="1" t="s">
        <v>18525</v>
      </c>
      <c r="E436" s="1" t="s">
        <v>624</v>
      </c>
      <c r="F436" s="1" t="s">
        <v>10220</v>
      </c>
      <c r="G436" s="90">
        <v>45113.53697916667</v>
      </c>
      <c r="H436" s="90">
        <v>46048.95912037037</v>
      </c>
      <c r="I436" s="1" t="s">
        <v>16476</v>
      </c>
    </row>
    <row r="437">
      <c r="A437" s="1">
        <v>44.0</v>
      </c>
      <c r="B437" s="1" t="s">
        <v>18526</v>
      </c>
      <c r="E437" s="1" t="s">
        <v>607</v>
      </c>
      <c r="F437" s="1" t="s">
        <v>10220</v>
      </c>
      <c r="G437" s="90">
        <v>45113.53695601852</v>
      </c>
      <c r="H437" s="90">
        <v>46048.95912037037</v>
      </c>
      <c r="I437" s="1" t="s">
        <v>16476</v>
      </c>
    </row>
    <row r="438">
      <c r="A438" s="1">
        <v>43.0</v>
      </c>
      <c r="B438" s="1" t="s">
        <v>18527</v>
      </c>
      <c r="E438" s="1" t="s">
        <v>601</v>
      </c>
      <c r="F438" s="1" t="s">
        <v>10220</v>
      </c>
      <c r="G438" s="90">
        <v>45113.53695601852</v>
      </c>
      <c r="H438" s="90">
        <v>46048.95912037037</v>
      </c>
      <c r="I438" s="1" t="s">
        <v>16476</v>
      </c>
    </row>
    <row r="439">
      <c r="A439" s="1">
        <v>42.0</v>
      </c>
      <c r="B439" s="1" t="s">
        <v>18528</v>
      </c>
      <c r="E439" s="1" t="s">
        <v>50</v>
      </c>
      <c r="F439" s="1" t="s">
        <v>10220</v>
      </c>
      <c r="G439" s="90">
        <v>45113.536944444444</v>
      </c>
      <c r="H439" s="90">
        <v>46048.95912037037</v>
      </c>
      <c r="I439" s="1" t="s">
        <v>16476</v>
      </c>
    </row>
    <row r="440">
      <c r="A440" s="1">
        <v>41.0</v>
      </c>
      <c r="B440" s="1" t="s">
        <v>18529</v>
      </c>
      <c r="E440" s="1" t="s">
        <v>580</v>
      </c>
      <c r="F440" s="1" t="s">
        <v>10220</v>
      </c>
      <c r="G440" s="90">
        <v>45113.53693287037</v>
      </c>
      <c r="H440" s="90">
        <v>46048.95912037037</v>
      </c>
      <c r="I440" s="1" t="s">
        <v>16476</v>
      </c>
    </row>
    <row r="441">
      <c r="A441" s="1">
        <v>39.0</v>
      </c>
      <c r="B441" s="1" t="s">
        <v>18530</v>
      </c>
      <c r="E441" s="1" t="s">
        <v>563</v>
      </c>
      <c r="F441" s="1" t="s">
        <v>10220</v>
      </c>
      <c r="G441" s="90">
        <v>45113.53690972222</v>
      </c>
      <c r="H441" s="90">
        <v>46048.95912037037</v>
      </c>
      <c r="I441" s="1" t="s">
        <v>16476</v>
      </c>
    </row>
    <row r="442">
      <c r="A442" s="1">
        <v>38.0</v>
      </c>
      <c r="B442" s="1" t="s">
        <v>18531</v>
      </c>
      <c r="E442" s="1" t="s">
        <v>555</v>
      </c>
      <c r="F442" s="1" t="s">
        <v>10220</v>
      </c>
      <c r="G442" s="90">
        <v>45113.53689814815</v>
      </c>
      <c r="H442" s="90">
        <v>46048.95912037037</v>
      </c>
      <c r="I442" s="1" t="s">
        <v>16476</v>
      </c>
    </row>
    <row r="443">
      <c r="A443" s="1">
        <v>37.0</v>
      </c>
      <c r="B443" s="1" t="s">
        <v>18532</v>
      </c>
      <c r="E443" s="1" t="s">
        <v>551</v>
      </c>
      <c r="F443" s="1" t="s">
        <v>10220</v>
      </c>
      <c r="G443" s="90">
        <v>45113.53689814815</v>
      </c>
      <c r="H443" s="90">
        <v>46048.95912037037</v>
      </c>
      <c r="I443" s="1" t="s">
        <v>16476</v>
      </c>
    </row>
    <row r="444">
      <c r="A444" s="1">
        <v>36.0</v>
      </c>
      <c r="B444" s="1" t="s">
        <v>18533</v>
      </c>
      <c r="E444" s="1" t="s">
        <v>540</v>
      </c>
      <c r="F444" s="1" t="s">
        <v>10220</v>
      </c>
      <c r="G444" s="90">
        <v>45113.536886574075</v>
      </c>
      <c r="H444" s="90">
        <v>46048.95912037037</v>
      </c>
      <c r="I444" s="1" t="s">
        <v>16476</v>
      </c>
    </row>
    <row r="445">
      <c r="A445" s="1">
        <v>35.0</v>
      </c>
      <c r="B445" s="1" t="s">
        <v>18534</v>
      </c>
      <c r="E445" s="1" t="s">
        <v>532</v>
      </c>
      <c r="F445" s="1" t="s">
        <v>10220</v>
      </c>
      <c r="G445" s="90">
        <v>45113.536875</v>
      </c>
      <c r="H445" s="90">
        <v>46048.95912037037</v>
      </c>
      <c r="I445" s="1" t="s">
        <v>16476</v>
      </c>
    </row>
    <row r="446">
      <c r="A446" s="1">
        <v>33.0</v>
      </c>
      <c r="B446" s="1" t="s">
        <v>18535</v>
      </c>
      <c r="E446" s="1" t="s">
        <v>515</v>
      </c>
      <c r="F446" s="1" t="s">
        <v>10220</v>
      </c>
      <c r="G446" s="90">
        <v>45113.53685185185</v>
      </c>
      <c r="H446" s="90">
        <v>46048.95912037037</v>
      </c>
      <c r="I446" s="1" t="s">
        <v>16476</v>
      </c>
    </row>
    <row r="447">
      <c r="A447" s="1">
        <v>31.0</v>
      </c>
      <c r="B447" s="1" t="s">
        <v>18536</v>
      </c>
      <c r="E447" s="1" t="s">
        <v>491</v>
      </c>
      <c r="F447" s="1" t="s">
        <v>10220</v>
      </c>
      <c r="G447" s="90">
        <v>45113.536840277775</v>
      </c>
      <c r="H447" s="90">
        <v>46048.95912037037</v>
      </c>
      <c r="I447" s="1" t="s">
        <v>16476</v>
      </c>
    </row>
    <row r="448">
      <c r="A448" s="1">
        <v>30.0</v>
      </c>
      <c r="B448" s="1" t="s">
        <v>18537</v>
      </c>
      <c r="E448" s="1" t="s">
        <v>482</v>
      </c>
      <c r="F448" s="1" t="s">
        <v>10220</v>
      </c>
      <c r="G448" s="90">
        <v>45113.536828703705</v>
      </c>
      <c r="H448" s="90">
        <v>46048.95912037037</v>
      </c>
      <c r="I448" s="1" t="s">
        <v>16476</v>
      </c>
    </row>
    <row r="449">
      <c r="A449" s="1">
        <v>29.0</v>
      </c>
      <c r="B449" s="1" t="s">
        <v>18538</v>
      </c>
      <c r="E449" s="1" t="s">
        <v>471</v>
      </c>
      <c r="F449" s="1" t="s">
        <v>10220</v>
      </c>
      <c r="G449" s="90">
        <v>45113.53681712963</v>
      </c>
      <c r="H449" s="90">
        <v>46048.95912037037</v>
      </c>
      <c r="I449" s="1" t="s">
        <v>16476</v>
      </c>
    </row>
    <row r="450">
      <c r="A450" s="1">
        <v>28.0</v>
      </c>
      <c r="B450" s="1" t="s">
        <v>18539</v>
      </c>
      <c r="E450" s="1" t="s">
        <v>462</v>
      </c>
      <c r="F450" s="1" t="s">
        <v>10220</v>
      </c>
      <c r="G450" s="90">
        <v>45113.53680555556</v>
      </c>
      <c r="H450" s="90">
        <v>46048.95912037037</v>
      </c>
      <c r="I450" s="1" t="s">
        <v>16476</v>
      </c>
    </row>
    <row r="451">
      <c r="A451" s="1">
        <v>27.0</v>
      </c>
      <c r="B451" s="1" t="s">
        <v>18540</v>
      </c>
      <c r="E451" s="1" t="s">
        <v>453</v>
      </c>
      <c r="F451" s="1" t="s">
        <v>10220</v>
      </c>
      <c r="G451" s="90">
        <v>45113.53679398148</v>
      </c>
      <c r="H451" s="90">
        <v>46048.95912037037</v>
      </c>
      <c r="I451" s="1" t="s">
        <v>16476</v>
      </c>
    </row>
    <row r="452">
      <c r="A452" s="1">
        <v>26.0</v>
      </c>
      <c r="B452" s="1" t="s">
        <v>18541</v>
      </c>
      <c r="E452" s="1" t="s">
        <v>443</v>
      </c>
      <c r="F452" s="1" t="s">
        <v>10220</v>
      </c>
      <c r="G452" s="90">
        <v>45113.53679398148</v>
      </c>
      <c r="H452" s="90">
        <v>46048.95912037037</v>
      </c>
      <c r="I452" s="1" t="s">
        <v>16476</v>
      </c>
    </row>
    <row r="453">
      <c r="A453" s="1">
        <v>25.0</v>
      </c>
      <c r="B453" s="1" t="s">
        <v>18542</v>
      </c>
      <c r="E453" s="1" t="s">
        <v>436</v>
      </c>
      <c r="F453" s="1" t="s">
        <v>10220</v>
      </c>
      <c r="G453" s="90">
        <v>45113.536782407406</v>
      </c>
      <c r="H453" s="90">
        <v>46048.95912037037</v>
      </c>
      <c r="I453" s="1" t="s">
        <v>16476</v>
      </c>
    </row>
    <row r="454">
      <c r="A454" s="1">
        <v>24.0</v>
      </c>
      <c r="B454" s="1" t="s">
        <v>18543</v>
      </c>
      <c r="E454" s="1" t="s">
        <v>427</v>
      </c>
      <c r="F454" s="1" t="s">
        <v>10220</v>
      </c>
      <c r="G454" s="90">
        <v>45113.536770833336</v>
      </c>
      <c r="H454" s="90">
        <v>46048.95912037037</v>
      </c>
      <c r="I454" s="1" t="s">
        <v>16476</v>
      </c>
    </row>
    <row r="455">
      <c r="A455" s="1">
        <v>23.0</v>
      </c>
      <c r="B455" s="1" t="s">
        <v>18544</v>
      </c>
      <c r="E455" s="1" t="s">
        <v>271</v>
      </c>
      <c r="F455" s="1" t="s">
        <v>10220</v>
      </c>
      <c r="G455" s="90">
        <v>45113.53675925926</v>
      </c>
      <c r="H455" s="90">
        <v>46048.95912037037</v>
      </c>
      <c r="I455" s="1" t="s">
        <v>16476</v>
      </c>
    </row>
    <row r="456">
      <c r="A456" s="1">
        <v>22.0</v>
      </c>
      <c r="B456" s="1" t="s">
        <v>18545</v>
      </c>
      <c r="E456" s="1" t="s">
        <v>409</v>
      </c>
      <c r="F456" s="1" t="s">
        <v>10220</v>
      </c>
      <c r="G456" s="90">
        <v>45113.53674768518</v>
      </c>
      <c r="H456" s="90">
        <v>46048.95912037037</v>
      </c>
      <c r="I456" s="1" t="s">
        <v>16476</v>
      </c>
    </row>
    <row r="457">
      <c r="A457" s="1">
        <v>21.0</v>
      </c>
      <c r="B457" s="1" t="s">
        <v>18546</v>
      </c>
      <c r="E457" s="1" t="s">
        <v>401</v>
      </c>
      <c r="F457" s="1" t="s">
        <v>10220</v>
      </c>
      <c r="G457" s="90">
        <v>45113.53673611111</v>
      </c>
      <c r="H457" s="90">
        <v>46048.95912037037</v>
      </c>
      <c r="I457" s="1" t="s">
        <v>16476</v>
      </c>
    </row>
    <row r="458">
      <c r="A458" s="1">
        <v>20.0</v>
      </c>
      <c r="B458" s="1" t="s">
        <v>18547</v>
      </c>
      <c r="E458" s="1" t="s">
        <v>390</v>
      </c>
      <c r="F458" s="1" t="s">
        <v>10220</v>
      </c>
      <c r="G458" s="90">
        <v>45113.53673611111</v>
      </c>
      <c r="H458" s="90">
        <v>46048.95912037037</v>
      </c>
      <c r="I458" s="1" t="s">
        <v>16476</v>
      </c>
    </row>
    <row r="459">
      <c r="A459" s="1">
        <v>19.0</v>
      </c>
      <c r="B459" s="1" t="s">
        <v>18548</v>
      </c>
      <c r="E459" s="1" t="s">
        <v>379</v>
      </c>
      <c r="F459" s="1" t="s">
        <v>10220</v>
      </c>
      <c r="G459" s="90">
        <v>45113.536724537036</v>
      </c>
      <c r="H459" s="90">
        <v>46048.95912037037</v>
      </c>
      <c r="I459" s="1" t="s">
        <v>16476</v>
      </c>
    </row>
    <row r="460">
      <c r="A460" s="1">
        <v>18.0</v>
      </c>
      <c r="B460" s="1" t="s">
        <v>18549</v>
      </c>
      <c r="E460" s="1" t="s">
        <v>367</v>
      </c>
      <c r="F460" s="1" t="s">
        <v>10220</v>
      </c>
      <c r="G460" s="90">
        <v>45113.53671296296</v>
      </c>
      <c r="H460" s="90">
        <v>46048.95912037037</v>
      </c>
      <c r="I460" s="1" t="s">
        <v>16476</v>
      </c>
    </row>
    <row r="461">
      <c r="A461" s="1">
        <v>17.0</v>
      </c>
      <c r="B461" s="1" t="s">
        <v>18550</v>
      </c>
      <c r="E461" s="1" t="s">
        <v>358</v>
      </c>
      <c r="F461" s="1" t="s">
        <v>10220</v>
      </c>
      <c r="G461" s="90">
        <v>45113.53670138889</v>
      </c>
      <c r="H461" s="90">
        <v>46048.95912037037</v>
      </c>
      <c r="I461" s="1" t="s">
        <v>16476</v>
      </c>
    </row>
    <row r="462">
      <c r="A462" s="1">
        <v>16.0</v>
      </c>
      <c r="B462" s="1" t="s">
        <v>18551</v>
      </c>
      <c r="E462" s="1" t="s">
        <v>349</v>
      </c>
      <c r="F462" s="1" t="s">
        <v>10220</v>
      </c>
      <c r="G462" s="90">
        <v>45113.53668981481</v>
      </c>
      <c r="H462" s="90">
        <v>46048.9591087963</v>
      </c>
      <c r="I462" s="1" t="s">
        <v>16476</v>
      </c>
    </row>
    <row r="463">
      <c r="A463" s="1">
        <v>15.0</v>
      </c>
      <c r="B463" s="1" t="s">
        <v>18552</v>
      </c>
      <c r="E463" s="1" t="s">
        <v>341</v>
      </c>
      <c r="F463" s="1" t="s">
        <v>10220</v>
      </c>
      <c r="G463" s="90">
        <v>45113.53668981481</v>
      </c>
      <c r="H463" s="90">
        <v>46048.9591087963</v>
      </c>
      <c r="I463" s="1" t="s">
        <v>16476</v>
      </c>
    </row>
    <row r="464">
      <c r="A464" s="1">
        <v>14.0</v>
      </c>
      <c r="B464" s="1" t="s">
        <v>18553</v>
      </c>
      <c r="E464" s="1" t="s">
        <v>333</v>
      </c>
      <c r="F464" s="1" t="s">
        <v>10220</v>
      </c>
      <c r="G464" s="90">
        <v>45113.536678240744</v>
      </c>
      <c r="H464" s="90">
        <v>46048.9591087963</v>
      </c>
      <c r="I464" s="1" t="s">
        <v>16476</v>
      </c>
    </row>
    <row r="465">
      <c r="A465" s="1">
        <v>13.0</v>
      </c>
      <c r="B465" s="1" t="s">
        <v>18554</v>
      </c>
      <c r="E465" s="1" t="s">
        <v>323</v>
      </c>
      <c r="F465" s="1" t="s">
        <v>10220</v>
      </c>
      <c r="G465" s="90">
        <v>45113.53666666667</v>
      </c>
      <c r="H465" s="90">
        <v>46048.9591087963</v>
      </c>
      <c r="I465" s="1" t="s">
        <v>16476</v>
      </c>
    </row>
    <row r="466">
      <c r="A466" s="1">
        <v>12.0</v>
      </c>
      <c r="B466" s="1" t="s">
        <v>18555</v>
      </c>
      <c r="E466" s="1" t="s">
        <v>315</v>
      </c>
      <c r="F466" s="1" t="s">
        <v>10220</v>
      </c>
      <c r="G466" s="90">
        <v>45113.53665509259</v>
      </c>
      <c r="H466" s="90">
        <v>46048.9591087963</v>
      </c>
      <c r="I466" s="1" t="s">
        <v>16476</v>
      </c>
    </row>
    <row r="467">
      <c r="A467" s="1">
        <v>11.0</v>
      </c>
      <c r="B467" s="1" t="s">
        <v>18556</v>
      </c>
      <c r="E467" s="1" t="s">
        <v>304</v>
      </c>
      <c r="F467" s="1" t="s">
        <v>10220</v>
      </c>
      <c r="G467" s="90">
        <v>45113.53664351852</v>
      </c>
      <c r="H467" s="90">
        <v>46048.9591087963</v>
      </c>
      <c r="I467" s="1" t="s">
        <v>16476</v>
      </c>
    </row>
    <row r="468">
      <c r="A468" s="1">
        <v>10.0</v>
      </c>
      <c r="B468" s="1" t="s">
        <v>18557</v>
      </c>
      <c r="E468" s="1" t="s">
        <v>292</v>
      </c>
      <c r="F468" s="1" t="s">
        <v>10220</v>
      </c>
      <c r="G468" s="90">
        <v>45113.536631944444</v>
      </c>
      <c r="H468" s="90">
        <v>46048.9591087963</v>
      </c>
      <c r="I468" s="1" t="s">
        <v>16476</v>
      </c>
    </row>
    <row r="469">
      <c r="A469" s="1">
        <v>9.0</v>
      </c>
      <c r="B469" s="1" t="s">
        <v>18558</v>
      </c>
      <c r="E469" s="1" t="s">
        <v>280</v>
      </c>
      <c r="F469" s="1" t="s">
        <v>10220</v>
      </c>
      <c r="G469" s="90">
        <v>45113.536631944444</v>
      </c>
      <c r="H469" s="90">
        <v>46048.9591087963</v>
      </c>
      <c r="I469" s="1" t="s">
        <v>16476</v>
      </c>
    </row>
    <row r="470">
      <c r="A470" s="1">
        <v>8.0</v>
      </c>
      <c r="B470" s="1" t="s">
        <v>18559</v>
      </c>
      <c r="E470" s="1" t="s">
        <v>50</v>
      </c>
      <c r="F470" s="1" t="s">
        <v>10220</v>
      </c>
      <c r="G470" s="90">
        <v>45113.53662037037</v>
      </c>
      <c r="H470" s="90">
        <v>46048.9591087963</v>
      </c>
      <c r="I470" s="1" t="s">
        <v>16476</v>
      </c>
    </row>
    <row r="471">
      <c r="A471" s="1">
        <v>7.0</v>
      </c>
      <c r="B471" s="1" t="s">
        <v>18560</v>
      </c>
      <c r="E471" s="1" t="s">
        <v>262</v>
      </c>
      <c r="F471" s="1" t="s">
        <v>10220</v>
      </c>
      <c r="G471" s="90">
        <v>45113.5366087963</v>
      </c>
      <c r="H471" s="90">
        <v>46048.9591087963</v>
      </c>
      <c r="I471" s="1" t="s">
        <v>16476</v>
      </c>
    </row>
    <row r="472">
      <c r="A472" s="1">
        <v>6.0</v>
      </c>
      <c r="B472" s="1" t="s">
        <v>18561</v>
      </c>
      <c r="E472" s="1" t="s">
        <v>250</v>
      </c>
      <c r="F472" s="1" t="s">
        <v>10220</v>
      </c>
      <c r="G472" s="90">
        <v>45113.53659722222</v>
      </c>
      <c r="H472" s="90">
        <v>46048.9591087963</v>
      </c>
      <c r="I472" s="1" t="s">
        <v>16476</v>
      </c>
    </row>
    <row r="473">
      <c r="A473" s="1">
        <v>444.0</v>
      </c>
      <c r="B473" s="1" t="s">
        <v>3690</v>
      </c>
      <c r="E473" s="1" t="s">
        <v>18562</v>
      </c>
      <c r="F473" s="1" t="s">
        <v>10220</v>
      </c>
      <c r="G473" s="90">
        <v>45176.361655092594</v>
      </c>
      <c r="H473" s="90">
        <v>46009.6105787037</v>
      </c>
      <c r="I473" s="1" t="s">
        <v>16476</v>
      </c>
    </row>
    <row r="474">
      <c r="A474" s="1">
        <v>671.0</v>
      </c>
      <c r="B474" s="1" t="s">
        <v>18563</v>
      </c>
      <c r="E474" s="1" t="s">
        <v>50</v>
      </c>
      <c r="F474" s="1" t="s">
        <v>10220</v>
      </c>
      <c r="G474" s="90">
        <v>46006.74561342593</v>
      </c>
      <c r="H474" s="90">
        <v>46006.74561342593</v>
      </c>
      <c r="I474" s="1" t="s">
        <v>16476</v>
      </c>
    </row>
    <row r="475">
      <c r="A475" s="1">
        <v>670.0</v>
      </c>
      <c r="B475" s="1" t="s">
        <v>18564</v>
      </c>
      <c r="E475" s="1" t="s">
        <v>50</v>
      </c>
      <c r="F475" s="1" t="s">
        <v>10220</v>
      </c>
      <c r="G475" s="90">
        <v>46006.74560185185</v>
      </c>
      <c r="H475" s="90">
        <v>46006.74560185185</v>
      </c>
      <c r="I475" s="1" t="s">
        <v>16476</v>
      </c>
    </row>
    <row r="476">
      <c r="A476" s="1">
        <v>669.0</v>
      </c>
      <c r="B476" s="1" t="s">
        <v>18565</v>
      </c>
      <c r="E476" s="1" t="s">
        <v>50</v>
      </c>
      <c r="F476" s="1" t="s">
        <v>10220</v>
      </c>
      <c r="G476" s="90">
        <v>46006.74560185185</v>
      </c>
      <c r="H476" s="90">
        <v>46006.74560185185</v>
      </c>
      <c r="I476" s="1" t="s">
        <v>16476</v>
      </c>
    </row>
    <row r="477">
      <c r="A477" s="1">
        <v>667.0</v>
      </c>
      <c r="B477" s="1" t="s">
        <v>18566</v>
      </c>
      <c r="E477" s="1" t="s">
        <v>50</v>
      </c>
      <c r="F477" s="1" t="s">
        <v>10220</v>
      </c>
      <c r="G477" s="90">
        <v>46006.74559027778</v>
      </c>
      <c r="H477" s="90">
        <v>46006.74559027778</v>
      </c>
      <c r="I477" s="1" t="s">
        <v>16476</v>
      </c>
    </row>
    <row r="478">
      <c r="A478" s="1">
        <v>666.0</v>
      </c>
      <c r="B478" s="1" t="s">
        <v>18567</v>
      </c>
      <c r="E478" s="1" t="s">
        <v>50</v>
      </c>
      <c r="F478" s="1" t="s">
        <v>10220</v>
      </c>
      <c r="G478" s="90">
        <v>46006.74559027778</v>
      </c>
      <c r="H478" s="90">
        <v>46006.74559027778</v>
      </c>
      <c r="I478" s="1" t="s">
        <v>16476</v>
      </c>
    </row>
    <row r="479">
      <c r="A479" s="1">
        <v>665.0</v>
      </c>
      <c r="B479" s="1" t="s">
        <v>18568</v>
      </c>
      <c r="E479" s="1" t="s">
        <v>50</v>
      </c>
      <c r="F479" s="1" t="s">
        <v>10220</v>
      </c>
      <c r="G479" s="90">
        <v>46006.7455787037</v>
      </c>
      <c r="H479" s="90">
        <v>46006.7455787037</v>
      </c>
      <c r="I479" s="1" t="s">
        <v>16476</v>
      </c>
    </row>
    <row r="480">
      <c r="A480" s="1">
        <v>664.0</v>
      </c>
      <c r="B480" s="1" t="s">
        <v>18569</v>
      </c>
      <c r="E480" s="1" t="s">
        <v>50</v>
      </c>
      <c r="F480" s="1" t="s">
        <v>10220</v>
      </c>
      <c r="G480" s="90">
        <v>46006.7455787037</v>
      </c>
      <c r="H480" s="90">
        <v>46006.7455787037</v>
      </c>
      <c r="I480" s="1" t="s">
        <v>16476</v>
      </c>
    </row>
    <row r="481">
      <c r="A481" s="1">
        <v>663.0</v>
      </c>
      <c r="B481" s="1" t="s">
        <v>18570</v>
      </c>
      <c r="E481" s="1" t="s">
        <v>50</v>
      </c>
      <c r="F481" s="1" t="s">
        <v>10220</v>
      </c>
      <c r="G481" s="90">
        <v>46006.7455787037</v>
      </c>
      <c r="H481" s="90">
        <v>46006.7455787037</v>
      </c>
      <c r="I481" s="1" t="s">
        <v>16476</v>
      </c>
    </row>
    <row r="482">
      <c r="A482" s="1">
        <v>660.0</v>
      </c>
      <c r="B482" s="1" t="s">
        <v>18571</v>
      </c>
      <c r="E482" s="1" t="s">
        <v>50</v>
      </c>
      <c r="F482" s="1" t="s">
        <v>10220</v>
      </c>
      <c r="G482" s="90">
        <v>46006.74556712963</v>
      </c>
      <c r="H482" s="90">
        <v>46006.74556712963</v>
      </c>
      <c r="I482" s="1" t="s">
        <v>16476</v>
      </c>
    </row>
    <row r="483">
      <c r="A483" s="1">
        <v>659.0</v>
      </c>
      <c r="B483" s="1" t="s">
        <v>18572</v>
      </c>
      <c r="E483" s="1" t="s">
        <v>50</v>
      </c>
      <c r="F483" s="1" t="s">
        <v>10220</v>
      </c>
      <c r="G483" s="90">
        <v>46006.74555555556</v>
      </c>
      <c r="H483" s="90">
        <v>46006.74555555556</v>
      </c>
      <c r="I483" s="1" t="s">
        <v>16476</v>
      </c>
    </row>
    <row r="484">
      <c r="A484" s="1">
        <v>658.0</v>
      </c>
      <c r="B484" s="1" t="s">
        <v>18573</v>
      </c>
      <c r="E484" s="1" t="s">
        <v>50</v>
      </c>
      <c r="F484" s="1" t="s">
        <v>10220</v>
      </c>
      <c r="G484" s="90">
        <v>46006.74555555556</v>
      </c>
      <c r="H484" s="90">
        <v>46006.74555555556</v>
      </c>
      <c r="I484" s="1" t="s">
        <v>16476</v>
      </c>
    </row>
    <row r="485">
      <c r="A485" s="1">
        <v>657.0</v>
      </c>
      <c r="B485" s="1" t="s">
        <v>18574</v>
      </c>
      <c r="E485" s="1" t="s">
        <v>50</v>
      </c>
      <c r="F485" s="1" t="s">
        <v>10220</v>
      </c>
      <c r="G485" s="90">
        <v>46006.74554398148</v>
      </c>
      <c r="H485" s="90">
        <v>46006.74554398148</v>
      </c>
      <c r="I485" s="1" t="s">
        <v>16476</v>
      </c>
    </row>
    <row r="486">
      <c r="A486" s="1">
        <v>656.0</v>
      </c>
      <c r="B486" s="1" t="s">
        <v>18575</v>
      </c>
      <c r="E486" s="1" t="s">
        <v>50</v>
      </c>
      <c r="F486" s="1" t="s">
        <v>10220</v>
      </c>
      <c r="G486" s="90">
        <v>46006.74554398148</v>
      </c>
      <c r="H486" s="90">
        <v>46006.74554398148</v>
      </c>
      <c r="I486" s="1" t="s">
        <v>16476</v>
      </c>
    </row>
    <row r="487">
      <c r="A487" s="1">
        <v>655.0</v>
      </c>
      <c r="B487" s="1" t="s">
        <v>18576</v>
      </c>
      <c r="E487" s="1" t="s">
        <v>50</v>
      </c>
      <c r="F487" s="1" t="s">
        <v>10220</v>
      </c>
      <c r="G487" s="90">
        <v>46006.74554398148</v>
      </c>
      <c r="H487" s="90">
        <v>46006.74554398148</v>
      </c>
      <c r="I487" s="1" t="s">
        <v>16476</v>
      </c>
    </row>
    <row r="488">
      <c r="A488" s="1">
        <v>654.0</v>
      </c>
      <c r="B488" s="1" t="s">
        <v>18577</v>
      </c>
      <c r="E488" s="1" t="s">
        <v>50</v>
      </c>
      <c r="F488" s="1" t="s">
        <v>10220</v>
      </c>
      <c r="G488" s="90">
        <v>46006.74553240741</v>
      </c>
      <c r="H488" s="90">
        <v>46006.74553240741</v>
      </c>
      <c r="I488" s="1" t="s">
        <v>16476</v>
      </c>
    </row>
    <row r="489">
      <c r="A489" s="1">
        <v>653.0</v>
      </c>
      <c r="B489" s="1" t="s">
        <v>18578</v>
      </c>
      <c r="E489" s="1" t="s">
        <v>50</v>
      </c>
      <c r="F489" s="1" t="s">
        <v>10220</v>
      </c>
      <c r="G489" s="90">
        <v>46006.74553240741</v>
      </c>
      <c r="H489" s="90">
        <v>46006.74553240741</v>
      </c>
      <c r="I489" s="1" t="s">
        <v>16476</v>
      </c>
    </row>
    <row r="490">
      <c r="A490" s="1">
        <v>652.0</v>
      </c>
      <c r="B490" s="1" t="s">
        <v>18579</v>
      </c>
      <c r="E490" s="1" t="s">
        <v>50</v>
      </c>
      <c r="F490" s="1" t="s">
        <v>10220</v>
      </c>
      <c r="G490" s="90">
        <v>46006.74553240741</v>
      </c>
      <c r="H490" s="90">
        <v>46006.74553240741</v>
      </c>
      <c r="I490" s="1" t="s">
        <v>16476</v>
      </c>
    </row>
    <row r="491">
      <c r="A491" s="1">
        <v>651.0</v>
      </c>
      <c r="B491" s="1" t="s">
        <v>18580</v>
      </c>
      <c r="E491" s="1" t="s">
        <v>50</v>
      </c>
      <c r="F491" s="1" t="s">
        <v>10220</v>
      </c>
      <c r="G491" s="90">
        <v>46006.745520833334</v>
      </c>
      <c r="H491" s="90">
        <v>46006.745520833334</v>
      </c>
      <c r="I491" s="1" t="s">
        <v>16476</v>
      </c>
    </row>
    <row r="492">
      <c r="A492" s="1">
        <v>650.0</v>
      </c>
      <c r="B492" s="1" t="s">
        <v>18581</v>
      </c>
      <c r="E492" s="1" t="s">
        <v>50</v>
      </c>
      <c r="F492" s="1" t="s">
        <v>10220</v>
      </c>
      <c r="G492" s="90">
        <v>46006.745520833334</v>
      </c>
      <c r="H492" s="90">
        <v>46006.745520833334</v>
      </c>
      <c r="I492" s="1" t="s">
        <v>16476</v>
      </c>
    </row>
    <row r="493">
      <c r="A493" s="1">
        <v>649.0</v>
      </c>
      <c r="B493" s="1" t="s">
        <v>18582</v>
      </c>
      <c r="E493" s="1" t="s">
        <v>50</v>
      </c>
      <c r="F493" s="1" t="s">
        <v>10220</v>
      </c>
      <c r="G493" s="90">
        <v>46006.745520833334</v>
      </c>
      <c r="H493" s="90">
        <v>46006.745520833334</v>
      </c>
      <c r="I493" s="1" t="s">
        <v>16476</v>
      </c>
    </row>
    <row r="494">
      <c r="A494" s="1">
        <v>648.0</v>
      </c>
      <c r="B494" s="1" t="s">
        <v>18583</v>
      </c>
      <c r="E494" s="1" t="s">
        <v>50</v>
      </c>
      <c r="F494" s="1" t="s">
        <v>10220</v>
      </c>
      <c r="G494" s="90">
        <v>46006.74550925926</v>
      </c>
      <c r="H494" s="90">
        <v>46006.74550925926</v>
      </c>
      <c r="I494" s="1" t="s">
        <v>16476</v>
      </c>
    </row>
    <row r="495">
      <c r="A495" s="1">
        <v>647.0</v>
      </c>
      <c r="B495" s="1" t="s">
        <v>18584</v>
      </c>
      <c r="E495" s="1" t="s">
        <v>50</v>
      </c>
      <c r="F495" s="1" t="s">
        <v>10220</v>
      </c>
      <c r="G495" s="90">
        <v>46006.74550925926</v>
      </c>
      <c r="H495" s="90">
        <v>46006.74550925926</v>
      </c>
      <c r="I495" s="1" t="s">
        <v>16476</v>
      </c>
    </row>
    <row r="496">
      <c r="A496" s="1">
        <v>646.0</v>
      </c>
      <c r="B496" s="1" t="s">
        <v>18585</v>
      </c>
      <c r="E496" s="1" t="s">
        <v>50</v>
      </c>
      <c r="F496" s="1" t="s">
        <v>10220</v>
      </c>
      <c r="G496" s="90">
        <v>46006.74550925926</v>
      </c>
      <c r="H496" s="90">
        <v>46006.74550925926</v>
      </c>
      <c r="I496" s="1" t="s">
        <v>16476</v>
      </c>
    </row>
    <row r="497">
      <c r="A497" s="1">
        <v>643.0</v>
      </c>
      <c r="B497" s="1" t="s">
        <v>18586</v>
      </c>
      <c r="E497" s="1" t="s">
        <v>50</v>
      </c>
      <c r="F497" s="1" t="s">
        <v>10220</v>
      </c>
      <c r="G497" s="90">
        <v>46006.74548611111</v>
      </c>
      <c r="H497" s="90">
        <v>46006.74548611111</v>
      </c>
      <c r="I497" s="1" t="s">
        <v>16476</v>
      </c>
    </row>
    <row r="498">
      <c r="A498" s="1">
        <v>642.0</v>
      </c>
      <c r="B498" s="1" t="s">
        <v>18587</v>
      </c>
      <c r="E498" s="1" t="s">
        <v>50</v>
      </c>
      <c r="F498" s="1" t="s">
        <v>10220</v>
      </c>
      <c r="G498" s="90">
        <v>46006.74548611111</v>
      </c>
      <c r="H498" s="90">
        <v>46006.74548611111</v>
      </c>
      <c r="I498" s="1" t="s">
        <v>16476</v>
      </c>
    </row>
    <row r="499">
      <c r="A499" s="1">
        <v>641.0</v>
      </c>
      <c r="B499" s="1" t="s">
        <v>18588</v>
      </c>
      <c r="E499" s="1" t="s">
        <v>50</v>
      </c>
      <c r="F499" s="1" t="s">
        <v>10220</v>
      </c>
      <c r="G499" s="90">
        <v>46006.74548611111</v>
      </c>
      <c r="H499" s="90">
        <v>46006.74548611111</v>
      </c>
      <c r="I499" s="1" t="s">
        <v>16476</v>
      </c>
    </row>
    <row r="500">
      <c r="A500" s="1">
        <v>640.0</v>
      </c>
      <c r="B500" s="1" t="s">
        <v>18589</v>
      </c>
      <c r="E500" s="1" t="s">
        <v>50</v>
      </c>
      <c r="F500" s="1" t="s">
        <v>10220</v>
      </c>
      <c r="G500" s="90">
        <v>46006.745474537034</v>
      </c>
      <c r="H500" s="90">
        <v>46006.745474537034</v>
      </c>
      <c r="I500" s="1" t="s">
        <v>16476</v>
      </c>
    </row>
    <row r="501">
      <c r="A501" s="1">
        <v>638.0</v>
      </c>
      <c r="B501" s="1" t="s">
        <v>18590</v>
      </c>
      <c r="E501" s="1" t="s">
        <v>50</v>
      </c>
      <c r="F501" s="1" t="s">
        <v>10220</v>
      </c>
      <c r="G501" s="90">
        <v>46006.745474537034</v>
      </c>
      <c r="H501" s="90">
        <v>46006.745474537034</v>
      </c>
      <c r="I501" s="1" t="s">
        <v>16476</v>
      </c>
    </row>
    <row r="502">
      <c r="A502" s="1">
        <v>636.0</v>
      </c>
      <c r="B502" s="1" t="s">
        <v>18591</v>
      </c>
      <c r="E502" s="1" t="s">
        <v>50</v>
      </c>
      <c r="F502" s="1" t="s">
        <v>10220</v>
      </c>
      <c r="G502" s="90">
        <v>46006.745462962965</v>
      </c>
      <c r="H502" s="90">
        <v>46006.745462962965</v>
      </c>
      <c r="I502" s="1" t="s">
        <v>16476</v>
      </c>
    </row>
    <row r="503">
      <c r="A503" s="1">
        <v>635.0</v>
      </c>
      <c r="B503" s="1" t="s">
        <v>18592</v>
      </c>
      <c r="E503" s="1" t="s">
        <v>50</v>
      </c>
      <c r="F503" s="1" t="s">
        <v>10220</v>
      </c>
      <c r="G503" s="90">
        <v>46006.745462962965</v>
      </c>
      <c r="H503" s="90">
        <v>46006.745462962965</v>
      </c>
      <c r="I503" s="1" t="s">
        <v>16476</v>
      </c>
    </row>
    <row r="504">
      <c r="A504" s="1">
        <v>634.0</v>
      </c>
      <c r="B504" s="1" t="s">
        <v>18593</v>
      </c>
      <c r="E504" s="1" t="s">
        <v>50</v>
      </c>
      <c r="F504" s="1" t="s">
        <v>10220</v>
      </c>
      <c r="G504" s="90">
        <v>46006.74545138889</v>
      </c>
      <c r="H504" s="90">
        <v>46006.74545138889</v>
      </c>
      <c r="I504" s="1" t="s">
        <v>16476</v>
      </c>
    </row>
    <row r="505">
      <c r="A505" s="1">
        <v>632.0</v>
      </c>
      <c r="B505" s="1" t="s">
        <v>18594</v>
      </c>
      <c r="E505" s="1" t="s">
        <v>50</v>
      </c>
      <c r="F505" s="1" t="s">
        <v>10220</v>
      </c>
      <c r="G505" s="90">
        <v>46006.74543981482</v>
      </c>
      <c r="H505" s="90">
        <v>46006.74543981482</v>
      </c>
      <c r="I505" s="1" t="s">
        <v>16476</v>
      </c>
    </row>
    <row r="506">
      <c r="A506" s="1">
        <v>631.0</v>
      </c>
      <c r="B506" s="1" t="s">
        <v>18595</v>
      </c>
      <c r="E506" s="1" t="s">
        <v>50</v>
      </c>
      <c r="F506" s="1" t="s">
        <v>10220</v>
      </c>
      <c r="G506" s="90">
        <v>46006.74543981482</v>
      </c>
      <c r="H506" s="90">
        <v>46006.74543981482</v>
      </c>
      <c r="I506" s="1" t="s">
        <v>16476</v>
      </c>
    </row>
    <row r="507">
      <c r="A507" s="1">
        <v>630.0</v>
      </c>
      <c r="B507" s="1" t="s">
        <v>18596</v>
      </c>
      <c r="E507" s="1" t="s">
        <v>50</v>
      </c>
      <c r="F507" s="1" t="s">
        <v>10220</v>
      </c>
      <c r="G507" s="90">
        <v>46006.74543981482</v>
      </c>
      <c r="H507" s="90">
        <v>46006.74543981482</v>
      </c>
      <c r="I507" s="1" t="s">
        <v>16476</v>
      </c>
    </row>
    <row r="508">
      <c r="A508" s="1">
        <v>629.0</v>
      </c>
      <c r="B508" s="1" t="s">
        <v>18597</v>
      </c>
      <c r="E508" s="1" t="s">
        <v>50</v>
      </c>
      <c r="F508" s="1" t="s">
        <v>10220</v>
      </c>
      <c r="G508" s="90">
        <v>46006.74542824074</v>
      </c>
      <c r="H508" s="90">
        <v>46006.74542824074</v>
      </c>
      <c r="I508" s="1" t="s">
        <v>16476</v>
      </c>
    </row>
    <row r="509">
      <c r="A509" s="1">
        <v>628.0</v>
      </c>
      <c r="B509" s="1" t="s">
        <v>18598</v>
      </c>
      <c r="E509" s="1" t="s">
        <v>50</v>
      </c>
      <c r="F509" s="1" t="s">
        <v>10220</v>
      </c>
      <c r="G509" s="90">
        <v>46006.74542824074</v>
      </c>
      <c r="H509" s="90">
        <v>46006.74542824074</v>
      </c>
      <c r="I509" s="1" t="s">
        <v>16476</v>
      </c>
    </row>
    <row r="510">
      <c r="A510" s="1">
        <v>627.0</v>
      </c>
      <c r="B510" s="1" t="s">
        <v>18599</v>
      </c>
      <c r="E510" s="1" t="s">
        <v>50</v>
      </c>
      <c r="F510" s="1" t="s">
        <v>10220</v>
      </c>
      <c r="G510" s="90">
        <v>46006.74542824074</v>
      </c>
      <c r="H510" s="90">
        <v>46006.74542824074</v>
      </c>
      <c r="I510" s="1" t="s">
        <v>16476</v>
      </c>
    </row>
    <row r="511">
      <c r="A511" s="1">
        <v>626.0</v>
      </c>
      <c r="B511" s="1" t="s">
        <v>18600</v>
      </c>
      <c r="E511" s="1" t="s">
        <v>50</v>
      </c>
      <c r="F511" s="1" t="s">
        <v>10220</v>
      </c>
      <c r="G511" s="90">
        <v>46006.745416666665</v>
      </c>
      <c r="H511" s="90">
        <v>46006.745416666665</v>
      </c>
      <c r="I511" s="1" t="s">
        <v>16476</v>
      </c>
    </row>
    <row r="512">
      <c r="A512" s="1">
        <v>625.0</v>
      </c>
      <c r="B512" s="1" t="s">
        <v>18601</v>
      </c>
      <c r="E512" s="1" t="s">
        <v>50</v>
      </c>
      <c r="F512" s="1" t="s">
        <v>10220</v>
      </c>
      <c r="G512" s="90">
        <v>46006.745416666665</v>
      </c>
      <c r="H512" s="90">
        <v>46006.745416666665</v>
      </c>
      <c r="I512" s="1" t="s">
        <v>16476</v>
      </c>
    </row>
    <row r="513">
      <c r="A513" s="1">
        <v>624.0</v>
      </c>
      <c r="B513" s="1" t="s">
        <v>18602</v>
      </c>
      <c r="E513" s="1" t="s">
        <v>50</v>
      </c>
      <c r="F513" s="1" t="s">
        <v>10220</v>
      </c>
      <c r="G513" s="90">
        <v>46006.745416666665</v>
      </c>
      <c r="H513" s="90">
        <v>46006.745416666665</v>
      </c>
      <c r="I513" s="1" t="s">
        <v>16476</v>
      </c>
    </row>
    <row r="514">
      <c r="A514" s="1">
        <v>623.0</v>
      </c>
      <c r="B514" s="1" t="s">
        <v>18603</v>
      </c>
      <c r="E514" s="1" t="s">
        <v>50</v>
      </c>
      <c r="F514" s="1" t="s">
        <v>10220</v>
      </c>
      <c r="G514" s="90">
        <v>46006.745405092595</v>
      </c>
      <c r="H514" s="90">
        <v>46006.745405092595</v>
      </c>
      <c r="I514" s="1" t="s">
        <v>16476</v>
      </c>
    </row>
    <row r="515">
      <c r="A515" s="1">
        <v>622.0</v>
      </c>
      <c r="B515" s="1" t="s">
        <v>18604</v>
      </c>
      <c r="E515" s="1" t="s">
        <v>50</v>
      </c>
      <c r="F515" s="1" t="s">
        <v>10220</v>
      </c>
      <c r="G515" s="90">
        <v>46006.745405092595</v>
      </c>
      <c r="H515" s="90">
        <v>46006.745405092595</v>
      </c>
      <c r="I515" s="1" t="s">
        <v>16476</v>
      </c>
    </row>
    <row r="516">
      <c r="A516" s="1">
        <v>621.0</v>
      </c>
      <c r="B516" s="1" t="s">
        <v>18605</v>
      </c>
      <c r="E516" s="1" t="s">
        <v>50</v>
      </c>
      <c r="F516" s="1" t="s">
        <v>10220</v>
      </c>
      <c r="G516" s="90">
        <v>46006.74539351852</v>
      </c>
      <c r="H516" s="90">
        <v>46006.74539351852</v>
      </c>
      <c r="I516" s="1" t="s">
        <v>16476</v>
      </c>
    </row>
    <row r="517">
      <c r="A517" s="1">
        <v>620.0</v>
      </c>
      <c r="B517" s="1" t="s">
        <v>18606</v>
      </c>
      <c r="E517" s="1" t="s">
        <v>50</v>
      </c>
      <c r="F517" s="1" t="s">
        <v>10220</v>
      </c>
      <c r="G517" s="90">
        <v>46006.74539351852</v>
      </c>
      <c r="H517" s="90">
        <v>46006.74539351852</v>
      </c>
      <c r="I517" s="1" t="s">
        <v>16476</v>
      </c>
    </row>
    <row r="518">
      <c r="A518" s="1">
        <v>619.0</v>
      </c>
      <c r="B518" s="1" t="s">
        <v>18607</v>
      </c>
      <c r="E518" s="1" t="s">
        <v>50</v>
      </c>
      <c r="F518" s="1" t="s">
        <v>10220</v>
      </c>
      <c r="G518" s="90">
        <v>46006.74539351852</v>
      </c>
      <c r="H518" s="90">
        <v>46006.74539351852</v>
      </c>
      <c r="I518" s="1" t="s">
        <v>16476</v>
      </c>
    </row>
    <row r="519">
      <c r="A519" s="1">
        <v>618.0</v>
      </c>
      <c r="B519" s="1" t="s">
        <v>18608</v>
      </c>
      <c r="E519" s="1" t="s">
        <v>50</v>
      </c>
      <c r="F519" s="1" t="s">
        <v>10220</v>
      </c>
      <c r="G519" s="90">
        <v>46006.74538194444</v>
      </c>
      <c r="H519" s="90">
        <v>46006.74538194444</v>
      </c>
      <c r="I519" s="1" t="s">
        <v>16476</v>
      </c>
    </row>
    <row r="520">
      <c r="A520" s="1">
        <v>617.0</v>
      </c>
      <c r="B520" s="1" t="s">
        <v>18609</v>
      </c>
      <c r="E520" s="1" t="s">
        <v>50</v>
      </c>
      <c r="F520" s="1" t="s">
        <v>10220</v>
      </c>
      <c r="G520" s="90">
        <v>46006.74538194444</v>
      </c>
      <c r="H520" s="90">
        <v>46006.74538194444</v>
      </c>
      <c r="I520" s="1" t="s">
        <v>16476</v>
      </c>
    </row>
    <row r="521">
      <c r="A521" s="1">
        <v>616.0</v>
      </c>
      <c r="B521" s="1" t="s">
        <v>18610</v>
      </c>
      <c r="E521" s="1" t="s">
        <v>50</v>
      </c>
      <c r="F521" s="1" t="s">
        <v>10220</v>
      </c>
      <c r="G521" s="90">
        <v>46006.74538194444</v>
      </c>
      <c r="H521" s="90">
        <v>46006.74538194444</v>
      </c>
      <c r="I521" s="1" t="s">
        <v>16476</v>
      </c>
    </row>
    <row r="522">
      <c r="A522" s="1">
        <v>615.0</v>
      </c>
      <c r="B522" s="1" t="s">
        <v>18611</v>
      </c>
      <c r="E522" s="1" t="s">
        <v>50</v>
      </c>
      <c r="F522" s="1" t="s">
        <v>10220</v>
      </c>
      <c r="G522" s="90">
        <v>46006.74537037037</v>
      </c>
      <c r="H522" s="90">
        <v>46006.74537037037</v>
      </c>
      <c r="I522" s="1" t="s">
        <v>16476</v>
      </c>
    </row>
    <row r="523">
      <c r="A523" s="1">
        <v>614.0</v>
      </c>
      <c r="B523" s="1" t="s">
        <v>18612</v>
      </c>
      <c r="E523" s="1" t="s">
        <v>50</v>
      </c>
      <c r="F523" s="1" t="s">
        <v>10220</v>
      </c>
      <c r="G523" s="90">
        <v>46006.74537037037</v>
      </c>
      <c r="H523" s="90">
        <v>46006.74537037037</v>
      </c>
      <c r="I523" s="1" t="s">
        <v>16476</v>
      </c>
    </row>
    <row r="524">
      <c r="A524" s="1">
        <v>613.0</v>
      </c>
      <c r="B524" s="1" t="s">
        <v>18613</v>
      </c>
      <c r="E524" s="1" t="s">
        <v>50</v>
      </c>
      <c r="F524" s="1" t="s">
        <v>10220</v>
      </c>
      <c r="G524" s="90">
        <v>46006.74537037037</v>
      </c>
      <c r="H524" s="90">
        <v>46006.74537037037</v>
      </c>
      <c r="I524" s="1" t="s">
        <v>16476</v>
      </c>
    </row>
    <row r="525">
      <c r="A525" s="1">
        <v>612.0</v>
      </c>
      <c r="B525" s="1" t="s">
        <v>18614</v>
      </c>
      <c r="E525" s="1" t="s">
        <v>50</v>
      </c>
      <c r="F525" s="1" t="s">
        <v>10220</v>
      </c>
      <c r="G525" s="90">
        <v>46006.745358796295</v>
      </c>
      <c r="H525" s="90">
        <v>46006.745358796295</v>
      </c>
      <c r="I525" s="1" t="s">
        <v>16476</v>
      </c>
    </row>
    <row r="526">
      <c r="A526" s="1">
        <v>611.0</v>
      </c>
      <c r="B526" s="1" t="s">
        <v>18615</v>
      </c>
      <c r="E526" s="1" t="s">
        <v>50</v>
      </c>
      <c r="F526" s="1" t="s">
        <v>10220</v>
      </c>
      <c r="G526" s="90">
        <v>46006.745358796295</v>
      </c>
      <c r="H526" s="90">
        <v>46006.745358796295</v>
      </c>
      <c r="I526" s="1" t="s">
        <v>16476</v>
      </c>
    </row>
    <row r="527">
      <c r="A527" s="1">
        <v>610.0</v>
      </c>
      <c r="B527" s="1" t="s">
        <v>18616</v>
      </c>
      <c r="E527" s="1" t="s">
        <v>50</v>
      </c>
      <c r="F527" s="1" t="s">
        <v>10220</v>
      </c>
      <c r="G527" s="90">
        <v>46006.74534722222</v>
      </c>
      <c r="H527" s="90">
        <v>46006.74534722222</v>
      </c>
      <c r="I527" s="1" t="s">
        <v>16476</v>
      </c>
    </row>
    <row r="528">
      <c r="A528" s="1">
        <v>609.0</v>
      </c>
      <c r="B528" s="1" t="s">
        <v>18617</v>
      </c>
      <c r="E528" s="1" t="s">
        <v>50</v>
      </c>
      <c r="F528" s="1" t="s">
        <v>10220</v>
      </c>
      <c r="G528" s="90">
        <v>46006.74534722222</v>
      </c>
      <c r="H528" s="90">
        <v>46006.74534722222</v>
      </c>
      <c r="I528" s="1" t="s">
        <v>16476</v>
      </c>
    </row>
    <row r="529">
      <c r="A529" s="1">
        <v>608.0</v>
      </c>
      <c r="B529" s="1" t="s">
        <v>18618</v>
      </c>
      <c r="E529" s="1" t="s">
        <v>50</v>
      </c>
      <c r="F529" s="1" t="s">
        <v>10220</v>
      </c>
      <c r="G529" s="90">
        <v>46006.74534722222</v>
      </c>
      <c r="H529" s="90">
        <v>46006.74534722222</v>
      </c>
      <c r="I529" s="1" t="s">
        <v>16476</v>
      </c>
    </row>
    <row r="530">
      <c r="A530" s="1">
        <v>607.0</v>
      </c>
      <c r="B530" s="1" t="s">
        <v>18619</v>
      </c>
      <c r="E530" s="1" t="s">
        <v>50</v>
      </c>
      <c r="F530" s="1" t="s">
        <v>10220</v>
      </c>
      <c r="G530" s="90">
        <v>46006.74533564815</v>
      </c>
      <c r="H530" s="90">
        <v>46006.74533564815</v>
      </c>
      <c r="I530" s="1" t="s">
        <v>16476</v>
      </c>
    </row>
    <row r="531">
      <c r="A531" s="1">
        <v>606.0</v>
      </c>
      <c r="B531" s="1" t="s">
        <v>18620</v>
      </c>
      <c r="E531" s="1" t="s">
        <v>50</v>
      </c>
      <c r="F531" s="1" t="s">
        <v>10220</v>
      </c>
      <c r="G531" s="90">
        <v>46006.74533564815</v>
      </c>
      <c r="H531" s="90">
        <v>46006.74533564815</v>
      </c>
      <c r="I531" s="1" t="s">
        <v>16476</v>
      </c>
    </row>
    <row r="532">
      <c r="A532" s="1">
        <v>605.0</v>
      </c>
      <c r="B532" s="1" t="s">
        <v>18621</v>
      </c>
      <c r="E532" s="1" t="s">
        <v>50</v>
      </c>
      <c r="F532" s="1" t="s">
        <v>10220</v>
      </c>
      <c r="G532" s="90">
        <v>46006.74533564815</v>
      </c>
      <c r="H532" s="90">
        <v>46006.74533564815</v>
      </c>
      <c r="I532" s="1" t="s">
        <v>16476</v>
      </c>
    </row>
    <row r="533">
      <c r="A533" s="1">
        <v>604.0</v>
      </c>
      <c r="B533" s="1" t="s">
        <v>18622</v>
      </c>
      <c r="E533" s="1" t="s">
        <v>50</v>
      </c>
      <c r="F533" s="1" t="s">
        <v>10220</v>
      </c>
      <c r="G533" s="90">
        <v>46006.74532407407</v>
      </c>
      <c r="H533" s="90">
        <v>46006.74532407407</v>
      </c>
      <c r="I533" s="1" t="s">
        <v>16476</v>
      </c>
    </row>
    <row r="534">
      <c r="A534" s="1">
        <v>603.0</v>
      </c>
      <c r="B534" s="1" t="s">
        <v>18623</v>
      </c>
      <c r="E534" s="1" t="s">
        <v>50</v>
      </c>
      <c r="F534" s="1" t="s">
        <v>10220</v>
      </c>
      <c r="G534" s="90">
        <v>46006.74532407407</v>
      </c>
      <c r="H534" s="90">
        <v>46006.74532407407</v>
      </c>
      <c r="I534" s="1" t="s">
        <v>16476</v>
      </c>
    </row>
    <row r="535">
      <c r="A535" s="1">
        <v>602.0</v>
      </c>
      <c r="B535" s="1" t="s">
        <v>18624</v>
      </c>
      <c r="E535" s="1" t="s">
        <v>50</v>
      </c>
      <c r="F535" s="1" t="s">
        <v>10220</v>
      </c>
      <c r="G535" s="90">
        <v>46006.74532407407</v>
      </c>
      <c r="H535" s="90">
        <v>46006.74532407407</v>
      </c>
      <c r="I535" s="1" t="s">
        <v>16476</v>
      </c>
    </row>
    <row r="536">
      <c r="A536" s="1">
        <v>601.0</v>
      </c>
      <c r="B536" s="1" t="s">
        <v>18625</v>
      </c>
      <c r="E536" s="1" t="s">
        <v>50</v>
      </c>
      <c r="F536" s="1" t="s">
        <v>10220</v>
      </c>
      <c r="G536" s="90">
        <v>46006.7453125</v>
      </c>
      <c r="H536" s="90">
        <v>46006.7453125</v>
      </c>
      <c r="I536" s="1" t="s">
        <v>16476</v>
      </c>
    </row>
    <row r="537">
      <c r="A537" s="1">
        <v>600.0</v>
      </c>
      <c r="B537" s="1" t="s">
        <v>18626</v>
      </c>
      <c r="E537" s="1" t="s">
        <v>50</v>
      </c>
      <c r="F537" s="1" t="s">
        <v>10220</v>
      </c>
      <c r="G537" s="90">
        <v>46006.7453125</v>
      </c>
      <c r="H537" s="90">
        <v>46006.7453125</v>
      </c>
      <c r="I537" s="1" t="s">
        <v>16476</v>
      </c>
    </row>
    <row r="538">
      <c r="A538" s="1">
        <v>599.0</v>
      </c>
      <c r="B538" s="1" t="s">
        <v>18627</v>
      </c>
      <c r="E538" s="1" t="s">
        <v>50</v>
      </c>
      <c r="F538" s="1" t="s">
        <v>10220</v>
      </c>
      <c r="G538" s="90">
        <v>46006.7453125</v>
      </c>
      <c r="H538" s="90">
        <v>46006.7453125</v>
      </c>
      <c r="I538" s="1" t="s">
        <v>16476</v>
      </c>
    </row>
    <row r="539">
      <c r="A539" s="1">
        <v>598.0</v>
      </c>
      <c r="B539" s="1" t="s">
        <v>18628</v>
      </c>
      <c r="E539" s="1" t="s">
        <v>50</v>
      </c>
      <c r="F539" s="1" t="s">
        <v>10220</v>
      </c>
      <c r="G539" s="90">
        <v>46006.745300925926</v>
      </c>
      <c r="H539" s="90">
        <v>46006.745300925926</v>
      </c>
      <c r="I539" s="1" t="s">
        <v>16476</v>
      </c>
    </row>
    <row r="540">
      <c r="A540" s="1">
        <v>597.0</v>
      </c>
      <c r="B540" s="1" t="s">
        <v>18629</v>
      </c>
      <c r="E540" s="1" t="s">
        <v>50</v>
      </c>
      <c r="F540" s="1" t="s">
        <v>10220</v>
      </c>
      <c r="G540" s="90">
        <v>46006.745300925926</v>
      </c>
      <c r="H540" s="90">
        <v>46006.745300925926</v>
      </c>
      <c r="I540" s="1" t="s">
        <v>16476</v>
      </c>
    </row>
    <row r="541">
      <c r="A541" s="1">
        <v>596.0</v>
      </c>
      <c r="B541" s="1" t="s">
        <v>18630</v>
      </c>
      <c r="E541" s="1" t="s">
        <v>50</v>
      </c>
      <c r="F541" s="1" t="s">
        <v>10220</v>
      </c>
      <c r="G541" s="90">
        <v>46006.74528935185</v>
      </c>
      <c r="H541" s="90">
        <v>46006.74528935185</v>
      </c>
      <c r="I541" s="1" t="s">
        <v>16476</v>
      </c>
    </row>
    <row r="542">
      <c r="A542" s="1">
        <v>595.0</v>
      </c>
      <c r="B542" s="1" t="s">
        <v>18631</v>
      </c>
      <c r="E542" s="1" t="s">
        <v>50</v>
      </c>
      <c r="F542" s="1" t="s">
        <v>10220</v>
      </c>
      <c r="G542" s="90">
        <v>46006.74528935185</v>
      </c>
      <c r="H542" s="90">
        <v>46006.74528935185</v>
      </c>
      <c r="I542" s="1" t="s">
        <v>16476</v>
      </c>
    </row>
    <row r="543">
      <c r="A543" s="1">
        <v>594.0</v>
      </c>
      <c r="B543" s="1" t="s">
        <v>18632</v>
      </c>
      <c r="E543" s="1" t="s">
        <v>50</v>
      </c>
      <c r="F543" s="1" t="s">
        <v>10220</v>
      </c>
      <c r="G543" s="90">
        <v>46006.74528935185</v>
      </c>
      <c r="H543" s="90">
        <v>46006.74528935185</v>
      </c>
      <c r="I543" s="1" t="s">
        <v>16476</v>
      </c>
    </row>
    <row r="544">
      <c r="A544" s="1">
        <v>593.0</v>
      </c>
      <c r="B544" s="1" t="s">
        <v>18633</v>
      </c>
      <c r="E544" s="1" t="s">
        <v>50</v>
      </c>
      <c r="F544" s="1" t="s">
        <v>10220</v>
      </c>
      <c r="G544" s="90">
        <v>46006.74527777778</v>
      </c>
      <c r="H544" s="90">
        <v>46006.74527777778</v>
      </c>
      <c r="I544" s="1" t="s">
        <v>16476</v>
      </c>
    </row>
    <row r="545">
      <c r="A545" s="1">
        <v>592.0</v>
      </c>
      <c r="B545" s="1" t="s">
        <v>18634</v>
      </c>
      <c r="E545" s="1" t="s">
        <v>50</v>
      </c>
      <c r="F545" s="1" t="s">
        <v>10220</v>
      </c>
      <c r="G545" s="90">
        <v>46006.74527777778</v>
      </c>
      <c r="H545" s="90">
        <v>46006.74527777778</v>
      </c>
      <c r="I545" s="1" t="s">
        <v>16476</v>
      </c>
    </row>
    <row r="546">
      <c r="A546" s="1">
        <v>591.0</v>
      </c>
      <c r="B546" s="1" t="s">
        <v>18635</v>
      </c>
      <c r="E546" s="1" t="s">
        <v>50</v>
      </c>
      <c r="F546" s="1" t="s">
        <v>10220</v>
      </c>
      <c r="G546" s="90">
        <v>46006.7452662037</v>
      </c>
      <c r="H546" s="90">
        <v>46006.7452662037</v>
      </c>
      <c r="I546" s="1" t="s">
        <v>16476</v>
      </c>
    </row>
    <row r="547">
      <c r="A547" s="1">
        <v>590.0</v>
      </c>
      <c r="B547" s="1" t="s">
        <v>18636</v>
      </c>
      <c r="E547" s="1" t="s">
        <v>50</v>
      </c>
      <c r="F547" s="1" t="s">
        <v>10220</v>
      </c>
      <c r="G547" s="90">
        <v>46006.7452662037</v>
      </c>
      <c r="H547" s="90">
        <v>46006.7452662037</v>
      </c>
      <c r="I547" s="1" t="s">
        <v>16476</v>
      </c>
    </row>
    <row r="548">
      <c r="A548" s="1">
        <v>589.0</v>
      </c>
      <c r="B548" s="1" t="s">
        <v>18637</v>
      </c>
      <c r="E548" s="1" t="s">
        <v>50</v>
      </c>
      <c r="F548" s="1" t="s">
        <v>10220</v>
      </c>
      <c r="G548" s="90">
        <v>46006.7452662037</v>
      </c>
      <c r="H548" s="90">
        <v>46006.7452662037</v>
      </c>
      <c r="I548" s="1" t="s">
        <v>16476</v>
      </c>
    </row>
    <row r="549">
      <c r="A549" s="1">
        <v>588.0</v>
      </c>
      <c r="B549" s="1" t="s">
        <v>18638</v>
      </c>
      <c r="E549" s="1" t="s">
        <v>50</v>
      </c>
      <c r="F549" s="1" t="s">
        <v>10220</v>
      </c>
      <c r="G549" s="90">
        <v>46006.745254629626</v>
      </c>
      <c r="H549" s="90">
        <v>46006.745254629626</v>
      </c>
      <c r="I549" s="1" t="s">
        <v>16476</v>
      </c>
    </row>
    <row r="550">
      <c r="A550" s="1">
        <v>587.0</v>
      </c>
      <c r="B550" s="1" t="s">
        <v>18639</v>
      </c>
      <c r="E550" s="1" t="s">
        <v>50</v>
      </c>
      <c r="F550" s="1" t="s">
        <v>10220</v>
      </c>
      <c r="G550" s="90">
        <v>46006.745254629626</v>
      </c>
      <c r="H550" s="90">
        <v>46006.745254629626</v>
      </c>
      <c r="I550" s="1" t="s">
        <v>16476</v>
      </c>
    </row>
    <row r="551">
      <c r="A551" s="1">
        <v>586.0</v>
      </c>
      <c r="B551" s="1" t="s">
        <v>18640</v>
      </c>
      <c r="E551" s="1" t="s">
        <v>50</v>
      </c>
      <c r="F551" s="1" t="s">
        <v>10220</v>
      </c>
      <c r="G551" s="90">
        <v>46006.745254629626</v>
      </c>
      <c r="H551" s="90">
        <v>46006.745254629626</v>
      </c>
      <c r="I551" s="1" t="s">
        <v>16476</v>
      </c>
    </row>
    <row r="552">
      <c r="A552" s="1">
        <v>585.0</v>
      </c>
      <c r="B552" s="1" t="s">
        <v>18641</v>
      </c>
      <c r="E552" s="1" t="s">
        <v>50</v>
      </c>
      <c r="F552" s="1" t="s">
        <v>10220</v>
      </c>
      <c r="G552" s="90">
        <v>46006.74524305556</v>
      </c>
      <c r="H552" s="90">
        <v>46006.74524305556</v>
      </c>
      <c r="I552" s="1" t="s">
        <v>16476</v>
      </c>
    </row>
    <row r="553">
      <c r="A553" s="1">
        <v>584.0</v>
      </c>
      <c r="B553" s="1" t="s">
        <v>18642</v>
      </c>
      <c r="E553" s="1" t="s">
        <v>50</v>
      </c>
      <c r="F553" s="1" t="s">
        <v>10220</v>
      </c>
      <c r="G553" s="90">
        <v>46006.74524305556</v>
      </c>
      <c r="H553" s="90">
        <v>46006.74524305556</v>
      </c>
      <c r="I553" s="1" t="s">
        <v>16476</v>
      </c>
    </row>
    <row r="554">
      <c r="A554" s="1">
        <v>583.0</v>
      </c>
      <c r="B554" s="1" t="s">
        <v>18643</v>
      </c>
      <c r="E554" s="1" t="s">
        <v>50</v>
      </c>
      <c r="F554" s="1" t="s">
        <v>10220</v>
      </c>
      <c r="G554" s="90">
        <v>46006.74524305556</v>
      </c>
      <c r="H554" s="90">
        <v>46006.74524305556</v>
      </c>
      <c r="I554" s="1" t="s">
        <v>16476</v>
      </c>
    </row>
    <row r="555">
      <c r="A555" s="1">
        <v>582.0</v>
      </c>
      <c r="B555" s="1" t="s">
        <v>18644</v>
      </c>
      <c r="E555" s="1" t="s">
        <v>50</v>
      </c>
      <c r="F555" s="1" t="s">
        <v>10220</v>
      </c>
      <c r="G555" s="90">
        <v>46006.74523148148</v>
      </c>
      <c r="H555" s="90">
        <v>46006.74523148148</v>
      </c>
      <c r="I555" s="1" t="s">
        <v>16476</v>
      </c>
    </row>
    <row r="556">
      <c r="A556" s="1">
        <v>581.0</v>
      </c>
      <c r="B556" s="1" t="s">
        <v>18645</v>
      </c>
      <c r="E556" s="1" t="s">
        <v>50</v>
      </c>
      <c r="F556" s="1" t="s">
        <v>10220</v>
      </c>
      <c r="G556" s="90">
        <v>46006.74523148148</v>
      </c>
      <c r="H556" s="90">
        <v>46006.74523148148</v>
      </c>
      <c r="I556" s="1" t="s">
        <v>16476</v>
      </c>
    </row>
    <row r="557">
      <c r="A557" s="1">
        <v>580.0</v>
      </c>
      <c r="B557" s="1" t="s">
        <v>18646</v>
      </c>
      <c r="E557" s="1" t="s">
        <v>50</v>
      </c>
      <c r="F557" s="1" t="s">
        <v>10220</v>
      </c>
      <c r="G557" s="90">
        <v>46006.74521990741</v>
      </c>
      <c r="H557" s="90">
        <v>46006.74521990741</v>
      </c>
      <c r="I557" s="1" t="s">
        <v>16476</v>
      </c>
    </row>
    <row r="558">
      <c r="A558" s="1">
        <v>579.0</v>
      </c>
      <c r="B558" s="1" t="s">
        <v>18647</v>
      </c>
      <c r="E558" s="1" t="s">
        <v>50</v>
      </c>
      <c r="F558" s="1" t="s">
        <v>10220</v>
      </c>
      <c r="G558" s="90">
        <v>46006.74521990741</v>
      </c>
      <c r="H558" s="90">
        <v>46006.74521990741</v>
      </c>
      <c r="I558" s="1" t="s">
        <v>16476</v>
      </c>
    </row>
    <row r="559">
      <c r="A559" s="1">
        <v>578.0</v>
      </c>
      <c r="B559" s="1" t="s">
        <v>18648</v>
      </c>
      <c r="E559" s="1" t="s">
        <v>50</v>
      </c>
      <c r="F559" s="1" t="s">
        <v>10220</v>
      </c>
      <c r="G559" s="90">
        <v>46006.74521990741</v>
      </c>
      <c r="H559" s="90">
        <v>46006.74521990741</v>
      </c>
      <c r="I559" s="1" t="s">
        <v>16476</v>
      </c>
    </row>
    <row r="560">
      <c r="A560" s="1">
        <v>576.0</v>
      </c>
      <c r="B560" s="1" t="s">
        <v>18649</v>
      </c>
      <c r="E560" s="1" t="s">
        <v>50</v>
      </c>
      <c r="F560" s="1" t="s">
        <v>10220</v>
      </c>
      <c r="G560" s="90">
        <v>46006.745208333334</v>
      </c>
      <c r="H560" s="90">
        <v>46006.745208333334</v>
      </c>
      <c r="I560" s="1" t="s">
        <v>16476</v>
      </c>
    </row>
    <row r="561">
      <c r="A561" s="1">
        <v>575.0</v>
      </c>
      <c r="B561" s="1" t="s">
        <v>18650</v>
      </c>
      <c r="E561" s="1" t="s">
        <v>50</v>
      </c>
      <c r="F561" s="1" t="s">
        <v>10220</v>
      </c>
      <c r="G561" s="90">
        <v>46006.745208333334</v>
      </c>
      <c r="H561" s="90">
        <v>46006.745208333334</v>
      </c>
      <c r="I561" s="1" t="s">
        <v>16476</v>
      </c>
    </row>
    <row r="562">
      <c r="A562" s="1">
        <v>573.0</v>
      </c>
      <c r="B562" s="1" t="s">
        <v>18651</v>
      </c>
      <c r="E562" s="1" t="s">
        <v>50</v>
      </c>
      <c r="F562" s="1" t="s">
        <v>10220</v>
      </c>
      <c r="G562" s="90">
        <v>46006.74519675926</v>
      </c>
      <c r="H562" s="90">
        <v>46006.74519675926</v>
      </c>
      <c r="I562" s="1" t="s">
        <v>16476</v>
      </c>
    </row>
    <row r="563">
      <c r="A563" s="1">
        <v>572.0</v>
      </c>
      <c r="B563" s="1" t="s">
        <v>18652</v>
      </c>
      <c r="E563" s="1" t="s">
        <v>50</v>
      </c>
      <c r="F563" s="1" t="s">
        <v>10220</v>
      </c>
      <c r="G563" s="90">
        <v>46006.74519675926</v>
      </c>
      <c r="H563" s="90">
        <v>46006.74519675926</v>
      </c>
      <c r="I563" s="1" t="s">
        <v>16476</v>
      </c>
    </row>
    <row r="564">
      <c r="A564" s="1">
        <v>571.0</v>
      </c>
      <c r="B564" s="1" t="s">
        <v>18653</v>
      </c>
      <c r="E564" s="1" t="s">
        <v>50</v>
      </c>
      <c r="F564" s="1" t="s">
        <v>10220</v>
      </c>
      <c r="G564" s="90">
        <v>46006.74518518519</v>
      </c>
      <c r="H564" s="90">
        <v>46006.74518518519</v>
      </c>
      <c r="I564" s="1" t="s">
        <v>16476</v>
      </c>
    </row>
    <row r="565">
      <c r="A565" s="1">
        <v>569.0</v>
      </c>
      <c r="B565" s="1" t="s">
        <v>18654</v>
      </c>
      <c r="E565" s="1" t="s">
        <v>50</v>
      </c>
      <c r="F565" s="1" t="s">
        <v>10220</v>
      </c>
      <c r="G565" s="90">
        <v>46006.74517361111</v>
      </c>
      <c r="H565" s="90">
        <v>46006.74517361111</v>
      </c>
      <c r="I565" s="1" t="s">
        <v>16476</v>
      </c>
    </row>
    <row r="566">
      <c r="A566" s="1">
        <v>567.0</v>
      </c>
      <c r="B566" s="1" t="s">
        <v>18655</v>
      </c>
      <c r="E566" s="1" t="s">
        <v>50</v>
      </c>
      <c r="F566" s="1" t="s">
        <v>10220</v>
      </c>
      <c r="G566" s="90">
        <v>46006.74517361111</v>
      </c>
      <c r="H566" s="90">
        <v>46006.74517361111</v>
      </c>
      <c r="I566" s="1" t="s">
        <v>16476</v>
      </c>
    </row>
    <row r="567">
      <c r="A567" s="1">
        <v>566.0</v>
      </c>
      <c r="B567" s="1" t="s">
        <v>18640</v>
      </c>
      <c r="E567" s="1" t="s">
        <v>50</v>
      </c>
      <c r="F567" s="1" t="s">
        <v>10220</v>
      </c>
      <c r="G567" s="90">
        <v>46006.745162037034</v>
      </c>
      <c r="H567" s="90">
        <v>46006.745162037034</v>
      </c>
      <c r="I567" s="1" t="s">
        <v>16476</v>
      </c>
    </row>
    <row r="568">
      <c r="A568" s="1">
        <v>564.0</v>
      </c>
      <c r="B568" s="1" t="s">
        <v>18656</v>
      </c>
      <c r="E568" s="1" t="s">
        <v>50</v>
      </c>
      <c r="F568" s="1" t="s">
        <v>10220</v>
      </c>
      <c r="G568" s="90">
        <v>46006.745162037034</v>
      </c>
      <c r="H568" s="90">
        <v>46006.745162037034</v>
      </c>
      <c r="I568" s="1" t="s">
        <v>16476</v>
      </c>
    </row>
    <row r="569">
      <c r="A569" s="1">
        <v>563.0</v>
      </c>
      <c r="B569" s="1" t="s">
        <v>18657</v>
      </c>
      <c r="E569" s="1" t="s">
        <v>50</v>
      </c>
      <c r="F569" s="1" t="s">
        <v>10220</v>
      </c>
      <c r="G569" s="90">
        <v>46006.745150462964</v>
      </c>
      <c r="H569" s="90">
        <v>46006.745150462964</v>
      </c>
      <c r="I569" s="1" t="s">
        <v>16476</v>
      </c>
    </row>
    <row r="570">
      <c r="A570" s="1">
        <v>562.0</v>
      </c>
      <c r="B570" s="1" t="s">
        <v>18658</v>
      </c>
      <c r="E570" s="1" t="s">
        <v>50</v>
      </c>
      <c r="F570" s="1" t="s">
        <v>10220</v>
      </c>
      <c r="G570" s="90">
        <v>46006.745150462964</v>
      </c>
      <c r="H570" s="90">
        <v>46006.745150462964</v>
      </c>
      <c r="I570" s="1" t="s">
        <v>16476</v>
      </c>
    </row>
    <row r="571">
      <c r="A571" s="1">
        <v>561.0</v>
      </c>
      <c r="B571" s="1" t="s">
        <v>18659</v>
      </c>
      <c r="E571" s="1" t="s">
        <v>50</v>
      </c>
      <c r="F571" s="1" t="s">
        <v>10220</v>
      </c>
      <c r="G571" s="90">
        <v>46006.745150462964</v>
      </c>
      <c r="H571" s="90">
        <v>46006.745150462964</v>
      </c>
      <c r="I571" s="1" t="s">
        <v>16476</v>
      </c>
    </row>
    <row r="572">
      <c r="A572" s="1">
        <v>560.0</v>
      </c>
      <c r="B572" s="1" t="s">
        <v>18660</v>
      </c>
      <c r="E572" s="1" t="s">
        <v>50</v>
      </c>
      <c r="F572" s="1" t="s">
        <v>10220</v>
      </c>
      <c r="G572" s="90">
        <v>46006.74513888889</v>
      </c>
      <c r="H572" s="90">
        <v>46006.74513888889</v>
      </c>
      <c r="I572" s="1" t="s">
        <v>16476</v>
      </c>
    </row>
    <row r="573">
      <c r="A573" s="1">
        <v>559.0</v>
      </c>
      <c r="B573" s="1" t="s">
        <v>18661</v>
      </c>
      <c r="E573" s="1" t="s">
        <v>50</v>
      </c>
      <c r="F573" s="1" t="s">
        <v>10220</v>
      </c>
      <c r="G573" s="90">
        <v>46006.74513888889</v>
      </c>
      <c r="H573" s="90">
        <v>46006.74513888889</v>
      </c>
      <c r="I573" s="1" t="s">
        <v>16476</v>
      </c>
    </row>
    <row r="574">
      <c r="A574" s="1">
        <v>558.0</v>
      </c>
      <c r="B574" s="1" t="s">
        <v>18662</v>
      </c>
      <c r="E574" s="1" t="s">
        <v>50</v>
      </c>
      <c r="F574" s="1" t="s">
        <v>10220</v>
      </c>
      <c r="G574" s="90">
        <v>46006.74513888889</v>
      </c>
      <c r="H574" s="90">
        <v>46006.74513888889</v>
      </c>
      <c r="I574" s="1" t="s">
        <v>16476</v>
      </c>
    </row>
    <row r="575">
      <c r="A575" s="1">
        <v>557.0</v>
      </c>
      <c r="B575" s="1" t="s">
        <v>18663</v>
      </c>
      <c r="E575" s="1" t="s">
        <v>50</v>
      </c>
      <c r="F575" s="1" t="s">
        <v>10220</v>
      </c>
      <c r="G575" s="90">
        <v>46006.74512731482</v>
      </c>
      <c r="H575" s="90">
        <v>46006.74512731482</v>
      </c>
      <c r="I575" s="1" t="s">
        <v>16476</v>
      </c>
    </row>
    <row r="576">
      <c r="A576" s="1">
        <v>555.0</v>
      </c>
      <c r="B576" s="1" t="s">
        <v>18664</v>
      </c>
      <c r="E576" s="1" t="s">
        <v>50</v>
      </c>
      <c r="F576" s="1" t="s">
        <v>10220</v>
      </c>
      <c r="G576" s="90">
        <v>46006.74511574074</v>
      </c>
      <c r="H576" s="90">
        <v>46006.74511574074</v>
      </c>
      <c r="I576" s="1" t="s">
        <v>16476</v>
      </c>
    </row>
    <row r="577">
      <c r="A577" s="1">
        <v>554.0</v>
      </c>
      <c r="B577" s="1" t="s">
        <v>18665</v>
      </c>
      <c r="E577" s="1" t="s">
        <v>50</v>
      </c>
      <c r="F577" s="1" t="s">
        <v>10220</v>
      </c>
      <c r="G577" s="90">
        <v>46006.74511574074</v>
      </c>
      <c r="H577" s="90">
        <v>46006.74511574074</v>
      </c>
      <c r="I577" s="1" t="s">
        <v>16476</v>
      </c>
    </row>
    <row r="578">
      <c r="A578" s="1">
        <v>552.0</v>
      </c>
      <c r="B578" s="1" t="s">
        <v>18666</v>
      </c>
      <c r="E578" s="1" t="s">
        <v>50</v>
      </c>
      <c r="F578" s="1" t="s">
        <v>10220</v>
      </c>
      <c r="G578" s="90">
        <v>46006.745104166665</v>
      </c>
      <c r="H578" s="90">
        <v>46006.745104166665</v>
      </c>
      <c r="I578" s="1" t="s">
        <v>16476</v>
      </c>
    </row>
    <row r="579">
      <c r="A579" s="1">
        <v>551.0</v>
      </c>
      <c r="B579" s="1" t="s">
        <v>18667</v>
      </c>
      <c r="E579" s="1" t="s">
        <v>50</v>
      </c>
      <c r="F579" s="1" t="s">
        <v>10220</v>
      </c>
      <c r="G579" s="90">
        <v>46006.745104166665</v>
      </c>
      <c r="H579" s="90">
        <v>46006.745104166665</v>
      </c>
      <c r="I579" s="1" t="s">
        <v>16476</v>
      </c>
    </row>
    <row r="580">
      <c r="A580" s="1">
        <v>550.0</v>
      </c>
      <c r="B580" s="1" t="s">
        <v>18668</v>
      </c>
      <c r="E580" s="1" t="s">
        <v>50</v>
      </c>
      <c r="F580" s="1" t="s">
        <v>10220</v>
      </c>
      <c r="G580" s="90">
        <v>46006.745104166665</v>
      </c>
      <c r="H580" s="90">
        <v>46006.745104166665</v>
      </c>
      <c r="I580" s="1" t="s">
        <v>16476</v>
      </c>
    </row>
    <row r="581">
      <c r="A581" s="1">
        <v>549.0</v>
      </c>
      <c r="B581" s="1" t="s">
        <v>18669</v>
      </c>
      <c r="E581" s="1" t="s">
        <v>50</v>
      </c>
      <c r="F581" s="1" t="s">
        <v>10220</v>
      </c>
      <c r="G581" s="90">
        <v>46006.745092592595</v>
      </c>
      <c r="H581" s="90">
        <v>46006.745092592595</v>
      </c>
      <c r="I581" s="1" t="s">
        <v>16476</v>
      </c>
    </row>
    <row r="582">
      <c r="A582" s="1">
        <v>548.0</v>
      </c>
      <c r="B582" s="1" t="s">
        <v>18670</v>
      </c>
      <c r="E582" s="1" t="s">
        <v>50</v>
      </c>
      <c r="F582" s="1" t="s">
        <v>10220</v>
      </c>
      <c r="G582" s="90">
        <v>46006.745092592595</v>
      </c>
      <c r="H582" s="90">
        <v>46006.745092592595</v>
      </c>
      <c r="I582" s="1" t="s">
        <v>16476</v>
      </c>
    </row>
    <row r="583">
      <c r="A583" s="1">
        <v>547.0</v>
      </c>
      <c r="B583" s="1" t="s">
        <v>18671</v>
      </c>
      <c r="E583" s="1" t="s">
        <v>50</v>
      </c>
      <c r="F583" s="1" t="s">
        <v>10220</v>
      </c>
      <c r="G583" s="90">
        <v>46006.745092592595</v>
      </c>
      <c r="H583" s="90">
        <v>46006.745092592595</v>
      </c>
      <c r="I583" s="1" t="s">
        <v>16476</v>
      </c>
    </row>
    <row r="584">
      <c r="A584" s="1">
        <v>544.0</v>
      </c>
      <c r="B584" s="1" t="s">
        <v>18672</v>
      </c>
      <c r="E584" s="1" t="s">
        <v>50</v>
      </c>
      <c r="F584" s="1" t="s">
        <v>10220</v>
      </c>
      <c r="G584" s="90">
        <v>46006.74508101852</v>
      </c>
      <c r="H584" s="90">
        <v>46006.74508101852</v>
      </c>
      <c r="I584" s="1" t="s">
        <v>16476</v>
      </c>
    </row>
    <row r="585">
      <c r="A585" s="1">
        <v>543.0</v>
      </c>
      <c r="B585" s="1" t="s">
        <v>18673</v>
      </c>
      <c r="E585" s="1" t="s">
        <v>50</v>
      </c>
      <c r="F585" s="1" t="s">
        <v>10220</v>
      </c>
      <c r="G585" s="90">
        <v>46006.74506944444</v>
      </c>
      <c r="H585" s="90">
        <v>46006.74506944444</v>
      </c>
      <c r="I585" s="1" t="s">
        <v>16476</v>
      </c>
    </row>
    <row r="586">
      <c r="A586" s="1">
        <v>542.0</v>
      </c>
      <c r="B586" s="1" t="s">
        <v>18674</v>
      </c>
      <c r="E586" s="1" t="s">
        <v>50</v>
      </c>
      <c r="F586" s="1" t="s">
        <v>10220</v>
      </c>
      <c r="G586" s="90">
        <v>46006.74506944444</v>
      </c>
      <c r="H586" s="90">
        <v>46006.74506944444</v>
      </c>
      <c r="I586" s="1" t="s">
        <v>16476</v>
      </c>
    </row>
    <row r="587">
      <c r="A587" s="1">
        <v>541.0</v>
      </c>
      <c r="B587" s="1" t="s">
        <v>18675</v>
      </c>
      <c r="E587" s="1" t="s">
        <v>50</v>
      </c>
      <c r="F587" s="1" t="s">
        <v>10220</v>
      </c>
      <c r="G587" s="90">
        <v>46006.74505787037</v>
      </c>
      <c r="H587" s="90">
        <v>46006.74505787037</v>
      </c>
      <c r="I587" s="1" t="s">
        <v>16476</v>
      </c>
    </row>
    <row r="588">
      <c r="A588" s="1">
        <v>540.0</v>
      </c>
      <c r="B588" s="1" t="s">
        <v>18676</v>
      </c>
      <c r="E588" s="1" t="s">
        <v>50</v>
      </c>
      <c r="F588" s="1" t="s">
        <v>10220</v>
      </c>
      <c r="G588" s="90">
        <v>46006.74505787037</v>
      </c>
      <c r="H588" s="90">
        <v>46006.74505787037</v>
      </c>
      <c r="I588" s="1" t="s">
        <v>16476</v>
      </c>
    </row>
    <row r="589">
      <c r="A589" s="1">
        <v>539.0</v>
      </c>
      <c r="B589" s="1" t="s">
        <v>18677</v>
      </c>
      <c r="E589" s="1" t="s">
        <v>50</v>
      </c>
      <c r="F589" s="1" t="s">
        <v>10220</v>
      </c>
      <c r="G589" s="90">
        <v>46006.74505787037</v>
      </c>
      <c r="H589" s="90">
        <v>46006.74505787037</v>
      </c>
      <c r="I589" s="1" t="s">
        <v>16476</v>
      </c>
    </row>
    <row r="590">
      <c r="A590" s="1">
        <v>538.0</v>
      </c>
      <c r="B590" s="1" t="s">
        <v>18678</v>
      </c>
      <c r="E590" s="1" t="s">
        <v>50</v>
      </c>
      <c r="F590" s="1" t="s">
        <v>10220</v>
      </c>
      <c r="G590" s="90">
        <v>46006.745046296295</v>
      </c>
      <c r="H590" s="90">
        <v>46006.745046296295</v>
      </c>
      <c r="I590" s="1" t="s">
        <v>16476</v>
      </c>
    </row>
    <row r="591">
      <c r="A591" s="1">
        <v>537.0</v>
      </c>
      <c r="B591" s="1" t="s">
        <v>18679</v>
      </c>
      <c r="E591" s="1" t="s">
        <v>50</v>
      </c>
      <c r="F591" s="1" t="s">
        <v>10220</v>
      </c>
      <c r="G591" s="90">
        <v>46006.745046296295</v>
      </c>
      <c r="H591" s="90">
        <v>46006.745046296295</v>
      </c>
      <c r="I591" s="1" t="s">
        <v>16476</v>
      </c>
    </row>
    <row r="592">
      <c r="A592" s="1">
        <v>536.0</v>
      </c>
      <c r="B592" s="1" t="s">
        <v>18680</v>
      </c>
      <c r="E592" s="1" t="s">
        <v>50</v>
      </c>
      <c r="F592" s="1" t="s">
        <v>10220</v>
      </c>
      <c r="G592" s="90">
        <v>46006.745046296295</v>
      </c>
      <c r="H592" s="90">
        <v>46006.745046296295</v>
      </c>
      <c r="I592" s="1" t="s">
        <v>16476</v>
      </c>
    </row>
    <row r="593">
      <c r="A593" s="1">
        <v>535.0</v>
      </c>
      <c r="B593" s="1" t="s">
        <v>18681</v>
      </c>
      <c r="E593" s="1" t="s">
        <v>50</v>
      </c>
      <c r="F593" s="1" t="s">
        <v>10220</v>
      </c>
      <c r="G593" s="90">
        <v>46006.745034722226</v>
      </c>
      <c r="H593" s="90">
        <v>46006.745034722226</v>
      </c>
      <c r="I593" s="1" t="s">
        <v>16476</v>
      </c>
    </row>
    <row r="594">
      <c r="A594" s="1">
        <v>534.0</v>
      </c>
      <c r="B594" s="1" t="s">
        <v>18682</v>
      </c>
      <c r="E594" s="1" t="s">
        <v>50</v>
      </c>
      <c r="F594" s="1" t="s">
        <v>10220</v>
      </c>
      <c r="G594" s="90">
        <v>46006.745034722226</v>
      </c>
      <c r="H594" s="90">
        <v>46006.745034722226</v>
      </c>
      <c r="I594" s="1" t="s">
        <v>16476</v>
      </c>
    </row>
    <row r="595">
      <c r="A595" s="1">
        <v>532.0</v>
      </c>
      <c r="B595" s="1" t="s">
        <v>18683</v>
      </c>
      <c r="E595" s="1" t="s">
        <v>50</v>
      </c>
      <c r="F595" s="1" t="s">
        <v>10220</v>
      </c>
      <c r="G595" s="90">
        <v>46006.74502314815</v>
      </c>
      <c r="H595" s="90">
        <v>46006.74502314815</v>
      </c>
      <c r="I595" s="1" t="s">
        <v>16476</v>
      </c>
    </row>
    <row r="596">
      <c r="A596" s="1">
        <v>518.0</v>
      </c>
      <c r="B596" s="1" t="s">
        <v>18684</v>
      </c>
      <c r="E596" s="1" t="s">
        <v>50</v>
      </c>
      <c r="F596" s="1" t="s">
        <v>10220</v>
      </c>
      <c r="G596" s="90">
        <v>46006.74496527778</v>
      </c>
      <c r="H596" s="90">
        <v>46006.74496527778</v>
      </c>
      <c r="I596" s="1" t="s">
        <v>16476</v>
      </c>
    </row>
    <row r="597">
      <c r="A597" s="1">
        <v>501.0</v>
      </c>
      <c r="B597" s="1" t="s">
        <v>18685</v>
      </c>
      <c r="E597" s="1" t="s">
        <v>50</v>
      </c>
      <c r="F597" s="1" t="s">
        <v>10220</v>
      </c>
      <c r="G597" s="90">
        <v>46006.74489583333</v>
      </c>
      <c r="H597" s="90">
        <v>46006.74489583333</v>
      </c>
      <c r="I597" s="1" t="s">
        <v>16476</v>
      </c>
    </row>
    <row r="598">
      <c r="A598" s="1">
        <v>500.0</v>
      </c>
      <c r="B598" s="1" t="s">
        <v>18686</v>
      </c>
      <c r="E598" s="1" t="s">
        <v>50</v>
      </c>
      <c r="F598" s="1" t="s">
        <v>10220</v>
      </c>
      <c r="G598" s="90">
        <v>46006.74488425926</v>
      </c>
      <c r="H598" s="90">
        <v>46006.74488425926</v>
      </c>
      <c r="I598" s="1" t="s">
        <v>16476</v>
      </c>
    </row>
    <row r="599">
      <c r="A599" s="1">
        <v>496.0</v>
      </c>
      <c r="B599" s="1" t="s">
        <v>17750</v>
      </c>
      <c r="E599" s="1" t="s">
        <v>50</v>
      </c>
      <c r="F599" s="1" t="s">
        <v>10220</v>
      </c>
      <c r="G599" s="90">
        <v>45933.46606481481</v>
      </c>
      <c r="H599" s="90">
        <v>45985.8425462963</v>
      </c>
      <c r="I599" s="1" t="s">
        <v>16476</v>
      </c>
    </row>
    <row r="600">
      <c r="A600" s="1">
        <v>498.0</v>
      </c>
      <c r="B600" s="1" t="s">
        <v>18687</v>
      </c>
      <c r="E600" s="1" t="s">
        <v>18688</v>
      </c>
      <c r="F600" s="1" t="s">
        <v>10220</v>
      </c>
      <c r="G600" s="90">
        <v>45938.67935185185</v>
      </c>
      <c r="H600" s="90">
        <v>45985.48982638889</v>
      </c>
      <c r="I600" s="1" t="s">
        <v>16476</v>
      </c>
    </row>
    <row r="601">
      <c r="A601" s="1">
        <v>491.0</v>
      </c>
      <c r="B601" s="1" t="s">
        <v>13487</v>
      </c>
      <c r="E601" s="1" t="s">
        <v>18689</v>
      </c>
      <c r="F601" s="1" t="s">
        <v>10220</v>
      </c>
      <c r="G601" s="90">
        <v>45678.839583333334</v>
      </c>
      <c r="H601" s="90">
        <v>45959.047847222224</v>
      </c>
      <c r="I601" s="1" t="s">
        <v>16476</v>
      </c>
    </row>
    <row r="602">
      <c r="A602" s="1">
        <v>110.0</v>
      </c>
      <c r="B602" s="1" t="s">
        <v>18690</v>
      </c>
      <c r="E602" s="1" t="s">
        <v>18691</v>
      </c>
      <c r="F602" s="1" t="s">
        <v>10220</v>
      </c>
      <c r="G602" s="90">
        <v>45113.53759259259</v>
      </c>
      <c r="H602" s="90">
        <v>45955.38752314815</v>
      </c>
      <c r="I602" s="1" t="s">
        <v>16476</v>
      </c>
    </row>
    <row r="603">
      <c r="A603" s="1">
        <v>492.0</v>
      </c>
      <c r="B603" s="1" t="s">
        <v>18692</v>
      </c>
      <c r="E603" s="1" t="s">
        <v>50</v>
      </c>
      <c r="F603" s="1" t="s">
        <v>10220</v>
      </c>
      <c r="G603" s="90">
        <v>45887.98925925926</v>
      </c>
      <c r="H603" s="90">
        <v>45950.914930555555</v>
      </c>
      <c r="I603" s="1" t="s">
        <v>16476</v>
      </c>
    </row>
    <row r="604">
      <c r="A604" s="1">
        <v>499.0</v>
      </c>
      <c r="B604" s="1" t="s">
        <v>18693</v>
      </c>
      <c r="E604" s="1" t="s">
        <v>18694</v>
      </c>
      <c r="F604" s="1" t="s">
        <v>10220</v>
      </c>
      <c r="G604" s="90">
        <v>45943.63623842593</v>
      </c>
      <c r="H604" s="90">
        <v>45943.66211805555</v>
      </c>
      <c r="I604" s="1" t="s">
        <v>16476</v>
      </c>
    </row>
    <row r="605">
      <c r="A605" s="1">
        <v>497.0</v>
      </c>
      <c r="B605" s="1" t="s">
        <v>18695</v>
      </c>
      <c r="E605" s="1" t="s">
        <v>18696</v>
      </c>
      <c r="F605" s="1" t="s">
        <v>10220</v>
      </c>
      <c r="G605" s="90">
        <v>45938.6709837963</v>
      </c>
      <c r="H605" s="90">
        <v>45943.66135416667</v>
      </c>
      <c r="I605" s="1" t="s">
        <v>16476</v>
      </c>
    </row>
    <row r="606">
      <c r="A606" s="1">
        <v>495.0</v>
      </c>
      <c r="B606" s="1" t="s">
        <v>3820</v>
      </c>
      <c r="E606" s="1" t="s">
        <v>50</v>
      </c>
      <c r="F606" s="1" t="s">
        <v>5368</v>
      </c>
      <c r="G606" s="90">
        <v>45721.91395833333</v>
      </c>
      <c r="H606" s="90">
        <v>45929.6853125</v>
      </c>
      <c r="I606" s="1" t="s">
        <v>16476</v>
      </c>
    </row>
    <row r="607">
      <c r="A607" s="1">
        <v>493.0</v>
      </c>
      <c r="B607" s="1" t="s">
        <v>18697</v>
      </c>
      <c r="E607" s="1" t="s">
        <v>50</v>
      </c>
      <c r="F607" s="1" t="s">
        <v>5368</v>
      </c>
      <c r="G607" s="90">
        <v>45925.55925925926</v>
      </c>
      <c r="H607" s="90">
        <v>45925.559479166666</v>
      </c>
      <c r="I607" s="1" t="s">
        <v>16476</v>
      </c>
    </row>
    <row r="608">
      <c r="A608" s="1">
        <v>34.0</v>
      </c>
      <c r="B608" s="1" t="s">
        <v>18698</v>
      </c>
      <c r="E608" s="1" t="s">
        <v>50</v>
      </c>
      <c r="F608" s="1" t="s">
        <v>10220</v>
      </c>
      <c r="G608" s="90">
        <v>45113.53686342593</v>
      </c>
      <c r="H608" s="90">
        <v>45798.91454861111</v>
      </c>
      <c r="I608" s="1" t="s">
        <v>16476</v>
      </c>
    </row>
    <row r="609">
      <c r="A609" s="1">
        <v>164.0</v>
      </c>
      <c r="B609" s="1" t="s">
        <v>18699</v>
      </c>
      <c r="E609" s="1" t="s">
        <v>1597</v>
      </c>
      <c r="F609" s="1" t="s">
        <v>10220</v>
      </c>
      <c r="G609" s="90">
        <v>45113.538125</v>
      </c>
      <c r="H609" s="90">
        <v>45798.894108796296</v>
      </c>
      <c r="I609" s="1" t="s">
        <v>16476</v>
      </c>
    </row>
    <row r="610">
      <c r="A610" s="1">
        <v>363.0</v>
      </c>
      <c r="B610" s="1" t="s">
        <v>18700</v>
      </c>
      <c r="E610" s="1" t="s">
        <v>50</v>
      </c>
      <c r="F610" s="1" t="s">
        <v>10220</v>
      </c>
      <c r="G610" s="90">
        <v>45113.54002314815</v>
      </c>
      <c r="H610" s="90">
        <v>45798.86929398148</v>
      </c>
      <c r="I610" s="1" t="s">
        <v>16476</v>
      </c>
    </row>
    <row r="611">
      <c r="A611" s="1">
        <v>45.0</v>
      </c>
      <c r="B611" s="1" t="s">
        <v>18701</v>
      </c>
      <c r="E611" s="1" t="s">
        <v>18702</v>
      </c>
      <c r="F611" s="1" t="s">
        <v>10220</v>
      </c>
      <c r="G611" s="90">
        <v>45113.53696759259</v>
      </c>
      <c r="H611" s="90">
        <v>45772.67778935185</v>
      </c>
      <c r="I611" s="1" t="s">
        <v>16476</v>
      </c>
    </row>
    <row r="612">
      <c r="A612" s="1">
        <v>49.0</v>
      </c>
      <c r="B612" s="1" t="s">
        <v>18703</v>
      </c>
      <c r="E612" s="1" t="s">
        <v>50</v>
      </c>
      <c r="F612" s="1" t="s">
        <v>10220</v>
      </c>
      <c r="G612" s="90">
        <v>45113.53701388889</v>
      </c>
      <c r="H612" s="90">
        <v>45772.675462962965</v>
      </c>
      <c r="I612" s="1" t="s">
        <v>16476</v>
      </c>
    </row>
    <row r="613">
      <c r="A613" s="1">
        <v>136.0</v>
      </c>
      <c r="B613" s="1" t="s">
        <v>18704</v>
      </c>
      <c r="E613" s="1" t="s">
        <v>1369</v>
      </c>
      <c r="F613" s="1" t="s">
        <v>10220</v>
      </c>
      <c r="G613" s="90">
        <v>45113.537835648145</v>
      </c>
      <c r="H613" s="90">
        <v>45772.6169212963</v>
      </c>
      <c r="I613" s="1" t="s">
        <v>16476</v>
      </c>
    </row>
    <row r="614">
      <c r="A614" s="1">
        <v>147.0</v>
      </c>
      <c r="B614" s="1" t="s">
        <v>18705</v>
      </c>
      <c r="E614" s="1" t="s">
        <v>1465</v>
      </c>
      <c r="F614" s="1" t="s">
        <v>10220</v>
      </c>
      <c r="G614" s="90">
        <v>45113.53796296296</v>
      </c>
      <c r="H614" s="90">
        <v>45772.61119212963</v>
      </c>
      <c r="I614" s="1" t="s">
        <v>16476</v>
      </c>
    </row>
    <row r="615">
      <c r="A615" s="1">
        <v>150.0</v>
      </c>
      <c r="B615" s="1" t="s">
        <v>18706</v>
      </c>
      <c r="E615" s="1" t="s">
        <v>50</v>
      </c>
      <c r="F615" s="1" t="s">
        <v>10220</v>
      </c>
      <c r="G615" s="90">
        <v>45113.537986111114</v>
      </c>
      <c r="H615" s="90">
        <v>45772.60975694445</v>
      </c>
      <c r="I615" s="1" t="s">
        <v>16476</v>
      </c>
    </row>
    <row r="616">
      <c r="A616" s="1">
        <v>168.0</v>
      </c>
      <c r="B616" s="1" t="s">
        <v>18707</v>
      </c>
      <c r="E616" s="1" t="s">
        <v>50</v>
      </c>
      <c r="F616" s="1" t="s">
        <v>10220</v>
      </c>
      <c r="G616" s="90">
        <v>45113.53815972222</v>
      </c>
      <c r="H616" s="90">
        <v>45772.60068287037</v>
      </c>
      <c r="I616" s="1" t="s">
        <v>16476</v>
      </c>
    </row>
    <row r="617">
      <c r="A617" s="1">
        <v>221.0</v>
      </c>
      <c r="B617" s="1" t="s">
        <v>18708</v>
      </c>
      <c r="E617" s="1" t="s">
        <v>50</v>
      </c>
      <c r="F617" s="1" t="s">
        <v>10220</v>
      </c>
      <c r="G617" s="90">
        <v>45113.538668981484</v>
      </c>
      <c r="H617" s="90">
        <v>45772.03659722222</v>
      </c>
      <c r="I617" s="1" t="s">
        <v>16476</v>
      </c>
    </row>
    <row r="618">
      <c r="A618" s="1">
        <v>367.0</v>
      </c>
      <c r="B618" s="1" t="s">
        <v>18709</v>
      </c>
      <c r="E618" s="1" t="s">
        <v>3197</v>
      </c>
      <c r="F618" s="1" t="s">
        <v>10220</v>
      </c>
      <c r="G618" s="90">
        <v>45113.54005787037</v>
      </c>
      <c r="H618" s="90">
        <v>45771.99528935185</v>
      </c>
      <c r="I618" s="1" t="s">
        <v>16476</v>
      </c>
    </row>
    <row r="619">
      <c r="A619" s="1">
        <v>475.0</v>
      </c>
      <c r="B619" s="1" t="s">
        <v>18710</v>
      </c>
      <c r="E619" s="1" t="s">
        <v>18711</v>
      </c>
      <c r="F619" s="1" t="s">
        <v>10220</v>
      </c>
      <c r="G619" s="90">
        <v>45348.630381944444</v>
      </c>
      <c r="H619" s="90">
        <v>45676.57784722222</v>
      </c>
      <c r="I619" s="1" t="s">
        <v>16476</v>
      </c>
    </row>
    <row r="620">
      <c r="A620" s="1">
        <v>490.0</v>
      </c>
      <c r="B620" s="1" t="s">
        <v>18712</v>
      </c>
      <c r="E620" s="1" t="s">
        <v>50</v>
      </c>
      <c r="F620" s="1" t="s">
        <v>10220</v>
      </c>
      <c r="G620" s="90">
        <v>45676.56811342593</v>
      </c>
      <c r="H620" s="90">
        <v>45676.572905092595</v>
      </c>
      <c r="I620" s="1" t="s">
        <v>16476</v>
      </c>
    </row>
    <row r="621">
      <c r="A621" s="1">
        <v>487.0</v>
      </c>
      <c r="B621" s="1" t="s">
        <v>18713</v>
      </c>
      <c r="E621" s="1" t="s">
        <v>18714</v>
      </c>
      <c r="F621" s="1" t="s">
        <v>10220</v>
      </c>
      <c r="G621" s="90">
        <v>45520.238344907404</v>
      </c>
      <c r="H621" s="90">
        <v>45546.028703703705</v>
      </c>
      <c r="I621" s="1" t="s">
        <v>16476</v>
      </c>
    </row>
    <row r="622">
      <c r="A622" s="1">
        <v>488.0</v>
      </c>
      <c r="B622" s="1" t="s">
        <v>18715</v>
      </c>
      <c r="E622" s="1" t="s">
        <v>50</v>
      </c>
      <c r="F622" s="1" t="s">
        <v>10220</v>
      </c>
      <c r="G622" s="90">
        <v>45520.73101851852</v>
      </c>
      <c r="H622" s="90">
        <v>45520.77974537037</v>
      </c>
      <c r="I622" s="1" t="s">
        <v>16476</v>
      </c>
    </row>
    <row r="623">
      <c r="A623" s="1">
        <v>486.0</v>
      </c>
      <c r="B623" s="1" t="s">
        <v>2384</v>
      </c>
      <c r="E623" s="1" t="s">
        <v>18716</v>
      </c>
      <c r="F623" s="1" t="s">
        <v>10220</v>
      </c>
      <c r="G623" s="90">
        <v>45511.57776620371</v>
      </c>
      <c r="H623" s="90">
        <v>45517.87440972222</v>
      </c>
      <c r="I623" s="1" t="s">
        <v>16476</v>
      </c>
    </row>
    <row r="624">
      <c r="A624" s="1">
        <v>485.0</v>
      </c>
      <c r="B624" s="1" t="s">
        <v>18717</v>
      </c>
      <c r="E624" s="1" t="s">
        <v>18718</v>
      </c>
      <c r="F624" s="1" t="s">
        <v>10220</v>
      </c>
      <c r="G624" s="90">
        <v>45472.78425925926</v>
      </c>
      <c r="H624" s="90">
        <v>45475.75219907407</v>
      </c>
      <c r="I624" s="1" t="s">
        <v>16476</v>
      </c>
    </row>
    <row r="625">
      <c r="A625" s="1">
        <v>483.0</v>
      </c>
      <c r="B625" s="1" t="s">
        <v>18719</v>
      </c>
      <c r="E625" s="1" t="s">
        <v>18720</v>
      </c>
      <c r="F625" s="1" t="s">
        <v>10220</v>
      </c>
      <c r="G625" s="90">
        <v>45422.66608796296</v>
      </c>
      <c r="H625" s="90">
        <v>45422.66675925926</v>
      </c>
      <c r="I625" s="1" t="s">
        <v>16476</v>
      </c>
    </row>
    <row r="626">
      <c r="A626" s="1">
        <v>482.0</v>
      </c>
      <c r="B626" s="1" t="s">
        <v>18140</v>
      </c>
      <c r="E626" s="1" t="s">
        <v>18721</v>
      </c>
      <c r="F626" s="1" t="s">
        <v>10220</v>
      </c>
      <c r="G626" s="90">
        <v>45413.54871527778</v>
      </c>
      <c r="H626" s="90">
        <v>45413.54903935185</v>
      </c>
      <c r="I626" s="1" t="s">
        <v>16476</v>
      </c>
    </row>
    <row r="627">
      <c r="A627" s="1">
        <v>481.0</v>
      </c>
      <c r="B627" s="1" t="s">
        <v>18722</v>
      </c>
      <c r="E627" s="1" t="s">
        <v>18723</v>
      </c>
      <c r="F627" s="1" t="s">
        <v>10220</v>
      </c>
      <c r="G627" s="90">
        <v>45405.83064814815</v>
      </c>
      <c r="H627" s="90">
        <v>45405.87496527778</v>
      </c>
      <c r="I627" s="1" t="s">
        <v>16476</v>
      </c>
    </row>
    <row r="628">
      <c r="A628" s="1">
        <v>479.0</v>
      </c>
      <c r="B628" s="1" t="s">
        <v>3728</v>
      </c>
      <c r="E628" s="1" t="s">
        <v>18724</v>
      </c>
      <c r="F628" s="1" t="s">
        <v>10220</v>
      </c>
      <c r="G628" s="90">
        <v>45377.773125</v>
      </c>
      <c r="H628" s="90">
        <v>45377.785787037035</v>
      </c>
      <c r="I628" s="1" t="s">
        <v>16476</v>
      </c>
    </row>
    <row r="629">
      <c r="A629" s="1">
        <v>478.0</v>
      </c>
      <c r="B629" s="1" t="s">
        <v>18725</v>
      </c>
      <c r="E629" s="1" t="s">
        <v>16032</v>
      </c>
      <c r="F629" s="1" t="s">
        <v>10220</v>
      </c>
      <c r="G629" s="90">
        <v>45376.74167824074</v>
      </c>
      <c r="H629" s="90">
        <v>45376.741944444446</v>
      </c>
      <c r="I629" s="1" t="s">
        <v>16476</v>
      </c>
    </row>
    <row r="630">
      <c r="A630" s="1">
        <v>477.0</v>
      </c>
      <c r="B630" s="1" t="s">
        <v>18726</v>
      </c>
      <c r="E630" s="1" t="s">
        <v>50</v>
      </c>
      <c r="F630" s="1" t="s">
        <v>10220</v>
      </c>
      <c r="G630" s="90">
        <v>45365.49165509259</v>
      </c>
      <c r="H630" s="90">
        <v>45365.492314814815</v>
      </c>
      <c r="I630" s="1" t="s">
        <v>16476</v>
      </c>
    </row>
    <row r="631">
      <c r="A631" s="1">
        <v>476.0</v>
      </c>
      <c r="B631" s="1" t="s">
        <v>18727</v>
      </c>
      <c r="E631" s="1" t="s">
        <v>50</v>
      </c>
      <c r="F631" s="1" t="s">
        <v>5368</v>
      </c>
      <c r="G631" s="90">
        <v>45356.60697916667</v>
      </c>
      <c r="H631" s="90">
        <v>45356.60697916667</v>
      </c>
      <c r="I631" s="1" t="s">
        <v>16476</v>
      </c>
    </row>
    <row r="632">
      <c r="A632" s="1">
        <v>474.0</v>
      </c>
      <c r="B632" s="1" t="s">
        <v>18728</v>
      </c>
      <c r="E632" s="1" t="s">
        <v>50</v>
      </c>
      <c r="F632" s="1" t="s">
        <v>5368</v>
      </c>
      <c r="G632" s="90">
        <v>45346.457870370374</v>
      </c>
      <c r="H632" s="90">
        <v>45346.45805555556</v>
      </c>
      <c r="I632" s="1" t="s">
        <v>16476</v>
      </c>
    </row>
    <row r="633">
      <c r="A633" s="1">
        <v>470.0</v>
      </c>
      <c r="B633" s="1" t="s">
        <v>18729</v>
      </c>
      <c r="E633" s="1" t="s">
        <v>50</v>
      </c>
      <c r="F633" s="1" t="s">
        <v>10220</v>
      </c>
      <c r="G633" s="90">
        <v>45314.61277777778</v>
      </c>
      <c r="H633" s="90">
        <v>45314.613171296296</v>
      </c>
      <c r="I633" s="1" t="s">
        <v>16476</v>
      </c>
    </row>
    <row r="634">
      <c r="A634" s="1">
        <v>465.0</v>
      </c>
      <c r="B634" s="1" t="s">
        <v>18730</v>
      </c>
      <c r="E634" s="1" t="s">
        <v>18731</v>
      </c>
      <c r="F634" s="1" t="s">
        <v>10220</v>
      </c>
      <c r="G634" s="90">
        <v>45293.45936342593</v>
      </c>
      <c r="H634" s="90">
        <v>45293.45949074074</v>
      </c>
      <c r="I634" s="1" t="s">
        <v>16476</v>
      </c>
    </row>
    <row r="635">
      <c r="A635" s="1">
        <v>463.0</v>
      </c>
      <c r="B635" s="1" t="s">
        <v>18732</v>
      </c>
      <c r="E635" s="1" t="s">
        <v>50</v>
      </c>
      <c r="F635" s="1" t="s">
        <v>10220</v>
      </c>
      <c r="G635" s="90">
        <v>45279.000625</v>
      </c>
      <c r="H635" s="90">
        <v>45279.0008912037</v>
      </c>
      <c r="I635" s="1" t="s">
        <v>16476</v>
      </c>
    </row>
    <row r="636">
      <c r="A636" s="1">
        <v>462.0</v>
      </c>
      <c r="B636" s="1" t="s">
        <v>13830</v>
      </c>
      <c r="E636" s="1" t="s">
        <v>50</v>
      </c>
      <c r="F636" s="1" t="s">
        <v>5368</v>
      </c>
      <c r="G636" s="90">
        <v>45276.32798611111</v>
      </c>
      <c r="H636" s="90">
        <v>45276.3283912037</v>
      </c>
      <c r="I636" s="1" t="s">
        <v>16476</v>
      </c>
    </row>
    <row r="637">
      <c r="A637" s="1">
        <v>458.0</v>
      </c>
      <c r="B637" s="1" t="s">
        <v>3061</v>
      </c>
      <c r="E637" s="1" t="s">
        <v>50</v>
      </c>
      <c r="F637" s="1" t="s">
        <v>10220</v>
      </c>
      <c r="G637" s="90">
        <v>45244.43664351852</v>
      </c>
      <c r="H637" s="90">
        <v>45244.468993055554</v>
      </c>
      <c r="I637" s="1" t="s">
        <v>16476</v>
      </c>
    </row>
    <row r="638">
      <c r="A638" s="1">
        <v>456.0</v>
      </c>
      <c r="B638" s="1" t="s">
        <v>18273</v>
      </c>
      <c r="E638" s="1" t="s">
        <v>18733</v>
      </c>
      <c r="F638" s="1" t="s">
        <v>10220</v>
      </c>
      <c r="G638" s="90">
        <v>45223.51325231481</v>
      </c>
      <c r="H638" s="90">
        <v>45223.51341435185</v>
      </c>
      <c r="I638" s="1" t="s">
        <v>16476</v>
      </c>
    </row>
    <row r="639">
      <c r="A639" s="1">
        <v>454.0</v>
      </c>
      <c r="B639" s="1" t="s">
        <v>18734</v>
      </c>
      <c r="E639" s="1" t="s">
        <v>18735</v>
      </c>
      <c r="F639" s="1" t="s">
        <v>10220</v>
      </c>
      <c r="G639" s="90">
        <v>45211.37804398148</v>
      </c>
      <c r="H639" s="90">
        <v>45211.3815625</v>
      </c>
      <c r="I639" s="1" t="s">
        <v>16476</v>
      </c>
    </row>
    <row r="640">
      <c r="A640" s="1">
        <v>453.0</v>
      </c>
      <c r="B640" s="1" t="s">
        <v>18736</v>
      </c>
      <c r="E640" s="1" t="s">
        <v>50</v>
      </c>
      <c r="F640" s="1" t="s">
        <v>5368</v>
      </c>
      <c r="G640" s="90">
        <v>45197.13774305556</v>
      </c>
      <c r="H640" s="90">
        <v>45197.138125</v>
      </c>
      <c r="I640" s="1" t="s">
        <v>16476</v>
      </c>
    </row>
    <row r="641">
      <c r="A641" s="1">
        <v>452.0</v>
      </c>
      <c r="B641" s="1" t="s">
        <v>18737</v>
      </c>
      <c r="E641" s="1" t="s">
        <v>50</v>
      </c>
      <c r="F641" s="1" t="s">
        <v>5368</v>
      </c>
      <c r="G641" s="90">
        <v>45194.544652777775</v>
      </c>
      <c r="H641" s="90">
        <v>45194.54483796296</v>
      </c>
      <c r="I641" s="1" t="s">
        <v>16476</v>
      </c>
    </row>
    <row r="642">
      <c r="A642" s="1">
        <v>451.0</v>
      </c>
      <c r="B642" s="1" t="s">
        <v>18738</v>
      </c>
      <c r="E642" s="1" t="s">
        <v>50</v>
      </c>
      <c r="F642" s="1" t="s">
        <v>10220</v>
      </c>
      <c r="G642" s="90">
        <v>45189.649722222224</v>
      </c>
      <c r="H642" s="90">
        <v>45189.650092592594</v>
      </c>
      <c r="I642" s="1" t="s">
        <v>16476</v>
      </c>
    </row>
    <row r="643">
      <c r="A643" s="1">
        <v>449.0</v>
      </c>
      <c r="B643" s="1" t="s">
        <v>18739</v>
      </c>
      <c r="E643" s="1" t="s">
        <v>50</v>
      </c>
      <c r="F643" s="1" t="s">
        <v>10220</v>
      </c>
      <c r="G643" s="90">
        <v>45189.45391203704</v>
      </c>
      <c r="H643" s="90">
        <v>45189.45431712963</v>
      </c>
      <c r="I643" s="1" t="s">
        <v>16476</v>
      </c>
    </row>
    <row r="644">
      <c r="A644" s="1">
        <v>447.0</v>
      </c>
      <c r="B644" s="1" t="s">
        <v>18740</v>
      </c>
      <c r="E644" s="1" t="s">
        <v>18741</v>
      </c>
      <c r="F644" s="1" t="s">
        <v>10220</v>
      </c>
      <c r="G644" s="90">
        <v>45187.4278125</v>
      </c>
      <c r="H644" s="90">
        <v>45187.42802083334</v>
      </c>
      <c r="I644" s="1" t="s">
        <v>16476</v>
      </c>
    </row>
    <row r="645">
      <c r="A645" s="1">
        <v>446.0</v>
      </c>
      <c r="B645" s="1" t="s">
        <v>18742</v>
      </c>
      <c r="E645" s="1" t="s">
        <v>18743</v>
      </c>
      <c r="F645" s="1" t="s">
        <v>10220</v>
      </c>
      <c r="G645" s="90">
        <v>45183.59196759259</v>
      </c>
      <c r="H645" s="90">
        <v>45183.592361111114</v>
      </c>
      <c r="I645" s="1" t="s">
        <v>16476</v>
      </c>
    </row>
    <row r="646">
      <c r="A646" s="1">
        <v>443.0</v>
      </c>
      <c r="B646" s="1" t="s">
        <v>18744</v>
      </c>
      <c r="E646" s="1" t="s">
        <v>50</v>
      </c>
      <c r="F646" s="1" t="s">
        <v>5368</v>
      </c>
      <c r="G646" s="90">
        <v>45160.65149305556</v>
      </c>
      <c r="H646" s="90">
        <v>45160.65163194444</v>
      </c>
      <c r="I646" s="1" t="s">
        <v>16476</v>
      </c>
    </row>
    <row r="647">
      <c r="A647" s="1">
        <v>442.0</v>
      </c>
      <c r="B647" s="1" t="s">
        <v>18745</v>
      </c>
      <c r="E647" s="1" t="s">
        <v>50</v>
      </c>
      <c r="F647" s="1" t="s">
        <v>10220</v>
      </c>
      <c r="G647" s="90">
        <v>45160.3928125</v>
      </c>
      <c r="H647" s="90">
        <v>45160.39434027778</v>
      </c>
      <c r="I647" s="1" t="s">
        <v>16476</v>
      </c>
    </row>
    <row r="648">
      <c r="A648" s="1">
        <v>441.0</v>
      </c>
      <c r="B648" s="1" t="s">
        <v>18746</v>
      </c>
      <c r="E648" s="1" t="s">
        <v>16032</v>
      </c>
      <c r="F648" s="1" t="s">
        <v>10220</v>
      </c>
      <c r="G648" s="90">
        <v>45153.57434027778</v>
      </c>
      <c r="H648" s="90">
        <v>45156.491273148145</v>
      </c>
      <c r="I648" s="1" t="s">
        <v>16476</v>
      </c>
    </row>
    <row r="649">
      <c r="A649" s="1">
        <v>440.0</v>
      </c>
      <c r="B649" s="1" t="s">
        <v>18747</v>
      </c>
      <c r="E649" s="1" t="s">
        <v>50</v>
      </c>
      <c r="F649" s="1" t="s">
        <v>10220</v>
      </c>
      <c r="G649" s="90">
        <v>45153.558703703704</v>
      </c>
      <c r="H649" s="90">
        <v>45153.55893518519</v>
      </c>
      <c r="I649" s="1" t="s">
        <v>16476</v>
      </c>
    </row>
    <row r="650">
      <c r="A650" s="1">
        <v>438.0</v>
      </c>
      <c r="B650" s="1" t="s">
        <v>18748</v>
      </c>
      <c r="E650" s="1" t="s">
        <v>50</v>
      </c>
      <c r="F650" s="1" t="s">
        <v>5368</v>
      </c>
      <c r="G650" s="90">
        <v>45141.51943287037</v>
      </c>
      <c r="H650" s="90">
        <v>45141.51969907407</v>
      </c>
      <c r="I650" s="1" t="s">
        <v>16476</v>
      </c>
    </row>
    <row r="651">
      <c r="A651" s="1">
        <v>435.0</v>
      </c>
      <c r="B651" s="1" t="s">
        <v>18749</v>
      </c>
      <c r="E651" s="1" t="s">
        <v>18750</v>
      </c>
      <c r="F651" s="1" t="s">
        <v>10220</v>
      </c>
      <c r="G651" s="90">
        <v>45128.6462962963</v>
      </c>
      <c r="H651" s="90">
        <v>45128.64648148148</v>
      </c>
      <c r="I651" s="1" t="s">
        <v>16476</v>
      </c>
    </row>
    <row r="652">
      <c r="A652" s="1">
        <v>434.0</v>
      </c>
      <c r="B652" s="1" t="s">
        <v>18751</v>
      </c>
      <c r="E652" s="1" t="s">
        <v>50</v>
      </c>
      <c r="F652" s="1" t="s">
        <v>10220</v>
      </c>
      <c r="G652" s="90">
        <v>45124.5025</v>
      </c>
      <c r="H652" s="90">
        <v>45124.50262731482</v>
      </c>
      <c r="I652" s="1" t="s">
        <v>16476</v>
      </c>
    </row>
    <row r="653">
      <c r="A653" s="1">
        <v>433.0</v>
      </c>
      <c r="B653" s="1" t="s">
        <v>18752</v>
      </c>
      <c r="E653" s="1" t="s">
        <v>18753</v>
      </c>
      <c r="F653" s="1" t="s">
        <v>10220</v>
      </c>
      <c r="G653" s="90">
        <v>45122.546689814815</v>
      </c>
      <c r="H653" s="90">
        <v>45122.547002314815</v>
      </c>
      <c r="I653" s="1" t="s">
        <v>16476</v>
      </c>
    </row>
    <row r="654">
      <c r="A654" s="1">
        <v>432.0</v>
      </c>
      <c r="B654" s="1" t="s">
        <v>18754</v>
      </c>
      <c r="E654" s="1" t="s">
        <v>50</v>
      </c>
      <c r="F654" s="1" t="s">
        <v>10220</v>
      </c>
      <c r="G654" s="90">
        <v>45118.66197916667</v>
      </c>
      <c r="H654" s="90">
        <v>45118.66253472222</v>
      </c>
      <c r="I654" s="1" t="s">
        <v>16476</v>
      </c>
    </row>
    <row r="655">
      <c r="A655" s="1">
        <v>429.0</v>
      </c>
      <c r="B655" s="1" t="s">
        <v>18755</v>
      </c>
      <c r="E655" s="1" t="s">
        <v>50</v>
      </c>
      <c r="F655" s="1" t="s">
        <v>10220</v>
      </c>
      <c r="G655" s="90">
        <v>45116.368842592594</v>
      </c>
      <c r="H655" s="90">
        <v>45116.36895833333</v>
      </c>
      <c r="I655" s="1" t="s">
        <v>16476</v>
      </c>
    </row>
    <row r="656">
      <c r="A656" s="1">
        <v>425.0</v>
      </c>
      <c r="B656" s="1" t="s">
        <v>18756</v>
      </c>
      <c r="E656" s="1" t="s">
        <v>50</v>
      </c>
      <c r="F656" s="1" t="s">
        <v>10220</v>
      </c>
      <c r="G656" s="90">
        <v>45113.54063657407</v>
      </c>
      <c r="H656" s="90">
        <v>45113.54063657407</v>
      </c>
      <c r="I656" s="1" t="s">
        <v>16476</v>
      </c>
    </row>
    <row r="657">
      <c r="A657" s="1">
        <v>379.0</v>
      </c>
      <c r="B657" s="1" t="s">
        <v>18757</v>
      </c>
      <c r="E657" s="1" t="s">
        <v>3293</v>
      </c>
      <c r="F657" s="1" t="s">
        <v>10220</v>
      </c>
      <c r="G657" s="90">
        <v>45113.54017361111</v>
      </c>
      <c r="H657" s="90">
        <v>45113.54017361111</v>
      </c>
      <c r="I657" s="1" t="s">
        <v>16476</v>
      </c>
    </row>
    <row r="658">
      <c r="A658" s="1">
        <v>288.0</v>
      </c>
      <c r="B658" s="1" t="s">
        <v>18758</v>
      </c>
      <c r="E658" s="1" t="s">
        <v>50</v>
      </c>
      <c r="F658" s="1" t="s">
        <v>10220</v>
      </c>
      <c r="G658" s="90">
        <v>45113.539305555554</v>
      </c>
      <c r="H658" s="90">
        <v>45113.539305555554</v>
      </c>
      <c r="I658" s="1" t="s">
        <v>16476</v>
      </c>
    </row>
    <row r="659">
      <c r="A659" s="1">
        <v>5.0</v>
      </c>
      <c r="B659" s="1" t="s">
        <v>18759</v>
      </c>
      <c r="E659" s="1" t="s">
        <v>50</v>
      </c>
      <c r="F659" s="1" t="s">
        <v>10220</v>
      </c>
      <c r="G659" s="90">
        <v>45113.53658564815</v>
      </c>
      <c r="H659" s="90">
        <v>45113.53658564815</v>
      </c>
      <c r="I659" s="1" t="s">
        <v>16476</v>
      </c>
    </row>
    <row r="660">
      <c r="A660" s="1">
        <v>1.0</v>
      </c>
      <c r="B660" s="1" t="s">
        <v>18065</v>
      </c>
      <c r="E660" s="1" t="s">
        <v>50</v>
      </c>
      <c r="F660" s="1" t="s">
        <v>5368</v>
      </c>
      <c r="G660" s="90">
        <v>45085.31486111111</v>
      </c>
      <c r="H660" s="90">
        <v>45085.315358796295</v>
      </c>
      <c r="I660" s="1" t="s">
        <v>16476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18760</v>
      </c>
      <c r="B1" s="92" t="s">
        <v>16078</v>
      </c>
      <c r="C1" s="92" t="s">
        <v>18761</v>
      </c>
      <c r="D1" s="92" t="s">
        <v>18762</v>
      </c>
      <c r="E1" s="92" t="s">
        <v>16471</v>
      </c>
      <c r="F1" s="92" t="s">
        <v>18763</v>
      </c>
      <c r="G1" s="1" t="s">
        <v>16472</v>
      </c>
      <c r="H1" s="1" t="s">
        <v>16473</v>
      </c>
    </row>
    <row r="2">
      <c r="A2" s="93">
        <v>346.0</v>
      </c>
      <c r="B2" s="92" t="s">
        <v>18069</v>
      </c>
      <c r="C2" s="92" t="s">
        <v>18764</v>
      </c>
      <c r="D2" s="92" t="s">
        <v>18765</v>
      </c>
      <c r="E2" s="94">
        <v>45113.539675925924</v>
      </c>
      <c r="F2" s="94">
        <v>46058.85872685185</v>
      </c>
      <c r="G2" s="90">
        <v>46052.734305555554</v>
      </c>
      <c r="H2" s="1" t="s">
        <v>16476</v>
      </c>
    </row>
    <row r="3">
      <c r="A3" s="93">
        <v>178.0</v>
      </c>
      <c r="B3" s="92" t="s">
        <v>18070</v>
      </c>
      <c r="C3" s="92" t="s">
        <v>18766</v>
      </c>
      <c r="D3" s="92" t="s">
        <v>18765</v>
      </c>
      <c r="E3" s="94">
        <v>45113.53806712963</v>
      </c>
      <c r="F3" s="94">
        <v>46058.84564814815</v>
      </c>
      <c r="G3" s="90">
        <v>46048.95915509259</v>
      </c>
      <c r="H3" s="1" t="s">
        <v>16476</v>
      </c>
    </row>
    <row r="4">
      <c r="A4" s="93">
        <v>107.0</v>
      </c>
      <c r="B4" s="92" t="s">
        <v>18767</v>
      </c>
      <c r="C4" s="92" t="s">
        <v>16045</v>
      </c>
      <c r="D4" s="92" t="s">
        <v>18765</v>
      </c>
      <c r="E4" s="94">
        <v>45113.53737268518</v>
      </c>
      <c r="F4" s="94">
        <v>46057.9455787037</v>
      </c>
      <c r="G4" s="90">
        <v>46047.45959490741</v>
      </c>
      <c r="H4" s="1" t="s">
        <v>16476</v>
      </c>
    </row>
    <row r="5">
      <c r="A5" s="93">
        <v>409.0</v>
      </c>
      <c r="B5" s="92" t="s">
        <v>18768</v>
      </c>
      <c r="C5" s="92" t="s">
        <v>18769</v>
      </c>
      <c r="D5" s="92" t="s">
        <v>18765</v>
      </c>
      <c r="E5" s="94">
        <v>45113.540300925924</v>
      </c>
      <c r="F5" s="94">
        <v>46057.69069444444</v>
      </c>
      <c r="G5" s="90">
        <v>46047.45721064815</v>
      </c>
      <c r="H5" s="1" t="s">
        <v>16476</v>
      </c>
    </row>
    <row r="6">
      <c r="A6" s="93">
        <v>2367.0</v>
      </c>
      <c r="B6" s="92" t="s">
        <v>16664</v>
      </c>
      <c r="C6" s="92" t="s">
        <v>18770</v>
      </c>
      <c r="D6" s="92" t="s">
        <v>16044</v>
      </c>
      <c r="E6" s="94">
        <v>45856.455300925925</v>
      </c>
      <c r="F6" s="94">
        <v>46052.734305555554</v>
      </c>
      <c r="G6" s="90">
        <v>46047.45690972222</v>
      </c>
      <c r="H6" s="1" t="s">
        <v>16476</v>
      </c>
    </row>
    <row r="7">
      <c r="A7" s="93">
        <v>2568.0</v>
      </c>
      <c r="B7" s="92" t="s">
        <v>18075</v>
      </c>
      <c r="C7" s="92" t="s">
        <v>4929</v>
      </c>
      <c r="D7" s="92" t="s">
        <v>18765</v>
      </c>
      <c r="E7" s="94">
        <v>46006.74559027778</v>
      </c>
      <c r="F7" s="94">
        <v>46048.97149305556</v>
      </c>
      <c r="G7" s="90">
        <v>46028.6703125</v>
      </c>
      <c r="H7" s="1" t="s">
        <v>16476</v>
      </c>
    </row>
    <row r="8">
      <c r="A8" s="93">
        <v>2562.0</v>
      </c>
      <c r="B8" s="92" t="s">
        <v>18076</v>
      </c>
      <c r="C8" s="92" t="s">
        <v>4890</v>
      </c>
      <c r="D8" s="92" t="s">
        <v>18765</v>
      </c>
      <c r="E8" s="94">
        <v>46006.74556712963</v>
      </c>
      <c r="F8" s="94">
        <v>46048.97149305556</v>
      </c>
      <c r="G8" s="90">
        <v>46009.547534722224</v>
      </c>
      <c r="H8" s="1" t="s">
        <v>16476</v>
      </c>
    </row>
    <row r="9">
      <c r="A9" s="93">
        <v>2561.0</v>
      </c>
      <c r="B9" s="92" t="s">
        <v>18077</v>
      </c>
      <c r="C9" s="92" t="s">
        <v>4884</v>
      </c>
      <c r="D9" s="92" t="s">
        <v>18765</v>
      </c>
      <c r="E9" s="94">
        <v>46006.74556712963</v>
      </c>
      <c r="F9" s="94">
        <v>46048.97149305556</v>
      </c>
      <c r="G9" s="90">
        <v>46006.75597222222</v>
      </c>
      <c r="H9" s="1" t="s">
        <v>16476</v>
      </c>
    </row>
    <row r="10">
      <c r="A10" s="93">
        <v>2545.0</v>
      </c>
      <c r="B10" s="92" t="s">
        <v>18078</v>
      </c>
      <c r="C10" s="92" t="s">
        <v>4789</v>
      </c>
      <c r="D10" s="92" t="s">
        <v>18765</v>
      </c>
      <c r="E10" s="94">
        <v>46006.74549768519</v>
      </c>
      <c r="F10" s="94">
        <v>46048.97148148148</v>
      </c>
      <c r="G10" s="90">
        <v>46006.7556712963</v>
      </c>
      <c r="H10" s="1" t="s">
        <v>16476</v>
      </c>
    </row>
    <row r="11">
      <c r="A11" s="93">
        <v>2544.0</v>
      </c>
      <c r="B11" s="92" t="s">
        <v>18079</v>
      </c>
      <c r="C11" s="92" t="s">
        <v>4784</v>
      </c>
      <c r="D11" s="92" t="s">
        <v>18765</v>
      </c>
      <c r="E11" s="94">
        <v>46006.74549768519</v>
      </c>
      <c r="F11" s="94">
        <v>46048.97148148148</v>
      </c>
      <c r="G11" s="90">
        <v>46006.755162037036</v>
      </c>
      <c r="H11" s="1" t="s">
        <v>16476</v>
      </c>
    </row>
    <row r="12">
      <c r="A12" s="93">
        <v>2538.0</v>
      </c>
      <c r="B12" s="92" t="s">
        <v>18080</v>
      </c>
      <c r="C12" s="92" t="s">
        <v>4753</v>
      </c>
      <c r="D12" s="92" t="s">
        <v>18765</v>
      </c>
      <c r="E12" s="94">
        <v>46006.745474537034</v>
      </c>
      <c r="F12" s="94">
        <v>46048.97148148148</v>
      </c>
      <c r="G12" s="90">
        <v>46006.75512731481</v>
      </c>
      <c r="H12" s="1" t="s">
        <v>16476</v>
      </c>
    </row>
    <row r="13">
      <c r="A13" s="93">
        <v>2536.0</v>
      </c>
      <c r="B13" s="92" t="s">
        <v>18081</v>
      </c>
      <c r="C13" s="92" t="s">
        <v>4738</v>
      </c>
      <c r="D13" s="92" t="s">
        <v>18765</v>
      </c>
      <c r="E13" s="94">
        <v>46006.745462962965</v>
      </c>
      <c r="F13" s="94">
        <v>46048.97148148148</v>
      </c>
      <c r="G13" s="90">
        <v>46006.75510416667</v>
      </c>
      <c r="H13" s="1" t="s">
        <v>16476</v>
      </c>
    </row>
    <row r="14">
      <c r="A14" s="93">
        <v>2532.0</v>
      </c>
      <c r="B14" s="92" t="s">
        <v>18082</v>
      </c>
      <c r="C14" s="92" t="s">
        <v>4706</v>
      </c>
      <c r="D14" s="92" t="s">
        <v>18765</v>
      </c>
      <c r="E14" s="94">
        <v>46006.74545138889</v>
      </c>
      <c r="F14" s="94">
        <v>46048.97146990741</v>
      </c>
      <c r="G14" s="90">
        <v>46006.75506944444</v>
      </c>
      <c r="H14" s="1" t="s">
        <v>16476</v>
      </c>
    </row>
    <row r="15">
      <c r="A15" s="93">
        <v>2476.0</v>
      </c>
      <c r="B15" s="92" t="s">
        <v>18083</v>
      </c>
      <c r="C15" s="92" t="s">
        <v>4334</v>
      </c>
      <c r="D15" s="92" t="s">
        <v>18765</v>
      </c>
      <c r="E15" s="94">
        <v>46006.745208333334</v>
      </c>
      <c r="F15" s="94">
        <v>46048.97146990741</v>
      </c>
      <c r="G15" s="90">
        <v>46006.7550462963</v>
      </c>
      <c r="H15" s="1" t="s">
        <v>16476</v>
      </c>
    </row>
    <row r="16">
      <c r="A16" s="93">
        <v>2473.0</v>
      </c>
      <c r="B16" s="92" t="s">
        <v>18771</v>
      </c>
      <c r="C16" s="92" t="s">
        <v>5103</v>
      </c>
      <c r="D16" s="92" t="s">
        <v>18765</v>
      </c>
      <c r="E16" s="94">
        <v>46006.74519675926</v>
      </c>
      <c r="F16" s="94">
        <v>46048.97146990741</v>
      </c>
      <c r="G16" s="90">
        <v>46006.755011574074</v>
      </c>
      <c r="H16" s="1" t="s">
        <v>16476</v>
      </c>
    </row>
    <row r="17">
      <c r="A17" s="93">
        <v>2469.0</v>
      </c>
      <c r="B17" s="92" t="s">
        <v>18085</v>
      </c>
      <c r="C17" s="92" t="s">
        <v>4295</v>
      </c>
      <c r="D17" s="92" t="s">
        <v>18765</v>
      </c>
      <c r="E17" s="94">
        <v>46006.74518518519</v>
      </c>
      <c r="F17" s="94">
        <v>46048.97146990741</v>
      </c>
      <c r="G17" s="90">
        <v>46006.75498842593</v>
      </c>
      <c r="H17" s="1" t="s">
        <v>16476</v>
      </c>
    </row>
    <row r="18">
      <c r="A18" s="93">
        <v>2467.0</v>
      </c>
      <c r="B18" s="92" t="s">
        <v>18086</v>
      </c>
      <c r="C18" s="92" t="s">
        <v>4283</v>
      </c>
      <c r="D18" s="92" t="s">
        <v>18765</v>
      </c>
      <c r="E18" s="94">
        <v>46006.74517361111</v>
      </c>
      <c r="F18" s="94">
        <v>46048.97146990741</v>
      </c>
      <c r="G18" s="90">
        <v>46006.754965277774</v>
      </c>
      <c r="H18" s="1" t="s">
        <v>16476</v>
      </c>
    </row>
    <row r="19">
      <c r="A19" s="93">
        <v>2464.0</v>
      </c>
      <c r="B19" s="92" t="s">
        <v>18087</v>
      </c>
      <c r="C19" s="92" t="s">
        <v>4271</v>
      </c>
      <c r="D19" s="92" t="s">
        <v>18765</v>
      </c>
      <c r="E19" s="94">
        <v>46006.745162037034</v>
      </c>
      <c r="F19" s="94">
        <v>46048.97145833333</v>
      </c>
      <c r="G19" s="90">
        <v>46006.75493055556</v>
      </c>
      <c r="H19" s="1" t="s">
        <v>16476</v>
      </c>
    </row>
    <row r="20">
      <c r="A20" s="93">
        <v>2455.0</v>
      </c>
      <c r="B20" s="92" t="s">
        <v>18088</v>
      </c>
      <c r="C20" s="92" t="s">
        <v>4210</v>
      </c>
      <c r="D20" s="92" t="s">
        <v>18765</v>
      </c>
      <c r="E20" s="94">
        <v>46006.74512731482</v>
      </c>
      <c r="F20" s="94">
        <v>46048.97144675926</v>
      </c>
      <c r="G20" s="90">
        <v>46006.754907407405</v>
      </c>
      <c r="H20" s="1" t="s">
        <v>16476</v>
      </c>
    </row>
    <row r="21">
      <c r="A21" s="93">
        <v>2452.0</v>
      </c>
      <c r="B21" s="92" t="s">
        <v>18089</v>
      </c>
      <c r="C21" s="92" t="s">
        <v>4193</v>
      </c>
      <c r="D21" s="92" t="s">
        <v>18765</v>
      </c>
      <c r="E21" s="94">
        <v>46006.74511574074</v>
      </c>
      <c r="F21" s="94">
        <v>46048.97143518519</v>
      </c>
      <c r="G21" s="90">
        <v>46006.75488425926</v>
      </c>
      <c r="H21" s="1" t="s">
        <v>16476</v>
      </c>
    </row>
    <row r="22">
      <c r="A22" s="93">
        <v>2445.0</v>
      </c>
      <c r="B22" s="92" t="s">
        <v>18090</v>
      </c>
      <c r="C22" s="92" t="s">
        <v>4153</v>
      </c>
      <c r="D22" s="92" t="s">
        <v>18765</v>
      </c>
      <c r="E22" s="94">
        <v>46006.74508101852</v>
      </c>
      <c r="F22" s="94">
        <v>46048.97143518519</v>
      </c>
      <c r="G22" s="90">
        <v>46006.754849537036</v>
      </c>
      <c r="H22" s="1" t="s">
        <v>16476</v>
      </c>
    </row>
    <row r="23">
      <c r="A23" s="93">
        <v>2444.0</v>
      </c>
      <c r="B23" s="92" t="s">
        <v>18091</v>
      </c>
      <c r="C23" s="92" t="s">
        <v>4145</v>
      </c>
      <c r="D23" s="92" t="s">
        <v>18765</v>
      </c>
      <c r="E23" s="94">
        <v>46006.74508101852</v>
      </c>
      <c r="F23" s="94">
        <v>46048.97142361111</v>
      </c>
      <c r="G23" s="90">
        <v>46006.75482638889</v>
      </c>
      <c r="H23" s="1" t="s">
        <v>16476</v>
      </c>
    </row>
    <row r="24">
      <c r="A24" s="93">
        <v>2432.0</v>
      </c>
      <c r="B24" s="92" t="s">
        <v>18092</v>
      </c>
      <c r="C24" s="92" t="s">
        <v>4067</v>
      </c>
      <c r="D24" s="92" t="s">
        <v>18765</v>
      </c>
      <c r="E24" s="94">
        <v>46006.745034722226</v>
      </c>
      <c r="F24" s="94">
        <v>46048.97142361111</v>
      </c>
      <c r="G24" s="90">
        <v>46006.75480324074</v>
      </c>
      <c r="H24" s="1" t="s">
        <v>16476</v>
      </c>
    </row>
    <row r="25">
      <c r="A25" s="93">
        <v>2430.0</v>
      </c>
      <c r="B25" s="92" t="s">
        <v>18093</v>
      </c>
      <c r="C25" s="92" t="s">
        <v>4053</v>
      </c>
      <c r="D25" s="92" t="s">
        <v>18765</v>
      </c>
      <c r="E25" s="94">
        <v>46006.74502314815</v>
      </c>
      <c r="F25" s="94">
        <v>46048.97142361111</v>
      </c>
      <c r="G25" s="90">
        <v>46006.75476851852</v>
      </c>
      <c r="H25" s="1" t="s">
        <v>16476</v>
      </c>
    </row>
    <row r="26">
      <c r="A26" s="93">
        <v>2429.0</v>
      </c>
      <c r="B26" s="92" t="s">
        <v>18094</v>
      </c>
      <c r="C26" s="92" t="s">
        <v>18772</v>
      </c>
      <c r="D26" s="92" t="s">
        <v>18765</v>
      </c>
      <c r="E26" s="94">
        <v>46006.74501157407</v>
      </c>
      <c r="F26" s="94">
        <v>46048.97141203703</v>
      </c>
      <c r="G26" s="90">
        <v>46006.754745370374</v>
      </c>
      <c r="H26" s="1" t="s">
        <v>16476</v>
      </c>
    </row>
    <row r="27">
      <c r="A27" s="93">
        <v>2428.0</v>
      </c>
      <c r="B27" s="92" t="s">
        <v>18095</v>
      </c>
      <c r="C27" s="92" t="s">
        <v>4039</v>
      </c>
      <c r="D27" s="92" t="s">
        <v>18765</v>
      </c>
      <c r="E27" s="94">
        <v>46006.74501157407</v>
      </c>
      <c r="F27" s="94">
        <v>46048.97141203703</v>
      </c>
      <c r="G27" s="90">
        <v>46006.75471064815</v>
      </c>
      <c r="H27" s="1" t="s">
        <v>16476</v>
      </c>
    </row>
    <row r="28">
      <c r="A28" s="93">
        <v>2427.0</v>
      </c>
      <c r="B28" s="92" t="s">
        <v>18096</v>
      </c>
      <c r="C28" s="92" t="s">
        <v>4032</v>
      </c>
      <c r="D28" s="92" t="s">
        <v>18765</v>
      </c>
      <c r="E28" s="94">
        <v>46006.74501157407</v>
      </c>
      <c r="F28" s="94">
        <v>46048.97141203703</v>
      </c>
      <c r="G28" s="90">
        <v>46006.75467592593</v>
      </c>
      <c r="H28" s="1" t="s">
        <v>16476</v>
      </c>
    </row>
    <row r="29">
      <c r="A29" s="93">
        <v>2426.0</v>
      </c>
      <c r="B29" s="92" t="s">
        <v>18097</v>
      </c>
      <c r="C29" s="92" t="s">
        <v>4023</v>
      </c>
      <c r="D29" s="92" t="s">
        <v>18765</v>
      </c>
      <c r="E29" s="94">
        <v>46006.745</v>
      </c>
      <c r="F29" s="94">
        <v>46048.97141203703</v>
      </c>
      <c r="G29" s="90">
        <v>46006.754641203705</v>
      </c>
      <c r="H29" s="1" t="s">
        <v>16476</v>
      </c>
    </row>
    <row r="30">
      <c r="A30" s="93">
        <v>2425.0</v>
      </c>
      <c r="B30" s="92" t="s">
        <v>18098</v>
      </c>
      <c r="C30" s="92" t="s">
        <v>4014</v>
      </c>
      <c r="D30" s="92" t="s">
        <v>18765</v>
      </c>
      <c r="E30" s="94">
        <v>46006.745</v>
      </c>
      <c r="F30" s="94">
        <v>46048.97141203703</v>
      </c>
      <c r="G30" s="90">
        <v>46006.75461805556</v>
      </c>
      <c r="H30" s="1" t="s">
        <v>16476</v>
      </c>
    </row>
    <row r="31">
      <c r="A31" s="93">
        <v>2424.0</v>
      </c>
      <c r="B31" s="92" t="s">
        <v>18099</v>
      </c>
      <c r="C31" s="92" t="s">
        <v>4008</v>
      </c>
      <c r="D31" s="92" t="s">
        <v>18765</v>
      </c>
      <c r="E31" s="94">
        <v>46006.745</v>
      </c>
      <c r="F31" s="94">
        <v>46048.971400462964</v>
      </c>
      <c r="G31" s="90">
        <v>46006.754594907405</v>
      </c>
      <c r="H31" s="1" t="s">
        <v>16476</v>
      </c>
    </row>
    <row r="32">
      <c r="A32" s="93">
        <v>2423.0</v>
      </c>
      <c r="B32" s="92" t="s">
        <v>18100</v>
      </c>
      <c r="C32" s="92" t="s">
        <v>3999</v>
      </c>
      <c r="D32" s="92" t="s">
        <v>18765</v>
      </c>
      <c r="E32" s="94">
        <v>46006.744988425926</v>
      </c>
      <c r="F32" s="94">
        <v>46048.971400462964</v>
      </c>
      <c r="G32" s="90">
        <v>46006.75456018518</v>
      </c>
      <c r="H32" s="1" t="s">
        <v>16476</v>
      </c>
    </row>
    <row r="33">
      <c r="A33" s="93">
        <v>2422.0</v>
      </c>
      <c r="B33" s="92" t="s">
        <v>18101</v>
      </c>
      <c r="C33" s="92" t="s">
        <v>3990</v>
      </c>
      <c r="D33" s="92" t="s">
        <v>18765</v>
      </c>
      <c r="E33" s="94">
        <v>46006.744988425926</v>
      </c>
      <c r="F33" s="94">
        <v>46048.971400462964</v>
      </c>
      <c r="G33" s="90">
        <v>46006.754537037035</v>
      </c>
      <c r="H33" s="1" t="s">
        <v>16476</v>
      </c>
    </row>
    <row r="34">
      <c r="A34" s="93">
        <v>2420.0</v>
      </c>
      <c r="B34" s="92" t="s">
        <v>18102</v>
      </c>
      <c r="C34" s="92" t="s">
        <v>3982</v>
      </c>
      <c r="D34" s="92" t="s">
        <v>18765</v>
      </c>
      <c r="E34" s="94">
        <v>46006.74497685185</v>
      </c>
      <c r="F34" s="94">
        <v>46048.97138888889</v>
      </c>
      <c r="G34" s="90">
        <v>46006.75450231481</v>
      </c>
      <c r="H34" s="1" t="s">
        <v>16476</v>
      </c>
    </row>
    <row r="35">
      <c r="A35" s="93">
        <v>2419.0</v>
      </c>
      <c r="B35" s="92" t="s">
        <v>18103</v>
      </c>
      <c r="C35" s="92" t="s">
        <v>3974</v>
      </c>
      <c r="D35" s="92" t="s">
        <v>18765</v>
      </c>
      <c r="E35" s="94">
        <v>46006.74497685185</v>
      </c>
      <c r="F35" s="94">
        <v>46048.97138888889</v>
      </c>
      <c r="G35" s="90">
        <v>46006.75443287037</v>
      </c>
      <c r="H35" s="1" t="s">
        <v>16476</v>
      </c>
    </row>
    <row r="36">
      <c r="A36" s="93">
        <v>2418.0</v>
      </c>
      <c r="B36" s="92" t="s">
        <v>18104</v>
      </c>
      <c r="C36" s="92" t="s">
        <v>3966</v>
      </c>
      <c r="D36" s="92" t="s">
        <v>18765</v>
      </c>
      <c r="E36" s="94">
        <v>46006.74497685185</v>
      </c>
      <c r="F36" s="94">
        <v>46048.97138888889</v>
      </c>
      <c r="G36" s="90">
        <v>46006.75438657407</v>
      </c>
      <c r="H36" s="1" t="s">
        <v>16476</v>
      </c>
    </row>
    <row r="37">
      <c r="A37" s="93">
        <v>2417.0</v>
      </c>
      <c r="B37" s="92" t="s">
        <v>18105</v>
      </c>
      <c r="C37" s="92" t="s">
        <v>3960</v>
      </c>
      <c r="D37" s="92" t="s">
        <v>18765</v>
      </c>
      <c r="E37" s="94">
        <v>46006.74496527778</v>
      </c>
      <c r="F37" s="94">
        <v>46048.97138888889</v>
      </c>
      <c r="G37" s="90">
        <v>46006.75435185185</v>
      </c>
      <c r="H37" s="1" t="s">
        <v>16476</v>
      </c>
    </row>
    <row r="38">
      <c r="A38" s="93">
        <v>2415.0</v>
      </c>
      <c r="B38" s="92" t="s">
        <v>18106</v>
      </c>
      <c r="C38" s="92" t="s">
        <v>3943</v>
      </c>
      <c r="D38" s="92" t="s">
        <v>18765</v>
      </c>
      <c r="E38" s="94">
        <v>46006.74496527778</v>
      </c>
      <c r="F38" s="94">
        <v>46048.97137731482</v>
      </c>
      <c r="G38" s="90">
        <v>46006.754328703704</v>
      </c>
      <c r="H38" s="1" t="s">
        <v>16476</v>
      </c>
    </row>
    <row r="39">
      <c r="A39" s="93">
        <v>2414.0</v>
      </c>
      <c r="B39" s="92" t="s">
        <v>18107</v>
      </c>
      <c r="C39" s="92" t="s">
        <v>3935</v>
      </c>
      <c r="D39" s="92" t="s">
        <v>18765</v>
      </c>
      <c r="E39" s="94">
        <v>46006.7449537037</v>
      </c>
      <c r="F39" s="94">
        <v>46048.97137731482</v>
      </c>
      <c r="G39" s="90">
        <v>46006.75430555556</v>
      </c>
      <c r="H39" s="1" t="s">
        <v>16476</v>
      </c>
    </row>
    <row r="40">
      <c r="A40" s="93">
        <v>2413.0</v>
      </c>
      <c r="B40" s="92" t="s">
        <v>18108</v>
      </c>
      <c r="C40" s="92" t="s">
        <v>3926</v>
      </c>
      <c r="D40" s="92" t="s">
        <v>18765</v>
      </c>
      <c r="E40" s="94">
        <v>46006.7449537037</v>
      </c>
      <c r="F40" s="94">
        <v>46048.97137731482</v>
      </c>
      <c r="G40" s="90">
        <v>46006.754270833335</v>
      </c>
      <c r="H40" s="1" t="s">
        <v>16476</v>
      </c>
    </row>
    <row r="41">
      <c r="A41" s="93">
        <v>2412.0</v>
      </c>
      <c r="B41" s="92" t="s">
        <v>18109</v>
      </c>
      <c r="C41" s="92" t="s">
        <v>3919</v>
      </c>
      <c r="D41" s="92" t="s">
        <v>18765</v>
      </c>
      <c r="E41" s="94">
        <v>46006.7449537037</v>
      </c>
      <c r="F41" s="94">
        <v>46048.97136574074</v>
      </c>
      <c r="G41" s="90">
        <v>46006.75424768519</v>
      </c>
      <c r="H41" s="1" t="s">
        <v>16476</v>
      </c>
    </row>
    <row r="42">
      <c r="A42" s="93">
        <v>2411.0</v>
      </c>
      <c r="B42" s="92" t="s">
        <v>18110</v>
      </c>
      <c r="C42" s="92" t="s">
        <v>3911</v>
      </c>
      <c r="D42" s="92" t="s">
        <v>18765</v>
      </c>
      <c r="E42" s="94">
        <v>46006.744942129626</v>
      </c>
      <c r="F42" s="94">
        <v>46048.97136574074</v>
      </c>
      <c r="G42" s="90">
        <v>46006.754212962966</v>
      </c>
      <c r="H42" s="1" t="s">
        <v>16476</v>
      </c>
    </row>
    <row r="43">
      <c r="A43" s="93">
        <v>2410.0</v>
      </c>
      <c r="B43" s="92" t="s">
        <v>18111</v>
      </c>
      <c r="C43" s="92" t="s">
        <v>3902</v>
      </c>
      <c r="D43" s="92" t="s">
        <v>18765</v>
      </c>
      <c r="E43" s="94">
        <v>46006.744942129626</v>
      </c>
      <c r="F43" s="94">
        <v>46048.971354166664</v>
      </c>
      <c r="G43" s="90">
        <v>46006.75418981481</v>
      </c>
      <c r="H43" s="1" t="s">
        <v>16476</v>
      </c>
    </row>
    <row r="44">
      <c r="A44" s="93">
        <v>2409.0</v>
      </c>
      <c r="B44" s="92" t="s">
        <v>18112</v>
      </c>
      <c r="C44" s="92" t="s">
        <v>3896</v>
      </c>
      <c r="D44" s="92" t="s">
        <v>18765</v>
      </c>
      <c r="E44" s="94">
        <v>46006.744942129626</v>
      </c>
      <c r="F44" s="94">
        <v>46048.971354166664</v>
      </c>
      <c r="G44" s="90">
        <v>46006.754155092596</v>
      </c>
      <c r="H44" s="1" t="s">
        <v>16476</v>
      </c>
    </row>
    <row r="45">
      <c r="A45" s="93">
        <v>2408.0</v>
      </c>
      <c r="B45" s="92" t="s">
        <v>18113</v>
      </c>
      <c r="C45" s="92" t="s">
        <v>3887</v>
      </c>
      <c r="D45" s="92" t="s">
        <v>18765</v>
      </c>
      <c r="E45" s="94">
        <v>46006.74493055556</v>
      </c>
      <c r="F45" s="94">
        <v>46048.971354166664</v>
      </c>
      <c r="G45" s="90">
        <v>46006.75413194444</v>
      </c>
      <c r="H45" s="1" t="s">
        <v>16476</v>
      </c>
    </row>
    <row r="46">
      <c r="A46" s="93">
        <v>2407.0</v>
      </c>
      <c r="B46" s="92" t="s">
        <v>18114</v>
      </c>
      <c r="C46" s="92" t="s">
        <v>3880</v>
      </c>
      <c r="D46" s="92" t="s">
        <v>18765</v>
      </c>
      <c r="E46" s="94">
        <v>46006.74493055556</v>
      </c>
      <c r="F46" s="94">
        <v>46048.971342592595</v>
      </c>
      <c r="G46" s="90">
        <v>46006.75409722222</v>
      </c>
      <c r="H46" s="1" t="s">
        <v>16476</v>
      </c>
    </row>
    <row r="47">
      <c r="A47" s="93">
        <v>2406.0</v>
      </c>
      <c r="B47" s="92" t="s">
        <v>18115</v>
      </c>
      <c r="C47" s="92" t="s">
        <v>3872</v>
      </c>
      <c r="D47" s="92" t="s">
        <v>18765</v>
      </c>
      <c r="E47" s="94">
        <v>46006.74491898148</v>
      </c>
      <c r="F47" s="94">
        <v>46048.971342592595</v>
      </c>
      <c r="G47" s="90">
        <v>46006.75407407407</v>
      </c>
      <c r="H47" s="1" t="s">
        <v>16476</v>
      </c>
    </row>
    <row r="48">
      <c r="A48" s="93">
        <v>2405.0</v>
      </c>
      <c r="B48" s="92" t="s">
        <v>18116</v>
      </c>
      <c r="C48" s="92" t="s">
        <v>3866</v>
      </c>
      <c r="D48" s="92" t="s">
        <v>18765</v>
      </c>
      <c r="E48" s="94">
        <v>46006.74491898148</v>
      </c>
      <c r="F48" s="94">
        <v>46048.97133101852</v>
      </c>
      <c r="G48" s="90">
        <v>46006.75403935185</v>
      </c>
      <c r="H48" s="1" t="s">
        <v>16476</v>
      </c>
    </row>
    <row r="49">
      <c r="A49" s="93">
        <v>2404.0</v>
      </c>
      <c r="B49" s="92" t="s">
        <v>18117</v>
      </c>
      <c r="C49" s="92" t="s">
        <v>3860</v>
      </c>
      <c r="D49" s="92" t="s">
        <v>18765</v>
      </c>
      <c r="E49" s="94">
        <v>46006.74491898148</v>
      </c>
      <c r="F49" s="94">
        <v>46048.97133101852</v>
      </c>
      <c r="G49" s="90">
        <v>46006.75399305556</v>
      </c>
      <c r="H49" s="1" t="s">
        <v>16476</v>
      </c>
    </row>
    <row r="50">
      <c r="A50" s="93">
        <v>2403.0</v>
      </c>
      <c r="B50" s="92" t="s">
        <v>18118</v>
      </c>
      <c r="C50" s="92" t="s">
        <v>3851</v>
      </c>
      <c r="D50" s="92" t="s">
        <v>18765</v>
      </c>
      <c r="E50" s="94">
        <v>46006.74490740741</v>
      </c>
      <c r="F50" s="94">
        <v>46048.97133101852</v>
      </c>
      <c r="G50" s="90">
        <v>46006.753969907404</v>
      </c>
      <c r="H50" s="1" t="s">
        <v>16476</v>
      </c>
    </row>
    <row r="51">
      <c r="A51" s="93">
        <v>2402.0</v>
      </c>
      <c r="B51" s="92" t="s">
        <v>18119</v>
      </c>
      <c r="C51" s="92" t="s">
        <v>3844</v>
      </c>
      <c r="D51" s="92" t="s">
        <v>18765</v>
      </c>
      <c r="E51" s="94">
        <v>46006.74490740741</v>
      </c>
      <c r="F51" s="94">
        <v>46048.97131944444</v>
      </c>
      <c r="G51" s="90">
        <v>46006.75392361111</v>
      </c>
      <c r="H51" s="1" t="s">
        <v>16476</v>
      </c>
    </row>
    <row r="52">
      <c r="A52" s="93">
        <v>2401.0</v>
      </c>
      <c r="B52" s="92" t="s">
        <v>18120</v>
      </c>
      <c r="C52" s="92" t="s">
        <v>3839</v>
      </c>
      <c r="D52" s="92" t="s">
        <v>18765</v>
      </c>
      <c r="E52" s="94">
        <v>46006.74490740741</v>
      </c>
      <c r="F52" s="94">
        <v>46048.97131944444</v>
      </c>
      <c r="G52" s="90">
        <v>46006.753854166665</v>
      </c>
      <c r="H52" s="1" t="s">
        <v>16476</v>
      </c>
    </row>
    <row r="53">
      <c r="A53" s="93">
        <v>2400.0</v>
      </c>
      <c r="B53" s="92" t="s">
        <v>18121</v>
      </c>
      <c r="C53" s="92" t="s">
        <v>3834</v>
      </c>
      <c r="D53" s="92" t="s">
        <v>18765</v>
      </c>
      <c r="E53" s="94">
        <v>46006.74489583333</v>
      </c>
      <c r="F53" s="94">
        <v>46048.97130787037</v>
      </c>
      <c r="G53" s="90">
        <v>46006.75383101852</v>
      </c>
      <c r="H53" s="1" t="s">
        <v>16476</v>
      </c>
    </row>
    <row r="54">
      <c r="A54" s="93">
        <v>2081.0</v>
      </c>
      <c r="B54" s="92" t="s">
        <v>18122</v>
      </c>
      <c r="C54" s="92" t="s">
        <v>3810</v>
      </c>
      <c r="D54" s="92" t="s">
        <v>18765</v>
      </c>
      <c r="E54" s="94">
        <v>45541.603842592594</v>
      </c>
      <c r="F54" s="94">
        <v>46048.97130787037</v>
      </c>
      <c r="G54" s="90">
        <v>46006.75376157407</v>
      </c>
      <c r="H54" s="1" t="s">
        <v>16476</v>
      </c>
    </row>
    <row r="55">
      <c r="A55" s="93">
        <v>1939.0</v>
      </c>
      <c r="B55" s="92" t="s">
        <v>18773</v>
      </c>
      <c r="C55" s="92" t="s">
        <v>3796</v>
      </c>
      <c r="D55" s="92" t="s">
        <v>18765</v>
      </c>
      <c r="E55" s="94">
        <v>45345.46532407407</v>
      </c>
      <c r="F55" s="94">
        <v>46048.971296296295</v>
      </c>
      <c r="G55" s="90">
        <v>46006.75371527778</v>
      </c>
      <c r="H55" s="1" t="s">
        <v>16476</v>
      </c>
    </row>
    <row r="56">
      <c r="A56" s="93">
        <v>1938.0</v>
      </c>
      <c r="B56" s="92" t="s">
        <v>18774</v>
      </c>
      <c r="C56" s="92" t="s">
        <v>3789</v>
      </c>
      <c r="D56" s="92" t="s">
        <v>18765</v>
      </c>
      <c r="E56" s="94">
        <v>45336.50413194444</v>
      </c>
      <c r="F56" s="94">
        <v>46048.971284722225</v>
      </c>
      <c r="G56" s="90">
        <v>45974.991435185184</v>
      </c>
      <c r="H56" s="1" t="s">
        <v>16476</v>
      </c>
    </row>
    <row r="57">
      <c r="A57" s="93">
        <v>1931.0</v>
      </c>
      <c r="B57" s="92" t="s">
        <v>18125</v>
      </c>
      <c r="C57" s="92" t="s">
        <v>3785</v>
      </c>
      <c r="D57" s="92" t="s">
        <v>18765</v>
      </c>
      <c r="E57" s="94">
        <v>45315.42800925926</v>
      </c>
      <c r="F57" s="94">
        <v>46048.971284722225</v>
      </c>
      <c r="G57" s="90">
        <v>45974.99101851852</v>
      </c>
      <c r="H57" s="1" t="s">
        <v>16476</v>
      </c>
    </row>
    <row r="58">
      <c r="A58" s="93">
        <v>1929.0</v>
      </c>
      <c r="B58" s="92" t="s">
        <v>18127</v>
      </c>
      <c r="C58" s="92" t="s">
        <v>3778</v>
      </c>
      <c r="D58" s="92" t="s">
        <v>18765</v>
      </c>
      <c r="E58" s="94">
        <v>45313.624814814815</v>
      </c>
      <c r="F58" s="94">
        <v>46048.971284722225</v>
      </c>
      <c r="G58" s="90">
        <v>45974.99047453704</v>
      </c>
      <c r="H58" s="1" t="s">
        <v>16476</v>
      </c>
    </row>
    <row r="59">
      <c r="A59" s="93">
        <v>1913.0</v>
      </c>
      <c r="B59" s="92" t="s">
        <v>18775</v>
      </c>
      <c r="C59" s="92" t="s">
        <v>3767</v>
      </c>
      <c r="D59" s="92" t="s">
        <v>18765</v>
      </c>
      <c r="E59" s="94">
        <v>45308.391122685185</v>
      </c>
      <c r="F59" s="94">
        <v>46048.97126157407</v>
      </c>
      <c r="G59" s="90">
        <v>45974.99010416667</v>
      </c>
      <c r="H59" s="1" t="s">
        <v>16476</v>
      </c>
    </row>
    <row r="60">
      <c r="A60" s="93">
        <v>1895.0</v>
      </c>
      <c r="B60" s="92" t="s">
        <v>18130</v>
      </c>
      <c r="C60" s="92" t="s">
        <v>3760</v>
      </c>
      <c r="D60" s="92" t="s">
        <v>18765</v>
      </c>
      <c r="E60" s="94">
        <v>45293.80364583333</v>
      </c>
      <c r="F60" s="94">
        <v>46048.97126157407</v>
      </c>
      <c r="G60" s="90">
        <v>45974.988657407404</v>
      </c>
      <c r="H60" s="1" t="s">
        <v>16476</v>
      </c>
    </row>
    <row r="61">
      <c r="A61" s="93">
        <v>1892.0</v>
      </c>
      <c r="B61" s="92" t="s">
        <v>18132</v>
      </c>
      <c r="C61" s="92" t="s">
        <v>3754</v>
      </c>
      <c r="D61" s="92" t="s">
        <v>18765</v>
      </c>
      <c r="E61" s="94">
        <v>45283.51894675926</v>
      </c>
      <c r="F61" s="94">
        <v>46048.97126157407</v>
      </c>
      <c r="G61" s="90">
        <v>45974.988287037035</v>
      </c>
      <c r="H61" s="1" t="s">
        <v>16476</v>
      </c>
    </row>
    <row r="62">
      <c r="A62" s="93">
        <v>1868.0</v>
      </c>
      <c r="B62" s="92" t="s">
        <v>16315</v>
      </c>
      <c r="C62" s="92" t="s">
        <v>18776</v>
      </c>
      <c r="D62" s="92" t="s">
        <v>18765</v>
      </c>
      <c r="E62" s="94">
        <v>45258.937256944446</v>
      </c>
      <c r="F62" s="94">
        <v>46048.971238425926</v>
      </c>
      <c r="G62" s="90">
        <v>45974.98798611111</v>
      </c>
      <c r="H62" s="1" t="s">
        <v>16476</v>
      </c>
    </row>
    <row r="63">
      <c r="A63" s="93">
        <v>1747.0</v>
      </c>
      <c r="B63" s="92" t="s">
        <v>18777</v>
      </c>
      <c r="C63" s="92" t="s">
        <v>3712</v>
      </c>
      <c r="D63" s="92" t="s">
        <v>18765</v>
      </c>
      <c r="E63" s="94">
        <v>45189.58574074074</v>
      </c>
      <c r="F63" s="94">
        <v>46048.97122685185</v>
      </c>
      <c r="G63" s="90">
        <v>45974.98724537037</v>
      </c>
      <c r="H63" s="1" t="s">
        <v>16476</v>
      </c>
    </row>
    <row r="64">
      <c r="A64" s="93">
        <v>1744.0</v>
      </c>
      <c r="B64" s="92" t="s">
        <v>18136</v>
      </c>
      <c r="C64" s="92" t="s">
        <v>3702</v>
      </c>
      <c r="D64" s="92" t="s">
        <v>18765</v>
      </c>
      <c r="E64" s="94">
        <v>45187.64821759259</v>
      </c>
      <c r="F64" s="94">
        <v>46048.9712037037</v>
      </c>
      <c r="G64" s="90">
        <v>45974.986979166664</v>
      </c>
      <c r="H64" s="1" t="s">
        <v>16476</v>
      </c>
    </row>
    <row r="65">
      <c r="A65" s="93">
        <v>1739.0</v>
      </c>
      <c r="B65" s="92" t="s">
        <v>18778</v>
      </c>
      <c r="C65" s="92" t="s">
        <v>3697</v>
      </c>
      <c r="D65" s="92" t="s">
        <v>18765</v>
      </c>
      <c r="E65" s="94">
        <v>45181.45075231481</v>
      </c>
      <c r="F65" s="94">
        <v>46048.9712037037</v>
      </c>
      <c r="G65" s="90">
        <v>45974.985439814816</v>
      </c>
      <c r="H65" s="1" t="s">
        <v>16476</v>
      </c>
    </row>
    <row r="66">
      <c r="A66" s="93">
        <v>1726.0</v>
      </c>
      <c r="B66" s="92" t="s">
        <v>18138</v>
      </c>
      <c r="C66" s="92" t="s">
        <v>3683</v>
      </c>
      <c r="D66" s="92" t="s">
        <v>18765</v>
      </c>
      <c r="E66" s="94">
        <v>45145.67758101852</v>
      </c>
      <c r="F66" s="94">
        <v>46048.97119212963</v>
      </c>
      <c r="G66" s="90">
        <v>45974.985034722224</v>
      </c>
      <c r="H66" s="1" t="s">
        <v>16476</v>
      </c>
    </row>
    <row r="67">
      <c r="A67" s="93">
        <v>1721.0</v>
      </c>
      <c r="B67" s="92" t="s">
        <v>18140</v>
      </c>
      <c r="C67" s="92" t="s">
        <v>3674</v>
      </c>
      <c r="D67" s="92" t="s">
        <v>18765</v>
      </c>
      <c r="E67" s="94">
        <v>45137.38928240741</v>
      </c>
      <c r="F67" s="94">
        <v>46048.97119212963</v>
      </c>
      <c r="G67" s="90">
        <v>45974.98478009259</v>
      </c>
      <c r="H67" s="1" t="s">
        <v>16476</v>
      </c>
    </row>
    <row r="68">
      <c r="A68" s="93">
        <v>1720.0</v>
      </c>
      <c r="B68" s="92" t="s">
        <v>18142</v>
      </c>
      <c r="C68" s="92" t="s">
        <v>3668</v>
      </c>
      <c r="D68" s="92" t="s">
        <v>18765</v>
      </c>
      <c r="E68" s="94">
        <v>45134.734502314815</v>
      </c>
      <c r="F68" s="94">
        <v>46048.97119212963</v>
      </c>
      <c r="G68" s="90">
        <v>45974.984444444446</v>
      </c>
      <c r="H68" s="1" t="s">
        <v>16476</v>
      </c>
    </row>
    <row r="69">
      <c r="A69" s="93">
        <v>436.0</v>
      </c>
      <c r="B69" s="92" t="s">
        <v>18144</v>
      </c>
      <c r="C69" s="92" t="s">
        <v>3579</v>
      </c>
      <c r="D69" s="92" t="s">
        <v>18765</v>
      </c>
      <c r="E69" s="94">
        <v>45113.540555555555</v>
      </c>
      <c r="F69" s="94">
        <v>46048.971180555556</v>
      </c>
      <c r="G69" s="90">
        <v>45974.983923611115</v>
      </c>
      <c r="H69" s="1" t="s">
        <v>16476</v>
      </c>
    </row>
    <row r="70">
      <c r="A70" s="93">
        <v>423.0</v>
      </c>
      <c r="B70" s="92" t="s">
        <v>18145</v>
      </c>
      <c r="C70" s="92" t="s">
        <v>3474</v>
      </c>
      <c r="D70" s="92" t="s">
        <v>18765</v>
      </c>
      <c r="E70" s="94">
        <v>45113.54042824074</v>
      </c>
      <c r="F70" s="94">
        <v>46048.97116898148</v>
      </c>
      <c r="G70" s="90">
        <v>45974.98315972222</v>
      </c>
      <c r="H70" s="1" t="s">
        <v>16476</v>
      </c>
    </row>
    <row r="71">
      <c r="A71" s="93">
        <v>408.0</v>
      </c>
      <c r="B71" s="92" t="s">
        <v>18146</v>
      </c>
      <c r="C71" s="92" t="s">
        <v>3376</v>
      </c>
      <c r="D71" s="92" t="s">
        <v>18765</v>
      </c>
      <c r="E71" s="94">
        <v>45113.540289351855</v>
      </c>
      <c r="F71" s="94">
        <v>46048.97115740741</v>
      </c>
      <c r="G71" s="90">
        <v>45974.98284722222</v>
      </c>
      <c r="H71" s="1" t="s">
        <v>16476</v>
      </c>
    </row>
    <row r="72">
      <c r="A72" s="93">
        <v>400.0</v>
      </c>
      <c r="B72" s="92" t="s">
        <v>18147</v>
      </c>
      <c r="C72" s="92" t="s">
        <v>3304</v>
      </c>
      <c r="D72" s="92" t="s">
        <v>18765</v>
      </c>
      <c r="E72" s="94">
        <v>45113.54019675926</v>
      </c>
      <c r="F72" s="94">
        <v>46048.97114583333</v>
      </c>
      <c r="G72" s="90">
        <v>45974.98226851852</v>
      </c>
      <c r="H72" s="1" t="s">
        <v>16476</v>
      </c>
    </row>
    <row r="73">
      <c r="A73" s="93">
        <v>397.0</v>
      </c>
      <c r="B73" s="92" t="s">
        <v>18148</v>
      </c>
      <c r="C73" s="92" t="s">
        <v>18779</v>
      </c>
      <c r="D73" s="92" t="s">
        <v>18765</v>
      </c>
      <c r="E73" s="94">
        <v>45113.54016203704</v>
      </c>
      <c r="F73" s="94">
        <v>46048.97114583333</v>
      </c>
      <c r="G73" s="90">
        <v>45974.981782407405</v>
      </c>
      <c r="H73" s="1" t="s">
        <v>16476</v>
      </c>
    </row>
    <row r="74">
      <c r="A74" s="93">
        <v>387.0</v>
      </c>
      <c r="B74" s="92" t="s">
        <v>18149</v>
      </c>
      <c r="C74" s="92" t="s">
        <v>3203</v>
      </c>
      <c r="D74" s="92" t="s">
        <v>18765</v>
      </c>
      <c r="E74" s="94">
        <v>45113.54006944445</v>
      </c>
      <c r="F74" s="94">
        <v>46048.97114583333</v>
      </c>
      <c r="G74" s="90">
        <v>45974.98142361111</v>
      </c>
      <c r="H74" s="1" t="s">
        <v>16476</v>
      </c>
    </row>
    <row r="75">
      <c r="A75" s="93">
        <v>368.0</v>
      </c>
      <c r="B75" s="92" t="s">
        <v>18150</v>
      </c>
      <c r="C75" s="92" t="s">
        <v>3055</v>
      </c>
      <c r="D75" s="92" t="s">
        <v>18765</v>
      </c>
      <c r="E75" s="94">
        <v>45113.53988425926</v>
      </c>
      <c r="F75" s="94">
        <v>46048.97112268519</v>
      </c>
      <c r="G75" s="90">
        <v>45974.98096064815</v>
      </c>
      <c r="H75" s="1" t="s">
        <v>16476</v>
      </c>
    </row>
    <row r="76">
      <c r="A76" s="93">
        <v>367.0</v>
      </c>
      <c r="B76" s="92" t="s">
        <v>18151</v>
      </c>
      <c r="C76" s="92" t="s">
        <v>3047</v>
      </c>
      <c r="D76" s="92" t="s">
        <v>18765</v>
      </c>
      <c r="E76" s="94">
        <v>45113.539872685185</v>
      </c>
      <c r="F76" s="94">
        <v>46048.97112268519</v>
      </c>
      <c r="G76" s="90">
        <v>45974.980671296296</v>
      </c>
      <c r="H76" s="1" t="s">
        <v>16476</v>
      </c>
    </row>
    <row r="77">
      <c r="A77" s="93">
        <v>366.0</v>
      </c>
      <c r="B77" s="92" t="s">
        <v>18152</v>
      </c>
      <c r="C77" s="92" t="s">
        <v>3039</v>
      </c>
      <c r="D77" s="92" t="s">
        <v>18765</v>
      </c>
      <c r="E77" s="94">
        <v>45113.539872685185</v>
      </c>
      <c r="F77" s="94">
        <v>46048.97112268519</v>
      </c>
      <c r="G77" s="90">
        <v>45974.98032407407</v>
      </c>
      <c r="H77" s="1" t="s">
        <v>16476</v>
      </c>
    </row>
    <row r="78">
      <c r="A78" s="93">
        <v>365.0</v>
      </c>
      <c r="B78" s="92" t="s">
        <v>18153</v>
      </c>
      <c r="C78" s="92" t="s">
        <v>3031</v>
      </c>
      <c r="D78" s="92" t="s">
        <v>18765</v>
      </c>
      <c r="E78" s="94">
        <v>45113.53986111111</v>
      </c>
      <c r="F78" s="94">
        <v>46048.97112268519</v>
      </c>
      <c r="G78" s="90">
        <v>45974.979537037034</v>
      </c>
      <c r="H78" s="1" t="s">
        <v>16476</v>
      </c>
    </row>
    <row r="79">
      <c r="A79" s="93">
        <v>364.0</v>
      </c>
      <c r="B79" s="92" t="s">
        <v>18154</v>
      </c>
      <c r="C79" s="92" t="s">
        <v>3021</v>
      </c>
      <c r="D79" s="92" t="s">
        <v>18765</v>
      </c>
      <c r="E79" s="94">
        <v>45113.53984953704</v>
      </c>
      <c r="F79" s="94">
        <v>46048.97112268519</v>
      </c>
      <c r="G79" s="90">
        <v>45974.97887731482</v>
      </c>
      <c r="H79" s="1" t="s">
        <v>16476</v>
      </c>
    </row>
    <row r="80">
      <c r="A80" s="93">
        <v>363.0</v>
      </c>
      <c r="B80" s="92" t="s">
        <v>18780</v>
      </c>
      <c r="C80" s="92" t="s">
        <v>3013</v>
      </c>
      <c r="D80" s="92" t="s">
        <v>18765</v>
      </c>
      <c r="E80" s="94">
        <v>45113.53983796296</v>
      </c>
      <c r="F80" s="94">
        <v>46048.97111111111</v>
      </c>
      <c r="G80" s="90">
        <v>45974.97850694445</v>
      </c>
      <c r="H80" s="1" t="s">
        <v>16476</v>
      </c>
    </row>
    <row r="81">
      <c r="A81" s="93">
        <v>361.0</v>
      </c>
      <c r="B81" s="92" t="s">
        <v>18156</v>
      </c>
      <c r="C81" s="92" t="s">
        <v>2998</v>
      </c>
      <c r="D81" s="92" t="s">
        <v>18765</v>
      </c>
      <c r="E81" s="94">
        <v>45113.539814814816</v>
      </c>
      <c r="F81" s="94">
        <v>46048.97111111111</v>
      </c>
      <c r="G81" s="90">
        <v>45974.97797453704</v>
      </c>
      <c r="H81" s="1" t="s">
        <v>16476</v>
      </c>
    </row>
    <row r="82">
      <c r="A82" s="93">
        <v>360.0</v>
      </c>
      <c r="B82" s="92" t="s">
        <v>18157</v>
      </c>
      <c r="C82" s="92" t="s">
        <v>2991</v>
      </c>
      <c r="D82" s="92" t="s">
        <v>18765</v>
      </c>
      <c r="E82" s="94">
        <v>45113.539814814816</v>
      </c>
      <c r="F82" s="94">
        <v>46048.97111111111</v>
      </c>
      <c r="G82" s="90">
        <v>45974.9775</v>
      </c>
      <c r="H82" s="1" t="s">
        <v>16476</v>
      </c>
    </row>
    <row r="83">
      <c r="A83" s="93">
        <v>359.0</v>
      </c>
      <c r="B83" s="92" t="s">
        <v>18158</v>
      </c>
      <c r="C83" s="92" t="s">
        <v>2985</v>
      </c>
      <c r="D83" s="92" t="s">
        <v>18765</v>
      </c>
      <c r="E83" s="94">
        <v>45113.53980324074</v>
      </c>
      <c r="F83" s="94">
        <v>46048.97111111111</v>
      </c>
      <c r="G83" s="90">
        <v>45974.977002314816</v>
      </c>
      <c r="H83" s="1" t="s">
        <v>16476</v>
      </c>
    </row>
    <row r="84">
      <c r="A84" s="93">
        <v>358.0</v>
      </c>
      <c r="B84" s="92" t="s">
        <v>18159</v>
      </c>
      <c r="C84" s="92" t="s">
        <v>2977</v>
      </c>
      <c r="D84" s="92" t="s">
        <v>18765</v>
      </c>
      <c r="E84" s="94">
        <v>45113.53979166667</v>
      </c>
      <c r="F84" s="94">
        <v>46048.97109953704</v>
      </c>
      <c r="G84" s="90">
        <v>45974.97630787037</v>
      </c>
      <c r="H84" s="1" t="s">
        <v>16476</v>
      </c>
    </row>
    <row r="85">
      <c r="A85" s="93">
        <v>357.0</v>
      </c>
      <c r="B85" s="92" t="s">
        <v>18160</v>
      </c>
      <c r="C85" s="92" t="s">
        <v>2970</v>
      </c>
      <c r="D85" s="92" t="s">
        <v>18765</v>
      </c>
      <c r="E85" s="94">
        <v>45113.53978009259</v>
      </c>
      <c r="F85" s="94">
        <v>46048.97109953704</v>
      </c>
      <c r="G85" s="90">
        <v>45974.97586805555</v>
      </c>
      <c r="H85" s="1" t="s">
        <v>16476</v>
      </c>
    </row>
    <row r="86">
      <c r="A86" s="93">
        <v>356.0</v>
      </c>
      <c r="B86" s="92" t="s">
        <v>18161</v>
      </c>
      <c r="C86" s="92" t="s">
        <v>2961</v>
      </c>
      <c r="D86" s="92" t="s">
        <v>18765</v>
      </c>
      <c r="E86" s="94">
        <v>45113.539768518516</v>
      </c>
      <c r="F86" s="94">
        <v>46048.97109953704</v>
      </c>
      <c r="G86" s="90">
        <v>45974.975439814814</v>
      </c>
      <c r="H86" s="1" t="s">
        <v>16476</v>
      </c>
    </row>
    <row r="87">
      <c r="A87" s="93">
        <v>355.0</v>
      </c>
      <c r="B87" s="92" t="s">
        <v>18162</v>
      </c>
      <c r="C87" s="92" t="s">
        <v>2954</v>
      </c>
      <c r="D87" s="92" t="s">
        <v>18765</v>
      </c>
      <c r="E87" s="94">
        <v>45113.53975694445</v>
      </c>
      <c r="F87" s="94">
        <v>46048.97107638889</v>
      </c>
      <c r="G87" s="90">
        <v>45974.97511574074</v>
      </c>
      <c r="H87" s="1" t="s">
        <v>16476</v>
      </c>
    </row>
    <row r="88">
      <c r="A88" s="93">
        <v>354.0</v>
      </c>
      <c r="B88" s="92" t="s">
        <v>18163</v>
      </c>
      <c r="C88" s="92" t="s">
        <v>2945</v>
      </c>
      <c r="D88" s="92" t="s">
        <v>18765</v>
      </c>
      <c r="E88" s="94">
        <v>45113.53975694445</v>
      </c>
      <c r="F88" s="94">
        <v>46048.97107638889</v>
      </c>
      <c r="G88" s="90">
        <v>45974.97456018518</v>
      </c>
      <c r="H88" s="1" t="s">
        <v>16476</v>
      </c>
    </row>
    <row r="89">
      <c r="A89" s="93">
        <v>353.0</v>
      </c>
      <c r="B89" s="92" t="s">
        <v>18164</v>
      </c>
      <c r="C89" s="92" t="s">
        <v>18781</v>
      </c>
      <c r="D89" s="92" t="s">
        <v>18765</v>
      </c>
      <c r="E89" s="94">
        <v>45113.53974537037</v>
      </c>
      <c r="F89" s="94">
        <v>46048.97106481482</v>
      </c>
      <c r="G89" s="90">
        <v>45974.97337962963</v>
      </c>
      <c r="H89" s="1" t="s">
        <v>16476</v>
      </c>
    </row>
    <row r="90">
      <c r="A90" s="93">
        <v>352.0</v>
      </c>
      <c r="B90" s="92" t="s">
        <v>18165</v>
      </c>
      <c r="C90" s="92" t="s">
        <v>2926</v>
      </c>
      <c r="D90" s="92" t="s">
        <v>18765</v>
      </c>
      <c r="E90" s="94">
        <v>45113.53973379629</v>
      </c>
      <c r="F90" s="94">
        <v>46048.97106481482</v>
      </c>
      <c r="G90" s="90">
        <v>45974.97236111111</v>
      </c>
      <c r="H90" s="1" t="s">
        <v>16476</v>
      </c>
    </row>
    <row r="91">
      <c r="A91" s="93">
        <v>351.0</v>
      </c>
      <c r="B91" s="92" t="s">
        <v>18166</v>
      </c>
      <c r="C91" s="92" t="s">
        <v>2920</v>
      </c>
      <c r="D91" s="92" t="s">
        <v>18765</v>
      </c>
      <c r="E91" s="94">
        <v>45113.539722222224</v>
      </c>
      <c r="F91" s="94">
        <v>46048.97105324074</v>
      </c>
      <c r="G91" s="90">
        <v>45974.972037037034</v>
      </c>
      <c r="H91" s="1" t="s">
        <v>16476</v>
      </c>
    </row>
    <row r="92">
      <c r="A92" s="93">
        <v>350.0</v>
      </c>
      <c r="B92" s="92" t="s">
        <v>18167</v>
      </c>
      <c r="C92" s="92" t="s">
        <v>2910</v>
      </c>
      <c r="D92" s="92" t="s">
        <v>18765</v>
      </c>
      <c r="E92" s="94">
        <v>45113.53971064815</v>
      </c>
      <c r="F92" s="94">
        <v>46048.97105324074</v>
      </c>
      <c r="G92" s="90">
        <v>45974.971180555556</v>
      </c>
      <c r="H92" s="1" t="s">
        <v>16476</v>
      </c>
    </row>
    <row r="93">
      <c r="A93" s="93">
        <v>349.0</v>
      </c>
      <c r="B93" s="92" t="s">
        <v>18168</v>
      </c>
      <c r="C93" s="92" t="s">
        <v>2904</v>
      </c>
      <c r="D93" s="92" t="s">
        <v>18765</v>
      </c>
      <c r="E93" s="94">
        <v>45113.53969907408</v>
      </c>
      <c r="F93" s="94">
        <v>46048.97105324074</v>
      </c>
      <c r="G93" s="90">
        <v>45974.97005787037</v>
      </c>
      <c r="H93" s="1" t="s">
        <v>16476</v>
      </c>
    </row>
    <row r="94">
      <c r="A94" s="93">
        <v>347.0</v>
      </c>
      <c r="B94" s="92" t="s">
        <v>18169</v>
      </c>
      <c r="C94" s="92" t="s">
        <v>2889</v>
      </c>
      <c r="D94" s="92" t="s">
        <v>18765</v>
      </c>
      <c r="E94" s="94">
        <v>45113.5396875</v>
      </c>
      <c r="F94" s="94">
        <v>46048.97105324074</v>
      </c>
      <c r="G94" s="90">
        <v>45974.969351851854</v>
      </c>
      <c r="H94" s="1" t="s">
        <v>16476</v>
      </c>
    </row>
    <row r="95">
      <c r="A95" s="93">
        <v>345.0</v>
      </c>
      <c r="B95" s="92" t="s">
        <v>18170</v>
      </c>
      <c r="C95" s="92" t="s">
        <v>2883</v>
      </c>
      <c r="D95" s="92" t="s">
        <v>18765</v>
      </c>
      <c r="E95" s="94">
        <v>45113.539664351854</v>
      </c>
      <c r="F95" s="94">
        <v>46048.971041666664</v>
      </c>
      <c r="G95" s="90">
        <v>45974.9690162037</v>
      </c>
      <c r="H95" s="1" t="s">
        <v>16476</v>
      </c>
    </row>
    <row r="96">
      <c r="A96" s="93">
        <v>344.0</v>
      </c>
      <c r="B96" s="92" t="s">
        <v>18171</v>
      </c>
      <c r="C96" s="92" t="s">
        <v>18782</v>
      </c>
      <c r="D96" s="92" t="s">
        <v>18765</v>
      </c>
      <c r="E96" s="94">
        <v>45113.53965277778</v>
      </c>
      <c r="F96" s="94">
        <v>46048.971041666664</v>
      </c>
      <c r="G96" s="90">
        <v>45974.96864583333</v>
      </c>
      <c r="H96" s="1" t="s">
        <v>16476</v>
      </c>
    </row>
    <row r="97">
      <c r="A97" s="93">
        <v>343.0</v>
      </c>
      <c r="B97" s="92" t="s">
        <v>18172</v>
      </c>
      <c r="C97" s="92" t="s">
        <v>2867</v>
      </c>
      <c r="D97" s="92" t="s">
        <v>18765</v>
      </c>
      <c r="E97" s="94">
        <v>45113.53965277778</v>
      </c>
      <c r="F97" s="94">
        <v>46048.971041666664</v>
      </c>
      <c r="G97" s="90">
        <v>45974.968356481484</v>
      </c>
      <c r="H97" s="1" t="s">
        <v>16476</v>
      </c>
    </row>
    <row r="98">
      <c r="A98" s="93">
        <v>342.0</v>
      </c>
      <c r="B98" s="92" t="s">
        <v>18173</v>
      </c>
      <c r="C98" s="92" t="s">
        <v>2859</v>
      </c>
      <c r="D98" s="92" t="s">
        <v>18765</v>
      </c>
      <c r="E98" s="94">
        <v>45113.5396412037</v>
      </c>
      <c r="F98" s="94">
        <v>46048.971030092594</v>
      </c>
      <c r="G98" s="90">
        <v>45974.968043981484</v>
      </c>
      <c r="H98" s="1" t="s">
        <v>16476</v>
      </c>
    </row>
    <row r="99">
      <c r="A99" s="93">
        <v>341.0</v>
      </c>
      <c r="B99" s="92" t="s">
        <v>18174</v>
      </c>
      <c r="C99" s="92" t="s">
        <v>2850</v>
      </c>
      <c r="D99" s="92" t="s">
        <v>18765</v>
      </c>
      <c r="E99" s="94">
        <v>45113.53962962963</v>
      </c>
      <c r="F99" s="94">
        <v>46048.971030092594</v>
      </c>
      <c r="G99" s="90">
        <v>45974.96770833333</v>
      </c>
      <c r="H99" s="1" t="s">
        <v>16476</v>
      </c>
    </row>
    <row r="100">
      <c r="A100" s="93">
        <v>340.0</v>
      </c>
      <c r="B100" s="92" t="s">
        <v>18175</v>
      </c>
      <c r="C100" s="92" t="s">
        <v>2842</v>
      </c>
      <c r="D100" s="92" t="s">
        <v>18765</v>
      </c>
      <c r="E100" s="94">
        <v>45113.539618055554</v>
      </c>
      <c r="F100" s="94">
        <v>46048.971030092594</v>
      </c>
      <c r="G100" s="90">
        <v>45974.96726851852</v>
      </c>
      <c r="H100" s="1" t="s">
        <v>16476</v>
      </c>
    </row>
    <row r="101">
      <c r="A101" s="93">
        <v>339.0</v>
      </c>
      <c r="B101" s="92" t="s">
        <v>18176</v>
      </c>
      <c r="C101" s="92" t="s">
        <v>2831</v>
      </c>
      <c r="D101" s="92" t="s">
        <v>18765</v>
      </c>
      <c r="E101" s="94">
        <v>45113.539606481485</v>
      </c>
      <c r="F101" s="94">
        <v>46048.971030092594</v>
      </c>
      <c r="G101" s="90">
        <v>45974.966516203705</v>
      </c>
      <c r="H101" s="1" t="s">
        <v>16476</v>
      </c>
    </row>
    <row r="102">
      <c r="A102" s="93">
        <v>338.0</v>
      </c>
      <c r="B102" s="92" t="s">
        <v>18177</v>
      </c>
      <c r="C102" s="92" t="s">
        <v>2825</v>
      </c>
      <c r="D102" s="92" t="s">
        <v>18765</v>
      </c>
      <c r="E102" s="94">
        <v>45113.53959490741</v>
      </c>
      <c r="F102" s="94">
        <v>46048.97101851852</v>
      </c>
      <c r="G102" s="90">
        <v>45974.96623842593</v>
      </c>
      <c r="H102" s="1" t="s">
        <v>16476</v>
      </c>
    </row>
    <row r="103">
      <c r="A103" s="93">
        <v>337.0</v>
      </c>
      <c r="B103" s="92" t="s">
        <v>18178</v>
      </c>
      <c r="C103" s="92" t="s">
        <v>2816</v>
      </c>
      <c r="D103" s="92" t="s">
        <v>18765</v>
      </c>
      <c r="E103" s="94">
        <v>45113.53959490741</v>
      </c>
      <c r="F103" s="94">
        <v>46048.97101851852</v>
      </c>
      <c r="G103" s="90">
        <v>45974.965787037036</v>
      </c>
      <c r="H103" s="1" t="s">
        <v>16476</v>
      </c>
    </row>
    <row r="104">
      <c r="A104" s="93">
        <v>335.0</v>
      </c>
      <c r="B104" s="92" t="s">
        <v>18179</v>
      </c>
      <c r="C104" s="92" t="s">
        <v>2801</v>
      </c>
      <c r="D104" s="92" t="s">
        <v>18765</v>
      </c>
      <c r="E104" s="94">
        <v>45113.53957175926</v>
      </c>
      <c r="F104" s="94">
        <v>46048.97100694444</v>
      </c>
      <c r="G104" s="90">
        <v>45974.965416666666</v>
      </c>
      <c r="H104" s="1" t="s">
        <v>16476</v>
      </c>
    </row>
    <row r="105">
      <c r="A105" s="93">
        <v>333.0</v>
      </c>
      <c r="B105" s="92" t="s">
        <v>18180</v>
      </c>
      <c r="C105" s="92" t="s">
        <v>2788</v>
      </c>
      <c r="D105" s="92" t="s">
        <v>18765</v>
      </c>
      <c r="E105" s="94">
        <v>45113.53954861111</v>
      </c>
      <c r="F105" s="94">
        <v>46048.97100694444</v>
      </c>
      <c r="G105" s="90">
        <v>45974.96497685185</v>
      </c>
      <c r="H105" s="1" t="s">
        <v>16476</v>
      </c>
    </row>
    <row r="106">
      <c r="A106" s="93">
        <v>332.0</v>
      </c>
      <c r="B106" s="92" t="s">
        <v>18181</v>
      </c>
      <c r="C106" s="92" t="s">
        <v>2779</v>
      </c>
      <c r="D106" s="92" t="s">
        <v>18765</v>
      </c>
      <c r="E106" s="94">
        <v>45113.53953703704</v>
      </c>
      <c r="F106" s="94">
        <v>46048.97099537037</v>
      </c>
      <c r="G106" s="90">
        <v>45974.96445601852</v>
      </c>
      <c r="H106" s="1" t="s">
        <v>16476</v>
      </c>
    </row>
    <row r="107">
      <c r="A107" s="93">
        <v>331.0</v>
      </c>
      <c r="B107" s="92" t="s">
        <v>18182</v>
      </c>
      <c r="C107" s="92" t="s">
        <v>2773</v>
      </c>
      <c r="D107" s="92" t="s">
        <v>18765</v>
      </c>
      <c r="E107" s="94">
        <v>45113.53953703704</v>
      </c>
      <c r="F107" s="94">
        <v>46048.970983796295</v>
      </c>
      <c r="G107" s="90">
        <v>45974.9640625</v>
      </c>
      <c r="H107" s="1" t="s">
        <v>16476</v>
      </c>
    </row>
    <row r="108">
      <c r="A108" s="93">
        <v>330.0</v>
      </c>
      <c r="B108" s="92" t="s">
        <v>18183</v>
      </c>
      <c r="C108" s="92" t="s">
        <v>2764</v>
      </c>
      <c r="D108" s="92" t="s">
        <v>18765</v>
      </c>
      <c r="E108" s="94">
        <v>45113.53952546296</v>
      </c>
      <c r="F108" s="94">
        <v>46048.970983796295</v>
      </c>
      <c r="G108" s="90">
        <v>45974.96140046296</v>
      </c>
      <c r="H108" s="1" t="s">
        <v>16476</v>
      </c>
    </row>
    <row r="109">
      <c r="A109" s="93">
        <v>328.0</v>
      </c>
      <c r="B109" s="92" t="s">
        <v>18184</v>
      </c>
      <c r="C109" s="92" t="s">
        <v>2750</v>
      </c>
      <c r="D109" s="92" t="s">
        <v>18765</v>
      </c>
      <c r="E109" s="94">
        <v>45113.539502314816</v>
      </c>
      <c r="F109" s="94">
        <v>46048.970983796295</v>
      </c>
      <c r="G109" s="90">
        <v>45974.9603587963</v>
      </c>
      <c r="H109" s="1" t="s">
        <v>16476</v>
      </c>
    </row>
    <row r="110">
      <c r="A110" s="93">
        <v>327.0</v>
      </c>
      <c r="B110" s="92" t="s">
        <v>18185</v>
      </c>
      <c r="C110" s="92" t="s">
        <v>2738</v>
      </c>
      <c r="D110" s="92" t="s">
        <v>18765</v>
      </c>
      <c r="E110" s="94">
        <v>45113.53949074074</v>
      </c>
      <c r="F110" s="94">
        <v>46048.970983796295</v>
      </c>
      <c r="G110" s="90">
        <v>45974.95956018518</v>
      </c>
      <c r="H110" s="1" t="s">
        <v>16476</v>
      </c>
    </row>
    <row r="111">
      <c r="A111" s="93">
        <v>326.0</v>
      </c>
      <c r="B111" s="92" t="s">
        <v>18186</v>
      </c>
      <c r="C111" s="92" t="s">
        <v>2730</v>
      </c>
      <c r="D111" s="92" t="s">
        <v>18765</v>
      </c>
      <c r="E111" s="94">
        <v>45113.53949074074</v>
      </c>
      <c r="F111" s="94">
        <v>46048.970972222225</v>
      </c>
      <c r="G111" s="90">
        <v>45974.95890046296</v>
      </c>
      <c r="H111" s="1" t="s">
        <v>16476</v>
      </c>
    </row>
    <row r="112">
      <c r="A112" s="93">
        <v>325.0</v>
      </c>
      <c r="B112" s="92" t="s">
        <v>18187</v>
      </c>
      <c r="C112" s="92" t="s">
        <v>2721</v>
      </c>
      <c r="D112" s="92" t="s">
        <v>18765</v>
      </c>
      <c r="E112" s="94">
        <v>45113.53947916667</v>
      </c>
      <c r="F112" s="94">
        <v>46048.97096064815</v>
      </c>
      <c r="G112" s="90">
        <v>45974.95831018518</v>
      </c>
      <c r="H112" s="1" t="s">
        <v>16476</v>
      </c>
    </row>
    <row r="113">
      <c r="A113" s="93">
        <v>324.0</v>
      </c>
      <c r="B113" s="92" t="s">
        <v>18188</v>
      </c>
      <c r="C113" s="92" t="s">
        <v>2715</v>
      </c>
      <c r="D113" s="92" t="s">
        <v>18765</v>
      </c>
      <c r="E113" s="94">
        <v>45113.53946759259</v>
      </c>
      <c r="F113" s="94">
        <v>46048.97094907407</v>
      </c>
      <c r="G113" s="90">
        <v>45974.9575</v>
      </c>
      <c r="H113" s="1" t="s">
        <v>16476</v>
      </c>
    </row>
    <row r="114">
      <c r="A114" s="93">
        <v>323.0</v>
      </c>
      <c r="B114" s="92" t="s">
        <v>18189</v>
      </c>
      <c r="C114" s="92" t="s">
        <v>2708</v>
      </c>
      <c r="D114" s="92" t="s">
        <v>18765</v>
      </c>
      <c r="E114" s="94">
        <v>45113.539456018516</v>
      </c>
      <c r="F114" s="94">
        <v>46048.97094907407</v>
      </c>
      <c r="G114" s="90">
        <v>45974.957141203704</v>
      </c>
      <c r="H114" s="1" t="s">
        <v>16476</v>
      </c>
    </row>
    <row r="115">
      <c r="A115" s="93">
        <v>321.0</v>
      </c>
      <c r="B115" s="92" t="s">
        <v>18190</v>
      </c>
      <c r="C115" s="92" t="s">
        <v>2695</v>
      </c>
      <c r="D115" s="92" t="s">
        <v>18765</v>
      </c>
      <c r="E115" s="94">
        <v>45113.53943287037</v>
      </c>
      <c r="F115" s="94">
        <v>46048.97094907407</v>
      </c>
      <c r="G115" s="90">
        <v>45974.95681712963</v>
      </c>
      <c r="H115" s="1" t="s">
        <v>16476</v>
      </c>
    </row>
    <row r="116">
      <c r="A116" s="93">
        <v>320.0</v>
      </c>
      <c r="B116" s="92" t="s">
        <v>18191</v>
      </c>
      <c r="C116" s="92" t="s">
        <v>2685</v>
      </c>
      <c r="D116" s="92" t="s">
        <v>18765</v>
      </c>
      <c r="E116" s="94">
        <v>45113.53943287037</v>
      </c>
      <c r="F116" s="94">
        <v>46048.97094907407</v>
      </c>
      <c r="G116" s="90">
        <v>45974.95636574074</v>
      </c>
      <c r="H116" s="1" t="s">
        <v>16476</v>
      </c>
    </row>
    <row r="117">
      <c r="A117" s="93">
        <v>318.0</v>
      </c>
      <c r="B117" s="92" t="s">
        <v>18192</v>
      </c>
      <c r="C117" s="92" t="s">
        <v>2670</v>
      </c>
      <c r="D117" s="92" t="s">
        <v>18765</v>
      </c>
      <c r="E117" s="94">
        <v>45113.53940972222</v>
      </c>
      <c r="F117" s="94">
        <v>46048.9709375</v>
      </c>
      <c r="G117" s="90">
        <v>45974.954872685186</v>
      </c>
      <c r="H117" s="1" t="s">
        <v>16476</v>
      </c>
    </row>
    <row r="118">
      <c r="A118" s="93">
        <v>317.0</v>
      </c>
      <c r="B118" s="92" t="s">
        <v>18193</v>
      </c>
      <c r="C118" s="92" t="s">
        <v>2664</v>
      </c>
      <c r="D118" s="92" t="s">
        <v>18765</v>
      </c>
      <c r="E118" s="94">
        <v>45113.53939814815</v>
      </c>
      <c r="F118" s="94">
        <v>46048.97091435185</v>
      </c>
      <c r="G118" s="90">
        <v>45974.953680555554</v>
      </c>
      <c r="H118" s="1" t="s">
        <v>16476</v>
      </c>
    </row>
    <row r="119">
      <c r="A119" s="93">
        <v>316.0</v>
      </c>
      <c r="B119" s="92" t="s">
        <v>18194</v>
      </c>
      <c r="C119" s="92" t="s">
        <v>2656</v>
      </c>
      <c r="D119" s="92" t="s">
        <v>18765</v>
      </c>
      <c r="E119" s="94">
        <v>45113.53938657408</v>
      </c>
      <c r="F119" s="94">
        <v>46048.97090277778</v>
      </c>
      <c r="G119" s="90">
        <v>45974.95318287037</v>
      </c>
      <c r="H119" s="1" t="s">
        <v>16476</v>
      </c>
    </row>
    <row r="120">
      <c r="A120" s="93">
        <v>314.0</v>
      </c>
      <c r="B120" s="92" t="s">
        <v>18195</v>
      </c>
      <c r="C120" s="92" t="s">
        <v>2640</v>
      </c>
      <c r="D120" s="92" t="s">
        <v>18765</v>
      </c>
      <c r="E120" s="94">
        <v>45113.539375</v>
      </c>
      <c r="F120" s="94">
        <v>46048.97090277778</v>
      </c>
      <c r="G120" s="90">
        <v>45974.95259259259</v>
      </c>
      <c r="H120" s="1" t="s">
        <v>16476</v>
      </c>
    </row>
    <row r="121">
      <c r="A121" s="93">
        <v>313.0</v>
      </c>
      <c r="B121" s="92" t="s">
        <v>18196</v>
      </c>
      <c r="C121" s="92" t="s">
        <v>2630</v>
      </c>
      <c r="D121" s="92" t="s">
        <v>18765</v>
      </c>
      <c r="E121" s="94">
        <v>45113.53936342592</v>
      </c>
      <c r="F121" s="94">
        <v>46048.97090277778</v>
      </c>
      <c r="G121" s="90">
        <v>45974.95210648148</v>
      </c>
      <c r="H121" s="1" t="s">
        <v>16476</v>
      </c>
    </row>
    <row r="122">
      <c r="A122" s="93">
        <v>312.0</v>
      </c>
      <c r="B122" s="92" t="s">
        <v>18197</v>
      </c>
      <c r="C122" s="92" t="s">
        <v>2619</v>
      </c>
      <c r="D122" s="92" t="s">
        <v>18765</v>
      </c>
      <c r="E122" s="94">
        <v>45113.539351851854</v>
      </c>
      <c r="F122" s="94">
        <v>46048.9708912037</v>
      </c>
      <c r="G122" s="90">
        <v>45974.95142361111</v>
      </c>
      <c r="H122" s="1" t="s">
        <v>16476</v>
      </c>
    </row>
    <row r="123">
      <c r="A123" s="93">
        <v>310.0</v>
      </c>
      <c r="B123" s="92" t="s">
        <v>18199</v>
      </c>
      <c r="C123" s="92" t="s">
        <v>2605</v>
      </c>
      <c r="D123" s="92" t="s">
        <v>18765</v>
      </c>
      <c r="E123" s="94">
        <v>45113.5393287037</v>
      </c>
      <c r="F123" s="94">
        <v>46048.9708912037</v>
      </c>
      <c r="G123" s="90">
        <v>45974.95106481481</v>
      </c>
      <c r="H123" s="1" t="s">
        <v>16476</v>
      </c>
    </row>
    <row r="124">
      <c r="A124" s="93">
        <v>309.0</v>
      </c>
      <c r="B124" s="92" t="s">
        <v>18200</v>
      </c>
      <c r="C124" s="92" t="s">
        <v>2595</v>
      </c>
      <c r="D124" s="92" t="s">
        <v>18765</v>
      </c>
      <c r="E124" s="94">
        <v>45113.5393287037</v>
      </c>
      <c r="F124" s="94">
        <v>46048.9708912037</v>
      </c>
      <c r="G124" s="90">
        <v>45974.95039351852</v>
      </c>
      <c r="H124" s="1" t="s">
        <v>16476</v>
      </c>
    </row>
    <row r="125">
      <c r="A125" s="93">
        <v>306.0</v>
      </c>
      <c r="B125" s="92" t="s">
        <v>18201</v>
      </c>
      <c r="C125" s="92" t="s">
        <v>2580</v>
      </c>
      <c r="D125" s="92" t="s">
        <v>18765</v>
      </c>
      <c r="E125" s="94">
        <v>45113.539293981485</v>
      </c>
      <c r="F125" s="94">
        <v>46048.97087962963</v>
      </c>
      <c r="G125" s="90">
        <v>45974.949375</v>
      </c>
      <c r="H125" s="1" t="s">
        <v>16476</v>
      </c>
    </row>
    <row r="126">
      <c r="A126" s="93">
        <v>305.0</v>
      </c>
      <c r="B126" s="92" t="s">
        <v>18202</v>
      </c>
      <c r="C126" s="92" t="s">
        <v>2572</v>
      </c>
      <c r="D126" s="92" t="s">
        <v>18765</v>
      </c>
      <c r="E126" s="94">
        <v>45113.53928240741</v>
      </c>
      <c r="F126" s="94">
        <v>46048.97087962963</v>
      </c>
      <c r="G126" s="90">
        <v>45974.948796296296</v>
      </c>
      <c r="H126" s="1" t="s">
        <v>16476</v>
      </c>
    </row>
    <row r="127">
      <c r="A127" s="93">
        <v>303.0</v>
      </c>
      <c r="B127" s="92" t="s">
        <v>18203</v>
      </c>
      <c r="C127" s="92" t="s">
        <v>2557</v>
      </c>
      <c r="D127" s="92" t="s">
        <v>18765</v>
      </c>
      <c r="E127" s="94">
        <v>45113.53927083333</v>
      </c>
      <c r="F127" s="94">
        <v>46048.97087962963</v>
      </c>
      <c r="G127" s="90">
        <v>45974.9477662037</v>
      </c>
      <c r="H127" s="1" t="s">
        <v>16476</v>
      </c>
    </row>
    <row r="128">
      <c r="A128" s="93">
        <v>301.0</v>
      </c>
      <c r="B128" s="92" t="s">
        <v>18204</v>
      </c>
      <c r="C128" s="92" t="s">
        <v>2530</v>
      </c>
      <c r="D128" s="92" t="s">
        <v>18765</v>
      </c>
      <c r="E128" s="94">
        <v>45113.539247685185</v>
      </c>
      <c r="F128" s="94">
        <v>46048.97087962963</v>
      </c>
      <c r="G128" s="90">
        <v>45974.94677083333</v>
      </c>
      <c r="H128" s="1" t="s">
        <v>16476</v>
      </c>
    </row>
    <row r="129">
      <c r="A129" s="93">
        <v>300.0</v>
      </c>
      <c r="B129" s="92" t="s">
        <v>18205</v>
      </c>
      <c r="C129" s="92" t="s">
        <v>2519</v>
      </c>
      <c r="D129" s="92" t="s">
        <v>18765</v>
      </c>
      <c r="E129" s="94">
        <v>45113.53923611111</v>
      </c>
      <c r="F129" s="94">
        <v>46048.970868055556</v>
      </c>
      <c r="G129" s="90">
        <v>45974.93616898148</v>
      </c>
      <c r="H129" s="1" t="s">
        <v>16476</v>
      </c>
    </row>
    <row r="130">
      <c r="A130" s="93">
        <v>299.0</v>
      </c>
      <c r="B130" s="92" t="s">
        <v>18207</v>
      </c>
      <c r="C130" s="92" t="s">
        <v>2512</v>
      </c>
      <c r="D130" s="92" t="s">
        <v>18765</v>
      </c>
      <c r="E130" s="94">
        <v>45113.53922453704</v>
      </c>
      <c r="F130" s="94">
        <v>46048.970868055556</v>
      </c>
      <c r="G130" s="90">
        <v>45974.93487268518</v>
      </c>
      <c r="H130" s="1" t="s">
        <v>16476</v>
      </c>
    </row>
    <row r="131">
      <c r="A131" s="93">
        <v>298.0</v>
      </c>
      <c r="B131" s="92" t="s">
        <v>18208</v>
      </c>
      <c r="C131" s="92" t="s">
        <v>2505</v>
      </c>
      <c r="D131" s="92" t="s">
        <v>18765</v>
      </c>
      <c r="E131" s="94">
        <v>45113.53922453704</v>
      </c>
      <c r="F131" s="94">
        <v>46048.970868055556</v>
      </c>
      <c r="G131" s="90">
        <v>45974.93415509259</v>
      </c>
      <c r="H131" s="1" t="s">
        <v>16476</v>
      </c>
    </row>
    <row r="132">
      <c r="A132" s="93">
        <v>297.0</v>
      </c>
      <c r="B132" s="92" t="s">
        <v>18209</v>
      </c>
      <c r="C132" s="92" t="s">
        <v>2497</v>
      </c>
      <c r="D132" s="92" t="s">
        <v>18765</v>
      </c>
      <c r="E132" s="94">
        <v>45113.53921296296</v>
      </c>
      <c r="F132" s="94">
        <v>46048.970868055556</v>
      </c>
      <c r="G132" s="90">
        <v>45974.9305787037</v>
      </c>
      <c r="H132" s="1" t="s">
        <v>16476</v>
      </c>
    </row>
    <row r="133">
      <c r="A133" s="93">
        <v>296.0</v>
      </c>
      <c r="B133" s="92" t="s">
        <v>18210</v>
      </c>
      <c r="C133" s="92" t="s">
        <v>2487</v>
      </c>
      <c r="D133" s="92" t="s">
        <v>18765</v>
      </c>
      <c r="E133" s="94">
        <v>45113.53920138889</v>
      </c>
      <c r="F133" s="94">
        <v>46048.97085648148</v>
      </c>
      <c r="G133" s="90">
        <v>45974.93011574074</v>
      </c>
      <c r="H133" s="1" t="s">
        <v>16476</v>
      </c>
    </row>
    <row r="134">
      <c r="A134" s="93">
        <v>295.0</v>
      </c>
      <c r="B134" s="92" t="s">
        <v>18211</v>
      </c>
      <c r="C134" s="92" t="s">
        <v>2484</v>
      </c>
      <c r="D134" s="92" t="s">
        <v>18765</v>
      </c>
      <c r="E134" s="94">
        <v>45113.539189814815</v>
      </c>
      <c r="F134" s="94">
        <v>46048.97085648148</v>
      </c>
      <c r="G134" s="90">
        <v>45974.92802083334</v>
      </c>
      <c r="H134" s="1" t="s">
        <v>16476</v>
      </c>
    </row>
    <row r="135">
      <c r="A135" s="93">
        <v>293.0</v>
      </c>
      <c r="B135" s="92" t="s">
        <v>18212</v>
      </c>
      <c r="C135" s="92" t="s">
        <v>2466</v>
      </c>
      <c r="D135" s="92" t="s">
        <v>18765</v>
      </c>
      <c r="E135" s="94">
        <v>45113.53917824074</v>
      </c>
      <c r="F135" s="94">
        <v>46048.97083333333</v>
      </c>
      <c r="G135" s="90">
        <v>45974.9271875</v>
      </c>
      <c r="H135" s="1" t="s">
        <v>16476</v>
      </c>
    </row>
    <row r="136">
      <c r="A136" s="93">
        <v>291.0</v>
      </c>
      <c r="B136" s="92" t="s">
        <v>18213</v>
      </c>
      <c r="C136" s="92" t="s">
        <v>2452</v>
      </c>
      <c r="D136" s="92" t="s">
        <v>18765</v>
      </c>
      <c r="E136" s="94">
        <v>45113.53915509259</v>
      </c>
      <c r="F136" s="94">
        <v>46048.97083333333</v>
      </c>
      <c r="G136" s="90">
        <v>45974.924733796295</v>
      </c>
      <c r="H136" s="1" t="s">
        <v>16476</v>
      </c>
    </row>
    <row r="137">
      <c r="A137" s="93">
        <v>290.0</v>
      </c>
      <c r="B137" s="92" t="s">
        <v>18214</v>
      </c>
      <c r="C137" s="92" t="s">
        <v>2442</v>
      </c>
      <c r="D137" s="92" t="s">
        <v>18765</v>
      </c>
      <c r="E137" s="94">
        <v>45113.539143518516</v>
      </c>
      <c r="F137" s="94">
        <v>46048.970821759256</v>
      </c>
      <c r="G137" s="90">
        <v>45974.91908564815</v>
      </c>
      <c r="H137" s="1" t="s">
        <v>16476</v>
      </c>
    </row>
    <row r="138">
      <c r="A138" s="93">
        <v>289.0</v>
      </c>
      <c r="B138" s="92" t="s">
        <v>18215</v>
      </c>
      <c r="C138" s="92" t="s">
        <v>2437</v>
      </c>
      <c r="D138" s="92" t="s">
        <v>18765</v>
      </c>
      <c r="E138" s="94">
        <v>45113.539131944446</v>
      </c>
      <c r="F138" s="94">
        <v>46048.970821759256</v>
      </c>
      <c r="G138" s="90">
        <v>45974.915868055556</v>
      </c>
      <c r="H138" s="1" t="s">
        <v>16476</v>
      </c>
    </row>
    <row r="139">
      <c r="A139" s="93">
        <v>288.0</v>
      </c>
      <c r="B139" s="92" t="s">
        <v>18783</v>
      </c>
      <c r="C139" s="92" t="s">
        <v>18784</v>
      </c>
      <c r="D139" s="92" t="s">
        <v>18765</v>
      </c>
      <c r="E139" s="94">
        <v>45113.53912037037</v>
      </c>
      <c r="F139" s="94">
        <v>46048.970821759256</v>
      </c>
      <c r="G139" s="90">
        <v>45974.914872685185</v>
      </c>
      <c r="H139" s="1" t="s">
        <v>16476</v>
      </c>
    </row>
    <row r="140">
      <c r="A140" s="93">
        <v>287.0</v>
      </c>
      <c r="B140" s="92" t="s">
        <v>18217</v>
      </c>
      <c r="C140" s="92" t="s">
        <v>2418</v>
      </c>
      <c r="D140" s="92" t="s">
        <v>18765</v>
      </c>
      <c r="E140" s="94">
        <v>45113.53912037037</v>
      </c>
      <c r="F140" s="94">
        <v>46048.970821759256</v>
      </c>
      <c r="G140" s="90">
        <v>45974.91452546296</v>
      </c>
      <c r="H140" s="1" t="s">
        <v>16476</v>
      </c>
    </row>
    <row r="141">
      <c r="A141" s="93">
        <v>285.0</v>
      </c>
      <c r="B141" s="92" t="s">
        <v>18218</v>
      </c>
      <c r="C141" s="92" t="s">
        <v>2408</v>
      </c>
      <c r="D141" s="92" t="s">
        <v>18765</v>
      </c>
      <c r="E141" s="94">
        <v>45113.53909722222</v>
      </c>
      <c r="F141" s="94">
        <v>46048.970821759256</v>
      </c>
      <c r="G141" s="90">
        <v>45974.91303240741</v>
      </c>
      <c r="H141" s="1" t="s">
        <v>16476</v>
      </c>
    </row>
    <row r="142">
      <c r="A142" s="93">
        <v>284.0</v>
      </c>
      <c r="B142" s="92" t="s">
        <v>18219</v>
      </c>
      <c r="C142" s="92" t="s">
        <v>2400</v>
      </c>
      <c r="D142" s="92" t="s">
        <v>18765</v>
      </c>
      <c r="E142" s="94">
        <v>45113.539085648146</v>
      </c>
      <c r="F142" s="94">
        <v>46048.970821759256</v>
      </c>
      <c r="G142" s="90">
        <v>45974.912094907406</v>
      </c>
      <c r="H142" s="1" t="s">
        <v>16476</v>
      </c>
    </row>
    <row r="143">
      <c r="A143" s="93">
        <v>283.0</v>
      </c>
      <c r="B143" s="92" t="s">
        <v>18220</v>
      </c>
      <c r="C143" s="92" t="s">
        <v>2393</v>
      </c>
      <c r="D143" s="92" t="s">
        <v>18765</v>
      </c>
      <c r="E143" s="94">
        <v>45113.53907407408</v>
      </c>
      <c r="F143" s="94">
        <v>46048.97081018519</v>
      </c>
      <c r="G143" s="90">
        <v>45974.91106481481</v>
      </c>
      <c r="H143" s="1" t="s">
        <v>16476</v>
      </c>
    </row>
    <row r="144">
      <c r="A144" s="93">
        <v>282.0</v>
      </c>
      <c r="B144" s="92" t="s">
        <v>18221</v>
      </c>
      <c r="C144" s="92" t="s">
        <v>2386</v>
      </c>
      <c r="D144" s="92" t="s">
        <v>18765</v>
      </c>
      <c r="E144" s="94">
        <v>45113.5390625</v>
      </c>
      <c r="F144" s="94">
        <v>46048.97081018519</v>
      </c>
      <c r="G144" s="90">
        <v>45974.90888888889</v>
      </c>
      <c r="H144" s="1" t="s">
        <v>16476</v>
      </c>
    </row>
    <row r="145">
      <c r="A145" s="93">
        <v>280.0</v>
      </c>
      <c r="B145" s="92" t="s">
        <v>18222</v>
      </c>
      <c r="C145" s="92" t="s">
        <v>2370</v>
      </c>
      <c r="D145" s="92" t="s">
        <v>18765</v>
      </c>
      <c r="E145" s="94">
        <v>45113.53905092592</v>
      </c>
      <c r="F145" s="94">
        <v>46048.97081018519</v>
      </c>
      <c r="G145" s="90">
        <v>45974.905636574076</v>
      </c>
      <c r="H145" s="1" t="s">
        <v>16476</v>
      </c>
    </row>
    <row r="146">
      <c r="A146" s="93">
        <v>279.0</v>
      </c>
      <c r="B146" s="92" t="s">
        <v>18223</v>
      </c>
      <c r="C146" s="92" t="s">
        <v>2362</v>
      </c>
      <c r="D146" s="92" t="s">
        <v>18765</v>
      </c>
      <c r="E146" s="94">
        <v>45113.539039351854</v>
      </c>
      <c r="F146" s="94">
        <v>46048.97079861111</v>
      </c>
      <c r="G146" s="90">
        <v>45974.90372685185</v>
      </c>
      <c r="H146" s="1" t="s">
        <v>16476</v>
      </c>
    </row>
    <row r="147">
      <c r="A147" s="93">
        <v>278.0</v>
      </c>
      <c r="B147" s="92" t="s">
        <v>18224</v>
      </c>
      <c r="C147" s="92" t="s">
        <v>2352</v>
      </c>
      <c r="D147" s="92" t="s">
        <v>18765</v>
      </c>
      <c r="E147" s="94">
        <v>45113.53902777778</v>
      </c>
      <c r="F147" s="94">
        <v>46048.97079861111</v>
      </c>
      <c r="G147" s="90">
        <v>45974.90300925926</v>
      </c>
      <c r="H147" s="1" t="s">
        <v>16476</v>
      </c>
    </row>
    <row r="148">
      <c r="A148" s="93">
        <v>277.0</v>
      </c>
      <c r="B148" s="92" t="s">
        <v>18225</v>
      </c>
      <c r="C148" s="92" t="s">
        <v>2344</v>
      </c>
      <c r="D148" s="92" t="s">
        <v>18765</v>
      </c>
      <c r="E148" s="94">
        <v>45113.5390162037</v>
      </c>
      <c r="F148" s="94">
        <v>46048.97079861111</v>
      </c>
      <c r="G148" s="90">
        <v>45974.90188657407</v>
      </c>
      <c r="H148" s="1" t="s">
        <v>16476</v>
      </c>
    </row>
    <row r="149">
      <c r="A149" s="93">
        <v>276.0</v>
      </c>
      <c r="B149" s="92" t="s">
        <v>18227</v>
      </c>
      <c r="C149" s="92" t="s">
        <v>2333</v>
      </c>
      <c r="D149" s="92" t="s">
        <v>18765</v>
      </c>
      <c r="E149" s="94">
        <v>45113.53900462963</v>
      </c>
      <c r="F149" s="94">
        <v>46048.97078703704</v>
      </c>
      <c r="G149" s="90">
        <v>45974.90142361111</v>
      </c>
      <c r="H149" s="1" t="s">
        <v>16476</v>
      </c>
    </row>
    <row r="150">
      <c r="A150" s="93">
        <v>275.0</v>
      </c>
      <c r="B150" s="92" t="s">
        <v>18228</v>
      </c>
      <c r="C150" s="92" t="s">
        <v>2324</v>
      </c>
      <c r="D150" s="92" t="s">
        <v>18765</v>
      </c>
      <c r="E150" s="94">
        <v>45113.53900462963</v>
      </c>
      <c r="F150" s="94">
        <v>46048.97078703704</v>
      </c>
      <c r="G150" s="90">
        <v>45974.900972222225</v>
      </c>
      <c r="H150" s="1" t="s">
        <v>16476</v>
      </c>
    </row>
    <row r="151">
      <c r="A151" s="93">
        <v>274.0</v>
      </c>
      <c r="B151" s="92" t="s">
        <v>18229</v>
      </c>
      <c r="C151" s="92" t="s">
        <v>2318</v>
      </c>
      <c r="D151" s="92" t="s">
        <v>18765</v>
      </c>
      <c r="E151" s="94">
        <v>45113.538993055554</v>
      </c>
      <c r="F151" s="94">
        <v>46048.97077546296</v>
      </c>
      <c r="G151" s="90">
        <v>45974.90049768519</v>
      </c>
      <c r="H151" s="1" t="s">
        <v>16476</v>
      </c>
    </row>
    <row r="152">
      <c r="A152" s="93">
        <v>272.0</v>
      </c>
      <c r="B152" s="92" t="s">
        <v>18785</v>
      </c>
      <c r="C152" s="92" t="s">
        <v>5045</v>
      </c>
      <c r="D152" s="92" t="s">
        <v>18765</v>
      </c>
      <c r="E152" s="94">
        <v>45113.53896990741</v>
      </c>
      <c r="F152" s="94">
        <v>46048.97077546296</v>
      </c>
      <c r="G152" s="90">
        <v>45974.900092592594</v>
      </c>
      <c r="H152" s="1" t="s">
        <v>16476</v>
      </c>
    </row>
    <row r="153">
      <c r="A153" s="93">
        <v>271.0</v>
      </c>
      <c r="B153" s="92" t="s">
        <v>18231</v>
      </c>
      <c r="C153" s="92" t="s">
        <v>2303</v>
      </c>
      <c r="D153" s="92" t="s">
        <v>18765</v>
      </c>
      <c r="E153" s="94">
        <v>45113.53895833333</v>
      </c>
      <c r="F153" s="94">
        <v>46048.97077546296</v>
      </c>
      <c r="G153" s="90">
        <v>45974.89943287037</v>
      </c>
      <c r="H153" s="1" t="s">
        <v>16476</v>
      </c>
    </row>
    <row r="154">
      <c r="A154" s="93">
        <v>262.0</v>
      </c>
      <c r="B154" s="92" t="s">
        <v>18232</v>
      </c>
      <c r="C154" s="92" t="s">
        <v>2229</v>
      </c>
      <c r="D154" s="92" t="s">
        <v>18765</v>
      </c>
      <c r="E154" s="94">
        <v>45113.538877314815</v>
      </c>
      <c r="F154" s="94">
        <v>46048.97076388889</v>
      </c>
      <c r="G154" s="90">
        <v>45974.89908564815</v>
      </c>
      <c r="H154" s="1" t="s">
        <v>16476</v>
      </c>
    </row>
    <row r="155">
      <c r="A155" s="93">
        <v>258.0</v>
      </c>
      <c r="B155" s="92" t="s">
        <v>18233</v>
      </c>
      <c r="C155" s="92" t="s">
        <v>2198</v>
      </c>
      <c r="D155" s="92" t="s">
        <v>18765</v>
      </c>
      <c r="E155" s="94">
        <v>45113.53884259259</v>
      </c>
      <c r="F155" s="94">
        <v>46048.970717592594</v>
      </c>
      <c r="G155" s="90">
        <v>45974.89869212963</v>
      </c>
      <c r="H155" s="1" t="s">
        <v>16476</v>
      </c>
    </row>
    <row r="156">
      <c r="A156" s="93">
        <v>256.0</v>
      </c>
      <c r="B156" s="92" t="s">
        <v>18234</v>
      </c>
      <c r="C156" s="92" t="s">
        <v>2179</v>
      </c>
      <c r="D156" s="92" t="s">
        <v>18765</v>
      </c>
      <c r="E156" s="94">
        <v>45113.538819444446</v>
      </c>
      <c r="F156" s="94">
        <v>46048.97069444445</v>
      </c>
      <c r="G156" s="90">
        <v>45974.898252314815</v>
      </c>
      <c r="H156" s="1" t="s">
        <v>16476</v>
      </c>
    </row>
    <row r="157">
      <c r="A157" s="93">
        <v>247.0</v>
      </c>
      <c r="B157" s="92" t="s">
        <v>18235</v>
      </c>
      <c r="C157" s="92" t="s">
        <v>2111</v>
      </c>
      <c r="D157" s="92" t="s">
        <v>18765</v>
      </c>
      <c r="E157" s="94">
        <v>45113.53873842592</v>
      </c>
      <c r="F157" s="94">
        <v>46048.97068287037</v>
      </c>
      <c r="G157" s="90">
        <v>45974.88858796296</v>
      </c>
      <c r="H157" s="1" t="s">
        <v>16476</v>
      </c>
    </row>
    <row r="158">
      <c r="A158" s="93">
        <v>239.0</v>
      </c>
      <c r="B158" s="92" t="s">
        <v>18236</v>
      </c>
      <c r="C158" s="92" t="s">
        <v>2042</v>
      </c>
      <c r="D158" s="92" t="s">
        <v>18765</v>
      </c>
      <c r="E158" s="94">
        <v>45113.53865740741</v>
      </c>
      <c r="F158" s="94">
        <v>46048.97068287037</v>
      </c>
      <c r="G158" s="90">
        <v>45961.971770833334</v>
      </c>
      <c r="H158" s="1" t="s">
        <v>16476</v>
      </c>
    </row>
    <row r="159">
      <c r="A159" s="93">
        <v>235.0</v>
      </c>
      <c r="B159" s="92" t="s">
        <v>18237</v>
      </c>
      <c r="C159" s="92" t="s">
        <v>2011</v>
      </c>
      <c r="D159" s="92" t="s">
        <v>18765</v>
      </c>
      <c r="E159" s="94">
        <v>45113.538622685184</v>
      </c>
      <c r="F159" s="94">
        <v>46048.970671296294</v>
      </c>
      <c r="G159" s="90">
        <v>45961.965891203705</v>
      </c>
      <c r="H159" s="1" t="s">
        <v>16476</v>
      </c>
    </row>
    <row r="160">
      <c r="A160" s="93">
        <v>9.0</v>
      </c>
      <c r="B160" s="92" t="s">
        <v>18786</v>
      </c>
      <c r="C160" s="92" t="s">
        <v>4969</v>
      </c>
      <c r="D160" s="92" t="s">
        <v>18787</v>
      </c>
      <c r="E160" s="94">
        <v>45086.77790509259</v>
      </c>
      <c r="F160" s="94">
        <v>46048.97064814815</v>
      </c>
      <c r="G160" s="90">
        <v>45961.96313657407</v>
      </c>
      <c r="H160" s="1" t="s">
        <v>16476</v>
      </c>
    </row>
    <row r="161">
      <c r="A161" s="93">
        <v>192.0</v>
      </c>
      <c r="B161" s="92" t="s">
        <v>18238</v>
      </c>
      <c r="C161" s="92" t="s">
        <v>1664</v>
      </c>
      <c r="D161" s="92" t="s">
        <v>18765</v>
      </c>
      <c r="E161" s="94">
        <v>45113.538194444445</v>
      </c>
      <c r="F161" s="94">
        <v>46048.97063657407</v>
      </c>
      <c r="G161" s="90">
        <v>45961.961388888885</v>
      </c>
      <c r="H161" s="1" t="s">
        <v>16476</v>
      </c>
    </row>
    <row r="162">
      <c r="A162" s="93">
        <v>176.0</v>
      </c>
      <c r="B162" s="92" t="s">
        <v>18239</v>
      </c>
      <c r="C162" s="92" t="s">
        <v>1530</v>
      </c>
      <c r="D162" s="92" t="s">
        <v>18765</v>
      </c>
      <c r="E162" s="94">
        <v>45113.53804398148</v>
      </c>
      <c r="F162" s="94">
        <v>46048.970625</v>
      </c>
      <c r="G162" s="90">
        <v>45961.95348379629</v>
      </c>
      <c r="H162" s="1" t="s">
        <v>16476</v>
      </c>
    </row>
    <row r="163">
      <c r="A163" s="93">
        <v>171.0</v>
      </c>
      <c r="B163" s="92" t="s">
        <v>18240</v>
      </c>
      <c r="C163" s="92" t="s">
        <v>1492</v>
      </c>
      <c r="D163" s="92" t="s">
        <v>18765</v>
      </c>
      <c r="E163" s="94">
        <v>45113.537997685184</v>
      </c>
      <c r="F163" s="94">
        <v>46048.970601851855</v>
      </c>
      <c r="G163" s="90">
        <v>45961.94756944444</v>
      </c>
      <c r="H163" s="1" t="s">
        <v>16476</v>
      </c>
    </row>
    <row r="164">
      <c r="A164" s="93">
        <v>151.0</v>
      </c>
      <c r="B164" s="92" t="s">
        <v>18788</v>
      </c>
      <c r="C164" s="92" t="s">
        <v>1324</v>
      </c>
      <c r="D164" s="92" t="s">
        <v>18765</v>
      </c>
      <c r="E164" s="94">
        <v>45113.53778935185</v>
      </c>
      <c r="F164" s="94">
        <v>46048.970555555556</v>
      </c>
      <c r="G164" s="90">
        <v>45961.94390046296</v>
      </c>
      <c r="H164" s="1" t="s">
        <v>16476</v>
      </c>
    </row>
    <row r="165">
      <c r="A165" s="93">
        <v>148.0</v>
      </c>
      <c r="B165" s="92" t="s">
        <v>18789</v>
      </c>
      <c r="C165" s="92" t="s">
        <v>4987</v>
      </c>
      <c r="D165" s="92" t="s">
        <v>18765</v>
      </c>
      <c r="E165" s="94">
        <v>45113.537766203706</v>
      </c>
      <c r="F165" s="94">
        <v>46048.97054398148</v>
      </c>
      <c r="G165" s="90">
        <v>45961.943136574075</v>
      </c>
      <c r="H165" s="1" t="s">
        <v>16476</v>
      </c>
    </row>
    <row r="166">
      <c r="A166" s="93">
        <v>114.0</v>
      </c>
      <c r="B166" s="92" t="s">
        <v>18243</v>
      </c>
      <c r="C166" s="92" t="s">
        <v>1031</v>
      </c>
      <c r="D166" s="92" t="s">
        <v>18765</v>
      </c>
      <c r="E166" s="94">
        <v>45113.53744212963</v>
      </c>
      <c r="F166" s="94">
        <v>46048.97052083333</v>
      </c>
      <c r="G166" s="90">
        <v>45961.94243055556</v>
      </c>
      <c r="H166" s="1" t="s">
        <v>16476</v>
      </c>
    </row>
    <row r="167">
      <c r="A167" s="93">
        <v>111.0</v>
      </c>
      <c r="B167" s="92" t="s">
        <v>18244</v>
      </c>
      <c r="C167" s="92" t="s">
        <v>1006</v>
      </c>
      <c r="D167" s="92" t="s">
        <v>18765</v>
      </c>
      <c r="E167" s="94">
        <v>45113.537407407406</v>
      </c>
      <c r="F167" s="94">
        <v>46048.97052083333</v>
      </c>
      <c r="G167" s="90">
        <v>45961.94123842593</v>
      </c>
      <c r="H167" s="1" t="s">
        <v>16476</v>
      </c>
    </row>
    <row r="168">
      <c r="A168" s="93">
        <v>108.0</v>
      </c>
      <c r="B168" s="92" t="s">
        <v>18245</v>
      </c>
      <c r="C168" s="92" t="s">
        <v>978</v>
      </c>
      <c r="D168" s="92" t="s">
        <v>18765</v>
      </c>
      <c r="E168" s="94">
        <v>45113.53738425926</v>
      </c>
      <c r="F168" s="94">
        <v>46048.970509259256</v>
      </c>
      <c r="G168" s="90">
        <v>45961.94017361111</v>
      </c>
      <c r="H168" s="1" t="s">
        <v>16476</v>
      </c>
    </row>
    <row r="169">
      <c r="A169" s="93">
        <v>87.0</v>
      </c>
      <c r="B169" s="92" t="s">
        <v>18246</v>
      </c>
      <c r="C169" s="92" t="s">
        <v>802</v>
      </c>
      <c r="D169" s="92" t="s">
        <v>18765</v>
      </c>
      <c r="E169" s="94">
        <v>45113.53717592593</v>
      </c>
      <c r="F169" s="94">
        <v>46048.97046296296</v>
      </c>
      <c r="G169" s="90">
        <v>45961.93802083333</v>
      </c>
      <c r="H169" s="1" t="s">
        <v>16476</v>
      </c>
    </row>
    <row r="170">
      <c r="A170" s="93">
        <v>78.0</v>
      </c>
      <c r="B170" s="92" t="s">
        <v>18247</v>
      </c>
      <c r="C170" s="92" t="s">
        <v>730</v>
      </c>
      <c r="D170" s="92" t="s">
        <v>18765</v>
      </c>
      <c r="E170" s="94">
        <v>45113.537094907406</v>
      </c>
      <c r="F170" s="94">
        <v>46048.97042824074</v>
      </c>
      <c r="G170" s="90">
        <v>45961.93565972222</v>
      </c>
      <c r="H170" s="1" t="s">
        <v>16476</v>
      </c>
    </row>
    <row r="171">
      <c r="A171" s="93">
        <v>76.0</v>
      </c>
      <c r="B171" s="92" t="s">
        <v>18248</v>
      </c>
      <c r="C171" s="92" t="s">
        <v>18790</v>
      </c>
      <c r="D171" s="92" t="s">
        <v>18765</v>
      </c>
      <c r="E171" s="94">
        <v>45113.53707175926</v>
      </c>
      <c r="F171" s="94">
        <v>46048.97042824074</v>
      </c>
      <c r="G171" s="90">
        <v>45961.88814814815</v>
      </c>
      <c r="H171" s="1" t="s">
        <v>16476</v>
      </c>
    </row>
    <row r="172">
      <c r="A172" s="93">
        <v>60.0</v>
      </c>
      <c r="B172" s="92" t="s">
        <v>18249</v>
      </c>
      <c r="C172" s="92" t="s">
        <v>569</v>
      </c>
      <c r="D172" s="92" t="s">
        <v>18765</v>
      </c>
      <c r="E172" s="94">
        <v>45113.5369212963</v>
      </c>
      <c r="F172" s="94">
        <v>46048.97041666666</v>
      </c>
      <c r="G172" s="90">
        <v>45961.8875462963</v>
      </c>
      <c r="H172" s="1" t="s">
        <v>16476</v>
      </c>
    </row>
    <row r="173">
      <c r="A173" s="93">
        <v>52.0</v>
      </c>
      <c r="B173" s="92" t="s">
        <v>18250</v>
      </c>
      <c r="C173" s="92" t="s">
        <v>496</v>
      </c>
      <c r="D173" s="92" t="s">
        <v>18765</v>
      </c>
      <c r="E173" s="94">
        <v>45113.53685185185</v>
      </c>
      <c r="F173" s="94">
        <v>46048.970405092594</v>
      </c>
      <c r="G173" s="90">
        <v>45961.88621527778</v>
      </c>
      <c r="H173" s="1" t="s">
        <v>16476</v>
      </c>
    </row>
    <row r="174">
      <c r="A174" s="93">
        <v>1922.0</v>
      </c>
      <c r="B174" s="92" t="s">
        <v>18251</v>
      </c>
      <c r="C174" s="92" t="s">
        <v>3771</v>
      </c>
      <c r="D174" s="92" t="s">
        <v>18765</v>
      </c>
      <c r="E174" s="94">
        <v>45312.78486111111</v>
      </c>
      <c r="F174" s="94">
        <v>46048.95925925926</v>
      </c>
      <c r="G174" s="90">
        <v>45961.88516203704</v>
      </c>
      <c r="H174" s="1" t="s">
        <v>16476</v>
      </c>
    </row>
    <row r="175">
      <c r="A175" s="93">
        <v>1875.0</v>
      </c>
      <c r="B175" s="92" t="s">
        <v>18253</v>
      </c>
      <c r="C175" s="92" t="s">
        <v>3746</v>
      </c>
      <c r="D175" s="92" t="s">
        <v>18765</v>
      </c>
      <c r="E175" s="94">
        <v>45266.48165509259</v>
      </c>
      <c r="F175" s="94">
        <v>46048.95924768518</v>
      </c>
      <c r="G175" s="90">
        <v>45961.88427083333</v>
      </c>
      <c r="H175" s="1" t="s">
        <v>16476</v>
      </c>
    </row>
    <row r="176">
      <c r="A176" s="93">
        <v>1874.0</v>
      </c>
      <c r="B176" s="92" t="s">
        <v>18255</v>
      </c>
      <c r="C176" s="92" t="s">
        <v>3738</v>
      </c>
      <c r="D176" s="92" t="s">
        <v>18765</v>
      </c>
      <c r="E176" s="94">
        <v>45265.88596064815</v>
      </c>
      <c r="F176" s="94">
        <v>46048.95924768518</v>
      </c>
      <c r="G176" s="90">
        <v>45961.881631944445</v>
      </c>
      <c r="H176" s="1" t="s">
        <v>16476</v>
      </c>
    </row>
    <row r="177">
      <c r="A177" s="93">
        <v>1788.0</v>
      </c>
      <c r="B177" s="92" t="s">
        <v>18791</v>
      </c>
      <c r="C177" s="92" t="s">
        <v>3723</v>
      </c>
      <c r="D177" s="92" t="s">
        <v>18765</v>
      </c>
      <c r="E177" s="94">
        <v>45220.95798611111</v>
      </c>
      <c r="F177" s="94">
        <v>46048.95924768518</v>
      </c>
      <c r="G177" s="90">
        <v>45961.87773148148</v>
      </c>
      <c r="H177" s="1" t="s">
        <v>16476</v>
      </c>
    </row>
    <row r="178">
      <c r="A178" s="93">
        <v>447.0</v>
      </c>
      <c r="B178" s="92" t="s">
        <v>18258</v>
      </c>
      <c r="C178" s="92" t="s">
        <v>3658</v>
      </c>
      <c r="D178" s="92" t="s">
        <v>18765</v>
      </c>
      <c r="E178" s="94">
        <v>45113.540659722225</v>
      </c>
      <c r="F178" s="94">
        <v>46048.95924768518</v>
      </c>
      <c r="G178" s="90">
        <v>45961.87644675926</v>
      </c>
      <c r="H178" s="1" t="s">
        <v>16476</v>
      </c>
    </row>
    <row r="179">
      <c r="A179" s="93">
        <v>446.0</v>
      </c>
      <c r="B179" s="92" t="s">
        <v>18259</v>
      </c>
      <c r="C179" s="92" t="s">
        <v>3651</v>
      </c>
      <c r="D179" s="92" t="s">
        <v>18765</v>
      </c>
      <c r="E179" s="94">
        <v>45113.54064814815</v>
      </c>
      <c r="F179" s="94">
        <v>46048.95924768518</v>
      </c>
      <c r="G179" s="90">
        <v>45961.87144675926</v>
      </c>
      <c r="H179" s="1" t="s">
        <v>16476</v>
      </c>
    </row>
    <row r="180">
      <c r="A180" s="93">
        <v>445.0</v>
      </c>
      <c r="B180" s="92" t="s">
        <v>18260</v>
      </c>
      <c r="C180" s="92" t="s">
        <v>3645</v>
      </c>
      <c r="D180" s="92" t="s">
        <v>18765</v>
      </c>
      <c r="E180" s="94">
        <v>45113.54063657407</v>
      </c>
      <c r="F180" s="94">
        <v>46048.95924768518</v>
      </c>
      <c r="G180" s="90">
        <v>45961.870474537034</v>
      </c>
      <c r="H180" s="1" t="s">
        <v>16476</v>
      </c>
    </row>
    <row r="181">
      <c r="A181" s="93">
        <v>443.0</v>
      </c>
      <c r="B181" s="92" t="s">
        <v>18261</v>
      </c>
      <c r="C181" s="92" t="s">
        <v>3633</v>
      </c>
      <c r="D181" s="92" t="s">
        <v>18765</v>
      </c>
      <c r="E181" s="94">
        <v>45113.540625</v>
      </c>
      <c r="F181" s="94">
        <v>46048.95924768518</v>
      </c>
      <c r="G181" s="90">
        <v>45961.86934027778</v>
      </c>
      <c r="H181" s="1" t="s">
        <v>16476</v>
      </c>
    </row>
    <row r="182">
      <c r="A182" s="93">
        <v>442.0</v>
      </c>
      <c r="B182" s="92" t="s">
        <v>18262</v>
      </c>
      <c r="C182" s="92" t="s">
        <v>3623</v>
      </c>
      <c r="D182" s="92" t="s">
        <v>18765</v>
      </c>
      <c r="E182" s="94">
        <v>45113.540613425925</v>
      </c>
      <c r="F182" s="94">
        <v>46048.95924768518</v>
      </c>
      <c r="G182" s="90">
        <v>45961.852013888885</v>
      </c>
      <c r="H182" s="1" t="s">
        <v>16476</v>
      </c>
    </row>
    <row r="183">
      <c r="A183" s="93">
        <v>441.0</v>
      </c>
      <c r="B183" s="92" t="s">
        <v>18264</v>
      </c>
      <c r="C183" s="92" t="s">
        <v>3615</v>
      </c>
      <c r="D183" s="92" t="s">
        <v>18765</v>
      </c>
      <c r="E183" s="94">
        <v>45113.540601851855</v>
      </c>
      <c r="F183" s="94">
        <v>46048.95924768518</v>
      </c>
      <c r="G183" s="90">
        <v>45961.8516087963</v>
      </c>
      <c r="H183" s="1" t="s">
        <v>16476</v>
      </c>
    </row>
    <row r="184">
      <c r="A184" s="93">
        <v>440.0</v>
      </c>
      <c r="B184" s="92" t="s">
        <v>18265</v>
      </c>
      <c r="C184" s="92" t="s">
        <v>3611</v>
      </c>
      <c r="D184" s="92" t="s">
        <v>18765</v>
      </c>
      <c r="E184" s="94">
        <v>45113.54059027778</v>
      </c>
      <c r="F184" s="94">
        <v>46048.95924768518</v>
      </c>
      <c r="G184" s="90">
        <v>45938.689375</v>
      </c>
      <c r="H184" s="1" t="s">
        <v>16476</v>
      </c>
    </row>
    <row r="185">
      <c r="A185" s="93">
        <v>439.0</v>
      </c>
      <c r="B185" s="92" t="s">
        <v>18266</v>
      </c>
      <c r="C185" s="92" t="s">
        <v>3603</v>
      </c>
      <c r="D185" s="92" t="s">
        <v>18765</v>
      </c>
      <c r="E185" s="94">
        <v>45113.5405787037</v>
      </c>
      <c r="F185" s="94">
        <v>46048.95924768518</v>
      </c>
      <c r="G185" s="90">
        <v>45924.86966435185</v>
      </c>
      <c r="H185" s="1" t="s">
        <v>16476</v>
      </c>
    </row>
    <row r="186">
      <c r="A186" s="93">
        <v>438.0</v>
      </c>
      <c r="B186" s="92" t="s">
        <v>18267</v>
      </c>
      <c r="C186" s="92" t="s">
        <v>3593</v>
      </c>
      <c r="D186" s="92" t="s">
        <v>18765</v>
      </c>
      <c r="E186" s="94">
        <v>45113.5405787037</v>
      </c>
      <c r="F186" s="94">
        <v>46048.95924768518</v>
      </c>
      <c r="G186" s="90">
        <v>45924.867939814816</v>
      </c>
      <c r="H186" s="1" t="s">
        <v>16476</v>
      </c>
    </row>
    <row r="187">
      <c r="A187" s="93">
        <v>437.0</v>
      </c>
      <c r="B187" s="92" t="s">
        <v>18268</v>
      </c>
      <c r="C187" s="92" t="s">
        <v>3588</v>
      </c>
      <c r="D187" s="92" t="s">
        <v>18765</v>
      </c>
      <c r="E187" s="94">
        <v>45113.54056712963</v>
      </c>
      <c r="F187" s="94">
        <v>46048.95924768518</v>
      </c>
      <c r="G187" s="90">
        <v>45924.867627314816</v>
      </c>
      <c r="H187" s="1" t="s">
        <v>16476</v>
      </c>
    </row>
    <row r="188">
      <c r="A188" s="93">
        <v>435.0</v>
      </c>
      <c r="B188" s="92" t="s">
        <v>18269</v>
      </c>
      <c r="C188" s="92" t="s">
        <v>3570</v>
      </c>
      <c r="D188" s="92" t="s">
        <v>18765</v>
      </c>
      <c r="E188" s="94">
        <v>45113.54054398148</v>
      </c>
      <c r="F188" s="94">
        <v>46048.95924768518</v>
      </c>
      <c r="G188" s="90">
        <v>45924.867164351854</v>
      </c>
      <c r="H188" s="1" t="s">
        <v>16476</v>
      </c>
    </row>
    <row r="189">
      <c r="A189" s="93">
        <v>434.0</v>
      </c>
      <c r="B189" s="92" t="s">
        <v>18270</v>
      </c>
      <c r="C189" s="92" t="s">
        <v>18792</v>
      </c>
      <c r="D189" s="92" t="s">
        <v>18765</v>
      </c>
      <c r="E189" s="94">
        <v>45113.54053240741</v>
      </c>
      <c r="F189" s="94">
        <v>46048.95924768518</v>
      </c>
      <c r="G189" s="90">
        <v>45924.86645833333</v>
      </c>
      <c r="H189" s="1" t="s">
        <v>16476</v>
      </c>
    </row>
    <row r="190">
      <c r="A190" s="93">
        <v>433.0</v>
      </c>
      <c r="B190" s="92" t="s">
        <v>18271</v>
      </c>
      <c r="C190" s="92" t="s">
        <v>3555</v>
      </c>
      <c r="D190" s="92" t="s">
        <v>18765</v>
      </c>
      <c r="E190" s="94">
        <v>45113.54052083333</v>
      </c>
      <c r="F190" s="94">
        <v>46048.95924768518</v>
      </c>
      <c r="G190" s="90">
        <v>45922.548483796294</v>
      </c>
      <c r="H190" s="1" t="s">
        <v>16476</v>
      </c>
    </row>
    <row r="191">
      <c r="A191" s="93">
        <v>432.0</v>
      </c>
      <c r="B191" s="92" t="s">
        <v>18272</v>
      </c>
      <c r="C191" s="92" t="s">
        <v>3548</v>
      </c>
      <c r="D191" s="92" t="s">
        <v>18765</v>
      </c>
      <c r="E191" s="94">
        <v>45113.54052083333</v>
      </c>
      <c r="F191" s="94">
        <v>46048.95924768518</v>
      </c>
      <c r="G191" s="90">
        <v>45922.51740740741</v>
      </c>
      <c r="H191" s="1" t="s">
        <v>16476</v>
      </c>
    </row>
    <row r="192">
      <c r="A192" s="93">
        <v>431.0</v>
      </c>
      <c r="B192" s="92" t="s">
        <v>18273</v>
      </c>
      <c r="C192" s="92" t="s">
        <v>3537</v>
      </c>
      <c r="D192" s="92" t="s">
        <v>18765</v>
      </c>
      <c r="E192" s="94">
        <v>45113.54050925926</v>
      </c>
      <c r="F192" s="94">
        <v>46048.95924768518</v>
      </c>
      <c r="G192" s="90">
        <v>45922.51646990741</v>
      </c>
      <c r="H192" s="1" t="s">
        <v>16476</v>
      </c>
    </row>
    <row r="193">
      <c r="A193" s="93">
        <v>430.0</v>
      </c>
      <c r="B193" s="92" t="s">
        <v>18274</v>
      </c>
      <c r="C193" s="92" t="s">
        <v>3527</v>
      </c>
      <c r="D193" s="92" t="s">
        <v>18765</v>
      </c>
      <c r="E193" s="94">
        <v>45113.540497685186</v>
      </c>
      <c r="F193" s="94">
        <v>46048.95924768518</v>
      </c>
      <c r="G193" s="90">
        <v>45922.50912037037</v>
      </c>
      <c r="H193" s="1" t="s">
        <v>16476</v>
      </c>
    </row>
    <row r="194">
      <c r="A194" s="93">
        <v>429.0</v>
      </c>
      <c r="B194" s="92" t="s">
        <v>18275</v>
      </c>
      <c r="C194" s="92" t="s">
        <v>3522</v>
      </c>
      <c r="D194" s="92" t="s">
        <v>18765</v>
      </c>
      <c r="E194" s="94">
        <v>45113.54048611111</v>
      </c>
      <c r="F194" s="94">
        <v>46048.95924768518</v>
      </c>
      <c r="G194" s="90">
        <v>45922.503854166665</v>
      </c>
      <c r="H194" s="1" t="s">
        <v>16476</v>
      </c>
    </row>
    <row r="195">
      <c r="A195" s="93">
        <v>428.0</v>
      </c>
      <c r="B195" s="92" t="s">
        <v>18276</v>
      </c>
      <c r="C195" s="92" t="s">
        <v>3512</v>
      </c>
      <c r="D195" s="92" t="s">
        <v>18765</v>
      </c>
      <c r="E195" s="94">
        <v>45113.54047453704</v>
      </c>
      <c r="F195" s="94">
        <v>46048.95923611111</v>
      </c>
      <c r="G195" s="90">
        <v>45922.50342592593</v>
      </c>
      <c r="H195" s="1" t="s">
        <v>16476</v>
      </c>
    </row>
    <row r="196">
      <c r="A196" s="93">
        <v>427.0</v>
      </c>
      <c r="B196" s="92" t="s">
        <v>18277</v>
      </c>
      <c r="C196" s="92" t="s">
        <v>3505</v>
      </c>
      <c r="D196" s="92" t="s">
        <v>18765</v>
      </c>
      <c r="E196" s="94">
        <v>45113.54046296296</v>
      </c>
      <c r="F196" s="94">
        <v>46048.95923611111</v>
      </c>
      <c r="G196" s="90">
        <v>45922.484918981485</v>
      </c>
      <c r="H196" s="1" t="s">
        <v>16476</v>
      </c>
    </row>
    <row r="197">
      <c r="A197" s="93">
        <v>426.0</v>
      </c>
      <c r="B197" s="92" t="s">
        <v>18278</v>
      </c>
      <c r="C197" s="92" t="s">
        <v>3496</v>
      </c>
      <c r="D197" s="92" t="s">
        <v>18765</v>
      </c>
      <c r="E197" s="94">
        <v>45113.54046296296</v>
      </c>
      <c r="F197" s="94">
        <v>46048.95923611111</v>
      </c>
      <c r="G197" s="90">
        <v>45920.93037037037</v>
      </c>
      <c r="H197" s="1" t="s">
        <v>16476</v>
      </c>
    </row>
    <row r="198">
      <c r="A198" s="93">
        <v>425.0</v>
      </c>
      <c r="B198" s="92" t="s">
        <v>18279</v>
      </c>
      <c r="C198" s="92" t="s">
        <v>3490</v>
      </c>
      <c r="D198" s="92" t="s">
        <v>18765</v>
      </c>
      <c r="E198" s="94">
        <v>45113.540451388886</v>
      </c>
      <c r="F198" s="94">
        <v>46048.95923611111</v>
      </c>
      <c r="G198" s="90">
        <v>45920.92644675926</v>
      </c>
      <c r="H198" s="1" t="s">
        <v>16476</v>
      </c>
    </row>
    <row r="199">
      <c r="A199" s="93">
        <v>424.0</v>
      </c>
      <c r="B199" s="92" t="s">
        <v>18280</v>
      </c>
      <c r="C199" s="92" t="s">
        <v>3484</v>
      </c>
      <c r="D199" s="92" t="s">
        <v>18765</v>
      </c>
      <c r="E199" s="94">
        <v>45113.54043981482</v>
      </c>
      <c r="F199" s="94">
        <v>46048.95923611111</v>
      </c>
      <c r="G199" s="90">
        <v>45920.92434027778</v>
      </c>
      <c r="H199" s="1" t="s">
        <v>16476</v>
      </c>
    </row>
    <row r="200">
      <c r="A200" s="93">
        <v>422.0</v>
      </c>
      <c r="B200" s="92" t="s">
        <v>18281</v>
      </c>
      <c r="C200" s="92" t="s">
        <v>3468</v>
      </c>
      <c r="D200" s="92" t="s">
        <v>18765</v>
      </c>
      <c r="E200" s="94">
        <v>45113.54041666666</v>
      </c>
      <c r="F200" s="94">
        <v>46048.95923611111</v>
      </c>
      <c r="G200" s="90">
        <v>45920.92398148148</v>
      </c>
      <c r="H200" s="1" t="s">
        <v>16476</v>
      </c>
    </row>
    <row r="201">
      <c r="A201" s="93">
        <v>421.0</v>
      </c>
      <c r="B201" s="92" t="s">
        <v>18793</v>
      </c>
      <c r="C201" s="92" t="s">
        <v>5062</v>
      </c>
      <c r="D201" s="92" t="s">
        <v>18765</v>
      </c>
      <c r="E201" s="94">
        <v>45113.54040509259</v>
      </c>
      <c r="F201" s="94">
        <v>46048.95923611111</v>
      </c>
      <c r="G201" s="90">
        <v>45920.92335648148</v>
      </c>
      <c r="H201" s="1" t="s">
        <v>16476</v>
      </c>
    </row>
    <row r="202">
      <c r="A202" s="93">
        <v>420.0</v>
      </c>
      <c r="B202" s="92" t="s">
        <v>18283</v>
      </c>
      <c r="C202" s="92" t="s">
        <v>3459</v>
      </c>
      <c r="D202" s="92" t="s">
        <v>18765</v>
      </c>
      <c r="E202" s="94">
        <v>45113.54040509259</v>
      </c>
      <c r="F202" s="94">
        <v>46048.95923611111</v>
      </c>
      <c r="G202" s="90">
        <v>45920.92273148148</v>
      </c>
      <c r="H202" s="1" t="s">
        <v>16476</v>
      </c>
    </row>
    <row r="203">
      <c r="A203" s="93">
        <v>419.0</v>
      </c>
      <c r="B203" s="92" t="s">
        <v>18284</v>
      </c>
      <c r="C203" s="92" t="s">
        <v>3454</v>
      </c>
      <c r="D203" s="92" t="s">
        <v>18765</v>
      </c>
      <c r="E203" s="94">
        <v>45113.54039351852</v>
      </c>
      <c r="F203" s="94">
        <v>46048.95923611111</v>
      </c>
      <c r="G203" s="90">
        <v>45920.9221875</v>
      </c>
      <c r="H203" s="1" t="s">
        <v>16476</v>
      </c>
    </row>
    <row r="204">
      <c r="A204" s="93">
        <v>418.0</v>
      </c>
      <c r="B204" s="92" t="s">
        <v>18285</v>
      </c>
      <c r="C204" s="92" t="s">
        <v>3448</v>
      </c>
      <c r="D204" s="92" t="s">
        <v>18765</v>
      </c>
      <c r="E204" s="94">
        <v>45113.54038194445</v>
      </c>
      <c r="F204" s="94">
        <v>46048.95923611111</v>
      </c>
      <c r="G204" s="90">
        <v>45920.92099537037</v>
      </c>
      <c r="H204" s="1" t="s">
        <v>16476</v>
      </c>
    </row>
    <row r="205">
      <c r="A205" s="93">
        <v>417.0</v>
      </c>
      <c r="B205" s="92" t="s">
        <v>18286</v>
      </c>
      <c r="C205" s="92" t="s">
        <v>3442</v>
      </c>
      <c r="D205" s="92" t="s">
        <v>18765</v>
      </c>
      <c r="E205" s="94">
        <v>45113.54037037037</v>
      </c>
      <c r="F205" s="94">
        <v>46048.95923611111</v>
      </c>
      <c r="G205" s="90">
        <v>45920.91725694444</v>
      </c>
      <c r="H205" s="1" t="s">
        <v>16476</v>
      </c>
    </row>
    <row r="206">
      <c r="A206" s="93">
        <v>416.0</v>
      </c>
      <c r="B206" s="92" t="s">
        <v>18287</v>
      </c>
      <c r="C206" s="92" t="s">
        <v>3435</v>
      </c>
      <c r="D206" s="92" t="s">
        <v>18765</v>
      </c>
      <c r="E206" s="94">
        <v>45113.540358796294</v>
      </c>
      <c r="F206" s="94">
        <v>46048.95923611111</v>
      </c>
      <c r="G206" s="90">
        <v>45920.91663194444</v>
      </c>
      <c r="H206" s="1" t="s">
        <v>16476</v>
      </c>
    </row>
    <row r="207">
      <c r="A207" s="93">
        <v>415.0</v>
      </c>
      <c r="B207" s="92" t="s">
        <v>18288</v>
      </c>
      <c r="C207" s="92" t="s">
        <v>3429</v>
      </c>
      <c r="D207" s="92" t="s">
        <v>18765</v>
      </c>
      <c r="E207" s="94">
        <v>45113.540347222224</v>
      </c>
      <c r="F207" s="94">
        <v>46048.95923611111</v>
      </c>
      <c r="G207" s="90">
        <v>45920.91373842592</v>
      </c>
      <c r="H207" s="1" t="s">
        <v>16476</v>
      </c>
    </row>
    <row r="208">
      <c r="A208" s="93">
        <v>414.0</v>
      </c>
      <c r="B208" s="92" t="s">
        <v>18289</v>
      </c>
      <c r="C208" s="92" t="s">
        <v>3420</v>
      </c>
      <c r="D208" s="92" t="s">
        <v>18765</v>
      </c>
      <c r="E208" s="94">
        <v>45113.540347222224</v>
      </c>
      <c r="F208" s="94">
        <v>46048.95923611111</v>
      </c>
      <c r="G208" s="90">
        <v>45920.913298611114</v>
      </c>
      <c r="H208" s="1" t="s">
        <v>16476</v>
      </c>
    </row>
    <row r="209">
      <c r="A209" s="93">
        <v>413.0</v>
      </c>
      <c r="B209" s="92" t="s">
        <v>18290</v>
      </c>
      <c r="C209" s="92" t="s">
        <v>3415</v>
      </c>
      <c r="D209" s="92" t="s">
        <v>18765</v>
      </c>
      <c r="E209" s="94">
        <v>45113.54033564815</v>
      </c>
      <c r="F209" s="94">
        <v>46048.95923611111</v>
      </c>
      <c r="G209" s="90">
        <v>45920.91284722222</v>
      </c>
      <c r="H209" s="1" t="s">
        <v>16476</v>
      </c>
    </row>
    <row r="210">
      <c r="A210" s="93">
        <v>412.0</v>
      </c>
      <c r="B210" s="92" t="s">
        <v>18291</v>
      </c>
      <c r="C210" s="92" t="s">
        <v>18794</v>
      </c>
      <c r="D210" s="92" t="s">
        <v>18765</v>
      </c>
      <c r="E210" s="94">
        <v>45113.54032407407</v>
      </c>
      <c r="F210" s="94">
        <v>46048.95923611111</v>
      </c>
      <c r="G210" s="90">
        <v>45920.91206018518</v>
      </c>
      <c r="H210" s="1" t="s">
        <v>16476</v>
      </c>
    </row>
    <row r="211">
      <c r="A211" s="93">
        <v>411.0</v>
      </c>
      <c r="B211" s="92" t="s">
        <v>18292</v>
      </c>
      <c r="C211" s="92" t="s">
        <v>3397</v>
      </c>
      <c r="D211" s="92" t="s">
        <v>18765</v>
      </c>
      <c r="E211" s="94">
        <v>45113.5403125</v>
      </c>
      <c r="F211" s="94">
        <v>46048.95923611111</v>
      </c>
      <c r="G211" s="90">
        <v>45920.90917824074</v>
      </c>
      <c r="H211" s="1" t="s">
        <v>16476</v>
      </c>
    </row>
    <row r="212">
      <c r="A212" s="93">
        <v>410.0</v>
      </c>
      <c r="B212" s="92" t="s">
        <v>18294</v>
      </c>
      <c r="C212" s="92" t="s">
        <v>3390</v>
      </c>
      <c r="D212" s="92" t="s">
        <v>18765</v>
      </c>
      <c r="E212" s="94">
        <v>45113.540300925924</v>
      </c>
      <c r="F212" s="94">
        <v>46048.95923611111</v>
      </c>
      <c r="G212" s="90">
        <v>45920.90855324074</v>
      </c>
      <c r="H212" s="1" t="s">
        <v>16476</v>
      </c>
    </row>
    <row r="213">
      <c r="A213" s="93">
        <v>407.0</v>
      </c>
      <c r="B213" s="92" t="s">
        <v>18295</v>
      </c>
      <c r="C213" s="92" t="s">
        <v>3367</v>
      </c>
      <c r="D213" s="92" t="s">
        <v>18765</v>
      </c>
      <c r="E213" s="94">
        <v>45113.54027777778</v>
      </c>
      <c r="F213" s="94">
        <v>46048.95923611111</v>
      </c>
      <c r="G213" s="90">
        <v>45920.907164351855</v>
      </c>
      <c r="H213" s="1" t="s">
        <v>16476</v>
      </c>
    </row>
    <row r="214">
      <c r="A214" s="93">
        <v>406.0</v>
      </c>
      <c r="B214" s="92" t="s">
        <v>18296</v>
      </c>
      <c r="C214" s="92" t="s">
        <v>3354</v>
      </c>
      <c r="D214" s="92" t="s">
        <v>18765</v>
      </c>
      <c r="E214" s="94">
        <v>45113.5402662037</v>
      </c>
      <c r="F214" s="94">
        <v>46048.95923611111</v>
      </c>
      <c r="G214" s="90">
        <v>45920.905590277776</v>
      </c>
      <c r="H214" s="1" t="s">
        <v>16476</v>
      </c>
    </row>
    <row r="215">
      <c r="A215" s="93">
        <v>405.0</v>
      </c>
      <c r="B215" s="92" t="s">
        <v>18297</v>
      </c>
      <c r="C215" s="92" t="s">
        <v>3347</v>
      </c>
      <c r="D215" s="92" t="s">
        <v>18765</v>
      </c>
      <c r="E215" s="94">
        <v>45113.54025462963</v>
      </c>
      <c r="F215" s="94">
        <v>46048.95923611111</v>
      </c>
      <c r="G215" s="90">
        <v>45920.90516203704</v>
      </c>
      <c r="H215" s="1" t="s">
        <v>16476</v>
      </c>
    </row>
    <row r="216">
      <c r="A216" s="93">
        <v>404.0</v>
      </c>
      <c r="B216" s="92" t="s">
        <v>18298</v>
      </c>
      <c r="C216" s="92" t="s">
        <v>3337</v>
      </c>
      <c r="D216" s="92" t="s">
        <v>18765</v>
      </c>
      <c r="E216" s="94">
        <v>45113.540243055555</v>
      </c>
      <c r="F216" s="94">
        <v>46048.95923611111</v>
      </c>
      <c r="G216" s="90">
        <v>45920.9040625</v>
      </c>
      <c r="H216" s="1" t="s">
        <v>16476</v>
      </c>
    </row>
    <row r="217">
      <c r="A217" s="93">
        <v>403.0</v>
      </c>
      <c r="B217" s="92" t="s">
        <v>18299</v>
      </c>
      <c r="C217" s="92" t="s">
        <v>3328</v>
      </c>
      <c r="D217" s="92" t="s">
        <v>18765</v>
      </c>
      <c r="E217" s="94">
        <v>45113.540243055555</v>
      </c>
      <c r="F217" s="94">
        <v>46048.95923611111</v>
      </c>
      <c r="G217" s="90">
        <v>45920.9009375</v>
      </c>
      <c r="H217" s="1" t="s">
        <v>16476</v>
      </c>
    </row>
    <row r="218">
      <c r="A218" s="93">
        <v>402.0</v>
      </c>
      <c r="B218" s="92" t="s">
        <v>18300</v>
      </c>
      <c r="C218" s="92" t="s">
        <v>3319</v>
      </c>
      <c r="D218" s="92" t="s">
        <v>18765</v>
      </c>
      <c r="E218" s="94">
        <v>45113.54023148148</v>
      </c>
      <c r="F218" s="94">
        <v>46048.95923611111</v>
      </c>
      <c r="G218" s="90">
        <v>45920.899363425924</v>
      </c>
      <c r="H218" s="1" t="s">
        <v>16476</v>
      </c>
    </row>
    <row r="219">
      <c r="A219" s="93">
        <v>401.0</v>
      </c>
      <c r="B219" s="92" t="s">
        <v>18301</v>
      </c>
      <c r="C219" s="92" t="s">
        <v>3313</v>
      </c>
      <c r="D219" s="92" t="s">
        <v>18765</v>
      </c>
      <c r="E219" s="94">
        <v>45113.54020833333</v>
      </c>
      <c r="F219" s="94">
        <v>46048.95923611111</v>
      </c>
      <c r="G219" s="90">
        <v>45920.8987037037</v>
      </c>
      <c r="H219" s="1" t="s">
        <v>16476</v>
      </c>
    </row>
    <row r="220">
      <c r="A220" s="93">
        <v>399.0</v>
      </c>
      <c r="B220" s="92" t="s">
        <v>18302</v>
      </c>
      <c r="C220" s="92" t="s">
        <v>3296</v>
      </c>
      <c r="D220" s="92" t="s">
        <v>18765</v>
      </c>
      <c r="E220" s="94">
        <v>45113.540185185186</v>
      </c>
      <c r="F220" s="94">
        <v>46048.95923611111</v>
      </c>
      <c r="G220" s="90">
        <v>45920.89800925926</v>
      </c>
      <c r="H220" s="1" t="s">
        <v>16476</v>
      </c>
    </row>
    <row r="221">
      <c r="A221" s="93">
        <v>396.0</v>
      </c>
      <c r="B221" s="92" t="s">
        <v>18303</v>
      </c>
      <c r="C221" s="92" t="s">
        <v>3277</v>
      </c>
      <c r="D221" s="92" t="s">
        <v>18765</v>
      </c>
      <c r="E221" s="94">
        <v>45113.54015046296</v>
      </c>
      <c r="F221" s="94">
        <v>46048.95923611111</v>
      </c>
      <c r="G221" s="90">
        <v>45920.89753472222</v>
      </c>
      <c r="H221" s="1" t="s">
        <v>16476</v>
      </c>
    </row>
    <row r="222">
      <c r="A222" s="93">
        <v>395.0</v>
      </c>
      <c r="B222" s="92" t="s">
        <v>18304</v>
      </c>
      <c r="C222" s="92" t="s">
        <v>3269</v>
      </c>
      <c r="D222" s="92" t="s">
        <v>18765</v>
      </c>
      <c r="E222" s="94">
        <v>45113.540138888886</v>
      </c>
      <c r="F222" s="94">
        <v>46048.95923611111</v>
      </c>
      <c r="G222" s="90">
        <v>45920.897152777776</v>
      </c>
      <c r="H222" s="1" t="s">
        <v>16476</v>
      </c>
    </row>
    <row r="223">
      <c r="A223" s="93">
        <v>394.0</v>
      </c>
      <c r="B223" s="92" t="s">
        <v>18305</v>
      </c>
      <c r="C223" s="92" t="s">
        <v>3263</v>
      </c>
      <c r="D223" s="92" t="s">
        <v>18765</v>
      </c>
      <c r="E223" s="94">
        <v>45113.540138888886</v>
      </c>
      <c r="F223" s="94">
        <v>46048.95923611111</v>
      </c>
      <c r="G223" s="90">
        <v>45920.89628472222</v>
      </c>
      <c r="H223" s="1" t="s">
        <v>16476</v>
      </c>
    </row>
    <row r="224">
      <c r="A224" s="93">
        <v>393.0</v>
      </c>
      <c r="B224" s="92" t="s">
        <v>18306</v>
      </c>
      <c r="C224" s="92" t="s">
        <v>3255</v>
      </c>
      <c r="D224" s="92" t="s">
        <v>18765</v>
      </c>
      <c r="E224" s="94">
        <v>45113.540127314816</v>
      </c>
      <c r="F224" s="94">
        <v>46048.95923611111</v>
      </c>
      <c r="G224" s="90">
        <v>45920.895949074074</v>
      </c>
      <c r="H224" s="1" t="s">
        <v>16476</v>
      </c>
    </row>
    <row r="225">
      <c r="A225" s="93">
        <v>392.0</v>
      </c>
      <c r="B225" s="92" t="s">
        <v>18307</v>
      </c>
      <c r="C225" s="92" t="s">
        <v>3247</v>
      </c>
      <c r="D225" s="92" t="s">
        <v>18765</v>
      </c>
      <c r="E225" s="94">
        <v>45113.54011574074</v>
      </c>
      <c r="F225" s="94">
        <v>46048.95923611111</v>
      </c>
      <c r="G225" s="90">
        <v>45920.89472222222</v>
      </c>
      <c r="H225" s="1" t="s">
        <v>16476</v>
      </c>
    </row>
    <row r="226">
      <c r="A226" s="93">
        <v>391.0</v>
      </c>
      <c r="B226" s="92" t="s">
        <v>18308</v>
      </c>
      <c r="C226" s="92" t="s">
        <v>3238</v>
      </c>
      <c r="D226" s="92" t="s">
        <v>18765</v>
      </c>
      <c r="E226" s="94">
        <v>45113.54010416667</v>
      </c>
      <c r="F226" s="94">
        <v>46048.95923611111</v>
      </c>
      <c r="G226" s="90">
        <v>45920.89431712963</v>
      </c>
      <c r="H226" s="1" t="s">
        <v>16476</v>
      </c>
    </row>
    <row r="227">
      <c r="A227" s="93">
        <v>390.0</v>
      </c>
      <c r="B227" s="92" t="s">
        <v>18309</v>
      </c>
      <c r="C227" s="92" t="s">
        <v>3226</v>
      </c>
      <c r="D227" s="92" t="s">
        <v>18765</v>
      </c>
      <c r="E227" s="94">
        <v>45113.54009259259</v>
      </c>
      <c r="F227" s="94">
        <v>46048.95922453704</v>
      </c>
      <c r="G227" s="90">
        <v>45920.8934375</v>
      </c>
      <c r="H227" s="1" t="s">
        <v>16476</v>
      </c>
    </row>
    <row r="228">
      <c r="A228" s="93">
        <v>389.0</v>
      </c>
      <c r="B228" s="92" t="s">
        <v>18310</v>
      </c>
      <c r="C228" s="92" t="s">
        <v>3218</v>
      </c>
      <c r="D228" s="92" t="s">
        <v>18765</v>
      </c>
      <c r="E228" s="94">
        <v>45113.54008101852</v>
      </c>
      <c r="F228" s="94">
        <v>46048.95922453704</v>
      </c>
      <c r="G228" s="90">
        <v>45920.8927662037</v>
      </c>
      <c r="H228" s="1" t="s">
        <v>16476</v>
      </c>
    </row>
    <row r="229">
      <c r="A229" s="93">
        <v>388.0</v>
      </c>
      <c r="B229" s="92" t="s">
        <v>18311</v>
      </c>
      <c r="C229" s="92" t="s">
        <v>3211</v>
      </c>
      <c r="D229" s="92" t="s">
        <v>18765</v>
      </c>
      <c r="E229" s="94">
        <v>45113.54008101852</v>
      </c>
      <c r="F229" s="94">
        <v>46048.95922453704</v>
      </c>
      <c r="G229" s="90">
        <v>45920.89163194445</v>
      </c>
      <c r="H229" s="1" t="s">
        <v>16476</v>
      </c>
    </row>
    <row r="230">
      <c r="A230" s="93">
        <v>385.0</v>
      </c>
      <c r="B230" s="92" t="s">
        <v>18312</v>
      </c>
      <c r="C230" s="92" t="s">
        <v>3188</v>
      </c>
      <c r="D230" s="92" t="s">
        <v>18765</v>
      </c>
      <c r="E230" s="94">
        <v>45113.54004629629</v>
      </c>
      <c r="F230" s="94">
        <v>46048.95922453704</v>
      </c>
      <c r="G230" s="90">
        <v>45920.87703703704</v>
      </c>
      <c r="H230" s="1" t="s">
        <v>16476</v>
      </c>
    </row>
    <row r="231">
      <c r="A231" s="93">
        <v>384.0</v>
      </c>
      <c r="B231" s="92" t="s">
        <v>18313</v>
      </c>
      <c r="C231" s="92" t="s">
        <v>3177</v>
      </c>
      <c r="D231" s="92" t="s">
        <v>18765</v>
      </c>
      <c r="E231" s="94">
        <v>45113.540034722224</v>
      </c>
      <c r="F231" s="94">
        <v>46048.95922453704</v>
      </c>
      <c r="G231" s="90">
        <v>45920.876655092594</v>
      </c>
      <c r="H231" s="1" t="s">
        <v>16476</v>
      </c>
    </row>
    <row r="232">
      <c r="A232" s="93">
        <v>383.0</v>
      </c>
      <c r="B232" s="92" t="s">
        <v>18314</v>
      </c>
      <c r="C232" s="92" t="s">
        <v>3170</v>
      </c>
      <c r="D232" s="92" t="s">
        <v>18765</v>
      </c>
      <c r="E232" s="94">
        <v>45113.54002314815</v>
      </c>
      <c r="F232" s="94">
        <v>46048.95922453704</v>
      </c>
      <c r="G232" s="90">
        <v>45920.876122685186</v>
      </c>
      <c r="H232" s="1" t="s">
        <v>16476</v>
      </c>
    </row>
    <row r="233">
      <c r="A233" s="93">
        <v>381.0</v>
      </c>
      <c r="B233" s="92" t="s">
        <v>18315</v>
      </c>
      <c r="C233" s="92" t="s">
        <v>3158</v>
      </c>
      <c r="D233" s="92" t="s">
        <v>18765</v>
      </c>
      <c r="E233" s="94">
        <v>45113.54001157408</v>
      </c>
      <c r="F233" s="94">
        <v>46048.95922453704</v>
      </c>
      <c r="G233" s="90">
        <v>45920.87399305555</v>
      </c>
      <c r="H233" s="1" t="s">
        <v>16476</v>
      </c>
    </row>
    <row r="234">
      <c r="A234" s="93">
        <v>380.0</v>
      </c>
      <c r="B234" s="92" t="s">
        <v>18316</v>
      </c>
      <c r="C234" s="92" t="s">
        <v>3147</v>
      </c>
      <c r="D234" s="92" t="s">
        <v>18765</v>
      </c>
      <c r="E234" s="94">
        <v>45113.54</v>
      </c>
      <c r="F234" s="94">
        <v>46048.95922453704</v>
      </c>
      <c r="G234" s="90">
        <v>45920.87289351852</v>
      </c>
      <c r="H234" s="1" t="s">
        <v>16476</v>
      </c>
    </row>
    <row r="235">
      <c r="A235" s="93">
        <v>379.0</v>
      </c>
      <c r="B235" s="92" t="s">
        <v>18317</v>
      </c>
      <c r="C235" s="92" t="s">
        <v>18795</v>
      </c>
      <c r="D235" s="92" t="s">
        <v>18765</v>
      </c>
      <c r="E235" s="94">
        <v>45113.539988425924</v>
      </c>
      <c r="F235" s="94">
        <v>46048.95922453704</v>
      </c>
      <c r="G235" s="90">
        <v>45920.872152777774</v>
      </c>
      <c r="H235" s="1" t="s">
        <v>16476</v>
      </c>
    </row>
    <row r="236">
      <c r="A236" s="93">
        <v>378.0</v>
      </c>
      <c r="B236" s="92" t="s">
        <v>18318</v>
      </c>
      <c r="C236" s="92" t="s">
        <v>3132</v>
      </c>
      <c r="D236" s="92" t="s">
        <v>18765</v>
      </c>
      <c r="E236" s="94">
        <v>45113.539976851855</v>
      </c>
      <c r="F236" s="94">
        <v>46048.95922453704</v>
      </c>
      <c r="G236" s="90">
        <v>45920.87174768518</v>
      </c>
      <c r="H236" s="1" t="s">
        <v>16476</v>
      </c>
    </row>
    <row r="237">
      <c r="A237" s="93">
        <v>377.0</v>
      </c>
      <c r="B237" s="92" t="s">
        <v>18319</v>
      </c>
      <c r="C237" s="92" t="s">
        <v>3124</v>
      </c>
      <c r="D237" s="92" t="s">
        <v>18765</v>
      </c>
      <c r="E237" s="94">
        <v>45113.539976851855</v>
      </c>
      <c r="F237" s="94">
        <v>46048.95922453704</v>
      </c>
      <c r="G237" s="90">
        <v>45920.87128472222</v>
      </c>
      <c r="H237" s="1" t="s">
        <v>16476</v>
      </c>
    </row>
    <row r="238">
      <c r="A238" s="93">
        <v>376.0</v>
      </c>
      <c r="B238" s="92" t="s">
        <v>18320</v>
      </c>
      <c r="C238" s="92" t="s">
        <v>3118</v>
      </c>
      <c r="D238" s="92" t="s">
        <v>18765</v>
      </c>
      <c r="E238" s="94">
        <v>45113.53996527778</v>
      </c>
      <c r="F238" s="94">
        <v>46048.95922453704</v>
      </c>
      <c r="G238" s="90">
        <v>45920.87081018519</v>
      </c>
      <c r="H238" s="1" t="s">
        <v>16476</v>
      </c>
    </row>
    <row r="239">
      <c r="A239" s="93">
        <v>375.0</v>
      </c>
      <c r="B239" s="92" t="s">
        <v>18321</v>
      </c>
      <c r="C239" s="92" t="s">
        <v>3110</v>
      </c>
      <c r="D239" s="92" t="s">
        <v>18765</v>
      </c>
      <c r="E239" s="94">
        <v>45113.5399537037</v>
      </c>
      <c r="F239" s="94">
        <v>46048.95922453704</v>
      </c>
      <c r="G239" s="90">
        <v>45920.86991898148</v>
      </c>
      <c r="H239" s="1" t="s">
        <v>16476</v>
      </c>
    </row>
    <row r="240">
      <c r="A240" s="93">
        <v>374.0</v>
      </c>
      <c r="B240" s="92" t="s">
        <v>18322</v>
      </c>
      <c r="C240" s="92" t="s">
        <v>3102</v>
      </c>
      <c r="D240" s="92" t="s">
        <v>18765</v>
      </c>
      <c r="E240" s="94">
        <v>45113.53994212963</v>
      </c>
      <c r="F240" s="94">
        <v>46048.95922453704</v>
      </c>
      <c r="G240" s="90">
        <v>45920.00387731481</v>
      </c>
      <c r="H240" s="1" t="s">
        <v>16476</v>
      </c>
    </row>
    <row r="241">
      <c r="A241" s="93">
        <v>373.0</v>
      </c>
      <c r="B241" s="92" t="s">
        <v>18323</v>
      </c>
      <c r="C241" s="92" t="s">
        <v>3092</v>
      </c>
      <c r="D241" s="92" t="s">
        <v>18765</v>
      </c>
      <c r="E241" s="94">
        <v>45113.539930555555</v>
      </c>
      <c r="F241" s="94">
        <v>46048.95922453704</v>
      </c>
      <c r="G241" s="90">
        <v>45920.00320601852</v>
      </c>
      <c r="H241" s="1" t="s">
        <v>16476</v>
      </c>
    </row>
    <row r="242">
      <c r="A242" s="93">
        <v>372.0</v>
      </c>
      <c r="B242" s="92" t="s">
        <v>18324</v>
      </c>
      <c r="C242" s="92" t="s">
        <v>3088</v>
      </c>
      <c r="D242" s="92" t="s">
        <v>18765</v>
      </c>
      <c r="E242" s="94">
        <v>45113.53991898148</v>
      </c>
      <c r="F242" s="94">
        <v>46048.95922453704</v>
      </c>
      <c r="G242" s="90">
        <v>45920.00226851852</v>
      </c>
      <c r="H242" s="1" t="s">
        <v>16476</v>
      </c>
    </row>
    <row r="243">
      <c r="A243" s="93">
        <v>371.0</v>
      </c>
      <c r="B243" s="92" t="s">
        <v>18325</v>
      </c>
      <c r="C243" s="92" t="s">
        <v>3080</v>
      </c>
      <c r="D243" s="92" t="s">
        <v>18765</v>
      </c>
      <c r="E243" s="94">
        <v>45113.53991898148</v>
      </c>
      <c r="F243" s="94">
        <v>46048.95922453704</v>
      </c>
      <c r="G243" s="90">
        <v>45920.00148148148</v>
      </c>
      <c r="H243" s="1" t="s">
        <v>16476</v>
      </c>
    </row>
    <row r="244">
      <c r="A244" s="93">
        <v>370.0</v>
      </c>
      <c r="B244" s="92" t="s">
        <v>18326</v>
      </c>
      <c r="C244" s="92" t="s">
        <v>3073</v>
      </c>
      <c r="D244" s="92" t="s">
        <v>18765</v>
      </c>
      <c r="E244" s="94">
        <v>45113.53990740741</v>
      </c>
      <c r="F244" s="94">
        <v>46048.95922453704</v>
      </c>
      <c r="G244" s="90">
        <v>45920.00103009259</v>
      </c>
      <c r="H244" s="1" t="s">
        <v>16476</v>
      </c>
    </row>
    <row r="245">
      <c r="A245" s="93">
        <v>369.0</v>
      </c>
      <c r="B245" s="92" t="s">
        <v>18796</v>
      </c>
      <c r="C245" s="92" t="s">
        <v>5035</v>
      </c>
      <c r="D245" s="92" t="s">
        <v>18765</v>
      </c>
      <c r="E245" s="94">
        <v>45113.53989583333</v>
      </c>
      <c r="F245" s="94">
        <v>46048.95922453704</v>
      </c>
      <c r="G245" s="90">
        <v>45919.99560185185</v>
      </c>
      <c r="H245" s="1" t="s">
        <v>16476</v>
      </c>
    </row>
    <row r="246">
      <c r="A246" s="93">
        <v>362.0</v>
      </c>
      <c r="B246" s="92" t="s">
        <v>18328</v>
      </c>
      <c r="C246" s="92" t="s">
        <v>3005</v>
      </c>
      <c r="D246" s="92" t="s">
        <v>18765</v>
      </c>
      <c r="E246" s="94">
        <v>45113.539826388886</v>
      </c>
      <c r="F246" s="94">
        <v>46048.95922453704</v>
      </c>
      <c r="G246" s="90">
        <v>45919.98489583333</v>
      </c>
      <c r="H246" s="1" t="s">
        <v>16476</v>
      </c>
    </row>
    <row r="247">
      <c r="A247" s="93">
        <v>348.0</v>
      </c>
      <c r="B247" s="92" t="s">
        <v>18329</v>
      </c>
      <c r="C247" s="92" t="s">
        <v>2897</v>
      </c>
      <c r="D247" s="92" t="s">
        <v>18765</v>
      </c>
      <c r="E247" s="94">
        <v>45113.53969907408</v>
      </c>
      <c r="F247" s="94">
        <v>46048.95921296296</v>
      </c>
      <c r="G247" s="90">
        <v>45919.98373842592</v>
      </c>
      <c r="H247" s="1" t="s">
        <v>16476</v>
      </c>
    </row>
    <row r="248">
      <c r="A248" s="93">
        <v>336.0</v>
      </c>
      <c r="B248" s="92" t="s">
        <v>18330</v>
      </c>
      <c r="C248" s="92" t="s">
        <v>2809</v>
      </c>
      <c r="D248" s="92" t="s">
        <v>18765</v>
      </c>
      <c r="E248" s="94">
        <v>45113.53958333333</v>
      </c>
      <c r="F248" s="94">
        <v>46048.95921296296</v>
      </c>
      <c r="G248" s="90">
        <v>45919.98292824074</v>
      </c>
      <c r="H248" s="1" t="s">
        <v>16476</v>
      </c>
    </row>
    <row r="249">
      <c r="A249" s="93">
        <v>334.0</v>
      </c>
      <c r="B249" s="92" t="s">
        <v>18331</v>
      </c>
      <c r="C249" s="92" t="s">
        <v>2794</v>
      </c>
      <c r="D249" s="92" t="s">
        <v>18765</v>
      </c>
      <c r="E249" s="94">
        <v>45113.539560185185</v>
      </c>
      <c r="F249" s="94">
        <v>46048.95921296296</v>
      </c>
      <c r="G249" s="90">
        <v>45919.980891203704</v>
      </c>
      <c r="H249" s="1" t="s">
        <v>16476</v>
      </c>
    </row>
    <row r="250">
      <c r="A250" s="93">
        <v>329.0</v>
      </c>
      <c r="B250" s="92" t="s">
        <v>18332</v>
      </c>
      <c r="C250" s="92" t="s">
        <v>2757</v>
      </c>
      <c r="D250" s="92" t="s">
        <v>18765</v>
      </c>
      <c r="E250" s="94">
        <v>45113.539513888885</v>
      </c>
      <c r="F250" s="94">
        <v>46048.95921296296</v>
      </c>
      <c r="G250" s="90">
        <v>45919.9784375</v>
      </c>
      <c r="H250" s="1" t="s">
        <v>16476</v>
      </c>
    </row>
    <row r="251">
      <c r="A251" s="93">
        <v>322.0</v>
      </c>
      <c r="B251" s="92" t="s">
        <v>18333</v>
      </c>
      <c r="C251" s="92" t="s">
        <v>2702</v>
      </c>
      <c r="D251" s="92" t="s">
        <v>18765</v>
      </c>
      <c r="E251" s="94">
        <v>45113.53944444445</v>
      </c>
      <c r="F251" s="94">
        <v>46048.95921296296</v>
      </c>
      <c r="G251" s="90">
        <v>45919.977743055555</v>
      </c>
      <c r="H251" s="1" t="s">
        <v>16476</v>
      </c>
    </row>
    <row r="252">
      <c r="A252" s="93">
        <v>319.0</v>
      </c>
      <c r="B252" s="92" t="s">
        <v>18334</v>
      </c>
      <c r="C252" s="92" t="s">
        <v>2677</v>
      </c>
      <c r="D252" s="92" t="s">
        <v>18765</v>
      </c>
      <c r="E252" s="94">
        <v>45113.53942129629</v>
      </c>
      <c r="F252" s="94">
        <v>46048.95921296296</v>
      </c>
      <c r="G252" s="90">
        <v>45919.97744212963</v>
      </c>
      <c r="H252" s="1" t="s">
        <v>16476</v>
      </c>
    </row>
    <row r="253">
      <c r="A253" s="93">
        <v>315.0</v>
      </c>
      <c r="B253" s="92" t="s">
        <v>18335</v>
      </c>
      <c r="C253" s="92" t="s">
        <v>2649</v>
      </c>
      <c r="D253" s="92" t="s">
        <v>18765</v>
      </c>
      <c r="E253" s="94">
        <v>45113.539375</v>
      </c>
      <c r="F253" s="94">
        <v>46048.95921296296</v>
      </c>
      <c r="G253" s="90">
        <v>45919.97582175926</v>
      </c>
      <c r="H253" s="1" t="s">
        <v>16476</v>
      </c>
    </row>
    <row r="254">
      <c r="A254" s="93">
        <v>311.0</v>
      </c>
      <c r="B254" s="92" t="s">
        <v>18336</v>
      </c>
      <c r="C254" s="92" t="s">
        <v>2610</v>
      </c>
      <c r="D254" s="92" t="s">
        <v>18765</v>
      </c>
      <c r="E254" s="94">
        <v>45113.53934027778</v>
      </c>
      <c r="F254" s="94">
        <v>46048.95920138889</v>
      </c>
      <c r="G254" s="90">
        <v>45919.97537037037</v>
      </c>
      <c r="H254" s="1" t="s">
        <v>16476</v>
      </c>
    </row>
    <row r="255">
      <c r="A255" s="93">
        <v>308.0</v>
      </c>
      <c r="B255" s="92" t="s">
        <v>18337</v>
      </c>
      <c r="C255" s="92" t="s">
        <v>2589</v>
      </c>
      <c r="D255" s="92" t="s">
        <v>18765</v>
      </c>
      <c r="E255" s="94">
        <v>45113.53931712963</v>
      </c>
      <c r="F255" s="94">
        <v>46048.95920138889</v>
      </c>
      <c r="G255" s="90">
        <v>45919.97488425926</v>
      </c>
      <c r="H255" s="1" t="s">
        <v>16476</v>
      </c>
    </row>
    <row r="256">
      <c r="A256" s="93">
        <v>304.0</v>
      </c>
      <c r="B256" s="92" t="s">
        <v>18338</v>
      </c>
      <c r="C256" s="92" t="s">
        <v>2567</v>
      </c>
      <c r="D256" s="92" t="s">
        <v>18765</v>
      </c>
      <c r="E256" s="94">
        <v>45113.53927083333</v>
      </c>
      <c r="F256" s="94">
        <v>46048.95920138889</v>
      </c>
      <c r="G256" s="90">
        <v>45919.97446759259</v>
      </c>
      <c r="H256" s="1" t="s">
        <v>16476</v>
      </c>
    </row>
    <row r="257">
      <c r="A257" s="93">
        <v>302.0</v>
      </c>
      <c r="B257" s="92" t="s">
        <v>18339</v>
      </c>
      <c r="C257" s="92" t="s">
        <v>2548</v>
      </c>
      <c r="D257" s="92" t="s">
        <v>18765</v>
      </c>
      <c r="E257" s="94">
        <v>45113.53925925926</v>
      </c>
      <c r="F257" s="94">
        <v>46048.95920138889</v>
      </c>
      <c r="G257" s="90">
        <v>45919.97372685185</v>
      </c>
      <c r="H257" s="1" t="s">
        <v>16476</v>
      </c>
    </row>
    <row r="258">
      <c r="A258" s="93">
        <v>294.0</v>
      </c>
      <c r="B258" s="92" t="s">
        <v>18340</v>
      </c>
      <c r="C258" s="92" t="s">
        <v>2477</v>
      </c>
      <c r="D258" s="92" t="s">
        <v>18765</v>
      </c>
      <c r="E258" s="94">
        <v>45113.53917824074</v>
      </c>
      <c r="F258" s="94">
        <v>46048.95920138889</v>
      </c>
      <c r="G258" s="90">
        <v>45919.973032407404</v>
      </c>
      <c r="H258" s="1" t="s">
        <v>16476</v>
      </c>
    </row>
    <row r="259">
      <c r="A259" s="93">
        <v>292.0</v>
      </c>
      <c r="B259" s="92" t="s">
        <v>18341</v>
      </c>
      <c r="C259" s="92" t="s">
        <v>2460</v>
      </c>
      <c r="D259" s="92" t="s">
        <v>18765</v>
      </c>
      <c r="E259" s="94">
        <v>45113.53916666667</v>
      </c>
      <c r="F259" s="94">
        <v>46048.95920138889</v>
      </c>
      <c r="G259" s="90">
        <v>45919.971655092595</v>
      </c>
      <c r="H259" s="1" t="s">
        <v>16476</v>
      </c>
    </row>
    <row r="260">
      <c r="A260" s="93">
        <v>286.0</v>
      </c>
      <c r="B260" s="92" t="s">
        <v>18797</v>
      </c>
      <c r="C260" s="92" t="s">
        <v>18798</v>
      </c>
      <c r="D260" s="92" t="s">
        <v>18765</v>
      </c>
      <c r="E260" s="94">
        <v>45113.5391087963</v>
      </c>
      <c r="F260" s="94">
        <v>46048.95920138889</v>
      </c>
      <c r="G260" s="90">
        <v>45919.970868055556</v>
      </c>
      <c r="H260" s="1" t="s">
        <v>16476</v>
      </c>
    </row>
    <row r="261">
      <c r="A261" s="93">
        <v>281.0</v>
      </c>
      <c r="B261" s="92" t="s">
        <v>18343</v>
      </c>
      <c r="C261" s="92" t="s">
        <v>2378</v>
      </c>
      <c r="D261" s="92" t="s">
        <v>18765</v>
      </c>
      <c r="E261" s="94">
        <v>45113.5390625</v>
      </c>
      <c r="F261" s="94">
        <v>46048.95920138889</v>
      </c>
      <c r="G261" s="90">
        <v>45919.970300925925</v>
      </c>
      <c r="H261" s="1" t="s">
        <v>16476</v>
      </c>
    </row>
    <row r="262">
      <c r="A262" s="93">
        <v>273.0</v>
      </c>
      <c r="B262" s="92" t="s">
        <v>18344</v>
      </c>
      <c r="C262" s="92" t="s">
        <v>2310</v>
      </c>
      <c r="D262" s="92" t="s">
        <v>18765</v>
      </c>
      <c r="E262" s="94">
        <v>45113.538981481484</v>
      </c>
      <c r="F262" s="94">
        <v>46048.959189814814</v>
      </c>
      <c r="G262" s="90">
        <v>45919.96954861111</v>
      </c>
      <c r="H262" s="1" t="s">
        <v>16476</v>
      </c>
    </row>
    <row r="263">
      <c r="A263" s="93">
        <v>270.0</v>
      </c>
      <c r="B263" s="92" t="s">
        <v>18345</v>
      </c>
      <c r="C263" s="92" t="s">
        <v>2295</v>
      </c>
      <c r="D263" s="92" t="s">
        <v>18765</v>
      </c>
      <c r="E263" s="94">
        <v>45113.53895833333</v>
      </c>
      <c r="F263" s="94">
        <v>46048.959189814814</v>
      </c>
      <c r="G263" s="90">
        <v>45919.968252314815</v>
      </c>
      <c r="H263" s="1" t="s">
        <v>16476</v>
      </c>
    </row>
    <row r="264">
      <c r="A264" s="93">
        <v>269.0</v>
      </c>
      <c r="B264" s="92" t="s">
        <v>18346</v>
      </c>
      <c r="C264" s="92" t="s">
        <v>2287</v>
      </c>
      <c r="D264" s="92" t="s">
        <v>18765</v>
      </c>
      <c r="E264" s="94">
        <v>45113.53894675926</v>
      </c>
      <c r="F264" s="94">
        <v>46048.959189814814</v>
      </c>
      <c r="G264" s="90">
        <v>45919.96743055555</v>
      </c>
      <c r="H264" s="1" t="s">
        <v>16476</v>
      </c>
    </row>
    <row r="265">
      <c r="A265" s="93">
        <v>268.0</v>
      </c>
      <c r="B265" s="92" t="s">
        <v>18347</v>
      </c>
      <c r="C265" s="92" t="s">
        <v>18799</v>
      </c>
      <c r="D265" s="92" t="s">
        <v>18765</v>
      </c>
      <c r="E265" s="94">
        <v>45113.538935185185</v>
      </c>
      <c r="F265" s="94">
        <v>46048.959189814814</v>
      </c>
      <c r="G265" s="90">
        <v>45915.98857638889</v>
      </c>
      <c r="H265" s="1" t="s">
        <v>16476</v>
      </c>
    </row>
    <row r="266">
      <c r="A266" s="93">
        <v>267.0</v>
      </c>
      <c r="B266" s="92" t="s">
        <v>18348</v>
      </c>
      <c r="C266" s="92" t="s">
        <v>2267</v>
      </c>
      <c r="D266" s="92" t="s">
        <v>18765</v>
      </c>
      <c r="E266" s="94">
        <v>45113.53892361111</v>
      </c>
      <c r="F266" s="94">
        <v>46048.959189814814</v>
      </c>
      <c r="G266" s="90">
        <v>45915.98820601852</v>
      </c>
      <c r="H266" s="1" t="s">
        <v>16476</v>
      </c>
    </row>
    <row r="267">
      <c r="A267" s="93">
        <v>266.0</v>
      </c>
      <c r="B267" s="92" t="s">
        <v>18349</v>
      </c>
      <c r="C267" s="92" t="s">
        <v>18800</v>
      </c>
      <c r="D267" s="92" t="s">
        <v>18765</v>
      </c>
      <c r="E267" s="94">
        <v>45113.53891203704</v>
      </c>
      <c r="F267" s="94">
        <v>46048.959189814814</v>
      </c>
      <c r="G267" s="90">
        <v>45915.987546296295</v>
      </c>
      <c r="H267" s="1" t="s">
        <v>16476</v>
      </c>
    </row>
    <row r="268">
      <c r="A268" s="93">
        <v>265.0</v>
      </c>
      <c r="B268" s="92" t="s">
        <v>18350</v>
      </c>
      <c r="C268" s="92" t="s">
        <v>2252</v>
      </c>
      <c r="D268" s="92" t="s">
        <v>18765</v>
      </c>
      <c r="E268" s="94">
        <v>45113.53890046296</v>
      </c>
      <c r="F268" s="94">
        <v>46048.959189814814</v>
      </c>
      <c r="G268" s="90">
        <v>45915.98693287037</v>
      </c>
      <c r="H268" s="1" t="s">
        <v>16476</v>
      </c>
    </row>
    <row r="269">
      <c r="A269" s="93">
        <v>264.0</v>
      </c>
      <c r="B269" s="92" t="s">
        <v>18351</v>
      </c>
      <c r="C269" s="92" t="s">
        <v>2244</v>
      </c>
      <c r="D269" s="92" t="s">
        <v>18765</v>
      </c>
      <c r="E269" s="94">
        <v>45113.53890046296</v>
      </c>
      <c r="F269" s="94">
        <v>46048.959189814814</v>
      </c>
      <c r="G269" s="90">
        <v>45915.985451388886</v>
      </c>
      <c r="H269" s="1" t="s">
        <v>16476</v>
      </c>
    </row>
    <row r="270">
      <c r="A270" s="93">
        <v>263.0</v>
      </c>
      <c r="B270" s="92" t="s">
        <v>18352</v>
      </c>
      <c r="C270" s="92" t="s">
        <v>2235</v>
      </c>
      <c r="D270" s="92" t="s">
        <v>18765</v>
      </c>
      <c r="E270" s="94">
        <v>45113.53888888889</v>
      </c>
      <c r="F270" s="94">
        <v>46048.959189814814</v>
      </c>
      <c r="G270" s="90">
        <v>45915.984456018516</v>
      </c>
      <c r="H270" s="1" t="s">
        <v>16476</v>
      </c>
    </row>
    <row r="271">
      <c r="A271" s="93">
        <v>261.0</v>
      </c>
      <c r="B271" s="92" t="s">
        <v>18353</v>
      </c>
      <c r="C271" s="92" t="s">
        <v>2222</v>
      </c>
      <c r="D271" s="92" t="s">
        <v>18765</v>
      </c>
      <c r="E271" s="94">
        <v>45113.53886574074</v>
      </c>
      <c r="F271" s="94">
        <v>46048.959189814814</v>
      </c>
      <c r="G271" s="90">
        <v>45915.98299768518</v>
      </c>
      <c r="H271" s="1" t="s">
        <v>16476</v>
      </c>
    </row>
    <row r="272">
      <c r="A272" s="93">
        <v>260.0</v>
      </c>
      <c r="B272" s="92" t="s">
        <v>18354</v>
      </c>
      <c r="C272" s="92" t="s">
        <v>2213</v>
      </c>
      <c r="D272" s="92" t="s">
        <v>18765</v>
      </c>
      <c r="E272" s="94">
        <v>45113.53885416667</v>
      </c>
      <c r="F272" s="94">
        <v>46048.959189814814</v>
      </c>
      <c r="G272" s="90">
        <v>45915.98238425926</v>
      </c>
      <c r="H272" s="1" t="s">
        <v>16476</v>
      </c>
    </row>
    <row r="273">
      <c r="A273" s="93">
        <v>259.0</v>
      </c>
      <c r="B273" s="92" t="s">
        <v>18355</v>
      </c>
      <c r="C273" s="92" t="s">
        <v>2207</v>
      </c>
      <c r="D273" s="92" t="s">
        <v>18765</v>
      </c>
      <c r="E273" s="94">
        <v>45113.53884259259</v>
      </c>
      <c r="F273" s="94">
        <v>46048.959189814814</v>
      </c>
      <c r="G273" s="90">
        <v>45915.98133101852</v>
      </c>
      <c r="H273" s="1" t="s">
        <v>16476</v>
      </c>
    </row>
    <row r="274">
      <c r="A274" s="93">
        <v>257.0</v>
      </c>
      <c r="B274" s="92" t="s">
        <v>18356</v>
      </c>
      <c r="C274" s="92" t="s">
        <v>2188</v>
      </c>
      <c r="D274" s="92" t="s">
        <v>18765</v>
      </c>
      <c r="E274" s="94">
        <v>45113.538831018515</v>
      </c>
      <c r="F274" s="94">
        <v>46048.959189814814</v>
      </c>
      <c r="G274" s="90">
        <v>45915.98030092593</v>
      </c>
      <c r="H274" s="1" t="s">
        <v>16476</v>
      </c>
    </row>
    <row r="275">
      <c r="A275" s="93">
        <v>255.0</v>
      </c>
      <c r="B275" s="92" t="s">
        <v>18357</v>
      </c>
      <c r="C275" s="92" t="s">
        <v>2169</v>
      </c>
      <c r="D275" s="92" t="s">
        <v>18765</v>
      </c>
      <c r="E275" s="94">
        <v>45113.53880787037</v>
      </c>
      <c r="F275" s="94">
        <v>46048.959189814814</v>
      </c>
      <c r="G275" s="90">
        <v>45915.979108796295</v>
      </c>
      <c r="H275" s="1" t="s">
        <v>16476</v>
      </c>
    </row>
    <row r="276">
      <c r="A276" s="93">
        <v>254.0</v>
      </c>
      <c r="B276" s="92" t="s">
        <v>18358</v>
      </c>
      <c r="C276" s="92" t="s">
        <v>2160</v>
      </c>
      <c r="D276" s="92" t="s">
        <v>18765</v>
      </c>
      <c r="E276" s="94">
        <v>45113.5387962963</v>
      </c>
      <c r="F276" s="94">
        <v>46048.959189814814</v>
      </c>
      <c r="G276" s="90">
        <v>45915.97829861111</v>
      </c>
      <c r="H276" s="1" t="s">
        <v>16476</v>
      </c>
    </row>
    <row r="277">
      <c r="A277" s="93">
        <v>253.0</v>
      </c>
      <c r="B277" s="92" t="s">
        <v>18359</v>
      </c>
      <c r="C277" s="92" t="s">
        <v>2152</v>
      </c>
      <c r="D277" s="92" t="s">
        <v>18765</v>
      </c>
      <c r="E277" s="94">
        <v>45113.53878472222</v>
      </c>
      <c r="F277" s="94">
        <v>46048.959189814814</v>
      </c>
      <c r="G277" s="90">
        <v>45915.97719907408</v>
      </c>
      <c r="H277" s="1" t="s">
        <v>16476</v>
      </c>
    </row>
    <row r="278">
      <c r="A278" s="93">
        <v>252.0</v>
      </c>
      <c r="B278" s="92" t="s">
        <v>18801</v>
      </c>
      <c r="C278" s="92" t="s">
        <v>5053</v>
      </c>
      <c r="D278" s="92" t="s">
        <v>18765</v>
      </c>
      <c r="E278" s="94">
        <v>45113.53878472222</v>
      </c>
      <c r="F278" s="94">
        <v>46048.959189814814</v>
      </c>
      <c r="G278" s="90">
        <v>45915.975</v>
      </c>
      <c r="H278" s="1" t="s">
        <v>16476</v>
      </c>
    </row>
    <row r="279">
      <c r="A279" s="93">
        <v>251.0</v>
      </c>
      <c r="B279" s="92" t="s">
        <v>18361</v>
      </c>
      <c r="C279" s="92" t="s">
        <v>18802</v>
      </c>
      <c r="D279" s="92" t="s">
        <v>18765</v>
      </c>
      <c r="E279" s="94">
        <v>45113.538773148146</v>
      </c>
      <c r="F279" s="94">
        <v>46048.959189814814</v>
      </c>
      <c r="G279" s="90">
        <v>45915.97443287037</v>
      </c>
      <c r="H279" s="1" t="s">
        <v>16476</v>
      </c>
    </row>
    <row r="280">
      <c r="A280" s="93">
        <v>250.0</v>
      </c>
      <c r="B280" s="92" t="s">
        <v>18362</v>
      </c>
      <c r="C280" s="92" t="s">
        <v>2135</v>
      </c>
      <c r="D280" s="92" t="s">
        <v>18765</v>
      </c>
      <c r="E280" s="94">
        <v>45113.53876157408</v>
      </c>
      <c r="F280" s="94">
        <v>46048.959189814814</v>
      </c>
      <c r="G280" s="90">
        <v>45915.97363425926</v>
      </c>
      <c r="H280" s="1" t="s">
        <v>16476</v>
      </c>
    </row>
    <row r="281">
      <c r="A281" s="93">
        <v>249.0</v>
      </c>
      <c r="B281" s="92" t="s">
        <v>18363</v>
      </c>
      <c r="C281" s="92" t="s">
        <v>2128</v>
      </c>
      <c r="D281" s="92" t="s">
        <v>18765</v>
      </c>
      <c r="E281" s="94">
        <v>45113.53875</v>
      </c>
      <c r="F281" s="94">
        <v>46048.959189814814</v>
      </c>
      <c r="G281" s="90">
        <v>45915.97313657407</v>
      </c>
      <c r="H281" s="1" t="s">
        <v>16476</v>
      </c>
    </row>
    <row r="282">
      <c r="A282" s="93">
        <v>248.0</v>
      </c>
      <c r="B282" s="92" t="s">
        <v>18364</v>
      </c>
      <c r="C282" s="92" t="s">
        <v>2119</v>
      </c>
      <c r="D282" s="92" t="s">
        <v>18765</v>
      </c>
      <c r="E282" s="94">
        <v>45113.53873842592</v>
      </c>
      <c r="F282" s="94">
        <v>46048.959189814814</v>
      </c>
      <c r="G282" s="90">
        <v>45915.972719907404</v>
      </c>
      <c r="H282" s="1" t="s">
        <v>16476</v>
      </c>
    </row>
    <row r="283">
      <c r="A283" s="93">
        <v>246.0</v>
      </c>
      <c r="B283" s="92" t="s">
        <v>18365</v>
      </c>
      <c r="C283" s="92" t="s">
        <v>18803</v>
      </c>
      <c r="D283" s="92" t="s">
        <v>18765</v>
      </c>
      <c r="E283" s="94">
        <v>45113.53872685185</v>
      </c>
      <c r="F283" s="94">
        <v>46048.959189814814</v>
      </c>
      <c r="G283" s="90">
        <v>45915.97221064815</v>
      </c>
      <c r="H283" s="1" t="s">
        <v>16476</v>
      </c>
    </row>
    <row r="284">
      <c r="A284" s="93">
        <v>245.0</v>
      </c>
      <c r="B284" s="92" t="s">
        <v>18366</v>
      </c>
      <c r="C284" s="92" t="s">
        <v>2093</v>
      </c>
      <c r="D284" s="92" t="s">
        <v>18765</v>
      </c>
      <c r="E284" s="94">
        <v>45113.53871527778</v>
      </c>
      <c r="F284" s="94">
        <v>46048.959189814814</v>
      </c>
      <c r="G284" s="90">
        <v>45915.97145833333</v>
      </c>
      <c r="H284" s="1" t="s">
        <v>16476</v>
      </c>
    </row>
    <row r="285">
      <c r="A285" s="93">
        <v>244.0</v>
      </c>
      <c r="B285" s="92" t="s">
        <v>18367</v>
      </c>
      <c r="C285" s="92" t="s">
        <v>2085</v>
      </c>
      <c r="D285" s="92" t="s">
        <v>18765</v>
      </c>
      <c r="E285" s="94">
        <v>45113.53870370371</v>
      </c>
      <c r="F285" s="94">
        <v>46048.959189814814</v>
      </c>
      <c r="G285" s="90">
        <v>45915.971030092594</v>
      </c>
      <c r="H285" s="1" t="s">
        <v>16476</v>
      </c>
    </row>
    <row r="286">
      <c r="A286" s="93">
        <v>243.0</v>
      </c>
      <c r="B286" s="92" t="s">
        <v>18368</v>
      </c>
      <c r="C286" s="92" t="s">
        <v>2077</v>
      </c>
      <c r="D286" s="92" t="s">
        <v>18765</v>
      </c>
      <c r="E286" s="94">
        <v>45113.53869212963</v>
      </c>
      <c r="F286" s="94">
        <v>46048.959189814814</v>
      </c>
      <c r="G286" s="90">
        <v>45915.970613425925</v>
      </c>
      <c r="H286" s="1" t="s">
        <v>16476</v>
      </c>
    </row>
    <row r="287">
      <c r="A287" s="93">
        <v>242.0</v>
      </c>
      <c r="B287" s="92" t="s">
        <v>18369</v>
      </c>
      <c r="C287" s="92" t="s">
        <v>2068</v>
      </c>
      <c r="D287" s="92" t="s">
        <v>18765</v>
      </c>
      <c r="E287" s="94">
        <v>45113.53868055555</v>
      </c>
      <c r="F287" s="94">
        <v>46048.959189814814</v>
      </c>
      <c r="G287" s="90">
        <v>45915.96986111111</v>
      </c>
      <c r="H287" s="1" t="s">
        <v>16476</v>
      </c>
    </row>
    <row r="288">
      <c r="A288" s="93">
        <v>241.0</v>
      </c>
      <c r="B288" s="92" t="s">
        <v>18370</v>
      </c>
      <c r="C288" s="92" t="s">
        <v>2060</v>
      </c>
      <c r="D288" s="92" t="s">
        <v>18765</v>
      </c>
      <c r="E288" s="94">
        <v>45113.53868055555</v>
      </c>
      <c r="F288" s="94">
        <v>46048.959189814814</v>
      </c>
      <c r="G288" s="90">
        <v>45915.9690162037</v>
      </c>
      <c r="H288" s="1" t="s">
        <v>16476</v>
      </c>
    </row>
    <row r="289">
      <c r="A289" s="93">
        <v>238.0</v>
      </c>
      <c r="B289" s="92" t="s">
        <v>18371</v>
      </c>
      <c r="C289" s="92" t="s">
        <v>2035</v>
      </c>
      <c r="D289" s="92" t="s">
        <v>18765</v>
      </c>
      <c r="E289" s="94">
        <v>45113.53864583333</v>
      </c>
      <c r="F289" s="94">
        <v>46048.959189814814</v>
      </c>
      <c r="G289" s="90">
        <v>45915.9675462963</v>
      </c>
      <c r="H289" s="1" t="s">
        <v>16476</v>
      </c>
    </row>
    <row r="290">
      <c r="A290" s="93">
        <v>237.0</v>
      </c>
      <c r="B290" s="92" t="s">
        <v>18372</v>
      </c>
      <c r="C290" s="92" t="s">
        <v>18804</v>
      </c>
      <c r="D290" s="92" t="s">
        <v>18765</v>
      </c>
      <c r="E290" s="94">
        <v>45113.53863425926</v>
      </c>
      <c r="F290" s="94">
        <v>46048.959189814814</v>
      </c>
      <c r="G290" s="90">
        <v>45915.96695601852</v>
      </c>
      <c r="H290" s="1" t="s">
        <v>16476</v>
      </c>
    </row>
    <row r="291">
      <c r="A291" s="93">
        <v>236.0</v>
      </c>
      <c r="B291" s="92" t="s">
        <v>18373</v>
      </c>
      <c r="C291" s="92" t="s">
        <v>2019</v>
      </c>
      <c r="D291" s="92" t="s">
        <v>18765</v>
      </c>
      <c r="E291" s="94">
        <v>45113.53863425926</v>
      </c>
      <c r="F291" s="94">
        <v>46048.959189814814</v>
      </c>
      <c r="G291" s="90">
        <v>45915.966203703705</v>
      </c>
      <c r="H291" s="1" t="s">
        <v>16476</v>
      </c>
    </row>
    <row r="292">
      <c r="A292" s="93">
        <v>234.0</v>
      </c>
      <c r="B292" s="92" t="s">
        <v>18374</v>
      </c>
      <c r="C292" s="92" t="s">
        <v>2000</v>
      </c>
      <c r="D292" s="92" t="s">
        <v>18765</v>
      </c>
      <c r="E292" s="94">
        <v>45113.538611111115</v>
      </c>
      <c r="F292" s="94">
        <v>46048.959178240744</v>
      </c>
      <c r="G292" s="90">
        <v>45915.965462962966</v>
      </c>
      <c r="H292" s="1" t="s">
        <v>16476</v>
      </c>
    </row>
    <row r="293">
      <c r="A293" s="93">
        <v>233.0</v>
      </c>
      <c r="B293" s="92" t="s">
        <v>18375</v>
      </c>
      <c r="C293" s="92" t="s">
        <v>1994</v>
      </c>
      <c r="D293" s="92" t="s">
        <v>18765</v>
      </c>
      <c r="E293" s="94">
        <v>45113.53859953704</v>
      </c>
      <c r="F293" s="94">
        <v>46048.959178240744</v>
      </c>
      <c r="G293" s="90">
        <v>45915.964953703704</v>
      </c>
      <c r="H293" s="1" t="s">
        <v>16476</v>
      </c>
    </row>
    <row r="294">
      <c r="A294" s="93">
        <v>232.0</v>
      </c>
      <c r="B294" s="92" t="s">
        <v>18376</v>
      </c>
      <c r="C294" s="92" t="s">
        <v>1987</v>
      </c>
      <c r="D294" s="92" t="s">
        <v>18765</v>
      </c>
      <c r="E294" s="94">
        <v>45113.53858796296</v>
      </c>
      <c r="F294" s="94">
        <v>46048.959178240744</v>
      </c>
      <c r="G294" s="90">
        <v>45915.964212962965</v>
      </c>
      <c r="H294" s="1" t="s">
        <v>16476</v>
      </c>
    </row>
    <row r="295">
      <c r="A295" s="93">
        <v>231.0</v>
      </c>
      <c r="B295" s="92" t="s">
        <v>18377</v>
      </c>
      <c r="C295" s="92" t="s">
        <v>18805</v>
      </c>
      <c r="D295" s="92" t="s">
        <v>18765</v>
      </c>
      <c r="E295" s="94">
        <v>45113.53857638889</v>
      </c>
      <c r="F295" s="94">
        <v>46048.959178240744</v>
      </c>
      <c r="G295" s="90">
        <v>45915.963796296295</v>
      </c>
      <c r="H295" s="1" t="s">
        <v>16476</v>
      </c>
    </row>
    <row r="296">
      <c r="A296" s="93">
        <v>230.0</v>
      </c>
      <c r="B296" s="92" t="s">
        <v>18378</v>
      </c>
      <c r="C296" s="92" t="s">
        <v>1969</v>
      </c>
      <c r="D296" s="92" t="s">
        <v>18765</v>
      </c>
      <c r="E296" s="94">
        <v>45113.53857638889</v>
      </c>
      <c r="F296" s="94">
        <v>46048.959178240744</v>
      </c>
      <c r="G296" s="90">
        <v>45915.9628125</v>
      </c>
      <c r="H296" s="1" t="s">
        <v>16476</v>
      </c>
    </row>
    <row r="297">
      <c r="A297" s="93">
        <v>229.0</v>
      </c>
      <c r="B297" s="92" t="s">
        <v>18379</v>
      </c>
      <c r="C297" s="92" t="s">
        <v>1962</v>
      </c>
      <c r="D297" s="92" t="s">
        <v>18765</v>
      </c>
      <c r="E297" s="94">
        <v>45113.538564814815</v>
      </c>
      <c r="F297" s="94">
        <v>46048.959178240744</v>
      </c>
      <c r="G297" s="90">
        <v>45915.96177083333</v>
      </c>
      <c r="H297" s="1" t="s">
        <v>16476</v>
      </c>
    </row>
    <row r="298">
      <c r="A298" s="93">
        <v>228.0</v>
      </c>
      <c r="B298" s="92" t="s">
        <v>18380</v>
      </c>
      <c r="C298" s="92" t="s">
        <v>1951</v>
      </c>
      <c r="D298" s="92" t="s">
        <v>18765</v>
      </c>
      <c r="E298" s="94">
        <v>45113.53855324074</v>
      </c>
      <c r="F298" s="94">
        <v>46048.959178240744</v>
      </c>
      <c r="G298" s="90">
        <v>45915.96042824074</v>
      </c>
      <c r="H298" s="1" t="s">
        <v>16476</v>
      </c>
    </row>
    <row r="299">
      <c r="A299" s="93">
        <v>227.0</v>
      </c>
      <c r="B299" s="92" t="s">
        <v>18381</v>
      </c>
      <c r="C299" s="92" t="s">
        <v>1944</v>
      </c>
      <c r="D299" s="92" t="s">
        <v>18765</v>
      </c>
      <c r="E299" s="94">
        <v>45113.53854166667</v>
      </c>
      <c r="F299" s="94">
        <v>46048.959178240744</v>
      </c>
      <c r="G299" s="90">
        <v>45915.95947916667</v>
      </c>
      <c r="H299" s="1" t="s">
        <v>16476</v>
      </c>
    </row>
    <row r="300">
      <c r="A300" s="93">
        <v>226.0</v>
      </c>
      <c r="B300" s="92" t="s">
        <v>18382</v>
      </c>
      <c r="C300" s="92" t="s">
        <v>1934</v>
      </c>
      <c r="D300" s="92" t="s">
        <v>18765</v>
      </c>
      <c r="E300" s="94">
        <v>45113.53853009259</v>
      </c>
      <c r="F300" s="94">
        <v>46048.959178240744</v>
      </c>
      <c r="G300" s="90">
        <v>45915.95746527778</v>
      </c>
      <c r="H300" s="1" t="s">
        <v>16476</v>
      </c>
    </row>
    <row r="301">
      <c r="A301" s="93">
        <v>225.0</v>
      </c>
      <c r="B301" s="92" t="s">
        <v>18383</v>
      </c>
      <c r="C301" s="92" t="s">
        <v>1928</v>
      </c>
      <c r="D301" s="92" t="s">
        <v>18765</v>
      </c>
      <c r="E301" s="94">
        <v>45113.53853009259</v>
      </c>
      <c r="F301" s="94">
        <v>46048.959178240744</v>
      </c>
      <c r="G301" s="90">
        <v>45915.95690972222</v>
      </c>
      <c r="H301" s="1" t="s">
        <v>16476</v>
      </c>
    </row>
    <row r="302">
      <c r="A302" s="93">
        <v>224.0</v>
      </c>
      <c r="B302" s="92" t="s">
        <v>18384</v>
      </c>
      <c r="C302" s="92" t="s">
        <v>1916</v>
      </c>
      <c r="D302" s="92" t="s">
        <v>18765</v>
      </c>
      <c r="E302" s="94">
        <v>45113.538518518515</v>
      </c>
      <c r="F302" s="94">
        <v>46048.959178240744</v>
      </c>
      <c r="G302" s="90">
        <v>45915.95685185185</v>
      </c>
      <c r="H302" s="1" t="s">
        <v>16476</v>
      </c>
    </row>
    <row r="303">
      <c r="A303" s="93">
        <v>223.0</v>
      </c>
      <c r="B303" s="92" t="s">
        <v>18385</v>
      </c>
      <c r="C303" s="92" t="s">
        <v>1908</v>
      </c>
      <c r="D303" s="92" t="s">
        <v>18765</v>
      </c>
      <c r="E303" s="94">
        <v>45113.538506944446</v>
      </c>
      <c r="F303" s="94">
        <v>46048.959178240744</v>
      </c>
      <c r="G303" s="90">
        <v>45915.95616898148</v>
      </c>
      <c r="H303" s="1" t="s">
        <v>16476</v>
      </c>
    </row>
    <row r="304">
      <c r="A304" s="93">
        <v>222.0</v>
      </c>
      <c r="B304" s="92" t="s">
        <v>18387</v>
      </c>
      <c r="C304" s="92" t="s">
        <v>1899</v>
      </c>
      <c r="D304" s="92" t="s">
        <v>18765</v>
      </c>
      <c r="E304" s="94">
        <v>45113.53849537037</v>
      </c>
      <c r="F304" s="94">
        <v>46048.959178240744</v>
      </c>
      <c r="G304" s="90">
        <v>45915.95556712963</v>
      </c>
      <c r="H304" s="1" t="s">
        <v>16476</v>
      </c>
    </row>
    <row r="305">
      <c r="A305" s="93">
        <v>221.0</v>
      </c>
      <c r="B305" s="92" t="s">
        <v>18388</v>
      </c>
      <c r="C305" s="92" t="s">
        <v>18806</v>
      </c>
      <c r="D305" s="92" t="s">
        <v>18765</v>
      </c>
      <c r="E305" s="94">
        <v>45113.5384837963</v>
      </c>
      <c r="F305" s="94">
        <v>46048.959178240744</v>
      </c>
      <c r="G305" s="90">
        <v>45915.95506944445</v>
      </c>
      <c r="H305" s="1" t="s">
        <v>16476</v>
      </c>
    </row>
    <row r="306">
      <c r="A306" s="93">
        <v>220.0</v>
      </c>
      <c r="B306" s="92" t="s">
        <v>18389</v>
      </c>
      <c r="C306" s="92" t="s">
        <v>1882</v>
      </c>
      <c r="D306" s="92" t="s">
        <v>18765</v>
      </c>
      <c r="E306" s="94">
        <v>45113.53847222222</v>
      </c>
      <c r="F306" s="94">
        <v>46048.959178240744</v>
      </c>
      <c r="G306" s="90">
        <v>45915.95407407408</v>
      </c>
      <c r="H306" s="1" t="s">
        <v>16476</v>
      </c>
    </row>
    <row r="307">
      <c r="A307" s="93">
        <v>219.0</v>
      </c>
      <c r="B307" s="92" t="s">
        <v>18390</v>
      </c>
      <c r="C307" s="92" t="s">
        <v>1875</v>
      </c>
      <c r="D307" s="92" t="s">
        <v>18765</v>
      </c>
      <c r="E307" s="94">
        <v>45113.53847222222</v>
      </c>
      <c r="F307" s="94">
        <v>46048.959178240744</v>
      </c>
      <c r="G307" s="90">
        <v>45915.953043981484</v>
      </c>
      <c r="H307" s="1" t="s">
        <v>16476</v>
      </c>
    </row>
    <row r="308">
      <c r="A308" s="93">
        <v>218.0</v>
      </c>
      <c r="B308" s="92" t="s">
        <v>18391</v>
      </c>
      <c r="C308" s="92" t="s">
        <v>1867</v>
      </c>
      <c r="D308" s="92" t="s">
        <v>18765</v>
      </c>
      <c r="E308" s="94">
        <v>45113.538449074076</v>
      </c>
      <c r="F308" s="94">
        <v>46048.959178240744</v>
      </c>
      <c r="G308" s="90">
        <v>45915.94782407407</v>
      </c>
      <c r="H308" s="1" t="s">
        <v>16476</v>
      </c>
    </row>
    <row r="309">
      <c r="A309" s="93">
        <v>217.0</v>
      </c>
      <c r="B309" s="92" t="s">
        <v>18392</v>
      </c>
      <c r="C309" s="92" t="s">
        <v>1856</v>
      </c>
      <c r="D309" s="92" t="s">
        <v>18765</v>
      </c>
      <c r="E309" s="94">
        <v>45113.5384375</v>
      </c>
      <c r="F309" s="94">
        <v>46048.959178240744</v>
      </c>
      <c r="G309" s="90">
        <v>45915.94747685185</v>
      </c>
      <c r="H309" s="1" t="s">
        <v>16476</v>
      </c>
    </row>
    <row r="310">
      <c r="A310" s="93">
        <v>216.0</v>
      </c>
      <c r="B310" s="92" t="s">
        <v>18393</v>
      </c>
      <c r="C310" s="92" t="s">
        <v>1848</v>
      </c>
      <c r="D310" s="92" t="s">
        <v>18765</v>
      </c>
      <c r="E310" s="94">
        <v>45113.53842592592</v>
      </c>
      <c r="F310" s="94">
        <v>46048.959178240744</v>
      </c>
      <c r="G310" s="90">
        <v>45915.94604166667</v>
      </c>
      <c r="H310" s="1" t="s">
        <v>16476</v>
      </c>
    </row>
    <row r="311">
      <c r="A311" s="93">
        <v>215.0</v>
      </c>
      <c r="B311" s="92" t="s">
        <v>18394</v>
      </c>
      <c r="C311" s="92" t="s">
        <v>1838</v>
      </c>
      <c r="D311" s="92" t="s">
        <v>18765</v>
      </c>
      <c r="E311" s="94">
        <v>45113.53841435185</v>
      </c>
      <c r="F311" s="94">
        <v>46048.959178240744</v>
      </c>
      <c r="G311" s="90">
        <v>45915.94495370371</v>
      </c>
      <c r="H311" s="1" t="s">
        <v>16476</v>
      </c>
    </row>
    <row r="312">
      <c r="A312" s="93">
        <v>214.0</v>
      </c>
      <c r="B312" s="92" t="s">
        <v>18395</v>
      </c>
      <c r="C312" s="92" t="s">
        <v>18807</v>
      </c>
      <c r="D312" s="92" t="s">
        <v>18765</v>
      </c>
      <c r="E312" s="94">
        <v>45113.53841435185</v>
      </c>
      <c r="F312" s="94">
        <v>46048.959178240744</v>
      </c>
      <c r="G312" s="90">
        <v>45915.94342592593</v>
      </c>
      <c r="H312" s="1" t="s">
        <v>16476</v>
      </c>
    </row>
    <row r="313">
      <c r="A313" s="93">
        <v>213.0</v>
      </c>
      <c r="B313" s="92" t="s">
        <v>18396</v>
      </c>
      <c r="C313" s="92" t="s">
        <v>1827</v>
      </c>
      <c r="D313" s="92" t="s">
        <v>18765</v>
      </c>
      <c r="E313" s="94">
        <v>45113.538402777776</v>
      </c>
      <c r="F313" s="94">
        <v>46048.959178240744</v>
      </c>
      <c r="G313" s="90">
        <v>45915.94226851852</v>
      </c>
      <c r="H313" s="1" t="s">
        <v>16476</v>
      </c>
    </row>
    <row r="314">
      <c r="A314" s="93">
        <v>212.0</v>
      </c>
      <c r="B314" s="92" t="s">
        <v>18397</v>
      </c>
      <c r="C314" s="92" t="s">
        <v>1821</v>
      </c>
      <c r="D314" s="92" t="s">
        <v>18765</v>
      </c>
      <c r="E314" s="94">
        <v>45113.53839120371</v>
      </c>
      <c r="F314" s="94">
        <v>46048.959178240744</v>
      </c>
      <c r="G314" s="90">
        <v>45915.94136574074</v>
      </c>
      <c r="H314" s="1" t="s">
        <v>16476</v>
      </c>
    </row>
    <row r="315">
      <c r="A315" s="93">
        <v>211.0</v>
      </c>
      <c r="B315" s="92" t="s">
        <v>18398</v>
      </c>
      <c r="C315" s="92" t="s">
        <v>1812</v>
      </c>
      <c r="D315" s="92" t="s">
        <v>18765</v>
      </c>
      <c r="E315" s="94">
        <v>45113.53837962963</v>
      </c>
      <c r="F315" s="94">
        <v>46048.959178240744</v>
      </c>
      <c r="G315" s="90">
        <v>45915.940729166665</v>
      </c>
      <c r="H315" s="1" t="s">
        <v>16476</v>
      </c>
    </row>
    <row r="316">
      <c r="A316" s="93">
        <v>210.0</v>
      </c>
      <c r="B316" s="92" t="s">
        <v>18399</v>
      </c>
      <c r="C316" s="92" t="s">
        <v>1800</v>
      </c>
      <c r="D316" s="92" t="s">
        <v>18765</v>
      </c>
      <c r="E316" s="94">
        <v>45113.53836805555</v>
      </c>
      <c r="F316" s="94">
        <v>46048.959178240744</v>
      </c>
      <c r="G316" s="90">
        <v>45915.939930555556</v>
      </c>
      <c r="H316" s="1" t="s">
        <v>16476</v>
      </c>
    </row>
    <row r="317">
      <c r="A317" s="93">
        <v>209.0</v>
      </c>
      <c r="B317" s="92" t="s">
        <v>18400</v>
      </c>
      <c r="C317" s="92" t="s">
        <v>1790</v>
      </c>
      <c r="D317" s="92" t="s">
        <v>18765</v>
      </c>
      <c r="E317" s="94">
        <v>45113.53836805555</v>
      </c>
      <c r="F317" s="94">
        <v>46048.959178240744</v>
      </c>
      <c r="G317" s="90">
        <v>45915.93865740741</v>
      </c>
      <c r="H317" s="1" t="s">
        <v>16476</v>
      </c>
    </row>
    <row r="318">
      <c r="A318" s="93">
        <v>208.0</v>
      </c>
      <c r="B318" s="92" t="s">
        <v>18401</v>
      </c>
      <c r="C318" s="92" t="s">
        <v>1781</v>
      </c>
      <c r="D318" s="92" t="s">
        <v>18765</v>
      </c>
      <c r="E318" s="94">
        <v>45113.538356481484</v>
      </c>
      <c r="F318" s="94">
        <v>46048.959178240744</v>
      </c>
      <c r="G318" s="90">
        <v>45915.93746527778</v>
      </c>
      <c r="H318" s="1" t="s">
        <v>16476</v>
      </c>
    </row>
    <row r="319">
      <c r="A319" s="93">
        <v>207.0</v>
      </c>
      <c r="B319" s="92" t="s">
        <v>18402</v>
      </c>
      <c r="C319" s="92" t="s">
        <v>1772</v>
      </c>
      <c r="D319" s="92" t="s">
        <v>18765</v>
      </c>
      <c r="E319" s="94">
        <v>45113.53834490741</v>
      </c>
      <c r="F319" s="94">
        <v>46048.959178240744</v>
      </c>
      <c r="G319" s="90">
        <v>45915.93651620371</v>
      </c>
      <c r="H319" s="1" t="s">
        <v>16476</v>
      </c>
    </row>
    <row r="320">
      <c r="A320" s="93">
        <v>206.0</v>
      </c>
      <c r="B320" s="92" t="s">
        <v>18403</v>
      </c>
      <c r="C320" s="92" t="s">
        <v>1764</v>
      </c>
      <c r="D320" s="92" t="s">
        <v>18765</v>
      </c>
      <c r="E320" s="94">
        <v>45113.53833333333</v>
      </c>
      <c r="F320" s="94">
        <v>46048.959178240744</v>
      </c>
      <c r="G320" s="90">
        <v>45915.93510416667</v>
      </c>
      <c r="H320" s="1" t="s">
        <v>16476</v>
      </c>
    </row>
    <row r="321">
      <c r="A321" s="93">
        <v>205.0</v>
      </c>
      <c r="B321" s="92" t="s">
        <v>18404</v>
      </c>
      <c r="C321" s="92" t="s">
        <v>1759</v>
      </c>
      <c r="D321" s="92" t="s">
        <v>18765</v>
      </c>
      <c r="E321" s="94">
        <v>45113.53832175926</v>
      </c>
      <c r="F321" s="94">
        <v>46048.959178240744</v>
      </c>
      <c r="G321" s="90">
        <v>45915.93456018518</v>
      </c>
      <c r="H321" s="1" t="s">
        <v>16476</v>
      </c>
    </row>
    <row r="322">
      <c r="A322" s="93">
        <v>203.0</v>
      </c>
      <c r="B322" s="92" t="s">
        <v>18405</v>
      </c>
      <c r="C322" s="92" t="s">
        <v>1749</v>
      </c>
      <c r="D322" s="92" t="s">
        <v>18765</v>
      </c>
      <c r="E322" s="94">
        <v>45113.538310185184</v>
      </c>
      <c r="F322" s="94">
        <v>46048.959178240744</v>
      </c>
      <c r="G322" s="90">
        <v>45915.93413194444</v>
      </c>
      <c r="H322" s="1" t="s">
        <v>16476</v>
      </c>
    </row>
    <row r="323">
      <c r="A323" s="93">
        <v>202.0</v>
      </c>
      <c r="B323" s="92" t="s">
        <v>18406</v>
      </c>
      <c r="C323" s="92" t="s">
        <v>1742</v>
      </c>
      <c r="D323" s="92" t="s">
        <v>18765</v>
      </c>
      <c r="E323" s="94">
        <v>45113.538298611114</v>
      </c>
      <c r="F323" s="94">
        <v>46048.959178240744</v>
      </c>
      <c r="G323" s="90">
        <v>45915.93376157407</v>
      </c>
      <c r="H323" s="1" t="s">
        <v>16476</v>
      </c>
    </row>
    <row r="324">
      <c r="A324" s="93">
        <v>201.0</v>
      </c>
      <c r="B324" s="92" t="s">
        <v>18407</v>
      </c>
      <c r="C324" s="92" t="s">
        <v>1734</v>
      </c>
      <c r="D324" s="92" t="s">
        <v>18765</v>
      </c>
      <c r="E324" s="94">
        <v>45113.53828703704</v>
      </c>
      <c r="F324" s="94">
        <v>46048.959178240744</v>
      </c>
      <c r="G324" s="90">
        <v>45915.9325</v>
      </c>
      <c r="H324" s="1" t="s">
        <v>16476</v>
      </c>
    </row>
    <row r="325">
      <c r="A325" s="93">
        <v>200.0</v>
      </c>
      <c r="B325" s="92" t="s">
        <v>18408</v>
      </c>
      <c r="C325" s="92" t="s">
        <v>1725</v>
      </c>
      <c r="D325" s="92" t="s">
        <v>18765</v>
      </c>
      <c r="E325" s="94">
        <v>45113.53827546296</v>
      </c>
      <c r="F325" s="94">
        <v>46048.959178240744</v>
      </c>
      <c r="G325" s="90">
        <v>45915.93170138889</v>
      </c>
      <c r="H325" s="1" t="s">
        <v>16476</v>
      </c>
    </row>
    <row r="326">
      <c r="A326" s="93">
        <v>199.0</v>
      </c>
      <c r="B326" s="92" t="s">
        <v>18409</v>
      </c>
      <c r="C326" s="92" t="s">
        <v>1718</v>
      </c>
      <c r="D326" s="92" t="s">
        <v>18765</v>
      </c>
      <c r="E326" s="94">
        <v>45113.53826388889</v>
      </c>
      <c r="F326" s="94">
        <v>46048.959178240744</v>
      </c>
      <c r="G326" s="90">
        <v>45915.931296296294</v>
      </c>
      <c r="H326" s="1" t="s">
        <v>16476</v>
      </c>
    </row>
    <row r="327">
      <c r="A327" s="93">
        <v>198.0</v>
      </c>
      <c r="B327" s="92" t="s">
        <v>18410</v>
      </c>
      <c r="C327" s="92" t="s">
        <v>1710</v>
      </c>
      <c r="D327" s="92" t="s">
        <v>18765</v>
      </c>
      <c r="E327" s="94">
        <v>45113.538252314815</v>
      </c>
      <c r="F327" s="94">
        <v>46048.959178240744</v>
      </c>
      <c r="G327" s="90">
        <v>45915.9309375</v>
      </c>
      <c r="H327" s="1" t="s">
        <v>16476</v>
      </c>
    </row>
    <row r="328">
      <c r="A328" s="93">
        <v>197.0</v>
      </c>
      <c r="B328" s="92" t="s">
        <v>18411</v>
      </c>
      <c r="C328" s="92" t="s">
        <v>1703</v>
      </c>
      <c r="D328" s="92" t="s">
        <v>18765</v>
      </c>
      <c r="E328" s="94">
        <v>45113.538252314815</v>
      </c>
      <c r="F328" s="94">
        <v>46048.95916666667</v>
      </c>
      <c r="G328" s="90">
        <v>45915.930613425924</v>
      </c>
      <c r="H328" s="1" t="s">
        <v>16476</v>
      </c>
    </row>
    <row r="329">
      <c r="A329" s="93">
        <v>196.0</v>
      </c>
      <c r="B329" s="92" t="s">
        <v>18412</v>
      </c>
      <c r="C329" s="92" t="s">
        <v>1695</v>
      </c>
      <c r="D329" s="92" t="s">
        <v>18765</v>
      </c>
      <c r="E329" s="94">
        <v>45113.53824074074</v>
      </c>
      <c r="F329" s="94">
        <v>46048.95916666667</v>
      </c>
      <c r="G329" s="90">
        <v>45915.93025462963</v>
      </c>
      <c r="H329" s="1" t="s">
        <v>16476</v>
      </c>
    </row>
    <row r="330">
      <c r="A330" s="93">
        <v>195.0</v>
      </c>
      <c r="B330" s="92" t="s">
        <v>18413</v>
      </c>
      <c r="C330" s="92" t="s">
        <v>1685</v>
      </c>
      <c r="D330" s="92" t="s">
        <v>18765</v>
      </c>
      <c r="E330" s="94">
        <v>45113.53822916667</v>
      </c>
      <c r="F330" s="94">
        <v>46048.95916666667</v>
      </c>
      <c r="G330" s="90">
        <v>45915.92972222222</v>
      </c>
      <c r="H330" s="1" t="s">
        <v>16476</v>
      </c>
    </row>
    <row r="331">
      <c r="A331" s="93">
        <v>194.0</v>
      </c>
      <c r="B331" s="92" t="s">
        <v>18414</v>
      </c>
      <c r="C331" s="92" t="s">
        <v>1678</v>
      </c>
      <c r="D331" s="92" t="s">
        <v>18765</v>
      </c>
      <c r="E331" s="94">
        <v>45113.53821759259</v>
      </c>
      <c r="F331" s="94">
        <v>46048.95916666667</v>
      </c>
      <c r="G331" s="90">
        <v>45915.92858796296</v>
      </c>
      <c r="H331" s="1" t="s">
        <v>16476</v>
      </c>
    </row>
    <row r="332">
      <c r="A332" s="93">
        <v>193.0</v>
      </c>
      <c r="B332" s="92" t="s">
        <v>18415</v>
      </c>
      <c r="C332" s="92" t="s">
        <v>18808</v>
      </c>
      <c r="D332" s="92" t="s">
        <v>18765</v>
      </c>
      <c r="E332" s="94">
        <v>45113.53820601852</v>
      </c>
      <c r="F332" s="94">
        <v>46048.95916666667</v>
      </c>
      <c r="G332" s="90">
        <v>45915.92778935185</v>
      </c>
      <c r="H332" s="1" t="s">
        <v>16476</v>
      </c>
    </row>
    <row r="333">
      <c r="A333" s="93">
        <v>191.0</v>
      </c>
      <c r="B333" s="92" t="s">
        <v>18417</v>
      </c>
      <c r="C333" s="92" t="s">
        <v>1655</v>
      </c>
      <c r="D333" s="92" t="s">
        <v>18765</v>
      </c>
      <c r="E333" s="94">
        <v>45113.538194444445</v>
      </c>
      <c r="F333" s="94">
        <v>46048.95916666667</v>
      </c>
      <c r="G333" s="90">
        <v>45915.92653935185</v>
      </c>
      <c r="H333" s="1" t="s">
        <v>16476</v>
      </c>
    </row>
    <row r="334">
      <c r="A334" s="93">
        <v>190.0</v>
      </c>
      <c r="B334" s="92" t="s">
        <v>18418</v>
      </c>
      <c r="C334" s="92" t="s">
        <v>1645</v>
      </c>
      <c r="D334" s="92" t="s">
        <v>18765</v>
      </c>
      <c r="E334" s="94">
        <v>45113.53818287037</v>
      </c>
      <c r="F334" s="94">
        <v>46048.95916666667</v>
      </c>
      <c r="G334" s="90">
        <v>45915.92568287037</v>
      </c>
      <c r="H334" s="1" t="s">
        <v>16476</v>
      </c>
    </row>
    <row r="335">
      <c r="A335" s="93">
        <v>189.0</v>
      </c>
      <c r="B335" s="92" t="s">
        <v>18419</v>
      </c>
      <c r="C335" s="92" t="s">
        <v>1637</v>
      </c>
      <c r="D335" s="92" t="s">
        <v>18765</v>
      </c>
      <c r="E335" s="94">
        <v>45113.5381712963</v>
      </c>
      <c r="F335" s="94">
        <v>46048.95916666667</v>
      </c>
      <c r="G335" s="90">
        <v>45915.92267361111</v>
      </c>
      <c r="H335" s="1" t="s">
        <v>16476</v>
      </c>
    </row>
    <row r="336">
      <c r="A336" s="93">
        <v>187.0</v>
      </c>
      <c r="B336" s="92" t="s">
        <v>18420</v>
      </c>
      <c r="C336" s="92" t="s">
        <v>1621</v>
      </c>
      <c r="D336" s="92" t="s">
        <v>18765</v>
      </c>
      <c r="E336" s="94">
        <v>45113.538148148145</v>
      </c>
      <c r="F336" s="94">
        <v>46048.95916666667</v>
      </c>
      <c r="G336" s="90">
        <v>45915.921851851854</v>
      </c>
      <c r="H336" s="1" t="s">
        <v>16476</v>
      </c>
    </row>
    <row r="337">
      <c r="A337" s="93">
        <v>186.0</v>
      </c>
      <c r="B337" s="92" t="s">
        <v>18421</v>
      </c>
      <c r="C337" s="92" t="s">
        <v>1612</v>
      </c>
      <c r="D337" s="92" t="s">
        <v>18765</v>
      </c>
      <c r="E337" s="94">
        <v>45113.538148148145</v>
      </c>
      <c r="F337" s="94">
        <v>46048.95916666667</v>
      </c>
      <c r="G337" s="90">
        <v>45915.919328703705</v>
      </c>
      <c r="H337" s="1" t="s">
        <v>16476</v>
      </c>
    </row>
    <row r="338">
      <c r="A338" s="93">
        <v>185.0</v>
      </c>
      <c r="B338" s="92" t="s">
        <v>18422</v>
      </c>
      <c r="C338" s="92" t="s">
        <v>1604</v>
      </c>
      <c r="D338" s="92" t="s">
        <v>18765</v>
      </c>
      <c r="E338" s="94">
        <v>45113.538136574076</v>
      </c>
      <c r="F338" s="94">
        <v>46048.95916666667</v>
      </c>
      <c r="G338" s="90">
        <v>45915.91818287037</v>
      </c>
      <c r="H338" s="1" t="s">
        <v>16476</v>
      </c>
    </row>
    <row r="339">
      <c r="A339" s="93">
        <v>183.0</v>
      </c>
      <c r="B339" s="92" t="s">
        <v>18423</v>
      </c>
      <c r="C339" s="92" t="s">
        <v>1587</v>
      </c>
      <c r="D339" s="92" t="s">
        <v>18765</v>
      </c>
      <c r="E339" s="94">
        <v>45113.53811342592</v>
      </c>
      <c r="F339" s="94">
        <v>46048.95916666667</v>
      </c>
      <c r="G339" s="90">
        <v>45915.91738425926</v>
      </c>
      <c r="H339" s="1" t="s">
        <v>16476</v>
      </c>
    </row>
    <row r="340">
      <c r="A340" s="93">
        <v>182.0</v>
      </c>
      <c r="B340" s="92" t="s">
        <v>18424</v>
      </c>
      <c r="C340" s="92" t="s">
        <v>1579</v>
      </c>
      <c r="D340" s="92" t="s">
        <v>18765</v>
      </c>
      <c r="E340" s="94">
        <v>45113.53810185185</v>
      </c>
      <c r="F340" s="94">
        <v>46048.95916666667</v>
      </c>
      <c r="G340" s="90">
        <v>45915.91642361111</v>
      </c>
      <c r="H340" s="1" t="s">
        <v>16476</v>
      </c>
    </row>
    <row r="341">
      <c r="A341" s="93">
        <v>181.0</v>
      </c>
      <c r="B341" s="92" t="s">
        <v>18425</v>
      </c>
      <c r="C341" s="92" t="s">
        <v>1574</v>
      </c>
      <c r="D341" s="92" t="s">
        <v>18765</v>
      </c>
      <c r="E341" s="94">
        <v>45113.538090277776</v>
      </c>
      <c r="F341" s="94">
        <v>46048.95916666667</v>
      </c>
      <c r="G341" s="90">
        <v>45915.91511574074</v>
      </c>
      <c r="H341" s="1" t="s">
        <v>16476</v>
      </c>
    </row>
    <row r="342">
      <c r="A342" s="93">
        <v>180.0</v>
      </c>
      <c r="B342" s="92" t="s">
        <v>18426</v>
      </c>
      <c r="C342" s="92" t="s">
        <v>1565</v>
      </c>
      <c r="D342" s="92" t="s">
        <v>18765</v>
      </c>
      <c r="E342" s="94">
        <v>45113.538090277776</v>
      </c>
      <c r="F342" s="94">
        <v>46048.95916666667</v>
      </c>
      <c r="G342" s="90">
        <v>45915.914375</v>
      </c>
      <c r="H342" s="1" t="s">
        <v>16476</v>
      </c>
    </row>
    <row r="343">
      <c r="A343" s="93">
        <v>179.0</v>
      </c>
      <c r="B343" s="92" t="s">
        <v>18427</v>
      </c>
      <c r="C343" s="92" t="s">
        <v>1556</v>
      </c>
      <c r="D343" s="92" t="s">
        <v>18765</v>
      </c>
      <c r="E343" s="94">
        <v>45113.53807870371</v>
      </c>
      <c r="F343" s="94">
        <v>46048.95916666667</v>
      </c>
      <c r="G343" s="90">
        <v>45915.913518518515</v>
      </c>
      <c r="H343" s="1" t="s">
        <v>16476</v>
      </c>
    </row>
    <row r="344">
      <c r="A344" s="93">
        <v>177.0</v>
      </c>
      <c r="B344" s="92" t="s">
        <v>18429</v>
      </c>
      <c r="C344" s="92" t="s">
        <v>1540</v>
      </c>
      <c r="D344" s="92" t="s">
        <v>18765</v>
      </c>
      <c r="E344" s="94">
        <v>45113.53805555555</v>
      </c>
      <c r="F344" s="94">
        <v>46048.95916666667</v>
      </c>
      <c r="G344" s="90">
        <v>45915.91243055555</v>
      </c>
      <c r="H344" s="1" t="s">
        <v>16476</v>
      </c>
    </row>
    <row r="345">
      <c r="A345" s="93">
        <v>175.0</v>
      </c>
      <c r="B345" s="92" t="s">
        <v>18430</v>
      </c>
      <c r="C345" s="92" t="s">
        <v>1520</v>
      </c>
      <c r="D345" s="92" t="s">
        <v>18765</v>
      </c>
      <c r="E345" s="94">
        <v>45113.53803240741</v>
      </c>
      <c r="F345" s="94">
        <v>46048.95916666667</v>
      </c>
      <c r="G345" s="90">
        <v>45915.911875</v>
      </c>
      <c r="H345" s="1" t="s">
        <v>16476</v>
      </c>
    </row>
    <row r="346">
      <c r="A346" s="93">
        <v>174.0</v>
      </c>
      <c r="B346" s="92" t="s">
        <v>18809</v>
      </c>
      <c r="C346" s="92" t="s">
        <v>5096</v>
      </c>
      <c r="D346" s="92" t="s">
        <v>18765</v>
      </c>
      <c r="E346" s="94">
        <v>45113.53803240741</v>
      </c>
      <c r="F346" s="94">
        <v>46048.95916666667</v>
      </c>
      <c r="G346" s="90">
        <v>45915.91122685185</v>
      </c>
      <c r="H346" s="1" t="s">
        <v>16476</v>
      </c>
    </row>
    <row r="347">
      <c r="A347" s="93">
        <v>173.0</v>
      </c>
      <c r="B347" s="92" t="s">
        <v>18432</v>
      </c>
      <c r="C347" s="92" t="s">
        <v>1511</v>
      </c>
      <c r="D347" s="92" t="s">
        <v>18765</v>
      </c>
      <c r="E347" s="94">
        <v>45113.53802083333</v>
      </c>
      <c r="F347" s="94">
        <v>46048.95916666667</v>
      </c>
      <c r="G347" s="90">
        <v>45915.91039351852</v>
      </c>
      <c r="H347" s="1" t="s">
        <v>16476</v>
      </c>
    </row>
    <row r="348">
      <c r="A348" s="93">
        <v>172.0</v>
      </c>
      <c r="B348" s="92" t="s">
        <v>18433</v>
      </c>
      <c r="C348" s="92" t="s">
        <v>1499</v>
      </c>
      <c r="D348" s="92" t="s">
        <v>18765</v>
      </c>
      <c r="E348" s="94">
        <v>45113.53800925926</v>
      </c>
      <c r="F348" s="94">
        <v>46048.95916666667</v>
      </c>
      <c r="G348" s="90">
        <v>45915.90971064815</v>
      </c>
      <c r="H348" s="1" t="s">
        <v>16476</v>
      </c>
    </row>
    <row r="349">
      <c r="A349" s="93">
        <v>169.0</v>
      </c>
      <c r="B349" s="92" t="s">
        <v>18434</v>
      </c>
      <c r="C349" s="92" t="s">
        <v>1479</v>
      </c>
      <c r="D349" s="92" t="s">
        <v>18765</v>
      </c>
      <c r="E349" s="94">
        <v>45113.537986111114</v>
      </c>
      <c r="F349" s="94">
        <v>46048.95916666667</v>
      </c>
      <c r="G349" s="90">
        <v>45915.908541666664</v>
      </c>
      <c r="H349" s="1" t="s">
        <v>16476</v>
      </c>
    </row>
    <row r="350">
      <c r="A350" s="93">
        <v>168.0</v>
      </c>
      <c r="B350" s="92" t="s">
        <v>18435</v>
      </c>
      <c r="C350" s="92" t="s">
        <v>1471</v>
      </c>
      <c r="D350" s="92" t="s">
        <v>18765</v>
      </c>
      <c r="E350" s="94">
        <v>45113.53797453704</v>
      </c>
      <c r="F350" s="94">
        <v>46048.95916666667</v>
      </c>
      <c r="G350" s="90">
        <v>45915.908113425925</v>
      </c>
      <c r="H350" s="1" t="s">
        <v>16476</v>
      </c>
    </row>
    <row r="351">
      <c r="A351" s="93">
        <v>166.0</v>
      </c>
      <c r="B351" s="92" t="s">
        <v>18436</v>
      </c>
      <c r="C351" s="92" t="s">
        <v>1454</v>
      </c>
      <c r="D351" s="92" t="s">
        <v>18765</v>
      </c>
      <c r="E351" s="94">
        <v>45113.53795138889</v>
      </c>
      <c r="F351" s="94">
        <v>46048.95916666667</v>
      </c>
      <c r="G351" s="90">
        <v>45915.90759259259</v>
      </c>
      <c r="H351" s="1" t="s">
        <v>16476</v>
      </c>
    </row>
    <row r="352">
      <c r="A352" s="93">
        <v>165.0</v>
      </c>
      <c r="B352" s="92" t="s">
        <v>18437</v>
      </c>
      <c r="C352" s="92" t="s">
        <v>1445</v>
      </c>
      <c r="D352" s="92" t="s">
        <v>18765</v>
      </c>
      <c r="E352" s="94">
        <v>45113.537939814814</v>
      </c>
      <c r="F352" s="94">
        <v>46048.95916666667</v>
      </c>
      <c r="G352" s="90">
        <v>45915.907013888886</v>
      </c>
      <c r="H352" s="1" t="s">
        <v>16476</v>
      </c>
    </row>
    <row r="353">
      <c r="A353" s="93">
        <v>164.0</v>
      </c>
      <c r="B353" s="92" t="s">
        <v>18438</v>
      </c>
      <c r="C353" s="92" t="s">
        <v>1436</v>
      </c>
      <c r="D353" s="92" t="s">
        <v>18765</v>
      </c>
      <c r="E353" s="94">
        <v>45113.53792824074</v>
      </c>
      <c r="F353" s="94">
        <v>46048.95916666667</v>
      </c>
      <c r="G353" s="90">
        <v>45915.896365740744</v>
      </c>
      <c r="H353" s="1" t="s">
        <v>16476</v>
      </c>
    </row>
    <row r="354">
      <c r="A354" s="93">
        <v>163.0</v>
      </c>
      <c r="B354" s="92" t="s">
        <v>18439</v>
      </c>
      <c r="C354" s="92" t="s">
        <v>1426</v>
      </c>
      <c r="D354" s="92" t="s">
        <v>18765</v>
      </c>
      <c r="E354" s="94">
        <v>45113.53792824074</v>
      </c>
      <c r="F354" s="94">
        <v>46048.95916666667</v>
      </c>
      <c r="G354" s="90">
        <v>45915.89475694444</v>
      </c>
      <c r="H354" s="1" t="s">
        <v>16476</v>
      </c>
    </row>
    <row r="355">
      <c r="A355" s="93">
        <v>162.0</v>
      </c>
      <c r="B355" s="92" t="s">
        <v>18440</v>
      </c>
      <c r="C355" s="92" t="s">
        <v>1416</v>
      </c>
      <c r="D355" s="92" t="s">
        <v>18765</v>
      </c>
      <c r="E355" s="94">
        <v>45113.53790509259</v>
      </c>
      <c r="F355" s="94">
        <v>46048.95916666667</v>
      </c>
      <c r="G355" s="90">
        <v>45915.89424768519</v>
      </c>
      <c r="H355" s="1" t="s">
        <v>16476</v>
      </c>
    </row>
    <row r="356">
      <c r="A356" s="93">
        <v>161.0</v>
      </c>
      <c r="B356" s="92" t="s">
        <v>18441</v>
      </c>
      <c r="C356" s="92" t="s">
        <v>1409</v>
      </c>
      <c r="D356" s="92" t="s">
        <v>18765</v>
      </c>
      <c r="E356" s="94">
        <v>45113.53789351852</v>
      </c>
      <c r="F356" s="94">
        <v>46048.95915509259</v>
      </c>
      <c r="G356" s="90">
        <v>45915.89314814815</v>
      </c>
      <c r="H356" s="1" t="s">
        <v>16476</v>
      </c>
    </row>
    <row r="357">
      <c r="A357" s="93">
        <v>160.0</v>
      </c>
      <c r="B357" s="92" t="s">
        <v>18442</v>
      </c>
      <c r="C357" s="92" t="s">
        <v>1402</v>
      </c>
      <c r="D357" s="92" t="s">
        <v>18765</v>
      </c>
      <c r="E357" s="94">
        <v>45113.537881944445</v>
      </c>
      <c r="F357" s="94">
        <v>46048.95915509259</v>
      </c>
      <c r="G357" s="90">
        <v>45915.89231481482</v>
      </c>
      <c r="H357" s="1" t="s">
        <v>16476</v>
      </c>
    </row>
    <row r="358">
      <c r="A358" s="93">
        <v>159.0</v>
      </c>
      <c r="B358" s="92" t="s">
        <v>18443</v>
      </c>
      <c r="C358" s="92" t="s">
        <v>1395</v>
      </c>
      <c r="D358" s="92" t="s">
        <v>18765</v>
      </c>
      <c r="E358" s="94">
        <v>45113.53787037037</v>
      </c>
      <c r="F358" s="94">
        <v>46048.95915509259</v>
      </c>
      <c r="G358" s="90">
        <v>45915.89150462963</v>
      </c>
      <c r="H358" s="1" t="s">
        <v>16476</v>
      </c>
    </row>
    <row r="359">
      <c r="A359" s="93">
        <v>158.0</v>
      </c>
      <c r="B359" s="92" t="s">
        <v>18444</v>
      </c>
      <c r="C359" s="92" t="s">
        <v>1386</v>
      </c>
      <c r="D359" s="92" t="s">
        <v>18765</v>
      </c>
      <c r="E359" s="94">
        <v>45113.5378587963</v>
      </c>
      <c r="F359" s="94">
        <v>46048.95915509259</v>
      </c>
      <c r="G359" s="90">
        <v>45915.88628472222</v>
      </c>
      <c r="H359" s="1" t="s">
        <v>16476</v>
      </c>
    </row>
    <row r="360">
      <c r="A360" s="93">
        <v>157.0</v>
      </c>
      <c r="B360" s="92" t="s">
        <v>18810</v>
      </c>
      <c r="C360" s="92" t="s">
        <v>1379</v>
      </c>
      <c r="D360" s="92" t="s">
        <v>16044</v>
      </c>
      <c r="E360" s="94">
        <v>45113.53784722222</v>
      </c>
      <c r="F360" s="94">
        <v>46048.95915509259</v>
      </c>
      <c r="G360" s="90">
        <v>45915.88538194444</v>
      </c>
      <c r="H360" s="1" t="s">
        <v>16476</v>
      </c>
    </row>
    <row r="361">
      <c r="A361" s="93">
        <v>155.0</v>
      </c>
      <c r="B361" s="92" t="s">
        <v>18811</v>
      </c>
      <c r="C361" s="92" t="s">
        <v>1354</v>
      </c>
      <c r="D361" s="92" t="s">
        <v>18765</v>
      </c>
      <c r="E361" s="94">
        <v>45113.537824074076</v>
      </c>
      <c r="F361" s="94">
        <v>46048.95915509259</v>
      </c>
      <c r="G361" s="90">
        <v>45915.883576388886</v>
      </c>
      <c r="H361" s="1" t="s">
        <v>16476</v>
      </c>
    </row>
    <row r="362">
      <c r="A362" s="93">
        <v>154.0</v>
      </c>
      <c r="B362" s="92" t="s">
        <v>18446</v>
      </c>
      <c r="C362" s="92" t="s">
        <v>18812</v>
      </c>
      <c r="D362" s="92" t="s">
        <v>18765</v>
      </c>
      <c r="E362" s="94">
        <v>45113.5378125</v>
      </c>
      <c r="F362" s="94">
        <v>46048.95915509259</v>
      </c>
      <c r="G362" s="90">
        <v>45915.84239583334</v>
      </c>
      <c r="H362" s="1" t="s">
        <v>16476</v>
      </c>
    </row>
    <row r="363">
      <c r="A363" s="93">
        <v>153.0</v>
      </c>
      <c r="B363" s="92" t="s">
        <v>18447</v>
      </c>
      <c r="C363" s="92" t="s">
        <v>1338</v>
      </c>
      <c r="D363" s="92" t="s">
        <v>18765</v>
      </c>
      <c r="E363" s="94">
        <v>45113.5378125</v>
      </c>
      <c r="F363" s="94">
        <v>46048.95915509259</v>
      </c>
      <c r="G363" s="90">
        <v>45914.85140046296</v>
      </c>
      <c r="H363" s="1" t="s">
        <v>16476</v>
      </c>
    </row>
    <row r="364">
      <c r="A364" s="93">
        <v>152.0</v>
      </c>
      <c r="B364" s="92" t="s">
        <v>18448</v>
      </c>
      <c r="C364" s="92" t="s">
        <v>1333</v>
      </c>
      <c r="D364" s="92" t="s">
        <v>18765</v>
      </c>
      <c r="E364" s="94">
        <v>45113.53780092593</v>
      </c>
      <c r="F364" s="94">
        <v>46048.95915509259</v>
      </c>
      <c r="G364" s="90">
        <v>45914.85083333333</v>
      </c>
      <c r="H364" s="1" t="s">
        <v>16476</v>
      </c>
    </row>
    <row r="365">
      <c r="A365" s="93">
        <v>150.0</v>
      </c>
      <c r="B365" s="92" t="s">
        <v>18449</v>
      </c>
      <c r="C365" s="92" t="s">
        <v>1317</v>
      </c>
      <c r="D365" s="92" t="s">
        <v>18765</v>
      </c>
      <c r="E365" s="94">
        <v>45113.537777777776</v>
      </c>
      <c r="F365" s="94">
        <v>46048.95915509259</v>
      </c>
      <c r="G365" s="90">
        <v>45914.850023148145</v>
      </c>
      <c r="H365" s="1" t="s">
        <v>16476</v>
      </c>
    </row>
    <row r="366">
      <c r="A366" s="93">
        <v>149.0</v>
      </c>
      <c r="B366" s="92" t="s">
        <v>18450</v>
      </c>
      <c r="C366" s="92" t="s">
        <v>1309</v>
      </c>
      <c r="D366" s="92" t="s">
        <v>18765</v>
      </c>
      <c r="E366" s="94">
        <v>45113.537766203706</v>
      </c>
      <c r="F366" s="94">
        <v>46048.95915509259</v>
      </c>
      <c r="G366" s="90">
        <v>45914.84962962963</v>
      </c>
      <c r="H366" s="1" t="s">
        <v>16476</v>
      </c>
    </row>
    <row r="367">
      <c r="A367" s="93">
        <v>147.0</v>
      </c>
      <c r="B367" s="92" t="s">
        <v>18451</v>
      </c>
      <c r="C367" s="92" t="s">
        <v>18813</v>
      </c>
      <c r="D367" s="92" t="s">
        <v>18765</v>
      </c>
      <c r="E367" s="94">
        <v>45113.53775462963</v>
      </c>
      <c r="F367" s="94">
        <v>46048.95915509259</v>
      </c>
      <c r="G367" s="90">
        <v>45914.84818287037</v>
      </c>
      <c r="H367" s="1" t="s">
        <v>16476</v>
      </c>
    </row>
    <row r="368">
      <c r="A368" s="93">
        <v>146.0</v>
      </c>
      <c r="B368" s="92" t="s">
        <v>18452</v>
      </c>
      <c r="C368" s="92" t="s">
        <v>1293</v>
      </c>
      <c r="D368" s="92" t="s">
        <v>18765</v>
      </c>
      <c r="E368" s="94">
        <v>45113.53774305555</v>
      </c>
      <c r="F368" s="94">
        <v>46048.95915509259</v>
      </c>
      <c r="G368" s="90">
        <v>45914.8471412037</v>
      </c>
      <c r="H368" s="1" t="s">
        <v>16476</v>
      </c>
    </row>
    <row r="369">
      <c r="A369" s="93">
        <v>145.0</v>
      </c>
      <c r="B369" s="92" t="s">
        <v>18453</v>
      </c>
      <c r="C369" s="92" t="s">
        <v>1286</v>
      </c>
      <c r="D369" s="92" t="s">
        <v>18765</v>
      </c>
      <c r="E369" s="94">
        <v>45113.53773148148</v>
      </c>
      <c r="F369" s="94">
        <v>46048.95915509259</v>
      </c>
      <c r="G369" s="90">
        <v>45914.84636574074</v>
      </c>
      <c r="H369" s="1" t="s">
        <v>16476</v>
      </c>
    </row>
    <row r="370">
      <c r="A370" s="93">
        <v>144.0</v>
      </c>
      <c r="B370" s="92" t="s">
        <v>18454</v>
      </c>
      <c r="C370" s="92" t="s">
        <v>1278</v>
      </c>
      <c r="D370" s="92" t="s">
        <v>18765</v>
      </c>
      <c r="E370" s="94">
        <v>45113.53771990741</v>
      </c>
      <c r="F370" s="94">
        <v>46048.95915509259</v>
      </c>
      <c r="G370" s="90">
        <v>45914.84599537037</v>
      </c>
      <c r="H370" s="1" t="s">
        <v>16476</v>
      </c>
    </row>
    <row r="371">
      <c r="A371" s="93">
        <v>143.0</v>
      </c>
      <c r="B371" s="92" t="s">
        <v>18455</v>
      </c>
      <c r="C371" s="92" t="s">
        <v>1270</v>
      </c>
      <c r="D371" s="92" t="s">
        <v>18765</v>
      </c>
      <c r="E371" s="94">
        <v>45113.53770833334</v>
      </c>
      <c r="F371" s="94">
        <v>46048.95915509259</v>
      </c>
      <c r="G371" s="90">
        <v>45914.845613425925</v>
      </c>
      <c r="H371" s="1" t="s">
        <v>16476</v>
      </c>
    </row>
    <row r="372">
      <c r="A372" s="93">
        <v>142.0</v>
      </c>
      <c r="B372" s="92" t="s">
        <v>18456</v>
      </c>
      <c r="C372" s="92" t="s">
        <v>1262</v>
      </c>
      <c r="D372" s="92" t="s">
        <v>18765</v>
      </c>
      <c r="E372" s="94">
        <v>45113.53770833334</v>
      </c>
      <c r="F372" s="94">
        <v>46048.95915509259</v>
      </c>
      <c r="G372" s="90">
        <v>45914.845</v>
      </c>
      <c r="H372" s="1" t="s">
        <v>16476</v>
      </c>
    </row>
    <row r="373">
      <c r="A373" s="93">
        <v>141.0</v>
      </c>
      <c r="B373" s="92" t="s">
        <v>18457</v>
      </c>
      <c r="C373" s="92" t="s">
        <v>1253</v>
      </c>
      <c r="D373" s="92" t="s">
        <v>18765</v>
      </c>
      <c r="E373" s="94">
        <v>45113.53769675926</v>
      </c>
      <c r="F373" s="94">
        <v>46048.95915509259</v>
      </c>
      <c r="G373" s="90">
        <v>45914.84416666667</v>
      </c>
      <c r="H373" s="1" t="s">
        <v>16476</v>
      </c>
    </row>
    <row r="374">
      <c r="A374" s="93">
        <v>140.0</v>
      </c>
      <c r="B374" s="92" t="s">
        <v>18458</v>
      </c>
      <c r="C374" s="92" t="s">
        <v>1243</v>
      </c>
      <c r="D374" s="92" t="s">
        <v>18765</v>
      </c>
      <c r="E374" s="94">
        <v>45113.53768518518</v>
      </c>
      <c r="F374" s="94">
        <v>46048.95915509259</v>
      </c>
      <c r="G374" s="90">
        <v>45914.843148148146</v>
      </c>
      <c r="H374" s="1" t="s">
        <v>16476</v>
      </c>
    </row>
    <row r="375">
      <c r="A375" s="93">
        <v>139.0</v>
      </c>
      <c r="B375" s="92" t="s">
        <v>18459</v>
      </c>
      <c r="C375" s="92" t="s">
        <v>1234</v>
      </c>
      <c r="D375" s="92" t="s">
        <v>18765</v>
      </c>
      <c r="E375" s="94">
        <v>45113.537673611114</v>
      </c>
      <c r="F375" s="94">
        <v>46048.95915509259</v>
      </c>
      <c r="G375" s="90">
        <v>45914.8428125</v>
      </c>
      <c r="H375" s="1" t="s">
        <v>16476</v>
      </c>
    </row>
    <row r="376">
      <c r="A376" s="93">
        <v>138.0</v>
      </c>
      <c r="B376" s="92" t="s">
        <v>18460</v>
      </c>
      <c r="C376" s="92" t="s">
        <v>1223</v>
      </c>
      <c r="D376" s="92" t="s">
        <v>18765</v>
      </c>
      <c r="E376" s="94">
        <v>45113.53766203704</v>
      </c>
      <c r="F376" s="94">
        <v>46048.95915509259</v>
      </c>
      <c r="G376" s="90">
        <v>45914.84232638889</v>
      </c>
      <c r="H376" s="1" t="s">
        <v>16476</v>
      </c>
    </row>
    <row r="377">
      <c r="A377" s="93">
        <v>137.0</v>
      </c>
      <c r="B377" s="92" t="s">
        <v>18461</v>
      </c>
      <c r="C377" s="92" t="s">
        <v>1214</v>
      </c>
      <c r="D377" s="92" t="s">
        <v>18765</v>
      </c>
      <c r="E377" s="94">
        <v>45113.53766203704</v>
      </c>
      <c r="F377" s="94">
        <v>46048.95915509259</v>
      </c>
      <c r="G377" s="90">
        <v>45914.841145833336</v>
      </c>
      <c r="H377" s="1" t="s">
        <v>16476</v>
      </c>
    </row>
    <row r="378">
      <c r="A378" s="93">
        <v>136.0</v>
      </c>
      <c r="B378" s="92" t="s">
        <v>18462</v>
      </c>
      <c r="C378" s="92" t="s">
        <v>18814</v>
      </c>
      <c r="D378" s="92" t="s">
        <v>18765</v>
      </c>
      <c r="E378" s="94">
        <v>45113.53765046296</v>
      </c>
      <c r="F378" s="94">
        <v>46048.95915509259</v>
      </c>
      <c r="G378" s="90">
        <v>45914.84037037037</v>
      </c>
      <c r="H378" s="1" t="s">
        <v>16476</v>
      </c>
    </row>
    <row r="379">
      <c r="A379" s="93">
        <v>135.0</v>
      </c>
      <c r="B379" s="92" t="s">
        <v>18463</v>
      </c>
      <c r="C379" s="92" t="s">
        <v>1198</v>
      </c>
      <c r="D379" s="92" t="s">
        <v>18765</v>
      </c>
      <c r="E379" s="94">
        <v>45113.53763888889</v>
      </c>
      <c r="F379" s="94">
        <v>46048.95915509259</v>
      </c>
      <c r="G379" s="90">
        <v>45914.83931712963</v>
      </c>
      <c r="H379" s="1" t="s">
        <v>16476</v>
      </c>
    </row>
    <row r="380">
      <c r="A380" s="93">
        <v>134.0</v>
      </c>
      <c r="B380" s="92" t="s">
        <v>18464</v>
      </c>
      <c r="C380" s="92" t="s">
        <v>1190</v>
      </c>
      <c r="D380" s="92" t="s">
        <v>18765</v>
      </c>
      <c r="E380" s="94">
        <v>45113.537627314814</v>
      </c>
      <c r="F380" s="94">
        <v>46048.95914351852</v>
      </c>
      <c r="G380" s="90">
        <v>45914.83887731482</v>
      </c>
      <c r="H380" s="1" t="s">
        <v>16476</v>
      </c>
    </row>
    <row r="381">
      <c r="A381" s="93">
        <v>133.0</v>
      </c>
      <c r="B381" s="92" t="s">
        <v>18465</v>
      </c>
      <c r="C381" s="92" t="s">
        <v>1180</v>
      </c>
      <c r="D381" s="92" t="s">
        <v>18765</v>
      </c>
      <c r="E381" s="94">
        <v>45113.53761574074</v>
      </c>
      <c r="F381" s="94">
        <v>46048.95914351852</v>
      </c>
      <c r="G381" s="90">
        <v>45914.83782407407</v>
      </c>
      <c r="H381" s="1" t="s">
        <v>16476</v>
      </c>
    </row>
    <row r="382">
      <c r="A382" s="93">
        <v>132.0</v>
      </c>
      <c r="B382" s="92" t="s">
        <v>18466</v>
      </c>
      <c r="C382" s="92" t="s">
        <v>1176</v>
      </c>
      <c r="D382" s="92" t="s">
        <v>18765</v>
      </c>
      <c r="E382" s="94">
        <v>45113.53760416667</v>
      </c>
      <c r="F382" s="94">
        <v>46048.95914351852</v>
      </c>
      <c r="G382" s="90">
        <v>45914.8374537037</v>
      </c>
      <c r="H382" s="1" t="s">
        <v>16476</v>
      </c>
    </row>
    <row r="383">
      <c r="A383" s="93">
        <v>131.0</v>
      </c>
      <c r="B383" s="92" t="s">
        <v>18467</v>
      </c>
      <c r="C383" s="92" t="s">
        <v>18815</v>
      </c>
      <c r="D383" s="92" t="s">
        <v>18765</v>
      </c>
      <c r="E383" s="94">
        <v>45113.53760416667</v>
      </c>
      <c r="F383" s="94">
        <v>46048.95914351852</v>
      </c>
      <c r="G383" s="90">
        <v>45914.836863425924</v>
      </c>
      <c r="H383" s="1" t="s">
        <v>16476</v>
      </c>
    </row>
    <row r="384">
      <c r="A384" s="93">
        <v>129.0</v>
      </c>
      <c r="B384" s="92" t="s">
        <v>18468</v>
      </c>
      <c r="C384" s="92" t="s">
        <v>1152</v>
      </c>
      <c r="D384" s="92" t="s">
        <v>18765</v>
      </c>
      <c r="E384" s="94">
        <v>45113.53758101852</v>
      </c>
      <c r="F384" s="94">
        <v>46048.95914351852</v>
      </c>
      <c r="G384" s="90">
        <v>45914.83629629629</v>
      </c>
      <c r="H384" s="1" t="s">
        <v>16476</v>
      </c>
    </row>
    <row r="385">
      <c r="A385" s="93">
        <v>128.0</v>
      </c>
      <c r="B385" s="92" t="s">
        <v>18469</v>
      </c>
      <c r="C385" s="92" t="s">
        <v>1141</v>
      </c>
      <c r="D385" s="92" t="s">
        <v>18765</v>
      </c>
      <c r="E385" s="94">
        <v>45113.537569444445</v>
      </c>
      <c r="F385" s="94">
        <v>46048.95914351852</v>
      </c>
      <c r="G385" s="90">
        <v>45914.8356712963</v>
      </c>
      <c r="H385" s="1" t="s">
        <v>16476</v>
      </c>
    </row>
    <row r="386">
      <c r="A386" s="93">
        <v>127.0</v>
      </c>
      <c r="B386" s="92" t="s">
        <v>18816</v>
      </c>
      <c r="C386" s="92" t="s">
        <v>5025</v>
      </c>
      <c r="D386" s="92" t="s">
        <v>18765</v>
      </c>
      <c r="E386" s="94">
        <v>45113.53755787037</v>
      </c>
      <c r="F386" s="94">
        <v>46048.95914351852</v>
      </c>
      <c r="G386" s="90">
        <v>45914.83505787037</v>
      </c>
      <c r="H386" s="1" t="s">
        <v>16476</v>
      </c>
    </row>
    <row r="387">
      <c r="A387" s="93">
        <v>126.0</v>
      </c>
      <c r="B387" s="92" t="s">
        <v>18471</v>
      </c>
      <c r="C387" s="92" t="s">
        <v>1133</v>
      </c>
      <c r="D387" s="92" t="s">
        <v>18765</v>
      </c>
      <c r="E387" s="94">
        <v>45113.5375462963</v>
      </c>
      <c r="F387" s="94">
        <v>46048.95914351852</v>
      </c>
      <c r="G387" s="90">
        <v>45914.83405092593</v>
      </c>
      <c r="H387" s="1" t="s">
        <v>16476</v>
      </c>
    </row>
    <row r="388">
      <c r="A388" s="93">
        <v>125.0</v>
      </c>
      <c r="B388" s="92" t="s">
        <v>18472</v>
      </c>
      <c r="C388" s="92" t="s">
        <v>1124</v>
      </c>
      <c r="D388" s="92" t="s">
        <v>18765</v>
      </c>
      <c r="E388" s="94">
        <v>45113.5375462963</v>
      </c>
      <c r="F388" s="94">
        <v>46048.95914351852</v>
      </c>
      <c r="G388" s="90">
        <v>45914.833344907405</v>
      </c>
      <c r="H388" s="1" t="s">
        <v>16476</v>
      </c>
    </row>
    <row r="389">
      <c r="A389" s="93">
        <v>124.0</v>
      </c>
      <c r="B389" s="92" t="s">
        <v>18473</v>
      </c>
      <c r="C389" s="92" t="s">
        <v>18817</v>
      </c>
      <c r="D389" s="92" t="s">
        <v>18765</v>
      </c>
      <c r="E389" s="94">
        <v>45113.53753472222</v>
      </c>
      <c r="F389" s="94">
        <v>46048.95914351852</v>
      </c>
      <c r="G389" s="90">
        <v>45914.832916666666</v>
      </c>
      <c r="H389" s="1" t="s">
        <v>16476</v>
      </c>
    </row>
    <row r="390">
      <c r="A390" s="93">
        <v>123.0</v>
      </c>
      <c r="B390" s="92" t="s">
        <v>18474</v>
      </c>
      <c r="C390" s="92" t="s">
        <v>1106</v>
      </c>
      <c r="D390" s="92" t="s">
        <v>18765</v>
      </c>
      <c r="E390" s="94">
        <v>45113.537523148145</v>
      </c>
      <c r="F390" s="94">
        <v>46048.95914351852</v>
      </c>
      <c r="G390" s="90">
        <v>45914.83199074074</v>
      </c>
      <c r="H390" s="1" t="s">
        <v>16476</v>
      </c>
    </row>
    <row r="391">
      <c r="A391" s="93">
        <v>122.0</v>
      </c>
      <c r="B391" s="92" t="s">
        <v>18475</v>
      </c>
      <c r="C391" s="92" t="s">
        <v>1098</v>
      </c>
      <c r="D391" s="92" t="s">
        <v>18765</v>
      </c>
      <c r="E391" s="94">
        <v>45113.537511574075</v>
      </c>
      <c r="F391" s="94">
        <v>46048.95914351852</v>
      </c>
      <c r="G391" s="90">
        <v>45914.83049768519</v>
      </c>
      <c r="H391" s="1" t="s">
        <v>16476</v>
      </c>
    </row>
    <row r="392">
      <c r="A392" s="93">
        <v>121.0</v>
      </c>
      <c r="B392" s="92" t="s">
        <v>18476</v>
      </c>
      <c r="C392" s="92" t="s">
        <v>4974</v>
      </c>
      <c r="D392" s="92" t="s">
        <v>18765</v>
      </c>
      <c r="E392" s="94">
        <v>45113.5375</v>
      </c>
      <c r="F392" s="94">
        <v>46048.95914351852</v>
      </c>
      <c r="G392" s="90">
        <v>45914.829421296294</v>
      </c>
      <c r="H392" s="1" t="s">
        <v>16476</v>
      </c>
    </row>
    <row r="393">
      <c r="A393" s="93">
        <v>120.0</v>
      </c>
      <c r="B393" s="92" t="s">
        <v>18477</v>
      </c>
      <c r="C393" s="92" t="s">
        <v>1080</v>
      </c>
      <c r="D393" s="92" t="s">
        <v>18765</v>
      </c>
      <c r="E393" s="94">
        <v>45113.53748842593</v>
      </c>
      <c r="F393" s="94">
        <v>46048.95914351852</v>
      </c>
      <c r="G393" s="90">
        <v>45914.82840277778</v>
      </c>
      <c r="H393" s="1" t="s">
        <v>16476</v>
      </c>
    </row>
    <row r="394">
      <c r="A394" s="93">
        <v>119.0</v>
      </c>
      <c r="B394" s="92" t="s">
        <v>18478</v>
      </c>
      <c r="C394" s="92" t="s">
        <v>1070</v>
      </c>
      <c r="D394" s="92" t="s">
        <v>18765</v>
      </c>
      <c r="E394" s="94">
        <v>45113.53748842593</v>
      </c>
      <c r="F394" s="94">
        <v>46048.95914351852</v>
      </c>
      <c r="G394" s="90">
        <v>45914.82776620371</v>
      </c>
      <c r="H394" s="1" t="s">
        <v>16476</v>
      </c>
    </row>
    <row r="395">
      <c r="A395" s="93">
        <v>118.0</v>
      </c>
      <c r="B395" s="92" t="s">
        <v>18479</v>
      </c>
      <c r="C395" s="92" t="s">
        <v>1063</v>
      </c>
      <c r="D395" s="92" t="s">
        <v>18765</v>
      </c>
      <c r="E395" s="94">
        <v>45113.53747685185</v>
      </c>
      <c r="F395" s="94">
        <v>46048.95914351852</v>
      </c>
      <c r="G395" s="90">
        <v>45914.827002314814</v>
      </c>
      <c r="H395" s="1" t="s">
        <v>16476</v>
      </c>
    </row>
    <row r="396">
      <c r="A396" s="93">
        <v>117.0</v>
      </c>
      <c r="B396" s="92" t="s">
        <v>18480</v>
      </c>
      <c r="C396" s="92" t="s">
        <v>1052</v>
      </c>
      <c r="D396" s="92" t="s">
        <v>18765</v>
      </c>
      <c r="E396" s="94">
        <v>45113.537465277775</v>
      </c>
      <c r="F396" s="94">
        <v>46048.95914351852</v>
      </c>
      <c r="G396" s="90">
        <v>45914.826574074075</v>
      </c>
      <c r="H396" s="1" t="s">
        <v>16476</v>
      </c>
    </row>
    <row r="397">
      <c r="A397" s="93">
        <v>116.0</v>
      </c>
      <c r="B397" s="92" t="s">
        <v>18481</v>
      </c>
      <c r="C397" s="92" t="s">
        <v>1047</v>
      </c>
      <c r="D397" s="92" t="s">
        <v>18765</v>
      </c>
      <c r="E397" s="94">
        <v>45113.537453703706</v>
      </c>
      <c r="F397" s="94">
        <v>46048.95914351852</v>
      </c>
      <c r="G397" s="90">
        <v>45914.82539351852</v>
      </c>
      <c r="H397" s="1" t="s">
        <v>16476</v>
      </c>
    </row>
    <row r="398">
      <c r="A398" s="93">
        <v>115.0</v>
      </c>
      <c r="B398" s="92" t="s">
        <v>18482</v>
      </c>
      <c r="C398" s="92" t="s">
        <v>1040</v>
      </c>
      <c r="D398" s="92" t="s">
        <v>18765</v>
      </c>
      <c r="E398" s="94">
        <v>45113.53744212963</v>
      </c>
      <c r="F398" s="94">
        <v>46048.95914351852</v>
      </c>
      <c r="G398" s="90">
        <v>45914.825011574074</v>
      </c>
      <c r="H398" s="1" t="s">
        <v>16476</v>
      </c>
    </row>
    <row r="399">
      <c r="A399" s="93">
        <v>113.0</v>
      </c>
      <c r="B399" s="92" t="s">
        <v>18483</v>
      </c>
      <c r="C399" s="92" t="s">
        <v>1022</v>
      </c>
      <c r="D399" s="92" t="s">
        <v>18765</v>
      </c>
      <c r="E399" s="94">
        <v>45113.53743055555</v>
      </c>
      <c r="F399" s="94">
        <v>46048.95914351852</v>
      </c>
      <c r="G399" s="90">
        <v>45914.824583333335</v>
      </c>
      <c r="H399" s="1" t="s">
        <v>16476</v>
      </c>
    </row>
    <row r="400">
      <c r="A400" s="93">
        <v>112.0</v>
      </c>
      <c r="B400" s="92" t="s">
        <v>18485</v>
      </c>
      <c r="C400" s="92" t="s">
        <v>1014</v>
      </c>
      <c r="D400" s="92" t="s">
        <v>18765</v>
      </c>
      <c r="E400" s="94">
        <v>45113.53741898148</v>
      </c>
      <c r="F400" s="94">
        <v>46048.95914351852</v>
      </c>
      <c r="G400" s="90">
        <v>45914.82373842593</v>
      </c>
      <c r="H400" s="1" t="s">
        <v>16476</v>
      </c>
    </row>
    <row r="401">
      <c r="A401" s="93">
        <v>110.0</v>
      </c>
      <c r="B401" s="92" t="s">
        <v>18486</v>
      </c>
      <c r="C401" s="92" t="s">
        <v>994</v>
      </c>
      <c r="D401" s="92" t="s">
        <v>18765</v>
      </c>
      <c r="E401" s="94">
        <v>45113.53739583334</v>
      </c>
      <c r="F401" s="94">
        <v>46048.95914351852</v>
      </c>
      <c r="G401" s="90">
        <v>45914.82314814815</v>
      </c>
      <c r="H401" s="1" t="s">
        <v>16476</v>
      </c>
    </row>
    <row r="402">
      <c r="A402" s="93">
        <v>109.0</v>
      </c>
      <c r="B402" s="92" t="s">
        <v>18487</v>
      </c>
      <c r="C402" s="92" t="s">
        <v>988</v>
      </c>
      <c r="D402" s="92" t="s">
        <v>18765</v>
      </c>
      <c r="E402" s="94">
        <v>45113.53738425926</v>
      </c>
      <c r="F402" s="94">
        <v>46048.95914351852</v>
      </c>
      <c r="G402" s="90">
        <v>45914.82237268519</v>
      </c>
      <c r="H402" s="1" t="s">
        <v>16476</v>
      </c>
    </row>
    <row r="403">
      <c r="A403" s="93">
        <v>106.0</v>
      </c>
      <c r="B403" s="92" t="s">
        <v>18488</v>
      </c>
      <c r="C403" s="92" t="s">
        <v>971</v>
      </c>
      <c r="D403" s="92" t="s">
        <v>18765</v>
      </c>
      <c r="E403" s="94">
        <v>45113.53736111111</v>
      </c>
      <c r="F403" s="94">
        <v>46048.95914351852</v>
      </c>
      <c r="G403" s="90">
        <v>45914.821967592594</v>
      </c>
      <c r="H403" s="1" t="s">
        <v>16476</v>
      </c>
    </row>
    <row r="404">
      <c r="A404" s="93">
        <v>105.0</v>
      </c>
      <c r="B404" s="92" t="s">
        <v>18489</v>
      </c>
      <c r="C404" s="92" t="s">
        <v>963</v>
      </c>
      <c r="D404" s="92" t="s">
        <v>18765</v>
      </c>
      <c r="E404" s="94">
        <v>45113.53734953704</v>
      </c>
      <c r="F404" s="94">
        <v>46048.95914351852</v>
      </c>
      <c r="G404" s="90">
        <v>45914.82158564815</v>
      </c>
      <c r="H404" s="1" t="s">
        <v>16476</v>
      </c>
    </row>
    <row r="405">
      <c r="A405" s="93">
        <v>104.0</v>
      </c>
      <c r="B405" s="92" t="s">
        <v>18490</v>
      </c>
      <c r="C405" s="92" t="s">
        <v>952</v>
      </c>
      <c r="D405" s="92" t="s">
        <v>18765</v>
      </c>
      <c r="E405" s="94">
        <v>45113.53733796296</v>
      </c>
      <c r="F405" s="94">
        <v>46048.95914351852</v>
      </c>
      <c r="G405" s="90">
        <v>45914.82079861111</v>
      </c>
      <c r="H405" s="1" t="s">
        <v>16476</v>
      </c>
    </row>
    <row r="406">
      <c r="A406" s="93">
        <v>103.0</v>
      </c>
      <c r="B406" s="92" t="s">
        <v>18491</v>
      </c>
      <c r="C406" s="92" t="s">
        <v>944</v>
      </c>
      <c r="D406" s="92" t="s">
        <v>18765</v>
      </c>
      <c r="E406" s="94">
        <v>45113.53733796296</v>
      </c>
      <c r="F406" s="94">
        <v>46048.95914351852</v>
      </c>
      <c r="G406" s="90">
        <v>45914.820185185185</v>
      </c>
      <c r="H406" s="1" t="s">
        <v>16476</v>
      </c>
    </row>
    <row r="407">
      <c r="A407" s="93">
        <v>102.0</v>
      </c>
      <c r="B407" s="92" t="s">
        <v>18492</v>
      </c>
      <c r="C407" s="92" t="s">
        <v>935</v>
      </c>
      <c r="D407" s="92" t="s">
        <v>18765</v>
      </c>
      <c r="E407" s="94">
        <v>45113.53732638889</v>
      </c>
      <c r="F407" s="94">
        <v>46048.95914351852</v>
      </c>
      <c r="G407" s="90">
        <v>45914.81979166667</v>
      </c>
      <c r="H407" s="1" t="s">
        <v>16476</v>
      </c>
    </row>
    <row r="408">
      <c r="A408" s="93">
        <v>101.0</v>
      </c>
      <c r="B408" s="92" t="s">
        <v>18493</v>
      </c>
      <c r="C408" s="92" t="s">
        <v>927</v>
      </c>
      <c r="D408" s="92" t="s">
        <v>18765</v>
      </c>
      <c r="E408" s="94">
        <v>45113.537314814814</v>
      </c>
      <c r="F408" s="94">
        <v>46048.959131944444</v>
      </c>
      <c r="G408" s="90">
        <v>45914.81861111111</v>
      </c>
      <c r="H408" s="1" t="s">
        <v>16476</v>
      </c>
    </row>
    <row r="409">
      <c r="A409" s="93">
        <v>100.0</v>
      </c>
      <c r="B409" s="92" t="s">
        <v>18494</v>
      </c>
      <c r="C409" s="92" t="s">
        <v>917</v>
      </c>
      <c r="D409" s="92" t="s">
        <v>18765</v>
      </c>
      <c r="E409" s="94">
        <v>45113.537303240744</v>
      </c>
      <c r="F409" s="94">
        <v>46048.959131944444</v>
      </c>
      <c r="G409" s="90">
        <v>45914.81741898148</v>
      </c>
      <c r="H409" s="1" t="s">
        <v>16476</v>
      </c>
    </row>
    <row r="410">
      <c r="A410" s="93">
        <v>99.0</v>
      </c>
      <c r="B410" s="92" t="s">
        <v>18495</v>
      </c>
      <c r="C410" s="92" t="s">
        <v>908</v>
      </c>
      <c r="D410" s="92" t="s">
        <v>18765</v>
      </c>
      <c r="E410" s="94">
        <v>45113.53729166667</v>
      </c>
      <c r="F410" s="94">
        <v>46048.959131944444</v>
      </c>
      <c r="G410" s="90">
        <v>45914.816354166665</v>
      </c>
      <c r="H410" s="1" t="s">
        <v>16476</v>
      </c>
    </row>
    <row r="411">
      <c r="A411" s="93">
        <v>98.0</v>
      </c>
      <c r="B411" s="92" t="s">
        <v>18496</v>
      </c>
      <c r="C411" s="92" t="s">
        <v>900</v>
      </c>
      <c r="D411" s="92" t="s">
        <v>18765</v>
      </c>
      <c r="E411" s="94">
        <v>45113.53728009259</v>
      </c>
      <c r="F411" s="94">
        <v>46048.959131944444</v>
      </c>
      <c r="G411" s="90">
        <v>45914.81565972222</v>
      </c>
      <c r="H411" s="1" t="s">
        <v>16476</v>
      </c>
    </row>
    <row r="412">
      <c r="A412" s="93">
        <v>97.0</v>
      </c>
      <c r="B412" s="92" t="s">
        <v>18497</v>
      </c>
      <c r="C412" s="92" t="s">
        <v>891</v>
      </c>
      <c r="D412" s="92" t="s">
        <v>18765</v>
      </c>
      <c r="E412" s="94">
        <v>45113.53728009259</v>
      </c>
      <c r="F412" s="94">
        <v>46048.959131944444</v>
      </c>
      <c r="G412" s="90">
        <v>45914.81532407407</v>
      </c>
      <c r="H412" s="1" t="s">
        <v>16476</v>
      </c>
    </row>
    <row r="413">
      <c r="A413" s="93">
        <v>96.0</v>
      </c>
      <c r="B413" s="92" t="s">
        <v>18498</v>
      </c>
      <c r="C413" s="92" t="s">
        <v>879</v>
      </c>
      <c r="D413" s="92" t="s">
        <v>18765</v>
      </c>
      <c r="E413" s="94">
        <v>45113.53726851852</v>
      </c>
      <c r="F413" s="94">
        <v>46048.959131944444</v>
      </c>
      <c r="G413" s="90">
        <v>45914.81462962963</v>
      </c>
      <c r="H413" s="1" t="s">
        <v>16476</v>
      </c>
    </row>
    <row r="414">
      <c r="A414" s="93">
        <v>95.0</v>
      </c>
      <c r="B414" s="92" t="s">
        <v>18499</v>
      </c>
      <c r="C414" s="92" t="s">
        <v>870</v>
      </c>
      <c r="D414" s="92" t="s">
        <v>18765</v>
      </c>
      <c r="E414" s="94">
        <v>45113.537256944444</v>
      </c>
      <c r="F414" s="94">
        <v>46048.959131944444</v>
      </c>
      <c r="G414" s="90">
        <v>45914.81392361111</v>
      </c>
      <c r="H414" s="1" t="s">
        <v>16476</v>
      </c>
    </row>
    <row r="415">
      <c r="A415" s="93">
        <v>94.0</v>
      </c>
      <c r="B415" s="92" t="s">
        <v>18500</v>
      </c>
      <c r="C415" s="92" t="s">
        <v>864</v>
      </c>
      <c r="D415" s="92" t="s">
        <v>18765</v>
      </c>
      <c r="E415" s="94">
        <v>45113.53724537037</v>
      </c>
      <c r="F415" s="94">
        <v>46048.959131944444</v>
      </c>
      <c r="G415" s="90">
        <v>45914.8062037037</v>
      </c>
      <c r="H415" s="1" t="s">
        <v>16476</v>
      </c>
    </row>
    <row r="416">
      <c r="A416" s="93">
        <v>93.0</v>
      </c>
      <c r="B416" s="92" t="s">
        <v>18501</v>
      </c>
      <c r="C416" s="92" t="s">
        <v>856</v>
      </c>
      <c r="D416" s="92" t="s">
        <v>18765</v>
      </c>
      <c r="E416" s="94">
        <v>45113.5372337963</v>
      </c>
      <c r="F416" s="94">
        <v>46048.959131944444</v>
      </c>
      <c r="G416" s="90">
        <v>45914.80583333333</v>
      </c>
      <c r="H416" s="1" t="s">
        <v>16476</v>
      </c>
    </row>
    <row r="417">
      <c r="A417" s="93">
        <v>92.0</v>
      </c>
      <c r="B417" s="92" t="s">
        <v>18502</v>
      </c>
      <c r="C417" s="92" t="s">
        <v>849</v>
      </c>
      <c r="D417" s="92" t="s">
        <v>18765</v>
      </c>
      <c r="E417" s="94">
        <v>45113.5372337963</v>
      </c>
      <c r="F417" s="94">
        <v>46048.959131944444</v>
      </c>
      <c r="G417" s="90">
        <v>45914.805497685185</v>
      </c>
      <c r="H417" s="1" t="s">
        <v>16476</v>
      </c>
    </row>
    <row r="418">
      <c r="A418" s="93">
        <v>91.0</v>
      </c>
      <c r="B418" s="92" t="s">
        <v>18503</v>
      </c>
      <c r="C418" s="92" t="s">
        <v>839</v>
      </c>
      <c r="D418" s="92" t="s">
        <v>18765</v>
      </c>
      <c r="E418" s="94">
        <v>45113.53722222222</v>
      </c>
      <c r="F418" s="94">
        <v>46048.959131944444</v>
      </c>
      <c r="G418" s="90">
        <v>45914.8041087963</v>
      </c>
      <c r="H418" s="1" t="s">
        <v>16476</v>
      </c>
    </row>
    <row r="419">
      <c r="A419" s="93">
        <v>90.0</v>
      </c>
      <c r="B419" s="92" t="s">
        <v>18505</v>
      </c>
      <c r="C419" s="92" t="s">
        <v>828</v>
      </c>
      <c r="D419" s="92" t="s">
        <v>18765</v>
      </c>
      <c r="E419" s="94">
        <v>45113.537210648145</v>
      </c>
      <c r="F419" s="94">
        <v>46048.959131944444</v>
      </c>
      <c r="G419" s="90">
        <v>45914.803761574076</v>
      </c>
      <c r="H419" s="1" t="s">
        <v>16476</v>
      </c>
    </row>
    <row r="420">
      <c r="A420" s="93">
        <v>89.0</v>
      </c>
      <c r="B420" s="92" t="s">
        <v>18506</v>
      </c>
      <c r="C420" s="92" t="s">
        <v>819</v>
      </c>
      <c r="D420" s="92" t="s">
        <v>18765</v>
      </c>
      <c r="E420" s="94">
        <v>45113.537199074075</v>
      </c>
      <c r="F420" s="94">
        <v>46048.959131944444</v>
      </c>
      <c r="G420" s="90">
        <v>45914.802777777775</v>
      </c>
      <c r="H420" s="1" t="s">
        <v>16476</v>
      </c>
    </row>
    <row r="421">
      <c r="A421" s="93">
        <v>88.0</v>
      </c>
      <c r="B421" s="92" t="s">
        <v>18507</v>
      </c>
      <c r="C421" s="92" t="s">
        <v>18818</v>
      </c>
      <c r="D421" s="92" t="s">
        <v>18765</v>
      </c>
      <c r="E421" s="94">
        <v>45113.5371875</v>
      </c>
      <c r="F421" s="94">
        <v>46048.959131944444</v>
      </c>
      <c r="G421" s="90">
        <v>45914.80241898148</v>
      </c>
      <c r="H421" s="1" t="s">
        <v>16476</v>
      </c>
    </row>
    <row r="422">
      <c r="A422" s="93">
        <v>86.0</v>
      </c>
      <c r="B422" s="92" t="s">
        <v>18508</v>
      </c>
      <c r="C422" s="92" t="s">
        <v>794</v>
      </c>
      <c r="D422" s="92" t="s">
        <v>18765</v>
      </c>
      <c r="E422" s="94">
        <v>45113.53717592593</v>
      </c>
      <c r="F422" s="94">
        <v>46048.959131944444</v>
      </c>
      <c r="G422" s="90">
        <v>45914.802094907405</v>
      </c>
      <c r="H422" s="1" t="s">
        <v>16476</v>
      </c>
    </row>
    <row r="423">
      <c r="A423" s="93">
        <v>85.0</v>
      </c>
      <c r="B423" s="92" t="s">
        <v>18509</v>
      </c>
      <c r="C423" s="92" t="s">
        <v>18819</v>
      </c>
      <c r="D423" s="92" t="s">
        <v>18765</v>
      </c>
      <c r="E423" s="94">
        <v>45113.53716435185</v>
      </c>
      <c r="F423" s="94">
        <v>46048.959131944444</v>
      </c>
      <c r="G423" s="90">
        <v>45914.80170138889</v>
      </c>
      <c r="H423" s="1" t="s">
        <v>16476</v>
      </c>
    </row>
    <row r="424">
      <c r="A424" s="93">
        <v>84.0</v>
      </c>
      <c r="B424" s="92" t="s">
        <v>18510</v>
      </c>
      <c r="C424" s="92" t="s">
        <v>776</v>
      </c>
      <c r="D424" s="92" t="s">
        <v>18765</v>
      </c>
      <c r="E424" s="94">
        <v>45113.537152777775</v>
      </c>
      <c r="F424" s="94">
        <v>46048.959131944444</v>
      </c>
      <c r="G424" s="90">
        <v>45914.80134259259</v>
      </c>
      <c r="H424" s="1" t="s">
        <v>16476</v>
      </c>
    </row>
    <row r="425">
      <c r="A425" s="93">
        <v>83.0</v>
      </c>
      <c r="B425" s="92" t="s">
        <v>18511</v>
      </c>
      <c r="C425" s="92" t="s">
        <v>18820</v>
      </c>
      <c r="D425" s="92" t="s">
        <v>18765</v>
      </c>
      <c r="E425" s="94">
        <v>45113.537141203706</v>
      </c>
      <c r="F425" s="94">
        <v>46048.959131944444</v>
      </c>
      <c r="G425" s="90">
        <v>45914.80055555556</v>
      </c>
      <c r="H425" s="1" t="s">
        <v>16476</v>
      </c>
    </row>
    <row r="426">
      <c r="A426" s="93">
        <v>82.0</v>
      </c>
      <c r="B426" s="92" t="s">
        <v>18512</v>
      </c>
      <c r="C426" s="92" t="s">
        <v>760</v>
      </c>
      <c r="D426" s="92" t="s">
        <v>18765</v>
      </c>
      <c r="E426" s="94">
        <v>45113.53712962963</v>
      </c>
      <c r="F426" s="94">
        <v>46048.959131944444</v>
      </c>
      <c r="G426" s="90">
        <v>45914.789722222224</v>
      </c>
      <c r="H426" s="1" t="s">
        <v>16476</v>
      </c>
    </row>
    <row r="427">
      <c r="A427" s="93">
        <v>81.0</v>
      </c>
      <c r="B427" s="92" t="s">
        <v>18513</v>
      </c>
      <c r="C427" s="92" t="s">
        <v>752</v>
      </c>
      <c r="D427" s="92" t="s">
        <v>18765</v>
      </c>
      <c r="E427" s="94">
        <v>45113.53712962963</v>
      </c>
      <c r="F427" s="94">
        <v>46048.959131944444</v>
      </c>
      <c r="G427" s="90">
        <v>45914.78896990741</v>
      </c>
      <c r="H427" s="1" t="s">
        <v>16476</v>
      </c>
    </row>
    <row r="428">
      <c r="A428" s="93">
        <v>80.0</v>
      </c>
      <c r="B428" s="92" t="s">
        <v>18514</v>
      </c>
      <c r="C428" s="92" t="s">
        <v>744</v>
      </c>
      <c r="D428" s="92" t="s">
        <v>18765</v>
      </c>
      <c r="E428" s="94">
        <v>45113.53711805555</v>
      </c>
      <c r="F428" s="94">
        <v>46048.959131944444</v>
      </c>
      <c r="G428" s="90">
        <v>45914.7878587963</v>
      </c>
      <c r="H428" s="1" t="s">
        <v>16476</v>
      </c>
    </row>
    <row r="429">
      <c r="A429" s="93">
        <v>79.0</v>
      </c>
      <c r="B429" s="92" t="s">
        <v>18821</v>
      </c>
      <c r="C429" s="92" t="s">
        <v>740</v>
      </c>
      <c r="D429" s="92" t="s">
        <v>18765</v>
      </c>
      <c r="E429" s="94">
        <v>45113.53710648148</v>
      </c>
      <c r="F429" s="94">
        <v>46048.959131944444</v>
      </c>
      <c r="G429" s="90">
        <v>45914.78739583334</v>
      </c>
      <c r="H429" s="1" t="s">
        <v>16476</v>
      </c>
    </row>
    <row r="430">
      <c r="A430" s="93">
        <v>77.0</v>
      </c>
      <c r="B430" s="92" t="s">
        <v>18516</v>
      </c>
      <c r="C430" s="92" t="s">
        <v>720</v>
      </c>
      <c r="D430" s="92" t="s">
        <v>18765</v>
      </c>
      <c r="E430" s="94">
        <v>45113.537083333336</v>
      </c>
      <c r="F430" s="94">
        <v>46048.959131944444</v>
      </c>
      <c r="G430" s="90">
        <v>45914.78659722222</v>
      </c>
      <c r="H430" s="1" t="s">
        <v>16476</v>
      </c>
    </row>
    <row r="431">
      <c r="A431" s="93">
        <v>75.0</v>
      </c>
      <c r="B431" s="92" t="s">
        <v>18517</v>
      </c>
      <c r="C431" s="92" t="s">
        <v>697</v>
      </c>
      <c r="D431" s="92" t="s">
        <v>18765</v>
      </c>
      <c r="E431" s="94">
        <v>45113.53707175926</v>
      </c>
      <c r="F431" s="94">
        <v>46048.959131944444</v>
      </c>
      <c r="G431" s="90">
        <v>45914.78581018518</v>
      </c>
      <c r="H431" s="1" t="s">
        <v>16476</v>
      </c>
    </row>
    <row r="432">
      <c r="A432" s="93">
        <v>74.0</v>
      </c>
      <c r="B432" s="92" t="s">
        <v>18518</v>
      </c>
      <c r="C432" s="92" t="s">
        <v>688</v>
      </c>
      <c r="D432" s="92" t="s">
        <v>18765</v>
      </c>
      <c r="E432" s="94">
        <v>45113.53706018518</v>
      </c>
      <c r="F432" s="94">
        <v>46048.959131944444</v>
      </c>
      <c r="G432" s="90">
        <v>45914.785104166665</v>
      </c>
      <c r="H432" s="1" t="s">
        <v>16476</v>
      </c>
    </row>
    <row r="433">
      <c r="A433" s="93">
        <v>73.0</v>
      </c>
      <c r="B433" s="92" t="s">
        <v>18519</v>
      </c>
      <c r="C433" s="92" t="s">
        <v>681</v>
      </c>
      <c r="D433" s="92" t="s">
        <v>18765</v>
      </c>
      <c r="E433" s="94">
        <v>45113.53704861111</v>
      </c>
      <c r="F433" s="94">
        <v>46048.959131944444</v>
      </c>
      <c r="G433" s="90">
        <v>45914.784467592595</v>
      </c>
      <c r="H433" s="1" t="s">
        <v>16476</v>
      </c>
    </row>
    <row r="434">
      <c r="A434" s="93">
        <v>72.0</v>
      </c>
      <c r="B434" s="92" t="s">
        <v>18822</v>
      </c>
      <c r="C434" s="92" t="s">
        <v>671</v>
      </c>
      <c r="D434" s="92" t="s">
        <v>18765</v>
      </c>
      <c r="E434" s="94">
        <v>45113.53703703704</v>
      </c>
      <c r="F434" s="94">
        <v>46048.959131944444</v>
      </c>
      <c r="G434" s="90">
        <v>45914.78408564815</v>
      </c>
      <c r="H434" s="1" t="s">
        <v>16476</v>
      </c>
    </row>
    <row r="435">
      <c r="A435" s="93">
        <v>71.0</v>
      </c>
      <c r="B435" s="92" t="s">
        <v>18521</v>
      </c>
      <c r="C435" s="92" t="s">
        <v>662</v>
      </c>
      <c r="D435" s="92" t="s">
        <v>18765</v>
      </c>
      <c r="E435" s="94">
        <v>45113.53702546296</v>
      </c>
      <c r="F435" s="94">
        <v>46048.959131944444</v>
      </c>
      <c r="G435" s="90">
        <v>45914.78377314815</v>
      </c>
      <c r="H435" s="1" t="s">
        <v>16476</v>
      </c>
    </row>
    <row r="436">
      <c r="A436" s="93">
        <v>70.0</v>
      </c>
      <c r="B436" s="92" t="s">
        <v>18522</v>
      </c>
      <c r="C436" s="92" t="s">
        <v>655</v>
      </c>
      <c r="D436" s="92" t="s">
        <v>18765</v>
      </c>
      <c r="E436" s="94">
        <v>45113.53701388889</v>
      </c>
      <c r="F436" s="94">
        <v>46048.959131944444</v>
      </c>
      <c r="G436" s="90">
        <v>45914.78344907407</v>
      </c>
      <c r="H436" s="1" t="s">
        <v>16476</v>
      </c>
    </row>
    <row r="437">
      <c r="A437" s="93">
        <v>68.0</v>
      </c>
      <c r="B437" s="92" t="s">
        <v>18523</v>
      </c>
      <c r="C437" s="92" t="s">
        <v>639</v>
      </c>
      <c r="D437" s="92" t="s">
        <v>18765</v>
      </c>
      <c r="E437" s="94">
        <v>45113.53700231481</v>
      </c>
      <c r="F437" s="94">
        <v>46048.959131944444</v>
      </c>
      <c r="G437" s="90">
        <v>45914.780625</v>
      </c>
      <c r="H437" s="1" t="s">
        <v>16476</v>
      </c>
    </row>
    <row r="438">
      <c r="A438" s="93">
        <v>67.0</v>
      </c>
      <c r="B438" s="92" t="s">
        <v>18524</v>
      </c>
      <c r="C438" s="92" t="s">
        <v>632</v>
      </c>
      <c r="D438" s="92" t="s">
        <v>18765</v>
      </c>
      <c r="E438" s="94">
        <v>45113.536990740744</v>
      </c>
      <c r="F438" s="94">
        <v>46048.95912037037</v>
      </c>
      <c r="G438" s="90">
        <v>45914.78015046296</v>
      </c>
      <c r="H438" s="1" t="s">
        <v>16476</v>
      </c>
    </row>
    <row r="439">
      <c r="A439" s="93">
        <v>66.0</v>
      </c>
      <c r="B439" s="92" t="s">
        <v>18823</v>
      </c>
      <c r="C439" s="92" t="s">
        <v>622</v>
      </c>
      <c r="D439" s="92" t="s">
        <v>18765</v>
      </c>
      <c r="E439" s="94">
        <v>45113.53697916667</v>
      </c>
      <c r="F439" s="94">
        <v>46048.95912037037</v>
      </c>
      <c r="G439" s="90">
        <v>45914.7787962963</v>
      </c>
      <c r="H439" s="1" t="s">
        <v>16476</v>
      </c>
    </row>
    <row r="440">
      <c r="A440" s="93">
        <v>64.0</v>
      </c>
      <c r="B440" s="92" t="s">
        <v>18526</v>
      </c>
      <c r="C440" s="92" t="s">
        <v>607</v>
      </c>
      <c r="D440" s="92" t="s">
        <v>18765</v>
      </c>
      <c r="E440" s="94">
        <v>45113.53695601852</v>
      </c>
      <c r="F440" s="94">
        <v>46048.95912037037</v>
      </c>
      <c r="G440" s="90">
        <v>45914.77820601852</v>
      </c>
      <c r="H440" s="1" t="s">
        <v>16476</v>
      </c>
    </row>
    <row r="441">
      <c r="A441" s="93">
        <v>63.0</v>
      </c>
      <c r="B441" s="92" t="s">
        <v>18527</v>
      </c>
      <c r="C441" s="92" t="s">
        <v>599</v>
      </c>
      <c r="D441" s="92" t="s">
        <v>18765</v>
      </c>
      <c r="E441" s="94">
        <v>45113.53695601852</v>
      </c>
      <c r="F441" s="94">
        <v>46048.95912037037</v>
      </c>
      <c r="G441" s="90">
        <v>45914.7775</v>
      </c>
      <c r="H441" s="1" t="s">
        <v>16476</v>
      </c>
    </row>
    <row r="442">
      <c r="A442" s="93">
        <v>62.0</v>
      </c>
      <c r="B442" s="92" t="s">
        <v>18528</v>
      </c>
      <c r="C442" s="92" t="s">
        <v>589</v>
      </c>
      <c r="D442" s="92" t="s">
        <v>18765</v>
      </c>
      <c r="E442" s="94">
        <v>45113.536944444444</v>
      </c>
      <c r="F442" s="94">
        <v>46048.95912037037</v>
      </c>
      <c r="G442" s="90">
        <v>45914.77653935185</v>
      </c>
      <c r="H442" s="1" t="s">
        <v>16476</v>
      </c>
    </row>
    <row r="443">
      <c r="A443" s="93">
        <v>61.0</v>
      </c>
      <c r="B443" s="92" t="s">
        <v>18529</v>
      </c>
      <c r="C443" s="92" t="s">
        <v>578</v>
      </c>
      <c r="D443" s="92" t="s">
        <v>18765</v>
      </c>
      <c r="E443" s="94">
        <v>45113.53693287037</v>
      </c>
      <c r="F443" s="94">
        <v>46048.95912037037</v>
      </c>
      <c r="G443" s="90">
        <v>45913.975266203706</v>
      </c>
      <c r="H443" s="1" t="s">
        <v>16476</v>
      </c>
    </row>
    <row r="444">
      <c r="A444" s="93">
        <v>59.0</v>
      </c>
      <c r="B444" s="92" t="s">
        <v>18530</v>
      </c>
      <c r="C444" s="92" t="s">
        <v>561</v>
      </c>
      <c r="D444" s="92" t="s">
        <v>18765</v>
      </c>
      <c r="E444" s="94">
        <v>45113.53690972222</v>
      </c>
      <c r="F444" s="94">
        <v>46048.95912037037</v>
      </c>
      <c r="G444" s="90">
        <v>45913.97453703704</v>
      </c>
      <c r="H444" s="1" t="s">
        <v>16476</v>
      </c>
    </row>
    <row r="445">
      <c r="A445" s="93">
        <v>58.0</v>
      </c>
      <c r="B445" s="92" t="s">
        <v>18531</v>
      </c>
      <c r="C445" s="92" t="s">
        <v>555</v>
      </c>
      <c r="D445" s="92" t="s">
        <v>18765</v>
      </c>
      <c r="E445" s="94">
        <v>45113.53689814815</v>
      </c>
      <c r="F445" s="94">
        <v>46048.95912037037</v>
      </c>
      <c r="G445" s="90">
        <v>45913.973495370374</v>
      </c>
      <c r="H445" s="1" t="s">
        <v>16476</v>
      </c>
    </row>
    <row r="446">
      <c r="A446" s="93">
        <v>57.0</v>
      </c>
      <c r="B446" s="92" t="s">
        <v>18532</v>
      </c>
      <c r="C446" s="92" t="s">
        <v>549</v>
      </c>
      <c r="D446" s="92" t="s">
        <v>18765</v>
      </c>
      <c r="E446" s="94">
        <v>45113.53689814815</v>
      </c>
      <c r="F446" s="94">
        <v>46048.95912037037</v>
      </c>
      <c r="G446" s="90">
        <v>45913.971863425926</v>
      </c>
      <c r="H446" s="1" t="s">
        <v>16476</v>
      </c>
    </row>
    <row r="447">
      <c r="A447" s="93">
        <v>56.0</v>
      </c>
      <c r="B447" s="92" t="s">
        <v>18533</v>
      </c>
      <c r="C447" s="92" t="s">
        <v>537</v>
      </c>
      <c r="D447" s="92" t="s">
        <v>18765</v>
      </c>
      <c r="E447" s="94">
        <v>45113.536886574075</v>
      </c>
      <c r="F447" s="94">
        <v>46048.95912037037</v>
      </c>
      <c r="G447" s="90">
        <v>45913.97136574074</v>
      </c>
      <c r="H447" s="1" t="s">
        <v>16476</v>
      </c>
    </row>
    <row r="448">
      <c r="A448" s="93">
        <v>55.0</v>
      </c>
      <c r="B448" s="92" t="s">
        <v>18534</v>
      </c>
      <c r="C448" s="92" t="s">
        <v>530</v>
      </c>
      <c r="D448" s="92" t="s">
        <v>18765</v>
      </c>
      <c r="E448" s="94">
        <v>45113.536875</v>
      </c>
      <c r="F448" s="94">
        <v>46048.95912037037</v>
      </c>
      <c r="G448" s="90">
        <v>45913.97101851852</v>
      </c>
      <c r="H448" s="1" t="s">
        <v>16476</v>
      </c>
    </row>
    <row r="449">
      <c r="A449" s="93">
        <v>53.0</v>
      </c>
      <c r="B449" s="92" t="s">
        <v>18535</v>
      </c>
      <c r="C449" s="92" t="s">
        <v>513</v>
      </c>
      <c r="D449" s="92" t="s">
        <v>18765</v>
      </c>
      <c r="E449" s="94">
        <v>45113.53685185185</v>
      </c>
      <c r="F449" s="94">
        <v>46048.95912037037</v>
      </c>
      <c r="G449" s="90">
        <v>45913.97048611111</v>
      </c>
      <c r="H449" s="1" t="s">
        <v>16476</v>
      </c>
    </row>
    <row r="450">
      <c r="A450" s="93">
        <v>51.0</v>
      </c>
      <c r="B450" s="92" t="s">
        <v>18536</v>
      </c>
      <c r="C450" s="92" t="s">
        <v>489</v>
      </c>
      <c r="D450" s="92" t="s">
        <v>18765</v>
      </c>
      <c r="E450" s="94">
        <v>45113.536840277775</v>
      </c>
      <c r="F450" s="94">
        <v>46048.95912037037</v>
      </c>
      <c r="G450" s="90">
        <v>45913.96971064815</v>
      </c>
      <c r="H450" s="1" t="s">
        <v>16476</v>
      </c>
    </row>
    <row r="451">
      <c r="A451" s="93">
        <v>50.0</v>
      </c>
      <c r="B451" s="92" t="s">
        <v>18537</v>
      </c>
      <c r="C451" s="92" t="s">
        <v>480</v>
      </c>
      <c r="D451" s="92" t="s">
        <v>18765</v>
      </c>
      <c r="E451" s="94">
        <v>45113.536828703705</v>
      </c>
      <c r="F451" s="94">
        <v>46048.95912037037</v>
      </c>
      <c r="G451" s="90">
        <v>45913.9687962963</v>
      </c>
      <c r="H451" s="1" t="s">
        <v>16476</v>
      </c>
    </row>
    <row r="452">
      <c r="A452" s="93">
        <v>49.0</v>
      </c>
      <c r="B452" s="92" t="s">
        <v>18538</v>
      </c>
      <c r="C452" s="92" t="s">
        <v>471</v>
      </c>
      <c r="D452" s="92" t="s">
        <v>18765</v>
      </c>
      <c r="E452" s="94">
        <v>45113.53681712963</v>
      </c>
      <c r="F452" s="94">
        <v>46048.95912037037</v>
      </c>
      <c r="G452" s="90">
        <v>45913.96828703704</v>
      </c>
      <c r="H452" s="1" t="s">
        <v>16476</v>
      </c>
    </row>
    <row r="453">
      <c r="A453" s="93">
        <v>48.0</v>
      </c>
      <c r="B453" s="92" t="s">
        <v>18539</v>
      </c>
      <c r="C453" s="92" t="s">
        <v>460</v>
      </c>
      <c r="D453" s="92" t="s">
        <v>18765</v>
      </c>
      <c r="E453" s="94">
        <v>45113.53680555556</v>
      </c>
      <c r="F453" s="94">
        <v>46048.95912037037</v>
      </c>
      <c r="G453" s="90">
        <v>45913.967465277776</v>
      </c>
      <c r="H453" s="1" t="s">
        <v>16476</v>
      </c>
    </row>
    <row r="454">
      <c r="A454" s="93">
        <v>47.0</v>
      </c>
      <c r="B454" s="92" t="s">
        <v>18540</v>
      </c>
      <c r="C454" s="92" t="s">
        <v>451</v>
      </c>
      <c r="D454" s="92" t="s">
        <v>18765</v>
      </c>
      <c r="E454" s="94">
        <v>45113.53679398148</v>
      </c>
      <c r="F454" s="94">
        <v>46048.95912037037</v>
      </c>
      <c r="G454" s="90">
        <v>45913.965532407405</v>
      </c>
      <c r="H454" s="1" t="s">
        <v>16476</v>
      </c>
    </row>
    <row r="455">
      <c r="A455" s="93">
        <v>46.0</v>
      </c>
      <c r="B455" s="92" t="s">
        <v>18541</v>
      </c>
      <c r="C455" s="92" t="s">
        <v>441</v>
      </c>
      <c r="D455" s="92" t="s">
        <v>18765</v>
      </c>
      <c r="E455" s="94">
        <v>45113.53679398148</v>
      </c>
      <c r="F455" s="94">
        <v>46048.95912037037</v>
      </c>
      <c r="G455" s="90">
        <v>45913.9640162037</v>
      </c>
      <c r="H455" s="1" t="s">
        <v>16476</v>
      </c>
    </row>
    <row r="456">
      <c r="A456" s="93">
        <v>45.0</v>
      </c>
      <c r="B456" s="92" t="s">
        <v>18542</v>
      </c>
      <c r="C456" s="92" t="s">
        <v>434</v>
      </c>
      <c r="D456" s="92" t="s">
        <v>18765</v>
      </c>
      <c r="E456" s="94">
        <v>45113.536782407406</v>
      </c>
      <c r="F456" s="94">
        <v>46048.95912037037</v>
      </c>
      <c r="G456" s="90">
        <v>45913.96335648148</v>
      </c>
      <c r="H456" s="1" t="s">
        <v>16476</v>
      </c>
    </row>
    <row r="457">
      <c r="A457" s="93">
        <v>44.0</v>
      </c>
      <c r="B457" s="92" t="s">
        <v>18543</v>
      </c>
      <c r="C457" s="92" t="s">
        <v>424</v>
      </c>
      <c r="D457" s="92" t="s">
        <v>18765</v>
      </c>
      <c r="E457" s="94">
        <v>45113.536770833336</v>
      </c>
      <c r="F457" s="94">
        <v>46048.95912037037</v>
      </c>
      <c r="G457" s="90">
        <v>45913.962685185186</v>
      </c>
      <c r="H457" s="1" t="s">
        <v>16476</v>
      </c>
    </row>
    <row r="458">
      <c r="A458" s="93">
        <v>43.0</v>
      </c>
      <c r="B458" s="92" t="s">
        <v>18544</v>
      </c>
      <c r="C458" s="92" t="s">
        <v>416</v>
      </c>
      <c r="D458" s="92" t="s">
        <v>18765</v>
      </c>
      <c r="E458" s="94">
        <v>45113.53675925926</v>
      </c>
      <c r="F458" s="94">
        <v>46048.95912037037</v>
      </c>
      <c r="G458" s="90">
        <v>45913.96114583333</v>
      </c>
      <c r="H458" s="1" t="s">
        <v>16476</v>
      </c>
    </row>
    <row r="459">
      <c r="A459" s="93">
        <v>42.0</v>
      </c>
      <c r="B459" s="92" t="s">
        <v>18545</v>
      </c>
      <c r="C459" s="92" t="s">
        <v>406</v>
      </c>
      <c r="D459" s="92" t="s">
        <v>18765</v>
      </c>
      <c r="E459" s="94">
        <v>45113.53674768518</v>
      </c>
      <c r="F459" s="94">
        <v>46048.95912037037</v>
      </c>
      <c r="G459" s="90">
        <v>45913.959872685184</v>
      </c>
      <c r="H459" s="1" t="s">
        <v>16476</v>
      </c>
    </row>
    <row r="460">
      <c r="A460" s="93">
        <v>41.0</v>
      </c>
      <c r="B460" s="92" t="s">
        <v>18546</v>
      </c>
      <c r="C460" s="92" t="s">
        <v>398</v>
      </c>
      <c r="D460" s="92" t="s">
        <v>18765</v>
      </c>
      <c r="E460" s="94">
        <v>45113.53673611111</v>
      </c>
      <c r="F460" s="94">
        <v>46048.95912037037</v>
      </c>
      <c r="G460" s="90">
        <v>45913.959178240744</v>
      </c>
      <c r="H460" s="1" t="s">
        <v>16476</v>
      </c>
    </row>
    <row r="461">
      <c r="A461" s="93">
        <v>40.0</v>
      </c>
      <c r="B461" s="92" t="s">
        <v>18547</v>
      </c>
      <c r="C461" s="92" t="s">
        <v>388</v>
      </c>
      <c r="D461" s="92" t="s">
        <v>18765</v>
      </c>
      <c r="E461" s="94">
        <v>45113.53673611111</v>
      </c>
      <c r="F461" s="94">
        <v>46048.95912037037</v>
      </c>
      <c r="G461" s="90">
        <v>45913.954675925925</v>
      </c>
      <c r="H461" s="1" t="s">
        <v>16476</v>
      </c>
    </row>
    <row r="462">
      <c r="A462" s="93">
        <v>39.0</v>
      </c>
      <c r="B462" s="92" t="s">
        <v>18548</v>
      </c>
      <c r="C462" s="92" t="s">
        <v>377</v>
      </c>
      <c r="D462" s="92" t="s">
        <v>18765</v>
      </c>
      <c r="E462" s="94">
        <v>45113.536724537036</v>
      </c>
      <c r="F462" s="94">
        <v>46048.95912037037</v>
      </c>
      <c r="G462" s="90">
        <v>45913.95329861111</v>
      </c>
      <c r="H462" s="1" t="s">
        <v>16476</v>
      </c>
    </row>
    <row r="463">
      <c r="A463" s="93">
        <v>38.0</v>
      </c>
      <c r="B463" s="92" t="s">
        <v>18549</v>
      </c>
      <c r="C463" s="92" t="s">
        <v>365</v>
      </c>
      <c r="D463" s="92" t="s">
        <v>18765</v>
      </c>
      <c r="E463" s="94">
        <v>45113.53671296296</v>
      </c>
      <c r="F463" s="94">
        <v>46048.95912037037</v>
      </c>
      <c r="G463" s="90">
        <v>45913.952673611115</v>
      </c>
      <c r="H463" s="1" t="s">
        <v>16476</v>
      </c>
    </row>
    <row r="464">
      <c r="A464" s="93">
        <v>37.0</v>
      </c>
      <c r="B464" s="92" t="s">
        <v>18550</v>
      </c>
      <c r="C464" s="92" t="s">
        <v>356</v>
      </c>
      <c r="D464" s="92" t="s">
        <v>18765</v>
      </c>
      <c r="E464" s="94">
        <v>45113.53670138889</v>
      </c>
      <c r="F464" s="94">
        <v>46048.95912037037</v>
      </c>
      <c r="G464" s="90">
        <v>45913.951898148145</v>
      </c>
      <c r="H464" s="1" t="s">
        <v>16476</v>
      </c>
    </row>
    <row r="465">
      <c r="A465" s="93">
        <v>36.0</v>
      </c>
      <c r="B465" s="92" t="s">
        <v>18551</v>
      </c>
      <c r="C465" s="92" t="s">
        <v>347</v>
      </c>
      <c r="D465" s="92" t="s">
        <v>18765</v>
      </c>
      <c r="E465" s="94">
        <v>45113.53668981481</v>
      </c>
      <c r="F465" s="94">
        <v>46048.9591087963</v>
      </c>
      <c r="G465" s="90">
        <v>45913.95104166667</v>
      </c>
      <c r="H465" s="1" t="s">
        <v>16476</v>
      </c>
    </row>
    <row r="466">
      <c r="A466" s="93">
        <v>35.0</v>
      </c>
      <c r="B466" s="92" t="s">
        <v>18552</v>
      </c>
      <c r="C466" s="92" t="s">
        <v>339</v>
      </c>
      <c r="D466" s="92" t="s">
        <v>18765</v>
      </c>
      <c r="E466" s="94">
        <v>45113.53668981481</v>
      </c>
      <c r="F466" s="94">
        <v>46048.9591087963</v>
      </c>
      <c r="G466" s="90">
        <v>45913.950520833336</v>
      </c>
      <c r="H466" s="1" t="s">
        <v>16476</v>
      </c>
    </row>
    <row r="467">
      <c r="A467" s="93">
        <v>34.0</v>
      </c>
      <c r="B467" s="92" t="s">
        <v>18553</v>
      </c>
      <c r="C467" s="92" t="s">
        <v>331</v>
      </c>
      <c r="D467" s="92" t="s">
        <v>18765</v>
      </c>
      <c r="E467" s="94">
        <v>45113.536678240744</v>
      </c>
      <c r="F467" s="94">
        <v>46048.9591087963</v>
      </c>
      <c r="G467" s="90">
        <v>45913.95002314815</v>
      </c>
      <c r="H467" s="1" t="s">
        <v>16476</v>
      </c>
    </row>
    <row r="468">
      <c r="A468" s="93">
        <v>33.0</v>
      </c>
      <c r="B468" s="92" t="s">
        <v>18554</v>
      </c>
      <c r="C468" s="92" t="s">
        <v>321</v>
      </c>
      <c r="D468" s="92" t="s">
        <v>18765</v>
      </c>
      <c r="E468" s="94">
        <v>45113.53666666667</v>
      </c>
      <c r="F468" s="94">
        <v>46048.9591087963</v>
      </c>
      <c r="G468" s="90">
        <v>45913.94920138889</v>
      </c>
      <c r="H468" s="1" t="s">
        <v>16476</v>
      </c>
    </row>
    <row r="469">
      <c r="A469" s="93">
        <v>32.0</v>
      </c>
      <c r="B469" s="92" t="s">
        <v>18555</v>
      </c>
      <c r="C469" s="92" t="s">
        <v>313</v>
      </c>
      <c r="D469" s="92" t="s">
        <v>18765</v>
      </c>
      <c r="E469" s="94">
        <v>45113.53665509259</v>
      </c>
      <c r="F469" s="94">
        <v>46048.9591087963</v>
      </c>
      <c r="G469" s="90">
        <v>45913.94829861111</v>
      </c>
      <c r="H469" s="1" t="s">
        <v>16476</v>
      </c>
    </row>
    <row r="470">
      <c r="A470" s="93">
        <v>31.0</v>
      </c>
      <c r="B470" s="92" t="s">
        <v>18556</v>
      </c>
      <c r="C470" s="92" t="s">
        <v>301</v>
      </c>
      <c r="D470" s="92" t="s">
        <v>18765</v>
      </c>
      <c r="E470" s="94">
        <v>45113.53664351852</v>
      </c>
      <c r="F470" s="94">
        <v>46048.9591087963</v>
      </c>
      <c r="G470" s="90">
        <v>45913.947060185186</v>
      </c>
      <c r="H470" s="1" t="s">
        <v>16476</v>
      </c>
    </row>
    <row r="471">
      <c r="A471" s="93">
        <v>30.0</v>
      </c>
      <c r="B471" s="92" t="s">
        <v>18557</v>
      </c>
      <c r="C471" s="92" t="s">
        <v>289</v>
      </c>
      <c r="D471" s="92" t="s">
        <v>18765</v>
      </c>
      <c r="E471" s="94">
        <v>45113.536631944444</v>
      </c>
      <c r="F471" s="94">
        <v>46048.9591087963</v>
      </c>
      <c r="G471" s="90">
        <v>45913.94641203704</v>
      </c>
      <c r="H471" s="1" t="s">
        <v>16476</v>
      </c>
    </row>
    <row r="472">
      <c r="A472" s="93">
        <v>29.0</v>
      </c>
      <c r="B472" s="92" t="s">
        <v>18558</v>
      </c>
      <c r="C472" s="92" t="s">
        <v>278</v>
      </c>
      <c r="D472" s="92" t="s">
        <v>18765</v>
      </c>
      <c r="E472" s="94">
        <v>45113.536631944444</v>
      </c>
      <c r="F472" s="94">
        <v>46048.9591087963</v>
      </c>
      <c r="G472" s="90">
        <v>45913.945601851854</v>
      </c>
      <c r="H472" s="1" t="s">
        <v>16476</v>
      </c>
    </row>
    <row r="473">
      <c r="A473" s="93">
        <v>28.0</v>
      </c>
      <c r="B473" s="92" t="s">
        <v>18824</v>
      </c>
      <c r="C473" s="92" t="s">
        <v>18825</v>
      </c>
      <c r="D473" s="92" t="s">
        <v>18765</v>
      </c>
      <c r="E473" s="94">
        <v>45113.53662037037</v>
      </c>
      <c r="F473" s="94">
        <v>46048.9591087963</v>
      </c>
      <c r="G473" s="90">
        <v>45913.94493055555</v>
      </c>
      <c r="H473" s="1" t="s">
        <v>16476</v>
      </c>
    </row>
    <row r="474">
      <c r="A474" s="93">
        <v>27.0</v>
      </c>
      <c r="B474" s="92" t="s">
        <v>18560</v>
      </c>
      <c r="C474" s="92" t="s">
        <v>259</v>
      </c>
      <c r="D474" s="92" t="s">
        <v>18765</v>
      </c>
      <c r="E474" s="94">
        <v>45113.5366087963</v>
      </c>
      <c r="F474" s="94">
        <v>46048.9591087963</v>
      </c>
      <c r="G474" s="90">
        <v>45913.94417824074</v>
      </c>
      <c r="H474" s="1" t="s">
        <v>16476</v>
      </c>
    </row>
    <row r="475">
      <c r="A475" s="93">
        <v>26.0</v>
      </c>
      <c r="B475" s="92" t="s">
        <v>18561</v>
      </c>
      <c r="C475" s="92" t="s">
        <v>247</v>
      </c>
      <c r="D475" s="92" t="s">
        <v>18765</v>
      </c>
      <c r="E475" s="94">
        <v>45113.53659722222</v>
      </c>
      <c r="F475" s="94">
        <v>46048.9591087963</v>
      </c>
      <c r="G475" s="90">
        <v>45913.943564814814</v>
      </c>
      <c r="H475" s="1" t="s">
        <v>16476</v>
      </c>
    </row>
    <row r="476">
      <c r="A476" s="93">
        <v>872.0</v>
      </c>
      <c r="B476" s="92" t="s">
        <v>16479</v>
      </c>
      <c r="C476" s="92" t="s">
        <v>14073</v>
      </c>
      <c r="D476" s="92" t="s">
        <v>16044</v>
      </c>
      <c r="E476" s="94">
        <v>45113.547002314815</v>
      </c>
      <c r="F476" s="94">
        <v>46047.45959490741</v>
      </c>
      <c r="G476" s="90">
        <v>45913.94295138889</v>
      </c>
      <c r="H476" s="1" t="s">
        <v>16476</v>
      </c>
    </row>
    <row r="477">
      <c r="A477" s="93">
        <v>1047.0</v>
      </c>
      <c r="B477" s="92" t="s">
        <v>84</v>
      </c>
      <c r="C477" s="92" t="s">
        <v>83</v>
      </c>
      <c r="D477" s="92" t="s">
        <v>16044</v>
      </c>
      <c r="E477" s="94">
        <v>45113.54956018519</v>
      </c>
      <c r="F477" s="94">
        <v>46047.45721064815</v>
      </c>
      <c r="G477" s="90">
        <v>45913.941655092596</v>
      </c>
      <c r="H477" s="1" t="s">
        <v>16476</v>
      </c>
    </row>
    <row r="478">
      <c r="A478" s="93">
        <v>2034.0</v>
      </c>
      <c r="B478" s="92" t="s">
        <v>105</v>
      </c>
      <c r="C478" s="92" t="s">
        <v>18826</v>
      </c>
      <c r="D478" s="92" t="s">
        <v>16044</v>
      </c>
      <c r="E478" s="94">
        <v>45465.68371527778</v>
      </c>
      <c r="F478" s="94">
        <v>46047.45690972222</v>
      </c>
      <c r="G478" s="90">
        <v>45913.94099537037</v>
      </c>
      <c r="H478" s="1" t="s">
        <v>16476</v>
      </c>
    </row>
    <row r="479">
      <c r="A479" s="93">
        <v>2620.0</v>
      </c>
      <c r="B479" s="92" t="s">
        <v>18827</v>
      </c>
      <c r="C479" s="92" t="s">
        <v>18828</v>
      </c>
      <c r="D479" s="92" t="s">
        <v>18829</v>
      </c>
      <c r="E479" s="94">
        <v>46028.68001157408</v>
      </c>
      <c r="F479" s="94">
        <v>46028.68077546296</v>
      </c>
      <c r="G479" s="90">
        <v>45913.94028935185</v>
      </c>
      <c r="H479" s="1" t="s">
        <v>16476</v>
      </c>
    </row>
    <row r="480">
      <c r="A480" s="93">
        <v>2619.0</v>
      </c>
      <c r="B480" s="92" t="s">
        <v>18830</v>
      </c>
      <c r="C480" s="92" t="s">
        <v>18831</v>
      </c>
      <c r="D480" s="92" t="s">
        <v>16044</v>
      </c>
      <c r="E480" s="94">
        <v>46028.65788194445</v>
      </c>
      <c r="F480" s="94">
        <v>46028.6703125</v>
      </c>
      <c r="G480" s="90">
        <v>45913.9390625</v>
      </c>
      <c r="H480" s="1" t="s">
        <v>16476</v>
      </c>
    </row>
    <row r="481">
      <c r="A481" s="93">
        <v>1738.0</v>
      </c>
      <c r="B481" s="92" t="s">
        <v>18832</v>
      </c>
      <c r="C481" s="92" t="s">
        <v>18833</v>
      </c>
      <c r="D481" s="92" t="s">
        <v>18765</v>
      </c>
      <c r="E481" s="94">
        <v>45176.361655092594</v>
      </c>
      <c r="F481" s="94">
        <v>46009.6105787037</v>
      </c>
      <c r="G481" s="90">
        <v>45913.93849537037</v>
      </c>
      <c r="H481" s="1" t="s">
        <v>16476</v>
      </c>
    </row>
    <row r="482">
      <c r="A482" s="93">
        <v>2026.0</v>
      </c>
      <c r="B482" s="92" t="s">
        <v>18834</v>
      </c>
      <c r="C482" s="92" t="s">
        <v>12528</v>
      </c>
      <c r="D482" s="92" t="s">
        <v>16044</v>
      </c>
      <c r="E482" s="94">
        <v>45465.68105324074</v>
      </c>
      <c r="F482" s="94">
        <v>46009.547534722224</v>
      </c>
      <c r="G482" s="90">
        <v>45913.938055555554</v>
      </c>
      <c r="H482" s="1" t="s">
        <v>16476</v>
      </c>
    </row>
    <row r="483">
      <c r="A483" s="93">
        <v>2618.0</v>
      </c>
      <c r="B483" s="92" t="s">
        <v>18835</v>
      </c>
      <c r="C483" s="92" t="s">
        <v>12382</v>
      </c>
      <c r="D483" s="92" t="s">
        <v>16044</v>
      </c>
      <c r="E483" s="94">
        <v>46006.75597222222</v>
      </c>
      <c r="F483" s="94">
        <v>46006.75597222222</v>
      </c>
      <c r="G483" s="90">
        <v>45913.93753472222</v>
      </c>
      <c r="H483" s="1" t="s">
        <v>16476</v>
      </c>
    </row>
    <row r="484">
      <c r="A484" s="93">
        <v>2617.0</v>
      </c>
      <c r="B484" s="92" t="s">
        <v>16484</v>
      </c>
      <c r="C484" s="92" t="s">
        <v>8728</v>
      </c>
      <c r="D484" s="92" t="s">
        <v>16044</v>
      </c>
      <c r="E484" s="94">
        <v>46006.7556712963</v>
      </c>
      <c r="F484" s="94">
        <v>46006.7556712963</v>
      </c>
      <c r="G484" s="90">
        <v>45913.9372337963</v>
      </c>
      <c r="H484" s="1" t="s">
        <v>16476</v>
      </c>
    </row>
    <row r="485">
      <c r="A485" s="93">
        <v>2616.0</v>
      </c>
      <c r="B485" s="92" t="s">
        <v>18836</v>
      </c>
      <c r="C485" s="92" t="s">
        <v>11569</v>
      </c>
      <c r="D485" s="92" t="s">
        <v>16044</v>
      </c>
      <c r="E485" s="94">
        <v>46006.755162037036</v>
      </c>
      <c r="F485" s="94">
        <v>46006.755162037036</v>
      </c>
      <c r="G485" s="90">
        <v>45913.93665509259</v>
      </c>
      <c r="H485" s="1" t="s">
        <v>16476</v>
      </c>
    </row>
    <row r="486">
      <c r="A486" s="93">
        <v>2615.0</v>
      </c>
      <c r="B486" s="92" t="s">
        <v>16488</v>
      </c>
      <c r="C486" s="92" t="s">
        <v>6711</v>
      </c>
      <c r="D486" s="92" t="s">
        <v>16044</v>
      </c>
      <c r="E486" s="94">
        <v>46006.75512731481</v>
      </c>
      <c r="F486" s="94">
        <v>46006.75512731481</v>
      </c>
      <c r="G486" s="90">
        <v>45913.93565972222</v>
      </c>
      <c r="H486" s="1" t="s">
        <v>16476</v>
      </c>
    </row>
    <row r="487">
      <c r="A487" s="93">
        <v>2614.0</v>
      </c>
      <c r="B487" s="92" t="s">
        <v>16489</v>
      </c>
      <c r="C487" s="92" t="s">
        <v>6444</v>
      </c>
      <c r="D487" s="92" t="s">
        <v>16044</v>
      </c>
      <c r="E487" s="94">
        <v>46006.75510416667</v>
      </c>
      <c r="F487" s="94">
        <v>46006.75510416667</v>
      </c>
      <c r="G487" s="90">
        <v>45913.93449074074</v>
      </c>
      <c r="H487" s="1" t="s">
        <v>16476</v>
      </c>
    </row>
    <row r="488">
      <c r="A488" s="93">
        <v>2613.0</v>
      </c>
      <c r="B488" s="92" t="s">
        <v>16490</v>
      </c>
      <c r="C488" s="92" t="s">
        <v>5695</v>
      </c>
      <c r="D488" s="92" t="s">
        <v>16044</v>
      </c>
      <c r="E488" s="94">
        <v>46006.75506944444</v>
      </c>
      <c r="F488" s="94">
        <v>46006.75506944444</v>
      </c>
      <c r="G488" s="90">
        <v>45913.931967592594</v>
      </c>
      <c r="H488" s="1" t="s">
        <v>16476</v>
      </c>
    </row>
    <row r="489">
      <c r="A489" s="93">
        <v>2612.0</v>
      </c>
      <c r="B489" s="92" t="s">
        <v>16491</v>
      </c>
      <c r="C489" s="92" t="s">
        <v>16059</v>
      </c>
      <c r="D489" s="92" t="s">
        <v>16044</v>
      </c>
      <c r="E489" s="94">
        <v>46006.7550462963</v>
      </c>
      <c r="F489" s="94">
        <v>46006.7550462963</v>
      </c>
      <c r="G489" s="90">
        <v>45913.93121527778</v>
      </c>
      <c r="H489" s="1" t="s">
        <v>16476</v>
      </c>
    </row>
    <row r="490">
      <c r="A490" s="93">
        <v>2611.0</v>
      </c>
      <c r="B490" s="92" t="s">
        <v>16492</v>
      </c>
      <c r="C490" s="92" t="s">
        <v>11339</v>
      </c>
      <c r="D490" s="92" t="s">
        <v>16044</v>
      </c>
      <c r="E490" s="94">
        <v>46006.755011574074</v>
      </c>
      <c r="F490" s="94">
        <v>46006.755011574074</v>
      </c>
      <c r="G490" s="90">
        <v>45913.930810185186</v>
      </c>
      <c r="H490" s="1" t="s">
        <v>16476</v>
      </c>
    </row>
    <row r="491">
      <c r="A491" s="93">
        <v>2610.0</v>
      </c>
      <c r="B491" s="92" t="s">
        <v>16493</v>
      </c>
      <c r="C491" s="92" t="s">
        <v>12481</v>
      </c>
      <c r="D491" s="92" t="s">
        <v>16044</v>
      </c>
      <c r="E491" s="94">
        <v>46006.75498842593</v>
      </c>
      <c r="F491" s="94">
        <v>46006.75498842593</v>
      </c>
      <c r="G491" s="90">
        <v>45913.92974537037</v>
      </c>
      <c r="H491" s="1" t="s">
        <v>16476</v>
      </c>
    </row>
    <row r="492">
      <c r="A492" s="93">
        <v>2609.0</v>
      </c>
      <c r="B492" s="92" t="s">
        <v>16494</v>
      </c>
      <c r="C492" s="92" t="s">
        <v>14046</v>
      </c>
      <c r="D492" s="92" t="s">
        <v>16044</v>
      </c>
      <c r="E492" s="94">
        <v>46006.754965277774</v>
      </c>
      <c r="F492" s="94">
        <v>46006.754965277774</v>
      </c>
      <c r="G492" s="90">
        <v>45913.92528935185</v>
      </c>
      <c r="H492" s="1" t="s">
        <v>16476</v>
      </c>
    </row>
    <row r="493">
      <c r="A493" s="93">
        <v>2608.0</v>
      </c>
      <c r="B493" s="92" t="s">
        <v>120</v>
      </c>
      <c r="C493" s="92" t="s">
        <v>119</v>
      </c>
      <c r="D493" s="92" t="s">
        <v>16044</v>
      </c>
      <c r="E493" s="94">
        <v>46006.75493055556</v>
      </c>
      <c r="F493" s="94">
        <v>46006.75493055556</v>
      </c>
      <c r="G493" s="90">
        <v>45913.924837962964</v>
      </c>
      <c r="H493" s="1" t="s">
        <v>16476</v>
      </c>
    </row>
    <row r="494">
      <c r="A494" s="93">
        <v>2607.0</v>
      </c>
      <c r="B494" s="92" t="s">
        <v>16495</v>
      </c>
      <c r="C494" s="92" t="s">
        <v>12151</v>
      </c>
      <c r="D494" s="92" t="s">
        <v>16044</v>
      </c>
      <c r="E494" s="94">
        <v>46006.754907407405</v>
      </c>
      <c r="F494" s="94">
        <v>46006.754907407405</v>
      </c>
      <c r="G494" s="90">
        <v>45913.92428240741</v>
      </c>
      <c r="H494" s="1" t="s">
        <v>16476</v>
      </c>
    </row>
    <row r="495">
      <c r="A495" s="93">
        <v>2606.0</v>
      </c>
      <c r="B495" s="92" t="s">
        <v>16496</v>
      </c>
      <c r="C495" s="92" t="s">
        <v>12458</v>
      </c>
      <c r="D495" s="92" t="s">
        <v>16044</v>
      </c>
      <c r="E495" s="94">
        <v>46006.75488425926</v>
      </c>
      <c r="F495" s="94">
        <v>46006.75488425926</v>
      </c>
      <c r="G495" s="90">
        <v>45913.923738425925</v>
      </c>
      <c r="H495" s="1" t="s">
        <v>16476</v>
      </c>
    </row>
    <row r="496">
      <c r="A496" s="93">
        <v>2605.0</v>
      </c>
      <c r="B496" s="92" t="s">
        <v>16497</v>
      </c>
      <c r="C496" s="92" t="s">
        <v>6507</v>
      </c>
      <c r="D496" s="92" t="s">
        <v>16044</v>
      </c>
      <c r="E496" s="94">
        <v>46006.754849537036</v>
      </c>
      <c r="F496" s="94">
        <v>46006.754849537036</v>
      </c>
      <c r="G496" s="90">
        <v>45913.923113425924</v>
      </c>
      <c r="H496" s="1" t="s">
        <v>16476</v>
      </c>
    </row>
    <row r="497">
      <c r="A497" s="93">
        <v>2604.0</v>
      </c>
      <c r="B497" s="92" t="s">
        <v>18837</v>
      </c>
      <c r="C497" s="92" t="s">
        <v>7572</v>
      </c>
      <c r="D497" s="92" t="s">
        <v>16044</v>
      </c>
      <c r="E497" s="94">
        <v>46006.75482638889</v>
      </c>
      <c r="F497" s="94">
        <v>46006.75482638889</v>
      </c>
      <c r="G497" s="90">
        <v>45913.92270833333</v>
      </c>
      <c r="H497" s="1" t="s">
        <v>16476</v>
      </c>
    </row>
    <row r="498">
      <c r="A498" s="93">
        <v>2603.0</v>
      </c>
      <c r="B498" s="92" t="s">
        <v>16499</v>
      </c>
      <c r="C498" s="92" t="s">
        <v>15391</v>
      </c>
      <c r="D498" s="92" t="s">
        <v>16044</v>
      </c>
      <c r="E498" s="94">
        <v>46006.75480324074</v>
      </c>
      <c r="F498" s="94">
        <v>46006.75480324074</v>
      </c>
      <c r="G498" s="90">
        <v>45913.92217592592</v>
      </c>
      <c r="H498" s="1" t="s">
        <v>16476</v>
      </c>
    </row>
    <row r="499">
      <c r="A499" s="93">
        <v>2602.0</v>
      </c>
      <c r="B499" s="92" t="s">
        <v>16500</v>
      </c>
      <c r="C499" s="92" t="s">
        <v>10746</v>
      </c>
      <c r="D499" s="92" t="s">
        <v>16044</v>
      </c>
      <c r="E499" s="94">
        <v>46006.75476851852</v>
      </c>
      <c r="F499" s="94">
        <v>46006.75476851852</v>
      </c>
      <c r="G499" s="90">
        <v>45913.921689814815</v>
      </c>
      <c r="H499" s="1" t="s">
        <v>16476</v>
      </c>
    </row>
    <row r="500">
      <c r="A500" s="93">
        <v>2601.0</v>
      </c>
      <c r="B500" s="92" t="s">
        <v>16501</v>
      </c>
      <c r="C500" s="92" t="s">
        <v>11440</v>
      </c>
      <c r="D500" s="92" t="s">
        <v>16044</v>
      </c>
      <c r="E500" s="94">
        <v>46006.754745370374</v>
      </c>
      <c r="F500" s="94">
        <v>46006.754745370374</v>
      </c>
      <c r="G500" s="90">
        <v>45913.92108796296</v>
      </c>
      <c r="H500" s="1" t="s">
        <v>16476</v>
      </c>
    </row>
    <row r="501">
      <c r="A501" s="93">
        <v>2600.0</v>
      </c>
      <c r="B501" s="92" t="s">
        <v>16502</v>
      </c>
      <c r="C501" s="92" t="s">
        <v>146</v>
      </c>
      <c r="D501" s="92" t="s">
        <v>16044</v>
      </c>
      <c r="E501" s="94">
        <v>46006.75471064815</v>
      </c>
      <c r="F501" s="94">
        <v>46006.75471064815</v>
      </c>
      <c r="G501" s="90">
        <v>45913.92013888889</v>
      </c>
      <c r="H501" s="1" t="s">
        <v>16476</v>
      </c>
    </row>
    <row r="502">
      <c r="A502" s="93">
        <v>2599.0</v>
      </c>
      <c r="B502" s="92" t="s">
        <v>16503</v>
      </c>
      <c r="C502" s="92" t="s">
        <v>14602</v>
      </c>
      <c r="D502" s="92" t="s">
        <v>16044</v>
      </c>
      <c r="E502" s="94">
        <v>46006.75467592593</v>
      </c>
      <c r="F502" s="94">
        <v>46006.75467592593</v>
      </c>
      <c r="G502" s="90">
        <v>45913.91967592593</v>
      </c>
      <c r="H502" s="1" t="s">
        <v>16476</v>
      </c>
    </row>
    <row r="503">
      <c r="A503" s="93">
        <v>2598.0</v>
      </c>
      <c r="B503" s="92" t="s">
        <v>16504</v>
      </c>
      <c r="C503" s="92" t="s">
        <v>14710</v>
      </c>
      <c r="D503" s="92" t="s">
        <v>16044</v>
      </c>
      <c r="E503" s="94">
        <v>46006.754641203705</v>
      </c>
      <c r="F503" s="94">
        <v>46006.754641203705</v>
      </c>
      <c r="G503" s="90">
        <v>45913.91908564815</v>
      </c>
      <c r="H503" s="1" t="s">
        <v>16476</v>
      </c>
    </row>
    <row r="504">
      <c r="A504" s="93">
        <v>2597.0</v>
      </c>
      <c r="B504" s="92" t="s">
        <v>16505</v>
      </c>
      <c r="C504" s="92" t="s">
        <v>15657</v>
      </c>
      <c r="D504" s="92" t="s">
        <v>16044</v>
      </c>
      <c r="E504" s="94">
        <v>46006.75461805556</v>
      </c>
      <c r="F504" s="94">
        <v>46006.75461805556</v>
      </c>
      <c r="G504" s="90">
        <v>45913.91849537037</v>
      </c>
      <c r="H504" s="1" t="s">
        <v>16476</v>
      </c>
    </row>
    <row r="505">
      <c r="A505" s="93">
        <v>2596.0</v>
      </c>
      <c r="B505" s="92" t="s">
        <v>16506</v>
      </c>
      <c r="C505" s="92" t="s">
        <v>14642</v>
      </c>
      <c r="D505" s="92" t="s">
        <v>16044</v>
      </c>
      <c r="E505" s="94">
        <v>46006.754594907405</v>
      </c>
      <c r="F505" s="94">
        <v>46006.754594907405</v>
      </c>
      <c r="G505" s="90">
        <v>45913.91744212963</v>
      </c>
      <c r="H505" s="1" t="s">
        <v>16476</v>
      </c>
    </row>
    <row r="506">
      <c r="A506" s="93">
        <v>2595.0</v>
      </c>
      <c r="B506" s="92" t="s">
        <v>16507</v>
      </c>
      <c r="C506" s="92" t="s">
        <v>14654</v>
      </c>
      <c r="D506" s="92" t="s">
        <v>16044</v>
      </c>
      <c r="E506" s="94">
        <v>46006.75456018518</v>
      </c>
      <c r="F506" s="94">
        <v>46006.75456018518</v>
      </c>
      <c r="G506" s="90">
        <v>45913.91704861111</v>
      </c>
      <c r="H506" s="1" t="s">
        <v>16476</v>
      </c>
    </row>
    <row r="507">
      <c r="A507" s="93">
        <v>2594.0</v>
      </c>
      <c r="B507" s="92" t="s">
        <v>16508</v>
      </c>
      <c r="C507" s="92" t="s">
        <v>14646</v>
      </c>
      <c r="D507" s="92" t="s">
        <v>16044</v>
      </c>
      <c r="E507" s="94">
        <v>46006.754537037035</v>
      </c>
      <c r="F507" s="94">
        <v>46006.754537037035</v>
      </c>
      <c r="G507" s="90">
        <v>45913.91668981482</v>
      </c>
      <c r="H507" s="1" t="s">
        <v>16476</v>
      </c>
    </row>
    <row r="508">
      <c r="A508" s="93">
        <v>2593.0</v>
      </c>
      <c r="B508" s="92" t="s">
        <v>16509</v>
      </c>
      <c r="C508" s="92" t="s">
        <v>14634</v>
      </c>
      <c r="D508" s="92" t="s">
        <v>16044</v>
      </c>
      <c r="E508" s="94">
        <v>46006.75450231481</v>
      </c>
      <c r="F508" s="94">
        <v>46006.75450231481</v>
      </c>
      <c r="G508" s="90">
        <v>45913.91637731482</v>
      </c>
      <c r="H508" s="1" t="s">
        <v>16476</v>
      </c>
    </row>
    <row r="509">
      <c r="A509" s="93">
        <v>2592.0</v>
      </c>
      <c r="B509" s="92" t="s">
        <v>9826</v>
      </c>
      <c r="C509" s="92" t="s">
        <v>9832</v>
      </c>
      <c r="D509" s="92" t="s">
        <v>16044</v>
      </c>
      <c r="E509" s="94">
        <v>46006.75443287037</v>
      </c>
      <c r="F509" s="94">
        <v>46006.75443287037</v>
      </c>
      <c r="G509" s="90">
        <v>45913.9159375</v>
      </c>
      <c r="H509" s="1" t="s">
        <v>16476</v>
      </c>
    </row>
    <row r="510">
      <c r="A510" s="93">
        <v>2591.0</v>
      </c>
      <c r="B510" s="92" t="s">
        <v>16510</v>
      </c>
      <c r="C510" s="92" t="s">
        <v>9853</v>
      </c>
      <c r="D510" s="92" t="s">
        <v>16044</v>
      </c>
      <c r="E510" s="94">
        <v>46006.75438657407</v>
      </c>
      <c r="F510" s="94">
        <v>46006.75438657407</v>
      </c>
      <c r="G510" s="90">
        <v>45913.91541666666</v>
      </c>
      <c r="H510" s="1" t="s">
        <v>16476</v>
      </c>
    </row>
    <row r="511">
      <c r="A511" s="93">
        <v>2590.0</v>
      </c>
      <c r="B511" s="92" t="s">
        <v>16511</v>
      </c>
      <c r="C511" s="92" t="s">
        <v>10238</v>
      </c>
      <c r="D511" s="92" t="s">
        <v>16044</v>
      </c>
      <c r="E511" s="94">
        <v>46006.75435185185</v>
      </c>
      <c r="F511" s="94">
        <v>46006.75435185185</v>
      </c>
      <c r="G511" s="90">
        <v>45913.91491898148</v>
      </c>
      <c r="H511" s="1" t="s">
        <v>16476</v>
      </c>
    </row>
    <row r="512">
      <c r="A512" s="93">
        <v>2589.0</v>
      </c>
      <c r="B512" s="92" t="s">
        <v>16512</v>
      </c>
      <c r="C512" s="92" t="s">
        <v>5670</v>
      </c>
      <c r="D512" s="92" t="s">
        <v>16044</v>
      </c>
      <c r="E512" s="94">
        <v>46006.754328703704</v>
      </c>
      <c r="F512" s="94">
        <v>46006.754328703704</v>
      </c>
      <c r="G512" s="90">
        <v>45913.86237268519</v>
      </c>
      <c r="H512" s="1" t="s">
        <v>16476</v>
      </c>
    </row>
    <row r="513">
      <c r="A513" s="93">
        <v>2588.0</v>
      </c>
      <c r="B513" s="92" t="s">
        <v>16513</v>
      </c>
      <c r="C513" s="92" t="s">
        <v>10248</v>
      </c>
      <c r="D513" s="92" t="s">
        <v>16044</v>
      </c>
      <c r="E513" s="94">
        <v>46006.75430555556</v>
      </c>
      <c r="F513" s="94">
        <v>46006.75430555556</v>
      </c>
      <c r="G513" s="90">
        <v>45913.86179398148</v>
      </c>
      <c r="H513" s="1" t="s">
        <v>16476</v>
      </c>
    </row>
    <row r="514">
      <c r="A514" s="93">
        <v>2587.0</v>
      </c>
      <c r="B514" s="92" t="s">
        <v>16514</v>
      </c>
      <c r="C514" s="92" t="s">
        <v>7015</v>
      </c>
      <c r="D514" s="92" t="s">
        <v>16044</v>
      </c>
      <c r="E514" s="94">
        <v>46006.754270833335</v>
      </c>
      <c r="F514" s="94">
        <v>46006.754270833335</v>
      </c>
      <c r="G514" s="90">
        <v>45913.861550925925</v>
      </c>
      <c r="H514" s="1" t="s">
        <v>16476</v>
      </c>
    </row>
    <row r="515">
      <c r="A515" s="93">
        <v>2586.0</v>
      </c>
      <c r="B515" s="92" t="s">
        <v>16515</v>
      </c>
      <c r="C515" s="92" t="s">
        <v>9907</v>
      </c>
      <c r="D515" s="92" t="s">
        <v>16044</v>
      </c>
      <c r="E515" s="94">
        <v>46006.75424768519</v>
      </c>
      <c r="F515" s="94">
        <v>46006.75424768519</v>
      </c>
      <c r="G515" s="90">
        <v>45913.86127314815</v>
      </c>
      <c r="H515" s="1" t="s">
        <v>16476</v>
      </c>
    </row>
    <row r="516">
      <c r="A516" s="93">
        <v>2585.0</v>
      </c>
      <c r="B516" s="92" t="s">
        <v>16516</v>
      </c>
      <c r="C516" s="92" t="s">
        <v>16040</v>
      </c>
      <c r="D516" s="92" t="s">
        <v>16044</v>
      </c>
      <c r="E516" s="94">
        <v>46006.754212962966</v>
      </c>
      <c r="F516" s="94">
        <v>46006.754212962966</v>
      </c>
      <c r="G516" s="90">
        <v>45913.86074074074</v>
      </c>
      <c r="H516" s="1" t="s">
        <v>16476</v>
      </c>
    </row>
    <row r="517">
      <c r="A517" s="93">
        <v>2584.0</v>
      </c>
      <c r="B517" s="92" t="s">
        <v>16517</v>
      </c>
      <c r="C517" s="92" t="s">
        <v>15999</v>
      </c>
      <c r="D517" s="92" t="s">
        <v>16044</v>
      </c>
      <c r="E517" s="94">
        <v>46006.75418981481</v>
      </c>
      <c r="F517" s="94">
        <v>46006.75418981481</v>
      </c>
      <c r="G517" s="90">
        <v>45913.859872685185</v>
      </c>
      <c r="H517" s="1" t="s">
        <v>16476</v>
      </c>
    </row>
    <row r="518">
      <c r="A518" s="93">
        <v>2583.0</v>
      </c>
      <c r="B518" s="92" t="s">
        <v>16518</v>
      </c>
      <c r="C518" s="92" t="s">
        <v>11803</v>
      </c>
      <c r="D518" s="92" t="s">
        <v>16044</v>
      </c>
      <c r="E518" s="94">
        <v>46006.754155092596</v>
      </c>
      <c r="F518" s="94">
        <v>46006.754155092596</v>
      </c>
      <c r="G518" s="90">
        <v>45913.85951388889</v>
      </c>
      <c r="H518" s="1" t="s">
        <v>16476</v>
      </c>
    </row>
    <row r="519">
      <c r="A519" s="93">
        <v>2582.0</v>
      </c>
      <c r="B519" s="92" t="s">
        <v>16519</v>
      </c>
      <c r="C519" s="92" t="s">
        <v>14134</v>
      </c>
      <c r="D519" s="92" t="s">
        <v>16044</v>
      </c>
      <c r="E519" s="94">
        <v>46006.75413194444</v>
      </c>
      <c r="F519" s="94">
        <v>46006.75413194444</v>
      </c>
      <c r="G519" s="90">
        <v>45913.8591087963</v>
      </c>
      <c r="H519" s="1" t="s">
        <v>16476</v>
      </c>
    </row>
    <row r="520">
      <c r="A520" s="93">
        <v>2581.0</v>
      </c>
      <c r="B520" s="92" t="s">
        <v>16520</v>
      </c>
      <c r="C520" s="92" t="s">
        <v>9856</v>
      </c>
      <c r="D520" s="92" t="s">
        <v>16044</v>
      </c>
      <c r="E520" s="94">
        <v>46006.75409722222</v>
      </c>
      <c r="F520" s="94">
        <v>46006.75409722222</v>
      </c>
      <c r="G520" s="90">
        <v>45913.858715277776</v>
      </c>
      <c r="H520" s="1" t="s">
        <v>16476</v>
      </c>
    </row>
    <row r="521">
      <c r="A521" s="93">
        <v>2580.0</v>
      </c>
      <c r="B521" s="92" t="s">
        <v>16521</v>
      </c>
      <c r="C521" s="92" t="s">
        <v>11175</v>
      </c>
      <c r="D521" s="92" t="s">
        <v>16044</v>
      </c>
      <c r="E521" s="94">
        <v>46006.75407407407</v>
      </c>
      <c r="F521" s="94">
        <v>46006.75407407407</v>
      </c>
      <c r="G521" s="90">
        <v>45913.858090277776</v>
      </c>
      <c r="H521" s="1" t="s">
        <v>16476</v>
      </c>
    </row>
    <row r="522">
      <c r="A522" s="93">
        <v>2579.0</v>
      </c>
      <c r="B522" s="92" t="s">
        <v>16522</v>
      </c>
      <c r="C522" s="92" t="s">
        <v>9669</v>
      </c>
      <c r="D522" s="92" t="s">
        <v>16044</v>
      </c>
      <c r="E522" s="94">
        <v>46006.75403935185</v>
      </c>
      <c r="F522" s="94">
        <v>46006.75403935185</v>
      </c>
      <c r="G522" s="90">
        <v>45913.857395833336</v>
      </c>
      <c r="H522" s="1" t="s">
        <v>16476</v>
      </c>
    </row>
    <row r="523">
      <c r="A523" s="93">
        <v>2578.0</v>
      </c>
      <c r="B523" s="92" t="s">
        <v>16523</v>
      </c>
      <c r="C523" s="92" t="s">
        <v>11381</v>
      </c>
      <c r="D523" s="92" t="s">
        <v>16044</v>
      </c>
      <c r="E523" s="94">
        <v>46006.75399305556</v>
      </c>
      <c r="F523" s="94">
        <v>46006.75399305556</v>
      </c>
      <c r="G523" s="90">
        <v>45913.85704861111</v>
      </c>
      <c r="H523" s="1" t="s">
        <v>16476</v>
      </c>
    </row>
    <row r="524">
      <c r="A524" s="93">
        <v>2577.0</v>
      </c>
      <c r="B524" s="92" t="s">
        <v>16524</v>
      </c>
      <c r="C524" s="92" t="s">
        <v>9493</v>
      </c>
      <c r="D524" s="92" t="s">
        <v>16044</v>
      </c>
      <c r="E524" s="94">
        <v>46006.753969907404</v>
      </c>
      <c r="F524" s="94">
        <v>46006.753969907404</v>
      </c>
      <c r="G524" s="90">
        <v>45913.85439814815</v>
      </c>
      <c r="H524" s="1" t="s">
        <v>16476</v>
      </c>
    </row>
    <row r="525">
      <c r="A525" s="93">
        <v>2576.0</v>
      </c>
      <c r="B525" s="92" t="s">
        <v>16525</v>
      </c>
      <c r="C525" s="92" t="s">
        <v>12656</v>
      </c>
      <c r="D525" s="92" t="s">
        <v>16044</v>
      </c>
      <c r="E525" s="94">
        <v>46006.75392361111</v>
      </c>
      <c r="F525" s="94">
        <v>46006.75392361111</v>
      </c>
      <c r="G525" s="90">
        <v>45913.85380787037</v>
      </c>
      <c r="H525" s="1" t="s">
        <v>16476</v>
      </c>
    </row>
    <row r="526">
      <c r="A526" s="93">
        <v>2575.0</v>
      </c>
      <c r="B526" s="92" t="s">
        <v>16526</v>
      </c>
      <c r="C526" s="92" t="s">
        <v>6735</v>
      </c>
      <c r="D526" s="92" t="s">
        <v>16044</v>
      </c>
      <c r="E526" s="94">
        <v>46006.753854166665</v>
      </c>
      <c r="F526" s="94">
        <v>46006.753854166665</v>
      </c>
      <c r="G526" s="90">
        <v>45913.853171296294</v>
      </c>
      <c r="H526" s="1" t="s">
        <v>16476</v>
      </c>
    </row>
    <row r="527">
      <c r="A527" s="93">
        <v>2574.0</v>
      </c>
      <c r="B527" s="92" t="s">
        <v>16527</v>
      </c>
      <c r="C527" s="92" t="s">
        <v>9902</v>
      </c>
      <c r="D527" s="92" t="s">
        <v>16044</v>
      </c>
      <c r="E527" s="94">
        <v>46006.75383101852</v>
      </c>
      <c r="F527" s="94">
        <v>46006.75383101852</v>
      </c>
      <c r="G527" s="90">
        <v>45913.852847222224</v>
      </c>
      <c r="H527" s="1" t="s">
        <v>16476</v>
      </c>
    </row>
    <row r="528">
      <c r="A528" s="93">
        <v>2573.0</v>
      </c>
      <c r="B528" s="92" t="s">
        <v>16528</v>
      </c>
      <c r="C528" s="92" t="s">
        <v>14355</v>
      </c>
      <c r="D528" s="92" t="s">
        <v>16044</v>
      </c>
      <c r="E528" s="94">
        <v>46006.75376157407</v>
      </c>
      <c r="F528" s="94">
        <v>46006.75376157407</v>
      </c>
      <c r="G528" s="90">
        <v>45913.85229166667</v>
      </c>
      <c r="H528" s="1" t="s">
        <v>16476</v>
      </c>
    </row>
    <row r="529">
      <c r="A529" s="93">
        <v>2572.0</v>
      </c>
      <c r="B529" s="92" t="s">
        <v>16529</v>
      </c>
      <c r="C529" s="92" t="s">
        <v>15740</v>
      </c>
      <c r="D529" s="92" t="s">
        <v>16044</v>
      </c>
      <c r="E529" s="94">
        <v>46006.75371527778</v>
      </c>
      <c r="F529" s="94">
        <v>46006.75371527778</v>
      </c>
      <c r="G529" s="90">
        <v>45913.85204861111</v>
      </c>
      <c r="H529" s="1" t="s">
        <v>16476</v>
      </c>
    </row>
    <row r="530">
      <c r="A530" s="93">
        <v>2571.0</v>
      </c>
      <c r="B530" s="92" t="s">
        <v>18563</v>
      </c>
      <c r="C530" s="92" t="s">
        <v>4947</v>
      </c>
      <c r="D530" s="92" t="s">
        <v>18765</v>
      </c>
      <c r="E530" s="94">
        <v>46006.74561342593</v>
      </c>
      <c r="F530" s="94">
        <v>46006.74561342593</v>
      </c>
      <c r="G530" s="90">
        <v>45913.85175925926</v>
      </c>
      <c r="H530" s="1" t="s">
        <v>16476</v>
      </c>
    </row>
    <row r="531">
      <c r="A531" s="93">
        <v>2570.0</v>
      </c>
      <c r="B531" s="92" t="s">
        <v>18564</v>
      </c>
      <c r="C531" s="92" t="s">
        <v>4941</v>
      </c>
      <c r="D531" s="92" t="s">
        <v>18765</v>
      </c>
      <c r="E531" s="94">
        <v>46006.74560185185</v>
      </c>
      <c r="F531" s="94">
        <v>46006.74560185185</v>
      </c>
      <c r="G531" s="90">
        <v>45913.85150462963</v>
      </c>
      <c r="H531" s="1" t="s">
        <v>16476</v>
      </c>
    </row>
    <row r="532">
      <c r="A532" s="93">
        <v>2569.0</v>
      </c>
      <c r="B532" s="92" t="s">
        <v>18565</v>
      </c>
      <c r="C532" s="92" t="s">
        <v>4935</v>
      </c>
      <c r="D532" s="92" t="s">
        <v>18765</v>
      </c>
      <c r="E532" s="94">
        <v>46006.74560185185</v>
      </c>
      <c r="F532" s="94">
        <v>46006.74560185185</v>
      </c>
      <c r="G532" s="90">
        <v>45913.85123842592</v>
      </c>
      <c r="H532" s="1" t="s">
        <v>16476</v>
      </c>
    </row>
    <row r="533">
      <c r="A533" s="93">
        <v>2567.0</v>
      </c>
      <c r="B533" s="92" t="s">
        <v>18566</v>
      </c>
      <c r="C533" s="92" t="s">
        <v>4922</v>
      </c>
      <c r="D533" s="92" t="s">
        <v>18765</v>
      </c>
      <c r="E533" s="94">
        <v>46006.74559027778</v>
      </c>
      <c r="F533" s="94">
        <v>46006.74559027778</v>
      </c>
      <c r="G533" s="90">
        <v>45913.850949074076</v>
      </c>
      <c r="H533" s="1" t="s">
        <v>16476</v>
      </c>
    </row>
    <row r="534">
      <c r="A534" s="93">
        <v>2566.0</v>
      </c>
      <c r="B534" s="92" t="s">
        <v>18567</v>
      </c>
      <c r="C534" s="92" t="s">
        <v>5134</v>
      </c>
      <c r="D534" s="92" t="s">
        <v>18765</v>
      </c>
      <c r="E534" s="94">
        <v>46006.74559027778</v>
      </c>
      <c r="F534" s="94">
        <v>46006.74559027778</v>
      </c>
      <c r="G534" s="90">
        <v>45913.85041666667</v>
      </c>
      <c r="H534" s="1" t="s">
        <v>16476</v>
      </c>
    </row>
    <row r="535">
      <c r="A535" s="93">
        <v>2565.0</v>
      </c>
      <c r="B535" s="92" t="s">
        <v>18568</v>
      </c>
      <c r="C535" s="92" t="s">
        <v>4909</v>
      </c>
      <c r="D535" s="92" t="s">
        <v>18765</v>
      </c>
      <c r="E535" s="94">
        <v>46006.7455787037</v>
      </c>
      <c r="F535" s="94">
        <v>46006.7455787037</v>
      </c>
      <c r="G535" s="90">
        <v>45913.84983796296</v>
      </c>
      <c r="H535" s="1" t="s">
        <v>16476</v>
      </c>
    </row>
    <row r="536">
      <c r="A536" s="93">
        <v>2564.0</v>
      </c>
      <c r="B536" s="92" t="s">
        <v>18569</v>
      </c>
      <c r="C536" s="92" t="s">
        <v>4902</v>
      </c>
      <c r="D536" s="92" t="s">
        <v>18765</v>
      </c>
      <c r="E536" s="94">
        <v>46006.7455787037</v>
      </c>
      <c r="F536" s="94">
        <v>46006.7455787037</v>
      </c>
      <c r="G536" s="90">
        <v>45913.849328703705</v>
      </c>
      <c r="H536" s="1" t="s">
        <v>16476</v>
      </c>
    </row>
    <row r="537">
      <c r="A537" s="93">
        <v>2563.0</v>
      </c>
      <c r="B537" s="92" t="s">
        <v>18570</v>
      </c>
      <c r="C537" s="92" t="s">
        <v>4895</v>
      </c>
      <c r="D537" s="92" t="s">
        <v>18765</v>
      </c>
      <c r="E537" s="94">
        <v>46006.7455787037</v>
      </c>
      <c r="F537" s="94">
        <v>46006.7455787037</v>
      </c>
      <c r="G537" s="90">
        <v>45913.848657407405</v>
      </c>
      <c r="H537" s="1" t="s">
        <v>16476</v>
      </c>
    </row>
    <row r="538">
      <c r="A538" s="93">
        <v>2560.0</v>
      </c>
      <c r="B538" s="92" t="s">
        <v>18571</v>
      </c>
      <c r="C538" s="92" t="s">
        <v>4877</v>
      </c>
      <c r="D538" s="92" t="s">
        <v>18765</v>
      </c>
      <c r="E538" s="94">
        <v>46006.74556712963</v>
      </c>
      <c r="F538" s="94">
        <v>46006.74556712963</v>
      </c>
      <c r="G538" s="90">
        <v>45913.848333333335</v>
      </c>
      <c r="H538" s="1" t="s">
        <v>16476</v>
      </c>
    </row>
    <row r="539">
      <c r="A539" s="93">
        <v>2559.0</v>
      </c>
      <c r="B539" s="92" t="s">
        <v>18572</v>
      </c>
      <c r="C539" s="92" t="s">
        <v>4870</v>
      </c>
      <c r="D539" s="92" t="s">
        <v>18765</v>
      </c>
      <c r="E539" s="94">
        <v>46006.74555555556</v>
      </c>
      <c r="F539" s="94">
        <v>46006.74555555556</v>
      </c>
      <c r="G539" s="90">
        <v>45913.84809027778</v>
      </c>
      <c r="H539" s="1" t="s">
        <v>16476</v>
      </c>
    </row>
    <row r="540">
      <c r="A540" s="93">
        <v>2558.0</v>
      </c>
      <c r="B540" s="92" t="s">
        <v>18838</v>
      </c>
      <c r="C540" s="92" t="s">
        <v>5085</v>
      </c>
      <c r="D540" s="92" t="s">
        <v>18765</v>
      </c>
      <c r="E540" s="94">
        <v>46006.74555555556</v>
      </c>
      <c r="F540" s="94">
        <v>46006.74555555556</v>
      </c>
      <c r="G540" s="90">
        <v>45913.84731481481</v>
      </c>
      <c r="H540" s="1" t="s">
        <v>16476</v>
      </c>
    </row>
    <row r="541">
      <c r="A541" s="93">
        <v>2557.0</v>
      </c>
      <c r="B541" s="92" t="s">
        <v>18574</v>
      </c>
      <c r="C541" s="92" t="s">
        <v>4865</v>
      </c>
      <c r="D541" s="92" t="s">
        <v>18765</v>
      </c>
      <c r="E541" s="94">
        <v>46006.74554398148</v>
      </c>
      <c r="F541" s="94">
        <v>46006.74554398148</v>
      </c>
      <c r="G541" s="90">
        <v>45913.84704861111</v>
      </c>
      <c r="H541" s="1" t="s">
        <v>16476</v>
      </c>
    </row>
    <row r="542">
      <c r="A542" s="93">
        <v>2556.0</v>
      </c>
      <c r="B542" s="92" t="s">
        <v>18786</v>
      </c>
      <c r="C542" s="92" t="s">
        <v>5122</v>
      </c>
      <c r="D542" s="92" t="s">
        <v>18765</v>
      </c>
      <c r="E542" s="94">
        <v>46006.74554398148</v>
      </c>
      <c r="F542" s="94">
        <v>46006.74554398148</v>
      </c>
      <c r="G542" s="90">
        <v>45913.84631944444</v>
      </c>
      <c r="H542" s="1" t="s">
        <v>16476</v>
      </c>
    </row>
    <row r="543">
      <c r="A543" s="93">
        <v>2555.0</v>
      </c>
      <c r="B543" s="92" t="s">
        <v>18576</v>
      </c>
      <c r="C543" s="92" t="s">
        <v>4857</v>
      </c>
      <c r="D543" s="92" t="s">
        <v>18765</v>
      </c>
      <c r="E543" s="94">
        <v>46006.74554398148</v>
      </c>
      <c r="F543" s="94">
        <v>46006.74554398148</v>
      </c>
      <c r="G543" s="90">
        <v>45913.84600694444</v>
      </c>
      <c r="H543" s="1" t="s">
        <v>16476</v>
      </c>
    </row>
    <row r="544">
      <c r="A544" s="93">
        <v>2554.0</v>
      </c>
      <c r="B544" s="92" t="s">
        <v>18577</v>
      </c>
      <c r="C544" s="92" t="s">
        <v>4850</v>
      </c>
      <c r="D544" s="92" t="s">
        <v>18765</v>
      </c>
      <c r="E544" s="94">
        <v>46006.74553240741</v>
      </c>
      <c r="F544" s="94">
        <v>46006.74553240741</v>
      </c>
      <c r="G544" s="90">
        <v>45913.84576388889</v>
      </c>
      <c r="H544" s="1" t="s">
        <v>16476</v>
      </c>
    </row>
    <row r="545">
      <c r="A545" s="93">
        <v>2553.0</v>
      </c>
      <c r="B545" s="92" t="s">
        <v>18578</v>
      </c>
      <c r="C545" s="92" t="s">
        <v>4842</v>
      </c>
      <c r="D545" s="92" t="s">
        <v>18765</v>
      </c>
      <c r="E545" s="94">
        <v>46006.74553240741</v>
      </c>
      <c r="F545" s="94">
        <v>46006.74553240741</v>
      </c>
      <c r="G545" s="90">
        <v>45913.84546296296</v>
      </c>
      <c r="H545" s="1" t="s">
        <v>16476</v>
      </c>
    </row>
    <row r="546">
      <c r="A546" s="93">
        <v>2552.0</v>
      </c>
      <c r="B546" s="92" t="s">
        <v>18579</v>
      </c>
      <c r="C546" s="92" t="s">
        <v>4837</v>
      </c>
      <c r="D546" s="92" t="s">
        <v>18765</v>
      </c>
      <c r="E546" s="94">
        <v>46006.74553240741</v>
      </c>
      <c r="F546" s="94">
        <v>46006.74553240741</v>
      </c>
      <c r="G546" s="90">
        <v>45913.84519675926</v>
      </c>
      <c r="H546" s="1" t="s">
        <v>16476</v>
      </c>
    </row>
    <row r="547">
      <c r="A547" s="93">
        <v>2551.0</v>
      </c>
      <c r="B547" s="92" t="s">
        <v>18580</v>
      </c>
      <c r="C547" s="92" t="s">
        <v>4832</v>
      </c>
      <c r="D547" s="92" t="s">
        <v>18765</v>
      </c>
      <c r="E547" s="94">
        <v>46006.745520833334</v>
      </c>
      <c r="F547" s="94">
        <v>46006.745520833334</v>
      </c>
      <c r="G547" s="90">
        <v>45913.844618055555</v>
      </c>
      <c r="H547" s="1" t="s">
        <v>16476</v>
      </c>
    </row>
    <row r="548">
      <c r="A548" s="93">
        <v>2550.0</v>
      </c>
      <c r="B548" s="92" t="s">
        <v>18581</v>
      </c>
      <c r="C548" s="92" t="s">
        <v>4826</v>
      </c>
      <c r="D548" s="92" t="s">
        <v>18765</v>
      </c>
      <c r="E548" s="94">
        <v>46006.745520833334</v>
      </c>
      <c r="F548" s="94">
        <v>46006.745520833334</v>
      </c>
      <c r="G548" s="90">
        <v>45913.843981481485</v>
      </c>
      <c r="H548" s="1" t="s">
        <v>16476</v>
      </c>
    </row>
    <row r="549">
      <c r="A549" s="93">
        <v>2549.0</v>
      </c>
      <c r="B549" s="92" t="s">
        <v>18582</v>
      </c>
      <c r="C549" s="92" t="s">
        <v>4819</v>
      </c>
      <c r="D549" s="92" t="s">
        <v>18765</v>
      </c>
      <c r="E549" s="94">
        <v>46006.745520833334</v>
      </c>
      <c r="F549" s="94">
        <v>46006.745520833334</v>
      </c>
      <c r="G549" s="90">
        <v>45913.84076388889</v>
      </c>
      <c r="H549" s="1" t="s">
        <v>16476</v>
      </c>
    </row>
    <row r="550">
      <c r="A550" s="93">
        <v>2548.0</v>
      </c>
      <c r="B550" s="92" t="s">
        <v>18583</v>
      </c>
      <c r="C550" s="92" t="s">
        <v>4812</v>
      </c>
      <c r="D550" s="92" t="s">
        <v>18765</v>
      </c>
      <c r="E550" s="94">
        <v>46006.74550925926</v>
      </c>
      <c r="F550" s="94">
        <v>46006.74550925926</v>
      </c>
      <c r="G550" s="90">
        <v>45913.840150462966</v>
      </c>
      <c r="H550" s="1" t="s">
        <v>16476</v>
      </c>
    </row>
    <row r="551">
      <c r="A551" s="93">
        <v>2547.0</v>
      </c>
      <c r="B551" s="92" t="s">
        <v>18584</v>
      </c>
      <c r="C551" s="92" t="s">
        <v>4804</v>
      </c>
      <c r="D551" s="92" t="s">
        <v>18765</v>
      </c>
      <c r="E551" s="94">
        <v>46006.74550925926</v>
      </c>
      <c r="F551" s="94">
        <v>46006.74550925926</v>
      </c>
      <c r="G551" s="90">
        <v>45913.8384375</v>
      </c>
      <c r="H551" s="1" t="s">
        <v>16476</v>
      </c>
    </row>
    <row r="552">
      <c r="A552" s="93">
        <v>2546.0</v>
      </c>
      <c r="B552" s="92" t="s">
        <v>18585</v>
      </c>
      <c r="C552" s="92" t="s">
        <v>4796</v>
      </c>
      <c r="D552" s="92" t="s">
        <v>18765</v>
      </c>
      <c r="E552" s="94">
        <v>46006.74550925926</v>
      </c>
      <c r="F552" s="94">
        <v>46006.74550925926</v>
      </c>
      <c r="G552" s="90">
        <v>45913.838159722225</v>
      </c>
      <c r="H552" s="1" t="s">
        <v>16476</v>
      </c>
    </row>
    <row r="553">
      <c r="A553" s="93">
        <v>2542.0</v>
      </c>
      <c r="B553" s="92" t="s">
        <v>18586</v>
      </c>
      <c r="C553" s="92" t="s">
        <v>4779</v>
      </c>
      <c r="D553" s="92" t="s">
        <v>18765</v>
      </c>
      <c r="E553" s="94">
        <v>46006.74548611111</v>
      </c>
      <c r="F553" s="94">
        <v>46006.74548611111</v>
      </c>
      <c r="G553" s="90">
        <v>45913.83675925926</v>
      </c>
      <c r="H553" s="1" t="s">
        <v>16476</v>
      </c>
    </row>
    <row r="554">
      <c r="A554" s="93">
        <v>2541.0</v>
      </c>
      <c r="B554" s="92" t="s">
        <v>18587</v>
      </c>
      <c r="C554" s="92" t="s">
        <v>4773</v>
      </c>
      <c r="D554" s="92" t="s">
        <v>18765</v>
      </c>
      <c r="E554" s="94">
        <v>46006.74548611111</v>
      </c>
      <c r="F554" s="94">
        <v>46006.74548611111</v>
      </c>
      <c r="G554" s="90">
        <v>45913.836122685185</v>
      </c>
      <c r="H554" s="1" t="s">
        <v>16476</v>
      </c>
    </row>
    <row r="555">
      <c r="A555" s="93">
        <v>2540.0</v>
      </c>
      <c r="B555" s="92" t="s">
        <v>18588</v>
      </c>
      <c r="C555" s="92" t="s">
        <v>4766</v>
      </c>
      <c r="D555" s="92" t="s">
        <v>18765</v>
      </c>
      <c r="E555" s="94">
        <v>46006.74548611111</v>
      </c>
      <c r="F555" s="94">
        <v>46006.74548611111</v>
      </c>
      <c r="G555" s="90">
        <v>45913.8358912037</v>
      </c>
      <c r="H555" s="1" t="s">
        <v>16476</v>
      </c>
    </row>
    <row r="556">
      <c r="A556" s="93">
        <v>2539.0</v>
      </c>
      <c r="B556" s="92" t="s">
        <v>18589</v>
      </c>
      <c r="C556" s="92" t="s">
        <v>4760</v>
      </c>
      <c r="D556" s="92" t="s">
        <v>18765</v>
      </c>
      <c r="E556" s="94">
        <v>46006.745474537034</v>
      </c>
      <c r="F556" s="94">
        <v>46006.745474537034</v>
      </c>
      <c r="G556" s="90">
        <v>45913.83561342592</v>
      </c>
      <c r="H556" s="1" t="s">
        <v>16476</v>
      </c>
    </row>
    <row r="557">
      <c r="A557" s="93">
        <v>2537.0</v>
      </c>
      <c r="B557" s="92" t="s">
        <v>18590</v>
      </c>
      <c r="C557" s="92" t="s">
        <v>4746</v>
      </c>
      <c r="D557" s="92" t="s">
        <v>18765</v>
      </c>
      <c r="E557" s="94">
        <v>46006.745474537034</v>
      </c>
      <c r="F557" s="94">
        <v>46006.745474537034</v>
      </c>
      <c r="G557" s="90">
        <v>45913.83503472222</v>
      </c>
      <c r="H557" s="1" t="s">
        <v>16476</v>
      </c>
    </row>
    <row r="558">
      <c r="A558" s="93">
        <v>2535.0</v>
      </c>
      <c r="B558" s="92" t="s">
        <v>18591</v>
      </c>
      <c r="C558" s="92" t="s">
        <v>4732</v>
      </c>
      <c r="D558" s="92" t="s">
        <v>18765</v>
      </c>
      <c r="E558" s="94">
        <v>46006.745462962965</v>
      </c>
      <c r="F558" s="94">
        <v>46006.745462962965</v>
      </c>
      <c r="G558" s="90">
        <v>45913.834756944445</v>
      </c>
      <c r="H558" s="1" t="s">
        <v>16476</v>
      </c>
    </row>
    <row r="559">
      <c r="A559" s="93">
        <v>2534.0</v>
      </c>
      <c r="B559" s="92" t="s">
        <v>18592</v>
      </c>
      <c r="C559" s="92" t="s">
        <v>4724</v>
      </c>
      <c r="D559" s="92" t="s">
        <v>18765</v>
      </c>
      <c r="E559" s="94">
        <v>46006.745462962965</v>
      </c>
      <c r="F559" s="94">
        <v>46006.745462962965</v>
      </c>
      <c r="G559" s="90">
        <v>45913.83446759259</v>
      </c>
      <c r="H559" s="1" t="s">
        <v>16476</v>
      </c>
    </row>
    <row r="560">
      <c r="A560" s="93">
        <v>2533.0</v>
      </c>
      <c r="B560" s="92" t="s">
        <v>18593</v>
      </c>
      <c r="C560" s="92" t="s">
        <v>4715</v>
      </c>
      <c r="D560" s="92" t="s">
        <v>18765</v>
      </c>
      <c r="E560" s="94">
        <v>46006.74545138889</v>
      </c>
      <c r="F560" s="94">
        <v>46006.74545138889</v>
      </c>
      <c r="G560" s="90">
        <v>45913.8341087963</v>
      </c>
      <c r="H560" s="1" t="s">
        <v>16476</v>
      </c>
    </row>
    <row r="561">
      <c r="A561" s="93">
        <v>2531.0</v>
      </c>
      <c r="B561" s="92" t="s">
        <v>18594</v>
      </c>
      <c r="C561" s="92" t="s">
        <v>4699</v>
      </c>
      <c r="D561" s="92" t="s">
        <v>18765</v>
      </c>
      <c r="E561" s="94">
        <v>46006.74543981482</v>
      </c>
      <c r="F561" s="94">
        <v>46006.74543981482</v>
      </c>
      <c r="G561" s="90">
        <v>45913.83336805556</v>
      </c>
      <c r="H561" s="1" t="s">
        <v>16476</v>
      </c>
    </row>
    <row r="562">
      <c r="A562" s="93">
        <v>2530.0</v>
      </c>
      <c r="B562" s="92" t="s">
        <v>18595</v>
      </c>
      <c r="C562" s="92" t="s">
        <v>4693</v>
      </c>
      <c r="D562" s="92" t="s">
        <v>18765</v>
      </c>
      <c r="E562" s="94">
        <v>46006.74543981482</v>
      </c>
      <c r="F562" s="94">
        <v>46006.74543981482</v>
      </c>
      <c r="G562" s="90">
        <v>45913.83293981481</v>
      </c>
      <c r="H562" s="1" t="s">
        <v>16476</v>
      </c>
    </row>
    <row r="563">
      <c r="A563" s="93">
        <v>2529.0</v>
      </c>
      <c r="B563" s="92" t="s">
        <v>18596</v>
      </c>
      <c r="C563" s="92" t="s">
        <v>4685</v>
      </c>
      <c r="D563" s="92" t="s">
        <v>18765</v>
      </c>
      <c r="E563" s="94">
        <v>46006.74543981482</v>
      </c>
      <c r="F563" s="94">
        <v>46006.74543981482</v>
      </c>
      <c r="G563" s="90">
        <v>45913.83243055556</v>
      </c>
      <c r="H563" s="1" t="s">
        <v>16476</v>
      </c>
    </row>
    <row r="564">
      <c r="A564" s="93">
        <v>2528.0</v>
      </c>
      <c r="B564" s="92" t="s">
        <v>18597</v>
      </c>
      <c r="C564" s="92" t="s">
        <v>4679</v>
      </c>
      <c r="D564" s="92" t="s">
        <v>18765</v>
      </c>
      <c r="E564" s="94">
        <v>46006.74542824074</v>
      </c>
      <c r="F564" s="94">
        <v>46006.74542824074</v>
      </c>
      <c r="G564" s="90">
        <v>45913.83215277778</v>
      </c>
      <c r="H564" s="1" t="s">
        <v>16476</v>
      </c>
    </row>
    <row r="565">
      <c r="A565" s="93">
        <v>2527.0</v>
      </c>
      <c r="B565" s="92" t="s">
        <v>18598</v>
      </c>
      <c r="C565" s="92" t="s">
        <v>4673</v>
      </c>
      <c r="D565" s="92" t="s">
        <v>18765</v>
      </c>
      <c r="E565" s="94">
        <v>46006.74542824074</v>
      </c>
      <c r="F565" s="94">
        <v>46006.74542824074</v>
      </c>
      <c r="G565" s="90">
        <v>45913.83153935185</v>
      </c>
      <c r="H565" s="1" t="s">
        <v>16476</v>
      </c>
    </row>
    <row r="566">
      <c r="A566" s="93">
        <v>2526.0</v>
      </c>
      <c r="B566" s="92" t="s">
        <v>18599</v>
      </c>
      <c r="C566" s="92" t="s">
        <v>4665</v>
      </c>
      <c r="D566" s="92" t="s">
        <v>18765</v>
      </c>
      <c r="E566" s="94">
        <v>46006.74542824074</v>
      </c>
      <c r="F566" s="94">
        <v>46006.74542824074</v>
      </c>
      <c r="G566" s="90">
        <v>45913.83128472222</v>
      </c>
      <c r="H566" s="1" t="s">
        <v>16476</v>
      </c>
    </row>
    <row r="567">
      <c r="A567" s="93">
        <v>2525.0</v>
      </c>
      <c r="B567" s="92" t="s">
        <v>18600</v>
      </c>
      <c r="C567" s="92" t="s">
        <v>4658</v>
      </c>
      <c r="D567" s="92" t="s">
        <v>18765</v>
      </c>
      <c r="E567" s="94">
        <v>46006.745416666665</v>
      </c>
      <c r="F567" s="94">
        <v>46006.745416666665</v>
      </c>
      <c r="G567" s="90">
        <v>45913.83084490741</v>
      </c>
      <c r="H567" s="1" t="s">
        <v>16476</v>
      </c>
    </row>
    <row r="568">
      <c r="A568" s="93">
        <v>2524.0</v>
      </c>
      <c r="B568" s="92" t="s">
        <v>18601</v>
      </c>
      <c r="C568" s="92" t="s">
        <v>4651</v>
      </c>
      <c r="D568" s="92" t="s">
        <v>18765</v>
      </c>
      <c r="E568" s="94">
        <v>46006.745416666665</v>
      </c>
      <c r="F568" s="94">
        <v>46006.745416666665</v>
      </c>
      <c r="G568" s="90">
        <v>45913.830034722225</v>
      </c>
      <c r="H568" s="1" t="s">
        <v>16476</v>
      </c>
    </row>
    <row r="569">
      <c r="A569" s="93">
        <v>2523.0</v>
      </c>
      <c r="B569" s="92" t="s">
        <v>18602</v>
      </c>
      <c r="C569" s="92" t="s">
        <v>4642</v>
      </c>
      <c r="D569" s="92" t="s">
        <v>18765</v>
      </c>
      <c r="E569" s="94">
        <v>46006.745416666665</v>
      </c>
      <c r="F569" s="94">
        <v>46006.745416666665</v>
      </c>
      <c r="G569" s="90">
        <v>45913.82979166666</v>
      </c>
      <c r="H569" s="1" t="s">
        <v>16476</v>
      </c>
    </row>
    <row r="570">
      <c r="A570" s="93">
        <v>2522.0</v>
      </c>
      <c r="B570" s="92" t="s">
        <v>18603</v>
      </c>
      <c r="C570" s="92" t="s">
        <v>4635</v>
      </c>
      <c r="D570" s="92" t="s">
        <v>18765</v>
      </c>
      <c r="E570" s="94">
        <v>46006.745405092595</v>
      </c>
      <c r="F570" s="94">
        <v>46006.745405092595</v>
      </c>
      <c r="G570" s="90">
        <v>45913.829560185186</v>
      </c>
      <c r="H570" s="1" t="s">
        <v>16476</v>
      </c>
    </row>
    <row r="571">
      <c r="A571" s="93">
        <v>2521.0</v>
      </c>
      <c r="B571" s="92" t="s">
        <v>18604</v>
      </c>
      <c r="C571" s="92" t="s">
        <v>4628</v>
      </c>
      <c r="D571" s="92" t="s">
        <v>18765</v>
      </c>
      <c r="E571" s="94">
        <v>46006.745405092595</v>
      </c>
      <c r="F571" s="94">
        <v>46006.745405092595</v>
      </c>
      <c r="G571" s="90">
        <v>45913.829305555555</v>
      </c>
      <c r="H571" s="1" t="s">
        <v>16476</v>
      </c>
    </row>
    <row r="572">
      <c r="A572" s="93">
        <v>2520.0</v>
      </c>
      <c r="B572" s="92" t="s">
        <v>18605</v>
      </c>
      <c r="C572" s="92" t="s">
        <v>4620</v>
      </c>
      <c r="D572" s="92" t="s">
        <v>18765</v>
      </c>
      <c r="E572" s="94">
        <v>46006.74539351852</v>
      </c>
      <c r="F572" s="94">
        <v>46006.74539351852</v>
      </c>
      <c r="G572" s="90">
        <v>45913.82908564815</v>
      </c>
      <c r="H572" s="1" t="s">
        <v>16476</v>
      </c>
    </row>
    <row r="573">
      <c r="A573" s="93">
        <v>2519.0</v>
      </c>
      <c r="B573" s="92" t="s">
        <v>18606</v>
      </c>
      <c r="C573" s="92" t="s">
        <v>18839</v>
      </c>
      <c r="D573" s="92" t="s">
        <v>18765</v>
      </c>
      <c r="E573" s="94">
        <v>46006.74539351852</v>
      </c>
      <c r="F573" s="94">
        <v>46006.74539351852</v>
      </c>
      <c r="G573" s="90">
        <v>45913.82881944445</v>
      </c>
      <c r="H573" s="1" t="s">
        <v>16476</v>
      </c>
    </row>
    <row r="574">
      <c r="A574" s="93">
        <v>2518.0</v>
      </c>
      <c r="B574" s="92" t="s">
        <v>18607</v>
      </c>
      <c r="C574" s="92" t="s">
        <v>4605</v>
      </c>
      <c r="D574" s="92" t="s">
        <v>18765</v>
      </c>
      <c r="E574" s="94">
        <v>46006.74539351852</v>
      </c>
      <c r="F574" s="94">
        <v>46006.74539351852</v>
      </c>
      <c r="G574" s="90">
        <v>45913.82858796296</v>
      </c>
      <c r="H574" s="1" t="s">
        <v>16476</v>
      </c>
    </row>
    <row r="575">
      <c r="A575" s="93">
        <v>2517.0</v>
      </c>
      <c r="B575" s="92" t="s">
        <v>18608</v>
      </c>
      <c r="C575" s="92" t="s">
        <v>4599</v>
      </c>
      <c r="D575" s="92" t="s">
        <v>18765</v>
      </c>
      <c r="E575" s="94">
        <v>46006.74538194444</v>
      </c>
      <c r="F575" s="94">
        <v>46006.74538194444</v>
      </c>
      <c r="G575" s="90">
        <v>45913.82809027778</v>
      </c>
      <c r="H575" s="1" t="s">
        <v>16476</v>
      </c>
    </row>
    <row r="576">
      <c r="A576" s="93">
        <v>2516.0</v>
      </c>
      <c r="B576" s="92" t="s">
        <v>18609</v>
      </c>
      <c r="C576" s="92" t="s">
        <v>4592</v>
      </c>
      <c r="D576" s="92" t="s">
        <v>18765</v>
      </c>
      <c r="E576" s="94">
        <v>46006.74538194444</v>
      </c>
      <c r="F576" s="94">
        <v>46006.74538194444</v>
      </c>
      <c r="G576" s="90">
        <v>45913.827418981484</v>
      </c>
      <c r="H576" s="1" t="s">
        <v>16476</v>
      </c>
    </row>
    <row r="577">
      <c r="A577" s="93">
        <v>2515.0</v>
      </c>
      <c r="B577" s="92" t="s">
        <v>18610</v>
      </c>
      <c r="C577" s="92" t="s">
        <v>4584</v>
      </c>
      <c r="D577" s="92" t="s">
        <v>18765</v>
      </c>
      <c r="E577" s="94">
        <v>46006.74538194444</v>
      </c>
      <c r="F577" s="94">
        <v>46006.74538194444</v>
      </c>
      <c r="G577" s="90">
        <v>45913.82716435185</v>
      </c>
      <c r="H577" s="1" t="s">
        <v>16476</v>
      </c>
    </row>
    <row r="578">
      <c r="A578" s="93">
        <v>2514.0</v>
      </c>
      <c r="B578" s="92" t="s">
        <v>18611</v>
      </c>
      <c r="C578" s="92" t="s">
        <v>4577</v>
      </c>
      <c r="D578" s="92" t="s">
        <v>18765</v>
      </c>
      <c r="E578" s="94">
        <v>46006.74537037037</v>
      </c>
      <c r="F578" s="94">
        <v>46006.74537037037</v>
      </c>
      <c r="G578" s="90">
        <v>45913.8269212963</v>
      </c>
      <c r="H578" s="1" t="s">
        <v>16476</v>
      </c>
    </row>
    <row r="579">
      <c r="A579" s="93">
        <v>2513.0</v>
      </c>
      <c r="B579" s="92" t="s">
        <v>18612</v>
      </c>
      <c r="C579" s="92" t="s">
        <v>4570</v>
      </c>
      <c r="D579" s="92" t="s">
        <v>18765</v>
      </c>
      <c r="E579" s="94">
        <v>46006.74537037037</v>
      </c>
      <c r="F579" s="94">
        <v>46006.74537037037</v>
      </c>
      <c r="G579" s="90">
        <v>45913.8265625</v>
      </c>
      <c r="H579" s="1" t="s">
        <v>16476</v>
      </c>
    </row>
    <row r="580">
      <c r="A580" s="93">
        <v>2512.0</v>
      </c>
      <c r="B580" s="92" t="s">
        <v>18613</v>
      </c>
      <c r="C580" s="92" t="s">
        <v>4565</v>
      </c>
      <c r="D580" s="92" t="s">
        <v>18765</v>
      </c>
      <c r="E580" s="94">
        <v>46006.74537037037</v>
      </c>
      <c r="F580" s="94">
        <v>46006.74537037037</v>
      </c>
      <c r="G580" s="90">
        <v>45913.82628472222</v>
      </c>
      <c r="H580" s="1" t="s">
        <v>16476</v>
      </c>
    </row>
    <row r="581">
      <c r="A581" s="93">
        <v>2511.0</v>
      </c>
      <c r="B581" s="92" t="s">
        <v>18614</v>
      </c>
      <c r="C581" s="92" t="s">
        <v>4559</v>
      </c>
      <c r="D581" s="92" t="s">
        <v>18765</v>
      </c>
      <c r="E581" s="94">
        <v>46006.745358796295</v>
      </c>
      <c r="F581" s="94">
        <v>46006.745358796295</v>
      </c>
      <c r="G581" s="90">
        <v>45913.825578703705</v>
      </c>
      <c r="H581" s="1" t="s">
        <v>16476</v>
      </c>
    </row>
    <row r="582">
      <c r="A582" s="93">
        <v>2510.0</v>
      </c>
      <c r="B582" s="92" t="s">
        <v>18615</v>
      </c>
      <c r="C582" s="92" t="s">
        <v>4552</v>
      </c>
      <c r="D582" s="92" t="s">
        <v>18765</v>
      </c>
      <c r="E582" s="94">
        <v>46006.745358796295</v>
      </c>
      <c r="F582" s="94">
        <v>46006.745358796295</v>
      </c>
      <c r="G582" s="90">
        <v>45913.825219907405</v>
      </c>
      <c r="H582" s="1" t="s">
        <v>16476</v>
      </c>
    </row>
    <row r="583">
      <c r="A583" s="93">
        <v>2509.0</v>
      </c>
      <c r="B583" s="92" t="s">
        <v>18616</v>
      </c>
      <c r="C583" s="92" t="s">
        <v>4546</v>
      </c>
      <c r="D583" s="92" t="s">
        <v>18765</v>
      </c>
      <c r="E583" s="94">
        <v>46006.74534722222</v>
      </c>
      <c r="F583" s="94">
        <v>46006.74534722222</v>
      </c>
      <c r="G583" s="90">
        <v>45913.825</v>
      </c>
      <c r="H583" s="1" t="s">
        <v>16476</v>
      </c>
    </row>
    <row r="584">
      <c r="A584" s="93">
        <v>2508.0</v>
      </c>
      <c r="B584" s="92" t="s">
        <v>18617</v>
      </c>
      <c r="C584" s="92" t="s">
        <v>4539</v>
      </c>
      <c r="D584" s="92" t="s">
        <v>18765</v>
      </c>
      <c r="E584" s="94">
        <v>46006.74534722222</v>
      </c>
      <c r="F584" s="94">
        <v>46006.74534722222</v>
      </c>
      <c r="G584" s="90">
        <v>45913.82423611111</v>
      </c>
      <c r="H584" s="1" t="s">
        <v>16476</v>
      </c>
    </row>
    <row r="585">
      <c r="A585" s="93">
        <v>2507.0</v>
      </c>
      <c r="B585" s="92" t="s">
        <v>18618</v>
      </c>
      <c r="C585" s="92" t="s">
        <v>4531</v>
      </c>
      <c r="D585" s="92" t="s">
        <v>18765</v>
      </c>
      <c r="E585" s="94">
        <v>46006.74534722222</v>
      </c>
      <c r="F585" s="94">
        <v>46006.74534722222</v>
      </c>
      <c r="G585" s="90">
        <v>45913.823645833334</v>
      </c>
      <c r="H585" s="1" t="s">
        <v>16476</v>
      </c>
    </row>
    <row r="586">
      <c r="A586" s="93">
        <v>2506.0</v>
      </c>
      <c r="B586" s="92" t="s">
        <v>18619</v>
      </c>
      <c r="C586" s="92" t="s">
        <v>4524</v>
      </c>
      <c r="D586" s="92" t="s">
        <v>18765</v>
      </c>
      <c r="E586" s="94">
        <v>46006.74533564815</v>
      </c>
      <c r="F586" s="94">
        <v>46006.74533564815</v>
      </c>
      <c r="G586" s="90">
        <v>45913.81790509259</v>
      </c>
      <c r="H586" s="1" t="s">
        <v>16476</v>
      </c>
    </row>
    <row r="587">
      <c r="A587" s="93">
        <v>2505.0</v>
      </c>
      <c r="B587" s="92" t="s">
        <v>18620</v>
      </c>
      <c r="C587" s="92" t="s">
        <v>4518</v>
      </c>
      <c r="D587" s="92" t="s">
        <v>18765</v>
      </c>
      <c r="E587" s="94">
        <v>46006.74533564815</v>
      </c>
      <c r="F587" s="94">
        <v>46006.74533564815</v>
      </c>
      <c r="G587" s="90">
        <v>45913.817337962966</v>
      </c>
      <c r="H587" s="1" t="s">
        <v>16476</v>
      </c>
    </row>
    <row r="588">
      <c r="A588" s="93">
        <v>2504.0</v>
      </c>
      <c r="B588" s="92" t="s">
        <v>18621</v>
      </c>
      <c r="C588" s="92" t="s">
        <v>18840</v>
      </c>
      <c r="D588" s="92" t="s">
        <v>18765</v>
      </c>
      <c r="E588" s="94">
        <v>46006.74533564815</v>
      </c>
      <c r="F588" s="94">
        <v>46006.74533564815</v>
      </c>
      <c r="G588" s="90">
        <v>45913.817083333335</v>
      </c>
      <c r="H588" s="1" t="s">
        <v>16476</v>
      </c>
    </row>
    <row r="589">
      <c r="A589" s="93">
        <v>2503.0</v>
      </c>
      <c r="B589" s="92" t="s">
        <v>18622</v>
      </c>
      <c r="C589" s="92" t="s">
        <v>4504</v>
      </c>
      <c r="D589" s="92" t="s">
        <v>18765</v>
      </c>
      <c r="E589" s="94">
        <v>46006.74532407407</v>
      </c>
      <c r="F589" s="94">
        <v>46006.74532407407</v>
      </c>
      <c r="G589" s="90">
        <v>45913.81684027778</v>
      </c>
      <c r="H589" s="1" t="s">
        <v>16476</v>
      </c>
    </row>
    <row r="590">
      <c r="A590" s="93">
        <v>2502.0</v>
      </c>
      <c r="B590" s="92" t="s">
        <v>18623</v>
      </c>
      <c r="C590" s="92" t="s">
        <v>18841</v>
      </c>
      <c r="D590" s="92" t="s">
        <v>18765</v>
      </c>
      <c r="E590" s="94">
        <v>46006.74532407407</v>
      </c>
      <c r="F590" s="94">
        <v>46006.74532407407</v>
      </c>
      <c r="G590" s="90">
        <v>45913.81633101852</v>
      </c>
      <c r="H590" s="1" t="s">
        <v>16476</v>
      </c>
    </row>
    <row r="591">
      <c r="A591" s="93">
        <v>2501.0</v>
      </c>
      <c r="B591" s="92" t="s">
        <v>18624</v>
      </c>
      <c r="C591" s="92" t="s">
        <v>4486</v>
      </c>
      <c r="D591" s="92" t="s">
        <v>18765</v>
      </c>
      <c r="E591" s="94">
        <v>46006.74532407407</v>
      </c>
      <c r="F591" s="94">
        <v>46006.74532407407</v>
      </c>
      <c r="G591" s="90">
        <v>45913.816030092596</v>
      </c>
      <c r="H591" s="1" t="s">
        <v>16476</v>
      </c>
    </row>
    <row r="592">
      <c r="A592" s="93">
        <v>2500.0</v>
      </c>
      <c r="B592" s="92" t="s">
        <v>18625</v>
      </c>
      <c r="C592" s="92" t="s">
        <v>4477</v>
      </c>
      <c r="D592" s="92" t="s">
        <v>18765</v>
      </c>
      <c r="E592" s="94">
        <v>46006.7453125</v>
      </c>
      <c r="F592" s="94">
        <v>46006.7453125</v>
      </c>
      <c r="G592" s="90">
        <v>45913.81576388889</v>
      </c>
      <c r="H592" s="1" t="s">
        <v>16476</v>
      </c>
    </row>
    <row r="593">
      <c r="A593" s="93">
        <v>2499.0</v>
      </c>
      <c r="B593" s="92" t="s">
        <v>18626</v>
      </c>
      <c r="C593" s="92" t="s">
        <v>4468</v>
      </c>
      <c r="D593" s="92" t="s">
        <v>18765</v>
      </c>
      <c r="E593" s="94">
        <v>46006.7453125</v>
      </c>
      <c r="F593" s="94">
        <v>46006.7453125</v>
      </c>
      <c r="G593" s="90">
        <v>45913.815405092595</v>
      </c>
      <c r="H593" s="1" t="s">
        <v>16476</v>
      </c>
    </row>
    <row r="594">
      <c r="A594" s="93">
        <v>2498.0</v>
      </c>
      <c r="B594" s="92" t="s">
        <v>18627</v>
      </c>
      <c r="C594" s="92" t="s">
        <v>4461</v>
      </c>
      <c r="D594" s="92" t="s">
        <v>18765</v>
      </c>
      <c r="E594" s="94">
        <v>46006.7453125</v>
      </c>
      <c r="F594" s="94">
        <v>46006.7453125</v>
      </c>
      <c r="G594" s="90">
        <v>45913.81512731482</v>
      </c>
      <c r="H594" s="1" t="s">
        <v>16476</v>
      </c>
    </row>
    <row r="595">
      <c r="A595" s="93">
        <v>2497.0</v>
      </c>
      <c r="B595" s="92" t="s">
        <v>18628</v>
      </c>
      <c r="C595" s="92" t="s">
        <v>4453</v>
      </c>
      <c r="D595" s="92" t="s">
        <v>18765</v>
      </c>
      <c r="E595" s="94">
        <v>46006.745300925926</v>
      </c>
      <c r="F595" s="94">
        <v>46006.745300925926</v>
      </c>
      <c r="G595" s="90">
        <v>45913.81471064815</v>
      </c>
      <c r="H595" s="1" t="s">
        <v>16476</v>
      </c>
    </row>
    <row r="596">
      <c r="A596" s="93">
        <v>2496.0</v>
      </c>
      <c r="B596" s="92" t="s">
        <v>18629</v>
      </c>
      <c r="C596" s="92" t="s">
        <v>4446</v>
      </c>
      <c r="D596" s="92" t="s">
        <v>18765</v>
      </c>
      <c r="E596" s="94">
        <v>46006.745300925926</v>
      </c>
      <c r="F596" s="94">
        <v>46006.745300925926</v>
      </c>
      <c r="G596" s="90">
        <v>45913.814039351855</v>
      </c>
      <c r="H596" s="1" t="s">
        <v>16476</v>
      </c>
    </row>
    <row r="597">
      <c r="A597" s="93">
        <v>2495.0</v>
      </c>
      <c r="B597" s="92" t="s">
        <v>18630</v>
      </c>
      <c r="C597" s="92" t="s">
        <v>4438</v>
      </c>
      <c r="D597" s="92" t="s">
        <v>18765</v>
      </c>
      <c r="E597" s="94">
        <v>46006.74528935185</v>
      </c>
      <c r="F597" s="94">
        <v>46006.74528935185</v>
      </c>
      <c r="G597" s="90">
        <v>45913.81376157407</v>
      </c>
      <c r="H597" s="1" t="s">
        <v>16476</v>
      </c>
    </row>
    <row r="598">
      <c r="A598" s="93">
        <v>2494.0</v>
      </c>
      <c r="B598" s="92" t="s">
        <v>18631</v>
      </c>
      <c r="C598" s="92" t="s">
        <v>4431</v>
      </c>
      <c r="D598" s="92" t="s">
        <v>18765</v>
      </c>
      <c r="E598" s="94">
        <v>46006.74528935185</v>
      </c>
      <c r="F598" s="94">
        <v>46006.74528935185</v>
      </c>
      <c r="G598" s="90">
        <v>45913.81240740741</v>
      </c>
      <c r="H598" s="1" t="s">
        <v>16476</v>
      </c>
    </row>
    <row r="599">
      <c r="A599" s="93">
        <v>2493.0</v>
      </c>
      <c r="B599" s="92" t="s">
        <v>18632</v>
      </c>
      <c r="C599" s="92" t="s">
        <v>4423</v>
      </c>
      <c r="D599" s="92" t="s">
        <v>18765</v>
      </c>
      <c r="E599" s="94">
        <v>46006.74528935185</v>
      </c>
      <c r="F599" s="94">
        <v>46006.74528935185</v>
      </c>
      <c r="G599" s="90">
        <v>45913.81197916667</v>
      </c>
      <c r="H599" s="1" t="s">
        <v>16476</v>
      </c>
    </row>
    <row r="600">
      <c r="A600" s="93">
        <v>2492.0</v>
      </c>
      <c r="B600" s="92" t="s">
        <v>18633</v>
      </c>
      <c r="C600" s="92" t="s">
        <v>4415</v>
      </c>
      <c r="D600" s="92" t="s">
        <v>18765</v>
      </c>
      <c r="E600" s="94">
        <v>46006.74527777778</v>
      </c>
      <c r="F600" s="94">
        <v>46006.74527777778</v>
      </c>
      <c r="G600" s="90">
        <v>45913.806435185186</v>
      </c>
      <c r="H600" s="1" t="s">
        <v>16476</v>
      </c>
    </row>
    <row r="601">
      <c r="A601" s="93">
        <v>2491.0</v>
      </c>
      <c r="B601" s="92" t="s">
        <v>18634</v>
      </c>
      <c r="C601" s="92" t="s">
        <v>18842</v>
      </c>
      <c r="D601" s="92" t="s">
        <v>18765</v>
      </c>
      <c r="E601" s="94">
        <v>46006.74527777778</v>
      </c>
      <c r="F601" s="94">
        <v>46006.74527777778</v>
      </c>
      <c r="G601" s="90">
        <v>45913.80579861111</v>
      </c>
      <c r="H601" s="1" t="s">
        <v>16476</v>
      </c>
    </row>
    <row r="602">
      <c r="A602" s="93">
        <v>2490.0</v>
      </c>
      <c r="B602" s="92" t="s">
        <v>18635</v>
      </c>
      <c r="C602" s="92" t="s">
        <v>4403</v>
      </c>
      <c r="D602" s="92" t="s">
        <v>18765</v>
      </c>
      <c r="E602" s="94">
        <v>46006.7452662037</v>
      </c>
      <c r="F602" s="94">
        <v>46006.7452662037</v>
      </c>
      <c r="G602" s="90">
        <v>45913.8053125</v>
      </c>
      <c r="H602" s="1" t="s">
        <v>16476</v>
      </c>
    </row>
    <row r="603">
      <c r="A603" s="93">
        <v>2489.0</v>
      </c>
      <c r="B603" s="92" t="s">
        <v>18636</v>
      </c>
      <c r="C603" s="92" t="s">
        <v>4398</v>
      </c>
      <c r="D603" s="92" t="s">
        <v>18765</v>
      </c>
      <c r="E603" s="94">
        <v>46006.7452662037</v>
      </c>
      <c r="F603" s="94">
        <v>46006.7452662037</v>
      </c>
      <c r="G603" s="90">
        <v>45913.80502314815</v>
      </c>
      <c r="H603" s="1" t="s">
        <v>16476</v>
      </c>
    </row>
    <row r="604">
      <c r="A604" s="93">
        <v>2488.0</v>
      </c>
      <c r="B604" s="92" t="s">
        <v>18843</v>
      </c>
      <c r="C604" s="92" t="s">
        <v>5115</v>
      </c>
      <c r="D604" s="92" t="s">
        <v>18765</v>
      </c>
      <c r="E604" s="94">
        <v>46006.7452662037</v>
      </c>
      <c r="F604" s="94">
        <v>46006.7452662037</v>
      </c>
      <c r="G604" s="90">
        <v>45913.8047337963</v>
      </c>
      <c r="H604" s="1" t="s">
        <v>16476</v>
      </c>
    </row>
    <row r="605">
      <c r="A605" s="93">
        <v>2487.0</v>
      </c>
      <c r="B605" s="92" t="s">
        <v>18844</v>
      </c>
      <c r="C605" s="92" t="s">
        <v>5107</v>
      </c>
      <c r="D605" s="92" t="s">
        <v>18765</v>
      </c>
      <c r="E605" s="94">
        <v>46006.745254629626</v>
      </c>
      <c r="F605" s="94">
        <v>46006.745254629626</v>
      </c>
      <c r="G605" s="90">
        <v>45913.80438657408</v>
      </c>
      <c r="H605" s="1" t="s">
        <v>16476</v>
      </c>
    </row>
    <row r="606">
      <c r="A606" s="93">
        <v>2486.0</v>
      </c>
      <c r="B606" s="92" t="s">
        <v>18845</v>
      </c>
      <c r="C606" s="92" t="s">
        <v>5077</v>
      </c>
      <c r="D606" s="92" t="s">
        <v>18765</v>
      </c>
      <c r="E606" s="94">
        <v>46006.745254629626</v>
      </c>
      <c r="F606" s="94">
        <v>46006.745254629626</v>
      </c>
      <c r="G606" s="90">
        <v>45913.804074074076</v>
      </c>
      <c r="H606" s="1" t="s">
        <v>16476</v>
      </c>
    </row>
    <row r="607">
      <c r="A607" s="93">
        <v>2485.0</v>
      </c>
      <c r="B607" s="92" t="s">
        <v>18786</v>
      </c>
      <c r="C607" s="92" t="s">
        <v>5071</v>
      </c>
      <c r="D607" s="92" t="s">
        <v>18765</v>
      </c>
      <c r="E607" s="94">
        <v>46006.745254629626</v>
      </c>
      <c r="F607" s="94">
        <v>46006.745254629626</v>
      </c>
      <c r="G607" s="90">
        <v>45913.80378472222</v>
      </c>
      <c r="H607" s="1" t="s">
        <v>16476</v>
      </c>
    </row>
    <row r="608">
      <c r="A608" s="93">
        <v>2484.0</v>
      </c>
      <c r="B608" s="92" t="s">
        <v>18641</v>
      </c>
      <c r="C608" s="92" t="s">
        <v>4392</v>
      </c>
      <c r="D608" s="92" t="s">
        <v>18765</v>
      </c>
      <c r="E608" s="94">
        <v>46006.74524305556</v>
      </c>
      <c r="F608" s="94">
        <v>46006.74524305556</v>
      </c>
      <c r="G608" s="90">
        <v>45913.80353009259</v>
      </c>
      <c r="H608" s="1" t="s">
        <v>16476</v>
      </c>
    </row>
    <row r="609">
      <c r="A609" s="93">
        <v>2483.0</v>
      </c>
      <c r="B609" s="92" t="s">
        <v>18642</v>
      </c>
      <c r="C609" s="92" t="s">
        <v>18846</v>
      </c>
      <c r="D609" s="92" t="s">
        <v>18765</v>
      </c>
      <c r="E609" s="94">
        <v>46006.74524305556</v>
      </c>
      <c r="F609" s="94">
        <v>46006.74524305556</v>
      </c>
      <c r="G609" s="90">
        <v>45913.802083333336</v>
      </c>
      <c r="H609" s="1" t="s">
        <v>16476</v>
      </c>
    </row>
    <row r="610">
      <c r="A610" s="93">
        <v>2482.0</v>
      </c>
      <c r="B610" s="92" t="s">
        <v>18643</v>
      </c>
      <c r="C610" s="92" t="s">
        <v>4377</v>
      </c>
      <c r="D610" s="92" t="s">
        <v>18765</v>
      </c>
      <c r="E610" s="94">
        <v>46006.74524305556</v>
      </c>
      <c r="F610" s="94">
        <v>46006.74524305556</v>
      </c>
      <c r="G610" s="90">
        <v>45913.801620370374</v>
      </c>
      <c r="H610" s="1" t="s">
        <v>16476</v>
      </c>
    </row>
    <row r="611">
      <c r="A611" s="93">
        <v>2481.0</v>
      </c>
      <c r="B611" s="92" t="s">
        <v>18644</v>
      </c>
      <c r="C611" s="92" t="s">
        <v>4370</v>
      </c>
      <c r="D611" s="92" t="s">
        <v>18765</v>
      </c>
      <c r="E611" s="94">
        <v>46006.74523148148</v>
      </c>
      <c r="F611" s="94">
        <v>46006.74523148148</v>
      </c>
      <c r="G611" s="90">
        <v>45913.8012962963</v>
      </c>
      <c r="H611" s="1" t="s">
        <v>16476</v>
      </c>
    </row>
    <row r="612">
      <c r="A612" s="93">
        <v>2480.0</v>
      </c>
      <c r="B612" s="92" t="s">
        <v>18645</v>
      </c>
      <c r="C612" s="92" t="s">
        <v>4363</v>
      </c>
      <c r="D612" s="92" t="s">
        <v>18765</v>
      </c>
      <c r="E612" s="94">
        <v>46006.74523148148</v>
      </c>
      <c r="F612" s="94">
        <v>46006.74523148148</v>
      </c>
      <c r="G612" s="90">
        <v>45913.80081018519</v>
      </c>
      <c r="H612" s="1" t="s">
        <v>16476</v>
      </c>
    </row>
    <row r="613">
      <c r="A613" s="93">
        <v>2479.0</v>
      </c>
      <c r="B613" s="92" t="s">
        <v>18646</v>
      </c>
      <c r="C613" s="92" t="s">
        <v>4355</v>
      </c>
      <c r="D613" s="92" t="s">
        <v>18765</v>
      </c>
      <c r="E613" s="94">
        <v>46006.74521990741</v>
      </c>
      <c r="F613" s="94">
        <v>46006.74521990741</v>
      </c>
      <c r="G613" s="90">
        <v>45913.79980324074</v>
      </c>
      <c r="H613" s="1" t="s">
        <v>16476</v>
      </c>
    </row>
    <row r="614">
      <c r="A614" s="93">
        <v>2478.0</v>
      </c>
      <c r="B614" s="92" t="s">
        <v>18647</v>
      </c>
      <c r="C614" s="92" t="s">
        <v>4348</v>
      </c>
      <c r="D614" s="92" t="s">
        <v>18765</v>
      </c>
      <c r="E614" s="94">
        <v>46006.74521990741</v>
      </c>
      <c r="F614" s="94">
        <v>46006.74521990741</v>
      </c>
      <c r="G614" s="90">
        <v>45913.798622685186</v>
      </c>
      <c r="H614" s="1" t="s">
        <v>16476</v>
      </c>
    </row>
    <row r="615">
      <c r="A615" s="93">
        <v>2477.0</v>
      </c>
      <c r="B615" s="92" t="s">
        <v>18648</v>
      </c>
      <c r="C615" s="92" t="s">
        <v>4342</v>
      </c>
      <c r="D615" s="92" t="s">
        <v>18765</v>
      </c>
      <c r="E615" s="94">
        <v>46006.74521990741</v>
      </c>
      <c r="F615" s="94">
        <v>46006.74521990741</v>
      </c>
      <c r="G615" s="90">
        <v>45913.798055555555</v>
      </c>
      <c r="H615" s="1" t="s">
        <v>16476</v>
      </c>
    </row>
    <row r="616">
      <c r="A616" s="93">
        <v>2475.0</v>
      </c>
      <c r="B616" s="92" t="s">
        <v>18649</v>
      </c>
      <c r="C616" s="92" t="s">
        <v>4326</v>
      </c>
      <c r="D616" s="92" t="s">
        <v>18765</v>
      </c>
      <c r="E616" s="94">
        <v>46006.745208333334</v>
      </c>
      <c r="F616" s="94">
        <v>46006.745208333334</v>
      </c>
      <c r="G616" s="90">
        <v>45913.7974537037</v>
      </c>
      <c r="H616" s="1" t="s">
        <v>16476</v>
      </c>
    </row>
    <row r="617">
      <c r="A617" s="93">
        <v>2474.0</v>
      </c>
      <c r="B617" s="92" t="s">
        <v>18650</v>
      </c>
      <c r="C617" s="92" t="s">
        <v>4320</v>
      </c>
      <c r="D617" s="92" t="s">
        <v>18765</v>
      </c>
      <c r="E617" s="94">
        <v>46006.745208333334</v>
      </c>
      <c r="F617" s="94">
        <v>46006.745208333334</v>
      </c>
      <c r="G617" s="90">
        <v>45913.79688657408</v>
      </c>
      <c r="H617" s="1" t="s">
        <v>16476</v>
      </c>
    </row>
    <row r="618">
      <c r="A618" s="93">
        <v>2472.0</v>
      </c>
      <c r="B618" s="92" t="s">
        <v>18651</v>
      </c>
      <c r="C618" s="92" t="s">
        <v>4315</v>
      </c>
      <c r="D618" s="92" t="s">
        <v>18765</v>
      </c>
      <c r="E618" s="94">
        <v>46006.74519675926</v>
      </c>
      <c r="F618" s="94">
        <v>46006.74519675926</v>
      </c>
      <c r="G618" s="90">
        <v>45913.796435185184</v>
      </c>
      <c r="H618" s="1" t="s">
        <v>16476</v>
      </c>
    </row>
    <row r="619">
      <c r="A619" s="93">
        <v>2471.0</v>
      </c>
      <c r="B619" s="92" t="s">
        <v>18652</v>
      </c>
      <c r="C619" s="92" t="s">
        <v>4310</v>
      </c>
      <c r="D619" s="92" t="s">
        <v>18765</v>
      </c>
      <c r="E619" s="94">
        <v>46006.74519675926</v>
      </c>
      <c r="F619" s="94">
        <v>46006.74519675926</v>
      </c>
      <c r="G619" s="90">
        <v>45913.796064814815</v>
      </c>
      <c r="H619" s="1" t="s">
        <v>16476</v>
      </c>
    </row>
    <row r="620">
      <c r="A620" s="93">
        <v>2470.0</v>
      </c>
      <c r="B620" s="92" t="s">
        <v>18653</v>
      </c>
      <c r="C620" s="92" t="s">
        <v>4303</v>
      </c>
      <c r="D620" s="92" t="s">
        <v>18765</v>
      </c>
      <c r="E620" s="94">
        <v>46006.74518518519</v>
      </c>
      <c r="F620" s="94">
        <v>46006.74518518519</v>
      </c>
      <c r="G620" s="90">
        <v>45913.79534722222</v>
      </c>
      <c r="H620" s="1" t="s">
        <v>16476</v>
      </c>
    </row>
    <row r="621">
      <c r="A621" s="93">
        <v>2468.0</v>
      </c>
      <c r="B621" s="92" t="s">
        <v>18654</v>
      </c>
      <c r="C621" s="92" t="s">
        <v>4290</v>
      </c>
      <c r="D621" s="92" t="s">
        <v>18765</v>
      </c>
      <c r="E621" s="94">
        <v>46006.74517361111</v>
      </c>
      <c r="F621" s="94">
        <v>46006.74517361111</v>
      </c>
      <c r="G621" s="90">
        <v>45913.791284722225</v>
      </c>
      <c r="H621" s="1" t="s">
        <v>16476</v>
      </c>
    </row>
    <row r="622">
      <c r="A622" s="93">
        <v>2466.0</v>
      </c>
      <c r="B622" s="92" t="s">
        <v>18655</v>
      </c>
      <c r="C622" s="92" t="s">
        <v>4276</v>
      </c>
      <c r="D622" s="92" t="s">
        <v>18765</v>
      </c>
      <c r="E622" s="94">
        <v>46006.74517361111</v>
      </c>
      <c r="F622" s="94">
        <v>46006.74517361111</v>
      </c>
      <c r="G622" s="90">
        <v>45913.79077546296</v>
      </c>
      <c r="H622" s="1" t="s">
        <v>16476</v>
      </c>
    </row>
    <row r="623">
      <c r="A623" s="93">
        <v>2465.0</v>
      </c>
      <c r="B623" s="92" t="s">
        <v>18786</v>
      </c>
      <c r="C623" s="92" t="s">
        <v>5099</v>
      </c>
      <c r="D623" s="92" t="s">
        <v>18765</v>
      </c>
      <c r="E623" s="94">
        <v>46006.745162037034</v>
      </c>
      <c r="F623" s="94">
        <v>46006.745162037034</v>
      </c>
      <c r="G623" s="90">
        <v>45913.79006944445</v>
      </c>
      <c r="H623" s="1" t="s">
        <v>16476</v>
      </c>
    </row>
    <row r="624">
      <c r="A624" s="93">
        <v>2463.0</v>
      </c>
      <c r="B624" s="92" t="s">
        <v>18656</v>
      </c>
      <c r="C624" s="92" t="s">
        <v>4264</v>
      </c>
      <c r="D624" s="92" t="s">
        <v>18765</v>
      </c>
      <c r="E624" s="94">
        <v>46006.745162037034</v>
      </c>
      <c r="F624" s="94">
        <v>46006.745162037034</v>
      </c>
      <c r="G624" s="90">
        <v>45913.78905092592</v>
      </c>
      <c r="H624" s="1" t="s">
        <v>16476</v>
      </c>
    </row>
    <row r="625">
      <c r="A625" s="93">
        <v>2462.0</v>
      </c>
      <c r="B625" s="92" t="s">
        <v>18657</v>
      </c>
      <c r="C625" s="92" t="s">
        <v>4257</v>
      </c>
      <c r="D625" s="92" t="s">
        <v>18765</v>
      </c>
      <c r="E625" s="94">
        <v>46006.745150462964</v>
      </c>
      <c r="F625" s="94">
        <v>46006.745150462964</v>
      </c>
      <c r="G625" s="90">
        <v>45913.78806712963</v>
      </c>
      <c r="H625" s="1" t="s">
        <v>16476</v>
      </c>
    </row>
    <row r="626">
      <c r="A626" s="93">
        <v>2461.0</v>
      </c>
      <c r="B626" s="92" t="s">
        <v>18658</v>
      </c>
      <c r="C626" s="92" t="s">
        <v>4252</v>
      </c>
      <c r="D626" s="92" t="s">
        <v>18765</v>
      </c>
      <c r="E626" s="94">
        <v>46006.745150462964</v>
      </c>
      <c r="F626" s="94">
        <v>46006.745150462964</v>
      </c>
      <c r="G626" s="90">
        <v>45913.78761574074</v>
      </c>
      <c r="H626" s="1" t="s">
        <v>16476</v>
      </c>
    </row>
    <row r="627">
      <c r="A627" s="93">
        <v>2460.0</v>
      </c>
      <c r="B627" s="92" t="s">
        <v>18659</v>
      </c>
      <c r="C627" s="92" t="s">
        <v>4245</v>
      </c>
      <c r="D627" s="92" t="s">
        <v>18765</v>
      </c>
      <c r="E627" s="94">
        <v>46006.745150462964</v>
      </c>
      <c r="F627" s="94">
        <v>46006.745150462964</v>
      </c>
      <c r="G627" s="90">
        <v>45913.78674768518</v>
      </c>
      <c r="H627" s="1" t="s">
        <v>16476</v>
      </c>
    </row>
    <row r="628">
      <c r="A628" s="93">
        <v>2459.0</v>
      </c>
      <c r="B628" s="92" t="s">
        <v>18660</v>
      </c>
      <c r="C628" s="92" t="s">
        <v>18847</v>
      </c>
      <c r="D628" s="92" t="s">
        <v>18765</v>
      </c>
      <c r="E628" s="94">
        <v>46006.74513888889</v>
      </c>
      <c r="F628" s="94">
        <v>46006.74513888889</v>
      </c>
      <c r="G628" s="90">
        <v>45913.7859375</v>
      </c>
      <c r="H628" s="1" t="s">
        <v>16476</v>
      </c>
    </row>
    <row r="629">
      <c r="A629" s="93">
        <v>2458.0</v>
      </c>
      <c r="B629" s="92" t="s">
        <v>18661</v>
      </c>
      <c r="C629" s="92" t="s">
        <v>4230</v>
      </c>
      <c r="D629" s="92" t="s">
        <v>18765</v>
      </c>
      <c r="E629" s="94">
        <v>46006.74513888889</v>
      </c>
      <c r="F629" s="94">
        <v>46006.74513888889</v>
      </c>
      <c r="G629" s="90">
        <v>45913.7853125</v>
      </c>
      <c r="H629" s="1" t="s">
        <v>16476</v>
      </c>
    </row>
    <row r="630">
      <c r="A630" s="93">
        <v>2457.0</v>
      </c>
      <c r="B630" s="92" t="s">
        <v>18662</v>
      </c>
      <c r="C630" s="92" t="s">
        <v>4224</v>
      </c>
      <c r="D630" s="92" t="s">
        <v>18765</v>
      </c>
      <c r="E630" s="94">
        <v>46006.74513888889</v>
      </c>
      <c r="F630" s="94">
        <v>46006.74513888889</v>
      </c>
      <c r="G630" s="90">
        <v>45913.78434027778</v>
      </c>
      <c r="H630" s="1" t="s">
        <v>16476</v>
      </c>
    </row>
    <row r="631">
      <c r="A631" s="93">
        <v>2456.0</v>
      </c>
      <c r="B631" s="92" t="s">
        <v>18663</v>
      </c>
      <c r="C631" s="92" t="s">
        <v>4218</v>
      </c>
      <c r="D631" s="92" t="s">
        <v>18765</v>
      </c>
      <c r="E631" s="94">
        <v>46006.74512731482</v>
      </c>
      <c r="F631" s="94">
        <v>46006.74512731482</v>
      </c>
      <c r="G631" s="90">
        <v>45913.783796296295</v>
      </c>
      <c r="H631" s="1" t="s">
        <v>16476</v>
      </c>
    </row>
    <row r="632">
      <c r="A632" s="93">
        <v>2454.0</v>
      </c>
      <c r="B632" s="92" t="s">
        <v>18664</v>
      </c>
      <c r="C632" s="92" t="s">
        <v>4205</v>
      </c>
      <c r="D632" s="92" t="s">
        <v>18765</v>
      </c>
      <c r="E632" s="94">
        <v>46006.74511574074</v>
      </c>
      <c r="F632" s="94">
        <v>46006.74511574074</v>
      </c>
      <c r="G632" s="90">
        <v>45913.78344907407</v>
      </c>
      <c r="H632" s="1" t="s">
        <v>16476</v>
      </c>
    </row>
    <row r="633">
      <c r="A633" s="93">
        <v>2453.0</v>
      </c>
      <c r="B633" s="92" t="s">
        <v>18665</v>
      </c>
      <c r="C633" s="92" t="s">
        <v>4199</v>
      </c>
      <c r="D633" s="92" t="s">
        <v>18765</v>
      </c>
      <c r="E633" s="94">
        <v>46006.74511574074</v>
      </c>
      <c r="F633" s="94">
        <v>46006.74511574074</v>
      </c>
      <c r="G633" s="90">
        <v>45913.773993055554</v>
      </c>
      <c r="H633" s="1" t="s">
        <v>16476</v>
      </c>
    </row>
    <row r="634">
      <c r="A634" s="93">
        <v>2451.0</v>
      </c>
      <c r="B634" s="92" t="s">
        <v>18666</v>
      </c>
      <c r="C634" s="92" t="s">
        <v>4188</v>
      </c>
      <c r="D634" s="92" t="s">
        <v>18765</v>
      </c>
      <c r="E634" s="94">
        <v>46006.745104166665</v>
      </c>
      <c r="F634" s="94">
        <v>46006.745104166665</v>
      </c>
      <c r="G634" s="90">
        <v>45913.76944444444</v>
      </c>
      <c r="H634" s="1" t="s">
        <v>16476</v>
      </c>
    </row>
    <row r="635">
      <c r="A635" s="93">
        <v>2450.0</v>
      </c>
      <c r="B635" s="92" t="s">
        <v>18667</v>
      </c>
      <c r="C635" s="92" t="s">
        <v>4183</v>
      </c>
      <c r="D635" s="92" t="s">
        <v>18765</v>
      </c>
      <c r="E635" s="94">
        <v>46006.745104166665</v>
      </c>
      <c r="F635" s="94">
        <v>46006.745104166665</v>
      </c>
      <c r="G635" s="90">
        <v>45913.768530092595</v>
      </c>
      <c r="H635" s="1" t="s">
        <v>16476</v>
      </c>
    </row>
    <row r="636">
      <c r="A636" s="93">
        <v>2449.0</v>
      </c>
      <c r="B636" s="92" t="s">
        <v>18668</v>
      </c>
      <c r="C636" s="92" t="s">
        <v>4176</v>
      </c>
      <c r="D636" s="92" t="s">
        <v>18765</v>
      </c>
      <c r="E636" s="94">
        <v>46006.745104166665</v>
      </c>
      <c r="F636" s="94">
        <v>46006.745104166665</v>
      </c>
      <c r="G636" s="90">
        <v>45913.767905092594</v>
      </c>
      <c r="H636" s="1" t="s">
        <v>16476</v>
      </c>
    </row>
    <row r="637">
      <c r="A637" s="93">
        <v>2448.0</v>
      </c>
      <c r="B637" s="92" t="s">
        <v>18669</v>
      </c>
      <c r="C637" s="92" t="s">
        <v>4169</v>
      </c>
      <c r="D637" s="92" t="s">
        <v>18765</v>
      </c>
      <c r="E637" s="94">
        <v>46006.745092592595</v>
      </c>
      <c r="F637" s="94">
        <v>46006.745092592595</v>
      </c>
      <c r="G637" s="90">
        <v>45912.691412037035</v>
      </c>
      <c r="H637" s="1" t="s">
        <v>16476</v>
      </c>
    </row>
    <row r="638">
      <c r="A638" s="93">
        <v>2447.0</v>
      </c>
      <c r="B638" s="92" t="s">
        <v>18670</v>
      </c>
      <c r="C638" s="92" t="s">
        <v>4163</v>
      </c>
      <c r="D638" s="92" t="s">
        <v>18765</v>
      </c>
      <c r="E638" s="94">
        <v>46006.745092592595</v>
      </c>
      <c r="F638" s="94">
        <v>46006.745092592595</v>
      </c>
      <c r="G638" s="90">
        <v>45912.69064814815</v>
      </c>
      <c r="H638" s="1" t="s">
        <v>16476</v>
      </c>
    </row>
    <row r="639">
      <c r="A639" s="93">
        <v>2446.0</v>
      </c>
      <c r="B639" s="92" t="s">
        <v>18671</v>
      </c>
      <c r="C639" s="92" t="s">
        <v>4156</v>
      </c>
      <c r="D639" s="92" t="s">
        <v>18765</v>
      </c>
      <c r="E639" s="94">
        <v>46006.745092592595</v>
      </c>
      <c r="F639" s="94">
        <v>46006.745092592595</v>
      </c>
      <c r="G639" s="90">
        <v>45912.6903125</v>
      </c>
      <c r="H639" s="1" t="s">
        <v>16476</v>
      </c>
    </row>
    <row r="640">
      <c r="A640" s="93">
        <v>2443.0</v>
      </c>
      <c r="B640" s="92" t="s">
        <v>18672</v>
      </c>
      <c r="C640" s="92" t="s">
        <v>18848</v>
      </c>
      <c r="D640" s="92" t="s">
        <v>18765</v>
      </c>
      <c r="E640" s="94">
        <v>46006.74508101852</v>
      </c>
      <c r="F640" s="94">
        <v>46006.74508101852</v>
      </c>
      <c r="G640" s="90">
        <v>45912.68959490741</v>
      </c>
      <c r="H640" s="1" t="s">
        <v>16476</v>
      </c>
    </row>
    <row r="641">
      <c r="A641" s="93">
        <v>2442.0</v>
      </c>
      <c r="B641" s="92" t="s">
        <v>18673</v>
      </c>
      <c r="C641" s="92" t="s">
        <v>4131</v>
      </c>
      <c r="D641" s="92" t="s">
        <v>18765</v>
      </c>
      <c r="E641" s="94">
        <v>46006.74506944444</v>
      </c>
      <c r="F641" s="94">
        <v>46006.74506944444</v>
      </c>
      <c r="G641" s="90">
        <v>45912.68570601852</v>
      </c>
      <c r="H641" s="1" t="s">
        <v>16476</v>
      </c>
    </row>
    <row r="642">
      <c r="A642" s="93">
        <v>2441.0</v>
      </c>
      <c r="B642" s="92" t="s">
        <v>18674</v>
      </c>
      <c r="C642" s="92" t="s">
        <v>18849</v>
      </c>
      <c r="D642" s="92" t="s">
        <v>18765</v>
      </c>
      <c r="E642" s="94">
        <v>46006.74506944444</v>
      </c>
      <c r="F642" s="94">
        <v>46006.74506944444</v>
      </c>
      <c r="G642" s="90">
        <v>45912.68510416667</v>
      </c>
      <c r="H642" s="1" t="s">
        <v>16476</v>
      </c>
    </row>
    <row r="643">
      <c r="A643" s="93">
        <v>2440.0</v>
      </c>
      <c r="B643" s="92" t="s">
        <v>18675</v>
      </c>
      <c r="C643" s="92" t="s">
        <v>18850</v>
      </c>
      <c r="D643" s="92" t="s">
        <v>18765</v>
      </c>
      <c r="E643" s="94">
        <v>46006.74505787037</v>
      </c>
      <c r="F643" s="94">
        <v>46006.74505787037</v>
      </c>
      <c r="G643" s="90">
        <v>45912.68451388889</v>
      </c>
      <c r="H643" s="1" t="s">
        <v>16476</v>
      </c>
    </row>
    <row r="644">
      <c r="A644" s="93">
        <v>2439.0</v>
      </c>
      <c r="B644" s="92" t="s">
        <v>18676</v>
      </c>
      <c r="C644" s="92" t="s">
        <v>18851</v>
      </c>
      <c r="D644" s="92" t="s">
        <v>18765</v>
      </c>
      <c r="E644" s="94">
        <v>46006.74505787037</v>
      </c>
      <c r="F644" s="94">
        <v>46006.74505787037</v>
      </c>
      <c r="G644" s="90">
        <v>45912.68381944444</v>
      </c>
      <c r="H644" s="1" t="s">
        <v>16476</v>
      </c>
    </row>
    <row r="645">
      <c r="A645" s="93">
        <v>2438.0</v>
      </c>
      <c r="B645" s="92" t="s">
        <v>18677</v>
      </c>
      <c r="C645" s="92" t="s">
        <v>4107</v>
      </c>
      <c r="D645" s="92" t="s">
        <v>18765</v>
      </c>
      <c r="E645" s="94">
        <v>46006.74505787037</v>
      </c>
      <c r="F645" s="94">
        <v>46006.74505787037</v>
      </c>
      <c r="G645" s="90">
        <v>45912.68336805556</v>
      </c>
      <c r="H645" s="1" t="s">
        <v>16476</v>
      </c>
    </row>
    <row r="646">
      <c r="A646" s="93">
        <v>2437.0</v>
      </c>
      <c r="B646" s="92" t="s">
        <v>18678</v>
      </c>
      <c r="C646" s="92" t="s">
        <v>4100</v>
      </c>
      <c r="D646" s="92" t="s">
        <v>18765</v>
      </c>
      <c r="E646" s="94">
        <v>46006.745046296295</v>
      </c>
      <c r="F646" s="94">
        <v>46006.745046296295</v>
      </c>
      <c r="G646" s="90">
        <v>45912.680243055554</v>
      </c>
      <c r="H646" s="1" t="s">
        <v>16476</v>
      </c>
    </row>
    <row r="647">
      <c r="A647" s="93">
        <v>2436.0</v>
      </c>
      <c r="B647" s="92" t="s">
        <v>18679</v>
      </c>
      <c r="C647" s="92" t="s">
        <v>18852</v>
      </c>
      <c r="D647" s="92" t="s">
        <v>18765</v>
      </c>
      <c r="E647" s="94">
        <v>46006.745046296295</v>
      </c>
      <c r="F647" s="94">
        <v>46006.745046296295</v>
      </c>
      <c r="G647" s="90">
        <v>45912.679293981484</v>
      </c>
      <c r="H647" s="1" t="s">
        <v>16476</v>
      </c>
    </row>
    <row r="648">
      <c r="A648" s="93">
        <v>2435.0</v>
      </c>
      <c r="B648" s="92" t="s">
        <v>18680</v>
      </c>
      <c r="C648" s="92" t="s">
        <v>4087</v>
      </c>
      <c r="D648" s="92" t="s">
        <v>18765</v>
      </c>
      <c r="E648" s="94">
        <v>46006.745046296295</v>
      </c>
      <c r="F648" s="94">
        <v>46006.745046296295</v>
      </c>
      <c r="G648" s="90">
        <v>45912.6784375</v>
      </c>
      <c r="H648" s="1" t="s">
        <v>16476</v>
      </c>
    </row>
    <row r="649">
      <c r="A649" s="93">
        <v>2434.0</v>
      </c>
      <c r="B649" s="92" t="s">
        <v>18681</v>
      </c>
      <c r="C649" s="92" t="s">
        <v>4080</v>
      </c>
      <c r="D649" s="92" t="s">
        <v>18765</v>
      </c>
      <c r="E649" s="94">
        <v>46006.745034722226</v>
      </c>
      <c r="F649" s="94">
        <v>46006.745034722226</v>
      </c>
      <c r="G649" s="90">
        <v>45912.678032407406</v>
      </c>
      <c r="H649" s="1" t="s">
        <v>16476</v>
      </c>
    </row>
    <row r="650">
      <c r="A650" s="93">
        <v>2433.0</v>
      </c>
      <c r="B650" s="92" t="s">
        <v>18682</v>
      </c>
      <c r="C650" s="92" t="s">
        <v>4074</v>
      </c>
      <c r="D650" s="92" t="s">
        <v>18765</v>
      </c>
      <c r="E650" s="94">
        <v>46006.745034722226</v>
      </c>
      <c r="F650" s="94">
        <v>46006.745034722226</v>
      </c>
      <c r="G650" s="90">
        <v>45912.677708333336</v>
      </c>
      <c r="H650" s="1" t="s">
        <v>16476</v>
      </c>
    </row>
    <row r="651">
      <c r="A651" s="93">
        <v>2431.0</v>
      </c>
      <c r="B651" s="92" t="s">
        <v>18683</v>
      </c>
      <c r="C651" s="92" t="s">
        <v>4060</v>
      </c>
      <c r="D651" s="92" t="s">
        <v>18765</v>
      </c>
      <c r="E651" s="94">
        <v>46006.74502314815</v>
      </c>
      <c r="F651" s="94">
        <v>46006.74502314815</v>
      </c>
      <c r="G651" s="90">
        <v>45912.67753472222</v>
      </c>
      <c r="H651" s="1" t="s">
        <v>16476</v>
      </c>
    </row>
    <row r="652">
      <c r="A652" s="93">
        <v>2416.0</v>
      </c>
      <c r="B652" s="92" t="s">
        <v>18684</v>
      </c>
      <c r="C652" s="92" t="s">
        <v>3951</v>
      </c>
      <c r="D652" s="92" t="s">
        <v>18765</v>
      </c>
      <c r="E652" s="94">
        <v>46006.74496527778</v>
      </c>
      <c r="F652" s="94">
        <v>46006.74496527778</v>
      </c>
      <c r="G652" s="90">
        <v>45912.67716435185</v>
      </c>
      <c r="H652" s="1" t="s">
        <v>16476</v>
      </c>
    </row>
    <row r="653">
      <c r="A653" s="93">
        <v>2399.0</v>
      </c>
      <c r="B653" s="92" t="s">
        <v>18685</v>
      </c>
      <c r="C653" s="92" t="s">
        <v>18853</v>
      </c>
      <c r="D653" s="92" t="s">
        <v>18765</v>
      </c>
      <c r="E653" s="94">
        <v>46006.74489583333</v>
      </c>
      <c r="F653" s="94">
        <v>46006.74489583333</v>
      </c>
      <c r="G653" s="90">
        <v>45912.676828703705</v>
      </c>
      <c r="H653" s="1" t="s">
        <v>16476</v>
      </c>
    </row>
    <row r="654">
      <c r="A654" s="93">
        <v>2398.0</v>
      </c>
      <c r="B654" s="92" t="s">
        <v>18686</v>
      </c>
      <c r="C654" s="92" t="s">
        <v>18854</v>
      </c>
      <c r="D654" s="92" t="s">
        <v>18765</v>
      </c>
      <c r="E654" s="94">
        <v>46006.74488425926</v>
      </c>
      <c r="F654" s="94">
        <v>46006.74488425926</v>
      </c>
      <c r="G654" s="90">
        <v>45912.67085648148</v>
      </c>
      <c r="H654" s="1" t="s">
        <v>16476</v>
      </c>
    </row>
    <row r="655">
      <c r="A655" s="93">
        <v>2397.0</v>
      </c>
      <c r="B655" s="92" t="s">
        <v>18855</v>
      </c>
      <c r="C655" s="92" t="s">
        <v>18856</v>
      </c>
      <c r="D655" s="92" t="s">
        <v>18829</v>
      </c>
      <c r="E655" s="94">
        <v>45999.70328703704</v>
      </c>
      <c r="F655" s="94">
        <v>45999.703993055555</v>
      </c>
      <c r="G655" s="90">
        <v>45912.67056712963</v>
      </c>
      <c r="H655" s="1" t="s">
        <v>16476</v>
      </c>
    </row>
    <row r="656">
      <c r="A656" s="93">
        <v>2381.0</v>
      </c>
      <c r="B656" s="92" t="s">
        <v>18857</v>
      </c>
      <c r="C656" s="92" t="s">
        <v>3828</v>
      </c>
      <c r="D656" s="92" t="s">
        <v>18765</v>
      </c>
      <c r="E656" s="94">
        <v>45933.46606481481</v>
      </c>
      <c r="F656" s="94">
        <v>45985.8425462963</v>
      </c>
      <c r="G656" s="90">
        <v>45912.67024305555</v>
      </c>
      <c r="H656" s="1" t="s">
        <v>16476</v>
      </c>
    </row>
    <row r="657">
      <c r="A657" s="93">
        <v>2384.0</v>
      </c>
      <c r="B657" s="92" t="s">
        <v>18858</v>
      </c>
      <c r="C657" s="92" t="s">
        <v>18859</v>
      </c>
      <c r="D657" s="92" t="s">
        <v>18765</v>
      </c>
      <c r="E657" s="94">
        <v>45938.67935185185</v>
      </c>
      <c r="F657" s="94">
        <v>45985.48982638889</v>
      </c>
      <c r="G657" s="90">
        <v>45912.66997685185</v>
      </c>
      <c r="H657" s="1" t="s">
        <v>16476</v>
      </c>
    </row>
    <row r="658">
      <c r="A658" s="93">
        <v>1143.0</v>
      </c>
      <c r="B658" s="92" t="s">
        <v>16530</v>
      </c>
      <c r="C658" s="92" t="s">
        <v>13140</v>
      </c>
      <c r="D658" s="92" t="s">
        <v>16044</v>
      </c>
      <c r="E658" s="94">
        <v>45113.55100694444</v>
      </c>
      <c r="F658" s="94">
        <v>45974.991435185184</v>
      </c>
      <c r="G658" s="90">
        <v>45912.66954861111</v>
      </c>
      <c r="H658" s="1" t="s">
        <v>16476</v>
      </c>
    </row>
    <row r="659">
      <c r="A659" s="93">
        <v>1204.0</v>
      </c>
      <c r="B659" s="92" t="s">
        <v>16531</v>
      </c>
      <c r="C659" s="92" t="s">
        <v>10970</v>
      </c>
      <c r="D659" s="92" t="s">
        <v>16044</v>
      </c>
      <c r="E659" s="94">
        <v>45113.551886574074</v>
      </c>
      <c r="F659" s="94">
        <v>45974.99101851852</v>
      </c>
      <c r="G659" s="90">
        <v>45912.6691087963</v>
      </c>
      <c r="H659" s="1" t="s">
        <v>16476</v>
      </c>
    </row>
    <row r="660">
      <c r="A660" s="93">
        <v>1254.0</v>
      </c>
      <c r="B660" s="92" t="s">
        <v>16532</v>
      </c>
      <c r="C660" s="92" t="s">
        <v>11062</v>
      </c>
      <c r="D660" s="92" t="s">
        <v>16044</v>
      </c>
      <c r="E660" s="94">
        <v>45113.552615740744</v>
      </c>
      <c r="F660" s="94">
        <v>45974.99047453704</v>
      </c>
      <c r="G660" s="90">
        <v>45912.668703703705</v>
      </c>
      <c r="H660" s="1" t="s">
        <v>16476</v>
      </c>
    </row>
    <row r="661">
      <c r="A661" s="93">
        <v>1311.0</v>
      </c>
      <c r="B661" s="92" t="s">
        <v>16533</v>
      </c>
      <c r="C661" s="92" t="s">
        <v>10980</v>
      </c>
      <c r="D661" s="92" t="s">
        <v>16044</v>
      </c>
      <c r="E661" s="94">
        <v>45113.553449074076</v>
      </c>
      <c r="F661" s="94">
        <v>45974.99010416667</v>
      </c>
      <c r="G661" s="90">
        <v>45912.66811342593</v>
      </c>
      <c r="H661" s="1" t="s">
        <v>16476</v>
      </c>
    </row>
    <row r="662">
      <c r="A662" s="93">
        <v>548.0</v>
      </c>
      <c r="B662" s="92" t="s">
        <v>3002</v>
      </c>
      <c r="C662" s="92" t="s">
        <v>18860</v>
      </c>
      <c r="D662" s="92" t="s">
        <v>16044</v>
      </c>
      <c r="E662" s="94">
        <v>45113.54215277778</v>
      </c>
      <c r="F662" s="94">
        <v>45974.988657407404</v>
      </c>
      <c r="G662" s="90">
        <v>45912.66793981481</v>
      </c>
      <c r="H662" s="1" t="s">
        <v>16476</v>
      </c>
    </row>
    <row r="663">
      <c r="A663" s="93">
        <v>816.0</v>
      </c>
      <c r="B663" s="92" t="s">
        <v>16534</v>
      </c>
      <c r="C663" s="92" t="s">
        <v>12322</v>
      </c>
      <c r="D663" s="92" t="s">
        <v>16044</v>
      </c>
      <c r="E663" s="94">
        <v>45113.546168981484</v>
      </c>
      <c r="F663" s="94">
        <v>45974.988287037035</v>
      </c>
      <c r="G663" s="90">
        <v>45912.667395833334</v>
      </c>
      <c r="H663" s="1" t="s">
        <v>16476</v>
      </c>
    </row>
    <row r="664">
      <c r="A664" s="93">
        <v>1458.0</v>
      </c>
      <c r="B664" s="92" t="s">
        <v>16535</v>
      </c>
      <c r="C664" s="92" t="s">
        <v>15543</v>
      </c>
      <c r="D664" s="92" t="s">
        <v>16044</v>
      </c>
      <c r="E664" s="94">
        <v>45113.555601851855</v>
      </c>
      <c r="F664" s="94">
        <v>45974.98798611111</v>
      </c>
      <c r="G664" s="90">
        <v>45912.666655092595</v>
      </c>
      <c r="H664" s="1" t="s">
        <v>16476</v>
      </c>
    </row>
    <row r="665">
      <c r="A665" s="93">
        <v>1006.0</v>
      </c>
      <c r="B665" s="92" t="s">
        <v>16536</v>
      </c>
      <c r="C665" s="92" t="s">
        <v>14421</v>
      </c>
      <c r="D665" s="92" t="s">
        <v>16044</v>
      </c>
      <c r="E665" s="94">
        <v>45113.54896990741</v>
      </c>
      <c r="F665" s="94">
        <v>45974.98724537037</v>
      </c>
      <c r="G665" s="90">
        <v>45912.666354166664</v>
      </c>
      <c r="H665" s="1" t="s">
        <v>16476</v>
      </c>
    </row>
    <row r="666">
      <c r="A666" s="93">
        <v>1645.0</v>
      </c>
      <c r="B666" s="92" t="s">
        <v>16537</v>
      </c>
      <c r="C666" s="92" t="s">
        <v>7436</v>
      </c>
      <c r="D666" s="92" t="s">
        <v>16044</v>
      </c>
      <c r="E666" s="94">
        <v>45113.558344907404</v>
      </c>
      <c r="F666" s="94">
        <v>45974.986979166664</v>
      </c>
      <c r="G666" s="90">
        <v>45912.66578703704</v>
      </c>
      <c r="H666" s="1" t="s">
        <v>16476</v>
      </c>
    </row>
    <row r="667">
      <c r="A667" s="93">
        <v>785.0</v>
      </c>
      <c r="B667" s="92" t="s">
        <v>16538</v>
      </c>
      <c r="C667" s="92" t="s">
        <v>7248</v>
      </c>
      <c r="D667" s="92" t="s">
        <v>16044</v>
      </c>
      <c r="E667" s="94">
        <v>45113.54571759259</v>
      </c>
      <c r="F667" s="94">
        <v>45974.985439814816</v>
      </c>
      <c r="G667" s="90">
        <v>45912.6652662037</v>
      </c>
      <c r="H667" s="1" t="s">
        <v>16476</v>
      </c>
    </row>
    <row r="668">
      <c r="A668" s="93">
        <v>1001.0</v>
      </c>
      <c r="B668" s="92" t="s">
        <v>16539</v>
      </c>
      <c r="C668" s="92" t="s">
        <v>11453</v>
      </c>
      <c r="D668" s="92" t="s">
        <v>16044</v>
      </c>
      <c r="E668" s="94">
        <v>45113.54888888889</v>
      </c>
      <c r="F668" s="94">
        <v>45974.985034722224</v>
      </c>
      <c r="G668" s="90">
        <v>45912.66501157408</v>
      </c>
      <c r="H668" s="1" t="s">
        <v>16476</v>
      </c>
    </row>
    <row r="669">
      <c r="A669" s="93">
        <v>775.0</v>
      </c>
      <c r="B669" s="92" t="s">
        <v>16540</v>
      </c>
      <c r="C669" s="92" t="s">
        <v>11830</v>
      </c>
      <c r="D669" s="92" t="s">
        <v>16044</v>
      </c>
      <c r="E669" s="94">
        <v>45113.54556712963</v>
      </c>
      <c r="F669" s="94">
        <v>45974.98478009259</v>
      </c>
      <c r="G669" s="90">
        <v>45912.66454861111</v>
      </c>
      <c r="H669" s="1" t="s">
        <v>16476</v>
      </c>
    </row>
    <row r="670">
      <c r="A670" s="93">
        <v>1369.0</v>
      </c>
      <c r="B670" s="92" t="s">
        <v>16541</v>
      </c>
      <c r="C670" s="92" t="s">
        <v>8281</v>
      </c>
      <c r="D670" s="92" t="s">
        <v>16044</v>
      </c>
      <c r="E670" s="94">
        <v>45113.554293981484</v>
      </c>
      <c r="F670" s="94">
        <v>45974.984444444446</v>
      </c>
      <c r="G670" s="90">
        <v>45912.661145833335</v>
      </c>
      <c r="H670" s="1" t="s">
        <v>16476</v>
      </c>
    </row>
    <row r="671">
      <c r="A671" s="93">
        <v>1252.0</v>
      </c>
      <c r="B671" s="92" t="s">
        <v>16542</v>
      </c>
      <c r="C671" s="92" t="s">
        <v>11391</v>
      </c>
      <c r="D671" s="92" t="s">
        <v>16044</v>
      </c>
      <c r="E671" s="94">
        <v>45113.55259259259</v>
      </c>
      <c r="F671" s="94">
        <v>45974.983923611115</v>
      </c>
      <c r="G671" s="90">
        <v>45912.66087962963</v>
      </c>
      <c r="H671" s="1" t="s">
        <v>16476</v>
      </c>
    </row>
    <row r="672">
      <c r="A672" s="93">
        <v>919.0</v>
      </c>
      <c r="B672" s="92" t="s">
        <v>16543</v>
      </c>
      <c r="C672" s="92" t="s">
        <v>7221</v>
      </c>
      <c r="D672" s="92" t="s">
        <v>16044</v>
      </c>
      <c r="E672" s="94">
        <v>45113.54769675926</v>
      </c>
      <c r="F672" s="94">
        <v>45974.98315972222</v>
      </c>
      <c r="G672" s="90">
        <v>45912.66012731481</v>
      </c>
      <c r="H672" s="1" t="s">
        <v>16476</v>
      </c>
    </row>
    <row r="673">
      <c r="A673" s="93">
        <v>580.0</v>
      </c>
      <c r="B673" s="92" t="s">
        <v>16544</v>
      </c>
      <c r="C673" s="92" t="s">
        <v>10612</v>
      </c>
      <c r="D673" s="92" t="s">
        <v>16044</v>
      </c>
      <c r="E673" s="94">
        <v>45113.54262731481</v>
      </c>
      <c r="F673" s="94">
        <v>45974.98284722222</v>
      </c>
      <c r="G673" s="90">
        <v>45912.65935185185</v>
      </c>
      <c r="H673" s="1" t="s">
        <v>16476</v>
      </c>
    </row>
    <row r="674">
      <c r="A674" s="93">
        <v>1271.0</v>
      </c>
      <c r="B674" s="92" t="s">
        <v>18861</v>
      </c>
      <c r="C674" s="92" t="s">
        <v>18862</v>
      </c>
      <c r="D674" s="92" t="s">
        <v>16044</v>
      </c>
      <c r="E674" s="94">
        <v>45113.55287037037</v>
      </c>
      <c r="F674" s="94">
        <v>45974.98226851852</v>
      </c>
      <c r="G674" s="90">
        <v>45912.65837962963</v>
      </c>
      <c r="H674" s="1" t="s">
        <v>16476</v>
      </c>
    </row>
    <row r="675">
      <c r="A675" s="93">
        <v>1389.0</v>
      </c>
      <c r="B675" s="92" t="s">
        <v>16546</v>
      </c>
      <c r="C675" s="92" t="s">
        <v>5425</v>
      </c>
      <c r="D675" s="92" t="s">
        <v>16044</v>
      </c>
      <c r="E675" s="94">
        <v>45113.55458333333</v>
      </c>
      <c r="F675" s="94">
        <v>45974.981782407405</v>
      </c>
      <c r="G675" s="90">
        <v>45912.65804398148</v>
      </c>
      <c r="H675" s="1" t="s">
        <v>16476</v>
      </c>
    </row>
    <row r="676">
      <c r="A676" s="93">
        <v>956.0</v>
      </c>
      <c r="B676" s="92" t="s">
        <v>16547</v>
      </c>
      <c r="C676" s="92" t="s">
        <v>6117</v>
      </c>
      <c r="D676" s="92" t="s">
        <v>16044</v>
      </c>
      <c r="E676" s="94">
        <v>45113.54822916666</v>
      </c>
      <c r="F676" s="94">
        <v>45974.98142361111</v>
      </c>
      <c r="G676" s="90">
        <v>45912.65587962963</v>
      </c>
      <c r="H676" s="1" t="s">
        <v>16476</v>
      </c>
    </row>
    <row r="677">
      <c r="A677" s="93">
        <v>726.0</v>
      </c>
      <c r="B677" s="92" t="s">
        <v>16548</v>
      </c>
      <c r="C677" s="92" t="s">
        <v>11409</v>
      </c>
      <c r="D677" s="92" t="s">
        <v>16044</v>
      </c>
      <c r="E677" s="94">
        <v>45113.54484953704</v>
      </c>
      <c r="F677" s="94">
        <v>45974.98096064815</v>
      </c>
      <c r="G677" s="90">
        <v>45912.65528935185</v>
      </c>
      <c r="H677" s="1" t="s">
        <v>16476</v>
      </c>
    </row>
    <row r="678">
      <c r="A678" s="93">
        <v>1261.0</v>
      </c>
      <c r="B678" s="92" t="s">
        <v>16549</v>
      </c>
      <c r="C678" s="92" t="s">
        <v>10502</v>
      </c>
      <c r="D678" s="92" t="s">
        <v>16044</v>
      </c>
      <c r="E678" s="94">
        <v>45113.552719907406</v>
      </c>
      <c r="F678" s="94">
        <v>45974.980671296296</v>
      </c>
      <c r="G678" s="90">
        <v>45912.655011574076</v>
      </c>
      <c r="H678" s="1" t="s">
        <v>16476</v>
      </c>
    </row>
    <row r="679">
      <c r="A679" s="93">
        <v>1686.0</v>
      </c>
      <c r="B679" s="92" t="s">
        <v>16550</v>
      </c>
      <c r="C679" s="92" t="s">
        <v>5883</v>
      </c>
      <c r="D679" s="92" t="s">
        <v>16044</v>
      </c>
      <c r="E679" s="94">
        <v>45113.55893518519</v>
      </c>
      <c r="F679" s="94">
        <v>45974.98032407407</v>
      </c>
      <c r="G679" s="90">
        <v>45912.65452546296</v>
      </c>
      <c r="H679" s="1" t="s">
        <v>16476</v>
      </c>
    </row>
    <row r="680">
      <c r="A680" s="93">
        <v>1333.0</v>
      </c>
      <c r="B680" s="92" t="s">
        <v>16551</v>
      </c>
      <c r="C680" s="92" t="s">
        <v>13661</v>
      </c>
      <c r="D680" s="92" t="s">
        <v>16044</v>
      </c>
      <c r="E680" s="94">
        <v>45113.553773148145</v>
      </c>
      <c r="F680" s="94">
        <v>45974.979537037034</v>
      </c>
      <c r="G680" s="90">
        <v>45912.654074074075</v>
      </c>
      <c r="H680" s="1" t="s">
        <v>16476</v>
      </c>
    </row>
    <row r="681">
      <c r="A681" s="93">
        <v>1588.0</v>
      </c>
      <c r="B681" s="92" t="s">
        <v>16552</v>
      </c>
      <c r="C681" s="92" t="s">
        <v>11490</v>
      </c>
      <c r="D681" s="92" t="s">
        <v>16044</v>
      </c>
      <c r="E681" s="94">
        <v>45113.5575</v>
      </c>
      <c r="F681" s="94">
        <v>45974.97887731482</v>
      </c>
      <c r="G681" s="90">
        <v>45912.65350694444</v>
      </c>
      <c r="H681" s="1" t="s">
        <v>16476</v>
      </c>
    </row>
    <row r="682">
      <c r="A682" s="93">
        <v>838.0</v>
      </c>
      <c r="B682" s="92" t="s">
        <v>16553</v>
      </c>
      <c r="C682" s="92" t="s">
        <v>8562</v>
      </c>
      <c r="D682" s="92" t="s">
        <v>16044</v>
      </c>
      <c r="E682" s="94">
        <v>45113.54650462963</v>
      </c>
      <c r="F682" s="94">
        <v>45974.97850694445</v>
      </c>
      <c r="G682" s="90">
        <v>45912.6528125</v>
      </c>
      <c r="H682" s="1" t="s">
        <v>16476</v>
      </c>
    </row>
    <row r="683">
      <c r="A683" s="93">
        <v>813.0</v>
      </c>
      <c r="B683" s="92" t="s">
        <v>16554</v>
      </c>
      <c r="C683" s="92" t="s">
        <v>14809</v>
      </c>
      <c r="D683" s="92" t="s">
        <v>16044</v>
      </c>
      <c r="E683" s="94">
        <v>45113.546122685184</v>
      </c>
      <c r="F683" s="94">
        <v>45974.97797453704</v>
      </c>
      <c r="G683" s="90">
        <v>45912.65247685185</v>
      </c>
      <c r="H683" s="1" t="s">
        <v>16476</v>
      </c>
    </row>
    <row r="684">
      <c r="A684" s="93">
        <v>1402.0</v>
      </c>
      <c r="B684" s="92" t="s">
        <v>16555</v>
      </c>
      <c r="C684" s="92" t="s">
        <v>9517</v>
      </c>
      <c r="D684" s="92" t="s">
        <v>16044</v>
      </c>
      <c r="E684" s="94">
        <v>45113.55478009259</v>
      </c>
      <c r="F684" s="94">
        <v>45974.9775</v>
      </c>
      <c r="G684" s="90">
        <v>45912.65127314815</v>
      </c>
      <c r="H684" s="1" t="s">
        <v>16476</v>
      </c>
    </row>
    <row r="685">
      <c r="A685" s="93">
        <v>649.0</v>
      </c>
      <c r="B685" s="92" t="s">
        <v>16556</v>
      </c>
      <c r="C685" s="92" t="s">
        <v>12523</v>
      </c>
      <c r="D685" s="92" t="s">
        <v>16044</v>
      </c>
      <c r="E685" s="94">
        <v>45113.54366898148</v>
      </c>
      <c r="F685" s="94">
        <v>45974.977002314816</v>
      </c>
      <c r="G685" s="90">
        <v>45912.65070601852</v>
      </c>
      <c r="H685" s="1" t="s">
        <v>16476</v>
      </c>
    </row>
    <row r="686">
      <c r="A686" s="93">
        <v>1111.0</v>
      </c>
      <c r="B686" s="92" t="s">
        <v>16557</v>
      </c>
      <c r="C686" s="92" t="s">
        <v>7105</v>
      </c>
      <c r="D686" s="92" t="s">
        <v>16044</v>
      </c>
      <c r="E686" s="94">
        <v>45113.55050925926</v>
      </c>
      <c r="F686" s="94">
        <v>45974.97630787037</v>
      </c>
      <c r="G686" s="90">
        <v>45912.64917824074</v>
      </c>
      <c r="H686" s="1" t="s">
        <v>16476</v>
      </c>
    </row>
    <row r="687">
      <c r="A687" s="93">
        <v>1266.0</v>
      </c>
      <c r="B687" s="92" t="s">
        <v>16558</v>
      </c>
      <c r="C687" s="92" t="s">
        <v>6542</v>
      </c>
      <c r="D687" s="92" t="s">
        <v>16044</v>
      </c>
      <c r="E687" s="94">
        <v>45113.55278935185</v>
      </c>
      <c r="F687" s="94">
        <v>45974.97586805555</v>
      </c>
      <c r="G687" s="90">
        <v>45912.648414351854</v>
      </c>
      <c r="H687" s="1" t="s">
        <v>16476</v>
      </c>
    </row>
    <row r="688">
      <c r="A688" s="93">
        <v>1638.0</v>
      </c>
      <c r="B688" s="92" t="s">
        <v>16559</v>
      </c>
      <c r="C688" s="92" t="s">
        <v>6284</v>
      </c>
      <c r="D688" s="92" t="s">
        <v>16044</v>
      </c>
      <c r="E688" s="94">
        <v>45113.55824074074</v>
      </c>
      <c r="F688" s="94">
        <v>45974.975439814814</v>
      </c>
      <c r="G688" s="90">
        <v>45912.647569444445</v>
      </c>
      <c r="H688" s="1" t="s">
        <v>16476</v>
      </c>
    </row>
    <row r="689">
      <c r="A689" s="93">
        <v>998.0</v>
      </c>
      <c r="B689" s="92" t="s">
        <v>16560</v>
      </c>
      <c r="C689" s="92" t="s">
        <v>6164</v>
      </c>
      <c r="D689" s="92" t="s">
        <v>16044</v>
      </c>
      <c r="E689" s="94">
        <v>45113.548842592594</v>
      </c>
      <c r="F689" s="94">
        <v>45974.97511574074</v>
      </c>
      <c r="G689" s="90">
        <v>45912.64703703704</v>
      </c>
      <c r="H689" s="1" t="s">
        <v>16476</v>
      </c>
    </row>
    <row r="690">
      <c r="A690" s="93">
        <v>1020.0</v>
      </c>
      <c r="B690" s="92" t="s">
        <v>16561</v>
      </c>
      <c r="C690" s="92" t="s">
        <v>5985</v>
      </c>
      <c r="D690" s="92" t="s">
        <v>16044</v>
      </c>
      <c r="E690" s="94">
        <v>45113.549166666664</v>
      </c>
      <c r="F690" s="94">
        <v>45974.97456018518</v>
      </c>
      <c r="G690" s="90">
        <v>45912.646574074075</v>
      </c>
      <c r="H690" s="1" t="s">
        <v>16476</v>
      </c>
    </row>
    <row r="691">
      <c r="A691" s="93">
        <v>1635.0</v>
      </c>
      <c r="B691" s="92" t="s">
        <v>16562</v>
      </c>
      <c r="C691" s="92" t="s">
        <v>6186</v>
      </c>
      <c r="D691" s="92" t="s">
        <v>16044</v>
      </c>
      <c r="E691" s="94">
        <v>45113.55819444444</v>
      </c>
      <c r="F691" s="94">
        <v>45974.97337962963</v>
      </c>
      <c r="G691" s="90">
        <v>45912.64616898148</v>
      </c>
      <c r="H691" s="1" t="s">
        <v>16476</v>
      </c>
    </row>
    <row r="692">
      <c r="A692" s="93">
        <v>1093.0</v>
      </c>
      <c r="B692" s="92" t="s">
        <v>16563</v>
      </c>
      <c r="C692" s="92" t="s">
        <v>13678</v>
      </c>
      <c r="D692" s="92" t="s">
        <v>16044</v>
      </c>
      <c r="E692" s="94">
        <v>45113.55025462963</v>
      </c>
      <c r="F692" s="94">
        <v>45974.97236111111</v>
      </c>
      <c r="G692" s="90">
        <v>45912.64460648148</v>
      </c>
      <c r="H692" s="1" t="s">
        <v>16476</v>
      </c>
    </row>
    <row r="693">
      <c r="A693" s="93">
        <v>742.0</v>
      </c>
      <c r="B693" s="92" t="s">
        <v>16564</v>
      </c>
      <c r="C693" s="92" t="s">
        <v>15164</v>
      </c>
      <c r="D693" s="92" t="s">
        <v>16044</v>
      </c>
      <c r="E693" s="94">
        <v>45113.54509259259</v>
      </c>
      <c r="F693" s="94">
        <v>45974.972037037034</v>
      </c>
      <c r="G693" s="90">
        <v>45912.643912037034</v>
      </c>
      <c r="H693" s="1" t="s">
        <v>16476</v>
      </c>
    </row>
    <row r="694">
      <c r="A694" s="93">
        <v>1244.0</v>
      </c>
      <c r="B694" s="92" t="s">
        <v>71</v>
      </c>
      <c r="C694" s="92" t="s">
        <v>6008</v>
      </c>
      <c r="D694" s="92" t="s">
        <v>16044</v>
      </c>
      <c r="E694" s="94">
        <v>45113.55247685185</v>
      </c>
      <c r="F694" s="94">
        <v>45974.971180555556</v>
      </c>
      <c r="G694" s="90">
        <v>45912.642222222225</v>
      </c>
      <c r="H694" s="1" t="s">
        <v>16476</v>
      </c>
    </row>
    <row r="695">
      <c r="A695" s="93">
        <v>1482.0</v>
      </c>
      <c r="B695" s="92" t="s">
        <v>16565</v>
      </c>
      <c r="C695" s="92" t="s">
        <v>11924</v>
      </c>
      <c r="D695" s="92" t="s">
        <v>16044</v>
      </c>
      <c r="E695" s="94">
        <v>45113.55594907407</v>
      </c>
      <c r="F695" s="94">
        <v>45974.97005787037</v>
      </c>
      <c r="G695" s="90">
        <v>45912.64150462963</v>
      </c>
      <c r="H695" s="1" t="s">
        <v>16476</v>
      </c>
    </row>
    <row r="696">
      <c r="A696" s="93">
        <v>1037.0</v>
      </c>
      <c r="B696" s="92" t="s">
        <v>16566</v>
      </c>
      <c r="C696" s="92" t="s">
        <v>12374</v>
      </c>
      <c r="D696" s="92" t="s">
        <v>16044</v>
      </c>
      <c r="E696" s="94">
        <v>45113.549421296295</v>
      </c>
      <c r="F696" s="94">
        <v>45974.969351851854</v>
      </c>
      <c r="G696" s="90">
        <v>45912.641238425924</v>
      </c>
      <c r="H696" s="1" t="s">
        <v>16476</v>
      </c>
    </row>
    <row r="697">
      <c r="A697" s="93">
        <v>1445.0</v>
      </c>
      <c r="B697" s="92" t="s">
        <v>16567</v>
      </c>
      <c r="C697" s="92" t="s">
        <v>13161</v>
      </c>
      <c r="D697" s="92" t="s">
        <v>16044</v>
      </c>
      <c r="E697" s="94">
        <v>45113.55540509259</v>
      </c>
      <c r="F697" s="94">
        <v>45974.9690162037</v>
      </c>
      <c r="G697" s="90">
        <v>45912.64047453704</v>
      </c>
      <c r="H697" s="1" t="s">
        <v>16476</v>
      </c>
    </row>
    <row r="698">
      <c r="A698" s="93">
        <v>1135.0</v>
      </c>
      <c r="B698" s="92" t="s">
        <v>16568</v>
      </c>
      <c r="C698" s="92" t="s">
        <v>15365</v>
      </c>
      <c r="D698" s="92" t="s">
        <v>16044</v>
      </c>
      <c r="E698" s="94">
        <v>45113.550891203704</v>
      </c>
      <c r="F698" s="94">
        <v>45974.96864583333</v>
      </c>
      <c r="G698" s="90">
        <v>45912.64016203704</v>
      </c>
      <c r="H698" s="1" t="s">
        <v>16476</v>
      </c>
    </row>
    <row r="699">
      <c r="A699" s="93">
        <v>1581.0</v>
      </c>
      <c r="B699" s="92" t="s">
        <v>16569</v>
      </c>
      <c r="C699" s="92" t="s">
        <v>10510</v>
      </c>
      <c r="D699" s="92" t="s">
        <v>16044</v>
      </c>
      <c r="E699" s="94">
        <v>45113.55739583333</v>
      </c>
      <c r="F699" s="94">
        <v>45974.968356481484</v>
      </c>
      <c r="G699" s="90">
        <v>45912.63964120371</v>
      </c>
      <c r="H699" s="1" t="s">
        <v>16476</v>
      </c>
    </row>
    <row r="700">
      <c r="A700" s="93">
        <v>1021.0</v>
      </c>
      <c r="B700" s="92" t="s">
        <v>16570</v>
      </c>
      <c r="C700" s="92" t="s">
        <v>9100</v>
      </c>
      <c r="D700" s="92" t="s">
        <v>16044</v>
      </c>
      <c r="E700" s="94">
        <v>45113.54917824074</v>
      </c>
      <c r="F700" s="94">
        <v>45974.968043981484</v>
      </c>
      <c r="G700" s="90">
        <v>45912.639236111114</v>
      </c>
      <c r="H700" s="1" t="s">
        <v>16476</v>
      </c>
    </row>
    <row r="701">
      <c r="A701" s="93">
        <v>1352.0</v>
      </c>
      <c r="B701" s="92" t="s">
        <v>16571</v>
      </c>
      <c r="C701" s="92" t="s">
        <v>5417</v>
      </c>
      <c r="D701" s="92" t="s">
        <v>16044</v>
      </c>
      <c r="E701" s="94">
        <v>45113.55405092592</v>
      </c>
      <c r="F701" s="94">
        <v>45974.96770833333</v>
      </c>
      <c r="G701" s="90">
        <v>45912.63863425926</v>
      </c>
      <c r="H701" s="1" t="s">
        <v>16476</v>
      </c>
    </row>
    <row r="702">
      <c r="A702" s="93">
        <v>1145.0</v>
      </c>
      <c r="B702" s="92" t="s">
        <v>16572</v>
      </c>
      <c r="C702" s="92" t="s">
        <v>5729</v>
      </c>
      <c r="D702" s="92" t="s">
        <v>16044</v>
      </c>
      <c r="E702" s="94">
        <v>45113.551030092596</v>
      </c>
      <c r="F702" s="94">
        <v>45974.96726851852</v>
      </c>
      <c r="G702" s="90">
        <v>45912.63798611111</v>
      </c>
      <c r="H702" s="1" t="s">
        <v>16476</v>
      </c>
    </row>
    <row r="703">
      <c r="A703" s="93">
        <v>1643.0</v>
      </c>
      <c r="B703" s="92" t="s">
        <v>16573</v>
      </c>
      <c r="C703" s="92" t="s">
        <v>6110</v>
      </c>
      <c r="D703" s="92" t="s">
        <v>16044</v>
      </c>
      <c r="E703" s="94">
        <v>45113.55831018519</v>
      </c>
      <c r="F703" s="94">
        <v>45974.966516203705</v>
      </c>
      <c r="G703" s="90">
        <v>45912.634421296294</v>
      </c>
      <c r="H703" s="1" t="s">
        <v>16476</v>
      </c>
    </row>
    <row r="704">
      <c r="A704" s="93">
        <v>1053.0</v>
      </c>
      <c r="B704" s="92" t="s">
        <v>16574</v>
      </c>
      <c r="C704" s="92" t="s">
        <v>13457</v>
      </c>
      <c r="D704" s="92" t="s">
        <v>16044</v>
      </c>
      <c r="E704" s="94">
        <v>45113.54965277778</v>
      </c>
      <c r="F704" s="94">
        <v>45974.96623842593</v>
      </c>
      <c r="G704" s="90">
        <v>45912.63383101852</v>
      </c>
      <c r="H704" s="1" t="s">
        <v>16476</v>
      </c>
    </row>
    <row r="705">
      <c r="A705" s="93">
        <v>827.0</v>
      </c>
      <c r="B705" s="92" t="s">
        <v>16575</v>
      </c>
      <c r="C705" s="92" t="s">
        <v>6251</v>
      </c>
      <c r="D705" s="92" t="s">
        <v>16044</v>
      </c>
      <c r="E705" s="94">
        <v>45113.54634259259</v>
      </c>
      <c r="F705" s="94">
        <v>45974.965787037036</v>
      </c>
      <c r="G705" s="90">
        <v>45912.63354166667</v>
      </c>
      <c r="H705" s="1" t="s">
        <v>16476</v>
      </c>
    </row>
    <row r="706">
      <c r="A706" s="93">
        <v>1045.0</v>
      </c>
      <c r="B706" s="92" t="s">
        <v>16576</v>
      </c>
      <c r="C706" s="92" t="s">
        <v>6086</v>
      </c>
      <c r="D706" s="92" t="s">
        <v>16044</v>
      </c>
      <c r="E706" s="94">
        <v>45113.54953703703</v>
      </c>
      <c r="F706" s="94">
        <v>45974.965416666666</v>
      </c>
      <c r="G706" s="90">
        <v>45912.63314814815</v>
      </c>
      <c r="H706" s="1" t="s">
        <v>16476</v>
      </c>
    </row>
    <row r="707">
      <c r="A707" s="93">
        <v>589.0</v>
      </c>
      <c r="B707" s="92" t="s">
        <v>16577</v>
      </c>
      <c r="C707" s="92" t="s">
        <v>5450</v>
      </c>
      <c r="D707" s="92" t="s">
        <v>16044</v>
      </c>
      <c r="E707" s="94">
        <v>45113.542766203704</v>
      </c>
      <c r="F707" s="94">
        <v>45974.96497685185</v>
      </c>
      <c r="G707" s="90">
        <v>45912.632048611114</v>
      </c>
      <c r="H707" s="1" t="s">
        <v>16476</v>
      </c>
    </row>
    <row r="708">
      <c r="A708" s="93">
        <v>1250.0</v>
      </c>
      <c r="B708" s="92" t="s">
        <v>16578</v>
      </c>
      <c r="C708" s="92" t="s">
        <v>5235</v>
      </c>
      <c r="D708" s="92" t="s">
        <v>16044</v>
      </c>
      <c r="E708" s="94">
        <v>45113.55255787037</v>
      </c>
      <c r="F708" s="94">
        <v>45974.96445601852</v>
      </c>
      <c r="G708" s="90">
        <v>45912.63172453704</v>
      </c>
      <c r="H708" s="1" t="s">
        <v>16476</v>
      </c>
    </row>
    <row r="709">
      <c r="A709" s="93">
        <v>809.0</v>
      </c>
      <c r="B709" s="92" t="s">
        <v>16579</v>
      </c>
      <c r="C709" s="92" t="s">
        <v>7809</v>
      </c>
      <c r="D709" s="92" t="s">
        <v>16044</v>
      </c>
      <c r="E709" s="94">
        <v>45113.546064814815</v>
      </c>
      <c r="F709" s="94">
        <v>45974.9640625</v>
      </c>
      <c r="G709" s="90">
        <v>45912.63108796296</v>
      </c>
      <c r="H709" s="1" t="s">
        <v>16476</v>
      </c>
    </row>
    <row r="710">
      <c r="A710" s="93">
        <v>1673.0</v>
      </c>
      <c r="B710" s="92" t="s">
        <v>16580</v>
      </c>
      <c r="C710" s="92" t="s">
        <v>9986</v>
      </c>
      <c r="D710" s="92" t="s">
        <v>16044</v>
      </c>
      <c r="E710" s="94">
        <v>45113.55875</v>
      </c>
      <c r="F710" s="94">
        <v>45974.96140046296</v>
      </c>
      <c r="G710" s="90">
        <v>45912.63048611111</v>
      </c>
      <c r="H710" s="1" t="s">
        <v>16476</v>
      </c>
    </row>
    <row r="711">
      <c r="A711" s="93">
        <v>1243.0</v>
      </c>
      <c r="B711" s="92" t="s">
        <v>16581</v>
      </c>
      <c r="C711" s="92" t="s">
        <v>12137</v>
      </c>
      <c r="D711" s="92" t="s">
        <v>16044</v>
      </c>
      <c r="E711" s="94">
        <v>45113.552453703705</v>
      </c>
      <c r="F711" s="94">
        <v>45974.9603587963</v>
      </c>
      <c r="G711" s="90">
        <v>45912.629745370374</v>
      </c>
      <c r="H711" s="1" t="s">
        <v>16476</v>
      </c>
    </row>
    <row r="712">
      <c r="A712" s="93">
        <v>1101.0</v>
      </c>
      <c r="B712" s="92" t="s">
        <v>16582</v>
      </c>
      <c r="C712" s="92" t="s">
        <v>11400</v>
      </c>
      <c r="D712" s="92" t="s">
        <v>16044</v>
      </c>
      <c r="E712" s="94">
        <v>45113.55037037037</v>
      </c>
      <c r="F712" s="94">
        <v>45974.95956018518</v>
      </c>
      <c r="G712" s="90">
        <v>45912.62946759259</v>
      </c>
      <c r="H712" s="1" t="s">
        <v>16476</v>
      </c>
    </row>
    <row r="713">
      <c r="A713" s="93">
        <v>881.0</v>
      </c>
      <c r="B713" s="92" t="s">
        <v>16583</v>
      </c>
      <c r="C713" s="92" t="s">
        <v>11718</v>
      </c>
      <c r="D713" s="92" t="s">
        <v>16044</v>
      </c>
      <c r="E713" s="94">
        <v>45113.5471412037</v>
      </c>
      <c r="F713" s="94">
        <v>45974.95890046296</v>
      </c>
      <c r="G713" s="90">
        <v>45912.62892361111</v>
      </c>
      <c r="H713" s="1" t="s">
        <v>16476</v>
      </c>
    </row>
    <row r="714">
      <c r="A714" s="93">
        <v>792.0</v>
      </c>
      <c r="B714" s="92" t="s">
        <v>16584</v>
      </c>
      <c r="C714" s="92" t="s">
        <v>10394</v>
      </c>
      <c r="D714" s="92" t="s">
        <v>16044</v>
      </c>
      <c r="E714" s="94">
        <v>45113.545810185184</v>
      </c>
      <c r="F714" s="94">
        <v>45974.95831018518</v>
      </c>
      <c r="G714" s="90">
        <v>45912.62850694444</v>
      </c>
      <c r="H714" s="1" t="s">
        <v>16476</v>
      </c>
    </row>
    <row r="715">
      <c r="A715" s="93">
        <v>1660.0</v>
      </c>
      <c r="B715" s="92" t="s">
        <v>16585</v>
      </c>
      <c r="C715" s="92" t="s">
        <v>11085</v>
      </c>
      <c r="D715" s="92" t="s">
        <v>16044</v>
      </c>
      <c r="E715" s="94">
        <v>45113.55855324074</v>
      </c>
      <c r="F715" s="94">
        <v>45974.9575</v>
      </c>
      <c r="G715" s="90">
        <v>45912.628217592595</v>
      </c>
      <c r="H715" s="1" t="s">
        <v>16476</v>
      </c>
    </row>
    <row r="716">
      <c r="A716" s="93">
        <v>633.0</v>
      </c>
      <c r="B716" s="92" t="s">
        <v>16586</v>
      </c>
      <c r="C716" s="92" t="s">
        <v>5372</v>
      </c>
      <c r="D716" s="92" t="s">
        <v>16044</v>
      </c>
      <c r="E716" s="94">
        <v>45113.54341435185</v>
      </c>
      <c r="F716" s="94">
        <v>45974.957141203704</v>
      </c>
      <c r="G716" s="90">
        <v>45912.62730324074</v>
      </c>
      <c r="H716" s="1" t="s">
        <v>16476</v>
      </c>
    </row>
    <row r="717">
      <c r="A717" s="93">
        <v>599.0</v>
      </c>
      <c r="B717" s="92" t="s">
        <v>16587</v>
      </c>
      <c r="C717" s="92" t="s">
        <v>15708</v>
      </c>
      <c r="D717" s="92" t="s">
        <v>16044</v>
      </c>
      <c r="E717" s="94">
        <v>45113.542905092596</v>
      </c>
      <c r="F717" s="94">
        <v>45974.95681712963</v>
      </c>
      <c r="G717" s="90">
        <v>45912.62082175926</v>
      </c>
      <c r="H717" s="1" t="s">
        <v>16476</v>
      </c>
    </row>
    <row r="718">
      <c r="A718" s="93">
        <v>556.0</v>
      </c>
      <c r="B718" s="92" t="s">
        <v>16588</v>
      </c>
      <c r="C718" s="92" t="s">
        <v>11301</v>
      </c>
      <c r="D718" s="92" t="s">
        <v>16044</v>
      </c>
      <c r="E718" s="94">
        <v>45113.54226851852</v>
      </c>
      <c r="F718" s="94">
        <v>45974.95636574074</v>
      </c>
      <c r="G718" s="90">
        <v>45912.62049768519</v>
      </c>
      <c r="H718" s="1" t="s">
        <v>16476</v>
      </c>
    </row>
    <row r="719">
      <c r="A719" s="93">
        <v>717.0</v>
      </c>
      <c r="B719" s="92" t="s">
        <v>16589</v>
      </c>
      <c r="C719" s="92" t="s">
        <v>9218</v>
      </c>
      <c r="D719" s="92" t="s">
        <v>16044</v>
      </c>
      <c r="E719" s="94">
        <v>45113.54471064815</v>
      </c>
      <c r="F719" s="94">
        <v>45974.954872685186</v>
      </c>
      <c r="G719" s="90">
        <v>45912.60538194444</v>
      </c>
      <c r="H719" s="1" t="s">
        <v>16476</v>
      </c>
    </row>
    <row r="720">
      <c r="A720" s="93">
        <v>732.0</v>
      </c>
      <c r="B720" s="92" t="s">
        <v>16590</v>
      </c>
      <c r="C720" s="92" t="s">
        <v>10014</v>
      </c>
      <c r="D720" s="92" t="s">
        <v>16044</v>
      </c>
      <c r="E720" s="94">
        <v>45113.54494212963</v>
      </c>
      <c r="F720" s="94">
        <v>45974.953680555554</v>
      </c>
      <c r="G720" s="90">
        <v>45912.60506944444</v>
      </c>
      <c r="H720" s="1" t="s">
        <v>16476</v>
      </c>
    </row>
    <row r="721">
      <c r="A721" s="93">
        <v>1416.0</v>
      </c>
      <c r="B721" s="92" t="s">
        <v>16591</v>
      </c>
      <c r="C721" s="92" t="s">
        <v>12935</v>
      </c>
      <c r="D721" s="92" t="s">
        <v>16044</v>
      </c>
      <c r="E721" s="94">
        <v>45113.554976851854</v>
      </c>
      <c r="F721" s="94">
        <v>45974.95318287037</v>
      </c>
      <c r="G721" s="90">
        <v>45909.982719907406</v>
      </c>
      <c r="H721" s="1" t="s">
        <v>16476</v>
      </c>
    </row>
    <row r="722">
      <c r="A722" s="93">
        <v>1512.0</v>
      </c>
      <c r="B722" s="92" t="s">
        <v>16592</v>
      </c>
      <c r="C722" s="92" t="s">
        <v>12130</v>
      </c>
      <c r="D722" s="92" t="s">
        <v>16044</v>
      </c>
      <c r="E722" s="94">
        <v>45113.55638888889</v>
      </c>
      <c r="F722" s="94">
        <v>45974.95259259259</v>
      </c>
      <c r="G722" s="90">
        <v>45909.98212962963</v>
      </c>
      <c r="H722" s="1" t="s">
        <v>16476</v>
      </c>
    </row>
    <row r="723">
      <c r="A723" s="93">
        <v>1299.0</v>
      </c>
      <c r="B723" s="92" t="s">
        <v>16593</v>
      </c>
      <c r="C723" s="92" t="s">
        <v>5187</v>
      </c>
      <c r="D723" s="92" t="s">
        <v>16044</v>
      </c>
      <c r="E723" s="94">
        <v>45113.55327546296</v>
      </c>
      <c r="F723" s="94">
        <v>45974.95210648148</v>
      </c>
      <c r="G723" s="90">
        <v>45909.978530092594</v>
      </c>
      <c r="H723" s="1" t="s">
        <v>16476</v>
      </c>
    </row>
    <row r="724">
      <c r="A724" s="93">
        <v>1137.0</v>
      </c>
      <c r="B724" s="92" t="s">
        <v>18863</v>
      </c>
      <c r="C724" s="92" t="s">
        <v>11077</v>
      </c>
      <c r="D724" s="92" t="s">
        <v>16044</v>
      </c>
      <c r="E724" s="94">
        <v>45113.55091435185</v>
      </c>
      <c r="F724" s="94">
        <v>45974.95142361111</v>
      </c>
      <c r="G724" s="90">
        <v>45909.97814814815</v>
      </c>
      <c r="H724" s="1" t="s">
        <v>16476</v>
      </c>
    </row>
    <row r="725">
      <c r="A725" s="93">
        <v>986.0</v>
      </c>
      <c r="B725" s="92" t="s">
        <v>16595</v>
      </c>
      <c r="C725" s="92" t="s">
        <v>10408</v>
      </c>
      <c r="D725" s="92" t="s">
        <v>16044</v>
      </c>
      <c r="E725" s="94">
        <v>45113.54866898148</v>
      </c>
      <c r="F725" s="94">
        <v>45974.95106481481</v>
      </c>
      <c r="G725" s="90">
        <v>45909.97644675926</v>
      </c>
      <c r="H725" s="1" t="s">
        <v>16476</v>
      </c>
    </row>
    <row r="726">
      <c r="A726" s="93">
        <v>1043.0</v>
      </c>
      <c r="B726" s="92" t="s">
        <v>16596</v>
      </c>
      <c r="C726" s="92" t="s">
        <v>14934</v>
      </c>
      <c r="D726" s="92" t="s">
        <v>16044</v>
      </c>
      <c r="E726" s="94">
        <v>45113.54950231482</v>
      </c>
      <c r="F726" s="94">
        <v>45974.95039351852</v>
      </c>
      <c r="G726" s="90">
        <v>45909.97505787037</v>
      </c>
      <c r="H726" s="1" t="s">
        <v>16476</v>
      </c>
    </row>
    <row r="727">
      <c r="A727" s="93">
        <v>1231.0</v>
      </c>
      <c r="B727" s="92" t="s">
        <v>16597</v>
      </c>
      <c r="C727" s="92" t="s">
        <v>7209</v>
      </c>
      <c r="D727" s="92" t="s">
        <v>16044</v>
      </c>
      <c r="E727" s="94">
        <v>45113.55228009259</v>
      </c>
      <c r="F727" s="94">
        <v>45974.949375</v>
      </c>
      <c r="G727" s="90">
        <v>45909.9741087963</v>
      </c>
      <c r="H727" s="1" t="s">
        <v>16476</v>
      </c>
    </row>
    <row r="728">
      <c r="A728" s="93">
        <v>643.0</v>
      </c>
      <c r="B728" s="92" t="s">
        <v>16598</v>
      </c>
      <c r="C728" s="92" t="s">
        <v>11670</v>
      </c>
      <c r="D728" s="92" t="s">
        <v>16044</v>
      </c>
      <c r="E728" s="94">
        <v>45113.54356481481</v>
      </c>
      <c r="F728" s="94">
        <v>45974.948796296296</v>
      </c>
      <c r="G728" s="90">
        <v>45909.97314814815</v>
      </c>
      <c r="H728" s="1" t="s">
        <v>16476</v>
      </c>
    </row>
    <row r="729">
      <c r="A729" s="93">
        <v>1685.0</v>
      </c>
      <c r="B729" s="92" t="s">
        <v>16599</v>
      </c>
      <c r="C729" s="92" t="s">
        <v>11020</v>
      </c>
      <c r="D729" s="92" t="s">
        <v>16044</v>
      </c>
      <c r="E729" s="94">
        <v>45113.55892361111</v>
      </c>
      <c r="F729" s="94">
        <v>45974.9477662037</v>
      </c>
      <c r="G729" s="90">
        <v>45909.972766203704</v>
      </c>
      <c r="H729" s="1" t="s">
        <v>16476</v>
      </c>
    </row>
    <row r="730">
      <c r="A730" s="93">
        <v>968.0</v>
      </c>
      <c r="B730" s="92" t="s">
        <v>16600</v>
      </c>
      <c r="C730" s="92" t="s">
        <v>7540</v>
      </c>
      <c r="D730" s="92" t="s">
        <v>16044</v>
      </c>
      <c r="E730" s="94">
        <v>45113.54840277778</v>
      </c>
      <c r="F730" s="94">
        <v>45974.94677083333</v>
      </c>
      <c r="G730" s="90">
        <v>45909.971979166665</v>
      </c>
      <c r="H730" s="1" t="s">
        <v>16476</v>
      </c>
    </row>
    <row r="731">
      <c r="A731" s="93">
        <v>1052.0</v>
      </c>
      <c r="B731" s="92" t="s">
        <v>16601</v>
      </c>
      <c r="C731" s="92" t="s">
        <v>11608</v>
      </c>
      <c r="D731" s="92" t="s">
        <v>16044</v>
      </c>
      <c r="E731" s="94">
        <v>45113.5496412037</v>
      </c>
      <c r="F731" s="94">
        <v>45974.93616898148</v>
      </c>
      <c r="G731" s="90">
        <v>45909.97162037037</v>
      </c>
      <c r="H731" s="1" t="s">
        <v>16476</v>
      </c>
    </row>
    <row r="732">
      <c r="A732" s="93">
        <v>1429.0</v>
      </c>
      <c r="B732" s="92" t="s">
        <v>16602</v>
      </c>
      <c r="C732" s="92" t="s">
        <v>10224</v>
      </c>
      <c r="D732" s="92" t="s">
        <v>16044</v>
      </c>
      <c r="E732" s="94">
        <v>45113.55517361111</v>
      </c>
      <c r="F732" s="94">
        <v>45974.93487268518</v>
      </c>
      <c r="G732" s="90">
        <v>45909.97133101852</v>
      </c>
      <c r="H732" s="1" t="s">
        <v>16476</v>
      </c>
    </row>
    <row r="733">
      <c r="A733" s="93">
        <v>1038.0</v>
      </c>
      <c r="B733" s="92" t="s">
        <v>16603</v>
      </c>
      <c r="C733" s="92" t="s">
        <v>15090</v>
      </c>
      <c r="D733" s="92" t="s">
        <v>16044</v>
      </c>
      <c r="E733" s="94">
        <v>45113.54943287037</v>
      </c>
      <c r="F733" s="94">
        <v>45974.93415509259</v>
      </c>
      <c r="G733" s="90">
        <v>45909.971041666664</v>
      </c>
      <c r="H733" s="1" t="s">
        <v>16476</v>
      </c>
    </row>
    <row r="734">
      <c r="A734" s="93">
        <v>1388.0</v>
      </c>
      <c r="B734" s="92" t="s">
        <v>16604</v>
      </c>
      <c r="C734" s="92" t="s">
        <v>14991</v>
      </c>
      <c r="D734" s="92" t="s">
        <v>16044</v>
      </c>
      <c r="E734" s="94">
        <v>45113.55457175926</v>
      </c>
      <c r="F734" s="94">
        <v>45974.9305787037</v>
      </c>
      <c r="G734" s="90">
        <v>45909.97043981482</v>
      </c>
      <c r="H734" s="1" t="s">
        <v>16476</v>
      </c>
    </row>
    <row r="735">
      <c r="A735" s="93">
        <v>593.0</v>
      </c>
      <c r="B735" s="92" t="s">
        <v>16605</v>
      </c>
      <c r="C735" s="92" t="s">
        <v>13724</v>
      </c>
      <c r="D735" s="92" t="s">
        <v>16044</v>
      </c>
      <c r="E735" s="94">
        <v>45113.54282407407</v>
      </c>
      <c r="F735" s="94">
        <v>45974.93011574074</v>
      </c>
      <c r="G735" s="90">
        <v>45909.969976851855</v>
      </c>
      <c r="H735" s="1" t="s">
        <v>16476</v>
      </c>
    </row>
    <row r="736">
      <c r="A736" s="93">
        <v>1222.0</v>
      </c>
      <c r="B736" s="92" t="s">
        <v>16606</v>
      </c>
      <c r="C736" s="92" t="s">
        <v>7757</v>
      </c>
      <c r="D736" s="92" t="s">
        <v>16044</v>
      </c>
      <c r="E736" s="94">
        <v>45113.552152777775</v>
      </c>
      <c r="F736" s="94">
        <v>45974.92802083334</v>
      </c>
      <c r="G736" s="90">
        <v>45909.96869212963</v>
      </c>
      <c r="H736" s="1" t="s">
        <v>16476</v>
      </c>
    </row>
    <row r="737">
      <c r="A737" s="93">
        <v>650.0</v>
      </c>
      <c r="B737" s="92" t="s">
        <v>16607</v>
      </c>
      <c r="C737" s="92" t="s">
        <v>13095</v>
      </c>
      <c r="D737" s="92" t="s">
        <v>16044</v>
      </c>
      <c r="E737" s="94">
        <v>45113.54368055556</v>
      </c>
      <c r="F737" s="94">
        <v>45974.9271875</v>
      </c>
      <c r="G737" s="90">
        <v>45909.96827546296</v>
      </c>
      <c r="H737" s="1" t="s">
        <v>16476</v>
      </c>
    </row>
    <row r="738">
      <c r="A738" s="93">
        <v>832.0</v>
      </c>
      <c r="B738" s="92" t="s">
        <v>16608</v>
      </c>
      <c r="C738" s="92" t="s">
        <v>12103</v>
      </c>
      <c r="D738" s="92" t="s">
        <v>16044</v>
      </c>
      <c r="E738" s="94">
        <v>45113.546423611115</v>
      </c>
      <c r="F738" s="94">
        <v>45974.924733796295</v>
      </c>
      <c r="G738" s="90">
        <v>45909.96753472222</v>
      </c>
      <c r="H738" s="1" t="s">
        <v>16476</v>
      </c>
    </row>
    <row r="739">
      <c r="A739" s="93">
        <v>1460.0</v>
      </c>
      <c r="B739" s="92" t="s">
        <v>16609</v>
      </c>
      <c r="C739" s="92" t="s">
        <v>8186</v>
      </c>
      <c r="D739" s="92" t="s">
        <v>16044</v>
      </c>
      <c r="E739" s="94">
        <v>45113.555625</v>
      </c>
      <c r="F739" s="94">
        <v>45974.91908564815</v>
      </c>
      <c r="G739" s="90">
        <v>45909.96672453704</v>
      </c>
      <c r="H739" s="1" t="s">
        <v>16476</v>
      </c>
    </row>
    <row r="740">
      <c r="A740" s="93">
        <v>1653.0</v>
      </c>
      <c r="B740" s="92" t="s">
        <v>16610</v>
      </c>
      <c r="C740" s="92" t="s">
        <v>12435</v>
      </c>
      <c r="D740" s="92" t="s">
        <v>16044</v>
      </c>
      <c r="E740" s="94">
        <v>45113.55846064815</v>
      </c>
      <c r="F740" s="94">
        <v>45974.915868055556</v>
      </c>
      <c r="G740" s="90">
        <v>45909.965104166666</v>
      </c>
      <c r="H740" s="1" t="s">
        <v>16476</v>
      </c>
    </row>
    <row r="741">
      <c r="A741" s="93">
        <v>835.0</v>
      </c>
      <c r="B741" s="92" t="s">
        <v>16611</v>
      </c>
      <c r="C741" s="92" t="s">
        <v>11272</v>
      </c>
      <c r="D741" s="92" t="s">
        <v>16044</v>
      </c>
      <c r="E741" s="94">
        <v>45113.54645833333</v>
      </c>
      <c r="F741" s="94">
        <v>45974.914872685185</v>
      </c>
      <c r="G741" s="90">
        <v>45909.963217592594</v>
      </c>
      <c r="H741" s="1" t="s">
        <v>16476</v>
      </c>
    </row>
    <row r="742">
      <c r="A742" s="93">
        <v>750.0</v>
      </c>
      <c r="B742" s="92" t="s">
        <v>16612</v>
      </c>
      <c r="C742" s="92" t="s">
        <v>11330</v>
      </c>
      <c r="D742" s="92" t="s">
        <v>16044</v>
      </c>
      <c r="E742" s="94">
        <v>45113.54520833334</v>
      </c>
      <c r="F742" s="94">
        <v>45974.91452546296</v>
      </c>
      <c r="G742" s="90">
        <v>45909.96262731482</v>
      </c>
      <c r="H742" s="1" t="s">
        <v>16476</v>
      </c>
    </row>
    <row r="743">
      <c r="A743" s="93">
        <v>1379.0</v>
      </c>
      <c r="B743" s="92" t="s">
        <v>16613</v>
      </c>
      <c r="C743" s="92" t="s">
        <v>13403</v>
      </c>
      <c r="D743" s="92" t="s">
        <v>16044</v>
      </c>
      <c r="E743" s="94">
        <v>45113.554444444446</v>
      </c>
      <c r="F743" s="94">
        <v>45974.91303240741</v>
      </c>
      <c r="G743" s="90">
        <v>45909.96195601852</v>
      </c>
      <c r="H743" s="1" t="s">
        <v>16476</v>
      </c>
    </row>
    <row r="744">
      <c r="A744" s="93">
        <v>1688.0</v>
      </c>
      <c r="B744" s="92" t="s">
        <v>16614</v>
      </c>
      <c r="C744" s="92" t="s">
        <v>12736</v>
      </c>
      <c r="D744" s="92" t="s">
        <v>16044</v>
      </c>
      <c r="E744" s="94">
        <v>45113.558969907404</v>
      </c>
      <c r="F744" s="94">
        <v>45974.912094907406</v>
      </c>
      <c r="G744" s="90">
        <v>45909.96160879629</v>
      </c>
      <c r="H744" s="1" t="s">
        <v>16476</v>
      </c>
    </row>
    <row r="745">
      <c r="A745" s="93">
        <v>814.0</v>
      </c>
      <c r="B745" s="92" t="s">
        <v>16615</v>
      </c>
      <c r="C745" s="92" t="s">
        <v>7363</v>
      </c>
      <c r="D745" s="92" t="s">
        <v>16044</v>
      </c>
      <c r="E745" s="94">
        <v>45113.54613425926</v>
      </c>
      <c r="F745" s="94">
        <v>45974.91106481481</v>
      </c>
      <c r="G745" s="90">
        <v>45908.818020833336</v>
      </c>
      <c r="H745" s="1" t="s">
        <v>16476</v>
      </c>
    </row>
    <row r="746">
      <c r="A746" s="93">
        <v>1153.0</v>
      </c>
      <c r="B746" s="92" t="s">
        <v>16616</v>
      </c>
      <c r="C746" s="92" t="s">
        <v>7418</v>
      </c>
      <c r="D746" s="92" t="s">
        <v>16044</v>
      </c>
      <c r="E746" s="94">
        <v>45113.551145833335</v>
      </c>
      <c r="F746" s="94">
        <v>45974.90888888889</v>
      </c>
      <c r="G746" s="90">
        <v>45907.989803240744</v>
      </c>
      <c r="H746" s="1" t="s">
        <v>16476</v>
      </c>
    </row>
    <row r="747">
      <c r="A747" s="93">
        <v>1343.0</v>
      </c>
      <c r="B747" s="92" t="s">
        <v>16617</v>
      </c>
      <c r="C747" s="92" t="s">
        <v>7256</v>
      </c>
      <c r="D747" s="92" t="s">
        <v>16044</v>
      </c>
      <c r="E747" s="94">
        <v>45113.55391203704</v>
      </c>
      <c r="F747" s="94">
        <v>45974.905636574076</v>
      </c>
      <c r="G747" s="90">
        <v>45907.9891087963</v>
      </c>
      <c r="H747" s="1" t="s">
        <v>16476</v>
      </c>
    </row>
    <row r="748">
      <c r="A748" s="93">
        <v>632.0</v>
      </c>
      <c r="B748" s="92" t="s">
        <v>16618</v>
      </c>
      <c r="C748" s="92" t="s">
        <v>11265</v>
      </c>
      <c r="D748" s="92" t="s">
        <v>16044</v>
      </c>
      <c r="E748" s="94">
        <v>45113.54340277778</v>
      </c>
      <c r="F748" s="94">
        <v>45974.90372685185</v>
      </c>
      <c r="G748" s="90">
        <v>45907.98849537037</v>
      </c>
      <c r="H748" s="1" t="s">
        <v>16476</v>
      </c>
    </row>
    <row r="749">
      <c r="A749" s="93">
        <v>807.0</v>
      </c>
      <c r="B749" s="92" t="s">
        <v>16619</v>
      </c>
      <c r="C749" s="92" t="s">
        <v>11315</v>
      </c>
      <c r="D749" s="92" t="s">
        <v>16044</v>
      </c>
      <c r="E749" s="94">
        <v>45113.54603009259</v>
      </c>
      <c r="F749" s="94">
        <v>45974.90300925926</v>
      </c>
      <c r="G749" s="90">
        <v>45907.98787037037</v>
      </c>
      <c r="H749" s="1" t="s">
        <v>16476</v>
      </c>
    </row>
    <row r="750">
      <c r="A750" s="93">
        <v>1251.0</v>
      </c>
      <c r="B750" s="92" t="s">
        <v>16620</v>
      </c>
      <c r="C750" s="92" t="s">
        <v>13448</v>
      </c>
      <c r="D750" s="92" t="s">
        <v>16044</v>
      </c>
      <c r="E750" s="94">
        <v>45113.552569444444</v>
      </c>
      <c r="F750" s="94">
        <v>45974.90188657407</v>
      </c>
      <c r="G750" s="90">
        <v>45907.98751157407</v>
      </c>
      <c r="H750" s="1" t="s">
        <v>16476</v>
      </c>
    </row>
    <row r="751">
      <c r="A751" s="93">
        <v>1583.0</v>
      </c>
      <c r="B751" s="92" t="s">
        <v>16621</v>
      </c>
      <c r="C751" s="92" t="s">
        <v>15597</v>
      </c>
      <c r="D751" s="92" t="s">
        <v>16044</v>
      </c>
      <c r="E751" s="94">
        <v>45113.55743055556</v>
      </c>
      <c r="F751" s="94">
        <v>45974.90142361111</v>
      </c>
      <c r="G751" s="90">
        <v>45907.9871412037</v>
      </c>
      <c r="H751" s="1" t="s">
        <v>16476</v>
      </c>
    </row>
    <row r="752">
      <c r="A752" s="93">
        <v>735.0</v>
      </c>
      <c r="B752" s="92" t="s">
        <v>16622</v>
      </c>
      <c r="C752" s="92" t="s">
        <v>15651</v>
      </c>
      <c r="D752" s="92" t="s">
        <v>16044</v>
      </c>
      <c r="E752" s="94">
        <v>45113.54497685185</v>
      </c>
      <c r="F752" s="94">
        <v>45974.900972222225</v>
      </c>
      <c r="G752" s="90">
        <v>45907.986608796295</v>
      </c>
      <c r="H752" s="1" t="s">
        <v>16476</v>
      </c>
    </row>
    <row r="753">
      <c r="A753" s="93">
        <v>1559.0</v>
      </c>
      <c r="B753" s="92" t="s">
        <v>16623</v>
      </c>
      <c r="C753" s="92" t="s">
        <v>15748</v>
      </c>
      <c r="D753" s="92" t="s">
        <v>16044</v>
      </c>
      <c r="E753" s="94">
        <v>45113.557071759256</v>
      </c>
      <c r="F753" s="94">
        <v>45974.90049768519</v>
      </c>
      <c r="G753" s="90">
        <v>45907.986342592594</v>
      </c>
      <c r="H753" s="1" t="s">
        <v>16476</v>
      </c>
    </row>
    <row r="754">
      <c r="A754" s="93">
        <v>457.0</v>
      </c>
      <c r="B754" s="92" t="s">
        <v>16624</v>
      </c>
      <c r="C754" s="92" t="s">
        <v>15821</v>
      </c>
      <c r="D754" s="92" t="s">
        <v>16044</v>
      </c>
      <c r="E754" s="94">
        <v>45113.540821759256</v>
      </c>
      <c r="F754" s="94">
        <v>45974.900092592594</v>
      </c>
      <c r="G754" s="90">
        <v>45907.98607638889</v>
      </c>
      <c r="H754" s="1" t="s">
        <v>16476</v>
      </c>
    </row>
    <row r="755">
      <c r="A755" s="93">
        <v>455.0</v>
      </c>
      <c r="B755" s="92" t="s">
        <v>16625</v>
      </c>
      <c r="C755" s="92" t="s">
        <v>14907</v>
      </c>
      <c r="D755" s="92" t="s">
        <v>16044</v>
      </c>
      <c r="E755" s="94">
        <v>45113.54079861111</v>
      </c>
      <c r="F755" s="94">
        <v>45974.89943287037</v>
      </c>
      <c r="G755" s="90">
        <v>45907.985810185186</v>
      </c>
      <c r="H755" s="1" t="s">
        <v>16476</v>
      </c>
    </row>
    <row r="756">
      <c r="A756" s="93">
        <v>453.0</v>
      </c>
      <c r="B756" s="92" t="s">
        <v>16626</v>
      </c>
      <c r="C756" s="92" t="s">
        <v>15890</v>
      </c>
      <c r="D756" s="92" t="s">
        <v>16044</v>
      </c>
      <c r="E756" s="94">
        <v>45113.54076388889</v>
      </c>
      <c r="F756" s="94">
        <v>45974.89908564815</v>
      </c>
      <c r="G756" s="90">
        <v>45907.985439814816</v>
      </c>
      <c r="H756" s="1" t="s">
        <v>16476</v>
      </c>
    </row>
    <row r="757">
      <c r="A757" s="93">
        <v>1310.0</v>
      </c>
      <c r="B757" s="92" t="s">
        <v>16627</v>
      </c>
      <c r="C757" s="92" t="s">
        <v>12368</v>
      </c>
      <c r="D757" s="92" t="s">
        <v>16044</v>
      </c>
      <c r="E757" s="94">
        <v>45113.5534375</v>
      </c>
      <c r="F757" s="94">
        <v>45974.89869212963</v>
      </c>
      <c r="G757" s="90">
        <v>45907.98515046296</v>
      </c>
      <c r="H757" s="1" t="s">
        <v>16476</v>
      </c>
    </row>
    <row r="758">
      <c r="A758" s="93">
        <v>454.0</v>
      </c>
      <c r="B758" s="92" t="s">
        <v>16628</v>
      </c>
      <c r="C758" s="92" t="s">
        <v>15885</v>
      </c>
      <c r="D758" s="92" t="s">
        <v>16044</v>
      </c>
      <c r="E758" s="94">
        <v>45113.54078703704</v>
      </c>
      <c r="F758" s="94">
        <v>45974.898252314815</v>
      </c>
      <c r="G758" s="90">
        <v>45907.98486111111</v>
      </c>
      <c r="H758" s="1" t="s">
        <v>16476</v>
      </c>
    </row>
    <row r="759">
      <c r="A759" s="93">
        <v>887.0</v>
      </c>
      <c r="B759" s="92" t="s">
        <v>16629</v>
      </c>
      <c r="C759" s="92" t="s">
        <v>11193</v>
      </c>
      <c r="D759" s="92" t="s">
        <v>16044</v>
      </c>
      <c r="E759" s="94">
        <v>45113.54722222222</v>
      </c>
      <c r="F759" s="94">
        <v>45974.88858796296</v>
      </c>
      <c r="G759" s="90">
        <v>45907.98434027778</v>
      </c>
      <c r="H759" s="1" t="s">
        <v>16476</v>
      </c>
    </row>
    <row r="760">
      <c r="A760" s="93">
        <v>1450.0</v>
      </c>
      <c r="B760" s="92" t="s">
        <v>155</v>
      </c>
      <c r="C760" s="92" t="s">
        <v>154</v>
      </c>
      <c r="D760" s="92" t="s">
        <v>16044</v>
      </c>
      <c r="E760" s="94">
        <v>45113.55547453704</v>
      </c>
      <c r="F760" s="94">
        <v>45961.971770833334</v>
      </c>
      <c r="G760" s="90">
        <v>45907.98370370371</v>
      </c>
      <c r="H760" s="1" t="s">
        <v>16476</v>
      </c>
    </row>
    <row r="761">
      <c r="A761" s="93">
        <v>1397.0</v>
      </c>
      <c r="B761" s="92" t="s">
        <v>16631</v>
      </c>
      <c r="C761" s="92" t="s">
        <v>5897</v>
      </c>
      <c r="D761" s="92" t="s">
        <v>16044</v>
      </c>
      <c r="E761" s="94">
        <v>45113.55469907408</v>
      </c>
      <c r="F761" s="94">
        <v>45961.965891203705</v>
      </c>
      <c r="G761" s="90">
        <v>45907.98295138889</v>
      </c>
      <c r="H761" s="1" t="s">
        <v>16476</v>
      </c>
    </row>
    <row r="762">
      <c r="A762" s="93">
        <v>1408.0</v>
      </c>
      <c r="B762" s="92" t="s">
        <v>11427</v>
      </c>
      <c r="C762" s="92" t="s">
        <v>7819</v>
      </c>
      <c r="D762" s="92" t="s">
        <v>16044</v>
      </c>
      <c r="E762" s="94">
        <v>45113.55486111111</v>
      </c>
      <c r="F762" s="94">
        <v>45961.96313657407</v>
      </c>
      <c r="G762" s="90">
        <v>45907.982037037036</v>
      </c>
      <c r="H762" s="1" t="s">
        <v>16476</v>
      </c>
    </row>
    <row r="763">
      <c r="A763" s="93">
        <v>1399.0</v>
      </c>
      <c r="B763" s="92" t="s">
        <v>16632</v>
      </c>
      <c r="C763" s="92" t="s">
        <v>10867</v>
      </c>
      <c r="D763" s="92" t="s">
        <v>16044</v>
      </c>
      <c r="E763" s="94">
        <v>45113.5547337963</v>
      </c>
      <c r="F763" s="94">
        <v>45961.961388888885</v>
      </c>
      <c r="G763" s="90">
        <v>45907.98143518518</v>
      </c>
      <c r="H763" s="1" t="s">
        <v>16476</v>
      </c>
    </row>
    <row r="764">
      <c r="A764" s="93">
        <v>1442.0</v>
      </c>
      <c r="B764" s="92" t="s">
        <v>16633</v>
      </c>
      <c r="C764" s="92" t="s">
        <v>7151</v>
      </c>
      <c r="D764" s="92" t="s">
        <v>16044</v>
      </c>
      <c r="E764" s="94">
        <v>45113.55535879629</v>
      </c>
      <c r="F764" s="94">
        <v>45961.95348379629</v>
      </c>
      <c r="G764" s="90">
        <v>45907.98119212963</v>
      </c>
      <c r="H764" s="1" t="s">
        <v>16476</v>
      </c>
    </row>
    <row r="765">
      <c r="A765" s="93">
        <v>1556.0</v>
      </c>
      <c r="B765" s="92" t="s">
        <v>16634</v>
      </c>
      <c r="C765" s="92" t="s">
        <v>9160</v>
      </c>
      <c r="D765" s="92" t="s">
        <v>16044</v>
      </c>
      <c r="E765" s="94">
        <v>45113.557025462964</v>
      </c>
      <c r="F765" s="94">
        <v>45961.94756944444</v>
      </c>
      <c r="G765" s="90">
        <v>45907.98087962963</v>
      </c>
      <c r="H765" s="1" t="s">
        <v>16476</v>
      </c>
    </row>
    <row r="766">
      <c r="A766" s="93">
        <v>788.0</v>
      </c>
      <c r="B766" s="92" t="s">
        <v>16635</v>
      </c>
      <c r="C766" s="92" t="s">
        <v>9973</v>
      </c>
      <c r="D766" s="92" t="s">
        <v>16044</v>
      </c>
      <c r="E766" s="94">
        <v>45113.545752314814</v>
      </c>
      <c r="F766" s="94">
        <v>45961.94390046296</v>
      </c>
      <c r="G766" s="90">
        <v>45907.98063657407</v>
      </c>
      <c r="H766" s="1" t="s">
        <v>16476</v>
      </c>
    </row>
    <row r="767">
      <c r="A767" s="93">
        <v>1084.0</v>
      </c>
      <c r="B767" s="92" t="s">
        <v>16636</v>
      </c>
      <c r="C767" s="92" t="s">
        <v>7229</v>
      </c>
      <c r="D767" s="92" t="s">
        <v>16044</v>
      </c>
      <c r="E767" s="94">
        <v>45113.55011574074</v>
      </c>
      <c r="F767" s="94">
        <v>45961.943136574075</v>
      </c>
      <c r="G767" s="90">
        <v>45907.98038194444</v>
      </c>
      <c r="H767" s="1" t="s">
        <v>16476</v>
      </c>
    </row>
    <row r="768">
      <c r="A768" s="93">
        <v>1332.0</v>
      </c>
      <c r="B768" s="92" t="s">
        <v>16637</v>
      </c>
      <c r="C768" s="92" t="s">
        <v>5246</v>
      </c>
      <c r="D768" s="92" t="s">
        <v>16044</v>
      </c>
      <c r="E768" s="94">
        <v>45113.553761574076</v>
      </c>
      <c r="F768" s="94">
        <v>45961.94243055556</v>
      </c>
      <c r="G768" s="90">
        <v>45907.97996527778</v>
      </c>
      <c r="H768" s="1" t="s">
        <v>16476</v>
      </c>
    </row>
    <row r="769">
      <c r="A769" s="93">
        <v>602.0</v>
      </c>
      <c r="B769" s="92" t="s">
        <v>16638</v>
      </c>
      <c r="C769" s="92" t="s">
        <v>7990</v>
      </c>
      <c r="D769" s="92" t="s">
        <v>16044</v>
      </c>
      <c r="E769" s="94">
        <v>45113.54295138889</v>
      </c>
      <c r="F769" s="94">
        <v>45961.94123842593</v>
      </c>
      <c r="G769" s="90">
        <v>45907.979409722226</v>
      </c>
      <c r="H769" s="1" t="s">
        <v>16476</v>
      </c>
    </row>
    <row r="770">
      <c r="A770" s="93">
        <v>1411.0</v>
      </c>
      <c r="B770" s="92" t="s">
        <v>16639</v>
      </c>
      <c r="C770" s="92" t="s">
        <v>9894</v>
      </c>
      <c r="D770" s="92" t="s">
        <v>16044</v>
      </c>
      <c r="E770" s="94">
        <v>45113.55490740741</v>
      </c>
      <c r="F770" s="94">
        <v>45961.94017361111</v>
      </c>
      <c r="G770" s="90">
        <v>45907.9790162037</v>
      </c>
      <c r="H770" s="1" t="s">
        <v>16476</v>
      </c>
    </row>
    <row r="771">
      <c r="A771" s="93">
        <v>947.0</v>
      </c>
      <c r="B771" s="92" t="s">
        <v>16640</v>
      </c>
      <c r="C771" s="92" t="s">
        <v>10659</v>
      </c>
      <c r="D771" s="92" t="s">
        <v>16044</v>
      </c>
      <c r="E771" s="94">
        <v>45113.548101851855</v>
      </c>
      <c r="F771" s="94">
        <v>45961.93802083333</v>
      </c>
      <c r="G771" s="90">
        <v>45907.978472222225</v>
      </c>
      <c r="H771" s="1" t="s">
        <v>16476</v>
      </c>
    </row>
    <row r="772">
      <c r="A772" s="93">
        <v>1121.0</v>
      </c>
      <c r="B772" s="92" t="s">
        <v>16641</v>
      </c>
      <c r="C772" s="92" t="s">
        <v>8812</v>
      </c>
      <c r="D772" s="92" t="s">
        <v>16044</v>
      </c>
      <c r="E772" s="94">
        <v>45113.55068287037</v>
      </c>
      <c r="F772" s="94">
        <v>45961.93565972222</v>
      </c>
      <c r="G772" s="90">
        <v>45907.97825231482</v>
      </c>
      <c r="H772" s="1" t="s">
        <v>16476</v>
      </c>
    </row>
    <row r="773">
      <c r="A773" s="93">
        <v>783.0</v>
      </c>
      <c r="B773" s="92" t="s">
        <v>16642</v>
      </c>
      <c r="C773" s="92" t="s">
        <v>7342</v>
      </c>
      <c r="D773" s="92" t="s">
        <v>16044</v>
      </c>
      <c r="E773" s="94">
        <v>45113.54568287037</v>
      </c>
      <c r="F773" s="94">
        <v>45961.88814814815</v>
      </c>
      <c r="G773" s="90">
        <v>45907.97792824074</v>
      </c>
      <c r="H773" s="1" t="s">
        <v>16476</v>
      </c>
    </row>
    <row r="774">
      <c r="A774" s="93">
        <v>628.0</v>
      </c>
      <c r="B774" s="92" t="s">
        <v>16643</v>
      </c>
      <c r="C774" s="92" t="s">
        <v>18864</v>
      </c>
      <c r="D774" s="92" t="s">
        <v>16044</v>
      </c>
      <c r="E774" s="94">
        <v>45113.543344907404</v>
      </c>
      <c r="F774" s="94">
        <v>45961.8875462963</v>
      </c>
      <c r="G774" s="90">
        <v>45907.97721064815</v>
      </c>
      <c r="H774" s="1" t="s">
        <v>16476</v>
      </c>
    </row>
    <row r="775">
      <c r="A775" s="93">
        <v>1676.0</v>
      </c>
      <c r="B775" s="92" t="s">
        <v>16644</v>
      </c>
      <c r="C775" s="92" t="s">
        <v>10879</v>
      </c>
      <c r="D775" s="92" t="s">
        <v>16044</v>
      </c>
      <c r="E775" s="94">
        <v>45113.558796296296</v>
      </c>
      <c r="F775" s="94">
        <v>45961.88621527778</v>
      </c>
      <c r="G775" s="90">
        <v>45907.97690972222</v>
      </c>
      <c r="H775" s="1" t="s">
        <v>16476</v>
      </c>
    </row>
    <row r="776">
      <c r="A776" s="93">
        <v>904.0</v>
      </c>
      <c r="B776" s="92" t="s">
        <v>16645</v>
      </c>
      <c r="C776" s="92" t="s">
        <v>14543</v>
      </c>
      <c r="D776" s="92" t="s">
        <v>16044</v>
      </c>
      <c r="E776" s="94">
        <v>45113.547476851854</v>
      </c>
      <c r="F776" s="94">
        <v>45961.88516203704</v>
      </c>
      <c r="G776" s="90">
        <v>45907.97625</v>
      </c>
      <c r="H776" s="1" t="s">
        <v>16476</v>
      </c>
    </row>
    <row r="777">
      <c r="A777" s="93">
        <v>1034.0</v>
      </c>
      <c r="B777" s="92" t="s">
        <v>16646</v>
      </c>
      <c r="C777" s="92" t="s">
        <v>10603</v>
      </c>
      <c r="D777" s="92" t="s">
        <v>16044</v>
      </c>
      <c r="E777" s="94">
        <v>45113.549375</v>
      </c>
      <c r="F777" s="94">
        <v>45961.88427083333</v>
      </c>
      <c r="G777" s="90">
        <v>45907.97591435185</v>
      </c>
      <c r="H777" s="1" t="s">
        <v>16476</v>
      </c>
    </row>
    <row r="778">
      <c r="A778" s="93">
        <v>851.0</v>
      </c>
      <c r="B778" s="92" t="s">
        <v>16647</v>
      </c>
      <c r="C778" s="92" t="s">
        <v>9152</v>
      </c>
      <c r="D778" s="92" t="s">
        <v>16044</v>
      </c>
      <c r="E778" s="94">
        <v>45113.54670138889</v>
      </c>
      <c r="F778" s="94">
        <v>45961.881631944445</v>
      </c>
      <c r="G778" s="90">
        <v>45907.97520833334</v>
      </c>
      <c r="H778" s="1" t="s">
        <v>16476</v>
      </c>
    </row>
    <row r="779">
      <c r="A779" s="93">
        <v>1074.0</v>
      </c>
      <c r="B779" s="92" t="s">
        <v>16648</v>
      </c>
      <c r="C779" s="92" t="s">
        <v>7845</v>
      </c>
      <c r="D779" s="92" t="s">
        <v>16044</v>
      </c>
      <c r="E779" s="94">
        <v>45113.54997685185</v>
      </c>
      <c r="F779" s="94">
        <v>45961.87773148148</v>
      </c>
      <c r="G779" s="90">
        <v>45907.97472222222</v>
      </c>
      <c r="H779" s="1" t="s">
        <v>16476</v>
      </c>
    </row>
    <row r="780">
      <c r="A780" s="93">
        <v>1200.0</v>
      </c>
      <c r="B780" s="92" t="s">
        <v>16649</v>
      </c>
      <c r="C780" s="92" t="s">
        <v>11053</v>
      </c>
      <c r="D780" s="92" t="s">
        <v>16044</v>
      </c>
      <c r="E780" s="94">
        <v>45113.551828703705</v>
      </c>
      <c r="F780" s="94">
        <v>45961.87644675926</v>
      </c>
      <c r="G780" s="90">
        <v>45907.97392361111</v>
      </c>
      <c r="H780" s="1" t="s">
        <v>16476</v>
      </c>
    </row>
    <row r="781">
      <c r="A781" s="93">
        <v>925.0</v>
      </c>
      <c r="B781" s="92" t="s">
        <v>16650</v>
      </c>
      <c r="C781" s="92" t="s">
        <v>10932</v>
      </c>
      <c r="D781" s="92" t="s">
        <v>16044</v>
      </c>
      <c r="E781" s="94">
        <v>45113.54777777778</v>
      </c>
      <c r="F781" s="94">
        <v>45961.87144675926</v>
      </c>
      <c r="G781" s="90">
        <v>45907.97329861111</v>
      </c>
      <c r="H781" s="1" t="s">
        <v>16476</v>
      </c>
    </row>
    <row r="782">
      <c r="A782" s="93">
        <v>1468.0</v>
      </c>
      <c r="B782" s="92" t="s">
        <v>16651</v>
      </c>
      <c r="C782" s="92" t="s">
        <v>10943</v>
      </c>
      <c r="D782" s="92" t="s">
        <v>16044</v>
      </c>
      <c r="E782" s="94">
        <v>45113.55574074074</v>
      </c>
      <c r="F782" s="94">
        <v>45961.870474537034</v>
      </c>
      <c r="G782" s="90">
        <v>45907.972974537035</v>
      </c>
      <c r="H782" s="1" t="s">
        <v>16476</v>
      </c>
    </row>
    <row r="783">
      <c r="A783" s="93">
        <v>895.0</v>
      </c>
      <c r="B783" s="92" t="s">
        <v>16652</v>
      </c>
      <c r="C783" s="92" t="s">
        <v>8098</v>
      </c>
      <c r="D783" s="92" t="s">
        <v>16044</v>
      </c>
      <c r="E783" s="94">
        <v>45113.54733796296</v>
      </c>
      <c r="F783" s="94">
        <v>45961.86934027778</v>
      </c>
      <c r="G783" s="90">
        <v>45907.97274305556</v>
      </c>
      <c r="H783" s="1" t="s">
        <v>16476</v>
      </c>
    </row>
    <row r="784">
      <c r="A784" s="93">
        <v>669.0</v>
      </c>
      <c r="B784" s="92" t="s">
        <v>16653</v>
      </c>
      <c r="C784" s="92" t="s">
        <v>6845</v>
      </c>
      <c r="D784" s="92" t="s">
        <v>16044</v>
      </c>
      <c r="E784" s="94">
        <v>45113.543969907405</v>
      </c>
      <c r="F784" s="94">
        <v>45961.852013888885</v>
      </c>
      <c r="G784" s="90">
        <v>45907.97217592593</v>
      </c>
      <c r="H784" s="1" t="s">
        <v>16476</v>
      </c>
    </row>
    <row r="785">
      <c r="A785" s="93">
        <v>1375.0</v>
      </c>
      <c r="B785" s="92" t="s">
        <v>16654</v>
      </c>
      <c r="C785" s="92" t="s">
        <v>13343</v>
      </c>
      <c r="D785" s="92" t="s">
        <v>16044</v>
      </c>
      <c r="E785" s="94">
        <v>45113.55438657408</v>
      </c>
      <c r="F785" s="94">
        <v>45961.8516087963</v>
      </c>
      <c r="G785" s="90">
        <v>45907.97185185185</v>
      </c>
      <c r="H785" s="1" t="s">
        <v>16476</v>
      </c>
    </row>
    <row r="786">
      <c r="A786" s="93">
        <v>2207.0</v>
      </c>
      <c r="B786" s="92" t="s">
        <v>18865</v>
      </c>
      <c r="C786" s="92" t="s">
        <v>18866</v>
      </c>
      <c r="D786" s="92" t="s">
        <v>18765</v>
      </c>
      <c r="E786" s="94">
        <v>45678.839583333334</v>
      </c>
      <c r="F786" s="94">
        <v>45959.047847222224</v>
      </c>
      <c r="G786" s="90">
        <v>45907.97162037037</v>
      </c>
      <c r="H786" s="1" t="s">
        <v>16476</v>
      </c>
    </row>
    <row r="787">
      <c r="A787" s="93">
        <v>130.0</v>
      </c>
      <c r="B787" s="92" t="s">
        <v>18690</v>
      </c>
      <c r="C787" s="92" t="s">
        <v>1161</v>
      </c>
      <c r="D787" s="92" t="s">
        <v>18765</v>
      </c>
      <c r="E787" s="94">
        <v>45113.53759259259</v>
      </c>
      <c r="F787" s="94">
        <v>45955.38752314815</v>
      </c>
      <c r="G787" s="90">
        <v>45907.97138888889</v>
      </c>
      <c r="H787" s="1" t="s">
        <v>16476</v>
      </c>
    </row>
    <row r="788">
      <c r="A788" s="93">
        <v>2370.0</v>
      </c>
      <c r="B788" s="92" t="s">
        <v>18867</v>
      </c>
      <c r="C788" s="92" t="s">
        <v>18868</v>
      </c>
      <c r="D788" s="92" t="s">
        <v>18765</v>
      </c>
      <c r="E788" s="94">
        <v>45887.98925925926</v>
      </c>
      <c r="F788" s="94">
        <v>45950.914930555555</v>
      </c>
      <c r="G788" s="90">
        <v>45907.97109953704</v>
      </c>
      <c r="H788" s="1" t="s">
        <v>16476</v>
      </c>
    </row>
    <row r="789">
      <c r="A789" s="93">
        <v>2376.0</v>
      </c>
      <c r="B789" s="92" t="s">
        <v>18858</v>
      </c>
      <c r="C789" s="92" t="s">
        <v>18869</v>
      </c>
      <c r="D789" s="92" t="s">
        <v>18829</v>
      </c>
      <c r="E789" s="94">
        <v>45916.56269675926</v>
      </c>
      <c r="F789" s="94">
        <v>45950.68287037037</v>
      </c>
      <c r="G789" s="90">
        <v>45907.97042824074</v>
      </c>
      <c r="H789" s="1" t="s">
        <v>16476</v>
      </c>
    </row>
    <row r="790">
      <c r="A790" s="93">
        <v>2393.0</v>
      </c>
      <c r="B790" s="92" t="s">
        <v>18693</v>
      </c>
      <c r="C790" s="92" t="s">
        <v>18870</v>
      </c>
      <c r="D790" s="92" t="s">
        <v>18765</v>
      </c>
      <c r="E790" s="94">
        <v>45943.63623842593</v>
      </c>
      <c r="F790" s="94">
        <v>45943.66211805555</v>
      </c>
      <c r="G790" s="90">
        <v>45907.961435185185</v>
      </c>
      <c r="H790" s="1" t="s">
        <v>16476</v>
      </c>
    </row>
    <row r="791">
      <c r="A791" s="93">
        <v>2382.0</v>
      </c>
      <c r="B791" s="92" t="s">
        <v>18695</v>
      </c>
      <c r="C791" s="92" t="s">
        <v>18871</v>
      </c>
      <c r="D791" s="92" t="s">
        <v>18765</v>
      </c>
      <c r="E791" s="94">
        <v>45938.6709837963</v>
      </c>
      <c r="F791" s="94">
        <v>45943.66135416667</v>
      </c>
      <c r="G791" s="90">
        <v>45907.96105324074</v>
      </c>
      <c r="H791" s="1" t="s">
        <v>16476</v>
      </c>
    </row>
    <row r="792">
      <c r="A792" s="93">
        <v>2371.0</v>
      </c>
      <c r="B792" s="92" t="s">
        <v>18867</v>
      </c>
      <c r="C792" s="92" t="s">
        <v>18872</v>
      </c>
      <c r="D792" s="92" t="s">
        <v>16044</v>
      </c>
      <c r="E792" s="94">
        <v>45887.99074074074</v>
      </c>
      <c r="F792" s="94">
        <v>45938.689375</v>
      </c>
      <c r="G792" s="90">
        <v>45907.96053240741</v>
      </c>
      <c r="H792" s="1" t="s">
        <v>16476</v>
      </c>
    </row>
    <row r="793">
      <c r="A793" s="93">
        <v>2242.0</v>
      </c>
      <c r="B793" s="92" t="s">
        <v>18873</v>
      </c>
      <c r="C793" s="92" t="s">
        <v>18874</v>
      </c>
      <c r="D793" s="92" t="s">
        <v>18765</v>
      </c>
      <c r="E793" s="94">
        <v>45721.91395833333</v>
      </c>
      <c r="F793" s="94">
        <v>45929.6853125</v>
      </c>
      <c r="G793" s="90">
        <v>45907.960277777776</v>
      </c>
      <c r="H793" s="1" t="s">
        <v>16476</v>
      </c>
    </row>
    <row r="794">
      <c r="A794" s="93">
        <v>2380.0</v>
      </c>
      <c r="B794" s="92" t="s">
        <v>18697</v>
      </c>
      <c r="C794" s="92" t="s">
        <v>18875</v>
      </c>
      <c r="D794" s="92" t="s">
        <v>18765</v>
      </c>
      <c r="E794" s="94">
        <v>45925.55925925926</v>
      </c>
      <c r="F794" s="94">
        <v>45925.559479166666</v>
      </c>
      <c r="G794" s="90">
        <v>45907.9597337963</v>
      </c>
      <c r="H794" s="1" t="s">
        <v>16476</v>
      </c>
    </row>
    <row r="795">
      <c r="A795" s="93">
        <v>2379.0</v>
      </c>
      <c r="B795" s="92" t="s">
        <v>18697</v>
      </c>
      <c r="C795" s="92" t="s">
        <v>18876</v>
      </c>
      <c r="D795" s="92" t="s">
        <v>18877</v>
      </c>
      <c r="E795" s="94">
        <v>45925.54697916667</v>
      </c>
      <c r="F795" s="94">
        <v>45925.54717592592</v>
      </c>
      <c r="G795" s="90">
        <v>45907.95945601852</v>
      </c>
      <c r="H795" s="1" t="s">
        <v>16476</v>
      </c>
    </row>
    <row r="796">
      <c r="A796" s="93">
        <v>2378.0</v>
      </c>
      <c r="B796" s="92" t="s">
        <v>18878</v>
      </c>
      <c r="C796" s="92" t="s">
        <v>18879</v>
      </c>
      <c r="D796" s="92" t="s">
        <v>18765</v>
      </c>
      <c r="E796" s="94">
        <v>45925.54384259259</v>
      </c>
      <c r="F796" s="94">
        <v>45925.54420138889</v>
      </c>
      <c r="G796" s="90">
        <v>45907.95891203704</v>
      </c>
      <c r="H796" s="1" t="s">
        <v>16476</v>
      </c>
    </row>
    <row r="797">
      <c r="A797" s="93">
        <v>1386.0</v>
      </c>
      <c r="B797" s="92" t="s">
        <v>16656</v>
      </c>
      <c r="C797" s="92" t="s">
        <v>7049</v>
      </c>
      <c r="D797" s="92" t="s">
        <v>16044</v>
      </c>
      <c r="E797" s="94">
        <v>45113.55454861111</v>
      </c>
      <c r="F797" s="94">
        <v>45924.86966435185</v>
      </c>
      <c r="G797" s="90">
        <v>45907.95858796296</v>
      </c>
      <c r="H797" s="1" t="s">
        <v>16476</v>
      </c>
    </row>
    <row r="798">
      <c r="A798" s="93">
        <v>1522.0</v>
      </c>
      <c r="B798" s="92" t="s">
        <v>16657</v>
      </c>
      <c r="C798" s="92" t="s">
        <v>7749</v>
      </c>
      <c r="D798" s="92" t="s">
        <v>16044</v>
      </c>
      <c r="E798" s="94">
        <v>45113.55652777778</v>
      </c>
      <c r="F798" s="94">
        <v>45924.867939814816</v>
      </c>
      <c r="G798" s="90">
        <v>45907.95800925926</v>
      </c>
      <c r="H798" s="1" t="s">
        <v>16476</v>
      </c>
    </row>
    <row r="799">
      <c r="A799" s="93">
        <v>585.0</v>
      </c>
      <c r="B799" s="92" t="s">
        <v>16658</v>
      </c>
      <c r="C799" s="92" t="s">
        <v>14190</v>
      </c>
      <c r="D799" s="92" t="s">
        <v>16044</v>
      </c>
      <c r="E799" s="94">
        <v>45113.54269675926</v>
      </c>
      <c r="F799" s="94">
        <v>45924.867627314816</v>
      </c>
      <c r="G799" s="90">
        <v>45907.95748842593</v>
      </c>
      <c r="H799" s="1" t="s">
        <v>16476</v>
      </c>
    </row>
    <row r="800">
      <c r="A800" s="93">
        <v>1515.0</v>
      </c>
      <c r="B800" s="92" t="s">
        <v>16659</v>
      </c>
      <c r="C800" s="92" t="s">
        <v>7596</v>
      </c>
      <c r="D800" s="92" t="s">
        <v>16044</v>
      </c>
      <c r="E800" s="94">
        <v>45113.556435185186</v>
      </c>
      <c r="F800" s="94">
        <v>45924.867164351854</v>
      </c>
      <c r="G800" s="90">
        <v>45907.95717592593</v>
      </c>
      <c r="H800" s="1" t="s">
        <v>16476</v>
      </c>
    </row>
    <row r="801">
      <c r="A801" s="93">
        <v>1198.0</v>
      </c>
      <c r="B801" s="92" t="s">
        <v>16660</v>
      </c>
      <c r="C801" s="92" t="s">
        <v>10145</v>
      </c>
      <c r="D801" s="92" t="s">
        <v>16044</v>
      </c>
      <c r="E801" s="94">
        <v>45113.55180555556</v>
      </c>
      <c r="F801" s="94">
        <v>45924.86645833333</v>
      </c>
      <c r="G801" s="90">
        <v>45907.95649305556</v>
      </c>
      <c r="H801" s="1" t="s">
        <v>16476</v>
      </c>
    </row>
    <row r="802">
      <c r="A802" s="93">
        <v>1870.0</v>
      </c>
      <c r="B802" s="92" t="s">
        <v>18880</v>
      </c>
      <c r="C802" s="92" t="s">
        <v>18881</v>
      </c>
      <c r="D802" s="92" t="s">
        <v>18787</v>
      </c>
      <c r="E802" s="94">
        <v>45259.635150462964</v>
      </c>
      <c r="F802" s="94">
        <v>45924.58965277778</v>
      </c>
      <c r="G802" s="90">
        <v>45907.956087962964</v>
      </c>
      <c r="H802" s="1" t="s">
        <v>16476</v>
      </c>
    </row>
    <row r="803">
      <c r="A803" s="93">
        <v>2319.0</v>
      </c>
      <c r="B803" s="92" t="s">
        <v>18867</v>
      </c>
      <c r="C803" s="92" t="s">
        <v>18882</v>
      </c>
      <c r="D803" s="92" t="s">
        <v>18877</v>
      </c>
      <c r="E803" s="94">
        <v>45839.92527777778</v>
      </c>
      <c r="F803" s="94">
        <v>45924.27002314815</v>
      </c>
      <c r="G803" s="90">
        <v>45907.95578703703</v>
      </c>
      <c r="H803" s="1" t="s">
        <v>16476</v>
      </c>
    </row>
    <row r="804">
      <c r="A804" s="93">
        <v>2362.0</v>
      </c>
      <c r="B804" s="92" t="s">
        <v>16661</v>
      </c>
      <c r="C804" s="92" t="s">
        <v>18883</v>
      </c>
      <c r="D804" s="92" t="s">
        <v>16044</v>
      </c>
      <c r="E804" s="94">
        <v>45853.6493287037</v>
      </c>
      <c r="F804" s="94">
        <v>45922.548483796294</v>
      </c>
      <c r="G804" s="90">
        <v>45907.9546875</v>
      </c>
      <c r="H804" s="1" t="s">
        <v>16476</v>
      </c>
    </row>
    <row r="805">
      <c r="A805" s="93">
        <v>2358.0</v>
      </c>
      <c r="B805" s="92" t="s">
        <v>16662</v>
      </c>
      <c r="C805" s="92" t="s">
        <v>18884</v>
      </c>
      <c r="D805" s="92" t="s">
        <v>16044</v>
      </c>
      <c r="E805" s="94">
        <v>45852.63853009259</v>
      </c>
      <c r="F805" s="94">
        <v>45922.51740740741</v>
      </c>
      <c r="G805" s="90">
        <v>45907.95410879629</v>
      </c>
      <c r="H805" s="1" t="s">
        <v>16476</v>
      </c>
    </row>
    <row r="806">
      <c r="A806" s="93">
        <v>1031.0</v>
      </c>
      <c r="B806" s="92" t="s">
        <v>16663</v>
      </c>
      <c r="C806" s="92" t="s">
        <v>5723</v>
      </c>
      <c r="D806" s="92" t="s">
        <v>16044</v>
      </c>
      <c r="E806" s="94">
        <v>45113.5493287037</v>
      </c>
      <c r="F806" s="94">
        <v>45922.51646990741</v>
      </c>
      <c r="G806" s="90">
        <v>45907.95377314815</v>
      </c>
      <c r="H806" s="1" t="s">
        <v>16476</v>
      </c>
    </row>
    <row r="807">
      <c r="A807" s="93">
        <v>2360.0</v>
      </c>
      <c r="B807" s="92" t="s">
        <v>16664</v>
      </c>
      <c r="C807" s="92" t="s">
        <v>18885</v>
      </c>
      <c r="D807" s="92" t="s">
        <v>16044</v>
      </c>
      <c r="E807" s="94">
        <v>45853.39586805556</v>
      </c>
      <c r="F807" s="94">
        <v>45922.50912037037</v>
      </c>
      <c r="G807" s="90">
        <v>45907.95302083333</v>
      </c>
      <c r="H807" s="1" t="s">
        <v>16476</v>
      </c>
    </row>
    <row r="808">
      <c r="A808" s="93">
        <v>2363.0</v>
      </c>
      <c r="B808" s="92" t="s">
        <v>16665</v>
      </c>
      <c r="C808" s="92" t="s">
        <v>18886</v>
      </c>
      <c r="D808" s="92" t="s">
        <v>16044</v>
      </c>
      <c r="E808" s="94">
        <v>45854.428611111114</v>
      </c>
      <c r="F808" s="94">
        <v>45922.503854166665</v>
      </c>
      <c r="G808" s="90">
        <v>45907.95275462963</v>
      </c>
      <c r="H808" s="1" t="s">
        <v>16476</v>
      </c>
    </row>
    <row r="809">
      <c r="A809" s="93">
        <v>2359.0</v>
      </c>
      <c r="B809" s="92" t="s">
        <v>16666</v>
      </c>
      <c r="C809" s="92" t="s">
        <v>18887</v>
      </c>
      <c r="D809" s="92" t="s">
        <v>16044</v>
      </c>
      <c r="E809" s="94">
        <v>45852.82659722222</v>
      </c>
      <c r="F809" s="94">
        <v>45922.50342592593</v>
      </c>
      <c r="G809" s="90">
        <v>45907.95248842592</v>
      </c>
      <c r="H809" s="1" t="s">
        <v>16476</v>
      </c>
    </row>
    <row r="810">
      <c r="A810" s="93">
        <v>2357.0</v>
      </c>
      <c r="B810" s="92" t="s">
        <v>16667</v>
      </c>
      <c r="C810" s="92" t="s">
        <v>18888</v>
      </c>
      <c r="D810" s="92" t="s">
        <v>16044</v>
      </c>
      <c r="E810" s="94">
        <v>45852.63726851852</v>
      </c>
      <c r="F810" s="94">
        <v>45922.484918981485</v>
      </c>
      <c r="G810" s="90">
        <v>45907.952210648145</v>
      </c>
      <c r="H810" s="1" t="s">
        <v>16476</v>
      </c>
    </row>
    <row r="811">
      <c r="A811" s="93">
        <v>2377.0</v>
      </c>
      <c r="B811" s="92" t="s">
        <v>18889</v>
      </c>
      <c r="C811" s="92" t="s">
        <v>18890</v>
      </c>
      <c r="D811" s="92" t="s">
        <v>18829</v>
      </c>
      <c r="E811" s="94">
        <v>45922.47321759259</v>
      </c>
      <c r="F811" s="94">
        <v>45922.47355324074</v>
      </c>
      <c r="G811" s="90">
        <v>45907.951631944445</v>
      </c>
      <c r="H811" s="1" t="s">
        <v>16476</v>
      </c>
    </row>
    <row r="812">
      <c r="A812" s="93">
        <v>1508.0</v>
      </c>
      <c r="B812" s="92" t="s">
        <v>16668</v>
      </c>
      <c r="C812" s="92" t="s">
        <v>11746</v>
      </c>
      <c r="D812" s="92" t="s">
        <v>16044</v>
      </c>
      <c r="E812" s="94">
        <v>45113.55633101852</v>
      </c>
      <c r="F812" s="94">
        <v>45920.93037037037</v>
      </c>
      <c r="G812" s="90">
        <v>45907.95141203704</v>
      </c>
      <c r="H812" s="1" t="s">
        <v>16476</v>
      </c>
    </row>
    <row r="813">
      <c r="A813" s="93">
        <v>894.0</v>
      </c>
      <c r="B813" s="92" t="s">
        <v>16669</v>
      </c>
      <c r="C813" s="92" t="s">
        <v>9704</v>
      </c>
      <c r="D813" s="92" t="s">
        <v>16044</v>
      </c>
      <c r="E813" s="94">
        <v>45113.547326388885</v>
      </c>
      <c r="F813" s="94">
        <v>45920.92644675926</v>
      </c>
      <c r="G813" s="90">
        <v>45907.95106481481</v>
      </c>
      <c r="H813" s="1" t="s">
        <v>16476</v>
      </c>
    </row>
    <row r="814">
      <c r="A814" s="93">
        <v>1227.0</v>
      </c>
      <c r="B814" s="92" t="s">
        <v>16670</v>
      </c>
      <c r="C814" s="92" t="s">
        <v>7637</v>
      </c>
      <c r="D814" s="92" t="s">
        <v>16044</v>
      </c>
      <c r="E814" s="94">
        <v>45113.55222222222</v>
      </c>
      <c r="F814" s="94">
        <v>45920.92434027778</v>
      </c>
      <c r="G814" s="90">
        <v>45907.95076388889</v>
      </c>
      <c r="H814" s="1" t="s">
        <v>16476</v>
      </c>
    </row>
    <row r="815">
      <c r="A815" s="93">
        <v>1398.0</v>
      </c>
      <c r="B815" s="92" t="s">
        <v>16671</v>
      </c>
      <c r="C815" s="92" t="s">
        <v>12399</v>
      </c>
      <c r="D815" s="92" t="s">
        <v>16044</v>
      </c>
      <c r="E815" s="94">
        <v>45113.55472222222</v>
      </c>
      <c r="F815" s="94">
        <v>45920.92398148148</v>
      </c>
      <c r="G815" s="90">
        <v>45907.95025462963</v>
      </c>
      <c r="H815" s="1" t="s">
        <v>16476</v>
      </c>
    </row>
    <row r="816">
      <c r="A816" s="93">
        <v>888.0</v>
      </c>
      <c r="B816" s="92" t="s">
        <v>16672</v>
      </c>
      <c r="C816" s="92" t="s">
        <v>10114</v>
      </c>
      <c r="D816" s="92" t="s">
        <v>16044</v>
      </c>
      <c r="E816" s="94">
        <v>45113.54724537037</v>
      </c>
      <c r="F816" s="94">
        <v>45920.92335648148</v>
      </c>
      <c r="G816" s="90">
        <v>45907.94997685185</v>
      </c>
      <c r="H816" s="1" t="s">
        <v>16476</v>
      </c>
    </row>
    <row r="817">
      <c r="A817" s="93">
        <v>1026.0</v>
      </c>
      <c r="B817" s="92" t="s">
        <v>16673</v>
      </c>
      <c r="C817" s="92" t="s">
        <v>10329</v>
      </c>
      <c r="D817" s="92" t="s">
        <v>16044</v>
      </c>
      <c r="E817" s="94">
        <v>45113.549259259256</v>
      </c>
      <c r="F817" s="94">
        <v>45920.92273148148</v>
      </c>
      <c r="G817" s="90">
        <v>45907.94917824074</v>
      </c>
      <c r="H817" s="1" t="s">
        <v>16476</v>
      </c>
    </row>
    <row r="818">
      <c r="A818" s="93">
        <v>876.0</v>
      </c>
      <c r="B818" s="92" t="s">
        <v>16674</v>
      </c>
      <c r="C818" s="92" t="s">
        <v>10859</v>
      </c>
      <c r="D818" s="92" t="s">
        <v>16044</v>
      </c>
      <c r="E818" s="94">
        <v>45113.547060185185</v>
      </c>
      <c r="F818" s="94">
        <v>45920.9221875</v>
      </c>
      <c r="G818" s="90">
        <v>45907.947916666664</v>
      </c>
      <c r="H818" s="1" t="s">
        <v>16476</v>
      </c>
    </row>
    <row r="819">
      <c r="A819" s="93">
        <v>900.0</v>
      </c>
      <c r="B819" s="92" t="s">
        <v>16675</v>
      </c>
      <c r="C819" s="92" t="s">
        <v>11038</v>
      </c>
      <c r="D819" s="92" t="s">
        <v>16044</v>
      </c>
      <c r="E819" s="94">
        <v>45113.547418981485</v>
      </c>
      <c r="F819" s="94">
        <v>45920.92099537037</v>
      </c>
      <c r="G819" s="90">
        <v>45907.947546296295</v>
      </c>
      <c r="H819" s="1" t="s">
        <v>16476</v>
      </c>
    </row>
    <row r="820">
      <c r="A820" s="93">
        <v>1435.0</v>
      </c>
      <c r="B820" s="92" t="s">
        <v>16676</v>
      </c>
      <c r="C820" s="92" t="s">
        <v>6079</v>
      </c>
      <c r="D820" s="92" t="s">
        <v>16044</v>
      </c>
      <c r="E820" s="94">
        <v>45113.5552662037</v>
      </c>
      <c r="F820" s="94">
        <v>45920.91725694444</v>
      </c>
      <c r="G820" s="90">
        <v>45907.94726851852</v>
      </c>
      <c r="H820" s="1" t="s">
        <v>16476</v>
      </c>
    </row>
    <row r="821">
      <c r="A821" s="93">
        <v>1393.0</v>
      </c>
      <c r="B821" s="92" t="s">
        <v>16677</v>
      </c>
      <c r="C821" s="92" t="s">
        <v>6683</v>
      </c>
      <c r="D821" s="92" t="s">
        <v>16044</v>
      </c>
      <c r="E821" s="94">
        <v>45113.5546412037</v>
      </c>
      <c r="F821" s="94">
        <v>45920.91663194444</v>
      </c>
      <c r="G821" s="90">
        <v>45907.94701388889</v>
      </c>
      <c r="H821" s="1" t="s">
        <v>16476</v>
      </c>
    </row>
    <row r="822">
      <c r="A822" s="93">
        <v>1567.0</v>
      </c>
      <c r="B822" s="92" t="s">
        <v>16678</v>
      </c>
      <c r="C822" s="92" t="s">
        <v>6648</v>
      </c>
      <c r="D822" s="92" t="s">
        <v>16044</v>
      </c>
      <c r="E822" s="94">
        <v>45113.5571875</v>
      </c>
      <c r="F822" s="94">
        <v>45920.91373842592</v>
      </c>
      <c r="G822" s="90">
        <v>45907.94679398148</v>
      </c>
      <c r="H822" s="1" t="s">
        <v>16476</v>
      </c>
    </row>
    <row r="823">
      <c r="A823" s="93">
        <v>1446.0</v>
      </c>
      <c r="B823" s="92" t="s">
        <v>16679</v>
      </c>
      <c r="C823" s="92" t="s">
        <v>6559</v>
      </c>
      <c r="D823" s="92" t="s">
        <v>16044</v>
      </c>
      <c r="E823" s="94">
        <v>45113.55541666667</v>
      </c>
      <c r="F823" s="94">
        <v>45920.913298611114</v>
      </c>
      <c r="G823" s="90">
        <v>45907.946539351855</v>
      </c>
      <c r="H823" s="1" t="s">
        <v>16476</v>
      </c>
    </row>
    <row r="824">
      <c r="A824" s="93">
        <v>1498.0</v>
      </c>
      <c r="B824" s="92" t="s">
        <v>16680</v>
      </c>
      <c r="C824" s="92" t="s">
        <v>12427</v>
      </c>
      <c r="D824" s="92" t="s">
        <v>16044</v>
      </c>
      <c r="E824" s="94">
        <v>45113.556180555555</v>
      </c>
      <c r="F824" s="94">
        <v>45920.91284722222</v>
      </c>
      <c r="G824" s="90">
        <v>45907.94626157408</v>
      </c>
      <c r="H824" s="1" t="s">
        <v>16476</v>
      </c>
    </row>
    <row r="825">
      <c r="A825" s="93">
        <v>1141.0</v>
      </c>
      <c r="B825" s="92" t="s">
        <v>16681</v>
      </c>
      <c r="C825" s="92" t="s">
        <v>10487</v>
      </c>
      <c r="D825" s="92" t="s">
        <v>16044</v>
      </c>
      <c r="E825" s="94">
        <v>45113.55097222222</v>
      </c>
      <c r="F825" s="94">
        <v>45920.91206018518</v>
      </c>
      <c r="G825" s="90">
        <v>45907.94584490741</v>
      </c>
      <c r="H825" s="1" t="s">
        <v>16476</v>
      </c>
    </row>
    <row r="826">
      <c r="A826" s="93">
        <v>1644.0</v>
      </c>
      <c r="B826" s="92" t="s">
        <v>16682</v>
      </c>
      <c r="C826" s="92" t="s">
        <v>6015</v>
      </c>
      <c r="D826" s="92" t="s">
        <v>16044</v>
      </c>
      <c r="E826" s="94">
        <v>45113.55832175926</v>
      </c>
      <c r="F826" s="94">
        <v>45920.90917824074</v>
      </c>
      <c r="G826" s="90">
        <v>45907.945439814815</v>
      </c>
      <c r="H826" s="1" t="s">
        <v>16476</v>
      </c>
    </row>
    <row r="827">
      <c r="A827" s="93">
        <v>1575.0</v>
      </c>
      <c r="B827" s="92" t="s">
        <v>16683</v>
      </c>
      <c r="C827" s="92" t="s">
        <v>6534</v>
      </c>
      <c r="D827" s="92" t="s">
        <v>16044</v>
      </c>
      <c r="E827" s="94">
        <v>45113.55730324074</v>
      </c>
      <c r="F827" s="94">
        <v>45920.90855324074</v>
      </c>
      <c r="G827" s="90">
        <v>45907.94511574074</v>
      </c>
      <c r="H827" s="1" t="s">
        <v>16476</v>
      </c>
    </row>
    <row r="828">
      <c r="A828" s="93">
        <v>1642.0</v>
      </c>
      <c r="B828" s="92" t="s">
        <v>16684</v>
      </c>
      <c r="C828" s="92" t="s">
        <v>9233</v>
      </c>
      <c r="D828" s="92" t="s">
        <v>16044</v>
      </c>
      <c r="E828" s="94">
        <v>45113.55829861111</v>
      </c>
      <c r="F828" s="94">
        <v>45920.907164351855</v>
      </c>
      <c r="G828" s="90">
        <v>45907.944768518515</v>
      </c>
      <c r="H828" s="1" t="s">
        <v>16476</v>
      </c>
    </row>
    <row r="829">
      <c r="A829" s="93">
        <v>737.0</v>
      </c>
      <c r="B829" s="92" t="s">
        <v>16685</v>
      </c>
      <c r="C829" s="92" t="s">
        <v>6023</v>
      </c>
      <c r="D829" s="92" t="s">
        <v>16044</v>
      </c>
      <c r="E829" s="94">
        <v>45113.545011574075</v>
      </c>
      <c r="F829" s="94">
        <v>45920.905590277776</v>
      </c>
      <c r="G829" s="90">
        <v>45907.94447916667</v>
      </c>
      <c r="H829" s="1" t="s">
        <v>16476</v>
      </c>
    </row>
    <row r="830">
      <c r="A830" s="93">
        <v>1633.0</v>
      </c>
      <c r="B830" s="92" t="s">
        <v>16686</v>
      </c>
      <c r="C830" s="92" t="s">
        <v>10495</v>
      </c>
      <c r="D830" s="92" t="s">
        <v>16044</v>
      </c>
      <c r="E830" s="94">
        <v>45113.558171296296</v>
      </c>
      <c r="F830" s="94">
        <v>45920.90516203704</v>
      </c>
      <c r="G830" s="90">
        <v>45907.94421296296</v>
      </c>
      <c r="H830" s="1" t="s">
        <v>16476</v>
      </c>
    </row>
    <row r="831">
      <c r="A831" s="93">
        <v>1690.0</v>
      </c>
      <c r="B831" s="92" t="s">
        <v>16687</v>
      </c>
      <c r="C831" s="92" t="s">
        <v>6044</v>
      </c>
      <c r="D831" s="92" t="s">
        <v>16044</v>
      </c>
      <c r="E831" s="94">
        <v>45113.55899305556</v>
      </c>
      <c r="F831" s="94">
        <v>45920.9040625</v>
      </c>
      <c r="G831" s="90">
        <v>45907.943402777775</v>
      </c>
      <c r="H831" s="1" t="s">
        <v>16476</v>
      </c>
    </row>
    <row r="832">
      <c r="A832" s="93">
        <v>1289.0</v>
      </c>
      <c r="B832" s="92" t="s">
        <v>16688</v>
      </c>
      <c r="C832" s="92" t="s">
        <v>8790</v>
      </c>
      <c r="D832" s="92" t="s">
        <v>16044</v>
      </c>
      <c r="E832" s="94">
        <v>45113.553125</v>
      </c>
      <c r="F832" s="94">
        <v>45920.9009375</v>
      </c>
      <c r="G832" s="90">
        <v>45907.941782407404</v>
      </c>
      <c r="H832" s="1" t="s">
        <v>16476</v>
      </c>
    </row>
    <row r="833">
      <c r="A833" s="93">
        <v>1100.0</v>
      </c>
      <c r="B833" s="92" t="s">
        <v>16689</v>
      </c>
      <c r="C833" s="92" t="s">
        <v>6064</v>
      </c>
      <c r="D833" s="92" t="s">
        <v>16044</v>
      </c>
      <c r="E833" s="94">
        <v>45113.550358796296</v>
      </c>
      <c r="F833" s="94">
        <v>45920.899363425924</v>
      </c>
      <c r="G833" s="90">
        <v>45907.94112268519</v>
      </c>
      <c r="H833" s="1" t="s">
        <v>16476</v>
      </c>
    </row>
    <row r="834">
      <c r="A834" s="93">
        <v>782.0</v>
      </c>
      <c r="B834" s="92" t="s">
        <v>16690</v>
      </c>
      <c r="C834" s="92" t="s">
        <v>8782</v>
      </c>
      <c r="D834" s="92" t="s">
        <v>16044</v>
      </c>
      <c r="E834" s="94">
        <v>45113.5456712963</v>
      </c>
      <c r="F834" s="94">
        <v>45920.8987037037</v>
      </c>
      <c r="G834" s="90">
        <v>45907.94090277778</v>
      </c>
      <c r="H834" s="1" t="s">
        <v>16476</v>
      </c>
    </row>
    <row r="835">
      <c r="A835" s="93">
        <v>1565.0</v>
      </c>
      <c r="B835" s="92" t="s">
        <v>18891</v>
      </c>
      <c r="C835" s="92" t="s">
        <v>10679</v>
      </c>
      <c r="D835" s="92" t="s">
        <v>16044</v>
      </c>
      <c r="E835" s="94">
        <v>45113.55716435185</v>
      </c>
      <c r="F835" s="94">
        <v>45920.89800925926</v>
      </c>
      <c r="G835" s="90">
        <v>45907.9262962963</v>
      </c>
      <c r="H835" s="1" t="s">
        <v>16476</v>
      </c>
    </row>
    <row r="836">
      <c r="A836" s="93">
        <v>1692.0</v>
      </c>
      <c r="B836" s="92" t="s">
        <v>16692</v>
      </c>
      <c r="C836" s="92" t="s">
        <v>5994</v>
      </c>
      <c r="D836" s="92" t="s">
        <v>16044</v>
      </c>
      <c r="E836" s="94">
        <v>45113.55902777778</v>
      </c>
      <c r="F836" s="94">
        <v>45920.89753472222</v>
      </c>
      <c r="G836" s="90">
        <v>45907.9012037037</v>
      </c>
      <c r="H836" s="1" t="s">
        <v>16476</v>
      </c>
    </row>
    <row r="837">
      <c r="A837" s="93">
        <v>1670.0</v>
      </c>
      <c r="B837" s="92" t="s">
        <v>16693</v>
      </c>
      <c r="C837" s="92" t="s">
        <v>12407</v>
      </c>
      <c r="D837" s="92" t="s">
        <v>16044</v>
      </c>
      <c r="E837" s="94">
        <v>45113.558703703704</v>
      </c>
      <c r="F837" s="94">
        <v>45920.897152777776</v>
      </c>
      <c r="G837" s="90">
        <v>45907.73909722222</v>
      </c>
      <c r="H837" s="1" t="s">
        <v>16476</v>
      </c>
    </row>
    <row r="838">
      <c r="A838" s="93">
        <v>1150.0</v>
      </c>
      <c r="B838" s="92" t="s">
        <v>16694</v>
      </c>
      <c r="C838" s="92" t="s">
        <v>6148</v>
      </c>
      <c r="D838" s="92" t="s">
        <v>16044</v>
      </c>
      <c r="E838" s="94">
        <v>45113.551099537035</v>
      </c>
      <c r="F838" s="94">
        <v>45920.89628472222</v>
      </c>
      <c r="G838" s="90">
        <v>45907.73880787037</v>
      </c>
      <c r="H838" s="1" t="s">
        <v>16476</v>
      </c>
    </row>
    <row r="839">
      <c r="A839" s="93">
        <v>1187.0</v>
      </c>
      <c r="B839" s="92" t="s">
        <v>16695</v>
      </c>
      <c r="C839" s="92" t="s">
        <v>10307</v>
      </c>
      <c r="D839" s="92" t="s">
        <v>16044</v>
      </c>
      <c r="E839" s="94">
        <v>45113.55164351852</v>
      </c>
      <c r="F839" s="94">
        <v>45920.895949074074</v>
      </c>
      <c r="G839" s="90">
        <v>45907.73855324074</v>
      </c>
      <c r="H839" s="1" t="s">
        <v>16476</v>
      </c>
    </row>
    <row r="840">
      <c r="A840" s="93">
        <v>1241.0</v>
      </c>
      <c r="B840" s="92" t="s">
        <v>16696</v>
      </c>
      <c r="C840" s="92" t="s">
        <v>6324</v>
      </c>
      <c r="D840" s="92" t="s">
        <v>16044</v>
      </c>
      <c r="E840" s="94">
        <v>45113.55243055556</v>
      </c>
      <c r="F840" s="94">
        <v>45920.89472222222</v>
      </c>
      <c r="G840" s="90">
        <v>45907.738287037035</v>
      </c>
      <c r="H840" s="1" t="s">
        <v>16476</v>
      </c>
    </row>
    <row r="841">
      <c r="A841" s="93">
        <v>1039.0</v>
      </c>
      <c r="B841" s="92" t="s">
        <v>16697</v>
      </c>
      <c r="C841" s="92" t="s">
        <v>5767</v>
      </c>
      <c r="D841" s="92" t="s">
        <v>16044</v>
      </c>
      <c r="E841" s="94">
        <v>45113.54944444444</v>
      </c>
      <c r="F841" s="94">
        <v>45920.89431712963</v>
      </c>
      <c r="G841" s="90">
        <v>45907.73804398148</v>
      </c>
      <c r="H841" s="1" t="s">
        <v>16476</v>
      </c>
    </row>
    <row r="842">
      <c r="A842" s="93">
        <v>812.0</v>
      </c>
      <c r="B842" s="92" t="s">
        <v>16698</v>
      </c>
      <c r="C842" s="92" t="s">
        <v>10174</v>
      </c>
      <c r="D842" s="92" t="s">
        <v>16044</v>
      </c>
      <c r="E842" s="94">
        <v>45113.546111111114</v>
      </c>
      <c r="F842" s="94">
        <v>45920.8934375</v>
      </c>
      <c r="G842" s="90">
        <v>45907.73777777778</v>
      </c>
      <c r="H842" s="1" t="s">
        <v>16476</v>
      </c>
    </row>
    <row r="843">
      <c r="A843" s="93">
        <v>1684.0</v>
      </c>
      <c r="B843" s="92" t="s">
        <v>16699</v>
      </c>
      <c r="C843" s="92" t="s">
        <v>5834</v>
      </c>
      <c r="D843" s="92" t="s">
        <v>16044</v>
      </c>
      <c r="E843" s="94">
        <v>45113.558912037035</v>
      </c>
      <c r="F843" s="94">
        <v>45920.8927662037</v>
      </c>
      <c r="G843" s="90">
        <v>45907.73700231482</v>
      </c>
      <c r="H843" s="1" t="s">
        <v>16476</v>
      </c>
    </row>
    <row r="844">
      <c r="A844" s="93">
        <v>798.0</v>
      </c>
      <c r="B844" s="92" t="s">
        <v>16700</v>
      </c>
      <c r="C844" s="92" t="s">
        <v>11577</v>
      </c>
      <c r="D844" s="92" t="s">
        <v>16044</v>
      </c>
      <c r="E844" s="94">
        <v>45113.545902777776</v>
      </c>
      <c r="F844" s="94">
        <v>45920.89163194445</v>
      </c>
      <c r="G844" s="90">
        <v>45907.72599537037</v>
      </c>
      <c r="H844" s="1" t="s">
        <v>16476</v>
      </c>
    </row>
    <row r="845">
      <c r="A845" s="93">
        <v>1058.0</v>
      </c>
      <c r="B845" s="92" t="s">
        <v>16701</v>
      </c>
      <c r="C845" s="92" t="s">
        <v>10039</v>
      </c>
      <c r="D845" s="92" t="s">
        <v>16044</v>
      </c>
      <c r="E845" s="94">
        <v>45113.549722222226</v>
      </c>
      <c r="F845" s="94">
        <v>45920.87703703704</v>
      </c>
      <c r="G845" s="90">
        <v>45907.72571759259</v>
      </c>
      <c r="H845" s="1" t="s">
        <v>16476</v>
      </c>
    </row>
    <row r="846">
      <c r="A846" s="93">
        <v>610.0</v>
      </c>
      <c r="B846" s="92" t="s">
        <v>16702</v>
      </c>
      <c r="C846" s="92" t="s">
        <v>6574</v>
      </c>
      <c r="D846" s="92" t="s">
        <v>16044</v>
      </c>
      <c r="E846" s="94">
        <v>45113.54306712963</v>
      </c>
      <c r="F846" s="94">
        <v>45920.876655092594</v>
      </c>
      <c r="G846" s="90">
        <v>45907.72534722222</v>
      </c>
      <c r="H846" s="1" t="s">
        <v>16476</v>
      </c>
    </row>
    <row r="847">
      <c r="A847" s="93">
        <v>541.0</v>
      </c>
      <c r="B847" s="92" t="s">
        <v>16703</v>
      </c>
      <c r="C847" s="92" t="s">
        <v>5977</v>
      </c>
      <c r="D847" s="92" t="s">
        <v>16044</v>
      </c>
      <c r="E847" s="94">
        <v>45113.54206018519</v>
      </c>
      <c r="F847" s="94">
        <v>45920.876122685186</v>
      </c>
      <c r="G847" s="90">
        <v>45907.72447916667</v>
      </c>
      <c r="H847" s="1" t="s">
        <v>16476</v>
      </c>
    </row>
    <row r="848">
      <c r="A848" s="93">
        <v>1659.0</v>
      </c>
      <c r="B848" s="92" t="s">
        <v>16704</v>
      </c>
      <c r="C848" s="92" t="s">
        <v>6155</v>
      </c>
      <c r="D848" s="92" t="s">
        <v>16044</v>
      </c>
      <c r="E848" s="94">
        <v>45113.558541666665</v>
      </c>
      <c r="F848" s="94">
        <v>45920.87399305555</v>
      </c>
      <c r="G848" s="90">
        <v>45907.724178240744</v>
      </c>
      <c r="H848" s="1" t="s">
        <v>16476</v>
      </c>
    </row>
    <row r="849">
      <c r="A849" s="93">
        <v>1652.0</v>
      </c>
      <c r="B849" s="92" t="s">
        <v>16705</v>
      </c>
      <c r="C849" s="92" t="s">
        <v>10160</v>
      </c>
      <c r="D849" s="92" t="s">
        <v>16044</v>
      </c>
      <c r="E849" s="94">
        <v>45113.5584375</v>
      </c>
      <c r="F849" s="94">
        <v>45920.87289351852</v>
      </c>
      <c r="G849" s="90">
        <v>45907.723807870374</v>
      </c>
      <c r="H849" s="1" t="s">
        <v>16476</v>
      </c>
    </row>
    <row r="850">
      <c r="A850" s="93">
        <v>1224.0</v>
      </c>
      <c r="B850" s="92" t="s">
        <v>16706</v>
      </c>
      <c r="C850" s="92" t="s">
        <v>6172</v>
      </c>
      <c r="D850" s="92" t="s">
        <v>16044</v>
      </c>
      <c r="E850" s="94">
        <v>45113.55217592593</v>
      </c>
      <c r="F850" s="94">
        <v>45920.872152777774</v>
      </c>
      <c r="G850" s="90">
        <v>45907.72347222222</v>
      </c>
      <c r="H850" s="1" t="s">
        <v>16476</v>
      </c>
    </row>
    <row r="851">
      <c r="A851" s="93">
        <v>852.0</v>
      </c>
      <c r="B851" s="92" t="s">
        <v>16707</v>
      </c>
      <c r="C851" s="92" t="s">
        <v>7143</v>
      </c>
      <c r="D851" s="92" t="s">
        <v>16044</v>
      </c>
      <c r="E851" s="94">
        <v>45113.54671296296</v>
      </c>
      <c r="F851" s="94">
        <v>45920.87174768518</v>
      </c>
      <c r="G851" s="90">
        <v>45907.72304398148</v>
      </c>
      <c r="H851" s="1" t="s">
        <v>16476</v>
      </c>
    </row>
    <row r="852">
      <c r="A852" s="93">
        <v>1447.0</v>
      </c>
      <c r="B852" s="92" t="s">
        <v>16708</v>
      </c>
      <c r="C852" s="92" t="s">
        <v>10231</v>
      </c>
      <c r="D852" s="92" t="s">
        <v>16044</v>
      </c>
      <c r="E852" s="94">
        <v>45113.555439814816</v>
      </c>
      <c r="F852" s="94">
        <v>45920.87128472222</v>
      </c>
      <c r="G852" s="90">
        <v>45907.72200231482</v>
      </c>
      <c r="H852" s="1" t="s">
        <v>16476</v>
      </c>
    </row>
    <row r="853">
      <c r="A853" s="93">
        <v>769.0</v>
      </c>
      <c r="B853" s="92" t="s">
        <v>16709</v>
      </c>
      <c r="C853" s="92" t="s">
        <v>10087</v>
      </c>
      <c r="D853" s="92" t="s">
        <v>16044</v>
      </c>
      <c r="E853" s="94">
        <v>45113.545486111114</v>
      </c>
      <c r="F853" s="94">
        <v>45920.87081018519</v>
      </c>
      <c r="G853" s="90">
        <v>45907.72145833333</v>
      </c>
      <c r="H853" s="1" t="s">
        <v>16476</v>
      </c>
    </row>
    <row r="854">
      <c r="A854" s="93">
        <v>1665.0</v>
      </c>
      <c r="B854" s="92" t="s">
        <v>8979</v>
      </c>
      <c r="C854" s="92" t="s">
        <v>8976</v>
      </c>
      <c r="D854" s="92" t="s">
        <v>16044</v>
      </c>
      <c r="E854" s="94">
        <v>45113.55863425926</v>
      </c>
      <c r="F854" s="94">
        <v>45920.86991898148</v>
      </c>
      <c r="G854" s="90">
        <v>45907.72115740741</v>
      </c>
      <c r="H854" s="1" t="s">
        <v>16476</v>
      </c>
    </row>
    <row r="855">
      <c r="A855" s="93">
        <v>1470.0</v>
      </c>
      <c r="B855" s="92" t="s">
        <v>16710</v>
      </c>
      <c r="C855" s="92" t="s">
        <v>9359</v>
      </c>
      <c r="D855" s="92" t="s">
        <v>16044</v>
      </c>
      <c r="E855" s="94">
        <v>45113.55577546296</v>
      </c>
      <c r="F855" s="94">
        <v>45920.00387731481</v>
      </c>
      <c r="G855" s="90">
        <v>45907.72087962963</v>
      </c>
      <c r="H855" s="1" t="s">
        <v>16476</v>
      </c>
    </row>
    <row r="856">
      <c r="A856" s="93">
        <v>1691.0</v>
      </c>
      <c r="B856" s="92" t="s">
        <v>16711</v>
      </c>
      <c r="C856" s="92" t="s">
        <v>6031</v>
      </c>
      <c r="D856" s="92" t="s">
        <v>16044</v>
      </c>
      <c r="E856" s="94">
        <v>45113.55900462963</v>
      </c>
      <c r="F856" s="94">
        <v>45920.00320601852</v>
      </c>
      <c r="G856" s="90">
        <v>45907.720555555556</v>
      </c>
      <c r="H856" s="1" t="s">
        <v>16476</v>
      </c>
    </row>
    <row r="857">
      <c r="A857" s="93">
        <v>568.0</v>
      </c>
      <c r="B857" s="92" t="s">
        <v>16712</v>
      </c>
      <c r="C857" s="92" t="s">
        <v>8384</v>
      </c>
      <c r="D857" s="92" t="s">
        <v>16044</v>
      </c>
      <c r="E857" s="94">
        <v>45113.5424537037</v>
      </c>
      <c r="F857" s="94">
        <v>45920.00226851852</v>
      </c>
      <c r="G857" s="90">
        <v>45907.720289351855</v>
      </c>
      <c r="H857" s="1" t="s">
        <v>16476</v>
      </c>
    </row>
    <row r="858">
      <c r="A858" s="93">
        <v>1598.0</v>
      </c>
      <c r="B858" s="92" t="s">
        <v>16713</v>
      </c>
      <c r="C858" s="92" t="s">
        <v>6595</v>
      </c>
      <c r="D858" s="92" t="s">
        <v>16044</v>
      </c>
      <c r="E858" s="94">
        <v>45113.557662037034</v>
      </c>
      <c r="F858" s="94">
        <v>45920.00148148148</v>
      </c>
      <c r="G858" s="90">
        <v>45907.719872685186</v>
      </c>
      <c r="H858" s="1" t="s">
        <v>16476</v>
      </c>
    </row>
    <row r="859">
      <c r="A859" s="93">
        <v>1099.0</v>
      </c>
      <c r="B859" s="92" t="s">
        <v>16714</v>
      </c>
      <c r="C859" s="92" t="s">
        <v>11162</v>
      </c>
      <c r="D859" s="92" t="s">
        <v>16044</v>
      </c>
      <c r="E859" s="94">
        <v>45113.55033564815</v>
      </c>
      <c r="F859" s="94">
        <v>45920.00103009259</v>
      </c>
      <c r="G859" s="90">
        <v>45907.71952546296</v>
      </c>
      <c r="H859" s="1" t="s">
        <v>16476</v>
      </c>
    </row>
    <row r="860">
      <c r="A860" s="93">
        <v>928.0</v>
      </c>
      <c r="B860" s="92" t="s">
        <v>16715</v>
      </c>
      <c r="C860" s="92" t="s">
        <v>6624</v>
      </c>
      <c r="D860" s="92" t="s">
        <v>16044</v>
      </c>
      <c r="E860" s="94">
        <v>45113.54782407408</v>
      </c>
      <c r="F860" s="94">
        <v>45919.99560185185</v>
      </c>
      <c r="G860" s="90">
        <v>45907.71925925926</v>
      </c>
      <c r="H860" s="1" t="s">
        <v>16476</v>
      </c>
    </row>
    <row r="861">
      <c r="A861" s="93">
        <v>1611.0</v>
      </c>
      <c r="B861" s="92" t="s">
        <v>16716</v>
      </c>
      <c r="C861" s="92" t="s">
        <v>10445</v>
      </c>
      <c r="D861" s="92" t="s">
        <v>16044</v>
      </c>
      <c r="E861" s="94">
        <v>45113.557858796295</v>
      </c>
      <c r="F861" s="94">
        <v>45919.98489583333</v>
      </c>
      <c r="G861" s="90">
        <v>45907.71890046296</v>
      </c>
      <c r="H861" s="1" t="s">
        <v>16476</v>
      </c>
    </row>
    <row r="862">
      <c r="A862" s="93">
        <v>1463.0</v>
      </c>
      <c r="B862" s="92" t="s">
        <v>16717</v>
      </c>
      <c r="C862" s="92" t="s">
        <v>7794</v>
      </c>
      <c r="D862" s="92" t="s">
        <v>16044</v>
      </c>
      <c r="E862" s="94">
        <v>45113.55567129629</v>
      </c>
      <c r="F862" s="94">
        <v>45919.98373842592</v>
      </c>
      <c r="G862" s="90">
        <v>45907.718564814815</v>
      </c>
      <c r="H862" s="1" t="s">
        <v>16476</v>
      </c>
    </row>
    <row r="863">
      <c r="A863" s="93">
        <v>1683.0</v>
      </c>
      <c r="B863" s="92" t="s">
        <v>16718</v>
      </c>
      <c r="C863" s="92" t="s">
        <v>5969</v>
      </c>
      <c r="D863" s="92" t="s">
        <v>16044</v>
      </c>
      <c r="E863" s="94">
        <v>45113.55888888889</v>
      </c>
      <c r="F863" s="94">
        <v>45919.98292824074</v>
      </c>
      <c r="G863" s="90">
        <v>45907.71758101852</v>
      </c>
      <c r="H863" s="1" t="s">
        <v>16476</v>
      </c>
    </row>
    <row r="864">
      <c r="A864" s="93">
        <v>1539.0</v>
      </c>
      <c r="B864" s="92" t="s">
        <v>16719</v>
      </c>
      <c r="C864" s="92" t="s">
        <v>6037</v>
      </c>
      <c r="D864" s="92" t="s">
        <v>16044</v>
      </c>
      <c r="E864" s="94">
        <v>45113.55678240741</v>
      </c>
      <c r="F864" s="94">
        <v>45919.980891203704</v>
      </c>
      <c r="G864" s="90">
        <v>45907.71734953704</v>
      </c>
      <c r="H864" s="1" t="s">
        <v>16476</v>
      </c>
    </row>
    <row r="865">
      <c r="A865" s="93">
        <v>1278.0</v>
      </c>
      <c r="B865" s="92" t="s">
        <v>16720</v>
      </c>
      <c r="C865" s="92" t="s">
        <v>6932</v>
      </c>
      <c r="D865" s="92" t="s">
        <v>16044</v>
      </c>
      <c r="E865" s="94">
        <v>45113.55296296296</v>
      </c>
      <c r="F865" s="94">
        <v>45919.9784375</v>
      </c>
      <c r="G865" s="90">
        <v>45907.71704861111</v>
      </c>
      <c r="H865" s="1" t="s">
        <v>16476</v>
      </c>
    </row>
    <row r="866">
      <c r="A866" s="93">
        <v>1657.0</v>
      </c>
      <c r="B866" s="92" t="s">
        <v>16721</v>
      </c>
      <c r="C866" s="92" t="s">
        <v>6259</v>
      </c>
      <c r="D866" s="92" t="s">
        <v>16044</v>
      </c>
      <c r="E866" s="94">
        <v>45113.55851851852</v>
      </c>
      <c r="F866" s="94">
        <v>45919.977743055555</v>
      </c>
      <c r="G866" s="90">
        <v>45907.716782407406</v>
      </c>
      <c r="H866" s="1" t="s">
        <v>16476</v>
      </c>
    </row>
    <row r="867">
      <c r="A867" s="93">
        <v>1234.0</v>
      </c>
      <c r="B867" s="92" t="s">
        <v>16722</v>
      </c>
      <c r="C867" s="92" t="s">
        <v>6691</v>
      </c>
      <c r="D867" s="92" t="s">
        <v>16044</v>
      </c>
      <c r="E867" s="94">
        <v>45113.55232638889</v>
      </c>
      <c r="F867" s="94">
        <v>45919.97744212963</v>
      </c>
      <c r="G867" s="90">
        <v>45907.7165625</v>
      </c>
      <c r="H867" s="1" t="s">
        <v>16476</v>
      </c>
    </row>
    <row r="868">
      <c r="A868" s="93">
        <v>972.0</v>
      </c>
      <c r="B868" s="92" t="s">
        <v>16723</v>
      </c>
      <c r="C868" s="92" t="s">
        <v>11120</v>
      </c>
      <c r="D868" s="92" t="s">
        <v>16044</v>
      </c>
      <c r="E868" s="94">
        <v>45113.548472222225</v>
      </c>
      <c r="F868" s="94">
        <v>45919.97582175926</v>
      </c>
      <c r="G868" s="90">
        <v>45907.7162962963</v>
      </c>
      <c r="H868" s="1" t="s">
        <v>16476</v>
      </c>
    </row>
    <row r="869">
      <c r="A869" s="93">
        <v>757.0</v>
      </c>
      <c r="B869" s="92" t="s">
        <v>16724</v>
      </c>
      <c r="C869" s="92" t="s">
        <v>10096</v>
      </c>
      <c r="D869" s="92" t="s">
        <v>16044</v>
      </c>
      <c r="E869" s="94">
        <v>45113.5453125</v>
      </c>
      <c r="F869" s="94">
        <v>45919.97537037037</v>
      </c>
      <c r="G869" s="90">
        <v>45907.71592592593</v>
      </c>
      <c r="H869" s="1" t="s">
        <v>16476</v>
      </c>
    </row>
    <row r="870">
      <c r="A870" s="93">
        <v>898.0</v>
      </c>
      <c r="B870" s="92" t="s">
        <v>16725</v>
      </c>
      <c r="C870" s="92" t="s">
        <v>12581</v>
      </c>
      <c r="D870" s="92" t="s">
        <v>16044</v>
      </c>
      <c r="E870" s="94">
        <v>45113.54738425926</v>
      </c>
      <c r="F870" s="94">
        <v>45919.97488425926</v>
      </c>
      <c r="G870" s="90">
        <v>45907.7156712963</v>
      </c>
      <c r="H870" s="1" t="s">
        <v>16476</v>
      </c>
    </row>
    <row r="871">
      <c r="A871" s="93">
        <v>1536.0</v>
      </c>
      <c r="B871" s="92" t="s">
        <v>16726</v>
      </c>
      <c r="C871" s="92" t="s">
        <v>6300</v>
      </c>
      <c r="D871" s="92" t="s">
        <v>16044</v>
      </c>
      <c r="E871" s="94">
        <v>45113.55673611111</v>
      </c>
      <c r="F871" s="94">
        <v>45919.97446759259</v>
      </c>
      <c r="G871" s="90">
        <v>45907.7146875</v>
      </c>
      <c r="H871" s="1" t="s">
        <v>16476</v>
      </c>
    </row>
    <row r="872">
      <c r="A872" s="93">
        <v>1694.0</v>
      </c>
      <c r="B872" s="92" t="s">
        <v>16727</v>
      </c>
      <c r="C872" s="92" t="s">
        <v>6215</v>
      </c>
      <c r="D872" s="92" t="s">
        <v>16044</v>
      </c>
      <c r="E872" s="94">
        <v>45113.55905092593</v>
      </c>
      <c r="F872" s="94">
        <v>45919.97372685185</v>
      </c>
      <c r="G872" s="90">
        <v>45907.71444444444</v>
      </c>
      <c r="H872" s="1" t="s">
        <v>16476</v>
      </c>
    </row>
    <row r="873">
      <c r="A873" s="93">
        <v>730.0</v>
      </c>
      <c r="B873" s="92" t="s">
        <v>18892</v>
      </c>
      <c r="C873" s="92" t="s">
        <v>5197</v>
      </c>
      <c r="D873" s="92" t="s">
        <v>16044</v>
      </c>
      <c r="E873" s="94">
        <v>45113.544907407406</v>
      </c>
      <c r="F873" s="94">
        <v>45919.973032407404</v>
      </c>
      <c r="G873" s="90">
        <v>45907.714155092595</v>
      </c>
      <c r="H873" s="1" t="s">
        <v>16476</v>
      </c>
    </row>
    <row r="874">
      <c r="A874" s="93">
        <v>755.0</v>
      </c>
      <c r="B874" s="92" t="s">
        <v>16729</v>
      </c>
      <c r="C874" s="92" t="s">
        <v>9597</v>
      </c>
      <c r="D874" s="92" t="s">
        <v>16044</v>
      </c>
      <c r="E874" s="94">
        <v>45113.545277777775</v>
      </c>
      <c r="F874" s="94">
        <v>45919.971655092595</v>
      </c>
      <c r="G874" s="90">
        <v>45907.71359953703</v>
      </c>
      <c r="H874" s="1" t="s">
        <v>16476</v>
      </c>
    </row>
    <row r="875">
      <c r="A875" s="93">
        <v>1689.0</v>
      </c>
      <c r="B875" s="92" t="s">
        <v>16730</v>
      </c>
      <c r="C875" s="92" t="s">
        <v>9933</v>
      </c>
      <c r="D875" s="92" t="s">
        <v>16044</v>
      </c>
      <c r="E875" s="94">
        <v>45113.55898148148</v>
      </c>
      <c r="F875" s="94">
        <v>45919.970868055556</v>
      </c>
      <c r="G875" s="90">
        <v>45907.713055555556</v>
      </c>
      <c r="H875" s="1" t="s">
        <v>16476</v>
      </c>
    </row>
    <row r="876">
      <c r="A876" s="93">
        <v>1382.0</v>
      </c>
      <c r="B876" s="92" t="s">
        <v>16731</v>
      </c>
      <c r="C876" s="92" t="s">
        <v>10696</v>
      </c>
      <c r="D876" s="92" t="s">
        <v>16044</v>
      </c>
      <c r="E876" s="94">
        <v>45113.55449074074</v>
      </c>
      <c r="F876" s="94">
        <v>45919.970300925925</v>
      </c>
      <c r="G876" s="90">
        <v>45907.712430555555</v>
      </c>
      <c r="H876" s="1" t="s">
        <v>16476</v>
      </c>
    </row>
    <row r="877">
      <c r="A877" s="93">
        <v>1030.0</v>
      </c>
      <c r="B877" s="92" t="s">
        <v>16732</v>
      </c>
      <c r="C877" s="92" t="s">
        <v>5708</v>
      </c>
      <c r="D877" s="92" t="s">
        <v>16044</v>
      </c>
      <c r="E877" s="94">
        <v>45113.54931712963</v>
      </c>
      <c r="F877" s="94">
        <v>45919.96954861111</v>
      </c>
      <c r="G877" s="90">
        <v>45907.71207175926</v>
      </c>
      <c r="H877" s="1" t="s">
        <v>16476</v>
      </c>
    </row>
    <row r="878">
      <c r="A878" s="93">
        <v>987.0</v>
      </c>
      <c r="B878" s="92" t="s">
        <v>16733</v>
      </c>
      <c r="C878" s="92" t="s">
        <v>13413</v>
      </c>
      <c r="D878" s="92" t="s">
        <v>16044</v>
      </c>
      <c r="E878" s="94">
        <v>45113.54869212963</v>
      </c>
      <c r="F878" s="94">
        <v>45919.968252314815</v>
      </c>
      <c r="G878" s="90">
        <v>45907.71177083333</v>
      </c>
      <c r="H878" s="1" t="s">
        <v>16476</v>
      </c>
    </row>
    <row r="879">
      <c r="A879" s="93">
        <v>719.0</v>
      </c>
      <c r="B879" s="92" t="s">
        <v>16734</v>
      </c>
      <c r="C879" s="92" t="s">
        <v>10067</v>
      </c>
      <c r="D879" s="92" t="s">
        <v>16044</v>
      </c>
      <c r="E879" s="94">
        <v>45113.54474537037</v>
      </c>
      <c r="F879" s="94">
        <v>45919.96743055555</v>
      </c>
      <c r="G879" s="90">
        <v>45907.71144675926</v>
      </c>
      <c r="H879" s="1" t="s">
        <v>16476</v>
      </c>
    </row>
    <row r="880">
      <c r="A880" s="93">
        <v>1973.0</v>
      </c>
      <c r="B880" s="92" t="s">
        <v>18857</v>
      </c>
      <c r="C880" s="92" t="s">
        <v>18893</v>
      </c>
      <c r="D880" s="92" t="s">
        <v>18829</v>
      </c>
      <c r="E880" s="94">
        <v>45385.74732638889</v>
      </c>
      <c r="F880" s="94">
        <v>45918.7650462963</v>
      </c>
      <c r="G880" s="90">
        <v>45907.710625</v>
      </c>
      <c r="H880" s="1" t="s">
        <v>16476</v>
      </c>
    </row>
    <row r="881">
      <c r="A881" s="93">
        <v>2059.0</v>
      </c>
      <c r="B881" s="92" t="s">
        <v>17772</v>
      </c>
      <c r="C881" s="92" t="s">
        <v>18894</v>
      </c>
      <c r="D881" s="92" t="s">
        <v>18829</v>
      </c>
      <c r="E881" s="94">
        <v>45481.63863425926</v>
      </c>
      <c r="F881" s="94">
        <v>45918.76459490741</v>
      </c>
      <c r="G881" s="90">
        <v>45907.709872685184</v>
      </c>
      <c r="H881" s="1" t="s">
        <v>16476</v>
      </c>
    </row>
    <row r="882">
      <c r="A882" s="93">
        <v>2372.0</v>
      </c>
      <c r="B882" s="92" t="s">
        <v>18895</v>
      </c>
      <c r="C882" s="92" t="s">
        <v>18896</v>
      </c>
      <c r="D882" s="92" t="s">
        <v>18877</v>
      </c>
      <c r="E882" s="94">
        <v>45911.740428240744</v>
      </c>
      <c r="F882" s="94">
        <v>45918.757152777776</v>
      </c>
      <c r="G882" s="90">
        <v>45907.70949074074</v>
      </c>
      <c r="H882" s="1" t="s">
        <v>16476</v>
      </c>
    </row>
    <row r="883">
      <c r="A883" s="93">
        <v>2374.0</v>
      </c>
      <c r="B883" s="92" t="s">
        <v>18897</v>
      </c>
      <c r="C883" s="92" t="s">
        <v>18898</v>
      </c>
      <c r="D883" s="92" t="s">
        <v>18877</v>
      </c>
      <c r="E883" s="94">
        <v>45915.92428240741</v>
      </c>
      <c r="F883" s="94">
        <v>45917.60737268518</v>
      </c>
      <c r="G883" s="90">
        <v>45907.70884259259</v>
      </c>
      <c r="H883" s="1" t="s">
        <v>16476</v>
      </c>
    </row>
    <row r="884">
      <c r="A884" s="93">
        <v>3.0</v>
      </c>
      <c r="B884" s="92" t="s">
        <v>16023</v>
      </c>
      <c r="C884" s="92" t="s">
        <v>18899</v>
      </c>
      <c r="D884" s="92" t="s">
        <v>18829</v>
      </c>
      <c r="E884" s="94">
        <v>45085.2781712963</v>
      </c>
      <c r="F884" s="94">
        <v>45917.4275</v>
      </c>
      <c r="G884" s="90">
        <v>45907.69752314815</v>
      </c>
      <c r="H884" s="1" t="s">
        <v>16476</v>
      </c>
    </row>
    <row r="885">
      <c r="A885" s="93">
        <v>1538.0</v>
      </c>
      <c r="B885" s="92" t="s">
        <v>16735</v>
      </c>
      <c r="C885" s="92" t="s">
        <v>10899</v>
      </c>
      <c r="D885" s="92" t="s">
        <v>16044</v>
      </c>
      <c r="E885" s="94">
        <v>45113.55677083333</v>
      </c>
      <c r="F885" s="94">
        <v>45915.98857638889</v>
      </c>
      <c r="G885" s="90">
        <v>45907.69710648148</v>
      </c>
      <c r="H885" s="1" t="s">
        <v>16476</v>
      </c>
    </row>
    <row r="886">
      <c r="A886" s="93">
        <v>689.0</v>
      </c>
      <c r="B886" s="92" t="s">
        <v>16736</v>
      </c>
      <c r="C886" s="92" t="s">
        <v>7872</v>
      </c>
      <c r="D886" s="92" t="s">
        <v>16044</v>
      </c>
      <c r="E886" s="94">
        <v>45113.54425925926</v>
      </c>
      <c r="F886" s="94">
        <v>45915.98820601852</v>
      </c>
      <c r="G886" s="90">
        <v>45907.69630787037</v>
      </c>
      <c r="H886" s="1" t="s">
        <v>16476</v>
      </c>
    </row>
    <row r="887">
      <c r="A887" s="93">
        <v>1412.0</v>
      </c>
      <c r="B887" s="92" t="s">
        <v>16737</v>
      </c>
      <c r="C887" s="92" t="s">
        <v>12469</v>
      </c>
      <c r="D887" s="92" t="s">
        <v>16044</v>
      </c>
      <c r="E887" s="94">
        <v>45113.554918981485</v>
      </c>
      <c r="F887" s="94">
        <v>45915.987546296295</v>
      </c>
      <c r="G887" s="90">
        <v>45907.695543981485</v>
      </c>
      <c r="H887" s="1" t="s">
        <v>16476</v>
      </c>
    </row>
    <row r="888">
      <c r="A888" s="93">
        <v>460.0</v>
      </c>
      <c r="B888" s="92" t="s">
        <v>16738</v>
      </c>
      <c r="C888" s="92" t="s">
        <v>9588</v>
      </c>
      <c r="D888" s="92" t="s">
        <v>16044</v>
      </c>
      <c r="E888" s="94">
        <v>45113.540868055556</v>
      </c>
      <c r="F888" s="94">
        <v>45915.98693287037</v>
      </c>
      <c r="G888" s="90">
        <v>45907.69515046296</v>
      </c>
      <c r="H888" s="1" t="s">
        <v>16476</v>
      </c>
    </row>
    <row r="889">
      <c r="A889" s="93">
        <v>1617.0</v>
      </c>
      <c r="B889" s="92" t="s">
        <v>16739</v>
      </c>
      <c r="C889" s="92" t="s">
        <v>6223</v>
      </c>
      <c r="D889" s="92" t="s">
        <v>16044</v>
      </c>
      <c r="E889" s="94">
        <v>45113.55793981482</v>
      </c>
      <c r="F889" s="94">
        <v>45915.985451388886</v>
      </c>
      <c r="G889" s="90">
        <v>45907.69483796296</v>
      </c>
      <c r="H889" s="1" t="s">
        <v>16476</v>
      </c>
    </row>
    <row r="890">
      <c r="A890" s="93">
        <v>729.0</v>
      </c>
      <c r="B890" s="92" t="s">
        <v>16740</v>
      </c>
      <c r="C890" s="92" t="s">
        <v>5210</v>
      </c>
      <c r="D890" s="92" t="s">
        <v>16044</v>
      </c>
      <c r="E890" s="94">
        <v>45113.544895833336</v>
      </c>
      <c r="F890" s="94">
        <v>45915.984456018516</v>
      </c>
      <c r="G890" s="90">
        <v>45907.69458333333</v>
      </c>
      <c r="H890" s="1" t="s">
        <v>16476</v>
      </c>
    </row>
    <row r="891">
      <c r="A891" s="93">
        <v>1523.0</v>
      </c>
      <c r="B891" s="92" t="s">
        <v>16741</v>
      </c>
      <c r="C891" s="92" t="s">
        <v>7478</v>
      </c>
      <c r="D891" s="92" t="s">
        <v>16044</v>
      </c>
      <c r="E891" s="94">
        <v>45113.556550925925</v>
      </c>
      <c r="F891" s="94">
        <v>45915.98299768518</v>
      </c>
      <c r="G891" s="90">
        <v>45907.69412037037</v>
      </c>
      <c r="H891" s="1" t="s">
        <v>16476</v>
      </c>
    </row>
    <row r="892">
      <c r="A892" s="93">
        <v>1158.0</v>
      </c>
      <c r="B892" s="92" t="s">
        <v>16742</v>
      </c>
      <c r="C892" s="92" t="s">
        <v>11231</v>
      </c>
      <c r="D892" s="92" t="s">
        <v>16044</v>
      </c>
      <c r="E892" s="94">
        <v>45113.55122685185</v>
      </c>
      <c r="F892" s="94">
        <v>45915.98238425926</v>
      </c>
      <c r="G892" s="90">
        <v>45907.693402777775</v>
      </c>
      <c r="H892" s="1" t="s">
        <v>16476</v>
      </c>
    </row>
    <row r="893">
      <c r="A893" s="93">
        <v>804.0</v>
      </c>
      <c r="B893" s="92" t="s">
        <v>16743</v>
      </c>
      <c r="C893" s="92" t="s">
        <v>6126</v>
      </c>
      <c r="D893" s="92" t="s">
        <v>16044</v>
      </c>
      <c r="E893" s="94">
        <v>45113.5459837963</v>
      </c>
      <c r="F893" s="94">
        <v>45915.98133101852</v>
      </c>
      <c r="G893" s="90">
        <v>45907.692349537036</v>
      </c>
      <c r="H893" s="1" t="s">
        <v>16476</v>
      </c>
    </row>
    <row r="894">
      <c r="A894" s="93">
        <v>1245.0</v>
      </c>
      <c r="B894" s="92" t="s">
        <v>16744</v>
      </c>
      <c r="C894" s="92" t="s">
        <v>8573</v>
      </c>
      <c r="D894" s="92" t="s">
        <v>16044</v>
      </c>
      <c r="E894" s="94">
        <v>45113.55248842593</v>
      </c>
      <c r="F894" s="94">
        <v>45915.98030092593</v>
      </c>
      <c r="G894" s="90">
        <v>45907.69173611111</v>
      </c>
      <c r="H894" s="1" t="s">
        <v>16476</v>
      </c>
    </row>
    <row r="895">
      <c r="A895" s="93">
        <v>815.0</v>
      </c>
      <c r="B895" s="92" t="s">
        <v>16745</v>
      </c>
      <c r="C895" s="92" t="s">
        <v>12275</v>
      </c>
      <c r="D895" s="92" t="s">
        <v>16044</v>
      </c>
      <c r="E895" s="94">
        <v>45113.54615740741</v>
      </c>
      <c r="F895" s="94">
        <v>45915.979108796295</v>
      </c>
      <c r="G895" s="90">
        <v>45907.691203703704</v>
      </c>
      <c r="H895" s="1" t="s">
        <v>16476</v>
      </c>
    </row>
    <row r="896">
      <c r="A896" s="93">
        <v>1247.0</v>
      </c>
      <c r="B896" s="92" t="s">
        <v>16746</v>
      </c>
      <c r="C896" s="92" t="s">
        <v>10218</v>
      </c>
      <c r="D896" s="92" t="s">
        <v>16044</v>
      </c>
      <c r="E896" s="94">
        <v>45113.552511574075</v>
      </c>
      <c r="F896" s="94">
        <v>45915.97829861111</v>
      </c>
      <c r="G896" s="90">
        <v>45907.69094907407</v>
      </c>
      <c r="H896" s="1" t="s">
        <v>16476</v>
      </c>
    </row>
    <row r="897">
      <c r="A897" s="93">
        <v>1098.0</v>
      </c>
      <c r="B897" s="92" t="s">
        <v>16747</v>
      </c>
      <c r="C897" s="92" t="s">
        <v>7303</v>
      </c>
      <c r="D897" s="92" t="s">
        <v>16044</v>
      </c>
      <c r="E897" s="94">
        <v>45113.55032407407</v>
      </c>
      <c r="F897" s="94">
        <v>45915.97719907408</v>
      </c>
      <c r="G897" s="90">
        <v>45907.69070601852</v>
      </c>
      <c r="H897" s="1" t="s">
        <v>16476</v>
      </c>
    </row>
    <row r="898">
      <c r="A898" s="93">
        <v>878.0</v>
      </c>
      <c r="B898" s="92" t="s">
        <v>16748</v>
      </c>
      <c r="C898" s="92" t="s">
        <v>8423</v>
      </c>
      <c r="D898" s="92" t="s">
        <v>16044</v>
      </c>
      <c r="E898" s="94">
        <v>45113.54709490741</v>
      </c>
      <c r="F898" s="94">
        <v>45915.975</v>
      </c>
      <c r="G898" s="90">
        <v>45907.69016203703</v>
      </c>
      <c r="H898" s="1" t="s">
        <v>16476</v>
      </c>
    </row>
    <row r="899">
      <c r="A899" s="93">
        <v>767.0</v>
      </c>
      <c r="B899" s="92" t="s">
        <v>16749</v>
      </c>
      <c r="C899" s="92" t="s">
        <v>9602</v>
      </c>
      <c r="D899" s="92" t="s">
        <v>16044</v>
      </c>
      <c r="E899" s="94">
        <v>45113.54545138889</v>
      </c>
      <c r="F899" s="94">
        <v>45915.97443287037</v>
      </c>
      <c r="G899" s="90">
        <v>45907.689409722225</v>
      </c>
      <c r="H899" s="1" t="s">
        <v>16476</v>
      </c>
    </row>
    <row r="900">
      <c r="A900" s="93">
        <v>660.0</v>
      </c>
      <c r="B900" s="92" t="s">
        <v>16750</v>
      </c>
      <c r="C900" s="92" t="s">
        <v>12051</v>
      </c>
      <c r="D900" s="92" t="s">
        <v>16044</v>
      </c>
      <c r="E900" s="94">
        <v>45113.54383101852</v>
      </c>
      <c r="F900" s="94">
        <v>45915.97363425926</v>
      </c>
      <c r="G900" s="90">
        <v>45907.689155092594</v>
      </c>
      <c r="H900" s="1" t="s">
        <v>16476</v>
      </c>
    </row>
    <row r="901">
      <c r="A901" s="93">
        <v>1501.0</v>
      </c>
      <c r="B901" s="92" t="s">
        <v>16751</v>
      </c>
      <c r="C901" s="92" t="s">
        <v>13147</v>
      </c>
      <c r="D901" s="92" t="s">
        <v>16044</v>
      </c>
      <c r="E901" s="94">
        <v>45113.556226851855</v>
      </c>
      <c r="F901" s="94">
        <v>45915.97313657407</v>
      </c>
      <c r="G901" s="90">
        <v>45907.68877314815</v>
      </c>
      <c r="H901" s="1" t="s">
        <v>16476</v>
      </c>
    </row>
    <row r="902">
      <c r="A902" s="93">
        <v>1465.0</v>
      </c>
      <c r="B902" s="92" t="s">
        <v>16752</v>
      </c>
      <c r="C902" s="92" t="s">
        <v>10152</v>
      </c>
      <c r="D902" s="92" t="s">
        <v>16044</v>
      </c>
      <c r="E902" s="94">
        <v>45113.55569444445</v>
      </c>
      <c r="F902" s="94">
        <v>45915.972719907404</v>
      </c>
      <c r="G902" s="90">
        <v>45907.688101851854</v>
      </c>
      <c r="H902" s="1" t="s">
        <v>16476</v>
      </c>
    </row>
    <row r="903">
      <c r="A903" s="93">
        <v>916.0</v>
      </c>
      <c r="B903" s="92" t="s">
        <v>16753</v>
      </c>
      <c r="C903" s="92" t="s">
        <v>7946</v>
      </c>
      <c r="D903" s="92" t="s">
        <v>16044</v>
      </c>
      <c r="E903" s="94">
        <v>45113.54765046296</v>
      </c>
      <c r="F903" s="94">
        <v>45915.97221064815</v>
      </c>
      <c r="G903" s="90">
        <v>45907.687789351854</v>
      </c>
      <c r="H903" s="1" t="s">
        <v>16476</v>
      </c>
    </row>
    <row r="904">
      <c r="A904" s="93">
        <v>1614.0</v>
      </c>
      <c r="B904" s="92" t="s">
        <v>16754</v>
      </c>
      <c r="C904" s="92" t="s">
        <v>6071</v>
      </c>
      <c r="D904" s="92" t="s">
        <v>16044</v>
      </c>
      <c r="E904" s="94">
        <v>45113.55789351852</v>
      </c>
      <c r="F904" s="94">
        <v>45915.97145833333</v>
      </c>
      <c r="G904" s="90">
        <v>45907.68719907408</v>
      </c>
      <c r="H904" s="1" t="s">
        <v>16476</v>
      </c>
    </row>
    <row r="905">
      <c r="A905" s="93">
        <v>1540.0</v>
      </c>
      <c r="B905" s="92" t="s">
        <v>16755</v>
      </c>
      <c r="C905" s="92" t="s">
        <v>6242</v>
      </c>
      <c r="D905" s="92" t="s">
        <v>16044</v>
      </c>
      <c r="E905" s="94">
        <v>45113.55679398148</v>
      </c>
      <c r="F905" s="94">
        <v>45915.971030092594</v>
      </c>
      <c r="G905" s="90">
        <v>45907.68682870371</v>
      </c>
      <c r="H905" s="1" t="s">
        <v>16476</v>
      </c>
    </row>
    <row r="906">
      <c r="A906" s="93">
        <v>1312.0</v>
      </c>
      <c r="B906" s="92" t="s">
        <v>16756</v>
      </c>
      <c r="C906" s="92" t="s">
        <v>9428</v>
      </c>
      <c r="D906" s="92" t="s">
        <v>16044</v>
      </c>
      <c r="E906" s="94">
        <v>45113.553460648145</v>
      </c>
      <c r="F906" s="94">
        <v>45915.970613425925</v>
      </c>
      <c r="G906" s="90">
        <v>45907.68615740741</v>
      </c>
      <c r="H906" s="1" t="s">
        <v>16476</v>
      </c>
    </row>
    <row r="907">
      <c r="A907" s="93">
        <v>945.0</v>
      </c>
      <c r="B907" s="92" t="s">
        <v>16757</v>
      </c>
      <c r="C907" s="92" t="s">
        <v>10006</v>
      </c>
      <c r="D907" s="92" t="s">
        <v>16044</v>
      </c>
      <c r="E907" s="94">
        <v>45113.54806712963</v>
      </c>
      <c r="F907" s="94">
        <v>45915.96986111111</v>
      </c>
      <c r="G907" s="90">
        <v>45907.68556712963</v>
      </c>
      <c r="H907" s="1" t="s">
        <v>16476</v>
      </c>
    </row>
    <row r="908">
      <c r="A908" s="93">
        <v>1415.0</v>
      </c>
      <c r="B908" s="92" t="s">
        <v>16758</v>
      </c>
      <c r="C908" s="92" t="s">
        <v>5890</v>
      </c>
      <c r="D908" s="92" t="s">
        <v>16044</v>
      </c>
      <c r="E908" s="94">
        <v>45113.55496527778</v>
      </c>
      <c r="F908" s="94">
        <v>45915.9690162037</v>
      </c>
      <c r="G908" s="90">
        <v>45907.685011574074</v>
      </c>
      <c r="H908" s="1" t="s">
        <v>16476</v>
      </c>
    </row>
    <row r="909">
      <c r="A909" s="93">
        <v>893.0</v>
      </c>
      <c r="B909" s="92" t="s">
        <v>16759</v>
      </c>
      <c r="C909" s="92" t="s">
        <v>10538</v>
      </c>
      <c r="D909" s="92" t="s">
        <v>16044</v>
      </c>
      <c r="E909" s="94">
        <v>45113.547314814816</v>
      </c>
      <c r="F909" s="94">
        <v>45915.9675462963</v>
      </c>
      <c r="G909" s="90">
        <v>45907.684594907405</v>
      </c>
      <c r="H909" s="1" t="s">
        <v>16476</v>
      </c>
    </row>
    <row r="910">
      <c r="A910" s="93">
        <v>786.0</v>
      </c>
      <c r="B910" s="92" t="s">
        <v>16760</v>
      </c>
      <c r="C910" s="92" t="s">
        <v>11871</v>
      </c>
      <c r="D910" s="92" t="s">
        <v>16044</v>
      </c>
      <c r="E910" s="94">
        <v>45113.54572916667</v>
      </c>
      <c r="F910" s="94">
        <v>45915.96695601852</v>
      </c>
      <c r="G910" s="90">
        <v>45907.683796296296</v>
      </c>
      <c r="H910" s="1" t="s">
        <v>16476</v>
      </c>
    </row>
    <row r="911">
      <c r="A911" s="93">
        <v>1178.0</v>
      </c>
      <c r="B911" s="92" t="s">
        <v>16761</v>
      </c>
      <c r="C911" s="92" t="s">
        <v>12573</v>
      </c>
      <c r="D911" s="92" t="s">
        <v>16044</v>
      </c>
      <c r="E911" s="94">
        <v>45113.551516203705</v>
      </c>
      <c r="F911" s="94">
        <v>45915.966203703705</v>
      </c>
      <c r="G911" s="90">
        <v>45907.68341435185</v>
      </c>
      <c r="H911" s="1" t="s">
        <v>16476</v>
      </c>
    </row>
    <row r="912">
      <c r="A912" s="93">
        <v>911.0</v>
      </c>
      <c r="B912" s="92" t="s">
        <v>16762</v>
      </c>
      <c r="C912" s="92" t="s">
        <v>8025</v>
      </c>
      <c r="D912" s="92" t="s">
        <v>16044</v>
      </c>
      <c r="E912" s="94">
        <v>45113.547581018516</v>
      </c>
      <c r="F912" s="94">
        <v>45915.965462962966</v>
      </c>
      <c r="G912" s="90">
        <v>45907.68310185185</v>
      </c>
      <c r="H912" s="1" t="s">
        <v>16476</v>
      </c>
    </row>
    <row r="913">
      <c r="A913" s="93">
        <v>1102.0</v>
      </c>
      <c r="B913" s="92" t="s">
        <v>16763</v>
      </c>
      <c r="C913" s="92" t="s">
        <v>6051</v>
      </c>
      <c r="D913" s="92" t="s">
        <v>16044</v>
      </c>
      <c r="E913" s="94">
        <v>45113.55038194444</v>
      </c>
      <c r="F913" s="94">
        <v>45915.964953703704</v>
      </c>
      <c r="G913" s="90">
        <v>45907.682708333334</v>
      </c>
      <c r="H913" s="1" t="s">
        <v>16476</v>
      </c>
    </row>
    <row r="914">
      <c r="A914" s="93">
        <v>1500.0</v>
      </c>
      <c r="B914" s="92" t="s">
        <v>16764</v>
      </c>
      <c r="C914" s="92" t="s">
        <v>6379</v>
      </c>
      <c r="D914" s="92" t="s">
        <v>16044</v>
      </c>
      <c r="E914" s="94">
        <v>45113.55621527778</v>
      </c>
      <c r="F914" s="94">
        <v>45915.964212962965</v>
      </c>
      <c r="G914" s="90">
        <v>45907.68225694444</v>
      </c>
      <c r="H914" s="1" t="s">
        <v>16476</v>
      </c>
    </row>
    <row r="915">
      <c r="A915" s="93">
        <v>1363.0</v>
      </c>
      <c r="B915" s="92" t="s">
        <v>16765</v>
      </c>
      <c r="C915" s="92" t="s">
        <v>12547</v>
      </c>
      <c r="D915" s="92" t="s">
        <v>16044</v>
      </c>
      <c r="E915" s="94">
        <v>45113.55420138889</v>
      </c>
      <c r="F915" s="94">
        <v>45915.963796296295</v>
      </c>
      <c r="G915" s="90">
        <v>45907.68184027778</v>
      </c>
      <c r="H915" s="1" t="s">
        <v>16476</v>
      </c>
    </row>
    <row r="916">
      <c r="A916" s="93">
        <v>936.0</v>
      </c>
      <c r="B916" s="92" t="s">
        <v>16766</v>
      </c>
      <c r="C916" s="92" t="s">
        <v>9173</v>
      </c>
      <c r="D916" s="92" t="s">
        <v>16044</v>
      </c>
      <c r="E916" s="94">
        <v>45113.547939814816</v>
      </c>
      <c r="F916" s="94">
        <v>45915.9628125</v>
      </c>
      <c r="G916" s="90">
        <v>45907.68148148148</v>
      </c>
      <c r="H916" s="1" t="s">
        <v>16476</v>
      </c>
    </row>
    <row r="917">
      <c r="A917" s="93">
        <v>1076.0</v>
      </c>
      <c r="B917" s="92" t="s">
        <v>16767</v>
      </c>
      <c r="C917" s="92" t="s">
        <v>9237</v>
      </c>
      <c r="D917" s="92" t="s">
        <v>16044</v>
      </c>
      <c r="E917" s="94">
        <v>45113.55</v>
      </c>
      <c r="F917" s="94">
        <v>45915.96177083333</v>
      </c>
      <c r="G917" s="90">
        <v>45907.68100694445</v>
      </c>
      <c r="H917" s="1" t="s">
        <v>16476</v>
      </c>
    </row>
    <row r="918">
      <c r="A918" s="93">
        <v>1671.0</v>
      </c>
      <c r="B918" s="92" t="s">
        <v>16768</v>
      </c>
      <c r="C918" s="92" t="s">
        <v>6292</v>
      </c>
      <c r="D918" s="92" t="s">
        <v>16044</v>
      </c>
      <c r="E918" s="94">
        <v>45113.55871527778</v>
      </c>
      <c r="F918" s="94">
        <v>45915.96042824074</v>
      </c>
      <c r="G918" s="90">
        <v>45907.680601851855</v>
      </c>
      <c r="H918" s="1" t="s">
        <v>16476</v>
      </c>
    </row>
    <row r="919">
      <c r="A919" s="93">
        <v>1420.0</v>
      </c>
      <c r="B919" s="92" t="s">
        <v>16769</v>
      </c>
      <c r="C919" s="92" t="s">
        <v>10026</v>
      </c>
      <c r="D919" s="92" t="s">
        <v>16044</v>
      </c>
      <c r="E919" s="94">
        <v>45113.55504629629</v>
      </c>
      <c r="F919" s="94">
        <v>45915.95947916667</v>
      </c>
      <c r="G919" s="90">
        <v>45907.68019675926</v>
      </c>
      <c r="H919" s="1" t="s">
        <v>16476</v>
      </c>
    </row>
    <row r="920">
      <c r="A920" s="93">
        <v>1348.0</v>
      </c>
      <c r="B920" s="92" t="s">
        <v>16770</v>
      </c>
      <c r="C920" s="92" t="s">
        <v>10103</v>
      </c>
      <c r="D920" s="92" t="s">
        <v>16044</v>
      </c>
      <c r="E920" s="94">
        <v>45113.55399305555</v>
      </c>
      <c r="F920" s="94">
        <v>45915.95746527778</v>
      </c>
      <c r="G920" s="90">
        <v>45907.67962962963</v>
      </c>
      <c r="H920" s="1" t="s">
        <v>16476</v>
      </c>
    </row>
    <row r="921">
      <c r="A921" s="93">
        <v>2320.0</v>
      </c>
      <c r="B921" s="92" t="s">
        <v>16771</v>
      </c>
      <c r="C921" s="92" t="s">
        <v>18900</v>
      </c>
      <c r="D921" s="92" t="s">
        <v>16044</v>
      </c>
      <c r="E921" s="94">
        <v>45839.93068287037</v>
      </c>
      <c r="F921" s="94">
        <v>45915.95690972222</v>
      </c>
      <c r="G921" s="90">
        <v>45907.6787962963</v>
      </c>
      <c r="H921" s="1" t="s">
        <v>16476</v>
      </c>
    </row>
    <row r="922">
      <c r="A922" s="93">
        <v>1529.0</v>
      </c>
      <c r="B922" s="92" t="s">
        <v>18901</v>
      </c>
      <c r="C922" s="92" t="s">
        <v>5228</v>
      </c>
      <c r="D922" s="92" t="s">
        <v>16044</v>
      </c>
      <c r="E922" s="94">
        <v>45113.55663194445</v>
      </c>
      <c r="F922" s="94">
        <v>45915.95685185185</v>
      </c>
      <c r="G922" s="90">
        <v>45907.67837962963</v>
      </c>
      <c r="H922" s="1" t="s">
        <v>16476</v>
      </c>
    </row>
    <row r="923">
      <c r="A923" s="93">
        <v>940.0</v>
      </c>
      <c r="B923" s="92" t="s">
        <v>16774</v>
      </c>
      <c r="C923" s="92" t="s">
        <v>5786</v>
      </c>
      <c r="D923" s="92" t="s">
        <v>16044</v>
      </c>
      <c r="E923" s="94">
        <v>45113.547997685186</v>
      </c>
      <c r="F923" s="94">
        <v>45915.95616898148</v>
      </c>
      <c r="G923" s="90">
        <v>45907.677939814814</v>
      </c>
      <c r="H923" s="1" t="s">
        <v>16476</v>
      </c>
    </row>
    <row r="924">
      <c r="A924" s="93">
        <v>659.0</v>
      </c>
      <c r="B924" s="92" t="s">
        <v>16775</v>
      </c>
      <c r="C924" s="92" t="s">
        <v>10212</v>
      </c>
      <c r="D924" s="92" t="s">
        <v>16044</v>
      </c>
      <c r="E924" s="94">
        <v>45113.54381944444</v>
      </c>
      <c r="F924" s="94">
        <v>45915.95556712963</v>
      </c>
      <c r="G924" s="90">
        <v>45907.677511574075</v>
      </c>
      <c r="H924" s="1" t="s">
        <v>16476</v>
      </c>
    </row>
    <row r="925">
      <c r="A925" s="93">
        <v>1344.0</v>
      </c>
      <c r="B925" s="92" t="s">
        <v>64</v>
      </c>
      <c r="C925" s="92" t="s">
        <v>63</v>
      </c>
      <c r="D925" s="92" t="s">
        <v>16044</v>
      </c>
      <c r="E925" s="94">
        <v>45113.553935185184</v>
      </c>
      <c r="F925" s="94">
        <v>45915.95506944445</v>
      </c>
      <c r="G925" s="90">
        <v>45907.67695601852</v>
      </c>
      <c r="H925" s="1" t="s">
        <v>16476</v>
      </c>
    </row>
    <row r="926">
      <c r="A926" s="93">
        <v>912.0</v>
      </c>
      <c r="B926" s="92" t="s">
        <v>16776</v>
      </c>
      <c r="C926" s="92" t="s">
        <v>7070</v>
      </c>
      <c r="D926" s="92" t="s">
        <v>16044</v>
      </c>
      <c r="E926" s="94">
        <v>45113.54759259259</v>
      </c>
      <c r="F926" s="94">
        <v>45915.95407407408</v>
      </c>
      <c r="G926" s="90">
        <v>45907.676516203705</v>
      </c>
      <c r="H926" s="1" t="s">
        <v>16476</v>
      </c>
    </row>
    <row r="927">
      <c r="A927" s="93">
        <v>1619.0</v>
      </c>
      <c r="B927" s="92" t="s">
        <v>16777</v>
      </c>
      <c r="C927" s="92" t="s">
        <v>10322</v>
      </c>
      <c r="D927" s="92" t="s">
        <v>16044</v>
      </c>
      <c r="E927" s="94">
        <v>45113.557962962965</v>
      </c>
      <c r="F927" s="94">
        <v>45915.953043981484</v>
      </c>
      <c r="G927" s="90">
        <v>45907.67606481481</v>
      </c>
      <c r="H927" s="1" t="s">
        <v>16476</v>
      </c>
    </row>
    <row r="928">
      <c r="A928" s="93">
        <v>1427.0</v>
      </c>
      <c r="B928" s="92" t="s">
        <v>16778</v>
      </c>
      <c r="C928" s="92" t="s">
        <v>11915</v>
      </c>
      <c r="D928" s="92" t="s">
        <v>16044</v>
      </c>
      <c r="E928" s="94">
        <v>45113.555138888885</v>
      </c>
      <c r="F928" s="94">
        <v>45915.94782407407</v>
      </c>
      <c r="G928" s="90">
        <v>45907.67564814815</v>
      </c>
      <c r="H928" s="1" t="s">
        <v>16476</v>
      </c>
    </row>
    <row r="929">
      <c r="A929" s="93">
        <v>1090.0</v>
      </c>
      <c r="B929" s="92" t="s">
        <v>16779</v>
      </c>
      <c r="C929" s="92" t="s">
        <v>6917</v>
      </c>
      <c r="D929" s="92" t="s">
        <v>16044</v>
      </c>
      <c r="E929" s="94">
        <v>45113.550208333334</v>
      </c>
      <c r="F929" s="94">
        <v>45915.94747685185</v>
      </c>
      <c r="G929" s="90">
        <v>45907.67521990741</v>
      </c>
      <c r="H929" s="1" t="s">
        <v>16476</v>
      </c>
    </row>
    <row r="930">
      <c r="A930" s="93">
        <v>973.0</v>
      </c>
      <c r="B930" s="92" t="s">
        <v>16780</v>
      </c>
      <c r="C930" s="92" t="s">
        <v>10840</v>
      </c>
      <c r="D930" s="92" t="s">
        <v>16044</v>
      </c>
      <c r="E930" s="94">
        <v>45113.548483796294</v>
      </c>
      <c r="F930" s="94">
        <v>45915.94604166667</v>
      </c>
      <c r="G930" s="90">
        <v>45907.67475694444</v>
      </c>
      <c r="H930" s="1" t="s">
        <v>16476</v>
      </c>
    </row>
    <row r="931">
      <c r="A931" s="93">
        <v>1358.0</v>
      </c>
      <c r="B931" s="92" t="s">
        <v>16781</v>
      </c>
      <c r="C931" s="92" t="s">
        <v>9193</v>
      </c>
      <c r="D931" s="92" t="s">
        <v>16044</v>
      </c>
      <c r="E931" s="94">
        <v>45113.554131944446</v>
      </c>
      <c r="F931" s="94">
        <v>45915.94495370371</v>
      </c>
      <c r="G931" s="90">
        <v>45907.67443287037</v>
      </c>
      <c r="H931" s="1" t="s">
        <v>16476</v>
      </c>
    </row>
    <row r="932">
      <c r="A932" s="93">
        <v>1546.0</v>
      </c>
      <c r="B932" s="92" t="s">
        <v>16782</v>
      </c>
      <c r="C932" s="92" t="s">
        <v>9211</v>
      </c>
      <c r="D932" s="92" t="s">
        <v>16044</v>
      </c>
      <c r="E932" s="94">
        <v>45113.55688657407</v>
      </c>
      <c r="F932" s="94">
        <v>45915.94342592593</v>
      </c>
      <c r="G932" s="90">
        <v>45907.674155092594</v>
      </c>
      <c r="H932" s="1" t="s">
        <v>16476</v>
      </c>
    </row>
    <row r="933">
      <c r="A933" s="93">
        <v>558.0</v>
      </c>
      <c r="B933" s="92" t="s">
        <v>16783</v>
      </c>
      <c r="C933" s="92" t="s">
        <v>9179</v>
      </c>
      <c r="D933" s="92" t="s">
        <v>16044</v>
      </c>
      <c r="E933" s="94">
        <v>45113.54230324074</v>
      </c>
      <c r="F933" s="94">
        <v>45915.94226851852</v>
      </c>
      <c r="G933" s="90">
        <v>45907.67369212963</v>
      </c>
      <c r="H933" s="1" t="s">
        <v>16476</v>
      </c>
    </row>
    <row r="934">
      <c r="A934" s="93">
        <v>1014.0</v>
      </c>
      <c r="B934" s="92" t="s">
        <v>16784</v>
      </c>
      <c r="C934" s="92" t="s">
        <v>8936</v>
      </c>
      <c r="D934" s="92" t="s">
        <v>16044</v>
      </c>
      <c r="E934" s="94">
        <v>45113.54908564815</v>
      </c>
      <c r="F934" s="94">
        <v>45915.94136574074</v>
      </c>
      <c r="G934" s="90">
        <v>45907.673414351855</v>
      </c>
      <c r="H934" s="1" t="s">
        <v>16476</v>
      </c>
    </row>
    <row r="935">
      <c r="A935" s="93">
        <v>771.0</v>
      </c>
      <c r="B935" s="92" t="s">
        <v>16785</v>
      </c>
      <c r="C935" s="92" t="s">
        <v>11599</v>
      </c>
      <c r="D935" s="92" t="s">
        <v>16044</v>
      </c>
      <c r="E935" s="94">
        <v>45113.54550925926</v>
      </c>
      <c r="F935" s="94">
        <v>45915.940729166665</v>
      </c>
      <c r="G935" s="90">
        <v>45907.673101851855</v>
      </c>
      <c r="H935" s="1" t="s">
        <v>16476</v>
      </c>
    </row>
    <row r="936">
      <c r="A936" s="93">
        <v>1285.0</v>
      </c>
      <c r="B936" s="92" t="s">
        <v>16786</v>
      </c>
      <c r="C936" s="92" t="s">
        <v>7682</v>
      </c>
      <c r="D936" s="92" t="s">
        <v>16044</v>
      </c>
      <c r="E936" s="94">
        <v>45113.55306712963</v>
      </c>
      <c r="F936" s="94">
        <v>45915.939930555556</v>
      </c>
      <c r="G936" s="90">
        <v>45907.6725</v>
      </c>
      <c r="H936" s="1" t="s">
        <v>16476</v>
      </c>
    </row>
    <row r="937">
      <c r="A937" s="93">
        <v>2322.0</v>
      </c>
      <c r="B937" s="92" t="s">
        <v>18902</v>
      </c>
      <c r="C937" s="92" t="s">
        <v>18903</v>
      </c>
      <c r="D937" s="92" t="s">
        <v>18877</v>
      </c>
      <c r="E937" s="94">
        <v>45840.71690972222</v>
      </c>
      <c r="F937" s="94">
        <v>45915.939363425925</v>
      </c>
      <c r="G937" s="90">
        <v>45907.67223379629</v>
      </c>
      <c r="H937" s="1" t="s">
        <v>16476</v>
      </c>
    </row>
    <row r="938">
      <c r="A938" s="93">
        <v>994.0</v>
      </c>
      <c r="B938" s="92" t="s">
        <v>16787</v>
      </c>
      <c r="C938" s="92" t="s">
        <v>11998</v>
      </c>
      <c r="D938" s="92" t="s">
        <v>16044</v>
      </c>
      <c r="E938" s="94">
        <v>45113.548784722225</v>
      </c>
      <c r="F938" s="94">
        <v>45915.93865740741</v>
      </c>
      <c r="G938" s="90">
        <v>45907.671851851854</v>
      </c>
      <c r="H938" s="1" t="s">
        <v>16476</v>
      </c>
    </row>
    <row r="939">
      <c r="A939" s="93">
        <v>1164.0</v>
      </c>
      <c r="B939" s="92" t="s">
        <v>18904</v>
      </c>
      <c r="C939" s="92" t="s">
        <v>10652</v>
      </c>
      <c r="D939" s="92" t="s">
        <v>16044</v>
      </c>
      <c r="E939" s="94">
        <v>45113.55130787037</v>
      </c>
      <c r="F939" s="94">
        <v>45915.93746527778</v>
      </c>
      <c r="G939" s="90">
        <v>45907.67146990741</v>
      </c>
      <c r="H939" s="1" t="s">
        <v>16476</v>
      </c>
    </row>
    <row r="940">
      <c r="A940" s="93">
        <v>1256.0</v>
      </c>
      <c r="B940" s="92" t="s">
        <v>16789</v>
      </c>
      <c r="C940" s="92" t="s">
        <v>10272</v>
      </c>
      <c r="D940" s="92" t="s">
        <v>16044</v>
      </c>
      <c r="E940" s="94">
        <v>45113.55265046296</v>
      </c>
      <c r="F940" s="94">
        <v>45915.93651620371</v>
      </c>
      <c r="G940" s="90">
        <v>45907.67008101852</v>
      </c>
      <c r="H940" s="1" t="s">
        <v>16476</v>
      </c>
    </row>
    <row r="941">
      <c r="A941" s="93">
        <v>855.0</v>
      </c>
      <c r="B941" s="92" t="s">
        <v>16790</v>
      </c>
      <c r="C941" s="92" t="s">
        <v>14149</v>
      </c>
      <c r="D941" s="92" t="s">
        <v>16044</v>
      </c>
      <c r="E941" s="94">
        <v>45113.54675925926</v>
      </c>
      <c r="F941" s="94">
        <v>45915.93510416667</v>
      </c>
      <c r="G941" s="90">
        <v>45907.66962962963</v>
      </c>
      <c r="H941" s="1" t="s">
        <v>16476</v>
      </c>
    </row>
    <row r="942">
      <c r="A942" s="93">
        <v>1218.0</v>
      </c>
      <c r="B942" s="92" t="s">
        <v>16791</v>
      </c>
      <c r="C942" s="92" t="s">
        <v>5775</v>
      </c>
      <c r="D942" s="92" t="s">
        <v>16044</v>
      </c>
      <c r="E942" s="94">
        <v>45113.552094907405</v>
      </c>
      <c r="F942" s="94">
        <v>45915.93456018518</v>
      </c>
      <c r="G942" s="90">
        <v>45907.66923611111</v>
      </c>
      <c r="H942" s="1" t="s">
        <v>16476</v>
      </c>
    </row>
    <row r="943">
      <c r="A943" s="93">
        <v>625.0</v>
      </c>
      <c r="B943" s="92" t="s">
        <v>16792</v>
      </c>
      <c r="C943" s="92" t="s">
        <v>10253</v>
      </c>
      <c r="D943" s="92" t="s">
        <v>16044</v>
      </c>
      <c r="E943" s="94">
        <v>45113.54329861111</v>
      </c>
      <c r="F943" s="94">
        <v>45915.93413194444</v>
      </c>
      <c r="G943" s="90">
        <v>45907.667662037034</v>
      </c>
      <c r="H943" s="1" t="s">
        <v>16476</v>
      </c>
    </row>
    <row r="944">
      <c r="A944" s="93">
        <v>451.0</v>
      </c>
      <c r="B944" s="92" t="s">
        <v>16793</v>
      </c>
      <c r="C944" s="92" t="s">
        <v>13288</v>
      </c>
      <c r="D944" s="92" t="s">
        <v>16044</v>
      </c>
      <c r="E944" s="94">
        <v>45113.54074074074</v>
      </c>
      <c r="F944" s="94">
        <v>45915.93376157407</v>
      </c>
      <c r="G944" s="90">
        <v>45907.66672453703</v>
      </c>
      <c r="H944" s="1" t="s">
        <v>16476</v>
      </c>
    </row>
    <row r="945">
      <c r="A945" s="93">
        <v>545.0</v>
      </c>
      <c r="B945" s="92" t="s">
        <v>16794</v>
      </c>
      <c r="C945" s="92" t="s">
        <v>13950</v>
      </c>
      <c r="D945" s="92" t="s">
        <v>16044</v>
      </c>
      <c r="E945" s="94">
        <v>45113.54210648148</v>
      </c>
      <c r="F945" s="94">
        <v>45915.9325</v>
      </c>
      <c r="G945" s="90">
        <v>45907.66626157407</v>
      </c>
      <c r="H945" s="1" t="s">
        <v>16476</v>
      </c>
    </row>
    <row r="946">
      <c r="A946" s="93">
        <v>1477.0</v>
      </c>
      <c r="B946" s="92" t="s">
        <v>16795</v>
      </c>
      <c r="C946" s="92" t="s">
        <v>14166</v>
      </c>
      <c r="D946" s="92" t="s">
        <v>16044</v>
      </c>
      <c r="E946" s="94">
        <v>45113.55587962963</v>
      </c>
      <c r="F946" s="94">
        <v>45915.93170138889</v>
      </c>
      <c r="G946" s="90">
        <v>45907.66590277778</v>
      </c>
      <c r="H946" s="1" t="s">
        <v>16476</v>
      </c>
    </row>
    <row r="947">
      <c r="A947" s="93">
        <v>544.0</v>
      </c>
      <c r="B947" s="92" t="s">
        <v>16796</v>
      </c>
      <c r="C947" s="92" t="s">
        <v>12594</v>
      </c>
      <c r="D947" s="92" t="s">
        <v>16044</v>
      </c>
      <c r="E947" s="94">
        <v>45113.54209490741</v>
      </c>
      <c r="F947" s="94">
        <v>45915.931296296294</v>
      </c>
      <c r="G947" s="90">
        <v>45907.66502314815</v>
      </c>
      <c r="H947" s="1" t="s">
        <v>16476</v>
      </c>
    </row>
    <row r="948">
      <c r="A948" s="93">
        <v>549.0</v>
      </c>
      <c r="B948" s="92" t="s">
        <v>16797</v>
      </c>
      <c r="C948" s="92" t="s">
        <v>14087</v>
      </c>
      <c r="D948" s="92" t="s">
        <v>16044</v>
      </c>
      <c r="E948" s="94">
        <v>45113.542175925926</v>
      </c>
      <c r="F948" s="94">
        <v>45915.9309375</v>
      </c>
      <c r="G948" s="90">
        <v>45907.66440972222</v>
      </c>
      <c r="H948" s="1" t="s">
        <v>16476</v>
      </c>
    </row>
    <row r="949">
      <c r="A949" s="93">
        <v>547.0</v>
      </c>
      <c r="B949" s="92" t="s">
        <v>16798</v>
      </c>
      <c r="C949" s="92" t="s">
        <v>14056</v>
      </c>
      <c r="D949" s="92" t="s">
        <v>16044</v>
      </c>
      <c r="E949" s="94">
        <v>45113.5421412037</v>
      </c>
      <c r="F949" s="94">
        <v>45915.930613425924</v>
      </c>
      <c r="G949" s="90">
        <v>45907.664247685185</v>
      </c>
      <c r="H949" s="1" t="s">
        <v>16476</v>
      </c>
    </row>
    <row r="950">
      <c r="A950" s="93">
        <v>642.0</v>
      </c>
      <c r="B950" s="92" t="s">
        <v>16799</v>
      </c>
      <c r="C950" s="92" t="s">
        <v>15524</v>
      </c>
      <c r="D950" s="92" t="s">
        <v>16044</v>
      </c>
      <c r="E950" s="94">
        <v>45113.543541666666</v>
      </c>
      <c r="F950" s="94">
        <v>45915.93025462963</v>
      </c>
      <c r="G950" s="90">
        <v>45907.664039351854</v>
      </c>
      <c r="H950" s="1" t="s">
        <v>16476</v>
      </c>
    </row>
    <row r="951">
      <c r="A951" s="93">
        <v>546.0</v>
      </c>
      <c r="B951" s="92" t="s">
        <v>16800</v>
      </c>
      <c r="C951" s="92" t="s">
        <v>14102</v>
      </c>
      <c r="D951" s="92" t="s">
        <v>16044</v>
      </c>
      <c r="E951" s="94">
        <v>45113.542129629626</v>
      </c>
      <c r="F951" s="94">
        <v>45915.92972222222</v>
      </c>
      <c r="G951" s="90">
        <v>45907.663668981484</v>
      </c>
      <c r="H951" s="1" t="s">
        <v>16476</v>
      </c>
    </row>
    <row r="952">
      <c r="A952" s="93">
        <v>1378.0</v>
      </c>
      <c r="B952" s="92" t="s">
        <v>16801</v>
      </c>
      <c r="C952" s="92" t="s">
        <v>7938</v>
      </c>
      <c r="D952" s="92" t="s">
        <v>16044</v>
      </c>
      <c r="E952" s="94">
        <v>45113.55443287037</v>
      </c>
      <c r="F952" s="94">
        <v>45915.92858796296</v>
      </c>
      <c r="G952" s="90">
        <v>45907.66327546296</v>
      </c>
      <c r="H952" s="1" t="s">
        <v>16476</v>
      </c>
    </row>
    <row r="953">
      <c r="A953" s="93">
        <v>682.0</v>
      </c>
      <c r="B953" s="92" t="s">
        <v>16802</v>
      </c>
      <c r="C953" s="92" t="s">
        <v>10426</v>
      </c>
      <c r="D953" s="92" t="s">
        <v>16044</v>
      </c>
      <c r="E953" s="94">
        <v>45113.54416666667</v>
      </c>
      <c r="F953" s="94">
        <v>45915.92778935185</v>
      </c>
      <c r="G953" s="90">
        <v>45907.6628125</v>
      </c>
      <c r="H953" s="1" t="s">
        <v>16476</v>
      </c>
    </row>
    <row r="954">
      <c r="A954" s="93">
        <v>1457.0</v>
      </c>
      <c r="B954" s="92" t="s">
        <v>16803</v>
      </c>
      <c r="C954" s="92" t="s">
        <v>12207</v>
      </c>
      <c r="D954" s="92" t="s">
        <v>16044</v>
      </c>
      <c r="E954" s="94">
        <v>45113.5555787037</v>
      </c>
      <c r="F954" s="94">
        <v>45915.92653935185</v>
      </c>
      <c r="G954" s="90">
        <v>45907.66238425926</v>
      </c>
      <c r="H954" s="1" t="s">
        <v>16476</v>
      </c>
    </row>
    <row r="955">
      <c r="A955" s="93">
        <v>1373.0</v>
      </c>
      <c r="B955" s="92" t="s">
        <v>16804</v>
      </c>
      <c r="C955" s="92" t="s">
        <v>13924</v>
      </c>
      <c r="D955" s="92" t="s">
        <v>16044</v>
      </c>
      <c r="E955" s="94">
        <v>45113.55435185185</v>
      </c>
      <c r="F955" s="94">
        <v>45915.92568287037</v>
      </c>
      <c r="G955" s="90">
        <v>45907.66212962963</v>
      </c>
      <c r="H955" s="1" t="s">
        <v>16476</v>
      </c>
    </row>
    <row r="956">
      <c r="A956" s="93">
        <v>2375.0</v>
      </c>
      <c r="B956" s="92" t="s">
        <v>18902</v>
      </c>
      <c r="C956" s="92" t="s">
        <v>18905</v>
      </c>
      <c r="D956" s="92" t="s">
        <v>18877</v>
      </c>
      <c r="E956" s="94">
        <v>45915.92428240741</v>
      </c>
      <c r="F956" s="94">
        <v>45915.92428240741</v>
      </c>
      <c r="G956" s="90">
        <v>45907.66170138889</v>
      </c>
      <c r="H956" s="1" t="s">
        <v>16476</v>
      </c>
    </row>
    <row r="957">
      <c r="A957" s="93">
        <v>1499.0</v>
      </c>
      <c r="B957" s="92" t="s">
        <v>16805</v>
      </c>
      <c r="C957" s="92" t="s">
        <v>5496</v>
      </c>
      <c r="D957" s="92" t="s">
        <v>16044</v>
      </c>
      <c r="E957" s="94">
        <v>45113.55619212963</v>
      </c>
      <c r="F957" s="94">
        <v>45915.92267361111</v>
      </c>
      <c r="G957" s="90">
        <v>45907.661261574074</v>
      </c>
      <c r="H957" s="1" t="s">
        <v>16476</v>
      </c>
    </row>
    <row r="958">
      <c r="A958" s="93">
        <v>1552.0</v>
      </c>
      <c r="B958" s="92" t="s">
        <v>16806</v>
      </c>
      <c r="C958" s="92" t="s">
        <v>7136</v>
      </c>
      <c r="D958" s="92" t="s">
        <v>16044</v>
      </c>
      <c r="E958" s="94">
        <v>45113.556967592594</v>
      </c>
      <c r="F958" s="94">
        <v>45915.921851851854</v>
      </c>
      <c r="G958" s="90">
        <v>45907.66076388889</v>
      </c>
      <c r="H958" s="1" t="s">
        <v>16476</v>
      </c>
    </row>
    <row r="959">
      <c r="A959" s="93">
        <v>856.0</v>
      </c>
      <c r="B959" s="92" t="s">
        <v>16807</v>
      </c>
      <c r="C959" s="92" t="s">
        <v>6499</v>
      </c>
      <c r="D959" s="92" t="s">
        <v>16044</v>
      </c>
      <c r="E959" s="94">
        <v>45113.54677083333</v>
      </c>
      <c r="F959" s="94">
        <v>45915.919328703705</v>
      </c>
      <c r="G959" s="90">
        <v>45907.660358796296</v>
      </c>
      <c r="H959" s="1" t="s">
        <v>16476</v>
      </c>
    </row>
    <row r="960">
      <c r="A960" s="93">
        <v>1493.0</v>
      </c>
      <c r="B960" s="92" t="s">
        <v>16808</v>
      </c>
      <c r="C960" s="92" t="s">
        <v>12772</v>
      </c>
      <c r="D960" s="92" t="s">
        <v>16044</v>
      </c>
      <c r="E960" s="94">
        <v>45113.55611111111</v>
      </c>
      <c r="F960" s="94">
        <v>45915.91818287037</v>
      </c>
      <c r="G960" s="90">
        <v>45907.659907407404</v>
      </c>
      <c r="H960" s="1" t="s">
        <v>16476</v>
      </c>
    </row>
    <row r="961">
      <c r="A961" s="93">
        <v>1138.0</v>
      </c>
      <c r="B961" s="92" t="s">
        <v>16809</v>
      </c>
      <c r="C961" s="92" t="s">
        <v>13105</v>
      </c>
      <c r="D961" s="92" t="s">
        <v>16044</v>
      </c>
      <c r="E961" s="94">
        <v>45113.55092592593</v>
      </c>
      <c r="F961" s="94">
        <v>45915.91738425926</v>
      </c>
      <c r="G961" s="90">
        <v>45907.65943287037</v>
      </c>
      <c r="H961" s="1" t="s">
        <v>16476</v>
      </c>
    </row>
    <row r="962">
      <c r="A962" s="93">
        <v>942.0</v>
      </c>
      <c r="B962" s="92" t="s">
        <v>16810</v>
      </c>
      <c r="C962" s="92" t="s">
        <v>12349</v>
      </c>
      <c r="D962" s="92" t="s">
        <v>16044</v>
      </c>
      <c r="E962" s="94">
        <v>45113.54803240741</v>
      </c>
      <c r="F962" s="94">
        <v>45915.91642361111</v>
      </c>
      <c r="G962" s="90">
        <v>45907.659004629626</v>
      </c>
      <c r="H962" s="1" t="s">
        <v>16476</v>
      </c>
    </row>
    <row r="963">
      <c r="A963" s="93">
        <v>577.0</v>
      </c>
      <c r="B963" s="92" t="s">
        <v>16811</v>
      </c>
      <c r="C963" s="92" t="s">
        <v>12993</v>
      </c>
      <c r="D963" s="92" t="s">
        <v>16044</v>
      </c>
      <c r="E963" s="94">
        <v>45113.54258101852</v>
      </c>
      <c r="F963" s="94">
        <v>45915.91511574074</v>
      </c>
      <c r="G963" s="90">
        <v>45907.65856481482</v>
      </c>
      <c r="H963" s="1" t="s">
        <v>16476</v>
      </c>
    </row>
    <row r="964">
      <c r="A964" s="93">
        <v>1608.0</v>
      </c>
      <c r="B964" s="92" t="s">
        <v>16812</v>
      </c>
      <c r="C964" s="92" t="s">
        <v>12965</v>
      </c>
      <c r="D964" s="92" t="s">
        <v>16044</v>
      </c>
      <c r="E964" s="94">
        <v>45113.5578125</v>
      </c>
      <c r="F964" s="94">
        <v>45915.914375</v>
      </c>
      <c r="G964" s="90">
        <v>45907.658159722225</v>
      </c>
      <c r="H964" s="1" t="s">
        <v>16476</v>
      </c>
    </row>
    <row r="965">
      <c r="A965" s="93">
        <v>1248.0</v>
      </c>
      <c r="B965" s="92" t="s">
        <v>16813</v>
      </c>
      <c r="C965" s="92" t="s">
        <v>13153</v>
      </c>
      <c r="D965" s="92" t="s">
        <v>16044</v>
      </c>
      <c r="E965" s="94">
        <v>45113.55253472222</v>
      </c>
      <c r="F965" s="94">
        <v>45915.913518518515</v>
      </c>
      <c r="G965" s="90">
        <v>45907.65773148148</v>
      </c>
      <c r="H965" s="1" t="s">
        <v>16476</v>
      </c>
    </row>
    <row r="966">
      <c r="A966" s="93">
        <v>1639.0</v>
      </c>
      <c r="B966" s="92" t="s">
        <v>16814</v>
      </c>
      <c r="C966" s="92" t="s">
        <v>7527</v>
      </c>
      <c r="D966" s="92" t="s">
        <v>16044</v>
      </c>
      <c r="E966" s="94">
        <v>45113.55825231481</v>
      </c>
      <c r="F966" s="94">
        <v>45915.91243055555</v>
      </c>
      <c r="G966" s="90">
        <v>45907.65723379629</v>
      </c>
      <c r="H966" s="1" t="s">
        <v>16476</v>
      </c>
    </row>
    <row r="967">
      <c r="A967" s="93">
        <v>1636.0</v>
      </c>
      <c r="B967" s="92" t="s">
        <v>16815</v>
      </c>
      <c r="C967" s="92" t="s">
        <v>9307</v>
      </c>
      <c r="D967" s="92" t="s">
        <v>16044</v>
      </c>
      <c r="E967" s="94">
        <v>45113.55820601852</v>
      </c>
      <c r="F967" s="94">
        <v>45915.911875</v>
      </c>
      <c r="G967" s="90">
        <v>45907.6565162037</v>
      </c>
      <c r="H967" s="1" t="s">
        <v>16476</v>
      </c>
    </row>
    <row r="968">
      <c r="A968" s="93">
        <v>1132.0</v>
      </c>
      <c r="B968" s="92" t="s">
        <v>16816</v>
      </c>
      <c r="C968" s="92" t="s">
        <v>8495</v>
      </c>
      <c r="D968" s="92" t="s">
        <v>16044</v>
      </c>
      <c r="E968" s="94">
        <v>45113.550844907404</v>
      </c>
      <c r="F968" s="94">
        <v>45915.91122685185</v>
      </c>
      <c r="G968" s="90">
        <v>45907.65621527778</v>
      </c>
      <c r="H968" s="1" t="s">
        <v>16476</v>
      </c>
    </row>
    <row r="969">
      <c r="A969" s="93">
        <v>1422.0</v>
      </c>
      <c r="B969" s="92" t="s">
        <v>16817</v>
      </c>
      <c r="C969" s="92" t="s">
        <v>6471</v>
      </c>
      <c r="D969" s="92" t="s">
        <v>16044</v>
      </c>
      <c r="E969" s="94">
        <v>45113.55506944445</v>
      </c>
      <c r="F969" s="94">
        <v>45915.91039351852</v>
      </c>
      <c r="G969" s="90">
        <v>45907.655439814815</v>
      </c>
      <c r="H969" s="1" t="s">
        <v>16476</v>
      </c>
    </row>
    <row r="970">
      <c r="A970" s="93">
        <v>779.0</v>
      </c>
      <c r="B970" s="92" t="s">
        <v>16818</v>
      </c>
      <c r="C970" s="92" t="s">
        <v>9287</v>
      </c>
      <c r="D970" s="92" t="s">
        <v>16044</v>
      </c>
      <c r="E970" s="94">
        <v>45113.545625</v>
      </c>
      <c r="F970" s="94">
        <v>45915.90971064815</v>
      </c>
      <c r="G970" s="90">
        <v>45907.65498842593</v>
      </c>
      <c r="H970" s="1" t="s">
        <v>16476</v>
      </c>
    </row>
    <row r="971">
      <c r="A971" s="93">
        <v>1612.0</v>
      </c>
      <c r="B971" s="92" t="s">
        <v>16819</v>
      </c>
      <c r="C971" s="92" t="s">
        <v>7713</v>
      </c>
      <c r="D971" s="92" t="s">
        <v>16044</v>
      </c>
      <c r="E971" s="94">
        <v>45113.55787037037</v>
      </c>
      <c r="F971" s="94">
        <v>45915.908541666664</v>
      </c>
      <c r="G971" s="90">
        <v>45907.65452546296</v>
      </c>
      <c r="H971" s="1" t="s">
        <v>16476</v>
      </c>
    </row>
    <row r="972">
      <c r="A972" s="93">
        <v>1487.0</v>
      </c>
      <c r="B972" s="92" t="s">
        <v>16820</v>
      </c>
      <c r="C972" s="92" t="s">
        <v>6786</v>
      </c>
      <c r="D972" s="92" t="s">
        <v>16044</v>
      </c>
      <c r="E972" s="94">
        <v>45113.55601851852</v>
      </c>
      <c r="F972" s="94">
        <v>45915.908113425925</v>
      </c>
      <c r="G972" s="90">
        <v>45907.65415509259</v>
      </c>
      <c r="H972" s="1" t="s">
        <v>16476</v>
      </c>
    </row>
    <row r="973">
      <c r="A973" s="93">
        <v>1326.0</v>
      </c>
      <c r="B973" s="92" t="s">
        <v>16821</v>
      </c>
      <c r="C973" s="92" t="s">
        <v>10808</v>
      </c>
      <c r="D973" s="92" t="s">
        <v>16044</v>
      </c>
      <c r="E973" s="94">
        <v>45113.55366898148</v>
      </c>
      <c r="F973" s="94">
        <v>45915.90759259259</v>
      </c>
      <c r="G973" s="90">
        <v>45907.65372685185</v>
      </c>
      <c r="H973" s="1" t="s">
        <v>16476</v>
      </c>
    </row>
    <row r="974">
      <c r="A974" s="93">
        <v>1206.0</v>
      </c>
      <c r="B974" s="92" t="s">
        <v>16822</v>
      </c>
      <c r="C974" s="92" t="s">
        <v>9675</v>
      </c>
      <c r="D974" s="92" t="s">
        <v>16044</v>
      </c>
      <c r="E974" s="94">
        <v>45113.5519212963</v>
      </c>
      <c r="F974" s="94">
        <v>45915.907013888886</v>
      </c>
      <c r="G974" s="90">
        <v>45907.653449074074</v>
      </c>
      <c r="H974" s="1" t="s">
        <v>16476</v>
      </c>
    </row>
    <row r="975">
      <c r="A975" s="93">
        <v>1298.0</v>
      </c>
      <c r="B975" s="92" t="s">
        <v>16823</v>
      </c>
      <c r="C975" s="92" t="s">
        <v>12901</v>
      </c>
      <c r="D975" s="92" t="s">
        <v>16044</v>
      </c>
      <c r="E975" s="94">
        <v>45113.55326388889</v>
      </c>
      <c r="F975" s="94">
        <v>45915.896365740744</v>
      </c>
      <c r="G975" s="90">
        <v>45907.65282407407</v>
      </c>
      <c r="H975" s="1" t="s">
        <v>16476</v>
      </c>
    </row>
    <row r="976">
      <c r="A976" s="93">
        <v>984.0</v>
      </c>
      <c r="B976" s="92" t="s">
        <v>16824</v>
      </c>
      <c r="C976" s="92" t="s">
        <v>9242</v>
      </c>
      <c r="D976" s="92" t="s">
        <v>16044</v>
      </c>
      <c r="E976" s="94">
        <v>45113.54864583333</v>
      </c>
      <c r="F976" s="94">
        <v>45915.89475694444</v>
      </c>
      <c r="G976" s="90">
        <v>45907.65244212963</v>
      </c>
      <c r="H976" s="1" t="s">
        <v>16476</v>
      </c>
    </row>
    <row r="977">
      <c r="A977" s="93">
        <v>710.0</v>
      </c>
      <c r="B977" s="92" t="s">
        <v>16825</v>
      </c>
      <c r="C977" s="92" t="s">
        <v>5464</v>
      </c>
      <c r="D977" s="92" t="s">
        <v>16044</v>
      </c>
      <c r="E977" s="94">
        <v>45113.544583333336</v>
      </c>
      <c r="F977" s="94">
        <v>45915.89424768519</v>
      </c>
      <c r="G977" s="90">
        <v>45907.6518287037</v>
      </c>
      <c r="H977" s="1" t="s">
        <v>16476</v>
      </c>
    </row>
    <row r="978">
      <c r="A978" s="93">
        <v>1475.0</v>
      </c>
      <c r="B978" s="92" t="s">
        <v>16826</v>
      </c>
      <c r="C978" s="92" t="s">
        <v>5382</v>
      </c>
      <c r="D978" s="92" t="s">
        <v>16044</v>
      </c>
      <c r="E978" s="94">
        <v>45113.55584490741</v>
      </c>
      <c r="F978" s="94">
        <v>45915.89314814815</v>
      </c>
      <c r="G978" s="90">
        <v>45907.6515625</v>
      </c>
      <c r="H978" s="1" t="s">
        <v>16476</v>
      </c>
    </row>
    <row r="979">
      <c r="A979" s="93">
        <v>1154.0</v>
      </c>
      <c r="B979" s="92" t="s">
        <v>16827</v>
      </c>
      <c r="C979" s="92" t="s">
        <v>10282</v>
      </c>
      <c r="D979" s="92" t="s">
        <v>16044</v>
      </c>
      <c r="E979" s="94">
        <v>45113.551157407404</v>
      </c>
      <c r="F979" s="94">
        <v>45915.89231481482</v>
      </c>
      <c r="G979" s="90">
        <v>45907.65130787037</v>
      </c>
      <c r="H979" s="1" t="s">
        <v>16476</v>
      </c>
    </row>
    <row r="980">
      <c r="A980" s="93">
        <v>1459.0</v>
      </c>
      <c r="B980" s="92" t="s">
        <v>16828</v>
      </c>
      <c r="C980" s="92" t="s">
        <v>10783</v>
      </c>
      <c r="D980" s="92" t="s">
        <v>16044</v>
      </c>
      <c r="E980" s="94">
        <v>45113.555613425924</v>
      </c>
      <c r="F980" s="94">
        <v>45915.89150462963</v>
      </c>
      <c r="G980" s="90">
        <v>45907.65096064815</v>
      </c>
      <c r="H980" s="1" t="s">
        <v>16476</v>
      </c>
    </row>
    <row r="981">
      <c r="A981" s="93">
        <v>1338.0</v>
      </c>
      <c r="B981" s="92" t="s">
        <v>16829</v>
      </c>
      <c r="C981" s="92" t="s">
        <v>9445</v>
      </c>
      <c r="D981" s="92" t="s">
        <v>16044</v>
      </c>
      <c r="E981" s="94">
        <v>45113.55384259259</v>
      </c>
      <c r="F981" s="94">
        <v>45915.88628472222</v>
      </c>
      <c r="G981" s="90">
        <v>45907.65064814815</v>
      </c>
      <c r="H981" s="1" t="s">
        <v>16476</v>
      </c>
    </row>
    <row r="982">
      <c r="A982" s="93">
        <v>586.0</v>
      </c>
      <c r="B982" s="92" t="s">
        <v>16830</v>
      </c>
      <c r="C982" s="92" t="s">
        <v>12157</v>
      </c>
      <c r="D982" s="92" t="s">
        <v>16044</v>
      </c>
      <c r="E982" s="94">
        <v>45113.542719907404</v>
      </c>
      <c r="F982" s="94">
        <v>45915.88538194444</v>
      </c>
      <c r="G982" s="90">
        <v>45907.65038194445</v>
      </c>
      <c r="H982" s="1" t="s">
        <v>16476</v>
      </c>
    </row>
    <row r="983">
      <c r="A983" s="93">
        <v>1476.0</v>
      </c>
      <c r="B983" s="92" t="s">
        <v>16831</v>
      </c>
      <c r="C983" s="92" t="s">
        <v>5555</v>
      </c>
      <c r="D983" s="92" t="s">
        <v>16044</v>
      </c>
      <c r="E983" s="94">
        <v>45113.55585648148</v>
      </c>
      <c r="F983" s="94">
        <v>45915.883576388886</v>
      </c>
      <c r="G983" s="90">
        <v>45907.65013888889</v>
      </c>
      <c r="H983" s="1" t="s">
        <v>16476</v>
      </c>
    </row>
    <row r="984">
      <c r="A984" s="93">
        <v>1199.0</v>
      </c>
      <c r="B984" s="92" t="s">
        <v>16832</v>
      </c>
      <c r="C984" s="92" t="s">
        <v>12885</v>
      </c>
      <c r="D984" s="92" t="s">
        <v>16044</v>
      </c>
      <c r="E984" s="94">
        <v>45113.55181712963</v>
      </c>
      <c r="F984" s="94">
        <v>45915.84239583334</v>
      </c>
      <c r="G984" s="90">
        <v>45907.649872685186</v>
      </c>
      <c r="H984" s="1" t="s">
        <v>16476</v>
      </c>
    </row>
    <row r="985">
      <c r="A985" s="93">
        <v>1658.0</v>
      </c>
      <c r="B985" s="92" t="s">
        <v>16833</v>
      </c>
      <c r="C985" s="92" t="s">
        <v>11855</v>
      </c>
      <c r="D985" s="92" t="s">
        <v>16044</v>
      </c>
      <c r="E985" s="94">
        <v>45113.558530092596</v>
      </c>
      <c r="F985" s="94">
        <v>45914.85140046296</v>
      </c>
      <c r="G985" s="90">
        <v>45907.64947916667</v>
      </c>
      <c r="H985" s="1" t="s">
        <v>16476</v>
      </c>
    </row>
    <row r="986">
      <c r="A986" s="93">
        <v>975.0</v>
      </c>
      <c r="B986" s="92" t="s">
        <v>16834</v>
      </c>
      <c r="C986" s="92" t="s">
        <v>9024</v>
      </c>
      <c r="D986" s="92" t="s">
        <v>16044</v>
      </c>
      <c r="E986" s="94">
        <v>45113.54850694445</v>
      </c>
      <c r="F986" s="94">
        <v>45914.85083333333</v>
      </c>
      <c r="G986" s="90">
        <v>45907.64886574074</v>
      </c>
      <c r="H986" s="1" t="s">
        <v>16476</v>
      </c>
    </row>
    <row r="987">
      <c r="A987" s="93">
        <v>1553.0</v>
      </c>
      <c r="B987" s="92" t="s">
        <v>16835</v>
      </c>
      <c r="C987" s="92" t="s">
        <v>6358</v>
      </c>
      <c r="D987" s="92" t="s">
        <v>16044</v>
      </c>
      <c r="E987" s="94">
        <v>45113.55699074074</v>
      </c>
      <c r="F987" s="94">
        <v>45914.850023148145</v>
      </c>
      <c r="G987" s="90">
        <v>45907.648506944446</v>
      </c>
      <c r="H987" s="1" t="s">
        <v>16476</v>
      </c>
    </row>
    <row r="988">
      <c r="A988" s="93">
        <v>983.0</v>
      </c>
      <c r="B988" s="92" t="s">
        <v>16836</v>
      </c>
      <c r="C988" s="92" t="s">
        <v>7055</v>
      </c>
      <c r="D988" s="92" t="s">
        <v>16044</v>
      </c>
      <c r="E988" s="94">
        <v>45113.548622685186</v>
      </c>
      <c r="F988" s="94">
        <v>45914.84962962963</v>
      </c>
      <c r="G988" s="90">
        <v>45907.64807870371</v>
      </c>
      <c r="H988" s="1" t="s">
        <v>16476</v>
      </c>
    </row>
    <row r="989">
      <c r="A989" s="93">
        <v>1474.0</v>
      </c>
      <c r="B989" s="92" t="s">
        <v>16837</v>
      </c>
      <c r="C989" s="92" t="s">
        <v>12833</v>
      </c>
      <c r="D989" s="92" t="s">
        <v>16044</v>
      </c>
      <c r="E989" s="94">
        <v>45113.55583333333</v>
      </c>
      <c r="F989" s="94">
        <v>45914.84818287037</v>
      </c>
      <c r="G989" s="90">
        <v>45907.64778935185</v>
      </c>
      <c r="H989" s="1" t="s">
        <v>16476</v>
      </c>
    </row>
    <row r="990">
      <c r="A990" s="93">
        <v>1229.0</v>
      </c>
      <c r="B990" s="92" t="s">
        <v>16838</v>
      </c>
      <c r="C990" s="92" t="s">
        <v>11888</v>
      </c>
      <c r="D990" s="92" t="s">
        <v>16044</v>
      </c>
      <c r="E990" s="94">
        <v>45113.552256944444</v>
      </c>
      <c r="F990" s="94">
        <v>45914.8471412037</v>
      </c>
      <c r="G990" s="90">
        <v>45907.6475</v>
      </c>
      <c r="H990" s="1" t="s">
        <v>16476</v>
      </c>
    </row>
    <row r="991">
      <c r="A991" s="93">
        <v>1534.0</v>
      </c>
      <c r="B991" s="92" t="s">
        <v>16839</v>
      </c>
      <c r="C991" s="92" t="s">
        <v>12039</v>
      </c>
      <c r="D991" s="92" t="s">
        <v>16044</v>
      </c>
      <c r="E991" s="94">
        <v>45113.55671296296</v>
      </c>
      <c r="F991" s="94">
        <v>45914.84636574074</v>
      </c>
      <c r="G991" s="90">
        <v>45907.64724537037</v>
      </c>
      <c r="H991" s="1" t="s">
        <v>16476</v>
      </c>
    </row>
    <row r="992">
      <c r="A992" s="93">
        <v>1341.0</v>
      </c>
      <c r="B992" s="92" t="s">
        <v>16840</v>
      </c>
      <c r="C992" s="92" t="s">
        <v>8429</v>
      </c>
      <c r="D992" s="92" t="s">
        <v>16044</v>
      </c>
      <c r="E992" s="94">
        <v>45113.55388888889</v>
      </c>
      <c r="F992" s="94">
        <v>45914.84599537037</v>
      </c>
      <c r="G992" s="90">
        <v>45907.646944444445</v>
      </c>
      <c r="H992" s="1" t="s">
        <v>16476</v>
      </c>
    </row>
    <row r="993">
      <c r="A993" s="93">
        <v>644.0</v>
      </c>
      <c r="B993" s="92" t="s">
        <v>16841</v>
      </c>
      <c r="C993" s="92" t="s">
        <v>9936</v>
      </c>
      <c r="D993" s="92" t="s">
        <v>16044</v>
      </c>
      <c r="E993" s="94">
        <v>45113.543587962966</v>
      </c>
      <c r="F993" s="94">
        <v>45914.845613425925</v>
      </c>
      <c r="G993" s="90">
        <v>45907.64623842593</v>
      </c>
      <c r="H993" s="1" t="s">
        <v>16476</v>
      </c>
    </row>
    <row r="994">
      <c r="A994" s="93">
        <v>504.0</v>
      </c>
      <c r="B994" s="92" t="s">
        <v>16842</v>
      </c>
      <c r="C994" s="92" t="s">
        <v>8369</v>
      </c>
      <c r="D994" s="92" t="s">
        <v>16044</v>
      </c>
      <c r="E994" s="94">
        <v>45113.541550925926</v>
      </c>
      <c r="F994" s="94">
        <v>45914.845</v>
      </c>
      <c r="G994" s="90">
        <v>45907.64572916667</v>
      </c>
      <c r="H994" s="1" t="s">
        <v>16476</v>
      </c>
    </row>
    <row r="995">
      <c r="A995" s="93">
        <v>505.0</v>
      </c>
      <c r="B995" s="92" t="s">
        <v>16843</v>
      </c>
      <c r="C995" s="92" t="s">
        <v>6140</v>
      </c>
      <c r="D995" s="92" t="s">
        <v>16044</v>
      </c>
      <c r="E995" s="94">
        <v>45113.5415625</v>
      </c>
      <c r="F995" s="94">
        <v>45914.84416666667</v>
      </c>
      <c r="G995" s="90">
        <v>45907.64525462963</v>
      </c>
      <c r="H995" s="1" t="s">
        <v>16476</v>
      </c>
    </row>
    <row r="996">
      <c r="A996" s="93">
        <v>1263.0</v>
      </c>
      <c r="B996" s="92" t="s">
        <v>16844</v>
      </c>
      <c r="C996" s="92" t="s">
        <v>10121</v>
      </c>
      <c r="D996" s="92" t="s">
        <v>16044</v>
      </c>
      <c r="E996" s="94">
        <v>45113.55275462963</v>
      </c>
      <c r="F996" s="94">
        <v>45914.843148148146</v>
      </c>
      <c r="G996" s="90">
        <v>45907.644849537035</v>
      </c>
      <c r="H996" s="1" t="s">
        <v>16476</v>
      </c>
    </row>
    <row r="997">
      <c r="A997" s="93">
        <v>496.0</v>
      </c>
      <c r="B997" s="92" t="s">
        <v>16845</v>
      </c>
      <c r="C997" s="92" t="s">
        <v>6102</v>
      </c>
      <c r="D997" s="92" t="s">
        <v>16044</v>
      </c>
      <c r="E997" s="94">
        <v>45113.54143518519</v>
      </c>
      <c r="F997" s="94">
        <v>45914.8428125</v>
      </c>
      <c r="G997" s="90">
        <v>45907.64424768519</v>
      </c>
      <c r="H997" s="1" t="s">
        <v>16476</v>
      </c>
    </row>
    <row r="998">
      <c r="A998" s="93">
        <v>474.0</v>
      </c>
      <c r="B998" s="92" t="s">
        <v>16846</v>
      </c>
      <c r="C998" s="92" t="s">
        <v>9861</v>
      </c>
      <c r="D998" s="92" t="s">
        <v>16044</v>
      </c>
      <c r="E998" s="94">
        <v>45113.54107638889</v>
      </c>
      <c r="F998" s="94">
        <v>45914.84232638889</v>
      </c>
      <c r="G998" s="90">
        <v>45907.643854166665</v>
      </c>
      <c r="H998" s="1" t="s">
        <v>16476</v>
      </c>
    </row>
    <row r="999">
      <c r="A999" s="93">
        <v>1339.0</v>
      </c>
      <c r="B999" s="92" t="s">
        <v>16847</v>
      </c>
      <c r="C999" s="92" t="s">
        <v>13510</v>
      </c>
      <c r="D999" s="92" t="s">
        <v>16044</v>
      </c>
      <c r="E999" s="94">
        <v>45113.55385416667</v>
      </c>
      <c r="F999" s="94">
        <v>45914.841145833336</v>
      </c>
      <c r="G999" s="90">
        <v>45907.643125</v>
      </c>
      <c r="H999" s="1" t="s">
        <v>16476</v>
      </c>
    </row>
    <row r="1000">
      <c r="A1000" s="93">
        <v>1550.0</v>
      </c>
      <c r="B1000" s="92" t="s">
        <v>16848</v>
      </c>
      <c r="C1000" s="92" t="s">
        <v>8329</v>
      </c>
      <c r="D1000" s="92" t="s">
        <v>16044</v>
      </c>
      <c r="E1000" s="94">
        <v>45113.55694444444</v>
      </c>
      <c r="F1000" s="94">
        <v>45914.84037037037</v>
      </c>
      <c r="G1000" s="90">
        <v>45907.64226851852</v>
      </c>
      <c r="H1000" s="1" t="s">
        <v>16476</v>
      </c>
    </row>
    <row r="1001">
      <c r="A1001" s="93">
        <v>1309.0</v>
      </c>
      <c r="B1001" s="92" t="s">
        <v>16849</v>
      </c>
      <c r="C1001" s="92" t="s">
        <v>11591</v>
      </c>
      <c r="D1001" s="92" t="s">
        <v>16044</v>
      </c>
      <c r="E1001" s="94">
        <v>45113.55342592593</v>
      </c>
      <c r="F1001" s="94">
        <v>45914.83931712963</v>
      </c>
      <c r="G1001" s="90">
        <v>45907.642013888886</v>
      </c>
      <c r="H1001" s="1" t="s">
        <v>16476</v>
      </c>
    </row>
    <row r="1002">
      <c r="A1002" s="93">
        <v>1057.0</v>
      </c>
      <c r="B1002" s="92" t="s">
        <v>16850</v>
      </c>
      <c r="C1002" s="92" t="s">
        <v>8157</v>
      </c>
      <c r="D1002" s="92" t="s">
        <v>16044</v>
      </c>
      <c r="E1002" s="94">
        <v>45113.54971064815</v>
      </c>
      <c r="F1002" s="94">
        <v>45914.83887731482</v>
      </c>
      <c r="G1002" s="90">
        <v>45907.641689814816</v>
      </c>
      <c r="H1002" s="1" t="s">
        <v>16476</v>
      </c>
    </row>
    <row r="1003">
      <c r="A1003" s="93">
        <v>483.0</v>
      </c>
      <c r="B1003" s="92" t="s">
        <v>16851</v>
      </c>
      <c r="C1003" s="92" t="s">
        <v>9314</v>
      </c>
      <c r="D1003" s="92" t="s">
        <v>16044</v>
      </c>
      <c r="E1003" s="94">
        <v>45113.54121527778</v>
      </c>
      <c r="F1003" s="94">
        <v>45914.83782407407</v>
      </c>
      <c r="G1003" s="90">
        <v>45907.64037037037</v>
      </c>
      <c r="H1003" s="1" t="s">
        <v>16476</v>
      </c>
    </row>
    <row r="1004">
      <c r="A1004" s="93">
        <v>985.0</v>
      </c>
      <c r="B1004" s="92" t="s">
        <v>16852</v>
      </c>
      <c r="C1004" s="92" t="s">
        <v>6530</v>
      </c>
      <c r="D1004" s="92" t="s">
        <v>16044</v>
      </c>
      <c r="E1004" s="94">
        <v>45113.54865740741</v>
      </c>
      <c r="F1004" s="94">
        <v>45914.8374537037</v>
      </c>
      <c r="G1004" s="90">
        <v>45907.64011574074</v>
      </c>
      <c r="H1004" s="1" t="s">
        <v>16476</v>
      </c>
    </row>
    <row r="1005">
      <c r="A1005" s="93">
        <v>1596.0</v>
      </c>
      <c r="B1005" s="92" t="s">
        <v>16853</v>
      </c>
      <c r="C1005" s="92" t="s">
        <v>8954</v>
      </c>
      <c r="D1005" s="92" t="s">
        <v>16044</v>
      </c>
      <c r="E1005" s="94">
        <v>45113.55763888889</v>
      </c>
      <c r="F1005" s="94">
        <v>45914.836863425924</v>
      </c>
      <c r="G1005" s="90">
        <v>45907.63983796296</v>
      </c>
      <c r="H1005" s="1" t="s">
        <v>16476</v>
      </c>
    </row>
    <row r="1006">
      <c r="A1006" s="93">
        <v>959.0</v>
      </c>
      <c r="B1006" s="92" t="s">
        <v>16854</v>
      </c>
      <c r="C1006" s="92" t="s">
        <v>7625</v>
      </c>
      <c r="D1006" s="92" t="s">
        <v>16044</v>
      </c>
      <c r="E1006" s="94">
        <v>45113.54827546296</v>
      </c>
      <c r="F1006" s="94">
        <v>45914.83629629629</v>
      </c>
      <c r="G1006" s="90">
        <v>45907.639560185184</v>
      </c>
      <c r="H1006" s="1" t="s">
        <v>16476</v>
      </c>
    </row>
    <row r="1007">
      <c r="A1007" s="93">
        <v>491.0</v>
      </c>
      <c r="B1007" s="92" t="s">
        <v>16855</v>
      </c>
      <c r="C1007" s="92" t="s">
        <v>9993</v>
      </c>
      <c r="D1007" s="92" t="s">
        <v>16044</v>
      </c>
      <c r="E1007" s="94">
        <v>45113.54133101852</v>
      </c>
      <c r="F1007" s="94">
        <v>45914.8356712963</v>
      </c>
      <c r="G1007" s="90">
        <v>45907.638344907406</v>
      </c>
      <c r="H1007" s="1" t="s">
        <v>16476</v>
      </c>
    </row>
    <row r="1008">
      <c r="A1008" s="93">
        <v>1615.0</v>
      </c>
      <c r="B1008" s="92" t="s">
        <v>16856</v>
      </c>
      <c r="C1008" s="92" t="s">
        <v>5442</v>
      </c>
      <c r="D1008" s="92" t="s">
        <v>16044</v>
      </c>
      <c r="E1008" s="94">
        <v>45113.557916666665</v>
      </c>
      <c r="F1008" s="94">
        <v>45914.83505787037</v>
      </c>
      <c r="G1008" s="90">
        <v>45907.63805555556</v>
      </c>
      <c r="H1008" s="1" t="s">
        <v>16476</v>
      </c>
    </row>
    <row r="1009">
      <c r="A1009" s="93">
        <v>466.0</v>
      </c>
      <c r="B1009" s="92" t="s">
        <v>16857</v>
      </c>
      <c r="C1009" s="92" t="s">
        <v>9814</v>
      </c>
      <c r="D1009" s="92" t="s">
        <v>16044</v>
      </c>
      <c r="E1009" s="94">
        <v>45113.54096064815</v>
      </c>
      <c r="F1009" s="94">
        <v>45914.83405092593</v>
      </c>
      <c r="G1009" s="90">
        <v>45907.63761574074</v>
      </c>
      <c r="H1009" s="1" t="s">
        <v>16476</v>
      </c>
    </row>
    <row r="1010">
      <c r="A1010" s="93">
        <v>484.0</v>
      </c>
      <c r="B1010" s="92" t="s">
        <v>16858</v>
      </c>
      <c r="C1010" s="92" t="s">
        <v>9944</v>
      </c>
      <c r="D1010" s="92" t="s">
        <v>16044</v>
      </c>
      <c r="E1010" s="94">
        <v>45113.54122685185</v>
      </c>
      <c r="F1010" s="94">
        <v>45914.833344907405</v>
      </c>
      <c r="G1010" s="90">
        <v>45907.63731481481</v>
      </c>
      <c r="H1010" s="1" t="s">
        <v>16476</v>
      </c>
    </row>
    <row r="1011">
      <c r="A1011" s="93">
        <v>503.0</v>
      </c>
      <c r="B1011" s="92" t="s">
        <v>16859</v>
      </c>
      <c r="C1011" s="92" t="s">
        <v>10080</v>
      </c>
      <c r="D1011" s="92" t="s">
        <v>16044</v>
      </c>
      <c r="E1011" s="94">
        <v>45113.54153935185</v>
      </c>
      <c r="F1011" s="94">
        <v>45914.832916666666</v>
      </c>
      <c r="G1011" s="90">
        <v>45907.63699074074</v>
      </c>
      <c r="H1011" s="1" t="s">
        <v>16476</v>
      </c>
    </row>
    <row r="1012">
      <c r="A1012" s="93">
        <v>637.0</v>
      </c>
      <c r="B1012" s="92" t="s">
        <v>16860</v>
      </c>
      <c r="C1012" s="92" t="s">
        <v>7564</v>
      </c>
      <c r="D1012" s="92" t="s">
        <v>16044</v>
      </c>
      <c r="E1012" s="94">
        <v>45113.54347222222</v>
      </c>
      <c r="F1012" s="94">
        <v>45914.83199074074</v>
      </c>
      <c r="G1012" s="90">
        <v>45907.63637731481</v>
      </c>
      <c r="H1012" s="1" t="s">
        <v>16476</v>
      </c>
    </row>
    <row r="1013">
      <c r="A1013" s="93">
        <v>1649.0</v>
      </c>
      <c r="B1013" s="92" t="s">
        <v>16861</v>
      </c>
      <c r="C1013" s="92" t="s">
        <v>11030</v>
      </c>
      <c r="D1013" s="92" t="s">
        <v>16044</v>
      </c>
      <c r="E1013" s="94">
        <v>45113.55840277778</v>
      </c>
      <c r="F1013" s="94">
        <v>45914.83049768519</v>
      </c>
      <c r="G1013" s="90">
        <v>45907.63605324074</v>
      </c>
      <c r="H1013" s="1" t="s">
        <v>16476</v>
      </c>
    </row>
    <row r="1014">
      <c r="A1014" s="93">
        <v>1651.0</v>
      </c>
      <c r="B1014" s="92" t="s">
        <v>16862</v>
      </c>
      <c r="C1014" s="92" t="s">
        <v>5795</v>
      </c>
      <c r="D1014" s="92" t="s">
        <v>16044</v>
      </c>
      <c r="E1014" s="94">
        <v>45113.55842592593</v>
      </c>
      <c r="F1014" s="94">
        <v>45914.829421296294</v>
      </c>
      <c r="G1014" s="90">
        <v>45907.63538194444</v>
      </c>
      <c r="H1014" s="1" t="s">
        <v>16476</v>
      </c>
    </row>
    <row r="1015">
      <c r="A1015" s="93">
        <v>995.0</v>
      </c>
      <c r="B1015" s="92" t="s">
        <v>16863</v>
      </c>
      <c r="C1015" s="92" t="s">
        <v>14472</v>
      </c>
      <c r="D1015" s="92" t="s">
        <v>16044</v>
      </c>
      <c r="E1015" s="94">
        <v>45113.54880787037</v>
      </c>
      <c r="F1015" s="94">
        <v>45914.82840277778</v>
      </c>
      <c r="G1015" s="90">
        <v>45907.63511574074</v>
      </c>
      <c r="H1015" s="1" t="s">
        <v>16476</v>
      </c>
    </row>
    <row r="1016">
      <c r="A1016" s="93">
        <v>839.0</v>
      </c>
      <c r="B1016" s="92" t="s">
        <v>16864</v>
      </c>
      <c r="C1016" s="92" t="s">
        <v>11847</v>
      </c>
      <c r="D1016" s="92" t="s">
        <v>16044</v>
      </c>
      <c r="E1016" s="94">
        <v>45113.54652777778</v>
      </c>
      <c r="F1016" s="94">
        <v>45914.82776620371</v>
      </c>
      <c r="G1016" s="90">
        <v>45907.63482638889</v>
      </c>
      <c r="H1016" s="1" t="s">
        <v>16476</v>
      </c>
    </row>
    <row r="1017">
      <c r="A1017" s="93">
        <v>1663.0</v>
      </c>
      <c r="B1017" s="92" t="s">
        <v>16865</v>
      </c>
      <c r="C1017" s="92" t="s">
        <v>169</v>
      </c>
      <c r="D1017" s="92" t="s">
        <v>16044</v>
      </c>
      <c r="E1017" s="94">
        <v>45113.558599537035</v>
      </c>
      <c r="F1017" s="94">
        <v>45914.827002314814</v>
      </c>
      <c r="G1017" s="90">
        <v>45907.63443287037</v>
      </c>
      <c r="H1017" s="1" t="s">
        <v>16476</v>
      </c>
    </row>
    <row r="1018">
      <c r="A1018" s="93">
        <v>1563.0</v>
      </c>
      <c r="B1018" s="92" t="s">
        <v>16866</v>
      </c>
      <c r="C1018" s="92" t="s">
        <v>12033</v>
      </c>
      <c r="D1018" s="92" t="s">
        <v>16044</v>
      </c>
      <c r="E1018" s="94">
        <v>45113.55712962963</v>
      </c>
      <c r="F1018" s="94">
        <v>45914.826574074075</v>
      </c>
      <c r="G1018" s="90">
        <v>45907.634039351855</v>
      </c>
      <c r="H1018" s="1" t="s">
        <v>16476</v>
      </c>
    </row>
    <row r="1019">
      <c r="A1019" s="93">
        <v>1096.0</v>
      </c>
      <c r="B1019" s="92" t="s">
        <v>16867</v>
      </c>
      <c r="C1019" s="92" t="s">
        <v>8688</v>
      </c>
      <c r="D1019" s="92" t="s">
        <v>16044</v>
      </c>
      <c r="E1019" s="94">
        <v>45113.55028935185</v>
      </c>
      <c r="F1019" s="94">
        <v>45914.82539351852</v>
      </c>
      <c r="G1019" s="90">
        <v>45907.59967592593</v>
      </c>
      <c r="H1019" s="1" t="s">
        <v>16476</v>
      </c>
    </row>
    <row r="1020">
      <c r="A1020" s="93">
        <v>1023.0</v>
      </c>
      <c r="B1020" s="92" t="s">
        <v>16868</v>
      </c>
      <c r="C1020" s="92" t="s">
        <v>10337</v>
      </c>
      <c r="D1020" s="92" t="s">
        <v>16044</v>
      </c>
      <c r="E1020" s="94">
        <v>45113.549212962964</v>
      </c>
      <c r="F1020" s="94">
        <v>45914.825011574074</v>
      </c>
      <c r="G1020" s="90">
        <v>45907.59900462963</v>
      </c>
      <c r="H1020" s="1" t="s">
        <v>16476</v>
      </c>
    </row>
    <row r="1021">
      <c r="A1021" s="93">
        <v>829.0</v>
      </c>
      <c r="B1021" s="92" t="s">
        <v>16869</v>
      </c>
      <c r="C1021" s="92" t="s">
        <v>9167</v>
      </c>
      <c r="D1021" s="92" t="s">
        <v>16044</v>
      </c>
      <c r="E1021" s="94">
        <v>45113.546377314815</v>
      </c>
      <c r="F1021" s="94">
        <v>45914.824583333335</v>
      </c>
      <c r="G1021" s="90">
        <v>45907.59806712963</v>
      </c>
      <c r="H1021" s="1" t="s">
        <v>16476</v>
      </c>
    </row>
    <row r="1022">
      <c r="A1022" s="93">
        <v>1291.0</v>
      </c>
      <c r="B1022" s="92" t="s">
        <v>16870</v>
      </c>
      <c r="C1022" s="92" t="s">
        <v>13360</v>
      </c>
      <c r="D1022" s="92" t="s">
        <v>16044</v>
      </c>
      <c r="E1022" s="94">
        <v>45113.55315972222</v>
      </c>
      <c r="F1022" s="94">
        <v>45914.82373842593</v>
      </c>
      <c r="G1022" s="90">
        <v>45907.59746527778</v>
      </c>
      <c r="H1022" s="1" t="s">
        <v>16476</v>
      </c>
    </row>
    <row r="1023">
      <c r="A1023" s="93">
        <v>614.0</v>
      </c>
      <c r="B1023" s="92" t="s">
        <v>16871</v>
      </c>
      <c r="C1023" s="92" t="s">
        <v>10033</v>
      </c>
      <c r="D1023" s="92" t="s">
        <v>16044</v>
      </c>
      <c r="E1023" s="94">
        <v>45113.543125</v>
      </c>
      <c r="F1023" s="94">
        <v>45914.82314814815</v>
      </c>
      <c r="G1023" s="90">
        <v>45907.59707175926</v>
      </c>
      <c r="H1023" s="1" t="s">
        <v>16476</v>
      </c>
    </row>
    <row r="1024">
      <c r="A1024" s="93">
        <v>1303.0</v>
      </c>
      <c r="B1024" s="92" t="s">
        <v>16872</v>
      </c>
      <c r="C1024" s="92" t="s">
        <v>5646</v>
      </c>
      <c r="D1024" s="92" t="s">
        <v>16044</v>
      </c>
      <c r="E1024" s="94">
        <v>45113.55333333334</v>
      </c>
      <c r="F1024" s="94">
        <v>45914.82237268519</v>
      </c>
      <c r="G1024" s="90">
        <v>45907.596817129626</v>
      </c>
      <c r="H1024" s="1" t="s">
        <v>16476</v>
      </c>
    </row>
    <row r="1025">
      <c r="A1025" s="93">
        <v>885.0</v>
      </c>
      <c r="B1025" s="92" t="s">
        <v>16873</v>
      </c>
      <c r="C1025" s="92" t="s">
        <v>11947</v>
      </c>
      <c r="D1025" s="92" t="s">
        <v>16044</v>
      </c>
      <c r="E1025" s="94">
        <v>45113.54719907408</v>
      </c>
      <c r="F1025" s="94">
        <v>45914.821967592594</v>
      </c>
      <c r="G1025" s="90">
        <v>45907.59636574074</v>
      </c>
      <c r="H1025" s="1" t="s">
        <v>16476</v>
      </c>
    </row>
    <row r="1026">
      <c r="A1026" s="93">
        <v>656.0</v>
      </c>
      <c r="B1026" s="92" t="s">
        <v>16874</v>
      </c>
      <c r="C1026" s="92" t="s">
        <v>9718</v>
      </c>
      <c r="D1026" s="92" t="s">
        <v>16044</v>
      </c>
      <c r="E1026" s="94">
        <v>45113.54377314815</v>
      </c>
      <c r="F1026" s="94">
        <v>45914.82158564815</v>
      </c>
      <c r="G1026" s="90">
        <v>45907.59590277778</v>
      </c>
      <c r="H1026" s="1" t="s">
        <v>16476</v>
      </c>
    </row>
    <row r="1027">
      <c r="A1027" s="93">
        <v>712.0</v>
      </c>
      <c r="B1027" s="92" t="s">
        <v>16875</v>
      </c>
      <c r="C1027" s="92" t="s">
        <v>8242</v>
      </c>
      <c r="D1027" s="92" t="s">
        <v>16044</v>
      </c>
      <c r="E1027" s="94">
        <v>45113.54460648148</v>
      </c>
      <c r="F1027" s="94">
        <v>45914.82079861111</v>
      </c>
      <c r="G1027" s="90">
        <v>45907.59506944445</v>
      </c>
      <c r="H1027" s="1" t="s">
        <v>16476</v>
      </c>
    </row>
    <row r="1028">
      <c r="A1028" s="93">
        <v>935.0</v>
      </c>
      <c r="B1028" s="92" t="s">
        <v>16876</v>
      </c>
      <c r="C1028" s="92" t="s">
        <v>11982</v>
      </c>
      <c r="D1028" s="92" t="s">
        <v>16044</v>
      </c>
      <c r="E1028" s="94">
        <v>45113.54792824074</v>
      </c>
      <c r="F1028" s="94">
        <v>45914.820185185185</v>
      </c>
      <c r="G1028" s="90">
        <v>45907.59106481481</v>
      </c>
      <c r="H1028" s="1" t="s">
        <v>16476</v>
      </c>
    </row>
    <row r="1029">
      <c r="A1029" s="93">
        <v>498.0</v>
      </c>
      <c r="B1029" s="92" t="s">
        <v>16877</v>
      </c>
      <c r="C1029" s="92" t="s">
        <v>6603</v>
      </c>
      <c r="D1029" s="92" t="s">
        <v>16044</v>
      </c>
      <c r="E1029" s="94">
        <v>45113.54145833333</v>
      </c>
      <c r="F1029" s="94">
        <v>45914.81979166667</v>
      </c>
      <c r="G1029" s="90">
        <v>45907.58825231482</v>
      </c>
      <c r="H1029" s="1" t="s">
        <v>16476</v>
      </c>
    </row>
    <row r="1030">
      <c r="A1030" s="93">
        <v>687.0</v>
      </c>
      <c r="B1030" s="92" t="s">
        <v>16878</v>
      </c>
      <c r="C1030" s="92" t="s">
        <v>6699</v>
      </c>
      <c r="D1030" s="92" t="s">
        <v>16044</v>
      </c>
      <c r="E1030" s="94">
        <v>45113.54423611111</v>
      </c>
      <c r="F1030" s="94">
        <v>45914.81861111111</v>
      </c>
      <c r="G1030" s="90">
        <v>45907.58546296296</v>
      </c>
      <c r="H1030" s="1" t="s">
        <v>16476</v>
      </c>
    </row>
    <row r="1031">
      <c r="A1031" s="93">
        <v>588.0</v>
      </c>
      <c r="B1031" s="92" t="s">
        <v>16879</v>
      </c>
      <c r="C1031" s="92" t="s">
        <v>5480</v>
      </c>
      <c r="D1031" s="92" t="s">
        <v>16044</v>
      </c>
      <c r="E1031" s="94">
        <v>45113.54274305556</v>
      </c>
      <c r="F1031" s="94">
        <v>45914.81741898148</v>
      </c>
      <c r="G1031" s="90">
        <v>45907.58357638889</v>
      </c>
      <c r="H1031" s="1" t="s">
        <v>16476</v>
      </c>
    </row>
    <row r="1032">
      <c r="A1032" s="93">
        <v>1431.0</v>
      </c>
      <c r="B1032" s="92" t="s">
        <v>16880</v>
      </c>
      <c r="C1032" s="92" t="s">
        <v>12708</v>
      </c>
      <c r="D1032" s="92" t="s">
        <v>16044</v>
      </c>
      <c r="E1032" s="94">
        <v>45113.55519675926</v>
      </c>
      <c r="F1032" s="94">
        <v>45914.816354166665</v>
      </c>
      <c r="G1032" s="90">
        <v>45907.58258101852</v>
      </c>
      <c r="H1032" s="1" t="s">
        <v>16476</v>
      </c>
    </row>
    <row r="1033">
      <c r="A1033" s="93">
        <v>834.0</v>
      </c>
      <c r="B1033" s="92" t="s">
        <v>16881</v>
      </c>
      <c r="C1033" s="92" t="s">
        <v>10000</v>
      </c>
      <c r="D1033" s="92" t="s">
        <v>16044</v>
      </c>
      <c r="E1033" s="94">
        <v>45113.54644675926</v>
      </c>
      <c r="F1033" s="94">
        <v>45914.81565972222</v>
      </c>
      <c r="G1033" s="90">
        <v>45907.58113425926</v>
      </c>
      <c r="H1033" s="1" t="s">
        <v>16476</v>
      </c>
    </row>
    <row r="1034">
      <c r="A1034" s="93">
        <v>1172.0</v>
      </c>
      <c r="B1034" s="92" t="s">
        <v>16883</v>
      </c>
      <c r="C1034" s="92" t="s">
        <v>10480</v>
      </c>
      <c r="D1034" s="92" t="s">
        <v>16044</v>
      </c>
      <c r="E1034" s="94">
        <v>45113.55142361111</v>
      </c>
      <c r="F1034" s="94">
        <v>45914.81532407407</v>
      </c>
      <c r="G1034" s="90">
        <v>45907.580613425926</v>
      </c>
      <c r="H1034" s="1" t="s">
        <v>16476</v>
      </c>
    </row>
    <row r="1035">
      <c r="A1035" s="93">
        <v>883.0</v>
      </c>
      <c r="B1035" s="92" t="s">
        <v>16884</v>
      </c>
      <c r="C1035" s="92" t="s">
        <v>8456</v>
      </c>
      <c r="D1035" s="92" t="s">
        <v>16044</v>
      </c>
      <c r="E1035" s="94">
        <v>45113.547164351854</v>
      </c>
      <c r="F1035" s="94">
        <v>45914.81462962963</v>
      </c>
      <c r="G1035" s="90">
        <v>45907.58013888889</v>
      </c>
      <c r="H1035" s="1" t="s">
        <v>16476</v>
      </c>
    </row>
    <row r="1036">
      <c r="A1036" s="93">
        <v>1319.0</v>
      </c>
      <c r="B1036" s="92" t="s">
        <v>16885</v>
      </c>
      <c r="C1036" s="92" t="s">
        <v>6392</v>
      </c>
      <c r="D1036" s="92" t="s">
        <v>16044</v>
      </c>
      <c r="E1036" s="94">
        <v>45113.553564814814</v>
      </c>
      <c r="F1036" s="94">
        <v>45914.81392361111</v>
      </c>
      <c r="G1036" s="90">
        <v>45907.579618055555</v>
      </c>
      <c r="H1036" s="1" t="s">
        <v>16476</v>
      </c>
    </row>
    <row r="1037">
      <c r="A1037" s="93">
        <v>1342.0</v>
      </c>
      <c r="B1037" s="92" t="s">
        <v>16886</v>
      </c>
      <c r="C1037" s="92" t="s">
        <v>9186</v>
      </c>
      <c r="D1037" s="92" t="s">
        <v>16044</v>
      </c>
      <c r="E1037" s="94">
        <v>45113.55390046296</v>
      </c>
      <c r="F1037" s="94">
        <v>45914.8062037037</v>
      </c>
      <c r="G1037" s="90">
        <v>45907.57929398148</v>
      </c>
      <c r="H1037" s="1" t="s">
        <v>16476</v>
      </c>
    </row>
    <row r="1038">
      <c r="A1038" s="93">
        <v>1674.0</v>
      </c>
      <c r="B1038" s="92" t="s">
        <v>16887</v>
      </c>
      <c r="C1038" s="92" t="s">
        <v>8065</v>
      </c>
      <c r="D1038" s="92" t="s">
        <v>16044</v>
      </c>
      <c r="E1038" s="94">
        <v>45113.55876157407</v>
      </c>
      <c r="F1038" s="94">
        <v>45914.80583333333</v>
      </c>
      <c r="G1038" s="90">
        <v>45907.57894675926</v>
      </c>
      <c r="H1038" s="1" t="s">
        <v>16476</v>
      </c>
    </row>
    <row r="1039">
      <c r="A1039" s="93">
        <v>615.0</v>
      </c>
      <c r="B1039" s="92" t="s">
        <v>16888</v>
      </c>
      <c r="C1039" s="92" t="s">
        <v>8740</v>
      </c>
      <c r="D1039" s="92" t="s">
        <v>16044</v>
      </c>
      <c r="E1039" s="94">
        <v>45113.54314814815</v>
      </c>
      <c r="F1039" s="94">
        <v>45914.805497685185</v>
      </c>
      <c r="G1039" s="90">
        <v>45907.57850694445</v>
      </c>
      <c r="H1039" s="1" t="s">
        <v>16476</v>
      </c>
    </row>
    <row r="1040">
      <c r="A1040" s="93">
        <v>1068.0</v>
      </c>
      <c r="B1040" s="92" t="s">
        <v>16889</v>
      </c>
      <c r="C1040" s="92" t="s">
        <v>7182</v>
      </c>
      <c r="D1040" s="92" t="s">
        <v>16044</v>
      </c>
      <c r="E1040" s="94">
        <v>45113.54988425926</v>
      </c>
      <c r="F1040" s="94">
        <v>45914.8041087963</v>
      </c>
      <c r="G1040" s="90">
        <v>45907.57813657408</v>
      </c>
      <c r="H1040" s="1" t="s">
        <v>16476</v>
      </c>
    </row>
    <row r="1041">
      <c r="A1041" s="93">
        <v>1082.0</v>
      </c>
      <c r="B1041" s="92" t="s">
        <v>16890</v>
      </c>
      <c r="C1041" s="92" t="s">
        <v>7296</v>
      </c>
      <c r="D1041" s="92" t="s">
        <v>16044</v>
      </c>
      <c r="E1041" s="94">
        <v>45113.550092592595</v>
      </c>
      <c r="F1041" s="94">
        <v>45914.803761574076</v>
      </c>
      <c r="G1041" s="90">
        <v>45907.577673611115</v>
      </c>
      <c r="H1041" s="1" t="s">
        <v>16476</v>
      </c>
    </row>
    <row r="1042">
      <c r="A1042" s="93">
        <v>1054.0</v>
      </c>
      <c r="B1042" s="92" t="s">
        <v>16891</v>
      </c>
      <c r="C1042" s="92" t="s">
        <v>15242</v>
      </c>
      <c r="D1042" s="92" t="s">
        <v>16044</v>
      </c>
      <c r="E1042" s="94">
        <v>45113.54966435185</v>
      </c>
      <c r="F1042" s="94">
        <v>45914.802777777775</v>
      </c>
      <c r="G1042" s="90">
        <v>45907.57729166667</v>
      </c>
      <c r="H1042" s="1" t="s">
        <v>16476</v>
      </c>
    </row>
    <row r="1043">
      <c r="A1043" s="93">
        <v>678.0</v>
      </c>
      <c r="B1043" s="92" t="s">
        <v>16892</v>
      </c>
      <c r="C1043" s="92" t="s">
        <v>11896</v>
      </c>
      <c r="D1043" s="92" t="s">
        <v>16044</v>
      </c>
      <c r="E1043" s="94">
        <v>45113.54409722222</v>
      </c>
      <c r="F1043" s="94">
        <v>45914.80241898148</v>
      </c>
      <c r="G1043" s="90">
        <v>45907.57690972222</v>
      </c>
      <c r="H1043" s="1" t="s">
        <v>16476</v>
      </c>
    </row>
    <row r="1044">
      <c r="A1044" s="93">
        <v>1124.0</v>
      </c>
      <c r="B1044" s="92" t="s">
        <v>16893</v>
      </c>
      <c r="C1044" s="92" t="s">
        <v>8150</v>
      </c>
      <c r="D1044" s="92" t="s">
        <v>16044</v>
      </c>
      <c r="E1044" s="94">
        <v>45113.550729166665</v>
      </c>
      <c r="F1044" s="94">
        <v>45914.802094907405</v>
      </c>
      <c r="G1044" s="90">
        <v>45907.57653935185</v>
      </c>
      <c r="H1044" s="1" t="s">
        <v>16476</v>
      </c>
    </row>
    <row r="1045">
      <c r="A1045" s="93">
        <v>830.0</v>
      </c>
      <c r="B1045" s="92" t="s">
        <v>16894</v>
      </c>
      <c r="C1045" s="92" t="s">
        <v>7930</v>
      </c>
      <c r="D1045" s="92" t="s">
        <v>16044</v>
      </c>
      <c r="E1045" s="94">
        <v>45113.54638888889</v>
      </c>
      <c r="F1045" s="94">
        <v>45914.80170138889</v>
      </c>
      <c r="G1045" s="90">
        <v>45907.576145833336</v>
      </c>
      <c r="H1045" s="1" t="s">
        <v>16476</v>
      </c>
    </row>
    <row r="1046">
      <c r="A1046" s="93">
        <v>670.0</v>
      </c>
      <c r="B1046" s="92" t="s">
        <v>16895</v>
      </c>
      <c r="C1046" s="92" t="s">
        <v>7457</v>
      </c>
      <c r="D1046" s="92" t="s">
        <v>16044</v>
      </c>
      <c r="E1046" s="94">
        <v>45113.54398148148</v>
      </c>
      <c r="F1046" s="94">
        <v>45914.80134259259</v>
      </c>
      <c r="G1046" s="90">
        <v>45907.57581018518</v>
      </c>
      <c r="H1046" s="1" t="s">
        <v>16476</v>
      </c>
    </row>
    <row r="1047">
      <c r="A1047" s="93">
        <v>1216.0</v>
      </c>
      <c r="B1047" s="92" t="s">
        <v>16896</v>
      </c>
      <c r="C1047" s="92" t="s">
        <v>9336</v>
      </c>
      <c r="D1047" s="92" t="s">
        <v>16044</v>
      </c>
      <c r="E1047" s="94">
        <v>45113.55206018518</v>
      </c>
      <c r="F1047" s="94">
        <v>45914.80055555556</v>
      </c>
      <c r="G1047" s="90">
        <v>45907.57541666667</v>
      </c>
      <c r="H1047" s="1" t="s">
        <v>16476</v>
      </c>
    </row>
    <row r="1048">
      <c r="A1048" s="93">
        <v>974.0</v>
      </c>
      <c r="B1048" s="92" t="s">
        <v>16897</v>
      </c>
      <c r="C1048" s="92" t="s">
        <v>6521</v>
      </c>
      <c r="D1048" s="92" t="s">
        <v>16044</v>
      </c>
      <c r="E1048" s="94">
        <v>45113.54849537037</v>
      </c>
      <c r="F1048" s="94">
        <v>45914.789722222224</v>
      </c>
      <c r="G1048" s="90">
        <v>45907.57503472222</v>
      </c>
      <c r="H1048" s="1" t="s">
        <v>16476</v>
      </c>
    </row>
    <row r="1049">
      <c r="A1049" s="93">
        <v>740.0</v>
      </c>
      <c r="B1049" s="92" t="s">
        <v>16898</v>
      </c>
      <c r="C1049" s="92" t="s">
        <v>11288</v>
      </c>
      <c r="D1049" s="92" t="s">
        <v>16044</v>
      </c>
      <c r="E1049" s="94">
        <v>45113.54505787037</v>
      </c>
      <c r="F1049" s="94">
        <v>45914.78896990741</v>
      </c>
      <c r="G1049" s="90">
        <v>45907.57467592593</v>
      </c>
      <c r="H1049" s="1" t="s">
        <v>16476</v>
      </c>
    </row>
    <row r="1050">
      <c r="A1050" s="93">
        <v>1370.0</v>
      </c>
      <c r="B1050" s="92" t="s">
        <v>16899</v>
      </c>
      <c r="C1050" s="92" t="s">
        <v>5540</v>
      </c>
      <c r="D1050" s="92" t="s">
        <v>16044</v>
      </c>
      <c r="E1050" s="94">
        <v>45113.55430555555</v>
      </c>
      <c r="F1050" s="94">
        <v>45914.7878587963</v>
      </c>
      <c r="G1050" s="90">
        <v>45907.57417824074</v>
      </c>
      <c r="H1050" s="1" t="s">
        <v>16476</v>
      </c>
    </row>
    <row r="1051">
      <c r="A1051" s="93">
        <v>1114.0</v>
      </c>
      <c r="B1051" s="92" t="s">
        <v>16900</v>
      </c>
      <c r="C1051" s="92" t="s">
        <v>10199</v>
      </c>
      <c r="D1051" s="92" t="s">
        <v>16044</v>
      </c>
      <c r="E1051" s="94">
        <v>45113.55056712963</v>
      </c>
      <c r="F1051" s="94">
        <v>45914.78739583334</v>
      </c>
      <c r="G1051" s="90">
        <v>45907.57371527778</v>
      </c>
      <c r="H1051" s="1" t="s">
        <v>16476</v>
      </c>
    </row>
    <row r="1052">
      <c r="A1052" s="93">
        <v>1129.0</v>
      </c>
      <c r="B1052" s="92" t="s">
        <v>16901</v>
      </c>
      <c r="C1052" s="92" t="s">
        <v>9119</v>
      </c>
      <c r="D1052" s="92" t="s">
        <v>16044</v>
      </c>
      <c r="E1052" s="94">
        <v>45113.55079861111</v>
      </c>
      <c r="F1052" s="94">
        <v>45914.78659722222</v>
      </c>
      <c r="G1052" s="90">
        <v>45907.573125</v>
      </c>
      <c r="H1052" s="1" t="s">
        <v>16476</v>
      </c>
    </row>
    <row r="1053">
      <c r="A1053" s="93">
        <v>1421.0</v>
      </c>
      <c r="B1053" s="92" t="s">
        <v>16902</v>
      </c>
      <c r="C1053" s="92" t="s">
        <v>10109</v>
      </c>
      <c r="D1053" s="92" t="s">
        <v>16044</v>
      </c>
      <c r="E1053" s="94">
        <v>45113.55505787037</v>
      </c>
      <c r="F1053" s="94">
        <v>45914.78581018518</v>
      </c>
      <c r="G1053" s="90">
        <v>45907.56993055555</v>
      </c>
      <c r="H1053" s="1" t="s">
        <v>16476</v>
      </c>
    </row>
    <row r="1054">
      <c r="A1054" s="93">
        <v>559.0</v>
      </c>
      <c r="B1054" s="92" t="s">
        <v>16903</v>
      </c>
      <c r="C1054" s="92" t="s">
        <v>14402</v>
      </c>
      <c r="D1054" s="92" t="s">
        <v>16044</v>
      </c>
      <c r="E1054" s="94">
        <v>45113.54231481482</v>
      </c>
      <c r="F1054" s="94">
        <v>45914.785104166665</v>
      </c>
      <c r="G1054" s="90">
        <v>45907.569502314815</v>
      </c>
      <c r="H1054" s="1" t="s">
        <v>16476</v>
      </c>
    </row>
    <row r="1055">
      <c r="A1055" s="93">
        <v>1194.0</v>
      </c>
      <c r="B1055" s="92" t="s">
        <v>16904</v>
      </c>
      <c r="C1055" s="92" t="s">
        <v>9145</v>
      </c>
      <c r="D1055" s="92" t="s">
        <v>16044</v>
      </c>
      <c r="E1055" s="94">
        <v>45113.55174768518</v>
      </c>
      <c r="F1055" s="94">
        <v>45914.784467592595</v>
      </c>
      <c r="G1055" s="90">
        <v>45907.56885416667</v>
      </c>
      <c r="H1055" s="1" t="s">
        <v>16476</v>
      </c>
    </row>
    <row r="1056">
      <c r="A1056" s="93">
        <v>962.0</v>
      </c>
      <c r="B1056" s="92" t="s">
        <v>16905</v>
      </c>
      <c r="C1056" s="92" t="s">
        <v>10999</v>
      </c>
      <c r="D1056" s="92" t="s">
        <v>16044</v>
      </c>
      <c r="E1056" s="94">
        <v>45113.54832175926</v>
      </c>
      <c r="F1056" s="94">
        <v>45914.78408564815</v>
      </c>
      <c r="G1056" s="90">
        <v>45907.56847222222</v>
      </c>
      <c r="H1056" s="1" t="s">
        <v>16476</v>
      </c>
    </row>
    <row r="1057">
      <c r="A1057" s="93">
        <v>980.0</v>
      </c>
      <c r="B1057" s="92" t="s">
        <v>16906</v>
      </c>
      <c r="C1057" s="92" t="s">
        <v>10361</v>
      </c>
      <c r="D1057" s="92" t="s">
        <v>16044</v>
      </c>
      <c r="E1057" s="94">
        <v>45113.54858796296</v>
      </c>
      <c r="F1057" s="94">
        <v>45914.78377314815</v>
      </c>
      <c r="G1057" s="90">
        <v>45907.56804398148</v>
      </c>
      <c r="H1057" s="1" t="s">
        <v>16476</v>
      </c>
    </row>
    <row r="1058">
      <c r="A1058" s="93">
        <v>562.0</v>
      </c>
      <c r="B1058" s="92" t="s">
        <v>16907</v>
      </c>
      <c r="C1058" s="92" t="s">
        <v>5393</v>
      </c>
      <c r="D1058" s="92" t="s">
        <v>16044</v>
      </c>
      <c r="E1058" s="94">
        <v>45113.54236111111</v>
      </c>
      <c r="F1058" s="94">
        <v>45914.78344907407</v>
      </c>
      <c r="G1058" s="90">
        <v>45907.56762731481</v>
      </c>
      <c r="H1058" s="1" t="s">
        <v>16476</v>
      </c>
    </row>
    <row r="1059">
      <c r="A1059" s="93">
        <v>1220.0</v>
      </c>
      <c r="B1059" s="92" t="s">
        <v>16908</v>
      </c>
      <c r="C1059" s="92" t="s">
        <v>8164</v>
      </c>
      <c r="D1059" s="92" t="s">
        <v>16044</v>
      </c>
      <c r="E1059" s="94">
        <v>45113.55211805556</v>
      </c>
      <c r="F1059" s="94">
        <v>45914.780625</v>
      </c>
      <c r="G1059" s="90">
        <v>45907.56725694444</v>
      </c>
      <c r="H1059" s="1" t="s">
        <v>16476</v>
      </c>
    </row>
    <row r="1060">
      <c r="A1060" s="93">
        <v>806.0</v>
      </c>
      <c r="B1060" s="92" t="s">
        <v>16909</v>
      </c>
      <c r="C1060" s="92" t="s">
        <v>8220</v>
      </c>
      <c r="D1060" s="92" t="s">
        <v>16044</v>
      </c>
      <c r="E1060" s="94">
        <v>45113.54601851852</v>
      </c>
      <c r="F1060" s="94">
        <v>45914.78015046296</v>
      </c>
      <c r="G1060" s="90">
        <v>45907.56663194444</v>
      </c>
      <c r="H1060" s="1" t="s">
        <v>16476</v>
      </c>
    </row>
    <row r="1061">
      <c r="A1061" s="93">
        <v>600.0</v>
      </c>
      <c r="B1061" s="92" t="s">
        <v>16910</v>
      </c>
      <c r="C1061" s="92" t="s">
        <v>7160</v>
      </c>
      <c r="D1061" s="92" t="s">
        <v>16044</v>
      </c>
      <c r="E1061" s="94">
        <v>45113.54292824074</v>
      </c>
      <c r="F1061" s="94">
        <v>45914.7787962963</v>
      </c>
      <c r="G1061" s="90">
        <v>45907.55721064815</v>
      </c>
      <c r="H1061" s="1" t="s">
        <v>16476</v>
      </c>
    </row>
    <row r="1062">
      <c r="A1062" s="93">
        <v>1561.0</v>
      </c>
      <c r="B1062" s="92" t="s">
        <v>16911</v>
      </c>
      <c r="C1062" s="92" t="s">
        <v>10799</v>
      </c>
      <c r="D1062" s="92" t="s">
        <v>16044</v>
      </c>
      <c r="E1062" s="94">
        <v>45113.55710648148</v>
      </c>
      <c r="F1062" s="94">
        <v>45914.77820601852</v>
      </c>
      <c r="G1062" s="90">
        <v>45907.55637731482</v>
      </c>
      <c r="H1062" s="1" t="s">
        <v>16476</v>
      </c>
    </row>
    <row r="1063">
      <c r="A1063" s="93">
        <v>1390.0</v>
      </c>
      <c r="B1063" s="92" t="s">
        <v>16912</v>
      </c>
      <c r="C1063" s="92" t="s">
        <v>15535</v>
      </c>
      <c r="D1063" s="92" t="s">
        <v>16044</v>
      </c>
      <c r="E1063" s="94">
        <v>45113.554606481484</v>
      </c>
      <c r="F1063" s="94">
        <v>45914.7775</v>
      </c>
      <c r="G1063" s="90">
        <v>45907.555763888886</v>
      </c>
      <c r="H1063" s="1" t="s">
        <v>16476</v>
      </c>
    </row>
    <row r="1064">
      <c r="A1064" s="93">
        <v>500.0</v>
      </c>
      <c r="B1064" s="92" t="s">
        <v>16913</v>
      </c>
      <c r="C1064" s="92" t="s">
        <v>5503</v>
      </c>
      <c r="D1064" s="92" t="s">
        <v>16044</v>
      </c>
      <c r="E1064" s="94">
        <v>45113.541493055556</v>
      </c>
      <c r="F1064" s="94">
        <v>45914.77653935185</v>
      </c>
      <c r="G1064" s="90">
        <v>45907.554872685185</v>
      </c>
      <c r="H1064" s="1" t="s">
        <v>16476</v>
      </c>
    </row>
    <row r="1065">
      <c r="A1065" s="93">
        <v>495.0</v>
      </c>
      <c r="B1065" s="92" t="s">
        <v>16914</v>
      </c>
      <c r="C1065" s="92" t="s">
        <v>8550</v>
      </c>
      <c r="D1065" s="92" t="s">
        <v>16044</v>
      </c>
      <c r="E1065" s="94">
        <v>45113.54141203704</v>
      </c>
      <c r="F1065" s="94">
        <v>45913.975266203706</v>
      </c>
      <c r="G1065" s="90">
        <v>45907.55394675926</v>
      </c>
      <c r="H1065" s="1" t="s">
        <v>16476</v>
      </c>
    </row>
    <row r="1066">
      <c r="A1066" s="93">
        <v>485.0</v>
      </c>
      <c r="B1066" s="92" t="s">
        <v>16915</v>
      </c>
      <c r="C1066" s="92" t="s">
        <v>10848</v>
      </c>
      <c r="D1066" s="92" t="s">
        <v>16044</v>
      </c>
      <c r="E1066" s="94">
        <v>45113.541238425925</v>
      </c>
      <c r="F1066" s="94">
        <v>45913.97453703704</v>
      </c>
      <c r="G1066" s="90">
        <v>45907.553564814814</v>
      </c>
      <c r="H1066" s="1" t="s">
        <v>16476</v>
      </c>
    </row>
    <row r="1067">
      <c r="A1067" s="93">
        <v>479.0</v>
      </c>
      <c r="B1067" s="92" t="s">
        <v>16916</v>
      </c>
      <c r="C1067" s="92" t="s">
        <v>9385</v>
      </c>
      <c r="D1067" s="92" t="s">
        <v>16044</v>
      </c>
      <c r="E1067" s="94">
        <v>45113.54114583333</v>
      </c>
      <c r="F1067" s="94">
        <v>45913.973495370374</v>
      </c>
      <c r="G1067" s="90">
        <v>45907.55226851852</v>
      </c>
      <c r="H1067" s="1" t="s">
        <v>16476</v>
      </c>
    </row>
    <row r="1068">
      <c r="A1068" s="93">
        <v>1035.0</v>
      </c>
      <c r="B1068" s="92" t="s">
        <v>16917</v>
      </c>
      <c r="C1068" s="92" t="s">
        <v>8271</v>
      </c>
      <c r="D1068" s="92" t="s">
        <v>16044</v>
      </c>
      <c r="E1068" s="94">
        <v>45113.54938657407</v>
      </c>
      <c r="F1068" s="94">
        <v>45913.971863425926</v>
      </c>
      <c r="G1068" s="90">
        <v>45907.550532407404</v>
      </c>
      <c r="H1068" s="1" t="s">
        <v>16476</v>
      </c>
    </row>
    <row r="1069">
      <c r="A1069" s="93">
        <v>1232.0</v>
      </c>
      <c r="B1069" s="92" t="s">
        <v>16918</v>
      </c>
      <c r="C1069" s="92" t="s">
        <v>6994</v>
      </c>
      <c r="D1069" s="92" t="s">
        <v>16044</v>
      </c>
      <c r="E1069" s="94">
        <v>45113.55229166667</v>
      </c>
      <c r="F1069" s="94">
        <v>45913.97136574074</v>
      </c>
      <c r="G1069" s="90">
        <v>45907.55017361111</v>
      </c>
      <c r="H1069" s="1" t="s">
        <v>16476</v>
      </c>
    </row>
    <row r="1070">
      <c r="A1070" s="93">
        <v>1230.0</v>
      </c>
      <c r="B1070" s="92" t="s">
        <v>16918</v>
      </c>
      <c r="C1070" s="92" t="s">
        <v>8660</v>
      </c>
      <c r="D1070" s="92" t="s">
        <v>16044</v>
      </c>
      <c r="E1070" s="94">
        <v>45113.55226851852</v>
      </c>
      <c r="F1070" s="94">
        <v>45913.97101851852</v>
      </c>
      <c r="G1070" s="90">
        <v>45907.548796296294</v>
      </c>
      <c r="H1070" s="1" t="s">
        <v>16476</v>
      </c>
    </row>
    <row r="1071">
      <c r="A1071" s="93">
        <v>468.0</v>
      </c>
      <c r="B1071" s="92" t="s">
        <v>16919</v>
      </c>
      <c r="C1071" s="92" t="s">
        <v>8473</v>
      </c>
      <c r="D1071" s="92" t="s">
        <v>16044</v>
      </c>
      <c r="E1071" s="94">
        <v>45113.540983796294</v>
      </c>
      <c r="F1071" s="94">
        <v>45913.97048611111</v>
      </c>
      <c r="G1071" s="90">
        <v>45907.548125</v>
      </c>
      <c r="H1071" s="1" t="s">
        <v>16476</v>
      </c>
    </row>
    <row r="1072">
      <c r="A1072" s="93">
        <v>1007.0</v>
      </c>
      <c r="B1072" s="92" t="s">
        <v>16920</v>
      </c>
      <c r="C1072" s="92" t="s">
        <v>6551</v>
      </c>
      <c r="D1072" s="92" t="s">
        <v>16044</v>
      </c>
      <c r="E1072" s="94">
        <v>45113.54898148148</v>
      </c>
      <c r="F1072" s="94">
        <v>45913.96971064815</v>
      </c>
      <c r="G1072" s="90">
        <v>45907.54767361111</v>
      </c>
      <c r="H1072" s="1" t="s">
        <v>16476</v>
      </c>
    </row>
    <row r="1073">
      <c r="A1073" s="93">
        <v>884.0</v>
      </c>
      <c r="B1073" s="92" t="s">
        <v>16921</v>
      </c>
      <c r="C1073" s="92" t="s">
        <v>7493</v>
      </c>
      <c r="D1073" s="92" t="s">
        <v>16044</v>
      </c>
      <c r="E1073" s="94">
        <v>45113.5471875</v>
      </c>
      <c r="F1073" s="94">
        <v>45913.9687962963</v>
      </c>
      <c r="G1073" s="90">
        <v>45907.54653935185</v>
      </c>
      <c r="H1073" s="1" t="s">
        <v>16476</v>
      </c>
    </row>
    <row r="1074">
      <c r="A1074" s="93">
        <v>1582.0</v>
      </c>
      <c r="B1074" s="92" t="s">
        <v>16922</v>
      </c>
      <c r="C1074" s="92" t="s">
        <v>7374</v>
      </c>
      <c r="D1074" s="92" t="s">
        <v>16044</v>
      </c>
      <c r="E1074" s="94">
        <v>45113.55740740741</v>
      </c>
      <c r="F1074" s="94">
        <v>45913.96828703704</v>
      </c>
      <c r="G1074" s="90">
        <v>45907.54456018518</v>
      </c>
      <c r="H1074" s="1" t="s">
        <v>16476</v>
      </c>
    </row>
    <row r="1075">
      <c r="A1075" s="93">
        <v>823.0</v>
      </c>
      <c r="B1075" s="92" t="s">
        <v>16923</v>
      </c>
      <c r="C1075" s="92" t="s">
        <v>8212</v>
      </c>
      <c r="D1075" s="92" t="s">
        <v>16044</v>
      </c>
      <c r="E1075" s="94">
        <v>45113.54628472222</v>
      </c>
      <c r="F1075" s="94">
        <v>45913.967465277776</v>
      </c>
      <c r="G1075" s="90">
        <v>45905.02337962963</v>
      </c>
      <c r="H1075" s="1" t="s">
        <v>16476</v>
      </c>
    </row>
    <row r="1076">
      <c r="A1076" s="93">
        <v>622.0</v>
      </c>
      <c r="B1076" s="92" t="s">
        <v>18906</v>
      </c>
      <c r="C1076" s="92" t="s">
        <v>7558</v>
      </c>
      <c r="D1076" s="92" t="s">
        <v>16044</v>
      </c>
      <c r="E1076" s="94">
        <v>45113.54325231481</v>
      </c>
      <c r="F1076" s="94">
        <v>45913.965532407405</v>
      </c>
      <c r="G1076" s="90">
        <v>45905.022372685184</v>
      </c>
      <c r="H1076" s="1" t="s">
        <v>16476</v>
      </c>
    </row>
    <row r="1077">
      <c r="A1077" s="93">
        <v>1292.0</v>
      </c>
      <c r="B1077" s="92" t="s">
        <v>16925</v>
      </c>
      <c r="C1077" s="92" t="s">
        <v>8622</v>
      </c>
      <c r="D1077" s="92" t="s">
        <v>16044</v>
      </c>
      <c r="E1077" s="94">
        <v>45113.5531712963</v>
      </c>
      <c r="F1077" s="94">
        <v>45913.9640162037</v>
      </c>
      <c r="G1077" s="90">
        <v>45905.01541666667</v>
      </c>
      <c r="H1077" s="1" t="s">
        <v>16476</v>
      </c>
    </row>
    <row r="1078">
      <c r="A1078" s="93">
        <v>1400.0</v>
      </c>
      <c r="B1078" s="92" t="s">
        <v>16926</v>
      </c>
      <c r="C1078" s="92" t="s">
        <v>8117</v>
      </c>
      <c r="D1078" s="92" t="s">
        <v>16044</v>
      </c>
      <c r="E1078" s="94">
        <v>45113.55474537037</v>
      </c>
      <c r="F1078" s="94">
        <v>45913.96335648148</v>
      </c>
      <c r="G1078" s="90">
        <v>45905.01489583333</v>
      </c>
      <c r="H1078" s="1" t="s">
        <v>16476</v>
      </c>
    </row>
    <row r="1079">
      <c r="A1079" s="93">
        <v>1136.0</v>
      </c>
      <c r="B1079" s="92" t="s">
        <v>16927</v>
      </c>
      <c r="C1079" s="92" t="s">
        <v>6426</v>
      </c>
      <c r="D1079" s="92" t="s">
        <v>16044</v>
      </c>
      <c r="E1079" s="94">
        <v>45113.55090277778</v>
      </c>
      <c r="F1079" s="94">
        <v>45913.962685185186</v>
      </c>
      <c r="G1079" s="90">
        <v>45905.014756944445</v>
      </c>
      <c r="H1079" s="1" t="s">
        <v>16476</v>
      </c>
    </row>
    <row r="1080">
      <c r="A1080" s="93">
        <v>1511.0</v>
      </c>
      <c r="B1080" s="92" t="s">
        <v>16928</v>
      </c>
      <c r="C1080" s="92" t="s">
        <v>15009</v>
      </c>
      <c r="D1080" s="92" t="s">
        <v>16044</v>
      </c>
      <c r="E1080" s="94">
        <v>45113.55636574074</v>
      </c>
      <c r="F1080" s="94">
        <v>45913.96114583333</v>
      </c>
      <c r="G1080" s="90">
        <v>45905.013333333336</v>
      </c>
      <c r="H1080" s="1" t="s">
        <v>16476</v>
      </c>
    </row>
    <row r="1081">
      <c r="A1081" s="93">
        <v>817.0</v>
      </c>
      <c r="B1081" s="92" t="s">
        <v>10208</v>
      </c>
      <c r="C1081" s="92" t="s">
        <v>10205</v>
      </c>
      <c r="D1081" s="92" t="s">
        <v>16044</v>
      </c>
      <c r="E1081" s="94">
        <v>45113.54618055555</v>
      </c>
      <c r="F1081" s="94">
        <v>45913.959872685184</v>
      </c>
      <c r="G1081" s="90">
        <v>45905.01280092593</v>
      </c>
      <c r="H1081" s="1" t="s">
        <v>16476</v>
      </c>
    </row>
    <row r="1082">
      <c r="A1082" s="93">
        <v>475.0</v>
      </c>
      <c r="B1082" s="92" t="s">
        <v>16929</v>
      </c>
      <c r="C1082" s="92" t="s">
        <v>9874</v>
      </c>
      <c r="D1082" s="92" t="s">
        <v>16044</v>
      </c>
      <c r="E1082" s="94">
        <v>45113.54108796296</v>
      </c>
      <c r="F1082" s="94">
        <v>45913.959178240744</v>
      </c>
      <c r="G1082" s="90">
        <v>45905.01186342593</v>
      </c>
      <c r="H1082" s="1" t="s">
        <v>16476</v>
      </c>
    </row>
    <row r="1083">
      <c r="A1083" s="93">
        <v>487.0</v>
      </c>
      <c r="B1083" s="92" t="s">
        <v>16930</v>
      </c>
      <c r="C1083" s="92" t="s">
        <v>12555</v>
      </c>
      <c r="D1083" s="92" t="s">
        <v>16044</v>
      </c>
      <c r="E1083" s="94">
        <v>45113.54127314815</v>
      </c>
      <c r="F1083" s="94">
        <v>45913.954675925925</v>
      </c>
      <c r="G1083" s="90">
        <v>45905.01106481482</v>
      </c>
      <c r="H1083" s="1" t="s">
        <v>16476</v>
      </c>
    </row>
    <row r="1084">
      <c r="A1084" s="93">
        <v>499.0</v>
      </c>
      <c r="B1084" s="92" t="s">
        <v>16931</v>
      </c>
      <c r="C1084" s="92" t="s">
        <v>10047</v>
      </c>
      <c r="D1084" s="92" t="s">
        <v>16044</v>
      </c>
      <c r="E1084" s="94">
        <v>45113.54148148148</v>
      </c>
      <c r="F1084" s="94">
        <v>45913.95329861111</v>
      </c>
      <c r="G1084" s="90">
        <v>45905.00861111111</v>
      </c>
      <c r="H1084" s="1" t="s">
        <v>16476</v>
      </c>
    </row>
    <row r="1085">
      <c r="A1085" s="93">
        <v>1395.0</v>
      </c>
      <c r="B1085" s="92" t="s">
        <v>16932</v>
      </c>
      <c r="C1085" s="92" t="s">
        <v>10133</v>
      </c>
      <c r="D1085" s="92" t="s">
        <v>16044</v>
      </c>
      <c r="E1085" s="94">
        <v>45113.55467592592</v>
      </c>
      <c r="F1085" s="94">
        <v>45913.952673611115</v>
      </c>
      <c r="G1085" s="90">
        <v>45905.0080787037</v>
      </c>
      <c r="H1085" s="1" t="s">
        <v>16476</v>
      </c>
    </row>
    <row r="1086">
      <c r="A1086" s="93">
        <v>465.0</v>
      </c>
      <c r="B1086" s="92" t="s">
        <v>16933</v>
      </c>
      <c r="C1086" s="92" t="s">
        <v>9804</v>
      </c>
      <c r="D1086" s="92" t="s">
        <v>16044</v>
      </c>
      <c r="E1086" s="94">
        <v>45113.54094907407</v>
      </c>
      <c r="F1086" s="94">
        <v>45913.951898148145</v>
      </c>
      <c r="G1086" s="90">
        <v>45905.00751157408</v>
      </c>
      <c r="H1086" s="1" t="s">
        <v>16476</v>
      </c>
    </row>
    <row r="1087">
      <c r="A1087" s="93">
        <v>1107.0</v>
      </c>
      <c r="B1087" s="92" t="s">
        <v>16934</v>
      </c>
      <c r="C1087" s="92" t="s">
        <v>8109</v>
      </c>
      <c r="D1087" s="92" t="s">
        <v>16044</v>
      </c>
      <c r="E1087" s="94">
        <v>45113.55045138889</v>
      </c>
      <c r="F1087" s="94">
        <v>45913.95104166667</v>
      </c>
      <c r="G1087" s="90">
        <v>45905.00693287037</v>
      </c>
      <c r="H1087" s="1" t="s">
        <v>16476</v>
      </c>
    </row>
    <row r="1088">
      <c r="A1088" s="93">
        <v>913.0</v>
      </c>
      <c r="B1088" s="92" t="s">
        <v>16935</v>
      </c>
      <c r="C1088" s="92" t="s">
        <v>6866</v>
      </c>
      <c r="D1088" s="92" t="s">
        <v>16044</v>
      </c>
      <c r="E1088" s="94">
        <v>45113.54760416667</v>
      </c>
      <c r="F1088" s="94">
        <v>45913.950520833336</v>
      </c>
      <c r="G1088" s="90">
        <v>45905.00635416667</v>
      </c>
      <c r="H1088" s="1" t="s">
        <v>16476</v>
      </c>
    </row>
    <row r="1089">
      <c r="A1089" s="93">
        <v>1151.0</v>
      </c>
      <c r="B1089" s="92" t="s">
        <v>16936</v>
      </c>
      <c r="C1089" s="92" t="s">
        <v>14825</v>
      </c>
      <c r="D1089" s="92" t="s">
        <v>16044</v>
      </c>
      <c r="E1089" s="94">
        <v>45113.55112268519</v>
      </c>
      <c r="F1089" s="94">
        <v>45913.95002314815</v>
      </c>
      <c r="G1089" s="90">
        <v>45905.00299768519</v>
      </c>
      <c r="H1089" s="1" t="s">
        <v>16476</v>
      </c>
    </row>
    <row r="1090">
      <c r="A1090" s="93">
        <v>488.0</v>
      </c>
      <c r="B1090" s="92" t="s">
        <v>16937</v>
      </c>
      <c r="C1090" s="92" t="s">
        <v>6439</v>
      </c>
      <c r="D1090" s="92" t="s">
        <v>16044</v>
      </c>
      <c r="E1090" s="94">
        <v>45113.541284722225</v>
      </c>
      <c r="F1090" s="94">
        <v>45913.94920138889</v>
      </c>
      <c r="G1090" s="90">
        <v>45862.434537037036</v>
      </c>
      <c r="H1090" s="1" t="s">
        <v>16476</v>
      </c>
    </row>
    <row r="1091">
      <c r="A1091" s="93">
        <v>1181.0</v>
      </c>
      <c r="B1091" s="92" t="s">
        <v>16938</v>
      </c>
      <c r="C1091" s="92" t="s">
        <v>6514</v>
      </c>
      <c r="D1091" s="92" t="s">
        <v>16044</v>
      </c>
      <c r="E1091" s="94">
        <v>45113.5515625</v>
      </c>
      <c r="F1091" s="94">
        <v>45913.94829861111</v>
      </c>
      <c r="G1091" s="90">
        <v>45861.495833333334</v>
      </c>
      <c r="H1091" s="1" t="s">
        <v>16476</v>
      </c>
    </row>
    <row r="1092">
      <c r="A1092" s="93">
        <v>920.0</v>
      </c>
      <c r="B1092" s="92" t="s">
        <v>16939</v>
      </c>
      <c r="C1092" s="92" t="s">
        <v>7658</v>
      </c>
      <c r="D1092" s="92" t="s">
        <v>16044</v>
      </c>
      <c r="E1092" s="94">
        <v>45113.54770833333</v>
      </c>
      <c r="F1092" s="94">
        <v>45913.947060185186</v>
      </c>
      <c r="G1092" s="90">
        <v>45856.48787037037</v>
      </c>
      <c r="H1092" s="1" t="s">
        <v>16476</v>
      </c>
    </row>
    <row r="1093">
      <c r="A1093" s="93">
        <v>848.0</v>
      </c>
      <c r="B1093" s="92" t="s">
        <v>16940</v>
      </c>
      <c r="C1093" s="92" t="s">
        <v>11516</v>
      </c>
      <c r="D1093" s="92" t="s">
        <v>16044</v>
      </c>
      <c r="E1093" s="94">
        <v>45113.54665509259</v>
      </c>
      <c r="F1093" s="94">
        <v>45913.94641203704</v>
      </c>
      <c r="G1093" s="90">
        <v>45855.77412037037</v>
      </c>
      <c r="H1093" s="1" t="s">
        <v>16476</v>
      </c>
    </row>
    <row r="1094">
      <c r="A1094" s="93">
        <v>652.0</v>
      </c>
      <c r="B1094" s="92" t="s">
        <v>16941</v>
      </c>
      <c r="C1094" s="92" t="s">
        <v>7216</v>
      </c>
      <c r="D1094" s="92" t="s">
        <v>16044</v>
      </c>
      <c r="E1094" s="94">
        <v>45113.54371527778</v>
      </c>
      <c r="F1094" s="94">
        <v>45913.945601851854</v>
      </c>
      <c r="G1094" s="90">
        <v>45855.69488425926</v>
      </c>
      <c r="H1094" s="1" t="s">
        <v>16476</v>
      </c>
    </row>
    <row r="1095">
      <c r="A1095" s="93">
        <v>880.0</v>
      </c>
      <c r="B1095" s="92" t="s">
        <v>16942</v>
      </c>
      <c r="C1095" s="92" t="s">
        <v>11863</v>
      </c>
      <c r="D1095" s="92" t="s">
        <v>16044</v>
      </c>
      <c r="E1095" s="94">
        <v>45113.54712962963</v>
      </c>
      <c r="F1095" s="94">
        <v>45913.94493055555</v>
      </c>
      <c r="G1095" s="90">
        <v>45854.59887731481</v>
      </c>
      <c r="H1095" s="1" t="s">
        <v>16476</v>
      </c>
    </row>
    <row r="1096">
      <c r="A1096" s="93">
        <v>1377.0</v>
      </c>
      <c r="B1096" s="92" t="s">
        <v>16943</v>
      </c>
      <c r="C1096" s="92" t="s">
        <v>7097</v>
      </c>
      <c r="D1096" s="92" t="s">
        <v>16044</v>
      </c>
      <c r="E1096" s="94">
        <v>45113.55440972222</v>
      </c>
      <c r="F1096" s="94">
        <v>45913.94417824074</v>
      </c>
      <c r="G1096" s="90">
        <v>45854.58627314815</v>
      </c>
      <c r="H1096" s="1" t="s">
        <v>16476</v>
      </c>
    </row>
    <row r="1097">
      <c r="A1097" s="93">
        <v>704.0</v>
      </c>
      <c r="B1097" s="92" t="s">
        <v>16944</v>
      </c>
      <c r="C1097" s="92" t="s">
        <v>7382</v>
      </c>
      <c r="D1097" s="92" t="s">
        <v>16044</v>
      </c>
      <c r="E1097" s="94">
        <v>45113.544490740744</v>
      </c>
      <c r="F1097" s="94">
        <v>45913.943564814814</v>
      </c>
      <c r="G1097" s="90">
        <v>45853.49471064815</v>
      </c>
      <c r="H1097" s="1" t="s">
        <v>16476</v>
      </c>
    </row>
    <row r="1098">
      <c r="A1098" s="93">
        <v>1219.0</v>
      </c>
      <c r="B1098" s="92" t="s">
        <v>16945</v>
      </c>
      <c r="C1098" s="92" t="s">
        <v>8356</v>
      </c>
      <c r="D1098" s="92" t="s">
        <v>16044</v>
      </c>
      <c r="E1098" s="94">
        <v>45113.55210648148</v>
      </c>
      <c r="F1098" s="94">
        <v>45913.94295138889</v>
      </c>
      <c r="G1098" s="90">
        <v>45852.323333333334</v>
      </c>
      <c r="H1098" s="1" t="s">
        <v>16476</v>
      </c>
    </row>
    <row r="1099">
      <c r="A1099" s="93">
        <v>875.0</v>
      </c>
      <c r="B1099" s="92" t="s">
        <v>16946</v>
      </c>
      <c r="C1099" s="92" t="s">
        <v>7584</v>
      </c>
      <c r="D1099" s="92" t="s">
        <v>16044</v>
      </c>
      <c r="E1099" s="94">
        <v>45113.54704861111</v>
      </c>
      <c r="F1099" s="94">
        <v>45913.941655092596</v>
      </c>
      <c r="G1099" s="90">
        <v>45849.8744212963</v>
      </c>
      <c r="H1099" s="1" t="s">
        <v>16476</v>
      </c>
    </row>
    <row r="1100">
      <c r="A1100" s="93">
        <v>1518.0</v>
      </c>
      <c r="B1100" s="92" t="s">
        <v>16947</v>
      </c>
      <c r="C1100" s="92" t="s">
        <v>6973</v>
      </c>
      <c r="D1100" s="92" t="s">
        <v>16044</v>
      </c>
      <c r="E1100" s="94">
        <v>45113.55646990741</v>
      </c>
      <c r="F1100" s="94">
        <v>45913.94099537037</v>
      </c>
      <c r="G1100" s="90">
        <v>45849.59861111111</v>
      </c>
      <c r="H1100" s="1" t="s">
        <v>16476</v>
      </c>
    </row>
    <row r="1101">
      <c r="A1101" s="93">
        <v>1122.0</v>
      </c>
      <c r="B1101" s="92" t="s">
        <v>16948</v>
      </c>
      <c r="C1101" s="92" t="s">
        <v>14498</v>
      </c>
      <c r="D1101" s="92" t="s">
        <v>16044</v>
      </c>
      <c r="E1101" s="94">
        <v>45113.55069444444</v>
      </c>
      <c r="F1101" s="94">
        <v>45913.94028935185</v>
      </c>
      <c r="G1101" s="90">
        <v>45847.57576388889</v>
      </c>
      <c r="H1101" s="1" t="s">
        <v>16476</v>
      </c>
    </row>
    <row r="1102">
      <c r="A1102" s="93">
        <v>639.0</v>
      </c>
      <c r="B1102" s="92" t="s">
        <v>16949</v>
      </c>
      <c r="C1102" s="92" t="s">
        <v>7128</v>
      </c>
      <c r="D1102" s="92" t="s">
        <v>16044</v>
      </c>
      <c r="E1102" s="94">
        <v>45113.54349537037</v>
      </c>
      <c r="F1102" s="94">
        <v>45913.9390625</v>
      </c>
      <c r="G1102" s="90">
        <v>45847.554456018515</v>
      </c>
      <c r="H1102" s="1" t="s">
        <v>16476</v>
      </c>
    </row>
    <row r="1103">
      <c r="A1103" s="93">
        <v>1148.0</v>
      </c>
      <c r="B1103" s="92" t="s">
        <v>16951</v>
      </c>
      <c r="C1103" s="92" t="s">
        <v>5903</v>
      </c>
      <c r="D1103" s="92" t="s">
        <v>16044</v>
      </c>
      <c r="E1103" s="94">
        <v>45113.55107638889</v>
      </c>
      <c r="F1103" s="94">
        <v>45913.93849537037</v>
      </c>
      <c r="G1103" s="90">
        <v>45847.526979166665</v>
      </c>
      <c r="H1103" s="1" t="s">
        <v>16476</v>
      </c>
    </row>
    <row r="1104">
      <c r="A1104" s="93">
        <v>570.0</v>
      </c>
      <c r="B1104" s="92" t="s">
        <v>16952</v>
      </c>
      <c r="C1104" s="92" t="s">
        <v>7325</v>
      </c>
      <c r="D1104" s="92" t="s">
        <v>16044</v>
      </c>
      <c r="E1104" s="94">
        <v>45113.54247685185</v>
      </c>
      <c r="F1104" s="94">
        <v>45913.938055555554</v>
      </c>
      <c r="G1104" s="90">
        <v>45847.501435185186</v>
      </c>
      <c r="H1104" s="1" t="s">
        <v>16476</v>
      </c>
    </row>
    <row r="1105">
      <c r="A1105" s="93">
        <v>989.0</v>
      </c>
      <c r="B1105" s="92" t="s">
        <v>16953</v>
      </c>
      <c r="C1105" s="92" t="s">
        <v>7443</v>
      </c>
      <c r="D1105" s="92" t="s">
        <v>16044</v>
      </c>
      <c r="E1105" s="94">
        <v>45113.54871527778</v>
      </c>
      <c r="F1105" s="94">
        <v>45913.93753472222</v>
      </c>
      <c r="G1105" s="90">
        <v>45847.49513888889</v>
      </c>
      <c r="H1105" s="1" t="s">
        <v>16476</v>
      </c>
    </row>
    <row r="1106">
      <c r="A1106" s="93">
        <v>988.0</v>
      </c>
      <c r="B1106" s="92" t="s">
        <v>16953</v>
      </c>
      <c r="C1106" s="92" t="s">
        <v>8076</v>
      </c>
      <c r="D1106" s="92" t="s">
        <v>16044</v>
      </c>
      <c r="E1106" s="94">
        <v>45113.5487037037</v>
      </c>
      <c r="F1106" s="94">
        <v>45913.9372337963</v>
      </c>
      <c r="G1106" s="90">
        <v>45846.574641203704</v>
      </c>
      <c r="H1106" s="1" t="s">
        <v>16476</v>
      </c>
    </row>
    <row r="1107">
      <c r="A1107" s="93">
        <v>1404.0</v>
      </c>
      <c r="B1107" s="92" t="s">
        <v>16954</v>
      </c>
      <c r="C1107" s="92" t="s">
        <v>14684</v>
      </c>
      <c r="D1107" s="92" t="s">
        <v>16044</v>
      </c>
      <c r="E1107" s="94">
        <v>45113.55480324074</v>
      </c>
      <c r="F1107" s="94">
        <v>45913.93665509259</v>
      </c>
      <c r="G1107" s="90">
        <v>45846.539722222224</v>
      </c>
      <c r="H1107" s="1" t="s">
        <v>16476</v>
      </c>
    </row>
    <row r="1108">
      <c r="A1108" s="93">
        <v>727.0</v>
      </c>
      <c r="B1108" s="92" t="s">
        <v>16955</v>
      </c>
      <c r="C1108" s="92" t="s">
        <v>7520</v>
      </c>
      <c r="D1108" s="92" t="s">
        <v>16044</v>
      </c>
      <c r="E1108" s="94">
        <v>45113.54486111111</v>
      </c>
      <c r="F1108" s="94">
        <v>45913.93565972222</v>
      </c>
      <c r="G1108" s="90">
        <v>45846.47219907407</v>
      </c>
      <c r="H1108" s="1" t="s">
        <v>16476</v>
      </c>
    </row>
    <row r="1109">
      <c r="A1109" s="93">
        <v>1488.0</v>
      </c>
      <c r="B1109" s="92" t="s">
        <v>16956</v>
      </c>
      <c r="C1109" s="92" t="s">
        <v>9405</v>
      </c>
      <c r="D1109" s="92" t="s">
        <v>16044</v>
      </c>
      <c r="E1109" s="94">
        <v>45113.55604166666</v>
      </c>
      <c r="F1109" s="94">
        <v>45913.93449074074</v>
      </c>
      <c r="G1109" s="90">
        <v>45846.39815972222</v>
      </c>
      <c r="H1109" s="1" t="s">
        <v>16476</v>
      </c>
    </row>
    <row r="1110">
      <c r="A1110" s="93">
        <v>1599.0</v>
      </c>
      <c r="B1110" s="92" t="s">
        <v>16957</v>
      </c>
      <c r="C1110" s="92" t="s">
        <v>18907</v>
      </c>
      <c r="D1110" s="92" t="s">
        <v>16044</v>
      </c>
      <c r="E1110" s="94">
        <v>45113.55767361111</v>
      </c>
      <c r="F1110" s="94">
        <v>45913.931967592594</v>
      </c>
      <c r="G1110" s="90">
        <v>45846.388969907406</v>
      </c>
      <c r="H1110" s="1" t="s">
        <v>16476</v>
      </c>
    </row>
    <row r="1111">
      <c r="A1111" s="93">
        <v>1335.0</v>
      </c>
      <c r="B1111" s="92" t="s">
        <v>16958</v>
      </c>
      <c r="C1111" s="92" t="s">
        <v>8997</v>
      </c>
      <c r="D1111" s="92" t="s">
        <v>16044</v>
      </c>
      <c r="E1111" s="94">
        <v>45113.55380787037</v>
      </c>
      <c r="F1111" s="94">
        <v>45913.93121527778</v>
      </c>
      <c r="G1111" s="90">
        <v>45845.86085648148</v>
      </c>
      <c r="H1111" s="1" t="s">
        <v>16476</v>
      </c>
    </row>
    <row r="1112">
      <c r="A1112" s="93">
        <v>510.0</v>
      </c>
      <c r="B1112" s="92" t="s">
        <v>16959</v>
      </c>
      <c r="C1112" s="92" t="s">
        <v>14033</v>
      </c>
      <c r="D1112" s="92" t="s">
        <v>16044</v>
      </c>
      <c r="E1112" s="94">
        <v>45113.54164351852</v>
      </c>
      <c r="F1112" s="94">
        <v>45913.930810185186</v>
      </c>
      <c r="G1112" s="90">
        <v>45845.84688657407</v>
      </c>
      <c r="H1112" s="1" t="s">
        <v>16476</v>
      </c>
    </row>
    <row r="1113">
      <c r="A1113" s="93">
        <v>502.0</v>
      </c>
      <c r="B1113" s="92" t="s">
        <v>16960</v>
      </c>
      <c r="C1113" s="92" t="s">
        <v>10709</v>
      </c>
      <c r="D1113" s="92" t="s">
        <v>16044</v>
      </c>
      <c r="E1113" s="94">
        <v>45113.5415162037</v>
      </c>
      <c r="F1113" s="94">
        <v>45913.92974537037</v>
      </c>
      <c r="G1113" s="90">
        <v>45845.76516203704</v>
      </c>
      <c r="H1113" s="1" t="s">
        <v>16476</v>
      </c>
    </row>
    <row r="1114">
      <c r="A1114" s="93">
        <v>561.0</v>
      </c>
      <c r="B1114" s="92" t="s">
        <v>16961</v>
      </c>
      <c r="C1114" s="92" t="s">
        <v>7043</v>
      </c>
      <c r="D1114" s="92" t="s">
        <v>16044</v>
      </c>
      <c r="E1114" s="94">
        <v>45113.542349537034</v>
      </c>
      <c r="F1114" s="94">
        <v>45913.92528935185</v>
      </c>
      <c r="G1114" s="90">
        <v>45845.61398148148</v>
      </c>
      <c r="H1114" s="1" t="s">
        <v>16476</v>
      </c>
    </row>
    <row r="1115">
      <c r="A1115" s="93">
        <v>492.0</v>
      </c>
      <c r="B1115" s="92" t="s">
        <v>16962</v>
      </c>
      <c r="C1115" s="92" t="s">
        <v>7918</v>
      </c>
      <c r="D1115" s="92" t="s">
        <v>16044</v>
      </c>
      <c r="E1115" s="94">
        <v>45113.541342592594</v>
      </c>
      <c r="F1115" s="94">
        <v>45913.924837962964</v>
      </c>
      <c r="G1115" s="90">
        <v>45845.61168981482</v>
      </c>
      <c r="H1115" s="1" t="s">
        <v>16476</v>
      </c>
    </row>
    <row r="1116">
      <c r="A1116" s="93">
        <v>772.0</v>
      </c>
      <c r="B1116" s="92" t="s">
        <v>16963</v>
      </c>
      <c r="C1116" s="92" t="s">
        <v>7007</v>
      </c>
      <c r="D1116" s="92" t="s">
        <v>16044</v>
      </c>
      <c r="E1116" s="94">
        <v>45113.54552083334</v>
      </c>
      <c r="F1116" s="94">
        <v>45913.92428240741</v>
      </c>
      <c r="G1116" s="90">
        <v>45845.60811342593</v>
      </c>
      <c r="H1116" s="1" t="s">
        <v>16476</v>
      </c>
    </row>
    <row r="1117">
      <c r="A1117" s="93">
        <v>1147.0</v>
      </c>
      <c r="B1117" s="92" t="s">
        <v>16964</v>
      </c>
      <c r="C1117" s="92" t="s">
        <v>12694</v>
      </c>
      <c r="D1117" s="92" t="s">
        <v>16044</v>
      </c>
      <c r="E1117" s="94">
        <v>45113.55106481481</v>
      </c>
      <c r="F1117" s="94">
        <v>45913.923738425925</v>
      </c>
      <c r="G1117" s="90">
        <v>45845.60460648148</v>
      </c>
      <c r="H1117" s="1" t="s">
        <v>16476</v>
      </c>
    </row>
    <row r="1118">
      <c r="A1118" s="93">
        <v>902.0</v>
      </c>
      <c r="B1118" s="92" t="s">
        <v>16965</v>
      </c>
      <c r="C1118" s="92" t="s">
        <v>7197</v>
      </c>
      <c r="D1118" s="92" t="s">
        <v>16044</v>
      </c>
      <c r="E1118" s="94">
        <v>45113.54744212963</v>
      </c>
      <c r="F1118" s="94">
        <v>45913.923113425924</v>
      </c>
      <c r="G1118" s="90">
        <v>45845.602314814816</v>
      </c>
      <c r="H1118" s="1" t="s">
        <v>16476</v>
      </c>
    </row>
    <row r="1119">
      <c r="A1119" s="93">
        <v>603.0</v>
      </c>
      <c r="B1119" s="92" t="s">
        <v>16966</v>
      </c>
      <c r="C1119" s="92" t="s">
        <v>13194</v>
      </c>
      <c r="D1119" s="92" t="s">
        <v>16044</v>
      </c>
      <c r="E1119" s="94">
        <v>45113.542962962965</v>
      </c>
      <c r="F1119" s="94">
        <v>45913.92270833333</v>
      </c>
      <c r="G1119" s="90">
        <v>45845.599652777775</v>
      </c>
      <c r="H1119" s="1" t="s">
        <v>16476</v>
      </c>
    </row>
    <row r="1120">
      <c r="A1120" s="93">
        <v>1022.0</v>
      </c>
      <c r="B1120" s="92" t="s">
        <v>16967</v>
      </c>
      <c r="C1120" s="92" t="s">
        <v>11128</v>
      </c>
      <c r="D1120" s="92" t="s">
        <v>16044</v>
      </c>
      <c r="E1120" s="94">
        <v>45113.54920138889</v>
      </c>
      <c r="F1120" s="94">
        <v>45913.92217592592</v>
      </c>
      <c r="G1120" s="90">
        <v>45845.599074074074</v>
      </c>
      <c r="H1120" s="1" t="s">
        <v>16476</v>
      </c>
    </row>
    <row r="1121">
      <c r="A1121" s="93">
        <v>866.0</v>
      </c>
      <c r="B1121" s="92" t="s">
        <v>16968</v>
      </c>
      <c r="C1121" s="92" t="s">
        <v>10524</v>
      </c>
      <c r="D1121" s="92" t="s">
        <v>16044</v>
      </c>
      <c r="E1121" s="94">
        <v>45113.5469212963</v>
      </c>
      <c r="F1121" s="94">
        <v>45913.921689814815</v>
      </c>
      <c r="G1121" s="90">
        <v>45845.59836805556</v>
      </c>
      <c r="H1121" s="1" t="s">
        <v>16476</v>
      </c>
    </row>
    <row r="1122">
      <c r="A1122" s="93">
        <v>1123.0</v>
      </c>
      <c r="B1122" s="92" t="s">
        <v>16969</v>
      </c>
      <c r="C1122" s="92" t="s">
        <v>12726</v>
      </c>
      <c r="D1122" s="92" t="s">
        <v>16044</v>
      </c>
      <c r="E1122" s="94">
        <v>45113.55070601852</v>
      </c>
      <c r="F1122" s="94">
        <v>45913.92108796296</v>
      </c>
      <c r="G1122" s="90">
        <v>45845.59783564815</v>
      </c>
      <c r="H1122" s="1" t="s">
        <v>16476</v>
      </c>
    </row>
    <row r="1123">
      <c r="A1123" s="93">
        <v>1156.0</v>
      </c>
      <c r="B1123" s="92" t="s">
        <v>16970</v>
      </c>
      <c r="C1123" s="92" t="s">
        <v>15272</v>
      </c>
      <c r="D1123" s="92" t="s">
        <v>16044</v>
      </c>
      <c r="E1123" s="94">
        <v>45113.55119212963</v>
      </c>
      <c r="F1123" s="94">
        <v>45913.92013888889</v>
      </c>
      <c r="G1123" s="90">
        <v>45845.5968287037</v>
      </c>
      <c r="H1123" s="1" t="s">
        <v>16476</v>
      </c>
    </row>
    <row r="1124">
      <c r="A1124" s="93">
        <v>1533.0</v>
      </c>
      <c r="B1124" s="92" t="s">
        <v>16971</v>
      </c>
      <c r="C1124" s="92" t="s">
        <v>8568</v>
      </c>
      <c r="D1124" s="92" t="s">
        <v>16044</v>
      </c>
      <c r="E1124" s="94">
        <v>45113.55668981482</v>
      </c>
      <c r="F1124" s="94">
        <v>45913.91967592593</v>
      </c>
      <c r="G1124" s="90">
        <v>45845.596238425926</v>
      </c>
      <c r="H1124" s="1" t="s">
        <v>16476</v>
      </c>
    </row>
    <row r="1125">
      <c r="A1125" s="93">
        <v>1095.0</v>
      </c>
      <c r="B1125" s="92" t="s">
        <v>16972</v>
      </c>
      <c r="C1125" s="92" t="s">
        <v>8468</v>
      </c>
      <c r="D1125" s="92" t="s">
        <v>16044</v>
      </c>
      <c r="E1125" s="94">
        <v>45113.55027777778</v>
      </c>
      <c r="F1125" s="94">
        <v>45913.91908564815</v>
      </c>
      <c r="G1125" s="90">
        <v>45829.695752314816</v>
      </c>
      <c r="H1125" s="1" t="s">
        <v>16476</v>
      </c>
    </row>
    <row r="1126">
      <c r="A1126" s="93">
        <v>706.0</v>
      </c>
      <c r="B1126" s="92" t="s">
        <v>16973</v>
      </c>
      <c r="C1126" s="92" t="s">
        <v>14388</v>
      </c>
      <c r="D1126" s="92" t="s">
        <v>16044</v>
      </c>
      <c r="E1126" s="94">
        <v>45113.54452546296</v>
      </c>
      <c r="F1126" s="94">
        <v>45913.91849537037</v>
      </c>
      <c r="G1126" s="90">
        <v>45819.60627314815</v>
      </c>
      <c r="H1126" s="1" t="s">
        <v>16476</v>
      </c>
    </row>
    <row r="1127">
      <c r="A1127" s="93">
        <v>493.0</v>
      </c>
      <c r="B1127" s="92" t="s">
        <v>16974</v>
      </c>
      <c r="C1127" s="92" t="s">
        <v>12801</v>
      </c>
      <c r="D1127" s="92" t="s">
        <v>16044</v>
      </c>
      <c r="E1127" s="94">
        <v>45113.541354166664</v>
      </c>
      <c r="F1127" s="94">
        <v>45913.91744212963</v>
      </c>
      <c r="G1127" s="90">
        <v>45819.60511574074</v>
      </c>
      <c r="H1127" s="1" t="s">
        <v>16476</v>
      </c>
    </row>
    <row r="1128">
      <c r="A1128" s="93">
        <v>611.0</v>
      </c>
      <c r="B1128" s="92" t="s">
        <v>16975</v>
      </c>
      <c r="C1128" s="92" t="s">
        <v>6409</v>
      </c>
      <c r="D1128" s="92" t="s">
        <v>16044</v>
      </c>
      <c r="E1128" s="94">
        <v>45113.54309027778</v>
      </c>
      <c r="F1128" s="94">
        <v>45913.91704861111</v>
      </c>
      <c r="G1128" s="90">
        <v>45816.616898148146</v>
      </c>
      <c r="H1128" s="1" t="s">
        <v>16476</v>
      </c>
    </row>
    <row r="1129">
      <c r="A1129" s="93">
        <v>1065.0</v>
      </c>
      <c r="B1129" s="92" t="s">
        <v>16976</v>
      </c>
      <c r="C1129" s="92" t="s">
        <v>6180</v>
      </c>
      <c r="D1129" s="92" t="s">
        <v>16044</v>
      </c>
      <c r="E1129" s="94">
        <v>45113.549837962964</v>
      </c>
      <c r="F1129" s="94">
        <v>45913.91668981482</v>
      </c>
      <c r="G1129" s="90">
        <v>45807.645474537036</v>
      </c>
      <c r="H1129" s="1" t="s">
        <v>16476</v>
      </c>
    </row>
    <row r="1130">
      <c r="A1130" s="93">
        <v>662.0</v>
      </c>
      <c r="B1130" s="92" t="s">
        <v>16977</v>
      </c>
      <c r="C1130" s="92" t="s">
        <v>9458</v>
      </c>
      <c r="D1130" s="92" t="s">
        <v>16044</v>
      </c>
      <c r="E1130" s="94">
        <v>45113.54386574074</v>
      </c>
      <c r="F1130" s="94">
        <v>45913.91637731482</v>
      </c>
      <c r="G1130" s="90">
        <v>45807.611354166664</v>
      </c>
      <c r="H1130" s="1" t="s">
        <v>16476</v>
      </c>
    </row>
    <row r="1131">
      <c r="A1131" s="93">
        <v>810.0</v>
      </c>
      <c r="B1131" s="92" t="s">
        <v>16978</v>
      </c>
      <c r="C1131" s="92" t="s">
        <v>13090</v>
      </c>
      <c r="D1131" s="92" t="s">
        <v>16044</v>
      </c>
      <c r="E1131" s="94">
        <v>45113.54607638889</v>
      </c>
      <c r="F1131" s="94">
        <v>45913.9159375</v>
      </c>
      <c r="G1131" s="90">
        <v>45807.56071759259</v>
      </c>
      <c r="H1131" s="1" t="s">
        <v>16476</v>
      </c>
    </row>
    <row r="1132">
      <c r="A1132" s="93">
        <v>1634.0</v>
      </c>
      <c r="B1132" s="92" t="s">
        <v>16979</v>
      </c>
      <c r="C1132" s="92" t="s">
        <v>6195</v>
      </c>
      <c r="D1132" s="92" t="s">
        <v>16044</v>
      </c>
      <c r="E1132" s="94">
        <v>45113.55818287037</v>
      </c>
      <c r="F1132" s="94">
        <v>45913.91541666666</v>
      </c>
      <c r="G1132" s="90">
        <v>45804.914305555554</v>
      </c>
      <c r="H1132" s="1" t="s">
        <v>16476</v>
      </c>
    </row>
    <row r="1133">
      <c r="A1133" s="93">
        <v>1438.0</v>
      </c>
      <c r="B1133" s="92" t="s">
        <v>16980</v>
      </c>
      <c r="C1133" s="92" t="s">
        <v>10976</v>
      </c>
      <c r="D1133" s="92" t="s">
        <v>16044</v>
      </c>
      <c r="E1133" s="94">
        <v>45113.555300925924</v>
      </c>
      <c r="F1133" s="94">
        <v>45913.91491898148</v>
      </c>
      <c r="G1133" s="90">
        <v>45789.44505787037</v>
      </c>
      <c r="H1133" s="1" t="s">
        <v>16476</v>
      </c>
    </row>
    <row r="1134">
      <c r="A1134" s="93">
        <v>1192.0</v>
      </c>
      <c r="B1134" s="92" t="s">
        <v>16981</v>
      </c>
      <c r="C1134" s="92" t="s">
        <v>14917</v>
      </c>
      <c r="D1134" s="92" t="s">
        <v>16044</v>
      </c>
      <c r="E1134" s="94">
        <v>45113.551712962966</v>
      </c>
      <c r="F1134" s="94">
        <v>45913.86237268519</v>
      </c>
      <c r="G1134" s="90">
        <v>45789.444189814814</v>
      </c>
      <c r="H1134" s="1" t="s">
        <v>16476</v>
      </c>
    </row>
    <row r="1135">
      <c r="A1135" s="93">
        <v>554.0</v>
      </c>
      <c r="B1135" s="92" t="s">
        <v>16982</v>
      </c>
      <c r="C1135" s="92" t="s">
        <v>8720</v>
      </c>
      <c r="D1135" s="92" t="s">
        <v>16044</v>
      </c>
      <c r="E1135" s="94">
        <v>45113.54224537037</v>
      </c>
      <c r="F1135" s="94">
        <v>45913.86179398148</v>
      </c>
      <c r="G1135" s="90">
        <v>45786.65923611111</v>
      </c>
      <c r="H1135" s="1" t="s">
        <v>16476</v>
      </c>
    </row>
    <row r="1136">
      <c r="A1136" s="93">
        <v>555.0</v>
      </c>
      <c r="B1136" s="92" t="s">
        <v>16983</v>
      </c>
      <c r="C1136" s="92" t="s">
        <v>9225</v>
      </c>
      <c r="D1136" s="92" t="s">
        <v>16044</v>
      </c>
      <c r="E1136" s="94">
        <v>45113.54225694444</v>
      </c>
      <c r="F1136" s="94">
        <v>45913.861550925925</v>
      </c>
      <c r="G1136" s="90">
        <v>45779.462916666664</v>
      </c>
      <c r="H1136" s="1" t="s">
        <v>16476</v>
      </c>
    </row>
    <row r="1137">
      <c r="A1137" s="93">
        <v>964.0</v>
      </c>
      <c r="B1137" s="92" t="s">
        <v>16984</v>
      </c>
      <c r="C1137" s="92" t="s">
        <v>8511</v>
      </c>
      <c r="D1137" s="92" t="s">
        <v>16044</v>
      </c>
      <c r="E1137" s="94">
        <v>45113.54834490741</v>
      </c>
      <c r="F1137" s="94">
        <v>45913.86127314815</v>
      </c>
      <c r="G1137" s="90">
        <v>45779.45658564815</v>
      </c>
      <c r="H1137" s="1" t="s">
        <v>16476</v>
      </c>
    </row>
    <row r="1138">
      <c r="A1138" s="93">
        <v>761.0</v>
      </c>
      <c r="B1138" s="92" t="s">
        <v>16985</v>
      </c>
      <c r="C1138" s="92" t="s">
        <v>13615</v>
      </c>
      <c r="D1138" s="92" t="s">
        <v>16044</v>
      </c>
      <c r="E1138" s="94">
        <v>45113.54537037037</v>
      </c>
      <c r="F1138" s="94">
        <v>45913.86074074074</v>
      </c>
      <c r="G1138" s="90">
        <v>45779.45475694445</v>
      </c>
      <c r="H1138" s="1" t="s">
        <v>16476</v>
      </c>
    </row>
    <row r="1139">
      <c r="A1139" s="93">
        <v>1246.0</v>
      </c>
      <c r="B1139" s="92" t="s">
        <v>16986</v>
      </c>
      <c r="C1139" s="92" t="s">
        <v>8919</v>
      </c>
      <c r="D1139" s="92" t="s">
        <v>16044</v>
      </c>
      <c r="E1139" s="94">
        <v>45113.5525</v>
      </c>
      <c r="F1139" s="94">
        <v>45913.859872685185</v>
      </c>
      <c r="G1139" s="90">
        <v>45779.452731481484</v>
      </c>
      <c r="H1139" s="1" t="s">
        <v>16476</v>
      </c>
    </row>
    <row r="1140">
      <c r="A1140" s="93">
        <v>1541.0</v>
      </c>
      <c r="B1140" s="92" t="s">
        <v>16987</v>
      </c>
      <c r="C1140" s="92" t="s">
        <v>15189</v>
      </c>
      <c r="D1140" s="92" t="s">
        <v>16044</v>
      </c>
      <c r="E1140" s="94">
        <v>45113.556805555556</v>
      </c>
      <c r="F1140" s="94">
        <v>45913.85951388889</v>
      </c>
      <c r="G1140" s="90">
        <v>45771.71193287037</v>
      </c>
      <c r="H1140" s="1" t="s">
        <v>16476</v>
      </c>
    </row>
    <row r="1141">
      <c r="A1141" s="93">
        <v>1413.0</v>
      </c>
      <c r="B1141" s="92" t="s">
        <v>16988</v>
      </c>
      <c r="C1141" s="92" t="s">
        <v>15309</v>
      </c>
      <c r="D1141" s="92" t="s">
        <v>16044</v>
      </c>
      <c r="E1141" s="94">
        <v>45113.55494212963</v>
      </c>
      <c r="F1141" s="94">
        <v>45913.8591087963</v>
      </c>
      <c r="G1141" s="90">
        <v>45771.465</v>
      </c>
      <c r="H1141" s="1" t="s">
        <v>16476</v>
      </c>
    </row>
    <row r="1142">
      <c r="A1142" s="93">
        <v>552.0</v>
      </c>
      <c r="B1142" s="92" t="s">
        <v>16989</v>
      </c>
      <c r="C1142" s="92" t="s">
        <v>8758</v>
      </c>
      <c r="D1142" s="92" t="s">
        <v>16044</v>
      </c>
      <c r="E1142" s="94">
        <v>45113.54221064815</v>
      </c>
      <c r="F1142" s="94">
        <v>45913.858715277776</v>
      </c>
      <c r="G1142" s="90">
        <v>45771.455717592595</v>
      </c>
      <c r="H1142" s="1" t="s">
        <v>16476</v>
      </c>
    </row>
    <row r="1143">
      <c r="A1143" s="93">
        <v>965.0</v>
      </c>
      <c r="B1143" s="92" t="s">
        <v>16990</v>
      </c>
      <c r="C1143" s="92" t="s">
        <v>9256</v>
      </c>
      <c r="D1143" s="92" t="s">
        <v>16044</v>
      </c>
      <c r="E1143" s="94">
        <v>45113.548368055555</v>
      </c>
      <c r="F1143" s="94">
        <v>45913.858090277776</v>
      </c>
      <c r="G1143" s="90">
        <v>45771.454872685186</v>
      </c>
      <c r="H1143" s="1" t="s">
        <v>16476</v>
      </c>
    </row>
    <row r="1144">
      <c r="A1144" s="93">
        <v>776.0</v>
      </c>
      <c r="B1144" s="92" t="s">
        <v>16991</v>
      </c>
      <c r="C1144" s="92" t="s">
        <v>6338</v>
      </c>
      <c r="D1144" s="92" t="s">
        <v>16044</v>
      </c>
      <c r="E1144" s="94">
        <v>45113.545578703706</v>
      </c>
      <c r="F1144" s="94">
        <v>45913.857395833336</v>
      </c>
      <c r="G1144" s="90">
        <v>45771.45278935185</v>
      </c>
      <c r="H1144" s="1" t="s">
        <v>16476</v>
      </c>
    </row>
    <row r="1145">
      <c r="A1145" s="93">
        <v>1434.0</v>
      </c>
      <c r="B1145" s="92" t="s">
        <v>16992</v>
      </c>
      <c r="C1145" s="92" t="s">
        <v>9546</v>
      </c>
      <c r="D1145" s="92" t="s">
        <v>16044</v>
      </c>
      <c r="E1145" s="94">
        <v>45113.555243055554</v>
      </c>
      <c r="F1145" s="94">
        <v>45913.85704861111</v>
      </c>
      <c r="G1145" s="90">
        <v>45771.45130787037</v>
      </c>
      <c r="H1145" s="1" t="s">
        <v>16476</v>
      </c>
    </row>
    <row r="1146">
      <c r="A1146" s="93">
        <v>1374.0</v>
      </c>
      <c r="B1146" s="92" t="s">
        <v>16993</v>
      </c>
      <c r="C1146" s="92" t="s">
        <v>12943</v>
      </c>
      <c r="D1146" s="92" t="s">
        <v>16044</v>
      </c>
      <c r="E1146" s="94">
        <v>45113.55436342592</v>
      </c>
      <c r="F1146" s="94">
        <v>45913.85439814815</v>
      </c>
      <c r="G1146" s="90">
        <v>45771.448796296296</v>
      </c>
      <c r="H1146" s="1" t="s">
        <v>16476</v>
      </c>
    </row>
    <row r="1147">
      <c r="A1147" s="93">
        <v>1253.0</v>
      </c>
      <c r="B1147" s="92" t="s">
        <v>16994</v>
      </c>
      <c r="C1147" s="92" t="s">
        <v>12017</v>
      </c>
      <c r="D1147" s="92" t="s">
        <v>16044</v>
      </c>
      <c r="E1147" s="94">
        <v>45113.55260416667</v>
      </c>
      <c r="F1147" s="94">
        <v>45913.85380787037</v>
      </c>
      <c r="G1147" s="90">
        <v>45771.44844907407</v>
      </c>
      <c r="H1147" s="1" t="s">
        <v>16476</v>
      </c>
    </row>
    <row r="1148">
      <c r="A1148" s="93">
        <v>963.0</v>
      </c>
      <c r="B1148" s="92" t="s">
        <v>16995</v>
      </c>
      <c r="C1148" s="92" t="s">
        <v>10061</v>
      </c>
      <c r="D1148" s="92" t="s">
        <v>16044</v>
      </c>
      <c r="E1148" s="94">
        <v>45113.54833333333</v>
      </c>
      <c r="F1148" s="94">
        <v>45913.853171296294</v>
      </c>
      <c r="G1148" s="90">
        <v>45771.44826388889</v>
      </c>
      <c r="H1148" s="1" t="s">
        <v>16476</v>
      </c>
    </row>
    <row r="1149">
      <c r="A1149" s="93">
        <v>1149.0</v>
      </c>
      <c r="B1149" s="92" t="s">
        <v>16996</v>
      </c>
      <c r="C1149" s="92" t="s">
        <v>7357</v>
      </c>
      <c r="D1149" s="92" t="s">
        <v>16044</v>
      </c>
      <c r="E1149" s="94">
        <v>45113.551087962966</v>
      </c>
      <c r="F1149" s="94">
        <v>45913.852847222224</v>
      </c>
      <c r="G1149" s="90">
        <v>45771.4474537037</v>
      </c>
      <c r="H1149" s="1" t="s">
        <v>16476</v>
      </c>
    </row>
    <row r="1150">
      <c r="A1150" s="93">
        <v>471.0</v>
      </c>
      <c r="B1150" s="92" t="s">
        <v>16997</v>
      </c>
      <c r="C1150" s="92" t="s">
        <v>7331</v>
      </c>
      <c r="D1150" s="92" t="s">
        <v>16044</v>
      </c>
      <c r="E1150" s="94">
        <v>45113.541030092594</v>
      </c>
      <c r="F1150" s="94">
        <v>45913.85229166667</v>
      </c>
      <c r="G1150" s="90">
        <v>45771.44744212963</v>
      </c>
      <c r="H1150" s="1" t="s">
        <v>16476</v>
      </c>
    </row>
    <row r="1151">
      <c r="A1151" s="93">
        <v>467.0</v>
      </c>
      <c r="B1151" s="92" t="s">
        <v>16998</v>
      </c>
      <c r="C1151" s="92" t="s">
        <v>12476</v>
      </c>
      <c r="D1151" s="92" t="s">
        <v>16044</v>
      </c>
      <c r="E1151" s="94">
        <v>45113.540972222225</v>
      </c>
      <c r="F1151" s="94">
        <v>45913.85204861111</v>
      </c>
      <c r="G1151" s="90">
        <v>45771.44740740741</v>
      </c>
      <c r="H1151" s="1" t="s">
        <v>16476</v>
      </c>
    </row>
    <row r="1152">
      <c r="A1152" s="93">
        <v>501.0</v>
      </c>
      <c r="B1152" s="92" t="s">
        <v>16999</v>
      </c>
      <c r="C1152" s="92" t="s">
        <v>7745</v>
      </c>
      <c r="D1152" s="92" t="s">
        <v>16044</v>
      </c>
      <c r="E1152" s="94">
        <v>45113.54150462963</v>
      </c>
      <c r="F1152" s="94">
        <v>45913.85175925926</v>
      </c>
      <c r="G1152" s="90">
        <v>45771.44608796296</v>
      </c>
      <c r="H1152" s="1" t="s">
        <v>16476</v>
      </c>
    </row>
    <row r="1153">
      <c r="A1153" s="93">
        <v>473.0</v>
      </c>
      <c r="B1153" s="92" t="s">
        <v>17000</v>
      </c>
      <c r="C1153" s="92" t="s">
        <v>8463</v>
      </c>
      <c r="D1153" s="92" t="s">
        <v>16044</v>
      </c>
      <c r="E1153" s="94">
        <v>45113.54106481482</v>
      </c>
      <c r="F1153" s="94">
        <v>45913.85150462963</v>
      </c>
      <c r="G1153" s="90">
        <v>45771.44496527778</v>
      </c>
      <c r="H1153" s="1" t="s">
        <v>16476</v>
      </c>
    </row>
    <row r="1154">
      <c r="A1154" s="93">
        <v>478.0</v>
      </c>
      <c r="B1154" s="92" t="s">
        <v>17001</v>
      </c>
      <c r="C1154" s="92" t="s">
        <v>13066</v>
      </c>
      <c r="D1154" s="92" t="s">
        <v>16044</v>
      </c>
      <c r="E1154" s="94">
        <v>45113.541134259256</v>
      </c>
      <c r="F1154" s="94">
        <v>45913.85123842592</v>
      </c>
      <c r="G1154" s="90">
        <v>45771.44480324074</v>
      </c>
      <c r="H1154" s="1" t="s">
        <v>16476</v>
      </c>
    </row>
    <row r="1155">
      <c r="A1155" s="93">
        <v>472.0</v>
      </c>
      <c r="B1155" s="92" t="s">
        <v>17002</v>
      </c>
      <c r="C1155" s="92" t="s">
        <v>8883</v>
      </c>
      <c r="D1155" s="92" t="s">
        <v>16044</v>
      </c>
      <c r="E1155" s="94">
        <v>45113.54105324074</v>
      </c>
      <c r="F1155" s="94">
        <v>45913.850949074076</v>
      </c>
      <c r="G1155" s="90">
        <v>45771.4390625</v>
      </c>
      <c r="H1155" s="1" t="s">
        <v>16476</v>
      </c>
    </row>
    <row r="1156">
      <c r="A1156" s="93">
        <v>762.0</v>
      </c>
      <c r="B1156" s="92" t="s">
        <v>17003</v>
      </c>
      <c r="C1156" s="92" t="s">
        <v>10344</v>
      </c>
      <c r="D1156" s="92" t="s">
        <v>16044</v>
      </c>
      <c r="E1156" s="94">
        <v>45113.545381944445</v>
      </c>
      <c r="F1156" s="94">
        <v>45913.85041666667</v>
      </c>
      <c r="G1156" s="90">
        <v>45754.813796296294</v>
      </c>
      <c r="H1156" s="1" t="s">
        <v>16476</v>
      </c>
    </row>
    <row r="1157">
      <c r="A1157" s="93">
        <v>482.0</v>
      </c>
      <c r="B1157" s="92" t="s">
        <v>17004</v>
      </c>
      <c r="C1157" s="92" t="s">
        <v>7020</v>
      </c>
      <c r="D1157" s="92" t="s">
        <v>16044</v>
      </c>
      <c r="E1157" s="94">
        <v>45113.54119212963</v>
      </c>
      <c r="F1157" s="94">
        <v>45913.84983796296</v>
      </c>
      <c r="G1157" s="90">
        <v>45750.522152777776</v>
      </c>
      <c r="H1157" s="1" t="s">
        <v>16476</v>
      </c>
    </row>
    <row r="1158">
      <c r="A1158" s="93">
        <v>477.0</v>
      </c>
      <c r="B1158" s="92" t="s">
        <v>17005</v>
      </c>
      <c r="C1158" s="92" t="s">
        <v>8020</v>
      </c>
      <c r="D1158" s="92" t="s">
        <v>16044</v>
      </c>
      <c r="E1158" s="94">
        <v>45113.54112268519</v>
      </c>
      <c r="F1158" s="94">
        <v>45913.849328703705</v>
      </c>
      <c r="G1158" s="90">
        <v>45750.50984953704</v>
      </c>
      <c r="H1158" s="1" t="s">
        <v>16476</v>
      </c>
    </row>
    <row r="1159">
      <c r="A1159" s="93">
        <v>489.0</v>
      </c>
      <c r="B1159" s="92" t="s">
        <v>17006</v>
      </c>
      <c r="C1159" s="92" t="s">
        <v>15346</v>
      </c>
      <c r="D1159" s="92" t="s">
        <v>16044</v>
      </c>
      <c r="E1159" s="94">
        <v>45113.541296296295</v>
      </c>
      <c r="F1159" s="94">
        <v>45913.848657407405</v>
      </c>
      <c r="G1159" s="90">
        <v>45743.52579861111</v>
      </c>
      <c r="H1159" s="1" t="s">
        <v>16476</v>
      </c>
    </row>
    <row r="1160">
      <c r="A1160" s="93">
        <v>910.0</v>
      </c>
      <c r="B1160" s="92" t="s">
        <v>17007</v>
      </c>
      <c r="C1160" s="92" t="s">
        <v>8913</v>
      </c>
      <c r="D1160" s="92" t="s">
        <v>16044</v>
      </c>
      <c r="E1160" s="94">
        <v>45113.54755787037</v>
      </c>
      <c r="F1160" s="94">
        <v>45913.848333333335</v>
      </c>
      <c r="G1160" s="90">
        <v>45743.50480324074</v>
      </c>
      <c r="H1160" s="1" t="s">
        <v>16476</v>
      </c>
    </row>
    <row r="1161">
      <c r="A1161" s="93">
        <v>1221.0</v>
      </c>
      <c r="B1161" s="92" t="s">
        <v>17008</v>
      </c>
      <c r="C1161" s="92" t="s">
        <v>11631</v>
      </c>
      <c r="D1161" s="92" t="s">
        <v>16044</v>
      </c>
      <c r="E1161" s="94">
        <v>45113.552141203705</v>
      </c>
      <c r="F1161" s="94">
        <v>45913.84809027778</v>
      </c>
      <c r="G1161" s="90">
        <v>45740.663356481484</v>
      </c>
      <c r="H1161" s="1" t="s">
        <v>16476</v>
      </c>
    </row>
    <row r="1162">
      <c r="A1162" s="93">
        <v>906.0</v>
      </c>
      <c r="B1162" s="92" t="s">
        <v>17009</v>
      </c>
      <c r="C1162" s="92" t="s">
        <v>8345</v>
      </c>
      <c r="D1162" s="92" t="s">
        <v>16044</v>
      </c>
      <c r="E1162" s="94">
        <v>45113.5475</v>
      </c>
      <c r="F1162" s="94">
        <v>45913.84731481481</v>
      </c>
      <c r="G1162" s="90">
        <v>45733.985972222225</v>
      </c>
      <c r="H1162" s="1" t="s">
        <v>16476</v>
      </c>
    </row>
    <row r="1163">
      <c r="A1163" s="93">
        <v>1564.0</v>
      </c>
      <c r="B1163" s="92" t="s">
        <v>17010</v>
      </c>
      <c r="C1163" s="92" t="s">
        <v>9040</v>
      </c>
      <c r="D1163" s="92" t="s">
        <v>16044</v>
      </c>
      <c r="E1163" s="94">
        <v>45113.55715277778</v>
      </c>
      <c r="F1163" s="94">
        <v>45913.84704861111</v>
      </c>
      <c r="G1163" s="90">
        <v>45733.74081018518</v>
      </c>
      <c r="H1163" s="1" t="s">
        <v>16476</v>
      </c>
    </row>
    <row r="1164">
      <c r="A1164" s="93">
        <v>677.0</v>
      </c>
      <c r="B1164" s="92" t="s">
        <v>17011</v>
      </c>
      <c r="C1164" s="92" t="s">
        <v>6967</v>
      </c>
      <c r="D1164" s="92" t="s">
        <v>16044</v>
      </c>
      <c r="E1164" s="94">
        <v>45113.54408564815</v>
      </c>
      <c r="F1164" s="94">
        <v>45913.84631944444</v>
      </c>
      <c r="G1164" s="90">
        <v>45733.676087962966</v>
      </c>
      <c r="H1164" s="1" t="s">
        <v>16476</v>
      </c>
    </row>
    <row r="1165">
      <c r="A1165" s="93">
        <v>826.0</v>
      </c>
      <c r="B1165" s="92" t="s">
        <v>17012</v>
      </c>
      <c r="C1165" s="92" t="s">
        <v>5205</v>
      </c>
      <c r="D1165" s="92" t="s">
        <v>16044</v>
      </c>
      <c r="E1165" s="94">
        <v>45113.546331018515</v>
      </c>
      <c r="F1165" s="94">
        <v>45913.84600694444</v>
      </c>
      <c r="G1165" s="90">
        <v>45733.65211805556</v>
      </c>
      <c r="H1165" s="1" t="s">
        <v>16476</v>
      </c>
    </row>
    <row r="1166">
      <c r="A1166" s="93">
        <v>1268.0</v>
      </c>
      <c r="B1166" s="92" t="s">
        <v>17013</v>
      </c>
      <c r="C1166" s="92" t="s">
        <v>12490</v>
      </c>
      <c r="D1166" s="92" t="s">
        <v>16044</v>
      </c>
      <c r="E1166" s="94">
        <v>45113.552824074075</v>
      </c>
      <c r="F1166" s="94">
        <v>45913.84576388889</v>
      </c>
      <c r="G1166" s="90">
        <v>45733.627071759256</v>
      </c>
      <c r="H1166" s="1" t="s">
        <v>16476</v>
      </c>
    </row>
    <row r="1167">
      <c r="A1167" s="93">
        <v>1605.0</v>
      </c>
      <c r="B1167" s="92" t="s">
        <v>17014</v>
      </c>
      <c r="C1167" s="92" t="s">
        <v>7765</v>
      </c>
      <c r="D1167" s="92" t="s">
        <v>16044</v>
      </c>
      <c r="E1167" s="94">
        <v>45113.5577662037</v>
      </c>
      <c r="F1167" s="94">
        <v>45913.84546296296</v>
      </c>
      <c r="G1167" s="90">
        <v>45730.73103009259</v>
      </c>
      <c r="H1167" s="1" t="s">
        <v>16476</v>
      </c>
    </row>
    <row r="1168">
      <c r="A1168" s="93">
        <v>684.0</v>
      </c>
      <c r="B1168" s="92" t="s">
        <v>17015</v>
      </c>
      <c r="C1168" s="92" t="s">
        <v>7731</v>
      </c>
      <c r="D1168" s="92" t="s">
        <v>16044</v>
      </c>
      <c r="E1168" s="94">
        <v>45113.54418981481</v>
      </c>
      <c r="F1168" s="94">
        <v>45913.84519675926</v>
      </c>
      <c r="G1168" s="90">
        <v>45730.65493055555</v>
      </c>
      <c r="H1168" s="1" t="s">
        <v>16476</v>
      </c>
    </row>
    <row r="1169">
      <c r="A1169" s="93">
        <v>1453.0</v>
      </c>
      <c r="B1169" s="92" t="s">
        <v>17016</v>
      </c>
      <c r="C1169" s="92" t="s">
        <v>6926</v>
      </c>
      <c r="D1169" s="92" t="s">
        <v>16044</v>
      </c>
      <c r="E1169" s="94">
        <v>45113.55552083333</v>
      </c>
      <c r="F1169" s="94">
        <v>45913.844618055555</v>
      </c>
      <c r="G1169" s="90">
        <v>45730.65292824074</v>
      </c>
      <c r="H1169" s="1" t="s">
        <v>16476</v>
      </c>
    </row>
    <row r="1170">
      <c r="A1170" s="93">
        <v>490.0</v>
      </c>
      <c r="B1170" s="92" t="s">
        <v>17017</v>
      </c>
      <c r="C1170" s="92" t="s">
        <v>5702</v>
      </c>
      <c r="D1170" s="92" t="s">
        <v>16044</v>
      </c>
      <c r="E1170" s="94">
        <v>45113.54131944444</v>
      </c>
      <c r="F1170" s="94">
        <v>45913.843981481485</v>
      </c>
      <c r="G1170" s="90">
        <v>45730.53386574074</v>
      </c>
      <c r="H1170" s="1" t="s">
        <v>16476</v>
      </c>
    </row>
    <row r="1171">
      <c r="A1171" s="93">
        <v>470.0</v>
      </c>
      <c r="B1171" s="92" t="s">
        <v>17018</v>
      </c>
      <c r="C1171" s="92" t="s">
        <v>8364</v>
      </c>
      <c r="D1171" s="92" t="s">
        <v>16044</v>
      </c>
      <c r="E1171" s="94">
        <v>45113.54101851852</v>
      </c>
      <c r="F1171" s="94">
        <v>45913.84076388889</v>
      </c>
      <c r="G1171" s="90">
        <v>45729.53773148148</v>
      </c>
      <c r="H1171" s="1" t="s">
        <v>16476</v>
      </c>
    </row>
    <row r="1172">
      <c r="A1172" s="93">
        <v>765.0</v>
      </c>
      <c r="B1172" s="92" t="s">
        <v>17019</v>
      </c>
      <c r="C1172" s="92" t="s">
        <v>7235</v>
      </c>
      <c r="D1172" s="92" t="s">
        <v>16044</v>
      </c>
      <c r="E1172" s="94">
        <v>45113.54542824074</v>
      </c>
      <c r="F1172" s="94">
        <v>45913.840150462966</v>
      </c>
      <c r="G1172" s="90">
        <v>45729.536516203705</v>
      </c>
      <c r="H1172" s="1" t="s">
        <v>16476</v>
      </c>
    </row>
    <row r="1173">
      <c r="A1173" s="93">
        <v>890.0</v>
      </c>
      <c r="B1173" s="92" t="s">
        <v>17020</v>
      </c>
      <c r="C1173" s="92" t="s">
        <v>10740</v>
      </c>
      <c r="D1173" s="92" t="s">
        <v>16044</v>
      </c>
      <c r="E1173" s="94">
        <v>45113.547268518516</v>
      </c>
      <c r="F1173" s="94">
        <v>45913.8384375</v>
      </c>
      <c r="G1173" s="90">
        <v>45729.53369212963</v>
      </c>
      <c r="H1173" s="1" t="s">
        <v>16476</v>
      </c>
    </row>
    <row r="1174">
      <c r="A1174" s="93">
        <v>966.0</v>
      </c>
      <c r="B1174" s="92" t="s">
        <v>17021</v>
      </c>
      <c r="C1174" s="92" t="s">
        <v>6095</v>
      </c>
      <c r="D1174" s="92" t="s">
        <v>16044</v>
      </c>
      <c r="E1174" s="94">
        <v>45113.54837962963</v>
      </c>
      <c r="F1174" s="94">
        <v>45913.838159722225</v>
      </c>
      <c r="G1174" s="90">
        <v>45729.531701388885</v>
      </c>
      <c r="H1174" s="1" t="s">
        <v>16476</v>
      </c>
    </row>
    <row r="1175">
      <c r="A1175" s="93">
        <v>924.0</v>
      </c>
      <c r="B1175" s="92" t="s">
        <v>17022</v>
      </c>
      <c r="C1175" s="92" t="s">
        <v>7174</v>
      </c>
      <c r="D1175" s="92" t="s">
        <v>16044</v>
      </c>
      <c r="E1175" s="94">
        <v>45113.5477662037</v>
      </c>
      <c r="F1175" s="94">
        <v>45913.83675925926</v>
      </c>
      <c r="G1175" s="90">
        <v>45729.52908564815</v>
      </c>
      <c r="H1175" s="1" t="s">
        <v>16476</v>
      </c>
    </row>
    <row r="1176">
      <c r="A1176" s="93">
        <v>939.0</v>
      </c>
      <c r="B1176" s="92" t="s">
        <v>17023</v>
      </c>
      <c r="C1176" s="92" t="s">
        <v>7855</v>
      </c>
      <c r="D1176" s="92" t="s">
        <v>16044</v>
      </c>
      <c r="E1176" s="94">
        <v>45113.54798611111</v>
      </c>
      <c r="F1176" s="94">
        <v>45913.836122685185</v>
      </c>
      <c r="G1176" s="90">
        <v>45729.52769675926</v>
      </c>
      <c r="H1176" s="1" t="s">
        <v>16476</v>
      </c>
    </row>
    <row r="1177">
      <c r="A1177" s="93">
        <v>991.0</v>
      </c>
      <c r="B1177" s="92" t="s">
        <v>17024</v>
      </c>
      <c r="C1177" s="92" t="s">
        <v>5586</v>
      </c>
      <c r="D1177" s="92" t="s">
        <v>16044</v>
      </c>
      <c r="E1177" s="94">
        <v>45113.54875</v>
      </c>
      <c r="F1177" s="94">
        <v>45913.8358912037</v>
      </c>
      <c r="G1177" s="90">
        <v>45729.524664351855</v>
      </c>
      <c r="H1177" s="1" t="s">
        <v>16476</v>
      </c>
    </row>
    <row r="1178">
      <c r="A1178" s="93">
        <v>553.0</v>
      </c>
      <c r="B1178" s="92" t="s">
        <v>17025</v>
      </c>
      <c r="C1178" s="92" t="s">
        <v>15619</v>
      </c>
      <c r="D1178" s="92" t="s">
        <v>16044</v>
      </c>
      <c r="E1178" s="94">
        <v>45113.542233796295</v>
      </c>
      <c r="F1178" s="94">
        <v>45913.83561342592</v>
      </c>
      <c r="G1178" s="90">
        <v>45729.521006944444</v>
      </c>
      <c r="H1178" s="1" t="s">
        <v>16476</v>
      </c>
    </row>
    <row r="1179">
      <c r="A1179" s="93">
        <v>1040.0</v>
      </c>
      <c r="B1179" s="92" t="s">
        <v>17026</v>
      </c>
      <c r="C1179" s="92" t="s">
        <v>15407</v>
      </c>
      <c r="D1179" s="92" t="s">
        <v>16044</v>
      </c>
      <c r="E1179" s="94">
        <v>45113.54945601852</v>
      </c>
      <c r="F1179" s="94">
        <v>45913.83503472222</v>
      </c>
      <c r="G1179" s="90">
        <v>45729.51253472222</v>
      </c>
      <c r="H1179" s="1" t="s">
        <v>16476</v>
      </c>
    </row>
    <row r="1180">
      <c r="A1180" s="93">
        <v>1144.0</v>
      </c>
      <c r="B1180" s="92" t="s">
        <v>17027</v>
      </c>
      <c r="C1180" s="92" t="s">
        <v>14628</v>
      </c>
      <c r="D1180" s="92" t="s">
        <v>16044</v>
      </c>
      <c r="E1180" s="94">
        <v>45113.55101851852</v>
      </c>
      <c r="F1180" s="94">
        <v>45913.834756944445</v>
      </c>
      <c r="G1180" s="90">
        <v>45729.50782407408</v>
      </c>
      <c r="H1180" s="1" t="s">
        <v>16476</v>
      </c>
    </row>
    <row r="1181">
      <c r="A1181" s="93">
        <v>760.0</v>
      </c>
      <c r="B1181" s="92" t="s">
        <v>17028</v>
      </c>
      <c r="C1181" s="92" t="s">
        <v>14819</v>
      </c>
      <c r="D1181" s="92" t="s">
        <v>16044</v>
      </c>
      <c r="E1181" s="94">
        <v>45113.54534722222</v>
      </c>
      <c r="F1181" s="94">
        <v>45913.83446759259</v>
      </c>
      <c r="G1181" s="90">
        <v>45729.50545138889</v>
      </c>
      <c r="H1181" s="1" t="s">
        <v>16476</v>
      </c>
    </row>
    <row r="1182">
      <c r="A1182" s="93">
        <v>1340.0</v>
      </c>
      <c r="B1182" s="92" t="s">
        <v>17029</v>
      </c>
      <c r="C1182" s="92" t="s">
        <v>14416</v>
      </c>
      <c r="D1182" s="92" t="s">
        <v>16044</v>
      </c>
      <c r="E1182" s="94">
        <v>45113.553877314815</v>
      </c>
      <c r="F1182" s="94">
        <v>45913.8341087963</v>
      </c>
      <c r="G1182" s="90">
        <v>45729.504583333335</v>
      </c>
      <c r="H1182" s="1" t="s">
        <v>16476</v>
      </c>
    </row>
    <row r="1183">
      <c r="A1183" s="93">
        <v>1191.0</v>
      </c>
      <c r="B1183" s="92" t="s">
        <v>17030</v>
      </c>
      <c r="C1183" s="92" t="s">
        <v>10623</v>
      </c>
      <c r="D1183" s="92" t="s">
        <v>16044</v>
      </c>
      <c r="E1183" s="94">
        <v>45113.55170138889</v>
      </c>
      <c r="F1183" s="94">
        <v>45913.83336805556</v>
      </c>
      <c r="G1183" s="90">
        <v>45729.50021990741</v>
      </c>
      <c r="H1183" s="1" t="s">
        <v>16476</v>
      </c>
    </row>
    <row r="1184">
      <c r="A1184" s="93">
        <v>1437.0</v>
      </c>
      <c r="B1184" s="92" t="s">
        <v>17031</v>
      </c>
      <c r="C1184" s="92" t="s">
        <v>13025</v>
      </c>
      <c r="D1184" s="92" t="s">
        <v>16044</v>
      </c>
      <c r="E1184" s="94">
        <v>45113.555289351854</v>
      </c>
      <c r="F1184" s="94">
        <v>45913.83293981481</v>
      </c>
      <c r="G1184" s="90">
        <v>45729.48677083333</v>
      </c>
      <c r="H1184" s="1" t="s">
        <v>16476</v>
      </c>
    </row>
    <row r="1185">
      <c r="A1185" s="93">
        <v>1641.0</v>
      </c>
      <c r="B1185" s="92" t="s">
        <v>17032</v>
      </c>
      <c r="C1185" s="92" t="s">
        <v>14565</v>
      </c>
      <c r="D1185" s="92" t="s">
        <v>16044</v>
      </c>
      <c r="E1185" s="94">
        <v>45113.558287037034</v>
      </c>
      <c r="F1185" s="94">
        <v>45913.83243055556</v>
      </c>
      <c r="G1185" s="90">
        <v>45727.54108796296</v>
      </c>
      <c r="H1185" s="1" t="s">
        <v>16476</v>
      </c>
    </row>
    <row r="1186">
      <c r="A1186" s="93">
        <v>551.0</v>
      </c>
      <c r="B1186" s="92" t="s">
        <v>17033</v>
      </c>
      <c r="C1186" s="92" t="s">
        <v>14548</v>
      </c>
      <c r="D1186" s="92" t="s">
        <v>16044</v>
      </c>
      <c r="E1186" s="94">
        <v>45113.54219907407</v>
      </c>
      <c r="F1186" s="94">
        <v>45913.83215277778</v>
      </c>
      <c r="G1186" s="90">
        <v>45726.129837962966</v>
      </c>
      <c r="H1186" s="1" t="s">
        <v>16476</v>
      </c>
    </row>
    <row r="1187">
      <c r="A1187" s="93">
        <v>1392.0</v>
      </c>
      <c r="B1187" s="92" t="s">
        <v>17034</v>
      </c>
      <c r="C1187" s="92" t="s">
        <v>10519</v>
      </c>
      <c r="D1187" s="92" t="s">
        <v>16044</v>
      </c>
      <c r="E1187" s="94">
        <v>45113.55462962963</v>
      </c>
      <c r="F1187" s="94">
        <v>45913.83153935185</v>
      </c>
      <c r="G1187" s="90">
        <v>45723.52342592592</v>
      </c>
      <c r="H1187" s="1" t="s">
        <v>16476</v>
      </c>
    </row>
    <row r="1188">
      <c r="A1188" s="93">
        <v>1655.0</v>
      </c>
      <c r="B1188" s="92" t="s">
        <v>17035</v>
      </c>
      <c r="C1188" s="92" t="s">
        <v>7412</v>
      </c>
      <c r="D1188" s="92" t="s">
        <v>16044</v>
      </c>
      <c r="E1188" s="94">
        <v>45113.558483796296</v>
      </c>
      <c r="F1188" s="94">
        <v>45913.83128472222</v>
      </c>
      <c r="G1188" s="90">
        <v>45715.86628472222</v>
      </c>
      <c r="H1188" s="1" t="s">
        <v>16476</v>
      </c>
    </row>
    <row r="1189">
      <c r="A1189" s="93">
        <v>937.0</v>
      </c>
      <c r="B1189" s="92" t="s">
        <v>17036</v>
      </c>
      <c r="C1189" s="92" t="s">
        <v>14179</v>
      </c>
      <c r="D1189" s="92" t="s">
        <v>16044</v>
      </c>
      <c r="E1189" s="94">
        <v>45113.547951388886</v>
      </c>
      <c r="F1189" s="94">
        <v>45913.83084490741</v>
      </c>
      <c r="G1189" s="90">
        <v>45715.653865740744</v>
      </c>
      <c r="H1189" s="1" t="s">
        <v>16476</v>
      </c>
    </row>
    <row r="1190">
      <c r="A1190" s="93">
        <v>1193.0</v>
      </c>
      <c r="B1190" s="92" t="s">
        <v>17037</v>
      </c>
      <c r="C1190" s="92" t="s">
        <v>6802</v>
      </c>
      <c r="D1190" s="92" t="s">
        <v>16044</v>
      </c>
      <c r="E1190" s="94">
        <v>45113.55173611111</v>
      </c>
      <c r="F1190" s="94">
        <v>45913.830034722225</v>
      </c>
      <c r="G1190" s="90">
        <v>45715.33018518519</v>
      </c>
      <c r="H1190" s="1" t="s">
        <v>16476</v>
      </c>
    </row>
    <row r="1191">
      <c r="A1191" s="93">
        <v>1519.0</v>
      </c>
      <c r="B1191" s="92" t="s">
        <v>17038</v>
      </c>
      <c r="C1191" s="92" t="s">
        <v>10168</v>
      </c>
      <c r="D1191" s="92" t="s">
        <v>16044</v>
      </c>
      <c r="E1191" s="94">
        <v>45113.556493055556</v>
      </c>
      <c r="F1191" s="94">
        <v>45913.82979166666</v>
      </c>
      <c r="G1191" s="90">
        <v>45715.325902777775</v>
      </c>
      <c r="H1191" s="1" t="s">
        <v>16476</v>
      </c>
    </row>
    <row r="1192">
      <c r="A1192" s="93">
        <v>1042.0</v>
      </c>
      <c r="B1192" s="92" t="s">
        <v>17039</v>
      </c>
      <c r="C1192" s="92" t="s">
        <v>7368</v>
      </c>
      <c r="D1192" s="92" t="s">
        <v>16044</v>
      </c>
      <c r="E1192" s="94">
        <v>45113.54949074074</v>
      </c>
      <c r="F1192" s="94">
        <v>45913.829560185186</v>
      </c>
      <c r="G1192" s="90">
        <v>45715.3240625</v>
      </c>
      <c r="H1192" s="1" t="s">
        <v>16476</v>
      </c>
    </row>
    <row r="1193">
      <c r="A1193" s="93">
        <v>1394.0</v>
      </c>
      <c r="B1193" s="92" t="s">
        <v>17040</v>
      </c>
      <c r="C1193" s="92" t="s">
        <v>6656</v>
      </c>
      <c r="D1193" s="92" t="s">
        <v>16044</v>
      </c>
      <c r="E1193" s="94">
        <v>45113.554664351854</v>
      </c>
      <c r="F1193" s="94">
        <v>45913.829305555555</v>
      </c>
      <c r="G1193" s="90">
        <v>45715.319027777776</v>
      </c>
      <c r="H1193" s="1" t="s">
        <v>16476</v>
      </c>
    </row>
    <row r="1194">
      <c r="A1194" s="93">
        <v>1041.0</v>
      </c>
      <c r="B1194" s="92" t="s">
        <v>17041</v>
      </c>
      <c r="C1194" s="92" t="s">
        <v>12502</v>
      </c>
      <c r="D1194" s="92" t="s">
        <v>16044</v>
      </c>
      <c r="E1194" s="94">
        <v>45113.549479166664</v>
      </c>
      <c r="F1194" s="94">
        <v>45913.82908564815</v>
      </c>
      <c r="G1194" s="90">
        <v>45715.31358796296</v>
      </c>
      <c r="H1194" s="1" t="s">
        <v>16476</v>
      </c>
    </row>
    <row r="1195">
      <c r="A1195" s="93">
        <v>1106.0</v>
      </c>
      <c r="B1195" s="92" t="s">
        <v>17042</v>
      </c>
      <c r="C1195" s="92" t="s">
        <v>13743</v>
      </c>
      <c r="D1195" s="92" t="s">
        <v>16044</v>
      </c>
      <c r="E1195" s="94">
        <v>45113.55043981481</v>
      </c>
      <c r="F1195" s="94">
        <v>45913.82881944445</v>
      </c>
      <c r="G1195" s="90">
        <v>45715.31260416667</v>
      </c>
      <c r="H1195" s="1" t="s">
        <v>16476</v>
      </c>
    </row>
    <row r="1196">
      <c r="A1196" s="93">
        <v>1548.0</v>
      </c>
      <c r="B1196" s="92" t="s">
        <v>17043</v>
      </c>
      <c r="C1196" s="92" t="s">
        <v>15152</v>
      </c>
      <c r="D1196" s="92" t="s">
        <v>16044</v>
      </c>
      <c r="E1196" s="94">
        <v>45113.556909722225</v>
      </c>
      <c r="F1196" s="94">
        <v>45913.82858796296</v>
      </c>
      <c r="G1196" s="90">
        <v>45714.87399305555</v>
      </c>
      <c r="H1196" s="1" t="s">
        <v>16476</v>
      </c>
    </row>
    <row r="1197">
      <c r="A1197" s="93">
        <v>1323.0</v>
      </c>
      <c r="B1197" s="92" t="s">
        <v>17044</v>
      </c>
      <c r="C1197" s="92" t="s">
        <v>13851</v>
      </c>
      <c r="D1197" s="92" t="s">
        <v>16044</v>
      </c>
      <c r="E1197" s="94">
        <v>45113.553622685184</v>
      </c>
      <c r="F1197" s="94">
        <v>45913.82809027778</v>
      </c>
      <c r="G1197" s="90">
        <v>45714.76694444445</v>
      </c>
      <c r="H1197" s="1" t="s">
        <v>16476</v>
      </c>
    </row>
    <row r="1198">
      <c r="A1198" s="93">
        <v>1305.0</v>
      </c>
      <c r="B1198" s="92" t="s">
        <v>17045</v>
      </c>
      <c r="C1198" s="92" t="s">
        <v>15432</v>
      </c>
      <c r="D1198" s="92" t="s">
        <v>16044</v>
      </c>
      <c r="E1198" s="94">
        <v>45113.55336805555</v>
      </c>
      <c r="F1198" s="94">
        <v>45913.827418981484</v>
      </c>
      <c r="G1198" s="90">
        <v>45713.59930555556</v>
      </c>
      <c r="H1198" s="1" t="s">
        <v>16476</v>
      </c>
    </row>
    <row r="1199">
      <c r="A1199" s="93">
        <v>970.0</v>
      </c>
      <c r="B1199" s="92" t="s">
        <v>17046</v>
      </c>
      <c r="C1199" s="92" t="s">
        <v>11935</v>
      </c>
      <c r="D1199" s="92" t="s">
        <v>16044</v>
      </c>
      <c r="E1199" s="94">
        <v>45113.5484375</v>
      </c>
      <c r="F1199" s="94">
        <v>45913.82716435185</v>
      </c>
      <c r="G1199" s="90">
        <v>45712.82340277778</v>
      </c>
      <c r="H1199" s="1" t="s">
        <v>16476</v>
      </c>
    </row>
    <row r="1200">
      <c r="A1200" s="93">
        <v>889.0</v>
      </c>
      <c r="B1200" s="92" t="s">
        <v>17047</v>
      </c>
      <c r="C1200" s="92" t="s">
        <v>13810</v>
      </c>
      <c r="D1200" s="92" t="s">
        <v>16044</v>
      </c>
      <c r="E1200" s="94">
        <v>45113.54725694445</v>
      </c>
      <c r="F1200" s="94">
        <v>45913.8269212963</v>
      </c>
      <c r="G1200" s="90">
        <v>45710.57596064815</v>
      </c>
      <c r="H1200" s="1" t="s">
        <v>16476</v>
      </c>
    </row>
    <row r="1201">
      <c r="A1201" s="93">
        <v>624.0</v>
      </c>
      <c r="B1201" s="92" t="s">
        <v>17048</v>
      </c>
      <c r="C1201" s="92" t="s">
        <v>8088</v>
      </c>
      <c r="D1201" s="92" t="s">
        <v>16044</v>
      </c>
      <c r="E1201" s="94">
        <v>45113.543275462966</v>
      </c>
      <c r="F1201" s="94">
        <v>45913.8265625</v>
      </c>
      <c r="G1201" s="90">
        <v>45708.448067129626</v>
      </c>
      <c r="H1201" s="1" t="s">
        <v>16476</v>
      </c>
    </row>
    <row r="1202">
      <c r="A1202" s="93">
        <v>976.0</v>
      </c>
      <c r="B1202" s="92" t="s">
        <v>17049</v>
      </c>
      <c r="C1202" s="92" t="s">
        <v>15119</v>
      </c>
      <c r="D1202" s="92" t="s">
        <v>16044</v>
      </c>
      <c r="E1202" s="94">
        <v>45113.548530092594</v>
      </c>
      <c r="F1202" s="94">
        <v>45913.82628472222</v>
      </c>
      <c r="G1202" s="90">
        <v>45700.63195601852</v>
      </c>
      <c r="H1202" s="1" t="s">
        <v>16476</v>
      </c>
    </row>
    <row r="1203">
      <c r="A1203" s="93">
        <v>1315.0</v>
      </c>
      <c r="B1203" s="92" t="s">
        <v>17050</v>
      </c>
      <c r="C1203" s="92" t="s">
        <v>8747</v>
      </c>
      <c r="D1203" s="92" t="s">
        <v>16044</v>
      </c>
      <c r="E1203" s="94">
        <v>45113.553506944445</v>
      </c>
      <c r="F1203" s="94">
        <v>45913.825578703705</v>
      </c>
      <c r="G1203" s="90">
        <v>45699.594618055555</v>
      </c>
      <c r="H1203" s="1" t="s">
        <v>16476</v>
      </c>
    </row>
    <row r="1204">
      <c r="A1204" s="93">
        <v>1302.0</v>
      </c>
      <c r="B1204" s="92" t="s">
        <v>17051</v>
      </c>
      <c r="C1204" s="92" t="s">
        <v>15607</v>
      </c>
      <c r="D1204" s="92" t="s">
        <v>16044</v>
      </c>
      <c r="E1204" s="94">
        <v>45113.55332175926</v>
      </c>
      <c r="F1204" s="94">
        <v>45913.825219907405</v>
      </c>
      <c r="G1204" s="90">
        <v>45699.59081018518</v>
      </c>
      <c r="H1204" s="1" t="s">
        <v>16476</v>
      </c>
    </row>
    <row r="1205">
      <c r="A1205" s="93">
        <v>1594.0</v>
      </c>
      <c r="B1205" s="92" t="s">
        <v>17052</v>
      </c>
      <c r="C1205" s="92" t="s">
        <v>11966</v>
      </c>
      <c r="D1205" s="92" t="s">
        <v>16044</v>
      </c>
      <c r="E1205" s="94">
        <v>45113.557604166665</v>
      </c>
      <c r="F1205" s="94">
        <v>45913.825</v>
      </c>
      <c r="G1205" s="90">
        <v>45699.580775462964</v>
      </c>
      <c r="H1205" s="1" t="s">
        <v>16476</v>
      </c>
    </row>
    <row r="1206">
      <c r="A1206" s="93">
        <v>1235.0</v>
      </c>
      <c r="B1206" s="92" t="s">
        <v>17053</v>
      </c>
      <c r="C1206" s="92" t="s">
        <v>15355</v>
      </c>
      <c r="D1206" s="92" t="s">
        <v>16044</v>
      </c>
      <c r="E1206" s="94">
        <v>45113.55233796296</v>
      </c>
      <c r="F1206" s="94">
        <v>45913.82423611111</v>
      </c>
      <c r="G1206" s="90">
        <v>45697.801828703705</v>
      </c>
      <c r="H1206" s="1" t="s">
        <v>16476</v>
      </c>
    </row>
    <row r="1207">
      <c r="A1207" s="93">
        <v>1566.0</v>
      </c>
      <c r="B1207" s="92" t="s">
        <v>17054</v>
      </c>
      <c r="C1207" s="92" t="s">
        <v>15438</v>
      </c>
      <c r="D1207" s="92" t="s">
        <v>16044</v>
      </c>
      <c r="E1207" s="94">
        <v>45113.557175925926</v>
      </c>
      <c r="F1207" s="94">
        <v>45913.823645833334</v>
      </c>
      <c r="G1207" s="90">
        <v>45694.777407407404</v>
      </c>
      <c r="H1207" s="1" t="s">
        <v>16476</v>
      </c>
    </row>
    <row r="1208">
      <c r="A1208" s="93">
        <v>619.0</v>
      </c>
      <c r="B1208" s="92" t="s">
        <v>17055</v>
      </c>
      <c r="C1208" s="92" t="s">
        <v>15158</v>
      </c>
      <c r="D1208" s="92" t="s">
        <v>16044</v>
      </c>
      <c r="E1208" s="94">
        <v>45113.54320601852</v>
      </c>
      <c r="F1208" s="94">
        <v>45913.81790509259</v>
      </c>
      <c r="G1208" s="90">
        <v>45693.62883101852</v>
      </c>
      <c r="H1208" s="1" t="s">
        <v>16476</v>
      </c>
    </row>
    <row r="1209">
      <c r="A1209" s="93">
        <v>1174.0</v>
      </c>
      <c r="B1209" s="92" t="s">
        <v>17056</v>
      </c>
      <c r="C1209" s="92" t="s">
        <v>15286</v>
      </c>
      <c r="D1209" s="92" t="s">
        <v>16044</v>
      </c>
      <c r="E1209" s="94">
        <v>45113.551458333335</v>
      </c>
      <c r="F1209" s="94">
        <v>45913.817337962966</v>
      </c>
      <c r="G1209" s="90">
        <v>45693.62162037037</v>
      </c>
      <c r="H1209" s="1" t="s">
        <v>16476</v>
      </c>
    </row>
    <row r="1210">
      <c r="A1210" s="93">
        <v>1430.0</v>
      </c>
      <c r="B1210" s="92" t="s">
        <v>17057</v>
      </c>
      <c r="C1210" s="92" t="s">
        <v>15047</v>
      </c>
      <c r="D1210" s="92" t="s">
        <v>16044</v>
      </c>
      <c r="E1210" s="94">
        <v>45113.555185185185</v>
      </c>
      <c r="F1210" s="94">
        <v>45913.817083333335</v>
      </c>
      <c r="G1210" s="90">
        <v>45693.563043981485</v>
      </c>
      <c r="H1210" s="1" t="s">
        <v>16476</v>
      </c>
    </row>
    <row r="1211">
      <c r="A1211" s="93">
        <v>1675.0</v>
      </c>
      <c r="B1211" s="92" t="s">
        <v>17058</v>
      </c>
      <c r="C1211" s="92" t="s">
        <v>15061</v>
      </c>
      <c r="D1211" s="92" t="s">
        <v>16044</v>
      </c>
      <c r="E1211" s="94">
        <v>45113.55877314815</v>
      </c>
      <c r="F1211" s="94">
        <v>45913.81684027778</v>
      </c>
      <c r="G1211" s="90">
        <v>45692.59165509259</v>
      </c>
      <c r="H1211" s="1" t="s">
        <v>16476</v>
      </c>
    </row>
    <row r="1212">
      <c r="A1212" s="93">
        <v>612.0</v>
      </c>
      <c r="B1212" s="92" t="s">
        <v>17059</v>
      </c>
      <c r="C1212" s="92" t="s">
        <v>14998</v>
      </c>
      <c r="D1212" s="92" t="s">
        <v>16044</v>
      </c>
      <c r="E1212" s="94">
        <v>45113.54310185185</v>
      </c>
      <c r="F1212" s="94">
        <v>45913.81633101852</v>
      </c>
      <c r="G1212" s="90">
        <v>45692.58980324074</v>
      </c>
      <c r="H1212" s="1" t="s">
        <v>16476</v>
      </c>
    </row>
    <row r="1213">
      <c r="A1213" s="93">
        <v>1207.0</v>
      </c>
      <c r="B1213" s="92" t="s">
        <v>17060</v>
      </c>
      <c r="C1213" s="92" t="s">
        <v>13408</v>
      </c>
      <c r="D1213" s="92" t="s">
        <v>16044</v>
      </c>
      <c r="E1213" s="94">
        <v>45113.551932870374</v>
      </c>
      <c r="F1213" s="94">
        <v>45913.816030092596</v>
      </c>
      <c r="G1213" s="90">
        <v>45680.65560185185</v>
      </c>
      <c r="H1213" s="1" t="s">
        <v>16476</v>
      </c>
    </row>
    <row r="1214">
      <c r="A1214" s="93">
        <v>1304.0</v>
      </c>
      <c r="B1214" s="92" t="s">
        <v>17061</v>
      </c>
      <c r="C1214" s="92" t="s">
        <v>15411</v>
      </c>
      <c r="D1214" s="92" t="s">
        <v>16044</v>
      </c>
      <c r="E1214" s="94">
        <v>45113.55334490741</v>
      </c>
      <c r="F1214" s="94">
        <v>45913.81576388889</v>
      </c>
      <c r="G1214" s="90">
        <v>45680.624560185184</v>
      </c>
      <c r="H1214" s="1" t="s">
        <v>16476</v>
      </c>
    </row>
    <row r="1215">
      <c r="A1215" s="93">
        <v>840.0</v>
      </c>
      <c r="B1215" s="92" t="s">
        <v>17062</v>
      </c>
      <c r="C1215" s="92" t="s">
        <v>13984</v>
      </c>
      <c r="D1215" s="92" t="s">
        <v>16044</v>
      </c>
      <c r="E1215" s="94">
        <v>45113.54653935185</v>
      </c>
      <c r="F1215" s="94">
        <v>45913.815405092595</v>
      </c>
      <c r="G1215" s="90">
        <v>45680.62055555556</v>
      </c>
      <c r="H1215" s="1" t="s">
        <v>16476</v>
      </c>
    </row>
    <row r="1216">
      <c r="A1216" s="93">
        <v>955.0</v>
      </c>
      <c r="B1216" s="92" t="s">
        <v>17063</v>
      </c>
      <c r="C1216" s="92" t="s">
        <v>15350</v>
      </c>
      <c r="D1216" s="92" t="s">
        <v>16044</v>
      </c>
      <c r="E1216" s="94">
        <v>45113.54821759259</v>
      </c>
      <c r="F1216" s="94">
        <v>45913.81512731482</v>
      </c>
      <c r="G1216" s="90">
        <v>45676.55181712963</v>
      </c>
      <c r="H1216" s="1" t="s">
        <v>16476</v>
      </c>
    </row>
    <row r="1217">
      <c r="A1217" s="93">
        <v>640.0</v>
      </c>
      <c r="B1217" s="92" t="s">
        <v>105</v>
      </c>
      <c r="C1217" s="92" t="s">
        <v>9964</v>
      </c>
      <c r="D1217" s="92" t="s">
        <v>16044</v>
      </c>
      <c r="E1217" s="94">
        <v>45113.54351851852</v>
      </c>
      <c r="F1217" s="94">
        <v>45913.81471064815</v>
      </c>
      <c r="G1217" s="90">
        <v>45675.9212962963</v>
      </c>
      <c r="H1217" s="1" t="s">
        <v>16476</v>
      </c>
    </row>
    <row r="1218">
      <c r="A1218" s="93">
        <v>1505.0</v>
      </c>
      <c r="B1218" s="92" t="s">
        <v>17064</v>
      </c>
      <c r="C1218" s="92" t="s">
        <v>13794</v>
      </c>
      <c r="D1218" s="92" t="s">
        <v>16044</v>
      </c>
      <c r="E1218" s="94">
        <v>45113.556284722225</v>
      </c>
      <c r="F1218" s="94">
        <v>45913.814039351855</v>
      </c>
      <c r="G1218" s="90">
        <v>45675.91962962963</v>
      </c>
      <c r="H1218" s="1" t="s">
        <v>16476</v>
      </c>
    </row>
    <row r="1219">
      <c r="A1219" s="93">
        <v>1409.0</v>
      </c>
      <c r="B1219" s="92" t="s">
        <v>17065</v>
      </c>
      <c r="C1219" s="92" t="s">
        <v>14846</v>
      </c>
      <c r="D1219" s="92" t="s">
        <v>16044</v>
      </c>
      <c r="E1219" s="94">
        <v>45113.55488425926</v>
      </c>
      <c r="F1219" s="94">
        <v>45913.81376157407</v>
      </c>
      <c r="G1219" s="90">
        <v>45675.9131712963</v>
      </c>
      <c r="H1219" s="1" t="s">
        <v>16476</v>
      </c>
    </row>
    <row r="1220">
      <c r="A1220" s="93">
        <v>1574.0</v>
      </c>
      <c r="B1220" s="92" t="s">
        <v>17066</v>
      </c>
      <c r="C1220" s="92" t="s">
        <v>9785</v>
      </c>
      <c r="D1220" s="92" t="s">
        <v>16044</v>
      </c>
      <c r="E1220" s="94">
        <v>45113.557291666664</v>
      </c>
      <c r="F1220" s="94">
        <v>45913.81240740741</v>
      </c>
      <c r="G1220" s="90">
        <v>45673.48849537037</v>
      </c>
      <c r="H1220" s="1" t="s">
        <v>16476</v>
      </c>
    </row>
    <row r="1221">
      <c r="A1221" s="93">
        <v>1165.0</v>
      </c>
      <c r="B1221" s="92" t="s">
        <v>17067</v>
      </c>
      <c r="C1221" s="92" t="s">
        <v>13846</v>
      </c>
      <c r="D1221" s="92" t="s">
        <v>16044</v>
      </c>
      <c r="E1221" s="94">
        <v>45113.55131944444</v>
      </c>
      <c r="F1221" s="94">
        <v>45913.81197916667</v>
      </c>
      <c r="G1221" s="90">
        <v>45673.482569444444</v>
      </c>
      <c r="H1221" s="1" t="s">
        <v>16476</v>
      </c>
    </row>
    <row r="1222">
      <c r="A1222" s="93">
        <v>581.0</v>
      </c>
      <c r="B1222" s="92" t="s">
        <v>17068</v>
      </c>
      <c r="C1222" s="92" t="s">
        <v>15043</v>
      </c>
      <c r="D1222" s="92" t="s">
        <v>16044</v>
      </c>
      <c r="E1222" s="94">
        <v>45113.54263888889</v>
      </c>
      <c r="F1222" s="94">
        <v>45913.806435185186</v>
      </c>
      <c r="G1222" s="90">
        <v>45670.982083333336</v>
      </c>
      <c r="H1222" s="1" t="s">
        <v>16476</v>
      </c>
    </row>
    <row r="1223">
      <c r="A1223" s="93">
        <v>1406.0</v>
      </c>
      <c r="B1223" s="92" t="s">
        <v>17069</v>
      </c>
      <c r="C1223" s="92" t="s">
        <v>13777</v>
      </c>
      <c r="D1223" s="92" t="s">
        <v>16044</v>
      </c>
      <c r="E1223" s="94">
        <v>45113.55483796296</v>
      </c>
      <c r="F1223" s="94">
        <v>45913.80579861111</v>
      </c>
      <c r="G1223" s="90">
        <v>45670.97756944445</v>
      </c>
      <c r="H1223" s="1" t="s">
        <v>16476</v>
      </c>
    </row>
    <row r="1224">
      <c r="A1224" s="93">
        <v>949.0</v>
      </c>
      <c r="B1224" s="92" t="s">
        <v>17070</v>
      </c>
      <c r="C1224" s="92" t="s">
        <v>13310</v>
      </c>
      <c r="D1224" s="92" t="s">
        <v>16044</v>
      </c>
      <c r="E1224" s="94">
        <v>45113.54813657407</v>
      </c>
      <c r="F1224" s="94">
        <v>45913.8053125</v>
      </c>
      <c r="G1224" s="90">
        <v>45670.971296296295</v>
      </c>
      <c r="H1224" s="1" t="s">
        <v>16476</v>
      </c>
    </row>
    <row r="1225">
      <c r="A1225" s="93">
        <v>1535.0</v>
      </c>
      <c r="B1225" s="92" t="s">
        <v>17071</v>
      </c>
      <c r="C1225" s="92" t="s">
        <v>13788</v>
      </c>
      <c r="D1225" s="92" t="s">
        <v>16044</v>
      </c>
      <c r="E1225" s="94">
        <v>45113.55672453704</v>
      </c>
      <c r="F1225" s="94">
        <v>45913.80502314815</v>
      </c>
      <c r="G1225" s="90">
        <v>45670.96266203704</v>
      </c>
      <c r="H1225" s="1" t="s">
        <v>16476</v>
      </c>
    </row>
    <row r="1226">
      <c r="A1226" s="93">
        <v>1238.0</v>
      </c>
      <c r="B1226" s="92" t="s">
        <v>17072</v>
      </c>
      <c r="C1226" s="92" t="s">
        <v>7424</v>
      </c>
      <c r="D1226" s="92" t="s">
        <v>16044</v>
      </c>
      <c r="E1226" s="94">
        <v>45113.55238425926</v>
      </c>
      <c r="F1226" s="94">
        <v>45913.8047337963</v>
      </c>
      <c r="G1226" s="90">
        <v>45670.9546875</v>
      </c>
      <c r="H1226" s="1" t="s">
        <v>16476</v>
      </c>
    </row>
    <row r="1227">
      <c r="A1227" s="93">
        <v>1695.0</v>
      </c>
      <c r="B1227" s="92" t="s">
        <v>17073</v>
      </c>
      <c r="C1227" s="92" t="s">
        <v>9649</v>
      </c>
      <c r="D1227" s="92" t="s">
        <v>16044</v>
      </c>
      <c r="E1227" s="94">
        <v>45113.5590625</v>
      </c>
      <c r="F1227" s="94">
        <v>45913.80438657408</v>
      </c>
      <c r="G1227" s="90">
        <v>45670.93004629629</v>
      </c>
      <c r="H1227" s="1" t="s">
        <v>16476</v>
      </c>
    </row>
    <row r="1228">
      <c r="A1228" s="93">
        <v>869.0</v>
      </c>
      <c r="B1228" s="92" t="s">
        <v>17074</v>
      </c>
      <c r="C1228" s="92" t="s">
        <v>14361</v>
      </c>
      <c r="D1228" s="92" t="s">
        <v>16044</v>
      </c>
      <c r="E1228" s="94">
        <v>45113.54696759259</v>
      </c>
      <c r="F1228" s="94">
        <v>45913.804074074076</v>
      </c>
      <c r="G1228" s="90">
        <v>45670.51513888889</v>
      </c>
      <c r="H1228" s="1" t="s">
        <v>16476</v>
      </c>
    </row>
    <row r="1229">
      <c r="A1229" s="93">
        <v>1584.0</v>
      </c>
      <c r="B1229" s="92" t="s">
        <v>17075</v>
      </c>
      <c r="C1229" s="92" t="s">
        <v>11143</v>
      </c>
      <c r="D1229" s="92" t="s">
        <v>16044</v>
      </c>
      <c r="E1229" s="94">
        <v>45113.557442129626</v>
      </c>
      <c r="F1229" s="94">
        <v>45913.80378472222</v>
      </c>
      <c r="G1229" s="90">
        <v>45667.530335648145</v>
      </c>
      <c r="H1229" s="1" t="s">
        <v>16476</v>
      </c>
    </row>
    <row r="1230">
      <c r="A1230" s="93">
        <v>699.0</v>
      </c>
      <c r="B1230" s="92" t="s">
        <v>17076</v>
      </c>
      <c r="C1230" s="92" t="s">
        <v>15003</v>
      </c>
      <c r="D1230" s="92" t="s">
        <v>16044</v>
      </c>
      <c r="E1230" s="94">
        <v>45113.5444212963</v>
      </c>
      <c r="F1230" s="94">
        <v>45913.80353009259</v>
      </c>
      <c r="G1230" s="90">
        <v>45667.51479166667</v>
      </c>
      <c r="H1230" s="1" t="s">
        <v>16476</v>
      </c>
    </row>
    <row r="1231">
      <c r="A1231" s="93">
        <v>903.0</v>
      </c>
      <c r="B1231" s="92" t="s">
        <v>17077</v>
      </c>
      <c r="C1231" s="92" t="s">
        <v>15426</v>
      </c>
      <c r="D1231" s="92" t="s">
        <v>16044</v>
      </c>
      <c r="E1231" s="94">
        <v>45113.54746527778</v>
      </c>
      <c r="F1231" s="94">
        <v>45913.802083333336</v>
      </c>
      <c r="G1231" s="90">
        <v>45665.55842592593</v>
      </c>
      <c r="H1231" s="1" t="s">
        <v>16476</v>
      </c>
    </row>
    <row r="1232">
      <c r="A1232" s="93">
        <v>1391.0</v>
      </c>
      <c r="B1232" s="92" t="s">
        <v>17078</v>
      </c>
      <c r="C1232" s="92" t="s">
        <v>14580</v>
      </c>
      <c r="D1232" s="92" t="s">
        <v>16044</v>
      </c>
      <c r="E1232" s="94">
        <v>45113.554618055554</v>
      </c>
      <c r="F1232" s="94">
        <v>45913.801620370374</v>
      </c>
      <c r="G1232" s="90">
        <v>45665.55731481482</v>
      </c>
      <c r="H1232" s="1" t="s">
        <v>16476</v>
      </c>
    </row>
    <row r="1233">
      <c r="A1233" s="93">
        <v>803.0</v>
      </c>
      <c r="B1233" s="92" t="s">
        <v>17079</v>
      </c>
      <c r="C1233" s="92" t="s">
        <v>8351</v>
      </c>
      <c r="D1233" s="92" t="s">
        <v>16044</v>
      </c>
      <c r="E1233" s="94">
        <v>45113.54597222222</v>
      </c>
      <c r="F1233" s="94">
        <v>45913.8012962963</v>
      </c>
      <c r="G1233" s="90">
        <v>45665.554074074076</v>
      </c>
      <c r="H1233" s="1" t="s">
        <v>16476</v>
      </c>
    </row>
    <row r="1234">
      <c r="A1234" s="93">
        <v>1016.0</v>
      </c>
      <c r="B1234" s="92" t="s">
        <v>17080</v>
      </c>
      <c r="C1234" s="92" t="s">
        <v>14506</v>
      </c>
      <c r="D1234" s="92" t="s">
        <v>16044</v>
      </c>
      <c r="E1234" s="94">
        <v>45113.549108796295</v>
      </c>
      <c r="F1234" s="94">
        <v>45913.80081018519</v>
      </c>
      <c r="G1234" s="90">
        <v>45665.554074074076</v>
      </c>
      <c r="H1234" s="1" t="s">
        <v>16476</v>
      </c>
    </row>
    <row r="1235">
      <c r="A1235" s="93">
        <v>1609.0</v>
      </c>
      <c r="B1235" s="92" t="s">
        <v>17081</v>
      </c>
      <c r="C1235" s="92" t="s">
        <v>15477</v>
      </c>
      <c r="D1235" s="92" t="s">
        <v>16044</v>
      </c>
      <c r="E1235" s="94">
        <v>45113.55782407407</v>
      </c>
      <c r="F1235" s="94">
        <v>45913.79980324074</v>
      </c>
      <c r="G1235" s="90">
        <v>45662.58288194444</v>
      </c>
      <c r="H1235" s="1" t="s">
        <v>16476</v>
      </c>
    </row>
    <row r="1236">
      <c r="A1236" s="93">
        <v>673.0</v>
      </c>
      <c r="B1236" s="92" t="s">
        <v>17082</v>
      </c>
      <c r="C1236" s="92" t="s">
        <v>8054</v>
      </c>
      <c r="D1236" s="92" t="s">
        <v>16044</v>
      </c>
      <c r="E1236" s="94">
        <v>45113.544027777774</v>
      </c>
      <c r="F1236" s="94">
        <v>45913.798622685186</v>
      </c>
      <c r="G1236" s="90">
        <v>45661.83608796296</v>
      </c>
      <c r="H1236" s="1" t="s">
        <v>16476</v>
      </c>
    </row>
    <row r="1237">
      <c r="A1237" s="93">
        <v>1168.0</v>
      </c>
      <c r="B1237" s="92" t="s">
        <v>17084</v>
      </c>
      <c r="C1237" s="92" t="s">
        <v>14650</v>
      </c>
      <c r="D1237" s="92" t="s">
        <v>16044</v>
      </c>
      <c r="E1237" s="94">
        <v>45113.55136574074</v>
      </c>
      <c r="F1237" s="94">
        <v>45913.798055555555</v>
      </c>
      <c r="G1237" s="90">
        <v>45646.400625</v>
      </c>
      <c r="H1237" s="1" t="s">
        <v>16476</v>
      </c>
    </row>
    <row r="1238">
      <c r="A1238" s="93">
        <v>1273.0</v>
      </c>
      <c r="B1238" s="92" t="s">
        <v>17085</v>
      </c>
      <c r="C1238" s="92" t="s">
        <v>5307</v>
      </c>
      <c r="D1238" s="92" t="s">
        <v>16044</v>
      </c>
      <c r="E1238" s="94">
        <v>45113.55289351852</v>
      </c>
      <c r="F1238" s="94">
        <v>45913.7974537037</v>
      </c>
      <c r="G1238" s="90">
        <v>45646.38119212963</v>
      </c>
      <c r="H1238" s="1" t="s">
        <v>16476</v>
      </c>
    </row>
    <row r="1239">
      <c r="A1239" s="93">
        <v>1385.0</v>
      </c>
      <c r="B1239" s="92" t="s">
        <v>17086</v>
      </c>
      <c r="C1239" s="92" t="s">
        <v>14913</v>
      </c>
      <c r="D1239" s="92" t="s">
        <v>16044</v>
      </c>
      <c r="E1239" s="94">
        <v>45113.55452546296</v>
      </c>
      <c r="F1239" s="94">
        <v>45913.79688657408</v>
      </c>
      <c r="G1239" s="90">
        <v>45645.49459490741</v>
      </c>
      <c r="H1239" s="1" t="s">
        <v>16476</v>
      </c>
    </row>
    <row r="1240">
      <c r="A1240" s="93">
        <v>1274.0</v>
      </c>
      <c r="B1240" s="92" t="s">
        <v>17087</v>
      </c>
      <c r="C1240" s="92" t="s">
        <v>13628</v>
      </c>
      <c r="D1240" s="92" t="s">
        <v>16044</v>
      </c>
      <c r="E1240" s="94">
        <v>45113.55290509259</v>
      </c>
      <c r="F1240" s="94">
        <v>45913.796435185184</v>
      </c>
      <c r="G1240" s="90">
        <v>45645.49037037037</v>
      </c>
      <c r="H1240" s="1" t="s">
        <v>16476</v>
      </c>
    </row>
    <row r="1241">
      <c r="A1241" s="93">
        <v>724.0</v>
      </c>
      <c r="B1241" s="92" t="s">
        <v>17088</v>
      </c>
      <c r="C1241" s="92" t="s">
        <v>14788</v>
      </c>
      <c r="D1241" s="92" t="s">
        <v>16044</v>
      </c>
      <c r="E1241" s="94">
        <v>45113.54481481481</v>
      </c>
      <c r="F1241" s="94">
        <v>45913.796064814815</v>
      </c>
      <c r="G1241" s="90">
        <v>45645.48322916667</v>
      </c>
      <c r="H1241" s="1" t="s">
        <v>16476</v>
      </c>
    </row>
    <row r="1242">
      <c r="A1242" s="93">
        <v>1226.0</v>
      </c>
      <c r="B1242" s="92" t="s">
        <v>17089</v>
      </c>
      <c r="C1242" s="92" t="s">
        <v>15277</v>
      </c>
      <c r="D1242" s="92" t="s">
        <v>16044</v>
      </c>
      <c r="E1242" s="94">
        <v>45113.55221064815</v>
      </c>
      <c r="F1242" s="94">
        <v>45913.79534722222</v>
      </c>
      <c r="G1242" s="90">
        <v>45645.480405092596</v>
      </c>
      <c r="H1242" s="1" t="s">
        <v>16476</v>
      </c>
    </row>
    <row r="1243">
      <c r="A1243" s="93">
        <v>1112.0</v>
      </c>
      <c r="B1243" s="92" t="s">
        <v>17090</v>
      </c>
      <c r="C1243" s="92" t="s">
        <v>14533</v>
      </c>
      <c r="D1243" s="92" t="s">
        <v>16044</v>
      </c>
      <c r="E1243" s="94">
        <v>45113.550532407404</v>
      </c>
      <c r="F1243" s="94">
        <v>45913.791284722225</v>
      </c>
      <c r="G1243" s="90">
        <v>45645.40929398148</v>
      </c>
      <c r="H1243" s="1" t="s">
        <v>16476</v>
      </c>
    </row>
    <row r="1244">
      <c r="A1244" s="93">
        <v>1051.0</v>
      </c>
      <c r="B1244" s="92" t="s">
        <v>17091</v>
      </c>
      <c r="C1244" s="92" t="s">
        <v>15674</v>
      </c>
      <c r="D1244" s="92" t="s">
        <v>16044</v>
      </c>
      <c r="E1244" s="94">
        <v>45113.54961805556</v>
      </c>
      <c r="F1244" s="94">
        <v>45913.79077546296</v>
      </c>
      <c r="G1244" s="90">
        <v>45645.400509259256</v>
      </c>
      <c r="H1244" s="1" t="s">
        <v>16476</v>
      </c>
    </row>
    <row r="1245">
      <c r="A1245" s="93">
        <v>1142.0</v>
      </c>
      <c r="B1245" s="92" t="s">
        <v>17092</v>
      </c>
      <c r="C1245" s="92" t="s">
        <v>14783</v>
      </c>
      <c r="D1245" s="92" t="s">
        <v>16044</v>
      </c>
      <c r="E1245" s="94">
        <v>45113.550983796296</v>
      </c>
      <c r="F1245" s="94">
        <v>45913.79006944445</v>
      </c>
      <c r="G1245" s="90">
        <v>45645.39953703704</v>
      </c>
      <c r="H1245" s="1" t="s">
        <v>16476</v>
      </c>
    </row>
    <row r="1246">
      <c r="A1246" s="93">
        <v>1176.0</v>
      </c>
      <c r="B1246" s="92" t="s">
        <v>17093</v>
      </c>
      <c r="C1246" s="92" t="s">
        <v>14338</v>
      </c>
      <c r="D1246" s="92" t="s">
        <v>16044</v>
      </c>
      <c r="E1246" s="94">
        <v>45113.55148148148</v>
      </c>
      <c r="F1246" s="94">
        <v>45913.78905092592</v>
      </c>
      <c r="G1246" s="90">
        <v>45645.39724537037</v>
      </c>
      <c r="H1246" s="1" t="s">
        <v>16476</v>
      </c>
    </row>
    <row r="1247">
      <c r="A1247" s="93">
        <v>1167.0</v>
      </c>
      <c r="B1247" s="92" t="s">
        <v>17094</v>
      </c>
      <c r="C1247" s="92" t="s">
        <v>14371</v>
      </c>
      <c r="D1247" s="92" t="s">
        <v>16044</v>
      </c>
      <c r="E1247" s="94">
        <v>45113.551354166666</v>
      </c>
      <c r="F1247" s="94">
        <v>45913.78806712963</v>
      </c>
      <c r="G1247" s="90">
        <v>45645.395324074074</v>
      </c>
      <c r="H1247" s="1" t="s">
        <v>16476</v>
      </c>
    </row>
    <row r="1248">
      <c r="A1248" s="93">
        <v>1640.0</v>
      </c>
      <c r="B1248" s="92" t="s">
        <v>17095</v>
      </c>
      <c r="C1248" s="92" t="s">
        <v>14559</v>
      </c>
      <c r="D1248" s="92" t="s">
        <v>16044</v>
      </c>
      <c r="E1248" s="94">
        <v>45113.55826388889</v>
      </c>
      <c r="F1248" s="94">
        <v>45913.78761574074</v>
      </c>
      <c r="G1248" s="90">
        <v>45645.383564814816</v>
      </c>
      <c r="H1248" s="1" t="s">
        <v>16476</v>
      </c>
    </row>
    <row r="1249">
      <c r="A1249" s="93">
        <v>1223.0</v>
      </c>
      <c r="B1249" s="92" t="s">
        <v>17096</v>
      </c>
      <c r="C1249" s="92" t="s">
        <v>7031</v>
      </c>
      <c r="D1249" s="92" t="s">
        <v>16044</v>
      </c>
      <c r="E1249" s="94">
        <v>45113.55216435185</v>
      </c>
      <c r="F1249" s="94">
        <v>45913.78674768518</v>
      </c>
      <c r="G1249" s="90">
        <v>45639.66061342593</v>
      </c>
      <c r="H1249" s="1" t="s">
        <v>16476</v>
      </c>
    </row>
    <row r="1250">
      <c r="A1250" s="93">
        <v>1049.0</v>
      </c>
      <c r="B1250" s="92" t="s">
        <v>17097</v>
      </c>
      <c r="C1250" s="92" t="s">
        <v>14222</v>
      </c>
      <c r="D1250" s="92" t="s">
        <v>16044</v>
      </c>
      <c r="E1250" s="94">
        <v>45113.54959490741</v>
      </c>
      <c r="F1250" s="94">
        <v>45913.7859375</v>
      </c>
      <c r="G1250" s="90">
        <v>45638.581875</v>
      </c>
      <c r="H1250" s="1" t="s">
        <v>16476</v>
      </c>
    </row>
    <row r="1251">
      <c r="A1251" s="93">
        <v>854.0</v>
      </c>
      <c r="B1251" s="92" t="s">
        <v>17098</v>
      </c>
      <c r="C1251" s="92" t="s">
        <v>15330</v>
      </c>
      <c r="D1251" s="92" t="s">
        <v>16044</v>
      </c>
      <c r="E1251" s="94">
        <v>45113.546747685185</v>
      </c>
      <c r="F1251" s="94">
        <v>45913.7853125</v>
      </c>
      <c r="G1251" s="90">
        <v>45637.55902777778</v>
      </c>
      <c r="H1251" s="1" t="s">
        <v>16476</v>
      </c>
    </row>
    <row r="1252">
      <c r="A1252" s="93">
        <v>1313.0</v>
      </c>
      <c r="B1252" s="92" t="s">
        <v>17099</v>
      </c>
      <c r="C1252" s="92" t="s">
        <v>15647</v>
      </c>
      <c r="D1252" s="92" t="s">
        <v>16044</v>
      </c>
      <c r="E1252" s="94">
        <v>45113.5534837963</v>
      </c>
      <c r="F1252" s="94">
        <v>45913.78434027778</v>
      </c>
      <c r="G1252" s="90">
        <v>45637.55820601852</v>
      </c>
      <c r="H1252" s="1" t="s">
        <v>16476</v>
      </c>
    </row>
    <row r="1253">
      <c r="A1253" s="93">
        <v>1155.0</v>
      </c>
      <c r="B1253" s="92" t="s">
        <v>17100</v>
      </c>
      <c r="C1253" s="92" t="s">
        <v>8531</v>
      </c>
      <c r="D1253" s="92" t="s">
        <v>16044</v>
      </c>
      <c r="E1253" s="94">
        <v>45113.55118055556</v>
      </c>
      <c r="F1253" s="94">
        <v>45913.783796296295</v>
      </c>
      <c r="G1253" s="90">
        <v>45637.556921296295</v>
      </c>
      <c r="H1253" s="1" t="s">
        <v>16476</v>
      </c>
    </row>
    <row r="1254">
      <c r="A1254" s="93">
        <v>463.0</v>
      </c>
      <c r="B1254" s="92" t="s">
        <v>17101</v>
      </c>
      <c r="C1254" s="92" t="s">
        <v>10598</v>
      </c>
      <c r="D1254" s="92" t="s">
        <v>16044</v>
      </c>
      <c r="E1254" s="94">
        <v>45113.540914351855</v>
      </c>
      <c r="F1254" s="94">
        <v>45913.78344907407</v>
      </c>
      <c r="G1254" s="90">
        <v>45637.555810185186</v>
      </c>
      <c r="H1254" s="1" t="s">
        <v>16476</v>
      </c>
    </row>
    <row r="1255">
      <c r="A1255" s="93">
        <v>1492.0</v>
      </c>
      <c r="B1255" s="92" t="s">
        <v>17102</v>
      </c>
      <c r="C1255" s="92" t="s">
        <v>14458</v>
      </c>
      <c r="D1255" s="92" t="s">
        <v>16044</v>
      </c>
      <c r="E1255" s="94">
        <v>45113.55609953704</v>
      </c>
      <c r="F1255" s="94">
        <v>45913.773993055554</v>
      </c>
      <c r="G1255" s="90">
        <v>45637.55383101852</v>
      </c>
      <c r="H1255" s="1" t="s">
        <v>16476</v>
      </c>
    </row>
    <row r="1256">
      <c r="A1256" s="93">
        <v>1381.0</v>
      </c>
      <c r="B1256" s="92" t="s">
        <v>17103</v>
      </c>
      <c r="C1256" s="92" t="s">
        <v>14571</v>
      </c>
      <c r="D1256" s="92" t="s">
        <v>16044</v>
      </c>
      <c r="E1256" s="94">
        <v>45113.55446759259</v>
      </c>
      <c r="F1256" s="94">
        <v>45913.76944444444</v>
      </c>
      <c r="G1256" s="90">
        <v>45637.55297453704</v>
      </c>
      <c r="H1256" s="1" t="s">
        <v>16476</v>
      </c>
    </row>
    <row r="1257">
      <c r="A1257" s="93">
        <v>681.0</v>
      </c>
      <c r="B1257" s="92" t="s">
        <v>17104</v>
      </c>
      <c r="C1257" s="92" t="s">
        <v>9003</v>
      </c>
      <c r="D1257" s="92" t="s">
        <v>16044</v>
      </c>
      <c r="E1257" s="94">
        <v>45113.54414351852</v>
      </c>
      <c r="F1257" s="94">
        <v>45913.768530092595</v>
      </c>
      <c r="G1257" s="90">
        <v>45637.549675925926</v>
      </c>
      <c r="H1257" s="1" t="s">
        <v>16476</v>
      </c>
    </row>
    <row r="1258">
      <c r="A1258" s="93">
        <v>818.0</v>
      </c>
      <c r="B1258" s="92" t="s">
        <v>17105</v>
      </c>
      <c r="C1258" s="92" t="s">
        <v>14762</v>
      </c>
      <c r="D1258" s="92" t="s">
        <v>16044</v>
      </c>
      <c r="E1258" s="94">
        <v>45113.54619212963</v>
      </c>
      <c r="F1258" s="94">
        <v>45913.767905092594</v>
      </c>
      <c r="G1258" s="90">
        <v>45637.52851851852</v>
      </c>
      <c r="H1258" s="1" t="s">
        <v>16476</v>
      </c>
    </row>
    <row r="1259">
      <c r="A1259" s="93">
        <v>873.0</v>
      </c>
      <c r="B1259" s="92" t="s">
        <v>17106</v>
      </c>
      <c r="C1259" s="92" t="s">
        <v>5946</v>
      </c>
      <c r="D1259" s="92" t="s">
        <v>16044</v>
      </c>
      <c r="E1259" s="94">
        <v>45113.54702546296</v>
      </c>
      <c r="F1259" s="94">
        <v>45912.691412037035</v>
      </c>
      <c r="G1259" s="90">
        <v>45637.52774305556</v>
      </c>
      <c r="H1259" s="1" t="s">
        <v>16476</v>
      </c>
    </row>
    <row r="1260">
      <c r="A1260" s="93">
        <v>1456.0</v>
      </c>
      <c r="B1260" s="92" t="s">
        <v>17107</v>
      </c>
      <c r="C1260" s="92" t="s">
        <v>14537</v>
      </c>
      <c r="D1260" s="92" t="s">
        <v>16044</v>
      </c>
      <c r="E1260" s="94">
        <v>45113.55556712963</v>
      </c>
      <c r="F1260" s="94">
        <v>45912.69064814815</v>
      </c>
      <c r="G1260" s="90">
        <v>45637.52658564815</v>
      </c>
      <c r="H1260" s="1" t="s">
        <v>16476</v>
      </c>
    </row>
    <row r="1261">
      <c r="A1261" s="93">
        <v>563.0</v>
      </c>
      <c r="B1261" s="92" t="s">
        <v>17108</v>
      </c>
      <c r="C1261" s="92" t="s">
        <v>15184</v>
      </c>
      <c r="D1261" s="92" t="s">
        <v>16044</v>
      </c>
      <c r="E1261" s="94">
        <v>45113.54237268519</v>
      </c>
      <c r="F1261" s="94">
        <v>45912.6903125</v>
      </c>
      <c r="G1261" s="90">
        <v>45637.52652777778</v>
      </c>
      <c r="H1261" s="1" t="s">
        <v>16476</v>
      </c>
    </row>
    <row r="1262">
      <c r="A1262" s="93">
        <v>1189.0</v>
      </c>
      <c r="B1262" s="92" t="s">
        <v>17109</v>
      </c>
      <c r="C1262" s="92" t="s">
        <v>14438</v>
      </c>
      <c r="D1262" s="92" t="s">
        <v>16044</v>
      </c>
      <c r="E1262" s="94">
        <v>45113.55167824074</v>
      </c>
      <c r="F1262" s="94">
        <v>45912.68959490741</v>
      </c>
      <c r="G1262" s="90">
        <v>45637.50890046296</v>
      </c>
      <c r="H1262" s="1" t="s">
        <v>16476</v>
      </c>
    </row>
    <row r="1263">
      <c r="A1263" s="93">
        <v>1017.0</v>
      </c>
      <c r="B1263" s="92" t="s">
        <v>17110</v>
      </c>
      <c r="C1263" s="92" t="s">
        <v>14286</v>
      </c>
      <c r="D1263" s="92" t="s">
        <v>16044</v>
      </c>
      <c r="E1263" s="94">
        <v>45113.54912037037</v>
      </c>
      <c r="F1263" s="94">
        <v>45912.68570601852</v>
      </c>
      <c r="G1263" s="90">
        <v>45636.49248842592</v>
      </c>
      <c r="H1263" s="1" t="s">
        <v>16476</v>
      </c>
    </row>
    <row r="1264">
      <c r="A1264" s="93">
        <v>1032.0</v>
      </c>
      <c r="B1264" s="92" t="s">
        <v>17111</v>
      </c>
      <c r="C1264" s="92" t="s">
        <v>15065</v>
      </c>
      <c r="D1264" s="92" t="s">
        <v>16044</v>
      </c>
      <c r="E1264" s="94">
        <v>45113.54934027778</v>
      </c>
      <c r="F1264" s="94">
        <v>45912.68510416667</v>
      </c>
      <c r="G1264" s="90">
        <v>45635.734826388885</v>
      </c>
      <c r="H1264" s="1" t="s">
        <v>16476</v>
      </c>
    </row>
    <row r="1265">
      <c r="A1265" s="93">
        <v>609.0</v>
      </c>
      <c r="B1265" s="92" t="s">
        <v>17112</v>
      </c>
      <c r="C1265" s="92" t="s">
        <v>15070</v>
      </c>
      <c r="D1265" s="92" t="s">
        <v>16044</v>
      </c>
      <c r="E1265" s="94">
        <v>45113.54305555556</v>
      </c>
      <c r="F1265" s="94">
        <v>45912.68451388889</v>
      </c>
      <c r="G1265" s="90">
        <v>45632.53128472222</v>
      </c>
      <c r="H1265" s="1" t="s">
        <v>16476</v>
      </c>
    </row>
    <row r="1266">
      <c r="A1266" s="93">
        <v>711.0</v>
      </c>
      <c r="B1266" s="92" t="s">
        <v>17113</v>
      </c>
      <c r="C1266" s="92" t="s">
        <v>11881</v>
      </c>
      <c r="D1266" s="92" t="s">
        <v>16044</v>
      </c>
      <c r="E1266" s="94">
        <v>45113.544594907406</v>
      </c>
      <c r="F1266" s="94">
        <v>45912.68381944444</v>
      </c>
      <c r="G1266" s="90">
        <v>45632.529398148145</v>
      </c>
      <c r="H1266" s="1" t="s">
        <v>16476</v>
      </c>
    </row>
    <row r="1267">
      <c r="A1267" s="93">
        <v>1580.0</v>
      </c>
      <c r="B1267" s="92" t="s">
        <v>17114</v>
      </c>
      <c r="C1267" s="92" t="s">
        <v>14349</v>
      </c>
      <c r="D1267" s="92" t="s">
        <v>16044</v>
      </c>
      <c r="E1267" s="94">
        <v>45113.55738425926</v>
      </c>
      <c r="F1267" s="94">
        <v>45912.68336805556</v>
      </c>
      <c r="G1267" s="90">
        <v>45632.52543981482</v>
      </c>
      <c r="H1267" s="1" t="s">
        <v>16476</v>
      </c>
    </row>
    <row r="1268">
      <c r="A1268" s="93">
        <v>1334.0</v>
      </c>
      <c r="B1268" s="92" t="s">
        <v>17115</v>
      </c>
      <c r="C1268" s="92" t="s">
        <v>12508</v>
      </c>
      <c r="D1268" s="92" t="s">
        <v>16044</v>
      </c>
      <c r="E1268" s="94">
        <v>45113.55378472222</v>
      </c>
      <c r="F1268" s="94">
        <v>45912.680243055554</v>
      </c>
      <c r="G1268" s="90">
        <v>45632.52496527778</v>
      </c>
      <c r="H1268" s="1" t="s">
        <v>16476</v>
      </c>
    </row>
    <row r="1269">
      <c r="A1269" s="93">
        <v>679.0</v>
      </c>
      <c r="B1269" s="92" t="s">
        <v>17116</v>
      </c>
      <c r="C1269" s="92" t="s">
        <v>10688</v>
      </c>
      <c r="D1269" s="92" t="s">
        <v>16044</v>
      </c>
      <c r="E1269" s="94">
        <v>45113.544120370374</v>
      </c>
      <c r="F1269" s="94">
        <v>45912.679293981484</v>
      </c>
      <c r="G1269" s="90">
        <v>45632.513645833336</v>
      </c>
      <c r="H1269" s="1" t="s">
        <v>16476</v>
      </c>
    </row>
    <row r="1270">
      <c r="A1270" s="93">
        <v>651.0</v>
      </c>
      <c r="B1270" s="92" t="s">
        <v>17117</v>
      </c>
      <c r="C1270" s="92" t="s">
        <v>8408</v>
      </c>
      <c r="D1270" s="92" t="s">
        <v>16044</v>
      </c>
      <c r="E1270" s="94">
        <v>45113.54369212963</v>
      </c>
      <c r="F1270" s="94">
        <v>45912.6784375</v>
      </c>
      <c r="G1270" s="90">
        <v>45632.51042824074</v>
      </c>
      <c r="H1270" s="1" t="s">
        <v>16476</v>
      </c>
    </row>
    <row r="1271">
      <c r="A1271" s="93">
        <v>1455.0</v>
      </c>
      <c r="B1271" s="92" t="s">
        <v>17118</v>
      </c>
      <c r="C1271" s="92" t="s">
        <v>12928</v>
      </c>
      <c r="D1271" s="92" t="s">
        <v>16044</v>
      </c>
      <c r="E1271" s="94">
        <v>45113.555555555555</v>
      </c>
      <c r="F1271" s="94">
        <v>45912.678032407406</v>
      </c>
      <c r="G1271" s="90">
        <v>45632.50921296296</v>
      </c>
      <c r="H1271" s="1" t="s">
        <v>16476</v>
      </c>
    </row>
    <row r="1272">
      <c r="A1272" s="93">
        <v>1004.0</v>
      </c>
      <c r="B1272" s="92" t="s">
        <v>17119</v>
      </c>
      <c r="C1272" s="92" t="s">
        <v>14923</v>
      </c>
      <c r="D1272" s="92" t="s">
        <v>16044</v>
      </c>
      <c r="E1272" s="94">
        <v>45113.54893518519</v>
      </c>
      <c r="F1272" s="94">
        <v>45912.677708333336</v>
      </c>
      <c r="G1272" s="90">
        <v>45632.50792824074</v>
      </c>
      <c r="H1272" s="1" t="s">
        <v>16476</v>
      </c>
    </row>
    <row r="1273">
      <c r="A1273" s="93">
        <v>1003.0</v>
      </c>
      <c r="B1273" s="92" t="s">
        <v>17119</v>
      </c>
      <c r="C1273" s="92" t="s">
        <v>15402</v>
      </c>
      <c r="D1273" s="92" t="s">
        <v>16044</v>
      </c>
      <c r="E1273" s="94">
        <v>45113.54892361111</v>
      </c>
      <c r="F1273" s="94">
        <v>45912.67753472222</v>
      </c>
      <c r="G1273" s="90">
        <v>45631.496342592596</v>
      </c>
      <c r="H1273" s="1" t="s">
        <v>16476</v>
      </c>
    </row>
    <row r="1274">
      <c r="A1274" s="93">
        <v>672.0</v>
      </c>
      <c r="B1274" s="92" t="s">
        <v>17120</v>
      </c>
      <c r="C1274" s="92" t="s">
        <v>15486</v>
      </c>
      <c r="D1274" s="92" t="s">
        <v>16044</v>
      </c>
      <c r="E1274" s="94">
        <v>45113.544016203705</v>
      </c>
      <c r="F1274" s="94">
        <v>45912.67716435185</v>
      </c>
      <c r="G1274" s="90">
        <v>45630.7162962963</v>
      </c>
      <c r="H1274" s="1" t="s">
        <v>16476</v>
      </c>
    </row>
    <row r="1275">
      <c r="A1275" s="93">
        <v>1401.0</v>
      </c>
      <c r="B1275" s="92" t="s">
        <v>17121</v>
      </c>
      <c r="C1275" s="92" t="s">
        <v>15379</v>
      </c>
      <c r="D1275" s="92" t="s">
        <v>16044</v>
      </c>
      <c r="E1275" s="94">
        <v>45113.554768518516</v>
      </c>
      <c r="F1275" s="94">
        <v>45912.676828703705</v>
      </c>
      <c r="G1275" s="90">
        <v>45630.56061342593</v>
      </c>
      <c r="H1275" s="1" t="s">
        <v>16476</v>
      </c>
    </row>
    <row r="1276">
      <c r="A1276" s="93">
        <v>1669.0</v>
      </c>
      <c r="B1276" s="92" t="s">
        <v>17122</v>
      </c>
      <c r="C1276" s="92" t="s">
        <v>14480</v>
      </c>
      <c r="D1276" s="92" t="s">
        <v>16044</v>
      </c>
      <c r="E1276" s="94">
        <v>45113.55869212963</v>
      </c>
      <c r="F1276" s="94">
        <v>45912.67085648148</v>
      </c>
      <c r="G1276" s="90">
        <v>45630.559745370374</v>
      </c>
      <c r="H1276" s="1" t="s">
        <v>16476</v>
      </c>
    </row>
    <row r="1277">
      <c r="A1277" s="93">
        <v>1087.0</v>
      </c>
      <c r="B1277" s="92" t="s">
        <v>17123</v>
      </c>
      <c r="C1277" s="92" t="s">
        <v>13465</v>
      </c>
      <c r="D1277" s="92" t="s">
        <v>16044</v>
      </c>
      <c r="E1277" s="94">
        <v>45113.550162037034</v>
      </c>
      <c r="F1277" s="94">
        <v>45912.67056712963</v>
      </c>
      <c r="G1277" s="90">
        <v>45630.558657407404</v>
      </c>
      <c r="H1277" s="1" t="s">
        <v>16476</v>
      </c>
    </row>
    <row r="1278">
      <c r="A1278" s="93">
        <v>1131.0</v>
      </c>
      <c r="B1278" s="92" t="s">
        <v>17124</v>
      </c>
      <c r="C1278" s="92" t="s">
        <v>7191</v>
      </c>
      <c r="D1278" s="92" t="s">
        <v>16044</v>
      </c>
      <c r="E1278" s="94">
        <v>45113.550833333335</v>
      </c>
      <c r="F1278" s="94">
        <v>45912.67024305555</v>
      </c>
      <c r="G1278" s="90">
        <v>45620.933958333335</v>
      </c>
      <c r="H1278" s="1" t="s">
        <v>16476</v>
      </c>
    </row>
    <row r="1279">
      <c r="A1279" s="93">
        <v>1133.0</v>
      </c>
      <c r="B1279" s="92" t="s">
        <v>17125</v>
      </c>
      <c r="C1279" s="92" t="s">
        <v>14494</v>
      </c>
      <c r="D1279" s="92" t="s">
        <v>16044</v>
      </c>
      <c r="E1279" s="94">
        <v>45113.55085648148</v>
      </c>
      <c r="F1279" s="94">
        <v>45912.66997685185</v>
      </c>
      <c r="G1279" s="90">
        <v>45620.93234953703</v>
      </c>
      <c r="H1279" s="1" t="s">
        <v>16476</v>
      </c>
    </row>
    <row r="1280">
      <c r="A1280" s="93">
        <v>648.0</v>
      </c>
      <c r="B1280" s="92" t="s">
        <v>17126</v>
      </c>
      <c r="C1280" s="92" t="s">
        <v>7082</v>
      </c>
      <c r="D1280" s="92" t="s">
        <v>16044</v>
      </c>
      <c r="E1280" s="94">
        <v>45113.543657407405</v>
      </c>
      <c r="F1280" s="94">
        <v>45912.66954861111</v>
      </c>
      <c r="G1280" s="90">
        <v>45620.93167824074</v>
      </c>
      <c r="H1280" s="1" t="s">
        <v>16476</v>
      </c>
    </row>
    <row r="1281">
      <c r="A1281" s="93">
        <v>967.0</v>
      </c>
      <c r="B1281" s="92" t="s">
        <v>17127</v>
      </c>
      <c r="C1281" s="92" t="s">
        <v>7859</v>
      </c>
      <c r="D1281" s="92" t="s">
        <v>16044</v>
      </c>
      <c r="E1281" s="94">
        <v>45113.5483912037</v>
      </c>
      <c r="F1281" s="94">
        <v>45912.6691087963</v>
      </c>
      <c r="G1281" s="90">
        <v>45620.93027777778</v>
      </c>
      <c r="H1281" s="1" t="s">
        <v>16476</v>
      </c>
    </row>
    <row r="1282">
      <c r="A1282" s="93">
        <v>1115.0</v>
      </c>
      <c r="B1282" s="92" t="s">
        <v>17128</v>
      </c>
      <c r="C1282" s="92" t="s">
        <v>15552</v>
      </c>
      <c r="D1282" s="92" t="s">
        <v>16044</v>
      </c>
      <c r="E1282" s="94">
        <v>45113.55059027778</v>
      </c>
      <c r="F1282" s="94">
        <v>45912.668703703705</v>
      </c>
      <c r="G1282" s="90">
        <v>45620.92895833333</v>
      </c>
      <c r="H1282" s="1" t="s">
        <v>16476</v>
      </c>
    </row>
    <row r="1283">
      <c r="A1283" s="93">
        <v>1161.0</v>
      </c>
      <c r="B1283" s="92" t="s">
        <v>17129</v>
      </c>
      <c r="C1283" s="92" t="s">
        <v>11007</v>
      </c>
      <c r="D1283" s="92" t="s">
        <v>16044</v>
      </c>
      <c r="E1283" s="94">
        <v>45113.55126157407</v>
      </c>
      <c r="F1283" s="94">
        <v>45912.66811342593</v>
      </c>
      <c r="G1283" s="90">
        <v>45620.926840277774</v>
      </c>
      <c r="H1283" s="1" t="s">
        <v>16476</v>
      </c>
    </row>
    <row r="1284">
      <c r="A1284" s="93">
        <v>696.0</v>
      </c>
      <c r="B1284" s="92" t="s">
        <v>17129</v>
      </c>
      <c r="C1284" s="92" t="s">
        <v>11012</v>
      </c>
      <c r="D1284" s="92" t="s">
        <v>16044</v>
      </c>
      <c r="E1284" s="94">
        <v>45113.544375</v>
      </c>
      <c r="F1284" s="94">
        <v>45912.66793981481</v>
      </c>
      <c r="G1284" s="90">
        <v>45620.92395833333</v>
      </c>
      <c r="H1284" s="1" t="s">
        <v>16476</v>
      </c>
    </row>
    <row r="1285">
      <c r="A1285" s="93">
        <v>1163.0</v>
      </c>
      <c r="B1285" s="92" t="s">
        <v>17130</v>
      </c>
      <c r="C1285" s="92" t="s">
        <v>10303</v>
      </c>
      <c r="D1285" s="92" t="s">
        <v>16044</v>
      </c>
      <c r="E1285" s="94">
        <v>45113.5512962963</v>
      </c>
      <c r="F1285" s="94">
        <v>45912.667395833334</v>
      </c>
      <c r="G1285" s="90">
        <v>45620.921875</v>
      </c>
      <c r="H1285" s="1" t="s">
        <v>16476</v>
      </c>
    </row>
    <row r="1286">
      <c r="A1286" s="93">
        <v>1542.0</v>
      </c>
      <c r="B1286" s="92" t="s">
        <v>17131</v>
      </c>
      <c r="C1286" s="92" t="s">
        <v>8487</v>
      </c>
      <c r="D1286" s="92" t="s">
        <v>16044</v>
      </c>
      <c r="E1286" s="94">
        <v>45113.5568287037</v>
      </c>
      <c r="F1286" s="94">
        <v>45912.666655092595</v>
      </c>
      <c r="G1286" s="90">
        <v>45620.92034722222</v>
      </c>
      <c r="H1286" s="1" t="s">
        <v>16476</v>
      </c>
    </row>
    <row r="1287">
      <c r="A1287" s="93">
        <v>534.0</v>
      </c>
      <c r="B1287" s="92" t="s">
        <v>17132</v>
      </c>
      <c r="C1287" s="92" t="s">
        <v>14929</v>
      </c>
      <c r="D1287" s="92" t="s">
        <v>16044</v>
      </c>
      <c r="E1287" s="94">
        <v>45113.541967592595</v>
      </c>
      <c r="F1287" s="94">
        <v>45912.666354166664</v>
      </c>
      <c r="G1287" s="90">
        <v>45620.91894675926</v>
      </c>
      <c r="H1287" s="1" t="s">
        <v>16476</v>
      </c>
    </row>
    <row r="1288">
      <c r="A1288" s="93">
        <v>531.0</v>
      </c>
      <c r="B1288" s="92" t="s">
        <v>17133</v>
      </c>
      <c r="C1288" s="92" t="s">
        <v>12976</v>
      </c>
      <c r="D1288" s="92" t="s">
        <v>16044</v>
      </c>
      <c r="E1288" s="94">
        <v>45113.54193287037</v>
      </c>
      <c r="F1288" s="94">
        <v>45912.66578703704</v>
      </c>
      <c r="G1288" s="90">
        <v>45619.75770833333</v>
      </c>
      <c r="H1288" s="1" t="s">
        <v>16476</v>
      </c>
    </row>
    <row r="1289">
      <c r="A1289" s="93">
        <v>494.0</v>
      </c>
      <c r="B1289" s="92" t="s">
        <v>17134</v>
      </c>
      <c r="C1289" s="92" t="s">
        <v>9057</v>
      </c>
      <c r="D1289" s="92" t="s">
        <v>16044</v>
      </c>
      <c r="E1289" s="94">
        <v>45113.541400462964</v>
      </c>
      <c r="F1289" s="94">
        <v>45912.6652662037</v>
      </c>
      <c r="G1289" s="90">
        <v>45619.756898148145</v>
      </c>
      <c r="H1289" s="1" t="s">
        <v>16476</v>
      </c>
    </row>
    <row r="1290">
      <c r="A1290" s="93">
        <v>480.0</v>
      </c>
      <c r="B1290" s="92" t="s">
        <v>17135</v>
      </c>
      <c r="C1290" s="92" t="s">
        <v>5843</v>
      </c>
      <c r="D1290" s="92" t="s">
        <v>16044</v>
      </c>
      <c r="E1290" s="94">
        <v>45113.54116898148</v>
      </c>
      <c r="F1290" s="94">
        <v>45912.66501157408</v>
      </c>
      <c r="G1290" s="90">
        <v>45619.75502314815</v>
      </c>
      <c r="H1290" s="1" t="s">
        <v>16476</v>
      </c>
    </row>
    <row r="1291">
      <c r="A1291" s="93">
        <v>774.0</v>
      </c>
      <c r="B1291" s="92" t="s">
        <v>18908</v>
      </c>
      <c r="C1291" s="92" t="s">
        <v>12231</v>
      </c>
      <c r="D1291" s="92" t="s">
        <v>16044</v>
      </c>
      <c r="E1291" s="94">
        <v>45113.54555555555</v>
      </c>
      <c r="F1291" s="94">
        <v>45912.66454861111</v>
      </c>
      <c r="G1291" s="90">
        <v>45619.75344907407</v>
      </c>
      <c r="H1291" s="1" t="s">
        <v>16476</v>
      </c>
    </row>
    <row r="1292">
      <c r="A1292" s="93">
        <v>486.0</v>
      </c>
      <c r="B1292" s="92" t="s">
        <v>11560</v>
      </c>
      <c r="C1292" s="92" t="s">
        <v>8797</v>
      </c>
      <c r="D1292" s="92" t="s">
        <v>16044</v>
      </c>
      <c r="E1292" s="94">
        <v>45113.54125</v>
      </c>
      <c r="F1292" s="94">
        <v>45912.661145833335</v>
      </c>
      <c r="G1292" s="90">
        <v>45619.752800925926</v>
      </c>
      <c r="H1292" s="1" t="s">
        <v>16476</v>
      </c>
    </row>
    <row r="1293">
      <c r="A1293" s="93">
        <v>2157.0</v>
      </c>
      <c r="B1293" s="92" t="s">
        <v>17138</v>
      </c>
      <c r="C1293" s="92" t="s">
        <v>5811</v>
      </c>
      <c r="D1293" s="92" t="s">
        <v>16044</v>
      </c>
      <c r="E1293" s="94">
        <v>45628.38421296296</v>
      </c>
      <c r="F1293" s="94">
        <v>45912.66087962963</v>
      </c>
      <c r="G1293" s="90">
        <v>45619.75178240741</v>
      </c>
      <c r="H1293" s="1" t="s">
        <v>16476</v>
      </c>
    </row>
    <row r="1294">
      <c r="A1294" s="93">
        <v>773.0</v>
      </c>
      <c r="B1294" s="92" t="s">
        <v>17139</v>
      </c>
      <c r="C1294" s="92" t="s">
        <v>8806</v>
      </c>
      <c r="D1294" s="92" t="s">
        <v>16044</v>
      </c>
      <c r="E1294" s="94">
        <v>45113.54554398148</v>
      </c>
      <c r="F1294" s="94">
        <v>45912.66012731481</v>
      </c>
      <c r="G1294" s="90">
        <v>45619.75104166667</v>
      </c>
      <c r="H1294" s="1" t="s">
        <v>16476</v>
      </c>
    </row>
    <row r="1295">
      <c r="A1295" s="93">
        <v>529.0</v>
      </c>
      <c r="B1295" s="92" t="s">
        <v>17140</v>
      </c>
      <c r="C1295" s="92" t="s">
        <v>11789</v>
      </c>
      <c r="D1295" s="92" t="s">
        <v>16044</v>
      </c>
      <c r="E1295" s="94">
        <v>45113.541909722226</v>
      </c>
      <c r="F1295" s="94">
        <v>45912.65935185185</v>
      </c>
      <c r="G1295" s="90">
        <v>45619.750081018516</v>
      </c>
      <c r="H1295" s="1" t="s">
        <v>16476</v>
      </c>
    </row>
    <row r="1296">
      <c r="A1296" s="93">
        <v>1494.0</v>
      </c>
      <c r="B1296" s="92" t="s">
        <v>17141</v>
      </c>
      <c r="C1296" s="92" t="s">
        <v>13979</v>
      </c>
      <c r="D1296" s="92" t="s">
        <v>16044</v>
      </c>
      <c r="E1296" s="94">
        <v>45113.556122685186</v>
      </c>
      <c r="F1296" s="94">
        <v>45912.65837962963</v>
      </c>
      <c r="G1296" s="90">
        <v>45619.727476851855</v>
      </c>
      <c r="H1296" s="1" t="s">
        <v>16476</v>
      </c>
    </row>
    <row r="1297">
      <c r="A1297" s="93">
        <v>461.0</v>
      </c>
      <c r="B1297" s="92" t="s">
        <v>17142</v>
      </c>
      <c r="C1297" s="92" t="s">
        <v>8888</v>
      </c>
      <c r="D1297" s="92" t="s">
        <v>16044</v>
      </c>
      <c r="E1297" s="94">
        <v>45113.54087962963</v>
      </c>
      <c r="F1297" s="94">
        <v>45912.65804398148</v>
      </c>
      <c r="G1297" s="90">
        <v>45619.72635416667</v>
      </c>
      <c r="H1297" s="1" t="s">
        <v>16476</v>
      </c>
    </row>
    <row r="1298">
      <c r="A1298" s="93">
        <v>708.0</v>
      </c>
      <c r="B1298" s="92" t="s">
        <v>17143</v>
      </c>
      <c r="C1298" s="92" t="s">
        <v>8872</v>
      </c>
      <c r="D1298" s="92" t="s">
        <v>16044</v>
      </c>
      <c r="E1298" s="94">
        <v>45113.54454861111</v>
      </c>
      <c r="F1298" s="94">
        <v>45912.65587962963</v>
      </c>
      <c r="G1298" s="90">
        <v>45619.72515046296</v>
      </c>
      <c r="H1298" s="1" t="s">
        <v>16476</v>
      </c>
    </row>
    <row r="1299">
      <c r="A1299" s="93">
        <v>481.0</v>
      </c>
      <c r="B1299" s="92" t="s">
        <v>17144</v>
      </c>
      <c r="C1299" s="92" t="s">
        <v>9920</v>
      </c>
      <c r="D1299" s="92" t="s">
        <v>16044</v>
      </c>
      <c r="E1299" s="94">
        <v>45113.541180555556</v>
      </c>
      <c r="F1299" s="94">
        <v>45912.65528935185</v>
      </c>
      <c r="G1299" s="90">
        <v>45619.72342592593</v>
      </c>
      <c r="H1299" s="1" t="s">
        <v>16476</v>
      </c>
    </row>
    <row r="1300">
      <c r="A1300" s="93">
        <v>464.0</v>
      </c>
      <c r="B1300" s="92" t="s">
        <v>17145</v>
      </c>
      <c r="C1300" s="92" t="s">
        <v>15504</v>
      </c>
      <c r="D1300" s="92" t="s">
        <v>16044</v>
      </c>
      <c r="E1300" s="94">
        <v>45113.540925925925</v>
      </c>
      <c r="F1300" s="94">
        <v>45912.655011574076</v>
      </c>
      <c r="G1300" s="90">
        <v>45619.71959490741</v>
      </c>
      <c r="H1300" s="1" t="s">
        <v>16476</v>
      </c>
    </row>
    <row r="1301">
      <c r="A1301" s="93">
        <v>1949.0</v>
      </c>
      <c r="B1301" s="92" t="s">
        <v>17146</v>
      </c>
      <c r="C1301" s="92" t="s">
        <v>18909</v>
      </c>
      <c r="D1301" s="92" t="s">
        <v>16044</v>
      </c>
      <c r="E1301" s="94">
        <v>45372.61085648148</v>
      </c>
      <c r="F1301" s="94">
        <v>45912.65452546296</v>
      </c>
      <c r="G1301" s="90">
        <v>45619.71849537037</v>
      </c>
      <c r="H1301" s="1" t="s">
        <v>16476</v>
      </c>
    </row>
    <row r="1302">
      <c r="A1302" s="93">
        <v>515.0</v>
      </c>
      <c r="B1302" s="92" t="s">
        <v>17147</v>
      </c>
      <c r="C1302" s="92" t="s">
        <v>12147</v>
      </c>
      <c r="D1302" s="92" t="s">
        <v>16044</v>
      </c>
      <c r="E1302" s="94">
        <v>45113.541712962964</v>
      </c>
      <c r="F1302" s="94">
        <v>45912.654074074075</v>
      </c>
      <c r="G1302" s="90">
        <v>45619.71771990741</v>
      </c>
      <c r="H1302" s="1" t="s">
        <v>16476</v>
      </c>
    </row>
    <row r="1303">
      <c r="A1303" s="93">
        <v>537.0</v>
      </c>
      <c r="B1303" s="92" t="s">
        <v>17148</v>
      </c>
      <c r="C1303" s="92" t="s">
        <v>9008</v>
      </c>
      <c r="D1303" s="92" t="s">
        <v>16044</v>
      </c>
      <c r="E1303" s="94">
        <v>45113.54201388889</v>
      </c>
      <c r="F1303" s="94">
        <v>45912.65350694444</v>
      </c>
      <c r="G1303" s="90">
        <v>45619.716898148145</v>
      </c>
      <c r="H1303" s="1" t="s">
        <v>16476</v>
      </c>
    </row>
    <row r="1304">
      <c r="A1304" s="93">
        <v>1324.0</v>
      </c>
      <c r="B1304" s="92" t="s">
        <v>17149</v>
      </c>
      <c r="C1304" s="92" t="s">
        <v>7998</v>
      </c>
      <c r="D1304" s="92" t="s">
        <v>16044</v>
      </c>
      <c r="E1304" s="94">
        <v>45113.55364583333</v>
      </c>
      <c r="F1304" s="94">
        <v>45912.6528125</v>
      </c>
      <c r="G1304" s="90">
        <v>45619.713796296295</v>
      </c>
      <c r="H1304" s="1" t="s">
        <v>16476</v>
      </c>
    </row>
    <row r="1305">
      <c r="A1305" s="93">
        <v>476.0</v>
      </c>
      <c r="B1305" s="92" t="s">
        <v>17150</v>
      </c>
      <c r="C1305" s="92" t="s">
        <v>7604</v>
      </c>
      <c r="D1305" s="92" t="s">
        <v>16044</v>
      </c>
      <c r="E1305" s="94">
        <v>45113.54111111111</v>
      </c>
      <c r="F1305" s="94">
        <v>45912.65247685185</v>
      </c>
      <c r="G1305" s="90">
        <v>45619.712847222225</v>
      </c>
      <c r="H1305" s="1" t="s">
        <v>16476</v>
      </c>
    </row>
    <row r="1306">
      <c r="A1306" s="93">
        <v>462.0</v>
      </c>
      <c r="B1306" s="92" t="s">
        <v>17151</v>
      </c>
      <c r="C1306" s="92" t="s">
        <v>9571</v>
      </c>
      <c r="D1306" s="92" t="s">
        <v>16044</v>
      </c>
      <c r="E1306" s="94">
        <v>45113.54090277778</v>
      </c>
      <c r="F1306" s="94">
        <v>45912.65127314815</v>
      </c>
      <c r="G1306" s="90">
        <v>45619.71188657408</v>
      </c>
      <c r="H1306" s="1" t="s">
        <v>16476</v>
      </c>
    </row>
    <row r="1307">
      <c r="A1307" s="93">
        <v>518.0</v>
      </c>
      <c r="B1307" s="92" t="s">
        <v>17152</v>
      </c>
      <c r="C1307" s="92" t="s">
        <v>9207</v>
      </c>
      <c r="D1307" s="92" t="s">
        <v>16044</v>
      </c>
      <c r="E1307" s="94">
        <v>45113.54175925926</v>
      </c>
      <c r="F1307" s="94">
        <v>45912.65070601852</v>
      </c>
      <c r="G1307" s="90">
        <v>45619.710856481484</v>
      </c>
      <c r="H1307" s="1" t="s">
        <v>16476</v>
      </c>
    </row>
    <row r="1308">
      <c r="A1308" s="93">
        <v>1495.0</v>
      </c>
      <c r="B1308" s="92" t="s">
        <v>17153</v>
      </c>
      <c r="C1308" s="92" t="s">
        <v>10140</v>
      </c>
      <c r="D1308" s="92" t="s">
        <v>16044</v>
      </c>
      <c r="E1308" s="94">
        <v>45113.55613425926</v>
      </c>
      <c r="F1308" s="94">
        <v>45912.64917824074</v>
      </c>
      <c r="G1308" s="90">
        <v>45619.70984953704</v>
      </c>
      <c r="H1308" s="1" t="s">
        <v>16476</v>
      </c>
    </row>
    <row r="1309">
      <c r="A1309" s="93">
        <v>1228.0</v>
      </c>
      <c r="B1309" s="92" t="s">
        <v>17154</v>
      </c>
      <c r="C1309" s="92" t="s">
        <v>8336</v>
      </c>
      <c r="D1309" s="92" t="s">
        <v>16044</v>
      </c>
      <c r="E1309" s="94">
        <v>45113.5522337963</v>
      </c>
      <c r="F1309" s="94">
        <v>45912.648414351854</v>
      </c>
      <c r="G1309" s="90">
        <v>45619.70768518518</v>
      </c>
      <c r="H1309" s="1" t="s">
        <v>16476</v>
      </c>
    </row>
    <row r="1310">
      <c r="A1310" s="93">
        <v>1008.0</v>
      </c>
      <c r="B1310" s="92" t="s">
        <v>17155</v>
      </c>
      <c r="C1310" s="92" t="s">
        <v>11637</v>
      </c>
      <c r="D1310" s="92" t="s">
        <v>16044</v>
      </c>
      <c r="E1310" s="94">
        <v>45113.548993055556</v>
      </c>
      <c r="F1310" s="94">
        <v>45912.647569444445</v>
      </c>
      <c r="G1310" s="90">
        <v>45619.70715277778</v>
      </c>
      <c r="H1310" s="1" t="s">
        <v>16476</v>
      </c>
    </row>
    <row r="1311">
      <c r="A1311" s="93">
        <v>743.0</v>
      </c>
      <c r="B1311" s="92" t="s">
        <v>17156</v>
      </c>
      <c r="C1311" s="92" t="s">
        <v>13538</v>
      </c>
      <c r="D1311" s="92" t="s">
        <v>16044</v>
      </c>
      <c r="E1311" s="94">
        <v>45113.54510416667</v>
      </c>
      <c r="F1311" s="94">
        <v>45912.64703703704</v>
      </c>
      <c r="G1311" s="90">
        <v>45619.706400462965</v>
      </c>
      <c r="H1311" s="1" t="s">
        <v>16476</v>
      </c>
    </row>
    <row r="1312">
      <c r="A1312" s="93">
        <v>1589.0</v>
      </c>
      <c r="B1312" s="92" t="s">
        <v>17157</v>
      </c>
      <c r="C1312" s="92" t="s">
        <v>8255</v>
      </c>
      <c r="D1312" s="92" t="s">
        <v>16044</v>
      </c>
      <c r="E1312" s="94">
        <v>45113.55751157407</v>
      </c>
      <c r="F1312" s="94">
        <v>45912.646574074075</v>
      </c>
      <c r="G1312" s="90">
        <v>45619.705196759256</v>
      </c>
      <c r="H1312" s="1" t="s">
        <v>16476</v>
      </c>
    </row>
    <row r="1313">
      <c r="A1313" s="93">
        <v>744.0</v>
      </c>
      <c r="B1313" s="92" t="s">
        <v>17158</v>
      </c>
      <c r="C1313" s="92" t="s">
        <v>12685</v>
      </c>
      <c r="D1313" s="92" t="s">
        <v>16044</v>
      </c>
      <c r="E1313" s="94">
        <v>45113.545115740744</v>
      </c>
      <c r="F1313" s="94">
        <v>45912.64616898148</v>
      </c>
      <c r="G1313" s="90">
        <v>45619.70439814815</v>
      </c>
      <c r="H1313" s="1" t="s">
        <v>16476</v>
      </c>
    </row>
    <row r="1314">
      <c r="A1314" s="93">
        <v>1213.0</v>
      </c>
      <c r="B1314" s="92" t="s">
        <v>17159</v>
      </c>
      <c r="C1314" s="92" t="s">
        <v>8376</v>
      </c>
      <c r="D1314" s="92" t="s">
        <v>16044</v>
      </c>
      <c r="E1314" s="94">
        <v>45113.55202546297</v>
      </c>
      <c r="F1314" s="94">
        <v>45912.64460648148</v>
      </c>
      <c r="G1314" s="90">
        <v>45619.70369212963</v>
      </c>
      <c r="H1314" s="1" t="s">
        <v>16476</v>
      </c>
    </row>
    <row r="1315">
      <c r="A1315" s="93">
        <v>1672.0</v>
      </c>
      <c r="B1315" s="92" t="s">
        <v>17160</v>
      </c>
      <c r="C1315" s="92" t="s">
        <v>8173</v>
      </c>
      <c r="D1315" s="92" t="s">
        <v>16044</v>
      </c>
      <c r="E1315" s="94">
        <v>45113.55873842593</v>
      </c>
      <c r="F1315" s="94">
        <v>45912.643912037034</v>
      </c>
      <c r="G1315" s="90">
        <v>45619.67616898148</v>
      </c>
      <c r="H1315" s="1" t="s">
        <v>16476</v>
      </c>
    </row>
    <row r="1316">
      <c r="A1316" s="93">
        <v>1376.0</v>
      </c>
      <c r="B1316" s="92" t="s">
        <v>17161</v>
      </c>
      <c r="C1316" s="92" t="s">
        <v>15482</v>
      </c>
      <c r="D1316" s="92" t="s">
        <v>16044</v>
      </c>
      <c r="E1316" s="94">
        <v>45113.554398148146</v>
      </c>
      <c r="F1316" s="94">
        <v>45912.642222222225</v>
      </c>
      <c r="G1316" s="90">
        <v>45619.67386574074</v>
      </c>
      <c r="H1316" s="1" t="s">
        <v>16476</v>
      </c>
    </row>
    <row r="1317">
      <c r="A1317" s="93">
        <v>1637.0</v>
      </c>
      <c r="B1317" s="92" t="s">
        <v>17162</v>
      </c>
      <c r="C1317" s="92" t="s">
        <v>14275</v>
      </c>
      <c r="D1317" s="92" t="s">
        <v>16044</v>
      </c>
      <c r="E1317" s="94">
        <v>45113.558229166665</v>
      </c>
      <c r="F1317" s="94">
        <v>45912.64150462963</v>
      </c>
      <c r="G1317" s="90">
        <v>45619.67288194445</v>
      </c>
      <c r="H1317" s="1" t="s">
        <v>16476</v>
      </c>
    </row>
    <row r="1318">
      <c r="A1318" s="93">
        <v>1516.0</v>
      </c>
      <c r="B1318" s="92" t="s">
        <v>17163</v>
      </c>
      <c r="C1318" s="92" t="s">
        <v>5665</v>
      </c>
      <c r="D1318" s="92" t="s">
        <v>16044</v>
      </c>
      <c r="E1318" s="94">
        <v>45113.556446759256</v>
      </c>
      <c r="F1318" s="94">
        <v>45912.641238425924</v>
      </c>
      <c r="G1318" s="90">
        <v>45619.671898148146</v>
      </c>
      <c r="H1318" s="1" t="s">
        <v>16476</v>
      </c>
    </row>
    <row r="1319">
      <c r="A1319" s="93">
        <v>606.0</v>
      </c>
      <c r="B1319" s="92" t="s">
        <v>17164</v>
      </c>
      <c r="C1319" s="92" t="s">
        <v>15205</v>
      </c>
      <c r="D1319" s="92" t="s">
        <v>16044</v>
      </c>
      <c r="E1319" s="94">
        <v>45113.54300925926</v>
      </c>
      <c r="F1319" s="94">
        <v>45912.64047453704</v>
      </c>
      <c r="G1319" s="90">
        <v>45619.67037037037</v>
      </c>
      <c r="H1319" s="1" t="s">
        <v>16476</v>
      </c>
    </row>
    <row r="1320">
      <c r="A1320" s="93">
        <v>802.0</v>
      </c>
      <c r="B1320" s="92" t="s">
        <v>17165</v>
      </c>
      <c r="C1320" s="92" t="s">
        <v>15575</v>
      </c>
      <c r="D1320" s="92" t="s">
        <v>16044</v>
      </c>
      <c r="E1320" s="94">
        <v>45113.545960648145</v>
      </c>
      <c r="F1320" s="94">
        <v>45912.64016203704</v>
      </c>
      <c r="G1320" s="90">
        <v>45619.669340277775</v>
      </c>
      <c r="H1320" s="1" t="s">
        <v>16476</v>
      </c>
    </row>
    <row r="1321">
      <c r="A1321" s="93">
        <v>668.0</v>
      </c>
      <c r="B1321" s="92" t="s">
        <v>17166</v>
      </c>
      <c r="C1321" s="92" t="s">
        <v>15319</v>
      </c>
      <c r="D1321" s="92" t="s">
        <v>16044</v>
      </c>
      <c r="E1321" s="94">
        <v>45113.54394675926</v>
      </c>
      <c r="F1321" s="94">
        <v>45912.63964120371</v>
      </c>
      <c r="G1321" s="90">
        <v>45619.66840277778</v>
      </c>
      <c r="H1321" s="1" t="s">
        <v>16476</v>
      </c>
    </row>
    <row r="1322">
      <c r="A1322" s="93">
        <v>608.0</v>
      </c>
      <c r="B1322" s="92" t="s">
        <v>17167</v>
      </c>
      <c r="C1322" s="92" t="s">
        <v>14433</v>
      </c>
      <c r="D1322" s="92" t="s">
        <v>16044</v>
      </c>
      <c r="E1322" s="94">
        <v>45113.54304398148</v>
      </c>
      <c r="F1322" s="94">
        <v>45912.639236111114</v>
      </c>
      <c r="G1322" s="90">
        <v>45619.66755787037</v>
      </c>
      <c r="H1322" s="1" t="s">
        <v>16476</v>
      </c>
    </row>
    <row r="1323">
      <c r="A1323" s="93">
        <v>1019.0</v>
      </c>
      <c r="B1323" s="92" t="s">
        <v>17168</v>
      </c>
      <c r="C1323" s="92" t="s">
        <v>14767</v>
      </c>
      <c r="D1323" s="92" t="s">
        <v>16044</v>
      </c>
      <c r="E1323" s="94">
        <v>45113.549155092594</v>
      </c>
      <c r="F1323" s="94">
        <v>45912.63863425926</v>
      </c>
      <c r="G1323" s="90">
        <v>45619.66614583333</v>
      </c>
      <c r="H1323" s="1" t="s">
        <v>16476</v>
      </c>
    </row>
    <row r="1324">
      <c r="A1324" s="93">
        <v>946.0</v>
      </c>
      <c r="B1324" s="92" t="s">
        <v>17169</v>
      </c>
      <c r="C1324" s="92" t="s">
        <v>15303</v>
      </c>
      <c r="D1324" s="92" t="s">
        <v>16044</v>
      </c>
      <c r="E1324" s="94">
        <v>45113.54809027778</v>
      </c>
      <c r="F1324" s="94">
        <v>45912.63798611111</v>
      </c>
      <c r="G1324" s="90">
        <v>45619.66547453704</v>
      </c>
      <c r="H1324" s="1" t="s">
        <v>16476</v>
      </c>
    </row>
    <row r="1325">
      <c r="A1325" s="93">
        <v>1452.0</v>
      </c>
      <c r="B1325" s="92" t="s">
        <v>17170</v>
      </c>
      <c r="C1325" s="92" t="s">
        <v>8305</v>
      </c>
      <c r="D1325" s="92" t="s">
        <v>16044</v>
      </c>
      <c r="E1325" s="94">
        <v>45113.55550925926</v>
      </c>
      <c r="F1325" s="94">
        <v>45912.634421296294</v>
      </c>
      <c r="G1325" s="90">
        <v>45619.664722222224</v>
      </c>
      <c r="H1325" s="1" t="s">
        <v>16476</v>
      </c>
    </row>
    <row r="1326">
      <c r="A1326" s="93">
        <v>697.0</v>
      </c>
      <c r="B1326" s="92" t="s">
        <v>17171</v>
      </c>
      <c r="C1326" s="92" t="s">
        <v>15495</v>
      </c>
      <c r="D1326" s="92" t="s">
        <v>16044</v>
      </c>
      <c r="E1326" s="94">
        <v>45113.544386574074</v>
      </c>
      <c r="F1326" s="94">
        <v>45912.63383101852</v>
      </c>
      <c r="G1326" s="90">
        <v>45619.663935185185</v>
      </c>
      <c r="H1326" s="1" t="s">
        <v>16476</v>
      </c>
    </row>
    <row r="1327">
      <c r="A1327" s="93">
        <v>1209.0</v>
      </c>
      <c r="B1327" s="92" t="s">
        <v>17172</v>
      </c>
      <c r="C1327" s="92" t="s">
        <v>15215</v>
      </c>
      <c r="D1327" s="92" t="s">
        <v>16044</v>
      </c>
      <c r="E1327" s="94">
        <v>45113.55196759259</v>
      </c>
      <c r="F1327" s="94">
        <v>45912.63354166667</v>
      </c>
      <c r="G1327" s="90">
        <v>45619.66332175926</v>
      </c>
      <c r="H1327" s="1" t="s">
        <v>16476</v>
      </c>
    </row>
    <row r="1328">
      <c r="A1328" s="93">
        <v>1524.0</v>
      </c>
      <c r="B1328" s="92" t="s">
        <v>17173</v>
      </c>
      <c r="C1328" s="92" t="s">
        <v>14490</v>
      </c>
      <c r="D1328" s="92" t="s">
        <v>16044</v>
      </c>
      <c r="E1328" s="94">
        <v>45113.5565625</v>
      </c>
      <c r="F1328" s="94">
        <v>45912.63314814815</v>
      </c>
      <c r="G1328" s="90">
        <v>45619.66244212963</v>
      </c>
      <c r="H1328" s="1" t="s">
        <v>16476</v>
      </c>
    </row>
    <row r="1329">
      <c r="A1329" s="93">
        <v>1097.0</v>
      </c>
      <c r="B1329" s="92" t="s">
        <v>17174</v>
      </c>
      <c r="C1329" s="92" t="s">
        <v>9284</v>
      </c>
      <c r="D1329" s="92" t="s">
        <v>16044</v>
      </c>
      <c r="E1329" s="94">
        <v>45113.5503125</v>
      </c>
      <c r="F1329" s="94">
        <v>45912.632048611114</v>
      </c>
      <c r="G1329" s="90">
        <v>45619.66138888889</v>
      </c>
      <c r="H1329" s="1" t="s">
        <v>16476</v>
      </c>
    </row>
    <row r="1330">
      <c r="A1330" s="93">
        <v>578.0</v>
      </c>
      <c r="B1330" s="92" t="s">
        <v>17175</v>
      </c>
      <c r="C1330" s="92" t="s">
        <v>14731</v>
      </c>
      <c r="D1330" s="92" t="s">
        <v>16044</v>
      </c>
      <c r="E1330" s="94">
        <v>45113.542604166665</v>
      </c>
      <c r="F1330" s="94">
        <v>45912.63172453704</v>
      </c>
      <c r="G1330" s="90">
        <v>45619.6609375</v>
      </c>
      <c r="H1330" s="1" t="s">
        <v>16476</v>
      </c>
    </row>
    <row r="1331">
      <c r="A1331" s="93">
        <v>1436.0</v>
      </c>
      <c r="B1331" s="92" t="s">
        <v>17176</v>
      </c>
      <c r="C1331" s="92" t="s">
        <v>15613</v>
      </c>
      <c r="D1331" s="92" t="s">
        <v>16044</v>
      </c>
      <c r="E1331" s="94">
        <v>45113.55527777778</v>
      </c>
      <c r="F1331" s="94">
        <v>45912.63108796296</v>
      </c>
      <c r="G1331" s="90">
        <v>45619.65436342593</v>
      </c>
      <c r="H1331" s="1" t="s">
        <v>16476</v>
      </c>
    </row>
    <row r="1332">
      <c r="A1332" s="93">
        <v>1012.0</v>
      </c>
      <c r="B1332" s="92" t="s">
        <v>17177</v>
      </c>
      <c r="C1332" s="92" t="s">
        <v>15630</v>
      </c>
      <c r="D1332" s="92" t="s">
        <v>16044</v>
      </c>
      <c r="E1332" s="94">
        <v>45113.549050925925</v>
      </c>
      <c r="F1332" s="94">
        <v>45912.63048611111</v>
      </c>
      <c r="G1332" s="90">
        <v>45619.652592592596</v>
      </c>
      <c r="H1332" s="1" t="s">
        <v>16476</v>
      </c>
    </row>
    <row r="1333">
      <c r="A1333" s="93">
        <v>1267.0</v>
      </c>
      <c r="B1333" s="92" t="s">
        <v>17178</v>
      </c>
      <c r="C1333" s="92" t="s">
        <v>13703</v>
      </c>
      <c r="D1333" s="92" t="s">
        <v>16044</v>
      </c>
      <c r="E1333" s="94">
        <v>45113.5528125</v>
      </c>
      <c r="F1333" s="94">
        <v>45912.629745370374</v>
      </c>
      <c r="G1333" s="90">
        <v>45619.651979166665</v>
      </c>
      <c r="H1333" s="1" t="s">
        <v>16476</v>
      </c>
    </row>
    <row r="1334">
      <c r="A1334" s="93">
        <v>1560.0</v>
      </c>
      <c r="B1334" s="92" t="s">
        <v>17179</v>
      </c>
      <c r="C1334" s="92" t="s">
        <v>7691</v>
      </c>
      <c r="D1334" s="92" t="s">
        <v>16044</v>
      </c>
      <c r="E1334" s="94">
        <v>45113.55708333333</v>
      </c>
      <c r="F1334" s="94">
        <v>45912.62946759259</v>
      </c>
      <c r="G1334" s="90">
        <v>45619.65137731482</v>
      </c>
      <c r="H1334" s="1" t="s">
        <v>16476</v>
      </c>
    </row>
    <row r="1335">
      <c r="A1335" s="93">
        <v>1629.0</v>
      </c>
      <c r="B1335" s="92" t="s">
        <v>17180</v>
      </c>
      <c r="C1335" s="92" t="s">
        <v>8591</v>
      </c>
      <c r="D1335" s="92" t="s">
        <v>16044</v>
      </c>
      <c r="E1335" s="94">
        <v>45113.55811342593</v>
      </c>
      <c r="F1335" s="94">
        <v>45912.62892361111</v>
      </c>
      <c r="G1335" s="90">
        <v>45619.65090277778</v>
      </c>
      <c r="H1335" s="1" t="s">
        <v>16476</v>
      </c>
    </row>
    <row r="1336">
      <c r="A1336" s="93">
        <v>1485.0</v>
      </c>
      <c r="B1336" s="92" t="s">
        <v>17181</v>
      </c>
      <c r="C1336" s="92" t="s">
        <v>8180</v>
      </c>
      <c r="D1336" s="92" t="s">
        <v>16044</v>
      </c>
      <c r="E1336" s="94">
        <v>45113.55599537037</v>
      </c>
      <c r="F1336" s="94">
        <v>45912.62850694444</v>
      </c>
      <c r="G1336" s="90">
        <v>45619.650416666664</v>
      </c>
      <c r="H1336" s="1" t="s">
        <v>16476</v>
      </c>
    </row>
    <row r="1337">
      <c r="A1337" s="93">
        <v>1451.0</v>
      </c>
      <c r="B1337" s="92" t="s">
        <v>17182</v>
      </c>
      <c r="C1337" s="92" t="s">
        <v>13181</v>
      </c>
      <c r="D1337" s="92" t="s">
        <v>16044</v>
      </c>
      <c r="E1337" s="94">
        <v>45113.555497685185</v>
      </c>
      <c r="F1337" s="94">
        <v>45912.628217592595</v>
      </c>
      <c r="G1337" s="90">
        <v>45619.64934027778</v>
      </c>
      <c r="H1337" s="1" t="s">
        <v>16476</v>
      </c>
    </row>
    <row r="1338">
      <c r="A1338" s="93">
        <v>1346.0</v>
      </c>
      <c r="B1338" s="92" t="s">
        <v>18910</v>
      </c>
      <c r="C1338" s="92" t="s">
        <v>13117</v>
      </c>
      <c r="D1338" s="92" t="s">
        <v>16044</v>
      </c>
      <c r="E1338" s="94">
        <v>45113.55395833333</v>
      </c>
      <c r="F1338" s="94">
        <v>45912.62730324074</v>
      </c>
      <c r="G1338" s="90">
        <v>45619.64828703704</v>
      </c>
      <c r="H1338" s="1" t="s">
        <v>16476</v>
      </c>
    </row>
    <row r="1339">
      <c r="A1339" s="93">
        <v>618.0</v>
      </c>
      <c r="B1339" s="92" t="s">
        <v>17184</v>
      </c>
      <c r="C1339" s="92" t="s">
        <v>7666</v>
      </c>
      <c r="D1339" s="92" t="s">
        <v>16044</v>
      </c>
      <c r="E1339" s="94">
        <v>45113.54319444444</v>
      </c>
      <c r="F1339" s="94">
        <v>45912.62082175926</v>
      </c>
      <c r="G1339" s="90">
        <v>45619.64740740741</v>
      </c>
      <c r="H1339" s="1" t="s">
        <v>16476</v>
      </c>
    </row>
    <row r="1340">
      <c r="A1340" s="93">
        <v>1270.0</v>
      </c>
      <c r="B1340" s="92" t="s">
        <v>17185</v>
      </c>
      <c r="C1340" s="92" t="s">
        <v>12568</v>
      </c>
      <c r="D1340" s="92" t="s">
        <v>16044</v>
      </c>
      <c r="E1340" s="94">
        <v>45113.55284722222</v>
      </c>
      <c r="F1340" s="94">
        <v>45912.62049768519</v>
      </c>
      <c r="G1340" s="90">
        <v>45619.64650462963</v>
      </c>
      <c r="H1340" s="1" t="s">
        <v>16476</v>
      </c>
    </row>
    <row r="1341">
      <c r="A1341" s="93">
        <v>1597.0</v>
      </c>
      <c r="B1341" s="92" t="s">
        <v>17186</v>
      </c>
      <c r="C1341" s="92" t="s">
        <v>8006</v>
      </c>
      <c r="D1341" s="92" t="s">
        <v>16044</v>
      </c>
      <c r="E1341" s="94">
        <v>45113.557650462964</v>
      </c>
      <c r="F1341" s="94">
        <v>45912.60538194444</v>
      </c>
      <c r="G1341" s="90">
        <v>45619.643055555556</v>
      </c>
      <c r="H1341" s="1" t="s">
        <v>16476</v>
      </c>
    </row>
    <row r="1342">
      <c r="A1342" s="93">
        <v>907.0</v>
      </c>
      <c r="B1342" s="92" t="s">
        <v>17187</v>
      </c>
      <c r="C1342" s="92" t="s">
        <v>7902</v>
      </c>
      <c r="D1342" s="92" t="s">
        <v>16044</v>
      </c>
      <c r="E1342" s="94">
        <v>45113.54752314815</v>
      </c>
      <c r="F1342" s="94">
        <v>45912.60506944444</v>
      </c>
      <c r="G1342" s="90">
        <v>45619.64236111111</v>
      </c>
      <c r="H1342" s="1" t="s">
        <v>16476</v>
      </c>
    </row>
    <row r="1343">
      <c r="A1343" s="93">
        <v>1069.0</v>
      </c>
      <c r="B1343" s="92" t="s">
        <v>17188</v>
      </c>
      <c r="C1343" s="92" t="s">
        <v>13657</v>
      </c>
      <c r="D1343" s="92" t="s">
        <v>16044</v>
      </c>
      <c r="E1343" s="94">
        <v>45113.549895833334</v>
      </c>
      <c r="F1343" s="94">
        <v>45909.982719907406</v>
      </c>
      <c r="G1343" s="90">
        <v>45619.641377314816</v>
      </c>
      <c r="H1343" s="1" t="s">
        <v>16476</v>
      </c>
    </row>
    <row r="1344">
      <c r="A1344" s="93">
        <v>596.0</v>
      </c>
      <c r="B1344" s="92" t="s">
        <v>17189</v>
      </c>
      <c r="C1344" s="92" t="s">
        <v>14904</v>
      </c>
      <c r="D1344" s="92" t="s">
        <v>16044</v>
      </c>
      <c r="E1344" s="94">
        <v>45113.542858796296</v>
      </c>
      <c r="F1344" s="94">
        <v>45909.98212962963</v>
      </c>
      <c r="G1344" s="90">
        <v>45619.64059027778</v>
      </c>
      <c r="H1344" s="1" t="s">
        <v>16476</v>
      </c>
    </row>
    <row r="1345">
      <c r="A1345" s="93">
        <v>693.0</v>
      </c>
      <c r="B1345" s="92" t="s">
        <v>17190</v>
      </c>
      <c r="C1345" s="92" t="s">
        <v>14734</v>
      </c>
      <c r="D1345" s="92" t="s">
        <v>16044</v>
      </c>
      <c r="E1345" s="94">
        <v>45113.544328703705</v>
      </c>
      <c r="F1345" s="94">
        <v>45909.978530092594</v>
      </c>
      <c r="G1345" s="90">
        <v>45619.63854166667</v>
      </c>
      <c r="H1345" s="1" t="s">
        <v>16476</v>
      </c>
    </row>
    <row r="1346">
      <c r="A1346" s="93">
        <v>1530.0</v>
      </c>
      <c r="B1346" s="92" t="s">
        <v>17191</v>
      </c>
      <c r="C1346" s="92" t="s">
        <v>14727</v>
      </c>
      <c r="D1346" s="92" t="s">
        <v>16044</v>
      </c>
      <c r="E1346" s="94">
        <v>45113.556655092594</v>
      </c>
      <c r="F1346" s="94">
        <v>45909.97814814815</v>
      </c>
      <c r="G1346" s="90">
        <v>45619.63636574074</v>
      </c>
      <c r="H1346" s="1" t="s">
        <v>16476</v>
      </c>
    </row>
    <row r="1347">
      <c r="A1347" s="93">
        <v>1448.0</v>
      </c>
      <c r="B1347" s="92" t="s">
        <v>16474</v>
      </c>
      <c r="C1347" s="92" t="s">
        <v>13223</v>
      </c>
      <c r="D1347" s="92" t="s">
        <v>16044</v>
      </c>
      <c r="E1347" s="94">
        <v>45113.555451388886</v>
      </c>
      <c r="F1347" s="94">
        <v>45909.97644675926</v>
      </c>
      <c r="G1347" s="90">
        <v>45619.634722222225</v>
      </c>
      <c r="H1347" s="1" t="s">
        <v>16476</v>
      </c>
    </row>
    <row r="1348">
      <c r="A1348" s="93">
        <v>1196.0</v>
      </c>
      <c r="B1348" s="92" t="s">
        <v>17192</v>
      </c>
      <c r="C1348" s="92" t="s">
        <v>11348</v>
      </c>
      <c r="D1348" s="92" t="s">
        <v>16044</v>
      </c>
      <c r="E1348" s="94">
        <v>45113.551770833335</v>
      </c>
      <c r="F1348" s="94">
        <v>45909.97505787037</v>
      </c>
      <c r="G1348" s="90">
        <v>45619.63277777778</v>
      </c>
      <c r="H1348" s="1" t="s">
        <v>16476</v>
      </c>
    </row>
    <row r="1349">
      <c r="A1349" s="93">
        <v>1002.0</v>
      </c>
      <c r="B1349" s="92" t="s">
        <v>17193</v>
      </c>
      <c r="C1349" s="92" t="s">
        <v>8606</v>
      </c>
      <c r="D1349" s="92" t="s">
        <v>16044</v>
      </c>
      <c r="E1349" s="94">
        <v>45113.54890046296</v>
      </c>
      <c r="F1349" s="94">
        <v>45909.9741087963</v>
      </c>
      <c r="G1349" s="90">
        <v>45619.62939814815</v>
      </c>
      <c r="H1349" s="1" t="s">
        <v>16476</v>
      </c>
    </row>
    <row r="1350">
      <c r="A1350" s="93">
        <v>1526.0</v>
      </c>
      <c r="B1350" s="92" t="s">
        <v>17194</v>
      </c>
      <c r="C1350" s="92" t="s">
        <v>13890</v>
      </c>
      <c r="D1350" s="92" t="s">
        <v>16044</v>
      </c>
      <c r="E1350" s="94">
        <v>45113.55658564815</v>
      </c>
      <c r="F1350" s="94">
        <v>45909.97314814815</v>
      </c>
      <c r="G1350" s="90">
        <v>45619.627592592595</v>
      </c>
      <c r="H1350" s="1" t="s">
        <v>16476</v>
      </c>
    </row>
    <row r="1351">
      <c r="A1351" s="93">
        <v>579.0</v>
      </c>
      <c r="B1351" s="92" t="s">
        <v>17195</v>
      </c>
      <c r="C1351" s="92" t="s">
        <v>7893</v>
      </c>
      <c r="D1351" s="92" t="s">
        <v>16044</v>
      </c>
      <c r="E1351" s="94">
        <v>45113.54261574074</v>
      </c>
      <c r="F1351" s="94">
        <v>45909.972766203704</v>
      </c>
      <c r="G1351" s="90">
        <v>45619.62400462963</v>
      </c>
      <c r="H1351" s="1" t="s">
        <v>16476</v>
      </c>
    </row>
    <row r="1352">
      <c r="A1352" s="93">
        <v>766.0</v>
      </c>
      <c r="B1352" s="92" t="s">
        <v>17196</v>
      </c>
      <c r="C1352" s="92" t="s">
        <v>8535</v>
      </c>
      <c r="D1352" s="92" t="s">
        <v>16044</v>
      </c>
      <c r="E1352" s="94">
        <v>45113.545439814814</v>
      </c>
      <c r="F1352" s="94">
        <v>45909.971979166665</v>
      </c>
      <c r="G1352" s="90">
        <v>45619.62157407407</v>
      </c>
      <c r="H1352" s="1" t="s">
        <v>16476</v>
      </c>
    </row>
    <row r="1353">
      <c r="A1353" s="93">
        <v>1183.0</v>
      </c>
      <c r="B1353" s="92" t="s">
        <v>17197</v>
      </c>
      <c r="C1353" s="92" t="s">
        <v>8287</v>
      </c>
      <c r="D1353" s="92" t="s">
        <v>16044</v>
      </c>
      <c r="E1353" s="94">
        <v>45113.55158564815</v>
      </c>
      <c r="F1353" s="94">
        <v>45909.97162037037</v>
      </c>
      <c r="G1353" s="90">
        <v>45619.62018518519</v>
      </c>
      <c r="H1353" s="1" t="s">
        <v>16476</v>
      </c>
    </row>
    <row r="1354">
      <c r="A1354" s="93">
        <v>882.0</v>
      </c>
      <c r="B1354" s="92" t="s">
        <v>17198</v>
      </c>
      <c r="C1354" s="92" t="s">
        <v>8060</v>
      </c>
      <c r="D1354" s="92" t="s">
        <v>16044</v>
      </c>
      <c r="E1354" s="94">
        <v>45113.54715277778</v>
      </c>
      <c r="F1354" s="94">
        <v>45909.97133101852</v>
      </c>
      <c r="G1354" s="90">
        <v>45619.6190162037</v>
      </c>
      <c r="H1354" s="1" t="s">
        <v>16476</v>
      </c>
    </row>
    <row r="1355">
      <c r="A1355" s="93">
        <v>1664.0</v>
      </c>
      <c r="B1355" s="92" t="s">
        <v>17199</v>
      </c>
      <c r="C1355" s="92" t="s">
        <v>8322</v>
      </c>
      <c r="D1355" s="92" t="s">
        <v>16044</v>
      </c>
      <c r="E1355" s="94">
        <v>45113.55862268519</v>
      </c>
      <c r="F1355" s="94">
        <v>45909.971041666664</v>
      </c>
      <c r="G1355" s="90">
        <v>45619.61766203704</v>
      </c>
      <c r="H1355" s="1" t="s">
        <v>16476</v>
      </c>
    </row>
    <row r="1356">
      <c r="A1356" s="93">
        <v>1527.0</v>
      </c>
      <c r="B1356" s="92" t="s">
        <v>17200</v>
      </c>
      <c r="C1356" s="92" t="s">
        <v>7617</v>
      </c>
      <c r="D1356" s="92" t="s">
        <v>16044</v>
      </c>
      <c r="E1356" s="94">
        <v>45113.556608796294</v>
      </c>
      <c r="F1356" s="94">
        <v>45909.97043981482</v>
      </c>
      <c r="G1356" s="90">
        <v>45619.61672453704</v>
      </c>
      <c r="H1356" s="1" t="s">
        <v>16476</v>
      </c>
    </row>
    <row r="1357">
      <c r="A1357" s="93">
        <v>1067.0</v>
      </c>
      <c r="B1357" s="92" t="s">
        <v>17201</v>
      </c>
      <c r="C1357" s="92" t="s">
        <v>15591</v>
      </c>
      <c r="D1357" s="92" t="s">
        <v>16044</v>
      </c>
      <c r="E1357" s="94">
        <v>45113.54987268519</v>
      </c>
      <c r="F1357" s="94">
        <v>45909.969976851855</v>
      </c>
      <c r="G1357" s="90">
        <v>45619.61482638889</v>
      </c>
      <c r="H1357" s="1" t="s">
        <v>16476</v>
      </c>
    </row>
    <row r="1358">
      <c r="A1358" s="93">
        <v>1666.0</v>
      </c>
      <c r="B1358" s="92" t="s">
        <v>17202</v>
      </c>
      <c r="C1358" s="92" t="s">
        <v>11760</v>
      </c>
      <c r="D1358" s="92" t="s">
        <v>16044</v>
      </c>
      <c r="E1358" s="94">
        <v>45113.558645833335</v>
      </c>
      <c r="F1358" s="94">
        <v>45909.96869212963</v>
      </c>
      <c r="G1358" s="90">
        <v>45619.57876157408</v>
      </c>
      <c r="H1358" s="1" t="s">
        <v>16476</v>
      </c>
    </row>
    <row r="1359">
      <c r="A1359" s="93">
        <v>1083.0</v>
      </c>
      <c r="B1359" s="92" t="s">
        <v>17203</v>
      </c>
      <c r="C1359" s="92" t="s">
        <v>8673</v>
      </c>
      <c r="D1359" s="92" t="s">
        <v>16044</v>
      </c>
      <c r="E1359" s="94">
        <v>45113.550104166665</v>
      </c>
      <c r="F1359" s="94">
        <v>45909.96827546296</v>
      </c>
      <c r="G1359" s="90">
        <v>45619.55719907407</v>
      </c>
      <c r="H1359" s="1" t="s">
        <v>16476</v>
      </c>
    </row>
    <row r="1360">
      <c r="A1360" s="93">
        <v>997.0</v>
      </c>
      <c r="B1360" s="92" t="s">
        <v>17204</v>
      </c>
      <c r="C1360" s="92" t="s">
        <v>12179</v>
      </c>
      <c r="D1360" s="92" t="s">
        <v>16044</v>
      </c>
      <c r="E1360" s="94">
        <v>45113.54883101852</v>
      </c>
      <c r="F1360" s="94">
        <v>45909.96753472222</v>
      </c>
      <c r="G1360" s="90">
        <v>45618.47353009259</v>
      </c>
      <c r="H1360" s="1" t="s">
        <v>16476</v>
      </c>
    </row>
    <row r="1361">
      <c r="A1361" s="93">
        <v>918.0</v>
      </c>
      <c r="B1361" s="92" t="s">
        <v>17205</v>
      </c>
      <c r="C1361" s="92" t="s">
        <v>8191</v>
      </c>
      <c r="D1361" s="92" t="s">
        <v>16044</v>
      </c>
      <c r="E1361" s="94">
        <v>45113.547685185185</v>
      </c>
      <c r="F1361" s="94">
        <v>45909.96672453704</v>
      </c>
      <c r="G1361" s="90">
        <v>45618.47353009259</v>
      </c>
      <c r="H1361" s="1" t="s">
        <v>16476</v>
      </c>
    </row>
    <row r="1362">
      <c r="A1362" s="93">
        <v>1440.0</v>
      </c>
      <c r="B1362" s="92" t="s">
        <v>17206</v>
      </c>
      <c r="C1362" s="92" t="s">
        <v>12676</v>
      </c>
      <c r="D1362" s="92" t="s">
        <v>16044</v>
      </c>
      <c r="E1362" s="94">
        <v>45113.55533564815</v>
      </c>
      <c r="F1362" s="94">
        <v>45909.965104166666</v>
      </c>
      <c r="G1362" s="90">
        <v>45618.47353009259</v>
      </c>
      <c r="H1362" s="1" t="s">
        <v>16476</v>
      </c>
    </row>
    <row r="1363">
      <c r="A1363" s="93">
        <v>1139.0</v>
      </c>
      <c r="B1363" s="92" t="s">
        <v>17207</v>
      </c>
      <c r="C1363" s="92" t="s">
        <v>6726</v>
      </c>
      <c r="D1363" s="92" t="s">
        <v>16044</v>
      </c>
      <c r="E1363" s="94">
        <v>45113.55094907407</v>
      </c>
      <c r="F1363" s="94">
        <v>45909.963217592594</v>
      </c>
      <c r="G1363" s="90">
        <v>45618.47353009259</v>
      </c>
      <c r="H1363" s="1" t="s">
        <v>16476</v>
      </c>
    </row>
    <row r="1364">
      <c r="A1364" s="93">
        <v>569.0</v>
      </c>
      <c r="B1364" s="92" t="s">
        <v>17208</v>
      </c>
      <c r="C1364" s="92" t="s">
        <v>10545</v>
      </c>
      <c r="D1364" s="92" t="s">
        <v>16044</v>
      </c>
      <c r="E1364" s="94">
        <v>45113.54246527778</v>
      </c>
      <c r="F1364" s="94">
        <v>45909.96262731482</v>
      </c>
      <c r="G1364" s="90">
        <v>45618.47353009259</v>
      </c>
      <c r="H1364" s="1" t="s">
        <v>16476</v>
      </c>
    </row>
    <row r="1365">
      <c r="A1365" s="93">
        <v>1585.0</v>
      </c>
      <c r="B1365" s="92" t="s">
        <v>17209</v>
      </c>
      <c r="C1365" s="92" t="s">
        <v>13632</v>
      </c>
      <c r="D1365" s="92" t="s">
        <v>16044</v>
      </c>
      <c r="E1365" s="94">
        <v>45113.5574537037</v>
      </c>
      <c r="F1365" s="94">
        <v>45909.96195601852</v>
      </c>
      <c r="G1365" s="90">
        <v>45618.47353009259</v>
      </c>
      <c r="H1365" s="1" t="s">
        <v>16476</v>
      </c>
    </row>
    <row r="1366">
      <c r="A1366" s="93">
        <v>944.0</v>
      </c>
      <c r="B1366" s="92" t="s">
        <v>17210</v>
      </c>
      <c r="C1366" s="92" t="s">
        <v>10559</v>
      </c>
      <c r="D1366" s="92" t="s">
        <v>16044</v>
      </c>
      <c r="E1366" s="94">
        <v>45113.548055555555</v>
      </c>
      <c r="F1366" s="94">
        <v>45909.96160879629</v>
      </c>
      <c r="G1366" s="90">
        <v>45618.47353009259</v>
      </c>
      <c r="H1366" s="1" t="s">
        <v>16476</v>
      </c>
    </row>
    <row r="1367">
      <c r="A1367" s="93">
        <v>604.0</v>
      </c>
      <c r="B1367" s="92" t="s">
        <v>17211</v>
      </c>
      <c r="C1367" s="92" t="s">
        <v>7646</v>
      </c>
      <c r="D1367" s="92" t="s">
        <v>16044</v>
      </c>
      <c r="E1367" s="94">
        <v>45113.54298611111</v>
      </c>
      <c r="F1367" s="94">
        <v>45908.818020833336</v>
      </c>
      <c r="G1367" s="90">
        <v>45618.47353009259</v>
      </c>
      <c r="H1367" s="1" t="s">
        <v>16476</v>
      </c>
    </row>
    <row r="1368">
      <c r="A1368" s="93">
        <v>778.0</v>
      </c>
      <c r="B1368" s="92" t="s">
        <v>17212</v>
      </c>
      <c r="C1368" s="92" t="s">
        <v>7610</v>
      </c>
      <c r="D1368" s="92" t="s">
        <v>16044</v>
      </c>
      <c r="E1368" s="94">
        <v>45113.54561342593</v>
      </c>
      <c r="F1368" s="94">
        <v>45907.989803240744</v>
      </c>
      <c r="G1368" s="90">
        <v>45617.77118055556</v>
      </c>
      <c r="H1368" s="1" t="s">
        <v>16476</v>
      </c>
    </row>
    <row r="1369">
      <c r="A1369" s="93">
        <v>874.0</v>
      </c>
      <c r="B1369" s="92" t="s">
        <v>17213</v>
      </c>
      <c r="C1369" s="92" t="s">
        <v>10957</v>
      </c>
      <c r="D1369" s="92" t="s">
        <v>16044</v>
      </c>
      <c r="E1369" s="94">
        <v>45113.54703703704</v>
      </c>
      <c r="F1369" s="94">
        <v>45907.9891087963</v>
      </c>
      <c r="G1369" s="90">
        <v>45616.55850694444</v>
      </c>
      <c r="H1369" s="1" t="s">
        <v>16476</v>
      </c>
    </row>
    <row r="1370">
      <c r="A1370" s="93">
        <v>1070.0</v>
      </c>
      <c r="B1370" s="92" t="s">
        <v>17214</v>
      </c>
      <c r="C1370" s="92" t="s">
        <v>8516</v>
      </c>
      <c r="D1370" s="92" t="s">
        <v>16044</v>
      </c>
      <c r="E1370" s="94">
        <v>45113.54991898148</v>
      </c>
      <c r="F1370" s="94">
        <v>45907.98849537037</v>
      </c>
      <c r="G1370" s="90">
        <v>45616.55688657407</v>
      </c>
      <c r="H1370" s="1" t="s">
        <v>16476</v>
      </c>
    </row>
    <row r="1371">
      <c r="A1371" s="93">
        <v>1105.0</v>
      </c>
      <c r="B1371" s="92" t="s">
        <v>17215</v>
      </c>
      <c r="C1371" s="92" t="s">
        <v>10853</v>
      </c>
      <c r="D1371" s="92" t="s">
        <v>16044</v>
      </c>
      <c r="E1371" s="94">
        <v>45113.55042824074</v>
      </c>
      <c r="F1371" s="94">
        <v>45907.98787037037</v>
      </c>
      <c r="G1371" s="90">
        <v>45616.5512962963</v>
      </c>
      <c r="H1371" s="1" t="s">
        <v>16476</v>
      </c>
    </row>
    <row r="1372">
      <c r="A1372" s="93">
        <v>1681.0</v>
      </c>
      <c r="B1372" s="92" t="s">
        <v>17216</v>
      </c>
      <c r="C1372" s="92" t="s">
        <v>10054</v>
      </c>
      <c r="D1372" s="92" t="s">
        <v>16044</v>
      </c>
      <c r="E1372" s="94">
        <v>45113.55886574074</v>
      </c>
      <c r="F1372" s="94">
        <v>45907.98751157407</v>
      </c>
      <c r="G1372" s="90">
        <v>45616.54746527778</v>
      </c>
      <c r="H1372" s="1" t="s">
        <v>16476</v>
      </c>
    </row>
    <row r="1373">
      <c r="A1373" s="93">
        <v>1359.0</v>
      </c>
      <c r="B1373" s="92" t="s">
        <v>17217</v>
      </c>
      <c r="C1373" s="92" t="s">
        <v>15335</v>
      </c>
      <c r="D1373" s="92" t="s">
        <v>16044</v>
      </c>
      <c r="E1373" s="94">
        <v>45113.55415509259</v>
      </c>
      <c r="F1373" s="94">
        <v>45907.9871412037</v>
      </c>
      <c r="G1373" s="90">
        <v>45615.513078703705</v>
      </c>
      <c r="H1373" s="1" t="s">
        <v>16476</v>
      </c>
    </row>
    <row r="1374">
      <c r="A1374" s="93">
        <v>858.0</v>
      </c>
      <c r="B1374" s="92" t="s">
        <v>17218</v>
      </c>
      <c r="C1374" s="92" t="s">
        <v>6827</v>
      </c>
      <c r="D1374" s="92" t="s">
        <v>16044</v>
      </c>
      <c r="E1374" s="94">
        <v>45113.546805555554</v>
      </c>
      <c r="F1374" s="94">
        <v>45907.986608796295</v>
      </c>
      <c r="G1374" s="90">
        <v>45615.51221064815</v>
      </c>
      <c r="H1374" s="1" t="s">
        <v>16476</v>
      </c>
    </row>
    <row r="1375">
      <c r="A1375" s="93">
        <v>833.0</v>
      </c>
      <c r="B1375" s="92" t="s">
        <v>17219</v>
      </c>
      <c r="C1375" s="92" t="s">
        <v>7740</v>
      </c>
      <c r="D1375" s="92" t="s">
        <v>16044</v>
      </c>
      <c r="E1375" s="94">
        <v>45113.546435185184</v>
      </c>
      <c r="F1375" s="94">
        <v>45907.986342592594</v>
      </c>
      <c r="G1375" s="90">
        <v>45604.522777777776</v>
      </c>
      <c r="H1375" s="1" t="s">
        <v>16476</v>
      </c>
    </row>
    <row r="1376">
      <c r="A1376" s="93">
        <v>1301.0</v>
      </c>
      <c r="B1376" s="92" t="s">
        <v>17220</v>
      </c>
      <c r="C1376" s="92" t="s">
        <v>8986</v>
      </c>
      <c r="D1376" s="92" t="s">
        <v>16044</v>
      </c>
      <c r="E1376" s="94">
        <v>45113.55331018518</v>
      </c>
      <c r="F1376" s="94">
        <v>45907.98607638889</v>
      </c>
      <c r="G1376" s="90">
        <v>45604.515706018516</v>
      </c>
      <c r="H1376" s="1" t="s">
        <v>16476</v>
      </c>
    </row>
    <row r="1377">
      <c r="A1377" s="93">
        <v>1520.0</v>
      </c>
      <c r="B1377" s="92" t="s">
        <v>17221</v>
      </c>
      <c r="C1377" s="92" t="s">
        <v>10963</v>
      </c>
      <c r="D1377" s="92" t="s">
        <v>16044</v>
      </c>
      <c r="E1377" s="94">
        <v>45113.55650462963</v>
      </c>
      <c r="F1377" s="94">
        <v>45907.985810185186</v>
      </c>
      <c r="G1377" s="90">
        <v>45604.508726851855</v>
      </c>
      <c r="H1377" s="1" t="s">
        <v>16476</v>
      </c>
    </row>
    <row r="1378">
      <c r="A1378" s="93">
        <v>837.0</v>
      </c>
      <c r="B1378" s="92" t="s">
        <v>17222</v>
      </c>
      <c r="C1378" s="92" t="s">
        <v>7535</v>
      </c>
      <c r="D1378" s="92" t="s">
        <v>16044</v>
      </c>
      <c r="E1378" s="94">
        <v>45113.54649305555</v>
      </c>
      <c r="F1378" s="94">
        <v>45907.985439814816</v>
      </c>
      <c r="G1378" s="90">
        <v>45603.85894675926</v>
      </c>
      <c r="H1378" s="1" t="s">
        <v>16476</v>
      </c>
    </row>
    <row r="1379">
      <c r="A1379" s="93">
        <v>979.0</v>
      </c>
      <c r="B1379" s="92" t="s">
        <v>17223</v>
      </c>
      <c r="C1379" s="92" t="s">
        <v>10937</v>
      </c>
      <c r="D1379" s="92" t="s">
        <v>16044</v>
      </c>
      <c r="E1379" s="94">
        <v>45113.54856481482</v>
      </c>
      <c r="F1379" s="94">
        <v>45907.98515046296</v>
      </c>
      <c r="G1379" s="90">
        <v>45603.81925925926</v>
      </c>
      <c r="H1379" s="1" t="s">
        <v>16476</v>
      </c>
    </row>
    <row r="1380">
      <c r="A1380" s="93">
        <v>1077.0</v>
      </c>
      <c r="B1380" s="92" t="s">
        <v>17224</v>
      </c>
      <c r="C1380" s="92" t="s">
        <v>7591</v>
      </c>
      <c r="D1380" s="92" t="s">
        <v>16044</v>
      </c>
      <c r="E1380" s="94">
        <v>45113.55001157407</v>
      </c>
      <c r="F1380" s="94">
        <v>45907.98486111111</v>
      </c>
      <c r="G1380" s="90">
        <v>45602.65063657407</v>
      </c>
      <c r="H1380" s="1" t="s">
        <v>16476</v>
      </c>
    </row>
    <row r="1381">
      <c r="A1381" s="93">
        <v>1517.0</v>
      </c>
      <c r="B1381" s="92" t="s">
        <v>17225</v>
      </c>
      <c r="C1381" s="92" t="s">
        <v>7800</v>
      </c>
      <c r="D1381" s="92" t="s">
        <v>16044</v>
      </c>
      <c r="E1381" s="94">
        <v>45113.55645833333</v>
      </c>
      <c r="F1381" s="94">
        <v>45907.98434027778</v>
      </c>
      <c r="G1381" s="90">
        <v>45600.484664351854</v>
      </c>
      <c r="H1381" s="1" t="s">
        <v>16476</v>
      </c>
    </row>
    <row r="1382">
      <c r="A1382" s="93">
        <v>1554.0</v>
      </c>
      <c r="B1382" s="92" t="s">
        <v>17226</v>
      </c>
      <c r="C1382" s="92" t="s">
        <v>10192</v>
      </c>
      <c r="D1382" s="92" t="s">
        <v>16044</v>
      </c>
      <c r="E1382" s="94">
        <v>45113.55700231482</v>
      </c>
      <c r="F1382" s="94">
        <v>45907.98370370371</v>
      </c>
      <c r="G1382" s="90">
        <v>45597.46505787037</v>
      </c>
      <c r="H1382" s="1" t="s">
        <v>16476</v>
      </c>
    </row>
    <row r="1383">
      <c r="A1383" s="93">
        <v>736.0</v>
      </c>
      <c r="B1383" s="92" t="s">
        <v>17227</v>
      </c>
      <c r="C1383" s="92" t="s">
        <v>8072</v>
      </c>
      <c r="D1383" s="92" t="s">
        <v>16044</v>
      </c>
      <c r="E1383" s="94">
        <v>45113.545</v>
      </c>
      <c r="F1383" s="94">
        <v>45907.98295138889</v>
      </c>
      <c r="G1383" s="90">
        <v>45596.5597337963</v>
      </c>
      <c r="H1383" s="1" t="s">
        <v>16476</v>
      </c>
    </row>
    <row r="1384">
      <c r="A1384" s="93">
        <v>857.0</v>
      </c>
      <c r="B1384" s="92" t="s">
        <v>17228</v>
      </c>
      <c r="C1384" s="92" t="s">
        <v>8654</v>
      </c>
      <c r="D1384" s="92" t="s">
        <v>16044</v>
      </c>
      <c r="E1384" s="94">
        <v>45113.54678240741</v>
      </c>
      <c r="F1384" s="94">
        <v>45907.982037037036</v>
      </c>
      <c r="G1384" s="90">
        <v>45594.629108796296</v>
      </c>
      <c r="H1384" s="1" t="s">
        <v>16476</v>
      </c>
    </row>
    <row r="1385">
      <c r="A1385" s="93">
        <v>1679.0</v>
      </c>
      <c r="B1385" s="92" t="s">
        <v>17229</v>
      </c>
      <c r="C1385" s="92" t="s">
        <v>13549</v>
      </c>
      <c r="D1385" s="92" t="s">
        <v>16044</v>
      </c>
      <c r="E1385" s="94">
        <v>45113.55883101852</v>
      </c>
      <c r="F1385" s="94">
        <v>45907.98143518518</v>
      </c>
      <c r="G1385" s="90">
        <v>45589.68738425926</v>
      </c>
      <c r="H1385" s="1" t="s">
        <v>16476</v>
      </c>
    </row>
    <row r="1386">
      <c r="A1386" s="93">
        <v>607.0</v>
      </c>
      <c r="B1386" s="92" t="s">
        <v>17230</v>
      </c>
      <c r="C1386" s="92" t="s">
        <v>7676</v>
      </c>
      <c r="D1386" s="92" t="s">
        <v>16044</v>
      </c>
      <c r="E1386" s="94">
        <v>45113.543032407404</v>
      </c>
      <c r="F1386" s="94">
        <v>45907.98119212963</v>
      </c>
      <c r="G1386" s="90">
        <v>45589.68653935185</v>
      </c>
      <c r="H1386" s="1" t="s">
        <v>16476</v>
      </c>
    </row>
    <row r="1387">
      <c r="A1387" s="93">
        <v>686.0</v>
      </c>
      <c r="B1387" s="92" t="s">
        <v>17231</v>
      </c>
      <c r="C1387" s="92" t="s">
        <v>7514</v>
      </c>
      <c r="D1387" s="92" t="s">
        <v>16044</v>
      </c>
      <c r="E1387" s="94">
        <v>45113.544224537036</v>
      </c>
      <c r="F1387" s="94">
        <v>45907.98087962963</v>
      </c>
      <c r="G1387" s="90">
        <v>45589.67722222222</v>
      </c>
      <c r="H1387" s="1" t="s">
        <v>16476</v>
      </c>
    </row>
    <row r="1388">
      <c r="A1388" s="93">
        <v>961.0</v>
      </c>
      <c r="B1388" s="92" t="s">
        <v>17232</v>
      </c>
      <c r="C1388" s="92" t="s">
        <v>10986</v>
      </c>
      <c r="D1388" s="92" t="s">
        <v>16044</v>
      </c>
      <c r="E1388" s="94">
        <v>45113.548310185186</v>
      </c>
      <c r="F1388" s="94">
        <v>45907.98063657407</v>
      </c>
      <c r="G1388" s="90">
        <v>45589.67528935185</v>
      </c>
      <c r="H1388" s="1" t="s">
        <v>16476</v>
      </c>
    </row>
    <row r="1389">
      <c r="A1389" s="93">
        <v>707.0</v>
      </c>
      <c r="B1389" s="92" t="s">
        <v>17233</v>
      </c>
      <c r="C1389" s="92" t="s">
        <v>11447</v>
      </c>
      <c r="D1389" s="92" t="s">
        <v>16044</v>
      </c>
      <c r="E1389" s="94">
        <v>45113.544537037036</v>
      </c>
      <c r="F1389" s="94">
        <v>45907.98038194444</v>
      </c>
      <c r="G1389" s="90">
        <v>45589.67333333333</v>
      </c>
      <c r="H1389" s="1" t="s">
        <v>16476</v>
      </c>
    </row>
    <row r="1390">
      <c r="A1390" s="93">
        <v>1160.0</v>
      </c>
      <c r="B1390" s="92" t="s">
        <v>17234</v>
      </c>
      <c r="C1390" s="92" t="s">
        <v>7280</v>
      </c>
      <c r="D1390" s="92" t="s">
        <v>16044</v>
      </c>
      <c r="E1390" s="94">
        <v>45113.55125</v>
      </c>
      <c r="F1390" s="94">
        <v>45907.97996527778</v>
      </c>
      <c r="G1390" s="90">
        <v>45589.67260416667</v>
      </c>
      <c r="H1390" s="1" t="s">
        <v>16476</v>
      </c>
    </row>
    <row r="1391">
      <c r="A1391" s="93">
        <v>1091.0</v>
      </c>
      <c r="B1391" s="92" t="s">
        <v>17235</v>
      </c>
      <c r="C1391" s="92" t="s">
        <v>8228</v>
      </c>
      <c r="D1391" s="92" t="s">
        <v>16044</v>
      </c>
      <c r="E1391" s="94">
        <v>45113.55021990741</v>
      </c>
      <c r="F1391" s="94">
        <v>45907.979409722226</v>
      </c>
      <c r="G1391" s="90">
        <v>45589.562048611115</v>
      </c>
      <c r="H1391" s="1" t="s">
        <v>16476</v>
      </c>
    </row>
    <row r="1392">
      <c r="A1392" s="93">
        <v>971.0</v>
      </c>
      <c r="B1392" s="92" t="s">
        <v>17236</v>
      </c>
      <c r="C1392" s="92" t="s">
        <v>12414</v>
      </c>
      <c r="D1392" s="92" t="s">
        <v>16044</v>
      </c>
      <c r="E1392" s="94">
        <v>45113.54844907407</v>
      </c>
      <c r="F1392" s="94">
        <v>45907.9790162037</v>
      </c>
      <c r="G1392" s="90">
        <v>45582.64072916667</v>
      </c>
      <c r="H1392" s="1" t="s">
        <v>16476</v>
      </c>
    </row>
    <row r="1393">
      <c r="A1393" s="93">
        <v>831.0</v>
      </c>
      <c r="B1393" s="92" t="s">
        <v>17237</v>
      </c>
      <c r="C1393" s="92" t="s">
        <v>10318</v>
      </c>
      <c r="D1393" s="92" t="s">
        <v>16044</v>
      </c>
      <c r="E1393" s="94">
        <v>45113.54640046296</v>
      </c>
      <c r="F1393" s="94">
        <v>45907.978472222225</v>
      </c>
      <c r="G1393" s="90">
        <v>45580.62914351852</v>
      </c>
      <c r="H1393" s="1" t="s">
        <v>16476</v>
      </c>
    </row>
    <row r="1394">
      <c r="A1394" s="93">
        <v>741.0</v>
      </c>
      <c r="B1394" s="92" t="s">
        <v>17238</v>
      </c>
      <c r="C1394" s="92" t="s">
        <v>10380</v>
      </c>
      <c r="D1394" s="92" t="s">
        <v>16044</v>
      </c>
      <c r="E1394" s="94">
        <v>45113.545069444444</v>
      </c>
      <c r="F1394" s="94">
        <v>45907.97825231482</v>
      </c>
      <c r="G1394" s="90">
        <v>45576.66537037037</v>
      </c>
      <c r="H1394" s="1" t="s">
        <v>16476</v>
      </c>
    </row>
    <row r="1395">
      <c r="A1395" s="93">
        <v>694.0</v>
      </c>
      <c r="B1395" s="92" t="s">
        <v>17239</v>
      </c>
      <c r="C1395" s="92" t="s">
        <v>11479</v>
      </c>
      <c r="D1395" s="92" t="s">
        <v>16044</v>
      </c>
      <c r="E1395" s="94">
        <v>45113.544340277775</v>
      </c>
      <c r="F1395" s="94">
        <v>45907.97792824074</v>
      </c>
      <c r="G1395" s="90">
        <v>45575.69385416667</v>
      </c>
      <c r="H1395" s="1" t="s">
        <v>16476</v>
      </c>
    </row>
    <row r="1396">
      <c r="A1396" s="93">
        <v>1622.0</v>
      </c>
      <c r="B1396" s="92" t="s">
        <v>17240</v>
      </c>
      <c r="C1396" s="92" t="s">
        <v>8400</v>
      </c>
      <c r="D1396" s="92" t="s">
        <v>16044</v>
      </c>
      <c r="E1396" s="94">
        <v>45113.55800925926</v>
      </c>
      <c r="F1396" s="94">
        <v>45907.97721064815</v>
      </c>
      <c r="G1396" s="90">
        <v>45575.6903125</v>
      </c>
      <c r="H1396" s="1" t="s">
        <v>16476</v>
      </c>
    </row>
    <row r="1397">
      <c r="A1397" s="93">
        <v>1579.0</v>
      </c>
      <c r="B1397" s="92" t="s">
        <v>17241</v>
      </c>
      <c r="C1397" s="92" t="s">
        <v>8394</v>
      </c>
      <c r="D1397" s="92" t="s">
        <v>16044</v>
      </c>
      <c r="E1397" s="94">
        <v>45113.55737268519</v>
      </c>
      <c r="F1397" s="94">
        <v>45907.97690972222</v>
      </c>
      <c r="G1397" s="90">
        <v>45575.689259259256</v>
      </c>
      <c r="H1397" s="1" t="s">
        <v>16476</v>
      </c>
    </row>
    <row r="1398">
      <c r="A1398" s="93">
        <v>720.0</v>
      </c>
      <c r="B1398" s="92" t="s">
        <v>17242</v>
      </c>
      <c r="C1398" s="92" t="s">
        <v>13176</v>
      </c>
      <c r="D1398" s="92" t="s">
        <v>16044</v>
      </c>
      <c r="E1398" s="94">
        <v>45113.544756944444</v>
      </c>
      <c r="F1398" s="94">
        <v>45907.97625</v>
      </c>
      <c r="G1398" s="90">
        <v>45575.68875</v>
      </c>
      <c r="H1398" s="1" t="s">
        <v>16476</v>
      </c>
    </row>
    <row r="1399">
      <c r="A1399" s="93">
        <v>680.0</v>
      </c>
      <c r="B1399" s="92" t="s">
        <v>17243</v>
      </c>
      <c r="C1399" s="92" t="s">
        <v>7551</v>
      </c>
      <c r="D1399" s="92" t="s">
        <v>16044</v>
      </c>
      <c r="E1399" s="94">
        <v>45113.54413194444</v>
      </c>
      <c r="F1399" s="94">
        <v>45907.97591435185</v>
      </c>
      <c r="G1399" s="90">
        <v>45575.68258101852</v>
      </c>
      <c r="H1399" s="1" t="s">
        <v>16476</v>
      </c>
    </row>
    <row r="1400">
      <c r="A1400" s="93">
        <v>899.0</v>
      </c>
      <c r="B1400" s="92" t="s">
        <v>17244</v>
      </c>
      <c r="C1400" s="92" t="s">
        <v>7430</v>
      </c>
      <c r="D1400" s="92" t="s">
        <v>16044</v>
      </c>
      <c r="E1400" s="94">
        <v>45113.54740740741</v>
      </c>
      <c r="F1400" s="94">
        <v>45907.97520833334</v>
      </c>
      <c r="G1400" s="90">
        <v>45575.67994212963</v>
      </c>
      <c r="H1400" s="1" t="s">
        <v>16476</v>
      </c>
    </row>
    <row r="1401">
      <c r="A1401" s="93">
        <v>1094.0</v>
      </c>
      <c r="B1401" s="92" t="s">
        <v>17245</v>
      </c>
      <c r="C1401" s="92" t="s">
        <v>11106</v>
      </c>
      <c r="D1401" s="92" t="s">
        <v>16044</v>
      </c>
      <c r="E1401" s="94">
        <v>45113.5502662037</v>
      </c>
      <c r="F1401" s="94">
        <v>45907.97472222222</v>
      </c>
      <c r="G1401" s="90">
        <v>45575.679930555554</v>
      </c>
      <c r="H1401" s="1" t="s">
        <v>16476</v>
      </c>
    </row>
    <row r="1402">
      <c r="A1402" s="93">
        <v>1610.0</v>
      </c>
      <c r="B1402" s="92" t="s">
        <v>17246</v>
      </c>
      <c r="C1402" s="92" t="s">
        <v>11768</v>
      </c>
      <c r="D1402" s="92" t="s">
        <v>16044</v>
      </c>
      <c r="E1402" s="94">
        <v>45113.55783564815</v>
      </c>
      <c r="F1402" s="94">
        <v>45907.97392361111</v>
      </c>
      <c r="G1402" s="90">
        <v>45575.66894675926</v>
      </c>
      <c r="H1402" s="1" t="s">
        <v>16476</v>
      </c>
    </row>
    <row r="1403">
      <c r="A1403" s="93">
        <v>700.0</v>
      </c>
      <c r="B1403" s="92" t="s">
        <v>17247</v>
      </c>
      <c r="C1403" s="92" t="s">
        <v>11543</v>
      </c>
      <c r="D1403" s="92" t="s">
        <v>16044</v>
      </c>
      <c r="E1403" s="94">
        <v>45113.54443287037</v>
      </c>
      <c r="F1403" s="94">
        <v>45907.97329861111</v>
      </c>
      <c r="G1403" s="90">
        <v>45572.51133101852</v>
      </c>
      <c r="H1403" s="1" t="s">
        <v>16476</v>
      </c>
    </row>
    <row r="1404">
      <c r="A1404" s="93">
        <v>1013.0</v>
      </c>
      <c r="B1404" s="92" t="s">
        <v>17248</v>
      </c>
      <c r="C1404" s="92" t="s">
        <v>10893</v>
      </c>
      <c r="D1404" s="92" t="s">
        <v>16044</v>
      </c>
      <c r="E1404" s="94">
        <v>45113.5490625</v>
      </c>
      <c r="F1404" s="94">
        <v>45907.972974537035</v>
      </c>
      <c r="G1404" s="90">
        <v>45565.408055555556</v>
      </c>
      <c r="H1404" s="1" t="s">
        <v>16476</v>
      </c>
    </row>
    <row r="1405">
      <c r="A1405" s="93">
        <v>952.0</v>
      </c>
      <c r="B1405" s="92" t="s">
        <v>17249</v>
      </c>
      <c r="C1405" s="92" t="s">
        <v>10404</v>
      </c>
      <c r="D1405" s="92" t="s">
        <v>16044</v>
      </c>
      <c r="E1405" s="94">
        <v>45113.548171296294</v>
      </c>
      <c r="F1405" s="94">
        <v>45907.97274305556</v>
      </c>
      <c r="G1405" s="90">
        <v>45561.60731481481</v>
      </c>
      <c r="H1405" s="1" t="s">
        <v>16476</v>
      </c>
    </row>
    <row r="1406">
      <c r="A1406" s="93">
        <v>641.0</v>
      </c>
      <c r="B1406" s="92" t="s">
        <v>17250</v>
      </c>
      <c r="C1406" s="92" t="s">
        <v>10313</v>
      </c>
      <c r="D1406" s="92" t="s">
        <v>16044</v>
      </c>
      <c r="E1406" s="94">
        <v>45113.54353009259</v>
      </c>
      <c r="F1406" s="94">
        <v>45907.97217592593</v>
      </c>
      <c r="G1406" s="90">
        <v>45541.609131944446</v>
      </c>
      <c r="H1406" s="1" t="s">
        <v>16476</v>
      </c>
    </row>
    <row r="1407">
      <c r="A1407" s="93">
        <v>1551.0</v>
      </c>
      <c r="B1407" s="92" t="s">
        <v>17251</v>
      </c>
      <c r="C1407" s="92" t="s">
        <v>12641</v>
      </c>
      <c r="D1407" s="92" t="s">
        <v>16044</v>
      </c>
      <c r="E1407" s="94">
        <v>45113.55695601852</v>
      </c>
      <c r="F1407" s="94">
        <v>45907.97185185185</v>
      </c>
      <c r="G1407" s="90">
        <v>45515.61923611111</v>
      </c>
      <c r="H1407" s="1" t="s">
        <v>16476</v>
      </c>
    </row>
    <row r="1408">
      <c r="A1408" s="93">
        <v>943.0</v>
      </c>
      <c r="B1408" s="92" t="s">
        <v>17252</v>
      </c>
      <c r="C1408" s="92" t="s">
        <v>7719</v>
      </c>
      <c r="D1408" s="92" t="s">
        <v>16044</v>
      </c>
      <c r="E1408" s="94">
        <v>45113.54804398148</v>
      </c>
      <c r="F1408" s="94">
        <v>45907.97162037037</v>
      </c>
      <c r="G1408" s="90">
        <v>45512.554456018515</v>
      </c>
      <c r="H1408" s="1" t="s">
        <v>16476</v>
      </c>
    </row>
    <row r="1409">
      <c r="A1409" s="93">
        <v>701.0</v>
      </c>
      <c r="B1409" s="92" t="s">
        <v>18911</v>
      </c>
      <c r="C1409" s="92" t="s">
        <v>10469</v>
      </c>
      <c r="D1409" s="92" t="s">
        <v>16044</v>
      </c>
      <c r="E1409" s="94">
        <v>45113.544444444444</v>
      </c>
      <c r="F1409" s="94">
        <v>45907.97138888889</v>
      </c>
      <c r="G1409" s="90">
        <v>45512.54996527778</v>
      </c>
      <c r="H1409" s="1" t="s">
        <v>16476</v>
      </c>
    </row>
    <row r="1410">
      <c r="A1410" s="93">
        <v>695.0</v>
      </c>
      <c r="B1410" s="92" t="s">
        <v>17254</v>
      </c>
      <c r="C1410" s="92" t="s">
        <v>13351</v>
      </c>
      <c r="D1410" s="92" t="s">
        <v>16044</v>
      </c>
      <c r="E1410" s="94">
        <v>45113.54435185185</v>
      </c>
      <c r="F1410" s="94">
        <v>45907.97109953704</v>
      </c>
      <c r="G1410" s="90">
        <v>45512.548634259256</v>
      </c>
      <c r="H1410" s="1" t="s">
        <v>16476</v>
      </c>
    </row>
    <row r="1411">
      <c r="A1411" s="93">
        <v>1328.0</v>
      </c>
      <c r="B1411" s="92" t="s">
        <v>17255</v>
      </c>
      <c r="C1411" s="92" t="s">
        <v>10388</v>
      </c>
      <c r="D1411" s="92" t="s">
        <v>16044</v>
      </c>
      <c r="E1411" s="94">
        <v>45113.55370370371</v>
      </c>
      <c r="F1411" s="94">
        <v>45907.97042824074</v>
      </c>
      <c r="G1411" s="90">
        <v>45512.543703703705</v>
      </c>
      <c r="H1411" s="1" t="s">
        <v>16476</v>
      </c>
    </row>
    <row r="1412">
      <c r="A1412" s="93">
        <v>1514.0</v>
      </c>
      <c r="B1412" s="92" t="s">
        <v>17256</v>
      </c>
      <c r="C1412" s="92" t="s">
        <v>8931</v>
      </c>
      <c r="D1412" s="92" t="s">
        <v>16044</v>
      </c>
      <c r="E1412" s="94">
        <v>45113.55641203704</v>
      </c>
      <c r="F1412" s="94">
        <v>45907.961435185185</v>
      </c>
      <c r="G1412" s="90">
        <v>45512.53013888889</v>
      </c>
      <c r="H1412" s="1" t="s">
        <v>16476</v>
      </c>
    </row>
    <row r="1413">
      <c r="A1413" s="93">
        <v>1587.0</v>
      </c>
      <c r="B1413" s="92" t="s">
        <v>18912</v>
      </c>
      <c r="C1413" s="92" t="s">
        <v>13718</v>
      </c>
      <c r="D1413" s="92" t="s">
        <v>16044</v>
      </c>
      <c r="E1413" s="94">
        <v>45113.557488425926</v>
      </c>
      <c r="F1413" s="94">
        <v>45907.96105324074</v>
      </c>
      <c r="G1413" s="90">
        <v>45506.68568287037</v>
      </c>
      <c r="H1413" s="1" t="s">
        <v>16476</v>
      </c>
    </row>
    <row r="1414">
      <c r="A1414" s="93">
        <v>1336.0</v>
      </c>
      <c r="B1414" s="92" t="s">
        <v>17258</v>
      </c>
      <c r="C1414" s="92" t="s">
        <v>9822</v>
      </c>
      <c r="D1414" s="92" t="s">
        <v>16044</v>
      </c>
      <c r="E1414" s="94">
        <v>45113.553819444445</v>
      </c>
      <c r="F1414" s="94">
        <v>45907.96053240741</v>
      </c>
      <c r="G1414" s="90">
        <v>45506.68472222222</v>
      </c>
      <c r="H1414" s="1" t="s">
        <v>16476</v>
      </c>
    </row>
    <row r="1415">
      <c r="A1415" s="93">
        <v>590.0</v>
      </c>
      <c r="B1415" s="92" t="s">
        <v>17259</v>
      </c>
      <c r="C1415" s="92" t="s">
        <v>12451</v>
      </c>
      <c r="D1415" s="92" t="s">
        <v>16044</v>
      </c>
      <c r="E1415" s="94">
        <v>45113.54277777778</v>
      </c>
      <c r="F1415" s="94">
        <v>45907.960277777776</v>
      </c>
      <c r="G1415" s="90">
        <v>45506.66059027778</v>
      </c>
      <c r="H1415" s="1" t="s">
        <v>16476</v>
      </c>
    </row>
    <row r="1416">
      <c r="A1416" s="93">
        <v>1631.0</v>
      </c>
      <c r="B1416" s="92" t="s">
        <v>17260</v>
      </c>
      <c r="C1416" s="92" t="s">
        <v>7888</v>
      </c>
      <c r="D1416" s="92" t="s">
        <v>16044</v>
      </c>
      <c r="E1416" s="94">
        <v>45113.55813657407</v>
      </c>
      <c r="F1416" s="94">
        <v>45907.9597337963</v>
      </c>
      <c r="G1416" s="90">
        <v>45506.64738425926</v>
      </c>
      <c r="H1416" s="1" t="s">
        <v>16476</v>
      </c>
    </row>
    <row r="1417">
      <c r="A1417" s="93">
        <v>575.0</v>
      </c>
      <c r="B1417" s="92" t="s">
        <v>17261</v>
      </c>
      <c r="C1417" s="92" t="s">
        <v>8969</v>
      </c>
      <c r="D1417" s="92" t="s">
        <v>16044</v>
      </c>
      <c r="E1417" s="94">
        <v>45113.54255787037</v>
      </c>
      <c r="F1417" s="94">
        <v>45907.95945601852</v>
      </c>
      <c r="G1417" s="90">
        <v>45506.6427662037</v>
      </c>
      <c r="H1417" s="1" t="s">
        <v>16476</v>
      </c>
    </row>
    <row r="1418">
      <c r="A1418" s="93">
        <v>859.0</v>
      </c>
      <c r="B1418" s="92" t="s">
        <v>17262</v>
      </c>
      <c r="C1418" s="92" t="s">
        <v>7091</v>
      </c>
      <c r="D1418" s="92" t="s">
        <v>16044</v>
      </c>
      <c r="E1418" s="94">
        <v>45113.54681712963</v>
      </c>
      <c r="F1418" s="94">
        <v>45907.95891203704</v>
      </c>
      <c r="G1418" s="90">
        <v>45506.64127314815</v>
      </c>
      <c r="H1418" s="1" t="s">
        <v>16476</v>
      </c>
    </row>
    <row r="1419">
      <c r="A1419" s="93">
        <v>1513.0</v>
      </c>
      <c r="B1419" s="92" t="s">
        <v>17263</v>
      </c>
      <c r="C1419" s="92" t="s">
        <v>8666</v>
      </c>
      <c r="D1419" s="92" t="s">
        <v>16044</v>
      </c>
      <c r="E1419" s="94">
        <v>45113.55640046296</v>
      </c>
      <c r="F1419" s="94">
        <v>45907.95858796296</v>
      </c>
      <c r="G1419" s="90">
        <v>45506.632627314815</v>
      </c>
      <c r="H1419" s="1" t="s">
        <v>16476</v>
      </c>
    </row>
    <row r="1420">
      <c r="A1420" s="93">
        <v>685.0</v>
      </c>
      <c r="B1420" s="92" t="s">
        <v>17264</v>
      </c>
      <c r="C1420" s="92" t="s">
        <v>13520</v>
      </c>
      <c r="D1420" s="92" t="s">
        <v>16044</v>
      </c>
      <c r="E1420" s="94">
        <v>45113.54420138889</v>
      </c>
      <c r="F1420" s="94">
        <v>45907.95800925926</v>
      </c>
      <c r="G1420" s="90">
        <v>45492.485439814816</v>
      </c>
      <c r="H1420" s="1" t="s">
        <v>16476</v>
      </c>
    </row>
    <row r="1421">
      <c r="A1421" s="93">
        <v>1318.0</v>
      </c>
      <c r="B1421" s="92" t="s">
        <v>17265</v>
      </c>
      <c r="C1421" s="92" t="s">
        <v>8945</v>
      </c>
      <c r="D1421" s="92" t="s">
        <v>16044</v>
      </c>
      <c r="E1421" s="94">
        <v>45113.55355324074</v>
      </c>
      <c r="F1421" s="94">
        <v>45907.95748842593</v>
      </c>
      <c r="G1421" s="90">
        <v>45488.62880787037</v>
      </c>
      <c r="H1421" s="1" t="s">
        <v>16476</v>
      </c>
    </row>
    <row r="1422">
      <c r="A1422" s="93">
        <v>1478.0</v>
      </c>
      <c r="B1422" s="92" t="s">
        <v>17266</v>
      </c>
      <c r="C1422" s="92" t="s">
        <v>8697</v>
      </c>
      <c r="D1422" s="92" t="s">
        <v>16044</v>
      </c>
      <c r="E1422" s="94">
        <v>45113.5558912037</v>
      </c>
      <c r="F1422" s="94">
        <v>45907.95717592593</v>
      </c>
      <c r="G1422" s="90">
        <v>45484.66517361111</v>
      </c>
      <c r="H1422" s="1" t="s">
        <v>16476</v>
      </c>
    </row>
    <row r="1423">
      <c r="A1423" s="93">
        <v>821.0</v>
      </c>
      <c r="B1423" s="92" t="s">
        <v>17267</v>
      </c>
      <c r="C1423" s="92" t="s">
        <v>7469</v>
      </c>
      <c r="D1423" s="92" t="s">
        <v>16044</v>
      </c>
      <c r="E1423" s="94">
        <v>45113.546261574076</v>
      </c>
      <c r="F1423" s="94">
        <v>45907.95649305556</v>
      </c>
      <c r="G1423" s="90">
        <v>45484.66443287037</v>
      </c>
      <c r="H1423" s="1" t="s">
        <v>16476</v>
      </c>
    </row>
    <row r="1424">
      <c r="A1424" s="93">
        <v>1327.0</v>
      </c>
      <c r="B1424" s="92" t="s">
        <v>17268</v>
      </c>
      <c r="C1424" s="92" t="s">
        <v>10128</v>
      </c>
      <c r="D1424" s="92" t="s">
        <v>16044</v>
      </c>
      <c r="E1424" s="94">
        <v>45113.55368055555</v>
      </c>
      <c r="F1424" s="94">
        <v>45907.956087962964</v>
      </c>
      <c r="G1424" s="90">
        <v>45484.664131944446</v>
      </c>
      <c r="H1424" s="1" t="s">
        <v>16476</v>
      </c>
    </row>
    <row r="1425">
      <c r="A1425" s="93">
        <v>1296.0</v>
      </c>
      <c r="B1425" s="92" t="s">
        <v>17269</v>
      </c>
      <c r="C1425" s="92" t="s">
        <v>14251</v>
      </c>
      <c r="D1425" s="92" t="s">
        <v>16044</v>
      </c>
      <c r="E1425" s="94">
        <v>45113.55322916667</v>
      </c>
      <c r="F1425" s="94">
        <v>45907.95578703703</v>
      </c>
      <c r="G1425" s="90">
        <v>45484.663449074076</v>
      </c>
      <c r="H1425" s="1" t="s">
        <v>16476</v>
      </c>
    </row>
    <row r="1426">
      <c r="A1426" s="93">
        <v>908.0</v>
      </c>
      <c r="B1426" s="92" t="s">
        <v>17270</v>
      </c>
      <c r="C1426" s="92" t="s">
        <v>9584</v>
      </c>
      <c r="D1426" s="92" t="s">
        <v>16044</v>
      </c>
      <c r="E1426" s="94">
        <v>45113.547534722224</v>
      </c>
      <c r="F1426" s="94">
        <v>45907.9546875</v>
      </c>
      <c r="G1426" s="90">
        <v>45484.663310185184</v>
      </c>
      <c r="H1426" s="1" t="s">
        <v>16476</v>
      </c>
    </row>
    <row r="1427">
      <c r="A1427" s="93">
        <v>1325.0</v>
      </c>
      <c r="B1427" s="92" t="s">
        <v>17271</v>
      </c>
      <c r="C1427" s="92" t="s">
        <v>14302</v>
      </c>
      <c r="D1427" s="92" t="s">
        <v>16044</v>
      </c>
      <c r="E1427" s="94">
        <v>45113.55365740741</v>
      </c>
      <c r="F1427" s="94">
        <v>45907.95410879629</v>
      </c>
      <c r="G1427" s="90">
        <v>45484.66003472222</v>
      </c>
      <c r="H1427" s="1" t="s">
        <v>16476</v>
      </c>
    </row>
    <row r="1428">
      <c r="A1428" s="93">
        <v>1290.0</v>
      </c>
      <c r="B1428" s="92" t="s">
        <v>17272</v>
      </c>
      <c r="C1428" s="92" t="s">
        <v>8861</v>
      </c>
      <c r="D1428" s="92" t="s">
        <v>16044</v>
      </c>
      <c r="E1428" s="94">
        <v>45113.553148148145</v>
      </c>
      <c r="F1428" s="94">
        <v>45907.95377314815</v>
      </c>
      <c r="G1428" s="90">
        <v>45484.65865740741</v>
      </c>
      <c r="H1428" s="1" t="s">
        <v>16476</v>
      </c>
    </row>
    <row r="1429">
      <c r="A1429" s="93">
        <v>1439.0</v>
      </c>
      <c r="B1429" s="92" t="s">
        <v>17273</v>
      </c>
      <c r="C1429" s="92" t="s">
        <v>14898</v>
      </c>
      <c r="D1429" s="92" t="s">
        <v>16044</v>
      </c>
      <c r="E1429" s="94">
        <v>45113.55532407408</v>
      </c>
      <c r="F1429" s="94">
        <v>45907.95302083333</v>
      </c>
      <c r="G1429" s="90">
        <v>45484.65431712963</v>
      </c>
      <c r="H1429" s="1" t="s">
        <v>16476</v>
      </c>
    </row>
    <row r="1430">
      <c r="A1430" s="93">
        <v>1276.0</v>
      </c>
      <c r="B1430" s="92" t="s">
        <v>17274</v>
      </c>
      <c r="C1430" s="92" t="s">
        <v>11495</v>
      </c>
      <c r="D1430" s="92" t="s">
        <v>16044</v>
      </c>
      <c r="E1430" s="94">
        <v>45113.552939814814</v>
      </c>
      <c r="F1430" s="94">
        <v>45907.95275462963</v>
      </c>
      <c r="G1430" s="90">
        <v>45484.64030092592</v>
      </c>
      <c r="H1430" s="1" t="s">
        <v>16476</v>
      </c>
    </row>
    <row r="1431">
      <c r="A1431" s="93">
        <v>853.0</v>
      </c>
      <c r="B1431" s="92" t="s">
        <v>17275</v>
      </c>
      <c r="C1431" s="92" t="s">
        <v>14216</v>
      </c>
      <c r="D1431" s="92" t="s">
        <v>16044</v>
      </c>
      <c r="E1431" s="94">
        <v>45113.54672453704</v>
      </c>
      <c r="F1431" s="94">
        <v>45907.95248842592</v>
      </c>
      <c r="G1431" s="90">
        <v>45484.631689814814</v>
      </c>
      <c r="H1431" s="1" t="s">
        <v>16476</v>
      </c>
    </row>
    <row r="1432">
      <c r="A1432" s="93">
        <v>909.0</v>
      </c>
      <c r="B1432" s="92" t="s">
        <v>17276</v>
      </c>
      <c r="C1432" s="92" t="s">
        <v>14280</v>
      </c>
      <c r="D1432" s="92" t="s">
        <v>16044</v>
      </c>
      <c r="E1432" s="94">
        <v>45113.54754629629</v>
      </c>
      <c r="F1432" s="94">
        <v>45907.952210648145</v>
      </c>
      <c r="G1432" s="90">
        <v>45484.50013888889</v>
      </c>
      <c r="H1432" s="1" t="s">
        <v>16476</v>
      </c>
    </row>
    <row r="1433">
      <c r="A1433" s="93">
        <v>1171.0</v>
      </c>
      <c r="B1433" s="92" t="s">
        <v>17277</v>
      </c>
      <c r="C1433" s="92" t="s">
        <v>13388</v>
      </c>
      <c r="D1433" s="92" t="s">
        <v>16044</v>
      </c>
      <c r="E1433" s="94">
        <v>45113.551412037035</v>
      </c>
      <c r="F1433" s="94">
        <v>45907.951631944445</v>
      </c>
      <c r="G1433" s="90">
        <v>45481.57875</v>
      </c>
      <c r="H1433" s="1" t="s">
        <v>16476</v>
      </c>
    </row>
    <row r="1434">
      <c r="A1434" s="93">
        <v>1170.0</v>
      </c>
      <c r="B1434" s="92" t="s">
        <v>17277</v>
      </c>
      <c r="C1434" s="92" t="s">
        <v>13384</v>
      </c>
      <c r="D1434" s="92" t="s">
        <v>16044</v>
      </c>
      <c r="E1434" s="94">
        <v>45113.551400462966</v>
      </c>
      <c r="F1434" s="94">
        <v>45907.95141203704</v>
      </c>
      <c r="G1434" s="90">
        <v>45481.5077662037</v>
      </c>
      <c r="H1434" s="1" t="s">
        <v>16476</v>
      </c>
    </row>
    <row r="1435">
      <c r="A1435" s="93">
        <v>683.0</v>
      </c>
      <c r="B1435" s="92" t="s">
        <v>17279</v>
      </c>
      <c r="C1435" s="92" t="s">
        <v>7985</v>
      </c>
      <c r="D1435" s="92" t="s">
        <v>16044</v>
      </c>
      <c r="E1435" s="94">
        <v>45113.54417824074</v>
      </c>
      <c r="F1435" s="94">
        <v>45907.95106481481</v>
      </c>
      <c r="G1435" s="90">
        <v>45481.507361111115</v>
      </c>
      <c r="H1435" s="1" t="s">
        <v>16476</v>
      </c>
    </row>
    <row r="1436">
      <c r="A1436" s="93">
        <v>1543.0</v>
      </c>
      <c r="B1436" s="92" t="s">
        <v>17280</v>
      </c>
      <c r="C1436" s="92" t="s">
        <v>5915</v>
      </c>
      <c r="D1436" s="92" t="s">
        <v>16044</v>
      </c>
      <c r="E1436" s="94">
        <v>45113.55684027778</v>
      </c>
      <c r="F1436" s="94">
        <v>45907.95076388889</v>
      </c>
      <c r="G1436" s="90">
        <v>45481.504641203705</v>
      </c>
      <c r="H1436" s="1" t="s">
        <v>16476</v>
      </c>
    </row>
    <row r="1437">
      <c r="A1437" s="93">
        <v>1184.0</v>
      </c>
      <c r="B1437" s="92" t="s">
        <v>17281</v>
      </c>
      <c r="C1437" s="92" t="s">
        <v>10385</v>
      </c>
      <c r="D1437" s="92" t="s">
        <v>16044</v>
      </c>
      <c r="E1437" s="94">
        <v>45113.55159722222</v>
      </c>
      <c r="F1437" s="94">
        <v>45907.95025462963</v>
      </c>
      <c r="G1437" s="90">
        <v>45479.560636574075</v>
      </c>
      <c r="H1437" s="1" t="s">
        <v>16476</v>
      </c>
    </row>
    <row r="1438">
      <c r="A1438" s="93">
        <v>1127.0</v>
      </c>
      <c r="B1438" s="92" t="s">
        <v>17282</v>
      </c>
      <c r="C1438" s="92" t="s">
        <v>12188</v>
      </c>
      <c r="D1438" s="92" t="s">
        <v>16044</v>
      </c>
      <c r="E1438" s="94">
        <v>45113.55076388889</v>
      </c>
      <c r="F1438" s="94">
        <v>45907.94997685185</v>
      </c>
      <c r="G1438" s="90">
        <v>45470.87128472222</v>
      </c>
      <c r="H1438" s="1" t="s">
        <v>16476</v>
      </c>
    </row>
    <row r="1439">
      <c r="A1439" s="93">
        <v>1081.0</v>
      </c>
      <c r="B1439" s="92" t="s">
        <v>18913</v>
      </c>
      <c r="C1439" s="92" t="s">
        <v>10374</v>
      </c>
      <c r="D1439" s="92" t="s">
        <v>16044</v>
      </c>
      <c r="E1439" s="94">
        <v>45113.55006944444</v>
      </c>
      <c r="F1439" s="94">
        <v>45907.94917824074</v>
      </c>
      <c r="G1439" s="90">
        <v>45468.557708333334</v>
      </c>
      <c r="H1439" s="1" t="s">
        <v>16476</v>
      </c>
    </row>
    <row r="1440">
      <c r="A1440" s="93">
        <v>1656.0</v>
      </c>
      <c r="B1440" s="92" t="s">
        <v>17284</v>
      </c>
      <c r="C1440" s="92" t="s">
        <v>10262</v>
      </c>
      <c r="D1440" s="92" t="s">
        <v>16044</v>
      </c>
      <c r="E1440" s="94">
        <v>45113.55849537037</v>
      </c>
      <c r="F1440" s="94">
        <v>45907.947916666664</v>
      </c>
      <c r="G1440" s="90">
        <v>45465.68785879629</v>
      </c>
      <c r="H1440" s="1" t="s">
        <v>16476</v>
      </c>
    </row>
    <row r="1441">
      <c r="A1441" s="93">
        <v>1569.0</v>
      </c>
      <c r="B1441" s="92" t="s">
        <v>17285</v>
      </c>
      <c r="C1441" s="92" t="s">
        <v>12143</v>
      </c>
      <c r="D1441" s="92" t="s">
        <v>16044</v>
      </c>
      <c r="E1441" s="94">
        <v>45113.557222222225</v>
      </c>
      <c r="F1441" s="94">
        <v>45907.947546296295</v>
      </c>
      <c r="G1441" s="90">
        <v>45465.683275462965</v>
      </c>
      <c r="H1441" s="1" t="s">
        <v>16476</v>
      </c>
    </row>
    <row r="1442">
      <c r="A1442" s="93">
        <v>702.0</v>
      </c>
      <c r="B1442" s="92" t="s">
        <v>17286</v>
      </c>
      <c r="C1442" s="92" t="s">
        <v>13326</v>
      </c>
      <c r="D1442" s="92" t="s">
        <v>16044</v>
      </c>
      <c r="E1442" s="94">
        <v>45113.54445601852</v>
      </c>
      <c r="F1442" s="94">
        <v>45907.94726851852</v>
      </c>
      <c r="G1442" s="90">
        <v>45465.68319444444</v>
      </c>
      <c r="H1442" s="1" t="s">
        <v>16476</v>
      </c>
    </row>
    <row r="1443">
      <c r="A1443" s="93">
        <v>1625.0</v>
      </c>
      <c r="B1443" s="92" t="s">
        <v>17287</v>
      </c>
      <c r="C1443" s="92" t="s">
        <v>13783</v>
      </c>
      <c r="D1443" s="92" t="s">
        <v>16044</v>
      </c>
      <c r="E1443" s="94">
        <v>45113.55805555556</v>
      </c>
      <c r="F1443" s="94">
        <v>45907.94701388889</v>
      </c>
      <c r="G1443" s="90">
        <v>45465.68292824074</v>
      </c>
      <c r="H1443" s="1" t="s">
        <v>16476</v>
      </c>
    </row>
    <row r="1444">
      <c r="A1444" s="93">
        <v>794.0</v>
      </c>
      <c r="B1444" s="92" t="s">
        <v>17288</v>
      </c>
      <c r="C1444" s="92" t="s">
        <v>13489</v>
      </c>
      <c r="D1444" s="92" t="s">
        <v>16044</v>
      </c>
      <c r="E1444" s="94">
        <v>45113.54584490741</v>
      </c>
      <c r="F1444" s="94">
        <v>45907.94679398148</v>
      </c>
      <c r="G1444" s="90">
        <v>45464.823125</v>
      </c>
      <c r="H1444" s="1" t="s">
        <v>16476</v>
      </c>
    </row>
    <row r="1445">
      <c r="A1445" s="93">
        <v>635.0</v>
      </c>
      <c r="B1445" s="92" t="s">
        <v>17289</v>
      </c>
      <c r="C1445" s="92" t="s">
        <v>13871</v>
      </c>
      <c r="D1445" s="92" t="s">
        <v>16044</v>
      </c>
      <c r="E1445" s="94">
        <v>45113.5434375</v>
      </c>
      <c r="F1445" s="94">
        <v>45907.946539351855</v>
      </c>
      <c r="G1445" s="90">
        <v>45464.70997685185</v>
      </c>
      <c r="H1445" s="1" t="s">
        <v>16476</v>
      </c>
    </row>
    <row r="1446">
      <c r="A1446" s="93">
        <v>1360.0</v>
      </c>
      <c r="B1446" s="92" t="s">
        <v>17290</v>
      </c>
      <c r="C1446" s="92" t="s">
        <v>8847</v>
      </c>
      <c r="D1446" s="92" t="s">
        <v>16044</v>
      </c>
      <c r="E1446" s="94">
        <v>45113.55416666667</v>
      </c>
      <c r="F1446" s="94">
        <v>45907.94626157408</v>
      </c>
      <c r="G1446" s="90">
        <v>45464.69513888889</v>
      </c>
      <c r="H1446" s="1" t="s">
        <v>16476</v>
      </c>
    </row>
    <row r="1447">
      <c r="A1447" s="93">
        <v>811.0</v>
      </c>
      <c r="B1447" s="92" t="s">
        <v>17291</v>
      </c>
      <c r="C1447" s="92" t="s">
        <v>13749</v>
      </c>
      <c r="D1447" s="92" t="s">
        <v>16044</v>
      </c>
      <c r="E1447" s="94">
        <v>45113.54608796296</v>
      </c>
      <c r="F1447" s="94">
        <v>45907.94584490741</v>
      </c>
      <c r="G1447" s="90">
        <v>45464.59480324074</v>
      </c>
      <c r="H1447" s="1" t="s">
        <v>16476</v>
      </c>
    </row>
    <row r="1448">
      <c r="A1448" s="93">
        <v>582.0</v>
      </c>
      <c r="B1448" s="92" t="s">
        <v>17292</v>
      </c>
      <c r="C1448" s="92" t="s">
        <v>13558</v>
      </c>
      <c r="D1448" s="92" t="s">
        <v>16044</v>
      </c>
      <c r="E1448" s="94">
        <v>45113.542662037034</v>
      </c>
      <c r="F1448" s="94">
        <v>45907.945439814815</v>
      </c>
      <c r="G1448" s="90">
        <v>45463.76534722222</v>
      </c>
      <c r="H1448" s="1" t="s">
        <v>16476</v>
      </c>
    </row>
    <row r="1449">
      <c r="A1449" s="93">
        <v>1162.0</v>
      </c>
      <c r="B1449" s="92" t="s">
        <v>17293</v>
      </c>
      <c r="C1449" s="92" t="s">
        <v>14175</v>
      </c>
      <c r="D1449" s="92" t="s">
        <v>16044</v>
      </c>
      <c r="E1449" s="94">
        <v>45113.55128472222</v>
      </c>
      <c r="F1449" s="94">
        <v>45907.94511574074</v>
      </c>
      <c r="G1449" s="90">
        <v>45461.66045138889</v>
      </c>
      <c r="H1449" s="1" t="s">
        <v>16476</v>
      </c>
    </row>
    <row r="1450">
      <c r="A1450" s="93">
        <v>1433.0</v>
      </c>
      <c r="B1450" s="92" t="s">
        <v>17294</v>
      </c>
      <c r="C1450" s="92" t="s">
        <v>11295</v>
      </c>
      <c r="D1450" s="92" t="s">
        <v>16044</v>
      </c>
      <c r="E1450" s="94">
        <v>45113.555231481485</v>
      </c>
      <c r="F1450" s="94">
        <v>45907.944768518515</v>
      </c>
      <c r="G1450" s="90">
        <v>45454.42690972222</v>
      </c>
      <c r="H1450" s="1" t="s">
        <v>16476</v>
      </c>
    </row>
    <row r="1451">
      <c r="A1451" s="93">
        <v>725.0</v>
      </c>
      <c r="B1451" s="92" t="s">
        <v>18914</v>
      </c>
      <c r="C1451" s="92" t="s">
        <v>13647</v>
      </c>
      <c r="D1451" s="92" t="s">
        <v>16044</v>
      </c>
      <c r="E1451" s="94">
        <v>45113.54482638889</v>
      </c>
      <c r="F1451" s="94">
        <v>45907.94447916667</v>
      </c>
      <c r="G1451" s="90">
        <v>45446.622777777775</v>
      </c>
      <c r="H1451" s="1" t="s">
        <v>16476</v>
      </c>
    </row>
    <row r="1452">
      <c r="A1452" s="93">
        <v>1063.0</v>
      </c>
      <c r="B1452" s="92" t="s">
        <v>17296</v>
      </c>
      <c r="C1452" s="92" t="s">
        <v>8440</v>
      </c>
      <c r="D1452" s="92" t="s">
        <v>16044</v>
      </c>
      <c r="E1452" s="94">
        <v>45113.549791666665</v>
      </c>
      <c r="F1452" s="94">
        <v>45907.94421296296</v>
      </c>
      <c r="G1452" s="90">
        <v>45441.513449074075</v>
      </c>
      <c r="H1452" s="1" t="s">
        <v>16476</v>
      </c>
    </row>
    <row r="1453">
      <c r="A1453" s="93">
        <v>1361.0</v>
      </c>
      <c r="B1453" s="92" t="s">
        <v>17297</v>
      </c>
      <c r="C1453" s="92" t="s">
        <v>14009</v>
      </c>
      <c r="D1453" s="92" t="s">
        <v>16044</v>
      </c>
      <c r="E1453" s="94">
        <v>45113.55417824074</v>
      </c>
      <c r="F1453" s="94">
        <v>45907.943402777775</v>
      </c>
      <c r="G1453" s="90">
        <v>45440.419490740744</v>
      </c>
      <c r="H1453" s="1" t="s">
        <v>16476</v>
      </c>
    </row>
    <row r="1454">
      <c r="A1454" s="93">
        <v>1072.0</v>
      </c>
      <c r="B1454" s="92" t="s">
        <v>17298</v>
      </c>
      <c r="C1454" s="92" t="s">
        <v>8199</v>
      </c>
      <c r="D1454" s="92" t="s">
        <v>16044</v>
      </c>
      <c r="E1454" s="94">
        <v>45113.549942129626</v>
      </c>
      <c r="F1454" s="94">
        <v>45907.941782407404</v>
      </c>
      <c r="G1454" s="90">
        <v>45433.41971064815</v>
      </c>
      <c r="H1454" s="1" t="s">
        <v>16476</v>
      </c>
    </row>
    <row r="1455">
      <c r="A1455" s="93">
        <v>692.0</v>
      </c>
      <c r="B1455" s="92" t="s">
        <v>17299</v>
      </c>
      <c r="C1455" s="92" t="s">
        <v>13475</v>
      </c>
      <c r="D1455" s="92" t="s">
        <v>16044</v>
      </c>
      <c r="E1455" s="94">
        <v>45113.54431712963</v>
      </c>
      <c r="F1455" s="94">
        <v>45907.94112268519</v>
      </c>
      <c r="G1455" s="90">
        <v>45427.39440972222</v>
      </c>
      <c r="H1455" s="1" t="s">
        <v>16476</v>
      </c>
    </row>
    <row r="1456">
      <c r="A1456" s="93">
        <v>1467.0</v>
      </c>
      <c r="B1456" s="92" t="s">
        <v>17300</v>
      </c>
      <c r="C1456" s="92" t="s">
        <v>8615</v>
      </c>
      <c r="D1456" s="92" t="s">
        <v>16044</v>
      </c>
      <c r="E1456" s="94">
        <v>45113.55572916667</v>
      </c>
      <c r="F1456" s="94">
        <v>45907.94090277778</v>
      </c>
      <c r="G1456" s="90">
        <v>45426.55432870371</v>
      </c>
      <c r="H1456" s="1" t="s">
        <v>16476</v>
      </c>
    </row>
    <row r="1457">
      <c r="A1457" s="93">
        <v>1169.0</v>
      </c>
      <c r="B1457" s="92" t="s">
        <v>17301</v>
      </c>
      <c r="C1457" s="92" t="s">
        <v>15787</v>
      </c>
      <c r="D1457" s="92" t="s">
        <v>16044</v>
      </c>
      <c r="E1457" s="94">
        <v>45113.55137731481</v>
      </c>
      <c r="F1457" s="94">
        <v>45907.9262962963</v>
      </c>
      <c r="G1457" s="90">
        <v>45426.55163194444</v>
      </c>
      <c r="H1457" s="1" t="s">
        <v>16476</v>
      </c>
    </row>
    <row r="1458">
      <c r="A1458" s="93">
        <v>929.0</v>
      </c>
      <c r="B1458" s="92" t="s">
        <v>17302</v>
      </c>
      <c r="C1458" s="92" t="s">
        <v>13988</v>
      </c>
      <c r="D1458" s="92" t="s">
        <v>16044</v>
      </c>
      <c r="E1458" s="94">
        <v>45113.54783564815</v>
      </c>
      <c r="F1458" s="94">
        <v>45907.9012037037</v>
      </c>
      <c r="G1458" s="90">
        <v>45419.41994212963</v>
      </c>
      <c r="H1458" s="1" t="s">
        <v>16476</v>
      </c>
    </row>
    <row r="1459">
      <c r="A1459" s="93">
        <v>1259.0</v>
      </c>
      <c r="B1459" s="92" t="s">
        <v>17303</v>
      </c>
      <c r="C1459" s="92" t="s">
        <v>11334</v>
      </c>
      <c r="D1459" s="92" t="s">
        <v>16044</v>
      </c>
      <c r="E1459" s="94">
        <v>45113.55268518518</v>
      </c>
      <c r="F1459" s="94">
        <v>45907.73909722222</v>
      </c>
      <c r="G1459" s="90">
        <v>45415.423472222225</v>
      </c>
      <c r="H1459" s="1" t="s">
        <v>16476</v>
      </c>
    </row>
    <row r="1460">
      <c r="A1460" s="93">
        <v>861.0</v>
      </c>
      <c r="B1460" s="92" t="s">
        <v>17304</v>
      </c>
      <c r="C1460" s="92" t="s">
        <v>11357</v>
      </c>
      <c r="D1460" s="92" t="s">
        <v>16044</v>
      </c>
      <c r="E1460" s="94">
        <v>45113.546851851854</v>
      </c>
      <c r="F1460" s="94">
        <v>45907.73880787037</v>
      </c>
      <c r="G1460" s="90">
        <v>45415.42152777778</v>
      </c>
      <c r="H1460" s="1" t="s">
        <v>16476</v>
      </c>
    </row>
    <row r="1461">
      <c r="A1461" s="93">
        <v>1537.0</v>
      </c>
      <c r="B1461" s="92" t="s">
        <v>17305</v>
      </c>
      <c r="C1461" s="92" t="s">
        <v>10824</v>
      </c>
      <c r="D1461" s="92" t="s">
        <v>16044</v>
      </c>
      <c r="E1461" s="94">
        <v>45113.55674768519</v>
      </c>
      <c r="F1461" s="94">
        <v>45907.73855324074</v>
      </c>
      <c r="G1461" s="90">
        <v>45415.418761574074</v>
      </c>
      <c r="H1461" s="1" t="s">
        <v>16476</v>
      </c>
    </row>
    <row r="1462">
      <c r="A1462" s="93">
        <v>845.0</v>
      </c>
      <c r="B1462" s="92" t="s">
        <v>17306</v>
      </c>
      <c r="C1462" s="92" t="s">
        <v>13826</v>
      </c>
      <c r="D1462" s="92" t="s">
        <v>16044</v>
      </c>
      <c r="E1462" s="94">
        <v>45113.5466087963</v>
      </c>
      <c r="F1462" s="94">
        <v>45907.738287037035</v>
      </c>
      <c r="G1462" s="90">
        <v>45411.46020833333</v>
      </c>
      <c r="H1462" s="1" t="s">
        <v>16476</v>
      </c>
    </row>
    <row r="1463">
      <c r="A1463" s="93">
        <v>1432.0</v>
      </c>
      <c r="B1463" s="92" t="s">
        <v>17307</v>
      </c>
      <c r="C1463" s="92" t="s">
        <v>14719</v>
      </c>
      <c r="D1463" s="92" t="s">
        <v>16044</v>
      </c>
      <c r="E1463" s="94">
        <v>45113.55521990741</v>
      </c>
      <c r="F1463" s="94">
        <v>45907.73804398148</v>
      </c>
      <c r="G1463" s="90">
        <v>45407.81815972222</v>
      </c>
      <c r="H1463" s="1" t="s">
        <v>16476</v>
      </c>
    </row>
    <row r="1464">
      <c r="A1464" s="93">
        <v>825.0</v>
      </c>
      <c r="B1464" s="92" t="s">
        <v>17308</v>
      </c>
      <c r="C1464" s="92" t="s">
        <v>7316</v>
      </c>
      <c r="D1464" s="92" t="s">
        <v>16044</v>
      </c>
      <c r="E1464" s="94">
        <v>45113.546319444446</v>
      </c>
      <c r="F1464" s="94">
        <v>45907.73777777778</v>
      </c>
      <c r="G1464" s="90">
        <v>45407.58675925926</v>
      </c>
      <c r="H1464" s="1" t="s">
        <v>16476</v>
      </c>
    </row>
    <row r="1465">
      <c r="A1465" s="93">
        <v>1060.0</v>
      </c>
      <c r="B1465" s="92" t="s">
        <v>17309</v>
      </c>
      <c r="C1465" s="92" t="s">
        <v>13957</v>
      </c>
      <c r="D1465" s="92" t="s">
        <v>16044</v>
      </c>
      <c r="E1465" s="94">
        <v>45113.54975694444</v>
      </c>
      <c r="F1465" s="94">
        <v>45907.73700231482</v>
      </c>
      <c r="G1465" s="90">
        <v>45407.58579861111</v>
      </c>
      <c r="H1465" s="1" t="s">
        <v>16476</v>
      </c>
    </row>
    <row r="1466">
      <c r="A1466" s="93">
        <v>1480.0</v>
      </c>
      <c r="B1466" s="92" t="s">
        <v>17310</v>
      </c>
      <c r="C1466" s="92" t="s">
        <v>11276</v>
      </c>
      <c r="D1466" s="92" t="s">
        <v>16044</v>
      </c>
      <c r="E1466" s="94">
        <v>45113.555914351855</v>
      </c>
      <c r="F1466" s="94">
        <v>45907.72599537037</v>
      </c>
      <c r="G1466" s="90">
        <v>45407.42864583333</v>
      </c>
      <c r="H1466" s="1" t="s">
        <v>16476</v>
      </c>
    </row>
    <row r="1467">
      <c r="A1467" s="93">
        <v>605.0</v>
      </c>
      <c r="B1467" s="92" t="s">
        <v>17311</v>
      </c>
      <c r="C1467" s="92" t="s">
        <v>13641</v>
      </c>
      <c r="D1467" s="92" t="s">
        <v>16044</v>
      </c>
      <c r="E1467" s="94">
        <v>45113.54299768519</v>
      </c>
      <c r="F1467" s="94">
        <v>45907.72571759259</v>
      </c>
      <c r="G1467" s="90">
        <v>45406.449282407404</v>
      </c>
      <c r="H1467" s="1" t="s">
        <v>16476</v>
      </c>
    </row>
    <row r="1468">
      <c r="A1468" s="93">
        <v>868.0</v>
      </c>
      <c r="B1468" s="92" t="s">
        <v>17312</v>
      </c>
      <c r="C1468" s="92" t="s">
        <v>10416</v>
      </c>
      <c r="D1468" s="92" t="s">
        <v>16044</v>
      </c>
      <c r="E1468" s="94">
        <v>45113.546944444446</v>
      </c>
      <c r="F1468" s="94">
        <v>45907.72534722222</v>
      </c>
      <c r="G1468" s="90">
        <v>45404.45527777778</v>
      </c>
      <c r="H1468" s="1" t="s">
        <v>16476</v>
      </c>
    </row>
    <row r="1469">
      <c r="A1469" s="93">
        <v>926.0</v>
      </c>
      <c r="B1469" s="92" t="s">
        <v>17313</v>
      </c>
      <c r="C1469" s="92" t="s">
        <v>12079</v>
      </c>
      <c r="D1469" s="92" t="s">
        <v>16044</v>
      </c>
      <c r="E1469" s="94">
        <v>45113.547800925924</v>
      </c>
      <c r="F1469" s="94">
        <v>45907.72447916667</v>
      </c>
      <c r="G1469" s="90">
        <v>45399.44703703704</v>
      </c>
      <c r="H1469" s="1" t="s">
        <v>16476</v>
      </c>
    </row>
    <row r="1470">
      <c r="A1470" s="93">
        <v>1117.0</v>
      </c>
      <c r="B1470" s="92" t="s">
        <v>17314</v>
      </c>
      <c r="C1470" s="92" t="s">
        <v>13366</v>
      </c>
      <c r="D1470" s="92" t="s">
        <v>16044</v>
      </c>
      <c r="E1470" s="94">
        <v>45113.550625</v>
      </c>
      <c r="F1470" s="94">
        <v>45907.724178240744</v>
      </c>
      <c r="G1470" s="90">
        <v>45399.446747685186</v>
      </c>
      <c r="H1470" s="1" t="s">
        <v>16476</v>
      </c>
    </row>
    <row r="1471">
      <c r="A1471" s="93">
        <v>646.0</v>
      </c>
      <c r="B1471" s="92" t="s">
        <v>17315</v>
      </c>
      <c r="C1471" s="92" t="s">
        <v>11240</v>
      </c>
      <c r="D1471" s="92" t="s">
        <v>16044</v>
      </c>
      <c r="E1471" s="94">
        <v>45113.54362268518</v>
      </c>
      <c r="F1471" s="94">
        <v>45907.723807870374</v>
      </c>
      <c r="G1471" s="90">
        <v>45399.446701388886</v>
      </c>
      <c r="H1471" s="1" t="s">
        <v>16476</v>
      </c>
    </row>
    <row r="1472">
      <c r="A1472" s="93">
        <v>1140.0</v>
      </c>
      <c r="B1472" s="92" t="s">
        <v>17316</v>
      </c>
      <c r="C1472" s="92" t="s">
        <v>13528</v>
      </c>
      <c r="D1472" s="92" t="s">
        <v>16044</v>
      </c>
      <c r="E1472" s="94">
        <v>45113.55096064815</v>
      </c>
      <c r="F1472" s="94">
        <v>45907.72347222222</v>
      </c>
      <c r="G1472" s="90">
        <v>45399.446597222224</v>
      </c>
      <c r="H1472" s="1" t="s">
        <v>16476</v>
      </c>
    </row>
    <row r="1473">
      <c r="A1473" s="93">
        <v>655.0</v>
      </c>
      <c r="B1473" s="92" t="s">
        <v>17317</v>
      </c>
      <c r="C1473" s="92" t="s">
        <v>12516</v>
      </c>
      <c r="D1473" s="92" t="s">
        <v>16044</v>
      </c>
      <c r="E1473" s="94">
        <v>45113.543761574074</v>
      </c>
      <c r="F1473" s="94">
        <v>45907.72304398148</v>
      </c>
      <c r="G1473" s="90">
        <v>45399.44658564815</v>
      </c>
      <c r="H1473" s="1" t="s">
        <v>16476</v>
      </c>
    </row>
    <row r="1474">
      <c r="A1474" s="93">
        <v>1061.0</v>
      </c>
      <c r="B1474" s="92" t="s">
        <v>17318</v>
      </c>
      <c r="C1474" s="92" t="s">
        <v>9879</v>
      </c>
      <c r="D1474" s="92" t="s">
        <v>16044</v>
      </c>
      <c r="E1474" s="94">
        <v>45113.54976851852</v>
      </c>
      <c r="F1474" s="94">
        <v>45907.72200231482</v>
      </c>
      <c r="G1474" s="90">
        <v>45399.4465625</v>
      </c>
      <c r="H1474" s="1" t="s">
        <v>16476</v>
      </c>
    </row>
    <row r="1475">
      <c r="A1475" s="93">
        <v>1627.0</v>
      </c>
      <c r="B1475" s="92" t="s">
        <v>17319</v>
      </c>
      <c r="C1475" s="92" t="s">
        <v>8555</v>
      </c>
      <c r="D1475" s="92" t="s">
        <v>16044</v>
      </c>
      <c r="E1475" s="94">
        <v>45113.5580787037</v>
      </c>
      <c r="F1475" s="94">
        <v>45907.72145833333</v>
      </c>
      <c r="G1475" s="90">
        <v>45399.446550925924</v>
      </c>
      <c r="H1475" s="1" t="s">
        <v>16476</v>
      </c>
    </row>
    <row r="1476">
      <c r="A1476" s="93">
        <v>896.0</v>
      </c>
      <c r="B1476" s="92" t="s">
        <v>17320</v>
      </c>
      <c r="C1476" s="92" t="s">
        <v>11812</v>
      </c>
      <c r="D1476" s="92" t="s">
        <v>16044</v>
      </c>
      <c r="E1476" s="94">
        <v>45113.54736111111</v>
      </c>
      <c r="F1476" s="94">
        <v>45907.72115740741</v>
      </c>
      <c r="G1476" s="90">
        <v>45399.446539351855</v>
      </c>
      <c r="H1476" s="1" t="s">
        <v>16476</v>
      </c>
    </row>
    <row r="1477">
      <c r="A1477" s="93">
        <v>843.0</v>
      </c>
      <c r="B1477" s="92" t="s">
        <v>17321</v>
      </c>
      <c r="C1477" s="92" t="s">
        <v>13901</v>
      </c>
      <c r="D1477" s="92" t="s">
        <v>16044</v>
      </c>
      <c r="E1477" s="94">
        <v>45113.546585648146</v>
      </c>
      <c r="F1477" s="94">
        <v>45907.72087962963</v>
      </c>
      <c r="G1477" s="90">
        <v>45399.44645833333</v>
      </c>
      <c r="H1477" s="1" t="s">
        <v>16476</v>
      </c>
    </row>
    <row r="1478">
      <c r="A1478" s="93">
        <v>1687.0</v>
      </c>
      <c r="B1478" s="92" t="s">
        <v>17322</v>
      </c>
      <c r="C1478" s="92" t="s">
        <v>14003</v>
      </c>
      <c r="D1478" s="92" t="s">
        <v>16044</v>
      </c>
      <c r="E1478" s="94">
        <v>45113.55894675926</v>
      </c>
      <c r="F1478" s="94">
        <v>45907.720555555556</v>
      </c>
      <c r="G1478" s="90">
        <v>45399.44645833333</v>
      </c>
      <c r="H1478" s="1" t="s">
        <v>16476</v>
      </c>
    </row>
    <row r="1479">
      <c r="A1479" s="93">
        <v>1593.0</v>
      </c>
      <c r="B1479" s="92" t="s">
        <v>17323</v>
      </c>
      <c r="C1479" s="92" t="s">
        <v>13253</v>
      </c>
      <c r="D1479" s="92" t="s">
        <v>16044</v>
      </c>
      <c r="E1479" s="94">
        <v>45113.557592592595</v>
      </c>
      <c r="F1479" s="94">
        <v>45907.720289351855</v>
      </c>
      <c r="G1479" s="90">
        <v>45399.44640046296</v>
      </c>
      <c r="H1479" s="1" t="s">
        <v>16476</v>
      </c>
    </row>
    <row r="1480">
      <c r="A1480" s="93">
        <v>1210.0</v>
      </c>
      <c r="B1480" s="92" t="s">
        <v>17324</v>
      </c>
      <c r="C1480" s="92" t="s">
        <v>8415</v>
      </c>
      <c r="D1480" s="92" t="s">
        <v>16044</v>
      </c>
      <c r="E1480" s="94">
        <v>45113.55197916667</v>
      </c>
      <c r="F1480" s="94">
        <v>45907.719872685186</v>
      </c>
      <c r="G1480" s="90">
        <v>45399.446377314816</v>
      </c>
      <c r="H1480" s="1" t="s">
        <v>16476</v>
      </c>
    </row>
    <row r="1481">
      <c r="A1481" s="93">
        <v>671.0</v>
      </c>
      <c r="B1481" s="92" t="s">
        <v>17325</v>
      </c>
      <c r="C1481" s="92" t="s">
        <v>13498</v>
      </c>
      <c r="D1481" s="92" t="s">
        <v>16044</v>
      </c>
      <c r="E1481" s="94">
        <v>45113.54399305556</v>
      </c>
      <c r="F1481" s="94">
        <v>45907.71952546296</v>
      </c>
      <c r="G1481" s="90">
        <v>45399.44633101852</v>
      </c>
      <c r="H1481" s="1" t="s">
        <v>16476</v>
      </c>
    </row>
    <row r="1482">
      <c r="A1482" s="93">
        <v>721.0</v>
      </c>
      <c r="B1482" s="92" t="s">
        <v>13527</v>
      </c>
      <c r="C1482" s="92" t="s">
        <v>13524</v>
      </c>
      <c r="D1482" s="92" t="s">
        <v>16044</v>
      </c>
      <c r="E1482" s="94">
        <v>45113.54476851852</v>
      </c>
      <c r="F1482" s="94">
        <v>45907.71925925926</v>
      </c>
      <c r="G1482" s="90">
        <v>45399.445752314816</v>
      </c>
      <c r="H1482" s="1" t="s">
        <v>16476</v>
      </c>
    </row>
    <row r="1483">
      <c r="A1483" s="93">
        <v>666.0</v>
      </c>
      <c r="B1483" s="92" t="s">
        <v>17326</v>
      </c>
      <c r="C1483" s="92" t="s">
        <v>7970</v>
      </c>
      <c r="D1483" s="92" t="s">
        <v>16044</v>
      </c>
      <c r="E1483" s="94">
        <v>45113.54392361111</v>
      </c>
      <c r="F1483" s="94">
        <v>45907.71890046296</v>
      </c>
      <c r="G1483" s="90">
        <v>45395.45611111111</v>
      </c>
      <c r="H1483" s="1" t="s">
        <v>16476</v>
      </c>
    </row>
    <row r="1484">
      <c r="A1484" s="93">
        <v>1576.0</v>
      </c>
      <c r="B1484" s="92" t="s">
        <v>17327</v>
      </c>
      <c r="C1484" s="92" t="s">
        <v>12097</v>
      </c>
      <c r="D1484" s="92" t="s">
        <v>16044</v>
      </c>
      <c r="E1484" s="94">
        <v>45113.55732638889</v>
      </c>
      <c r="F1484" s="94">
        <v>45907.718564814815</v>
      </c>
      <c r="G1484" s="90">
        <v>45394.40851851852</v>
      </c>
      <c r="H1484" s="1" t="s">
        <v>16476</v>
      </c>
    </row>
    <row r="1485">
      <c r="A1485" s="93">
        <v>647.0</v>
      </c>
      <c r="B1485" s="92" t="s">
        <v>17328</v>
      </c>
      <c r="C1485" s="92" t="s">
        <v>13533</v>
      </c>
      <c r="D1485" s="92" t="s">
        <v>16044</v>
      </c>
      <c r="E1485" s="94">
        <v>45113.54363425926</v>
      </c>
      <c r="F1485" s="94">
        <v>45907.71758101852</v>
      </c>
      <c r="G1485" s="90">
        <v>45386.565416666665</v>
      </c>
      <c r="H1485" s="1" t="s">
        <v>16476</v>
      </c>
    </row>
    <row r="1486">
      <c r="A1486" s="93">
        <v>1240.0</v>
      </c>
      <c r="B1486" s="92" t="s">
        <v>17329</v>
      </c>
      <c r="C1486" s="92" t="s">
        <v>18915</v>
      </c>
      <c r="D1486" s="92" t="s">
        <v>16044</v>
      </c>
      <c r="E1486" s="94">
        <v>45113.55241898148</v>
      </c>
      <c r="F1486" s="94">
        <v>45907.71734953704</v>
      </c>
      <c r="G1486" s="90">
        <v>45385.52111111111</v>
      </c>
      <c r="H1486" s="1" t="s">
        <v>16476</v>
      </c>
    </row>
    <row r="1487">
      <c r="A1487" s="93">
        <v>594.0</v>
      </c>
      <c r="B1487" s="92" t="s">
        <v>17330</v>
      </c>
      <c r="C1487" s="92" t="s">
        <v>14023</v>
      </c>
      <c r="D1487" s="92" t="s">
        <v>16044</v>
      </c>
      <c r="E1487" s="94">
        <v>45113.54283564815</v>
      </c>
      <c r="F1487" s="94">
        <v>45907.71704861111</v>
      </c>
      <c r="G1487" s="90">
        <v>45385.51084490741</v>
      </c>
      <c r="H1487" s="1" t="s">
        <v>16476</v>
      </c>
    </row>
    <row r="1488">
      <c r="A1488" s="93">
        <v>1531.0</v>
      </c>
      <c r="B1488" s="92" t="s">
        <v>17331</v>
      </c>
      <c r="C1488" s="92" t="s">
        <v>14965</v>
      </c>
      <c r="D1488" s="92" t="s">
        <v>16044</v>
      </c>
      <c r="E1488" s="94">
        <v>45113.556666666664</v>
      </c>
      <c r="F1488" s="94">
        <v>45907.716782407406</v>
      </c>
      <c r="G1488" s="90">
        <v>45385.4246875</v>
      </c>
      <c r="H1488" s="1" t="s">
        <v>16476</v>
      </c>
    </row>
    <row r="1489">
      <c r="A1489" s="93">
        <v>657.0</v>
      </c>
      <c r="B1489" s="92" t="s">
        <v>17332</v>
      </c>
      <c r="C1489" s="92" t="s">
        <v>13691</v>
      </c>
      <c r="D1489" s="92" t="s">
        <v>16044</v>
      </c>
      <c r="E1489" s="94">
        <v>45113.54378472222</v>
      </c>
      <c r="F1489" s="94">
        <v>45907.7165625</v>
      </c>
      <c r="G1489" s="90">
        <v>45384.428402777776</v>
      </c>
      <c r="H1489" s="1" t="s">
        <v>16476</v>
      </c>
    </row>
    <row r="1490">
      <c r="A1490" s="93">
        <v>1286.0</v>
      </c>
      <c r="B1490" s="92" t="s">
        <v>17333</v>
      </c>
      <c r="C1490" s="92" t="s">
        <v>5636</v>
      </c>
      <c r="D1490" s="92" t="s">
        <v>16044</v>
      </c>
      <c r="E1490" s="94">
        <v>45113.553090277775</v>
      </c>
      <c r="F1490" s="94">
        <v>45907.7162962963</v>
      </c>
      <c r="G1490" s="90">
        <v>45384.41395833333</v>
      </c>
      <c r="H1490" s="1" t="s">
        <v>16476</v>
      </c>
    </row>
    <row r="1491">
      <c r="A1491" s="93">
        <v>1380.0</v>
      </c>
      <c r="B1491" s="92" t="s">
        <v>17334</v>
      </c>
      <c r="C1491" s="92" t="s">
        <v>13394</v>
      </c>
      <c r="D1491" s="92" t="s">
        <v>16044</v>
      </c>
      <c r="E1491" s="94">
        <v>45113.554456018515</v>
      </c>
      <c r="F1491" s="94">
        <v>45907.71592592593</v>
      </c>
      <c r="G1491" s="90">
        <v>45378.52788194444</v>
      </c>
      <c r="H1491" s="1" t="s">
        <v>16476</v>
      </c>
    </row>
    <row r="1492">
      <c r="A1492" s="93">
        <v>1572.0</v>
      </c>
      <c r="B1492" s="92" t="s">
        <v>17335</v>
      </c>
      <c r="C1492" s="92" t="s">
        <v>10674</v>
      </c>
      <c r="D1492" s="92" t="s">
        <v>16044</v>
      </c>
      <c r="E1492" s="94">
        <v>45113.55726851852</v>
      </c>
      <c r="F1492" s="94">
        <v>45907.7156712963</v>
      </c>
      <c r="G1492" s="90">
        <v>45378.51503472222</v>
      </c>
      <c r="H1492" s="1" t="s">
        <v>16476</v>
      </c>
    </row>
    <row r="1493">
      <c r="A1493" s="93">
        <v>1046.0</v>
      </c>
      <c r="B1493" s="92" t="s">
        <v>17336</v>
      </c>
      <c r="C1493" s="92" t="s">
        <v>13765</v>
      </c>
      <c r="D1493" s="92" t="s">
        <v>16044</v>
      </c>
      <c r="E1493" s="94">
        <v>45113.54954861111</v>
      </c>
      <c r="F1493" s="94">
        <v>45907.7146875</v>
      </c>
      <c r="G1493" s="90">
        <v>45377.42074074074</v>
      </c>
      <c r="H1493" s="1" t="s">
        <v>16476</v>
      </c>
    </row>
    <row r="1494">
      <c r="A1494" s="93">
        <v>1693.0</v>
      </c>
      <c r="B1494" s="92" t="s">
        <v>17337</v>
      </c>
      <c r="C1494" s="92" t="s">
        <v>15799</v>
      </c>
      <c r="D1494" s="92" t="s">
        <v>16044</v>
      </c>
      <c r="E1494" s="94">
        <v>45113.55903935185</v>
      </c>
      <c r="F1494" s="94">
        <v>45907.71444444444</v>
      </c>
      <c r="G1494" s="90">
        <v>45369.616377314815</v>
      </c>
      <c r="H1494" s="1" t="s">
        <v>16476</v>
      </c>
    </row>
    <row r="1495">
      <c r="A1495" s="93">
        <v>796.0</v>
      </c>
      <c r="B1495" s="92" t="s">
        <v>17338</v>
      </c>
      <c r="C1495" s="92" t="s">
        <v>13754</v>
      </c>
      <c r="D1495" s="92" t="s">
        <v>16044</v>
      </c>
      <c r="E1495" s="94">
        <v>45113.54586805555</v>
      </c>
      <c r="F1495" s="94">
        <v>45907.714155092595</v>
      </c>
      <c r="G1495" s="90">
        <v>45355.95297453704</v>
      </c>
      <c r="H1495" s="1" t="s">
        <v>16476</v>
      </c>
    </row>
    <row r="1496">
      <c r="A1496" s="93">
        <v>1568.0</v>
      </c>
      <c r="B1496" s="92" t="s">
        <v>17339</v>
      </c>
      <c r="C1496" s="92" t="s">
        <v>9411</v>
      </c>
      <c r="D1496" s="92" t="s">
        <v>16044</v>
      </c>
      <c r="E1496" s="94">
        <v>45113.55721064815</v>
      </c>
      <c r="F1496" s="94">
        <v>45907.71359953703</v>
      </c>
      <c r="G1496" s="90">
        <v>45355.9525462963</v>
      </c>
      <c r="H1496" s="1" t="s">
        <v>16476</v>
      </c>
    </row>
    <row r="1497">
      <c r="A1497" s="93">
        <v>1502.0</v>
      </c>
      <c r="B1497" s="92" t="s">
        <v>17340</v>
      </c>
      <c r="C1497" s="92" t="s">
        <v>18916</v>
      </c>
      <c r="D1497" s="92" t="s">
        <v>16044</v>
      </c>
      <c r="E1497" s="94">
        <v>45113.556238425925</v>
      </c>
      <c r="F1497" s="94">
        <v>45907.713055555556</v>
      </c>
      <c r="G1497" s="90">
        <v>45355.951828703706</v>
      </c>
      <c r="H1497" s="1" t="s">
        <v>16476</v>
      </c>
    </row>
    <row r="1498">
      <c r="A1498" s="93">
        <v>841.0</v>
      </c>
      <c r="B1498" s="92" t="s">
        <v>17341</v>
      </c>
      <c r="C1498" s="92" t="s">
        <v>8524</v>
      </c>
      <c r="D1498" s="92" t="s">
        <v>16044</v>
      </c>
      <c r="E1498" s="94">
        <v>45113.54655092592</v>
      </c>
      <c r="F1498" s="94">
        <v>45907.712430555555</v>
      </c>
      <c r="G1498" s="90">
        <v>45355.95149305555</v>
      </c>
      <c r="H1498" s="1" t="s">
        <v>16476</v>
      </c>
    </row>
    <row r="1499">
      <c r="A1499" s="93">
        <v>1504.0</v>
      </c>
      <c r="B1499" s="92" t="s">
        <v>17342</v>
      </c>
      <c r="C1499" s="92" t="s">
        <v>11320</v>
      </c>
      <c r="D1499" s="92" t="s">
        <v>16044</v>
      </c>
      <c r="E1499" s="94">
        <v>45113.55627314815</v>
      </c>
      <c r="F1499" s="94">
        <v>45907.71207175926</v>
      </c>
      <c r="G1499" s="90">
        <v>45355.943402777775</v>
      </c>
      <c r="H1499" s="1" t="s">
        <v>16476</v>
      </c>
    </row>
    <row r="1500">
      <c r="A1500" s="93">
        <v>1064.0</v>
      </c>
      <c r="B1500" s="92" t="s">
        <v>17343</v>
      </c>
      <c r="C1500" s="92" t="s">
        <v>15662</v>
      </c>
      <c r="D1500" s="92" t="s">
        <v>16044</v>
      </c>
      <c r="E1500" s="94">
        <v>45113.54981481482</v>
      </c>
      <c r="F1500" s="94">
        <v>45907.71177083333</v>
      </c>
      <c r="G1500" s="90">
        <v>45355.9428125</v>
      </c>
      <c r="H1500" s="1" t="s">
        <v>16476</v>
      </c>
    </row>
    <row r="1501">
      <c r="A1501" s="93">
        <v>718.0</v>
      </c>
      <c r="B1501" s="92" t="s">
        <v>18917</v>
      </c>
      <c r="C1501" s="92" t="s">
        <v>10764</v>
      </c>
      <c r="D1501" s="92" t="s">
        <v>16044</v>
      </c>
      <c r="E1501" s="94">
        <v>45113.54472222222</v>
      </c>
      <c r="F1501" s="94">
        <v>45907.71144675926</v>
      </c>
      <c r="G1501" s="90">
        <v>45355.94201388889</v>
      </c>
      <c r="H1501" s="1" t="s">
        <v>16476</v>
      </c>
    </row>
    <row r="1502">
      <c r="A1502" s="93">
        <v>1680.0</v>
      </c>
      <c r="B1502" s="92" t="s">
        <v>17345</v>
      </c>
      <c r="C1502" s="92" t="s">
        <v>10020</v>
      </c>
      <c r="D1502" s="92" t="s">
        <v>16044</v>
      </c>
      <c r="E1502" s="94">
        <v>45113.558854166666</v>
      </c>
      <c r="F1502" s="94">
        <v>45907.710625</v>
      </c>
      <c r="G1502" s="90">
        <v>45355.94167824074</v>
      </c>
      <c r="H1502" s="1" t="s">
        <v>16476</v>
      </c>
    </row>
    <row r="1503">
      <c r="A1503" s="93">
        <v>751.0</v>
      </c>
      <c r="B1503" s="92" t="s">
        <v>17346</v>
      </c>
      <c r="C1503" s="92" t="s">
        <v>12909</v>
      </c>
      <c r="D1503" s="92" t="s">
        <v>16044</v>
      </c>
      <c r="E1503" s="94">
        <v>45113.545219907406</v>
      </c>
      <c r="F1503" s="94">
        <v>45907.709872685184</v>
      </c>
      <c r="G1503" s="90">
        <v>45355.941400462965</v>
      </c>
      <c r="H1503" s="1" t="s">
        <v>16476</v>
      </c>
    </row>
    <row r="1504">
      <c r="A1504" s="93">
        <v>560.0</v>
      </c>
      <c r="B1504" s="92" t="s">
        <v>17347</v>
      </c>
      <c r="C1504" s="92" t="s">
        <v>8313</v>
      </c>
      <c r="D1504" s="92" t="s">
        <v>16044</v>
      </c>
      <c r="E1504" s="94">
        <v>45113.542337962965</v>
      </c>
      <c r="F1504" s="94">
        <v>45907.70949074074</v>
      </c>
      <c r="G1504" s="90">
        <v>45355.93914351852</v>
      </c>
      <c r="H1504" s="1" t="s">
        <v>16476</v>
      </c>
    </row>
    <row r="1505">
      <c r="A1505" s="93">
        <v>1316.0</v>
      </c>
      <c r="B1505" s="92" t="s">
        <v>17348</v>
      </c>
      <c r="C1505" s="92" t="s">
        <v>7449</v>
      </c>
      <c r="D1505" s="92" t="s">
        <v>16044</v>
      </c>
      <c r="E1505" s="94">
        <v>45113.55351851852</v>
      </c>
      <c r="F1505" s="94">
        <v>45907.70884259259</v>
      </c>
      <c r="G1505" s="90">
        <v>45322.667974537035</v>
      </c>
      <c r="H1505" s="1" t="s">
        <v>16476</v>
      </c>
    </row>
    <row r="1506">
      <c r="A1506" s="93">
        <v>795.0</v>
      </c>
      <c r="B1506" s="92" t="s">
        <v>17349</v>
      </c>
      <c r="C1506" s="92" t="s">
        <v>7036</v>
      </c>
      <c r="D1506" s="92" t="s">
        <v>16044</v>
      </c>
      <c r="E1506" s="94">
        <v>45113.54585648148</v>
      </c>
      <c r="F1506" s="94">
        <v>45907.69752314815</v>
      </c>
      <c r="G1506" s="90">
        <v>45322.582453703704</v>
      </c>
      <c r="H1506" s="1" t="s">
        <v>16476</v>
      </c>
    </row>
    <row r="1507">
      <c r="A1507" s="93">
        <v>1464.0</v>
      </c>
      <c r="B1507" s="92" t="s">
        <v>15079</v>
      </c>
      <c r="C1507" s="92" t="s">
        <v>15075</v>
      </c>
      <c r="D1507" s="92" t="s">
        <v>16044</v>
      </c>
      <c r="E1507" s="94">
        <v>45113.55568287037</v>
      </c>
      <c r="F1507" s="94">
        <v>45907.69710648148</v>
      </c>
      <c r="G1507" s="90">
        <v>45321.60392361111</v>
      </c>
      <c r="H1507" s="1" t="s">
        <v>16476</v>
      </c>
    </row>
    <row r="1508">
      <c r="A1508" s="93">
        <v>1461.0</v>
      </c>
      <c r="B1508" s="92" t="s">
        <v>17350</v>
      </c>
      <c r="C1508" s="92" t="s">
        <v>9709</v>
      </c>
      <c r="D1508" s="92" t="s">
        <v>16044</v>
      </c>
      <c r="E1508" s="94">
        <v>45113.55563657408</v>
      </c>
      <c r="F1508" s="94">
        <v>45907.69630787037</v>
      </c>
      <c r="G1508" s="90">
        <v>45321.43709490741</v>
      </c>
      <c r="H1508" s="1" t="s">
        <v>16476</v>
      </c>
    </row>
    <row r="1509">
      <c r="A1509" s="93">
        <v>1075.0</v>
      </c>
      <c r="B1509" s="92" t="s">
        <v>17351</v>
      </c>
      <c r="C1509" s="92" t="s">
        <v>8447</v>
      </c>
      <c r="D1509" s="92" t="s">
        <v>16044</v>
      </c>
      <c r="E1509" s="94">
        <v>45113.549988425926</v>
      </c>
      <c r="F1509" s="94">
        <v>45907.695543981485</v>
      </c>
      <c r="G1509" s="90">
        <v>45316.001388888886</v>
      </c>
      <c r="H1509" s="1" t="s">
        <v>16476</v>
      </c>
    </row>
    <row r="1510">
      <c r="A1510" s="93">
        <v>1602.0</v>
      </c>
      <c r="B1510" s="92" t="s">
        <v>17352</v>
      </c>
      <c r="C1510" s="92" t="s">
        <v>8453</v>
      </c>
      <c r="D1510" s="92" t="s">
        <v>16044</v>
      </c>
      <c r="E1510" s="94">
        <v>45113.55771990741</v>
      </c>
      <c r="F1510" s="94">
        <v>45907.69515046296</v>
      </c>
      <c r="G1510" s="90">
        <v>45315.41887731481</v>
      </c>
      <c r="H1510" s="1" t="s">
        <v>16476</v>
      </c>
    </row>
    <row r="1511">
      <c r="A1511" s="93">
        <v>617.0</v>
      </c>
      <c r="B1511" s="92" t="s">
        <v>18918</v>
      </c>
      <c r="C1511" s="92" t="s">
        <v>15451</v>
      </c>
      <c r="D1511" s="92" t="s">
        <v>16044</v>
      </c>
      <c r="E1511" s="94">
        <v>45113.543171296296</v>
      </c>
      <c r="F1511" s="94">
        <v>45907.69483796296</v>
      </c>
      <c r="G1511" s="90">
        <v>45314.39931712963</v>
      </c>
      <c r="H1511" s="1" t="s">
        <v>16476</v>
      </c>
    </row>
    <row r="1512">
      <c r="A1512" s="93">
        <v>1632.0</v>
      </c>
      <c r="B1512" s="92" t="s">
        <v>17354</v>
      </c>
      <c r="C1512" s="92" t="s">
        <v>11281</v>
      </c>
      <c r="D1512" s="92" t="s">
        <v>16044</v>
      </c>
      <c r="E1512" s="94">
        <v>45113.55814814815</v>
      </c>
      <c r="F1512" s="94">
        <v>45907.69458333333</v>
      </c>
      <c r="G1512" s="90">
        <v>45313.59716435185</v>
      </c>
      <c r="H1512" s="1" t="s">
        <v>16476</v>
      </c>
    </row>
    <row r="1513">
      <c r="A1513" s="93">
        <v>1080.0</v>
      </c>
      <c r="B1513" s="92" t="s">
        <v>17355</v>
      </c>
      <c r="C1513" s="92" t="s">
        <v>5337</v>
      </c>
      <c r="D1513" s="92" t="s">
        <v>16044</v>
      </c>
      <c r="E1513" s="94">
        <v>45113.55005787037</v>
      </c>
      <c r="F1513" s="94">
        <v>45907.69412037037</v>
      </c>
      <c r="G1513" s="90">
        <v>45313.579675925925</v>
      </c>
      <c r="H1513" s="1" t="s">
        <v>16476</v>
      </c>
    </row>
    <row r="1514">
      <c r="A1514" s="93">
        <v>1365.0</v>
      </c>
      <c r="B1514" s="92" t="s">
        <v>17356</v>
      </c>
      <c r="C1514" s="92" t="s">
        <v>12612</v>
      </c>
      <c r="D1514" s="92" t="s">
        <v>16044</v>
      </c>
      <c r="E1514" s="94">
        <v>45113.554236111115</v>
      </c>
      <c r="F1514" s="94">
        <v>45907.693402777775</v>
      </c>
      <c r="G1514" s="90">
        <v>45313.55298611111</v>
      </c>
      <c r="H1514" s="1" t="s">
        <v>16476</v>
      </c>
    </row>
    <row r="1515">
      <c r="A1515" s="93">
        <v>1179.0</v>
      </c>
      <c r="B1515" s="92" t="s">
        <v>17357</v>
      </c>
      <c r="C1515" s="92" t="s">
        <v>7782</v>
      </c>
      <c r="D1515" s="92" t="s">
        <v>16044</v>
      </c>
      <c r="E1515" s="94">
        <v>45113.55152777778</v>
      </c>
      <c r="F1515" s="94">
        <v>45907.692349537036</v>
      </c>
      <c r="G1515" s="90">
        <v>45313.54251157407</v>
      </c>
      <c r="H1515" s="1" t="s">
        <v>16476</v>
      </c>
    </row>
    <row r="1516">
      <c r="A1516" s="93">
        <v>627.0</v>
      </c>
      <c r="B1516" s="92" t="s">
        <v>17358</v>
      </c>
      <c r="C1516" s="92" t="s">
        <v>6982</v>
      </c>
      <c r="D1516" s="92" t="s">
        <v>16044</v>
      </c>
      <c r="E1516" s="94">
        <v>45113.54332175926</v>
      </c>
      <c r="F1516" s="94">
        <v>45907.69173611111</v>
      </c>
      <c r="G1516" s="90">
        <v>45313.53319444445</v>
      </c>
      <c r="H1516" s="1" t="s">
        <v>16476</v>
      </c>
    </row>
    <row r="1517">
      <c r="A1517" s="93">
        <v>886.0</v>
      </c>
      <c r="B1517" s="92" t="s">
        <v>17359</v>
      </c>
      <c r="C1517" s="92" t="s">
        <v>5867</v>
      </c>
      <c r="D1517" s="92" t="s">
        <v>16044</v>
      </c>
      <c r="E1517" s="94">
        <v>45113.54721064815</v>
      </c>
      <c r="F1517" s="94">
        <v>45907.691203703704</v>
      </c>
      <c r="G1517" s="90">
        <v>45310.59318287037</v>
      </c>
      <c r="H1517" s="1" t="s">
        <v>16476</v>
      </c>
    </row>
    <row r="1518">
      <c r="A1518" s="93">
        <v>1595.0</v>
      </c>
      <c r="B1518" s="92" t="s">
        <v>17360</v>
      </c>
      <c r="C1518" s="92" t="s">
        <v>10555</v>
      </c>
      <c r="D1518" s="92" t="s">
        <v>16044</v>
      </c>
      <c r="E1518" s="94">
        <v>45113.55761574074</v>
      </c>
      <c r="F1518" s="94">
        <v>45907.69094907407</v>
      </c>
      <c r="G1518" s="90">
        <v>45309.54094907407</v>
      </c>
      <c r="H1518" s="1" t="s">
        <v>16476</v>
      </c>
    </row>
    <row r="1519">
      <c r="A1519" s="93">
        <v>1586.0</v>
      </c>
      <c r="B1519" s="92" t="s">
        <v>17361</v>
      </c>
      <c r="C1519" s="92" t="s">
        <v>15569</v>
      </c>
      <c r="D1519" s="92" t="s">
        <v>16044</v>
      </c>
      <c r="E1519" s="94">
        <v>45113.55746527778</v>
      </c>
      <c r="F1519" s="94">
        <v>45907.69070601852</v>
      </c>
      <c r="G1519" s="90">
        <v>45309.4884375</v>
      </c>
      <c r="H1519" s="1" t="s">
        <v>16476</v>
      </c>
    </row>
    <row r="1520">
      <c r="A1520" s="93">
        <v>981.0</v>
      </c>
      <c r="B1520" s="92" t="s">
        <v>17362</v>
      </c>
      <c r="C1520" s="92" t="s">
        <v>13840</v>
      </c>
      <c r="D1520" s="92" t="s">
        <v>16044</v>
      </c>
      <c r="E1520" s="94">
        <v>45113.54859953704</v>
      </c>
      <c r="F1520" s="94">
        <v>45907.69016203703</v>
      </c>
      <c r="G1520" s="90">
        <v>45301.63978009259</v>
      </c>
      <c r="H1520" s="1" t="s">
        <v>16476</v>
      </c>
    </row>
    <row r="1521">
      <c r="A1521" s="93">
        <v>1384.0</v>
      </c>
      <c r="B1521" s="92" t="s">
        <v>17363</v>
      </c>
      <c r="C1521" s="92" t="s">
        <v>15907</v>
      </c>
      <c r="D1521" s="92" t="s">
        <v>16044</v>
      </c>
      <c r="E1521" s="94">
        <v>45113.55451388889</v>
      </c>
      <c r="F1521" s="94">
        <v>45907.689409722225</v>
      </c>
      <c r="G1521" s="90">
        <v>45300.66376157408</v>
      </c>
      <c r="H1521" s="1" t="s">
        <v>16476</v>
      </c>
    </row>
    <row r="1522">
      <c r="A1522" s="93">
        <v>930.0</v>
      </c>
      <c r="B1522" s="92" t="s">
        <v>17364</v>
      </c>
      <c r="C1522" s="92" t="s">
        <v>10906</v>
      </c>
      <c r="D1522" s="92" t="s">
        <v>16044</v>
      </c>
      <c r="E1522" s="94">
        <v>45113.54785879629</v>
      </c>
      <c r="F1522" s="94">
        <v>45907.689155092594</v>
      </c>
      <c r="G1522" s="90">
        <v>45300.53188657408</v>
      </c>
      <c r="H1522" s="1" t="s">
        <v>16476</v>
      </c>
    </row>
    <row r="1523">
      <c r="A1523" s="93">
        <v>1024.0</v>
      </c>
      <c r="B1523" s="92" t="s">
        <v>17365</v>
      </c>
      <c r="C1523" s="92" t="s">
        <v>13832</v>
      </c>
      <c r="D1523" s="92" t="s">
        <v>16044</v>
      </c>
      <c r="E1523" s="94">
        <v>45113.54922453704</v>
      </c>
      <c r="F1523" s="94">
        <v>45907.68877314815</v>
      </c>
      <c r="G1523" s="90">
        <v>45300.53184027778</v>
      </c>
      <c r="H1523" s="1" t="s">
        <v>16476</v>
      </c>
    </row>
    <row r="1524">
      <c r="A1524" s="93">
        <v>1590.0</v>
      </c>
      <c r="B1524" s="92" t="s">
        <v>17366</v>
      </c>
      <c r="C1524" s="92" t="s">
        <v>13686</v>
      </c>
      <c r="D1524" s="92" t="s">
        <v>16044</v>
      </c>
      <c r="E1524" s="94">
        <v>45113.557534722226</v>
      </c>
      <c r="F1524" s="94">
        <v>45907.688101851854</v>
      </c>
      <c r="G1524" s="90">
        <v>45299.72521990741</v>
      </c>
      <c r="H1524" s="1" t="s">
        <v>16476</v>
      </c>
    </row>
    <row r="1525">
      <c r="A1525" s="93">
        <v>1647.0</v>
      </c>
      <c r="B1525" s="92" t="s">
        <v>17367</v>
      </c>
      <c r="C1525" s="92" t="s">
        <v>18919</v>
      </c>
      <c r="D1525" s="92" t="s">
        <v>16044</v>
      </c>
      <c r="E1525" s="94">
        <v>45113.55836805556</v>
      </c>
      <c r="F1525" s="94">
        <v>45907.687789351854</v>
      </c>
      <c r="G1525" s="90">
        <v>45296.673993055556</v>
      </c>
      <c r="H1525" s="1" t="s">
        <v>16476</v>
      </c>
    </row>
    <row r="1526">
      <c r="A1526" s="93">
        <v>1146.0</v>
      </c>
      <c r="B1526" s="92" t="s">
        <v>17368</v>
      </c>
      <c r="C1526" s="92" t="s">
        <v>13058</v>
      </c>
      <c r="D1526" s="92" t="s">
        <v>16044</v>
      </c>
      <c r="E1526" s="94">
        <v>45113.551041666666</v>
      </c>
      <c r="F1526" s="94">
        <v>45907.68719907408</v>
      </c>
      <c r="G1526" s="90">
        <v>45296.67381944445</v>
      </c>
      <c r="H1526" s="1" t="s">
        <v>16476</v>
      </c>
    </row>
    <row r="1527">
      <c r="A1527" s="93">
        <v>1078.0</v>
      </c>
      <c r="B1527" s="92" t="s">
        <v>17369</v>
      </c>
      <c r="C1527" s="92" t="s">
        <v>6631</v>
      </c>
      <c r="D1527" s="92" t="s">
        <v>16044</v>
      </c>
      <c r="E1527" s="94">
        <v>45113.55003472222</v>
      </c>
      <c r="F1527" s="94">
        <v>45907.68682870371</v>
      </c>
      <c r="G1527" s="90">
        <v>45296.63594907407</v>
      </c>
      <c r="H1527" s="1" t="s">
        <v>16476</v>
      </c>
    </row>
    <row r="1528">
      <c r="A1528" s="93">
        <v>953.0</v>
      </c>
      <c r="B1528" s="92" t="s">
        <v>17147</v>
      </c>
      <c r="C1528" s="92" t="s">
        <v>8908</v>
      </c>
      <c r="D1528" s="92" t="s">
        <v>16044</v>
      </c>
      <c r="E1528" s="94">
        <v>45113.54819444445</v>
      </c>
      <c r="F1528" s="94">
        <v>45907.68615740741</v>
      </c>
      <c r="G1528" s="90">
        <v>45295.9046875</v>
      </c>
      <c r="H1528" s="1" t="s">
        <v>16476</v>
      </c>
    </row>
    <row r="1529">
      <c r="A1529" s="93">
        <v>509.0</v>
      </c>
      <c r="B1529" s="92" t="s">
        <v>17370</v>
      </c>
      <c r="C1529" s="92" t="s">
        <v>8832</v>
      </c>
      <c r="D1529" s="92" t="s">
        <v>16044</v>
      </c>
      <c r="E1529" s="94">
        <v>45113.54162037037</v>
      </c>
      <c r="F1529" s="94">
        <v>45907.68556712963</v>
      </c>
      <c r="G1529" s="90">
        <v>45295.890023148146</v>
      </c>
      <c r="H1529" s="1" t="s">
        <v>16476</v>
      </c>
    </row>
    <row r="1530">
      <c r="A1530" s="93">
        <v>513.0</v>
      </c>
      <c r="B1530" s="92" t="s">
        <v>17371</v>
      </c>
      <c r="C1530" s="92" t="s">
        <v>9640</v>
      </c>
      <c r="D1530" s="92" t="s">
        <v>16044</v>
      </c>
      <c r="E1530" s="94">
        <v>45113.54168981482</v>
      </c>
      <c r="F1530" s="94">
        <v>45907.685011574074</v>
      </c>
      <c r="G1530" s="90">
        <v>45281.610914351855</v>
      </c>
      <c r="H1530" s="1" t="s">
        <v>16476</v>
      </c>
    </row>
    <row r="1531">
      <c r="A1531" s="93">
        <v>530.0</v>
      </c>
      <c r="B1531" s="92" t="s">
        <v>17372</v>
      </c>
      <c r="C1531" s="92" t="s">
        <v>11781</v>
      </c>
      <c r="D1531" s="92" t="s">
        <v>16044</v>
      </c>
      <c r="E1531" s="94">
        <v>45113.541921296295</v>
      </c>
      <c r="F1531" s="94">
        <v>45907.684594907405</v>
      </c>
      <c r="G1531" s="90">
        <v>45280.46413194444</v>
      </c>
      <c r="H1531" s="1" t="s">
        <v>16476</v>
      </c>
    </row>
    <row r="1532">
      <c r="A1532" s="93">
        <v>1592.0</v>
      </c>
      <c r="B1532" s="92" t="s">
        <v>17373</v>
      </c>
      <c r="C1532" s="92" t="s">
        <v>6832</v>
      </c>
      <c r="D1532" s="92" t="s">
        <v>16044</v>
      </c>
      <c r="E1532" s="94">
        <v>45113.55756944444</v>
      </c>
      <c r="F1532" s="94">
        <v>45907.683796296296</v>
      </c>
      <c r="G1532" s="90">
        <v>45279.553981481484</v>
      </c>
      <c r="H1532" s="1" t="s">
        <v>16476</v>
      </c>
    </row>
    <row r="1533">
      <c r="A1533" s="93">
        <v>934.0</v>
      </c>
      <c r="B1533" s="92" t="s">
        <v>17374</v>
      </c>
      <c r="C1533" s="92" t="s">
        <v>7922</v>
      </c>
      <c r="D1533" s="92" t="s">
        <v>16044</v>
      </c>
      <c r="E1533" s="94">
        <v>45113.54791666667</v>
      </c>
      <c r="F1533" s="94">
        <v>45907.68341435185</v>
      </c>
      <c r="G1533" s="90">
        <v>45259.63280092592</v>
      </c>
      <c r="H1533" s="1" t="s">
        <v>16476</v>
      </c>
    </row>
    <row r="1534">
      <c r="A1534" s="93">
        <v>1173.0</v>
      </c>
      <c r="B1534" s="92" t="s">
        <v>17375</v>
      </c>
      <c r="C1534" s="92" t="s">
        <v>8125</v>
      </c>
      <c r="D1534" s="92" t="s">
        <v>16044</v>
      </c>
      <c r="E1534" s="94">
        <v>45113.55143518518</v>
      </c>
      <c r="F1534" s="94">
        <v>45907.68310185185</v>
      </c>
      <c r="G1534" s="90">
        <v>45251.57502314815</v>
      </c>
      <c r="H1534" s="1" t="s">
        <v>16476</v>
      </c>
    </row>
    <row r="1535">
      <c r="A1535" s="93">
        <v>525.0</v>
      </c>
      <c r="B1535" s="92" t="s">
        <v>17376</v>
      </c>
      <c r="C1535" s="92" t="s">
        <v>8820</v>
      </c>
      <c r="D1535" s="92" t="s">
        <v>16044</v>
      </c>
      <c r="E1535" s="94">
        <v>45113.541863425926</v>
      </c>
      <c r="F1535" s="94">
        <v>45907.682708333334</v>
      </c>
      <c r="G1535" s="90">
        <v>45251.569502314815</v>
      </c>
      <c r="H1535" s="1" t="s">
        <v>16476</v>
      </c>
    </row>
    <row r="1536">
      <c r="A1536" s="93">
        <v>891.0</v>
      </c>
      <c r="B1536" s="92" t="s">
        <v>17377</v>
      </c>
      <c r="C1536" s="92" t="s">
        <v>7500</v>
      </c>
      <c r="D1536" s="92" t="s">
        <v>16044</v>
      </c>
      <c r="E1536" s="94">
        <v>45113.54728009259</v>
      </c>
      <c r="F1536" s="94">
        <v>45907.68225694444</v>
      </c>
      <c r="G1536" s="90">
        <v>45250.68040509259</v>
      </c>
      <c r="H1536" s="1" t="s">
        <v>16476</v>
      </c>
    </row>
    <row r="1537">
      <c r="A1537" s="93">
        <v>1471.0</v>
      </c>
      <c r="B1537" s="92" t="s">
        <v>17378</v>
      </c>
      <c r="C1537" s="92" t="s">
        <v>12216</v>
      </c>
      <c r="D1537" s="92" t="s">
        <v>16044</v>
      </c>
      <c r="E1537" s="94">
        <v>45113.55578703704</v>
      </c>
      <c r="F1537" s="94">
        <v>45907.68184027778</v>
      </c>
      <c r="G1537" s="90">
        <v>45246.45548611111</v>
      </c>
      <c r="H1537" s="1" t="s">
        <v>16476</v>
      </c>
    </row>
    <row r="1538">
      <c r="A1538" s="93">
        <v>1449.0</v>
      </c>
      <c r="B1538" s="92" t="s">
        <v>17379</v>
      </c>
      <c r="C1538" s="92" t="s">
        <v>6723</v>
      </c>
      <c r="D1538" s="92" t="s">
        <v>16044</v>
      </c>
      <c r="E1538" s="94">
        <v>45113.55546296296</v>
      </c>
      <c r="F1538" s="94">
        <v>45907.68148148148</v>
      </c>
      <c r="G1538" s="90">
        <v>45245.40893518519</v>
      </c>
      <c r="H1538" s="1" t="s">
        <v>16476</v>
      </c>
    </row>
    <row r="1539">
      <c r="A1539" s="93">
        <v>784.0</v>
      </c>
      <c r="B1539" s="92" t="s">
        <v>17380</v>
      </c>
      <c r="C1539" s="92" t="s">
        <v>14194</v>
      </c>
      <c r="D1539" s="92" t="s">
        <v>16044</v>
      </c>
      <c r="E1539" s="94">
        <v>45113.545694444445</v>
      </c>
      <c r="F1539" s="94">
        <v>45907.68100694445</v>
      </c>
      <c r="G1539" s="90">
        <v>45245.39875</v>
      </c>
      <c r="H1539" s="1" t="s">
        <v>16476</v>
      </c>
    </row>
    <row r="1540">
      <c r="A1540" s="93">
        <v>1134.0</v>
      </c>
      <c r="B1540" s="92" t="s">
        <v>17381</v>
      </c>
      <c r="C1540" s="92" t="s">
        <v>9562</v>
      </c>
      <c r="D1540" s="92" t="s">
        <v>16044</v>
      </c>
      <c r="E1540" s="94">
        <v>45113.55086805556</v>
      </c>
      <c r="F1540" s="94">
        <v>45907.680601851855</v>
      </c>
      <c r="G1540" s="90">
        <v>45239.38428240741</v>
      </c>
      <c r="H1540" s="1" t="s">
        <v>16476</v>
      </c>
    </row>
    <row r="1541">
      <c r="A1541" s="93">
        <v>901.0</v>
      </c>
      <c r="B1541" s="92" t="s">
        <v>18920</v>
      </c>
      <c r="C1541" s="92" t="s">
        <v>12358</v>
      </c>
      <c r="D1541" s="92" t="s">
        <v>16044</v>
      </c>
      <c r="E1541" s="94">
        <v>45113.547430555554</v>
      </c>
      <c r="F1541" s="94">
        <v>45907.68019675926</v>
      </c>
      <c r="G1541" s="90">
        <v>45238.64796296296</v>
      </c>
      <c r="H1541" s="1" t="s">
        <v>16476</v>
      </c>
    </row>
    <row r="1542">
      <c r="A1542" s="93">
        <v>733.0</v>
      </c>
      <c r="B1542" s="92" t="s">
        <v>17383</v>
      </c>
      <c r="C1542" s="92" t="s">
        <v>12390</v>
      </c>
      <c r="D1542" s="92" t="s">
        <v>16044</v>
      </c>
      <c r="E1542" s="94">
        <v>45113.544953703706</v>
      </c>
      <c r="F1542" s="94">
        <v>45907.67962962963</v>
      </c>
      <c r="G1542" s="90">
        <v>45238.39824074074</v>
      </c>
      <c r="H1542" s="1" t="s">
        <v>16476</v>
      </c>
    </row>
    <row r="1543">
      <c r="A1543" s="93">
        <v>538.0</v>
      </c>
      <c r="B1543" s="92" t="s">
        <v>17384</v>
      </c>
      <c r="C1543" s="92" t="s">
        <v>11471</v>
      </c>
      <c r="D1543" s="92" t="s">
        <v>16044</v>
      </c>
      <c r="E1543" s="94">
        <v>45113.542025462964</v>
      </c>
      <c r="F1543" s="94">
        <v>45907.6787962963</v>
      </c>
      <c r="G1543" s="90">
        <v>45236.4952662037</v>
      </c>
      <c r="H1543" s="1" t="s">
        <v>16476</v>
      </c>
    </row>
    <row r="1544">
      <c r="A1544" s="93">
        <v>1264.0</v>
      </c>
      <c r="B1544" s="92" t="s">
        <v>17385</v>
      </c>
      <c r="C1544" s="92" t="s">
        <v>12987</v>
      </c>
      <c r="D1544" s="92" t="s">
        <v>16044</v>
      </c>
      <c r="E1544" s="94">
        <v>45113.552766203706</v>
      </c>
      <c r="F1544" s="94">
        <v>45907.67837962963</v>
      </c>
      <c r="G1544" s="90">
        <v>45236.36534722222</v>
      </c>
      <c r="H1544" s="1" t="s">
        <v>16476</v>
      </c>
    </row>
    <row r="1545">
      <c r="A1545" s="93">
        <v>524.0</v>
      </c>
      <c r="B1545" s="92" t="s">
        <v>17386</v>
      </c>
      <c r="C1545" s="92" t="s">
        <v>6882</v>
      </c>
      <c r="D1545" s="92" t="s">
        <v>16044</v>
      </c>
      <c r="E1545" s="94">
        <v>45113.54185185185</v>
      </c>
      <c r="F1545" s="94">
        <v>45907.677939814814</v>
      </c>
      <c r="G1545" s="90">
        <v>45233.35775462963</v>
      </c>
      <c r="H1545" s="1" t="s">
        <v>16476</v>
      </c>
    </row>
    <row r="1546">
      <c r="A1546" s="93">
        <v>1092.0</v>
      </c>
      <c r="B1546" s="92" t="s">
        <v>17387</v>
      </c>
      <c r="C1546" s="92" t="s">
        <v>54</v>
      </c>
      <c r="D1546" s="92" t="s">
        <v>16044</v>
      </c>
      <c r="E1546" s="94">
        <v>45113.55023148148</v>
      </c>
      <c r="F1546" s="94">
        <v>45907.677511574075</v>
      </c>
      <c r="G1546" s="90">
        <v>45225.56396990741</v>
      </c>
      <c r="H1546" s="1" t="s">
        <v>16476</v>
      </c>
    </row>
    <row r="1547">
      <c r="A1547" s="93">
        <v>634.0</v>
      </c>
      <c r="B1547" s="92" t="s">
        <v>17388</v>
      </c>
      <c r="C1547" s="92" t="s">
        <v>12292</v>
      </c>
      <c r="D1547" s="92" t="s">
        <v>16044</v>
      </c>
      <c r="E1547" s="94">
        <v>45113.54342592593</v>
      </c>
      <c r="F1547" s="94">
        <v>45907.67695601852</v>
      </c>
      <c r="G1547" s="90">
        <v>45224.660046296296</v>
      </c>
      <c r="H1547" s="1" t="s">
        <v>16476</v>
      </c>
    </row>
    <row r="1548">
      <c r="A1548" s="93">
        <v>532.0</v>
      </c>
      <c r="B1548" s="92" t="s">
        <v>17389</v>
      </c>
      <c r="C1548" s="92" t="s">
        <v>5748</v>
      </c>
      <c r="D1548" s="92" t="s">
        <v>16044</v>
      </c>
      <c r="E1548" s="94">
        <v>45113.54194444444</v>
      </c>
      <c r="F1548" s="94">
        <v>45907.676516203705</v>
      </c>
      <c r="G1548" s="90">
        <v>45224.63170138889</v>
      </c>
      <c r="H1548" s="1" t="s">
        <v>16476</v>
      </c>
    </row>
    <row r="1549">
      <c r="A1549" s="93">
        <v>527.0</v>
      </c>
      <c r="B1549" s="92" t="s">
        <v>17390</v>
      </c>
      <c r="C1549" s="92" t="s">
        <v>12254</v>
      </c>
      <c r="D1549" s="92" t="s">
        <v>16044</v>
      </c>
      <c r="E1549" s="94">
        <v>45113.54188657407</v>
      </c>
      <c r="F1549" s="94">
        <v>45907.67606481481</v>
      </c>
      <c r="G1549" s="90">
        <v>45224.62333333334</v>
      </c>
      <c r="H1549" s="1" t="s">
        <v>16476</v>
      </c>
    </row>
    <row r="1550">
      <c r="A1550" s="93">
        <v>523.0</v>
      </c>
      <c r="B1550" s="92" t="s">
        <v>17391</v>
      </c>
      <c r="C1550" s="92" t="s">
        <v>7262</v>
      </c>
      <c r="D1550" s="92" t="s">
        <v>16044</v>
      </c>
      <c r="E1550" s="94">
        <v>45113.54184027778</v>
      </c>
      <c r="F1550" s="94">
        <v>45907.67564814815</v>
      </c>
      <c r="G1550" s="90">
        <v>45224.01204861111</v>
      </c>
      <c r="H1550" s="1" t="s">
        <v>16476</v>
      </c>
    </row>
    <row r="1551">
      <c r="A1551" s="93">
        <v>535.0</v>
      </c>
      <c r="B1551" s="92" t="s">
        <v>17392</v>
      </c>
      <c r="C1551" s="92" t="s">
        <v>11184</v>
      </c>
      <c r="D1551" s="92" t="s">
        <v>16044</v>
      </c>
      <c r="E1551" s="94">
        <v>45113.541979166665</v>
      </c>
      <c r="F1551" s="94">
        <v>45907.67521990741</v>
      </c>
      <c r="G1551" s="90">
        <v>45223.98736111111</v>
      </c>
      <c r="H1551" s="1" t="s">
        <v>16476</v>
      </c>
    </row>
    <row r="1552">
      <c r="A1552" s="93">
        <v>517.0</v>
      </c>
      <c r="B1552" s="92" t="s">
        <v>17393</v>
      </c>
      <c r="C1552" s="92" t="s">
        <v>12165</v>
      </c>
      <c r="D1552" s="92" t="s">
        <v>16044</v>
      </c>
      <c r="E1552" s="94">
        <v>45113.54174768519</v>
      </c>
      <c r="F1552" s="94">
        <v>45907.67475694444</v>
      </c>
      <c r="G1552" s="90">
        <v>45223.80614583333</v>
      </c>
      <c r="H1552" s="1" t="s">
        <v>16476</v>
      </c>
    </row>
    <row r="1553">
      <c r="A1553" s="93">
        <v>506.0</v>
      </c>
      <c r="B1553" s="92" t="s">
        <v>17394</v>
      </c>
      <c r="C1553" s="92" t="s">
        <v>11737</v>
      </c>
      <c r="D1553" s="92" t="s">
        <v>16044</v>
      </c>
      <c r="E1553" s="94">
        <v>45113.54157407407</v>
      </c>
      <c r="F1553" s="94">
        <v>45907.67443287037</v>
      </c>
      <c r="G1553" s="90">
        <v>45223.52579861111</v>
      </c>
      <c r="H1553" s="1" t="s">
        <v>16476</v>
      </c>
    </row>
    <row r="1554">
      <c r="A1554" s="93">
        <v>1424.0</v>
      </c>
      <c r="B1554" s="92" t="s">
        <v>17395</v>
      </c>
      <c r="C1554" s="92" t="s">
        <v>10775</v>
      </c>
      <c r="D1554" s="92" t="s">
        <v>16044</v>
      </c>
      <c r="E1554" s="94">
        <v>45113.55510416667</v>
      </c>
      <c r="F1554" s="94">
        <v>45907.674155092594</v>
      </c>
      <c r="G1554" s="90">
        <v>45223.51650462963</v>
      </c>
      <c r="H1554" s="1" t="s">
        <v>16476</v>
      </c>
    </row>
    <row r="1555">
      <c r="A1555" s="93">
        <v>526.0</v>
      </c>
      <c r="B1555" s="92" t="s">
        <v>17396</v>
      </c>
      <c r="C1555" s="92" t="s">
        <v>9912</v>
      </c>
      <c r="D1555" s="92" t="s">
        <v>16044</v>
      </c>
      <c r="E1555" s="94">
        <v>45113.541875</v>
      </c>
      <c r="F1555" s="94">
        <v>45907.67369212963</v>
      </c>
      <c r="G1555" s="90">
        <v>45219.6400462963</v>
      </c>
      <c r="H1555" s="1" t="s">
        <v>16476</v>
      </c>
    </row>
    <row r="1556">
      <c r="A1556" s="93">
        <v>520.0</v>
      </c>
      <c r="B1556" s="92" t="s">
        <v>17397</v>
      </c>
      <c r="C1556" s="92" t="s">
        <v>9329</v>
      </c>
      <c r="D1556" s="92" t="s">
        <v>16044</v>
      </c>
      <c r="E1556" s="94">
        <v>45113.54179398148</v>
      </c>
      <c r="F1556" s="94">
        <v>45907.673414351855</v>
      </c>
      <c r="G1556" s="90">
        <v>45218.64059027778</v>
      </c>
      <c r="H1556" s="1" t="s">
        <v>16476</v>
      </c>
    </row>
    <row r="1557">
      <c r="A1557" s="93">
        <v>533.0</v>
      </c>
      <c r="B1557" s="92" t="s">
        <v>17398</v>
      </c>
      <c r="C1557" s="92" t="s">
        <v>14852</v>
      </c>
      <c r="D1557" s="92" t="s">
        <v>16044</v>
      </c>
      <c r="E1557" s="94">
        <v>45113.54195601852</v>
      </c>
      <c r="F1557" s="94">
        <v>45907.673101851855</v>
      </c>
      <c r="G1557" s="90">
        <v>45218.63929398148</v>
      </c>
      <c r="H1557" s="1" t="s">
        <v>16476</v>
      </c>
    </row>
    <row r="1558">
      <c r="A1558" s="93">
        <v>519.0</v>
      </c>
      <c r="B1558" s="92" t="s">
        <v>17399</v>
      </c>
      <c r="C1558" s="92" t="s">
        <v>9296</v>
      </c>
      <c r="D1558" s="92" t="s">
        <v>16044</v>
      </c>
      <c r="E1558" s="94">
        <v>45113.54177083333</v>
      </c>
      <c r="F1558" s="94">
        <v>45907.6725</v>
      </c>
      <c r="G1558" s="90">
        <v>45218.638194444444</v>
      </c>
      <c r="H1558" s="1" t="s">
        <v>16476</v>
      </c>
    </row>
    <row r="1559">
      <c r="A1559" s="93">
        <v>528.0</v>
      </c>
      <c r="B1559" s="92" t="s">
        <v>17400</v>
      </c>
      <c r="C1559" s="92" t="s">
        <v>11114</v>
      </c>
      <c r="D1559" s="92" t="s">
        <v>16044</v>
      </c>
      <c r="E1559" s="94">
        <v>45113.54189814815</v>
      </c>
      <c r="F1559" s="94">
        <v>45907.67223379629</v>
      </c>
      <c r="G1559" s="90">
        <v>45215.40667824074</v>
      </c>
      <c r="H1559" s="1" t="s">
        <v>16476</v>
      </c>
    </row>
    <row r="1560">
      <c r="A1560" s="93">
        <v>507.0</v>
      </c>
      <c r="B1560" s="92" t="s">
        <v>17401</v>
      </c>
      <c r="C1560" s="92" t="s">
        <v>6740</v>
      </c>
      <c r="D1560" s="92" t="s">
        <v>16044</v>
      </c>
      <c r="E1560" s="94">
        <v>45113.541597222225</v>
      </c>
      <c r="F1560" s="94">
        <v>45907.671851851854</v>
      </c>
      <c r="G1560" s="90">
        <v>45215.40621527778</v>
      </c>
      <c r="H1560" s="1" t="s">
        <v>16476</v>
      </c>
    </row>
    <row r="1561">
      <c r="A1561" s="93">
        <v>1469.0</v>
      </c>
      <c r="B1561" s="92" t="s">
        <v>17402</v>
      </c>
      <c r="C1561" s="92" t="s">
        <v>8038</v>
      </c>
      <c r="D1561" s="92" t="s">
        <v>16044</v>
      </c>
      <c r="E1561" s="94">
        <v>45113.555763888886</v>
      </c>
      <c r="F1561" s="94">
        <v>45907.67146990741</v>
      </c>
      <c r="G1561" s="90">
        <v>45211.64141203704</v>
      </c>
      <c r="H1561" s="1" t="s">
        <v>16476</v>
      </c>
    </row>
    <row r="1562">
      <c r="A1562" s="93">
        <v>1626.0</v>
      </c>
      <c r="B1562" s="92" t="s">
        <v>17403</v>
      </c>
      <c r="C1562" s="92" t="s">
        <v>8540</v>
      </c>
      <c r="D1562" s="92" t="s">
        <v>16044</v>
      </c>
      <c r="E1562" s="94">
        <v>45113.55806712963</v>
      </c>
      <c r="F1562" s="94">
        <v>45907.67008101852</v>
      </c>
      <c r="G1562" s="90">
        <v>45211.64047453704</v>
      </c>
      <c r="H1562" s="1" t="s">
        <v>16476</v>
      </c>
    </row>
    <row r="1563">
      <c r="A1563" s="93">
        <v>805.0</v>
      </c>
      <c r="B1563" s="92" t="s">
        <v>17404</v>
      </c>
      <c r="C1563" s="92" t="s">
        <v>9795</v>
      </c>
      <c r="D1563" s="92" t="s">
        <v>16044</v>
      </c>
      <c r="E1563" s="94">
        <v>45113.546006944445</v>
      </c>
      <c r="F1563" s="94">
        <v>45907.66962962963</v>
      </c>
      <c r="G1563" s="90">
        <v>45211.56993055555</v>
      </c>
      <c r="H1563" s="1" t="s">
        <v>16476</v>
      </c>
    </row>
    <row r="1564">
      <c r="A1564" s="93">
        <v>1159.0</v>
      </c>
      <c r="B1564" s="92" t="s">
        <v>17405</v>
      </c>
      <c r="C1564" s="92" t="s">
        <v>10914</v>
      </c>
      <c r="D1564" s="92" t="s">
        <v>16044</v>
      </c>
      <c r="E1564" s="94">
        <v>45113.55123842593</v>
      </c>
      <c r="F1564" s="94">
        <v>45907.66923611111</v>
      </c>
      <c r="G1564" s="90">
        <v>45210.970868055556</v>
      </c>
      <c r="H1564" s="1" t="s">
        <v>16476</v>
      </c>
    </row>
    <row r="1565">
      <c r="A1565" s="93">
        <v>1678.0</v>
      </c>
      <c r="B1565" s="92" t="s">
        <v>17406</v>
      </c>
      <c r="C1565" s="92" t="s">
        <v>13916</v>
      </c>
      <c r="D1565" s="92" t="s">
        <v>16044</v>
      </c>
      <c r="E1565" s="94">
        <v>45113.55881944444</v>
      </c>
      <c r="F1565" s="94">
        <v>45907.667662037034</v>
      </c>
      <c r="G1565" s="90">
        <v>45209.656747685185</v>
      </c>
      <c r="H1565" s="1" t="s">
        <v>16476</v>
      </c>
    </row>
    <row r="1566">
      <c r="A1566" s="93">
        <v>931.0</v>
      </c>
      <c r="B1566" s="92" t="s">
        <v>17407</v>
      </c>
      <c r="C1566" s="92" t="s">
        <v>14383</v>
      </c>
      <c r="D1566" s="92" t="s">
        <v>16044</v>
      </c>
      <c r="E1566" s="94">
        <v>45113.54787037037</v>
      </c>
      <c r="F1566" s="94">
        <v>45907.66672453703</v>
      </c>
      <c r="G1566" s="90">
        <v>45209.64755787037</v>
      </c>
      <c r="H1566" s="1" t="s">
        <v>16476</v>
      </c>
    </row>
    <row r="1567">
      <c r="A1567" s="93">
        <v>745.0</v>
      </c>
      <c r="B1567" s="92" t="s">
        <v>17408</v>
      </c>
      <c r="C1567" s="92" t="s">
        <v>14239</v>
      </c>
      <c r="D1567" s="92" t="s">
        <v>16044</v>
      </c>
      <c r="E1567" s="94">
        <v>45113.545127314814</v>
      </c>
      <c r="F1567" s="94">
        <v>45907.66626157407</v>
      </c>
      <c r="G1567" s="90">
        <v>45209.64649305555</v>
      </c>
      <c r="H1567" s="1" t="s">
        <v>16476</v>
      </c>
    </row>
    <row r="1568">
      <c r="A1568" s="93">
        <v>1110.0</v>
      </c>
      <c r="B1568" s="92" t="s">
        <v>17409</v>
      </c>
      <c r="C1568" s="92" t="s">
        <v>15519</v>
      </c>
      <c r="D1568" s="92" t="s">
        <v>16044</v>
      </c>
      <c r="E1568" s="94">
        <v>45113.55049768519</v>
      </c>
      <c r="F1568" s="94">
        <v>45907.66590277778</v>
      </c>
      <c r="G1568" s="90">
        <v>45209.64299768519</v>
      </c>
      <c r="H1568" s="1" t="s">
        <v>16476</v>
      </c>
    </row>
    <row r="1569">
      <c r="A1569" s="93">
        <v>1604.0</v>
      </c>
      <c r="B1569" s="92" t="s">
        <v>17410</v>
      </c>
      <c r="C1569" s="92" t="s">
        <v>14226</v>
      </c>
      <c r="D1569" s="92" t="s">
        <v>16044</v>
      </c>
      <c r="E1569" s="94">
        <v>45113.557754629626</v>
      </c>
      <c r="F1569" s="94">
        <v>45907.66502314815</v>
      </c>
      <c r="G1569" s="90">
        <v>45209.6408912037</v>
      </c>
      <c r="H1569" s="1" t="s">
        <v>16476</v>
      </c>
    </row>
    <row r="1570">
      <c r="A1570" s="93">
        <v>2017.0</v>
      </c>
      <c r="B1570" s="92" t="s">
        <v>112</v>
      </c>
      <c r="C1570" s="92" t="s">
        <v>18921</v>
      </c>
      <c r="D1570" s="92" t="s">
        <v>16044</v>
      </c>
      <c r="E1570" s="94">
        <v>45453.701261574075</v>
      </c>
      <c r="F1570" s="94">
        <v>45907.66440972222</v>
      </c>
      <c r="G1570" s="90">
        <v>45204.686689814815</v>
      </c>
      <c r="H1570" s="1" t="s">
        <v>16476</v>
      </c>
    </row>
    <row r="1571">
      <c r="A1571" s="93">
        <v>1212.0</v>
      </c>
      <c r="B1571" s="92" t="s">
        <v>17411</v>
      </c>
      <c r="C1571" s="92" t="s">
        <v>13418</v>
      </c>
      <c r="D1571" s="92" t="s">
        <v>16044</v>
      </c>
      <c r="E1571" s="94">
        <v>45113.55200231481</v>
      </c>
      <c r="F1571" s="94">
        <v>45907.664247685185</v>
      </c>
      <c r="G1571" s="90">
        <v>45204.642060185186</v>
      </c>
      <c r="H1571" s="1" t="s">
        <v>16476</v>
      </c>
    </row>
    <row r="1572">
      <c r="A1572" s="93">
        <v>1211.0</v>
      </c>
      <c r="B1572" s="92" t="s">
        <v>112</v>
      </c>
      <c r="C1572" s="92" t="s">
        <v>15531</v>
      </c>
      <c r="D1572" s="92" t="s">
        <v>16044</v>
      </c>
      <c r="E1572" s="94">
        <v>45113.55199074074</v>
      </c>
      <c r="F1572" s="94">
        <v>45907.664039351854</v>
      </c>
      <c r="G1572" s="90">
        <v>45197.037314814814</v>
      </c>
      <c r="H1572" s="1" t="s">
        <v>16476</v>
      </c>
    </row>
    <row r="1573">
      <c r="A1573" s="93">
        <v>1367.0</v>
      </c>
      <c r="B1573" s="92" t="s">
        <v>17412</v>
      </c>
      <c r="C1573" s="92" t="s">
        <v>13306</v>
      </c>
      <c r="D1573" s="92" t="s">
        <v>16044</v>
      </c>
      <c r="E1573" s="94">
        <v>45113.55427083333</v>
      </c>
      <c r="F1573" s="94">
        <v>45907.663668981484</v>
      </c>
      <c r="G1573" s="90">
        <v>45190.61603009259</v>
      </c>
      <c r="H1573" s="1" t="s">
        <v>16476</v>
      </c>
    </row>
    <row r="1574">
      <c r="A1574" s="93">
        <v>584.0</v>
      </c>
      <c r="B1574" s="92" t="s">
        <v>17413</v>
      </c>
      <c r="C1574" s="92" t="s">
        <v>14207</v>
      </c>
      <c r="D1574" s="92" t="s">
        <v>16044</v>
      </c>
      <c r="E1574" s="94">
        <v>45113.54268518519</v>
      </c>
      <c r="F1574" s="94">
        <v>45907.66327546296</v>
      </c>
      <c r="G1574" s="90">
        <v>45145.64527777778</v>
      </c>
      <c r="H1574" s="1" t="s">
        <v>16476</v>
      </c>
    </row>
    <row r="1575">
      <c r="A1575" s="93">
        <v>747.0</v>
      </c>
      <c r="B1575" s="92" t="s">
        <v>17414</v>
      </c>
      <c r="C1575" s="92" t="s">
        <v>15498</v>
      </c>
      <c r="D1575" s="92" t="s">
        <v>16044</v>
      </c>
      <c r="E1575" s="94">
        <v>45113.54516203704</v>
      </c>
      <c r="F1575" s="94">
        <v>45907.6628125</v>
      </c>
      <c r="G1575" s="90">
        <v>45138.92361111111</v>
      </c>
      <c r="H1575" s="1" t="s">
        <v>16476</v>
      </c>
    </row>
    <row r="1576">
      <c r="A1576" s="93">
        <v>626.0</v>
      </c>
      <c r="B1576" s="92" t="s">
        <v>17415</v>
      </c>
      <c r="C1576" s="92" t="s">
        <v>18922</v>
      </c>
      <c r="D1576" s="92" t="s">
        <v>16044</v>
      </c>
      <c r="E1576" s="94">
        <v>45113.54331018519</v>
      </c>
      <c r="F1576" s="94">
        <v>45907.66238425926</v>
      </c>
      <c r="G1576" s="90">
        <v>45138.92359953704</v>
      </c>
      <c r="H1576" s="1" t="s">
        <v>16476</v>
      </c>
    </row>
    <row r="1577">
      <c r="A1577" s="93">
        <v>1696.0</v>
      </c>
      <c r="B1577" s="92" t="s">
        <v>17416</v>
      </c>
      <c r="C1577" s="92" t="s">
        <v>13247</v>
      </c>
      <c r="D1577" s="92" t="s">
        <v>16044</v>
      </c>
      <c r="E1577" s="94">
        <v>45113.55908564815</v>
      </c>
      <c r="F1577" s="94">
        <v>45907.66212962963</v>
      </c>
      <c r="G1577" s="90">
        <v>45138.92359953704</v>
      </c>
      <c r="H1577" s="1" t="s">
        <v>16476</v>
      </c>
    </row>
    <row r="1578">
      <c r="A1578" s="93">
        <v>1314.0</v>
      </c>
      <c r="B1578" s="92" t="s">
        <v>17417</v>
      </c>
      <c r="C1578" s="92" t="s">
        <v>14397</v>
      </c>
      <c r="D1578" s="92" t="s">
        <v>16044</v>
      </c>
      <c r="E1578" s="94">
        <v>45113.55349537037</v>
      </c>
      <c r="F1578" s="94">
        <v>45907.66170138889</v>
      </c>
      <c r="G1578" s="90">
        <v>45138.92359953704</v>
      </c>
      <c r="H1578" s="1" t="s">
        <v>16476</v>
      </c>
    </row>
    <row r="1579">
      <c r="A1579" s="93">
        <v>1236.0</v>
      </c>
      <c r="B1579" s="92" t="s">
        <v>17418</v>
      </c>
      <c r="C1579" s="92" t="s">
        <v>14230</v>
      </c>
      <c r="D1579" s="92" t="s">
        <v>16044</v>
      </c>
      <c r="E1579" s="94">
        <v>45113.552349537036</v>
      </c>
      <c r="F1579" s="94">
        <v>45907.661261574074</v>
      </c>
      <c r="G1579" s="90">
        <v>45138.92358796296</v>
      </c>
      <c r="H1579" s="1" t="s">
        <v>16476</v>
      </c>
    </row>
    <row r="1580">
      <c r="A1580" s="93">
        <v>754.0</v>
      </c>
      <c r="B1580" s="92" t="s">
        <v>17419</v>
      </c>
      <c r="C1580" s="92" t="s">
        <v>15580</v>
      </c>
      <c r="D1580" s="92" t="s">
        <v>16044</v>
      </c>
      <c r="E1580" s="94">
        <v>45113.545266203706</v>
      </c>
      <c r="F1580" s="94">
        <v>45907.66076388889</v>
      </c>
      <c r="G1580" s="90">
        <v>45138.92357638889</v>
      </c>
      <c r="H1580" s="1" t="s">
        <v>16476</v>
      </c>
    </row>
    <row r="1581">
      <c r="A1581" s="93">
        <v>849.0</v>
      </c>
      <c r="B1581" s="92" t="s">
        <v>17420</v>
      </c>
      <c r="C1581" s="92" t="s">
        <v>8504</v>
      </c>
      <c r="D1581" s="92" t="s">
        <v>16044</v>
      </c>
      <c r="E1581" s="94">
        <v>45113.54666666667</v>
      </c>
      <c r="F1581" s="94">
        <v>45907.660358796296</v>
      </c>
      <c r="G1581" s="90">
        <v>45138.92356481482</v>
      </c>
      <c r="H1581" s="1" t="s">
        <v>16476</v>
      </c>
    </row>
    <row r="1582">
      <c r="A1582" s="93">
        <v>592.0</v>
      </c>
      <c r="B1582" s="92" t="s">
        <v>17421</v>
      </c>
      <c r="C1582" s="92" t="s">
        <v>15053</v>
      </c>
      <c r="D1582" s="92" t="s">
        <v>16044</v>
      </c>
      <c r="E1582" s="94">
        <v>45113.54280092593</v>
      </c>
      <c r="F1582" s="94">
        <v>45907.659907407404</v>
      </c>
      <c r="G1582" s="90">
        <v>45120.54820601852</v>
      </c>
      <c r="H1582" s="1" t="s">
        <v>16476</v>
      </c>
    </row>
    <row r="1583">
      <c r="A1583" s="93">
        <v>922.0</v>
      </c>
      <c r="B1583" s="92" t="s">
        <v>17422</v>
      </c>
      <c r="C1583" s="92" t="s">
        <v>13295</v>
      </c>
      <c r="D1583" s="92" t="s">
        <v>16044</v>
      </c>
      <c r="E1583" s="94">
        <v>45113.547743055555</v>
      </c>
      <c r="F1583" s="94">
        <v>45907.65943287037</v>
      </c>
      <c r="G1583" s="90">
        <v>45118.57013888889</v>
      </c>
      <c r="H1583" s="1" t="s">
        <v>16476</v>
      </c>
    </row>
    <row r="1584">
      <c r="A1584" s="93">
        <v>1050.0</v>
      </c>
      <c r="B1584" s="92" t="s">
        <v>17423</v>
      </c>
      <c r="C1584" s="92" t="s">
        <v>14393</v>
      </c>
      <c r="D1584" s="92" t="s">
        <v>16044</v>
      </c>
      <c r="E1584" s="94">
        <v>45113.54960648148</v>
      </c>
      <c r="F1584" s="94">
        <v>45907.659004629626</v>
      </c>
      <c r="G1584" s="90">
        <v>45113.55868055556</v>
      </c>
      <c r="H1584" s="1" t="s">
        <v>16476</v>
      </c>
    </row>
    <row r="1585">
      <c r="A1585" s="93">
        <v>565.0</v>
      </c>
      <c r="B1585" s="92" t="s">
        <v>17424</v>
      </c>
      <c r="C1585" s="92" t="s">
        <v>13371</v>
      </c>
      <c r="D1585" s="92" t="s">
        <v>16044</v>
      </c>
      <c r="E1585" s="94">
        <v>45113.54240740741</v>
      </c>
      <c r="F1585" s="94">
        <v>45907.65856481482</v>
      </c>
      <c r="G1585" s="90">
        <v>45113.558587962965</v>
      </c>
      <c r="H1585" s="1" t="s">
        <v>16476</v>
      </c>
    </row>
    <row r="1586">
      <c r="A1586" s="93">
        <v>1089.0</v>
      </c>
      <c r="B1586" s="92" t="s">
        <v>17425</v>
      </c>
      <c r="C1586" s="92" t="s">
        <v>13243</v>
      </c>
      <c r="D1586" s="92" t="s">
        <v>16044</v>
      </c>
      <c r="E1586" s="94">
        <v>45113.55019675926</v>
      </c>
      <c r="F1586" s="94">
        <v>45907.658159722225</v>
      </c>
      <c r="G1586" s="90">
        <v>45113.55857638889</v>
      </c>
      <c r="H1586" s="1" t="s">
        <v>16476</v>
      </c>
    </row>
    <row r="1587">
      <c r="A1587" s="93">
        <v>1279.0</v>
      </c>
      <c r="B1587" s="92" t="s">
        <v>17426</v>
      </c>
      <c r="C1587" s="92" t="s">
        <v>13322</v>
      </c>
      <c r="D1587" s="92" t="s">
        <v>16044</v>
      </c>
      <c r="E1587" s="94">
        <v>45113.55298611111</v>
      </c>
      <c r="F1587" s="94">
        <v>45907.65773148148</v>
      </c>
      <c r="G1587" s="90">
        <v>45113.55847222222</v>
      </c>
      <c r="H1587" s="1" t="s">
        <v>16476</v>
      </c>
    </row>
    <row r="1588">
      <c r="A1588" s="93">
        <v>799.0</v>
      </c>
      <c r="B1588" s="92" t="s">
        <v>17427</v>
      </c>
      <c r="C1588" s="92" t="s">
        <v>14235</v>
      </c>
      <c r="D1588" s="92" t="s">
        <v>16044</v>
      </c>
      <c r="E1588" s="94">
        <v>45113.54591435185</v>
      </c>
      <c r="F1588" s="94">
        <v>45907.65723379629</v>
      </c>
      <c r="G1588" s="90">
        <v>45113.55837962963</v>
      </c>
      <c r="H1588" s="1" t="s">
        <v>16476</v>
      </c>
    </row>
    <row r="1589">
      <c r="A1589" s="93">
        <v>1418.0</v>
      </c>
      <c r="B1589" s="92" t="s">
        <v>17428</v>
      </c>
      <c r="C1589" s="92" t="s">
        <v>14306</v>
      </c>
      <c r="D1589" s="92" t="s">
        <v>16044</v>
      </c>
      <c r="E1589" s="94">
        <v>45113.55501157408</v>
      </c>
      <c r="F1589" s="94">
        <v>45907.6565162037</v>
      </c>
      <c r="G1589" s="90">
        <v>45113.55804398148</v>
      </c>
      <c r="H1589" s="1" t="s">
        <v>16476</v>
      </c>
    </row>
    <row r="1590">
      <c r="A1590" s="93">
        <v>1356.0</v>
      </c>
      <c r="B1590" s="92" t="s">
        <v>17429</v>
      </c>
      <c r="C1590" s="92" t="s">
        <v>13261</v>
      </c>
      <c r="D1590" s="92" t="s">
        <v>16044</v>
      </c>
      <c r="E1590" s="94">
        <v>45113.5541087963</v>
      </c>
      <c r="F1590" s="94">
        <v>45907.65621527778</v>
      </c>
      <c r="G1590" s="90">
        <v>45113.558020833334</v>
      </c>
      <c r="H1590" s="1" t="s">
        <v>16476</v>
      </c>
    </row>
    <row r="1591">
      <c r="A1591" s="93">
        <v>703.0</v>
      </c>
      <c r="B1591" s="92" t="s">
        <v>17430</v>
      </c>
      <c r="C1591" s="92" t="s">
        <v>13266</v>
      </c>
      <c r="D1591" s="92" t="s">
        <v>16044</v>
      </c>
      <c r="E1591" s="94">
        <v>45113.54447916667</v>
      </c>
      <c r="F1591" s="94">
        <v>45907.655439814815</v>
      </c>
      <c r="G1591" s="90">
        <v>45113.55795138889</v>
      </c>
      <c r="H1591" s="1" t="s">
        <v>16476</v>
      </c>
    </row>
    <row r="1592">
      <c r="A1592" s="93">
        <v>511.0</v>
      </c>
      <c r="B1592" s="92" t="s">
        <v>17431</v>
      </c>
      <c r="C1592" s="92" t="s">
        <v>8735</v>
      </c>
      <c r="D1592" s="92" t="s">
        <v>16044</v>
      </c>
      <c r="E1592" s="94">
        <v>45113.541655092595</v>
      </c>
      <c r="F1592" s="94">
        <v>45907.65498842593</v>
      </c>
      <c r="G1592" s="90">
        <v>45113.55792824074</v>
      </c>
      <c r="H1592" s="1" t="s">
        <v>16476</v>
      </c>
    </row>
    <row r="1593">
      <c r="A1593" s="93">
        <v>508.0</v>
      </c>
      <c r="B1593" s="92" t="s">
        <v>17432</v>
      </c>
      <c r="C1593" s="92" t="s">
        <v>6854</v>
      </c>
      <c r="D1593" s="92" t="s">
        <v>16044</v>
      </c>
      <c r="E1593" s="94">
        <v>45113.541608796295</v>
      </c>
      <c r="F1593" s="94">
        <v>45907.65452546296</v>
      </c>
      <c r="G1593" s="90">
        <v>45113.55788194444</v>
      </c>
      <c r="H1593" s="1" t="s">
        <v>16476</v>
      </c>
    </row>
    <row r="1594">
      <c r="A1594" s="93">
        <v>1607.0</v>
      </c>
      <c r="B1594" s="92" t="s">
        <v>14740</v>
      </c>
      <c r="C1594" s="92" t="s">
        <v>14114</v>
      </c>
      <c r="D1594" s="92" t="s">
        <v>16044</v>
      </c>
      <c r="E1594" s="94">
        <v>45113.557800925926</v>
      </c>
      <c r="F1594" s="94">
        <v>45907.65415509259</v>
      </c>
      <c r="G1594" s="90">
        <v>45113.557708333334</v>
      </c>
      <c r="H1594" s="1" t="s">
        <v>16476</v>
      </c>
    </row>
    <row r="1595">
      <c r="A1595" s="93">
        <v>521.0</v>
      </c>
      <c r="B1595" s="92" t="s">
        <v>17433</v>
      </c>
      <c r="C1595" s="92" t="s">
        <v>9373</v>
      </c>
      <c r="D1595" s="92" t="s">
        <v>16044</v>
      </c>
      <c r="E1595" s="94">
        <v>45113.54180555556</v>
      </c>
      <c r="F1595" s="94">
        <v>45907.65372685185</v>
      </c>
      <c r="G1595" s="90">
        <v>45113.55769675926</v>
      </c>
      <c r="H1595" s="1" t="s">
        <v>16476</v>
      </c>
    </row>
    <row r="1596">
      <c r="A1596" s="93">
        <v>514.0</v>
      </c>
      <c r="B1596" s="92" t="s">
        <v>17434</v>
      </c>
      <c r="C1596" s="92" t="s">
        <v>8895</v>
      </c>
      <c r="D1596" s="92" t="s">
        <v>16044</v>
      </c>
      <c r="E1596" s="94">
        <v>45113.54170138889</v>
      </c>
      <c r="F1596" s="94">
        <v>45907.653449074074</v>
      </c>
      <c r="G1596" s="90">
        <v>45113.557546296295</v>
      </c>
      <c r="H1596" s="1" t="s">
        <v>16476</v>
      </c>
    </row>
    <row r="1597">
      <c r="A1597" s="93">
        <v>516.0</v>
      </c>
      <c r="B1597" s="92" t="s">
        <v>17435</v>
      </c>
      <c r="C1597" s="92" t="s">
        <v>9095</v>
      </c>
      <c r="D1597" s="92" t="s">
        <v>16044</v>
      </c>
      <c r="E1597" s="94">
        <v>45113.54173611111</v>
      </c>
      <c r="F1597" s="94">
        <v>45907.65282407407</v>
      </c>
      <c r="G1597" s="90">
        <v>45113.55734953703</v>
      </c>
      <c r="H1597" s="1" t="s">
        <v>16476</v>
      </c>
    </row>
    <row r="1598">
      <c r="A1598" s="93">
        <v>540.0</v>
      </c>
      <c r="B1598" s="92" t="s">
        <v>17436</v>
      </c>
      <c r="C1598" s="92" t="s">
        <v>13099</v>
      </c>
      <c r="D1598" s="92" t="s">
        <v>16044</v>
      </c>
      <c r="E1598" s="94">
        <v>45113.54204861111</v>
      </c>
      <c r="F1598" s="94">
        <v>45907.65244212963</v>
      </c>
      <c r="G1598" s="90">
        <v>45113.557280092595</v>
      </c>
      <c r="H1598" s="1" t="s">
        <v>16476</v>
      </c>
    </row>
    <row r="1599">
      <c r="A1599" s="93">
        <v>512.0</v>
      </c>
      <c r="B1599" s="92" t="s">
        <v>17437</v>
      </c>
      <c r="C1599" s="92" t="s">
        <v>8876</v>
      </c>
      <c r="D1599" s="92" t="s">
        <v>16044</v>
      </c>
      <c r="E1599" s="94">
        <v>45113.541666666664</v>
      </c>
      <c r="F1599" s="94">
        <v>45907.6518287037</v>
      </c>
      <c r="G1599" s="90">
        <v>45113.55724537037</v>
      </c>
      <c r="H1599" s="1" t="s">
        <v>16476</v>
      </c>
    </row>
    <row r="1600">
      <c r="A1600" s="93">
        <v>768.0</v>
      </c>
      <c r="B1600" s="92" t="s">
        <v>17438</v>
      </c>
      <c r="C1600" s="92" t="s">
        <v>8828</v>
      </c>
      <c r="D1600" s="92" t="s">
        <v>16044</v>
      </c>
      <c r="E1600" s="94">
        <v>45113.54546296296</v>
      </c>
      <c r="F1600" s="94">
        <v>45907.6515625</v>
      </c>
      <c r="G1600" s="90">
        <v>45113.557233796295</v>
      </c>
      <c r="H1600" s="1" t="s">
        <v>16476</v>
      </c>
    </row>
    <row r="1601">
      <c r="A1601" s="93">
        <v>522.0</v>
      </c>
      <c r="B1601" s="92" t="s">
        <v>17439</v>
      </c>
      <c r="C1601" s="92" t="s">
        <v>9440</v>
      </c>
      <c r="D1601" s="92" t="s">
        <v>16044</v>
      </c>
      <c r="E1601" s="94">
        <v>45113.541817129626</v>
      </c>
      <c r="F1601" s="94">
        <v>45907.65130787037</v>
      </c>
      <c r="G1601" s="90">
        <v>45113.55706018519</v>
      </c>
      <c r="H1601" s="1" t="s">
        <v>16476</v>
      </c>
    </row>
    <row r="1602">
      <c r="A1602" s="93">
        <v>1562.0</v>
      </c>
      <c r="B1602" s="92" t="s">
        <v>17440</v>
      </c>
      <c r="C1602" s="92" t="s">
        <v>15459</v>
      </c>
      <c r="D1602" s="92" t="s">
        <v>16044</v>
      </c>
      <c r="E1602" s="94">
        <v>45113.557118055556</v>
      </c>
      <c r="F1602" s="94">
        <v>45907.65096064815</v>
      </c>
      <c r="G1602" s="90">
        <v>45113.55701388889</v>
      </c>
      <c r="H1602" s="1" t="s">
        <v>16476</v>
      </c>
    </row>
    <row r="1603">
      <c r="A1603" s="93">
        <v>1249.0</v>
      </c>
      <c r="B1603" s="92" t="s">
        <v>17441</v>
      </c>
      <c r="C1603" s="92" t="s">
        <v>9046</v>
      </c>
      <c r="D1603" s="92" t="s">
        <v>16044</v>
      </c>
      <c r="E1603" s="94">
        <v>45113.5525462963</v>
      </c>
      <c r="F1603" s="94">
        <v>45907.65064814815</v>
      </c>
      <c r="G1603" s="90">
        <v>45113.55693287037</v>
      </c>
      <c r="H1603" s="1" t="s">
        <v>16476</v>
      </c>
    </row>
    <row r="1604">
      <c r="A1604" s="93">
        <v>1281.0</v>
      </c>
      <c r="B1604" s="92" t="s">
        <v>17442</v>
      </c>
      <c r="C1604" s="92" t="s">
        <v>9725</v>
      </c>
      <c r="D1604" s="92" t="s">
        <v>16044</v>
      </c>
      <c r="E1604" s="94">
        <v>45113.55300925926</v>
      </c>
      <c r="F1604" s="94">
        <v>45907.65038194445</v>
      </c>
      <c r="G1604" s="90">
        <v>45113.55689814815</v>
      </c>
      <c r="H1604" s="1" t="s">
        <v>16476</v>
      </c>
    </row>
    <row r="1605">
      <c r="A1605" s="93">
        <v>1372.0</v>
      </c>
      <c r="B1605" s="92" t="s">
        <v>17443</v>
      </c>
      <c r="C1605" s="92" t="s">
        <v>9616</v>
      </c>
      <c r="D1605" s="92" t="s">
        <v>16044</v>
      </c>
      <c r="E1605" s="94">
        <v>45113.55434027778</v>
      </c>
      <c r="F1605" s="94">
        <v>45907.65013888889</v>
      </c>
      <c r="G1605" s="90">
        <v>45113.556863425925</v>
      </c>
      <c r="H1605" s="1" t="s">
        <v>16476</v>
      </c>
    </row>
    <row r="1606">
      <c r="A1606" s="93">
        <v>1208.0</v>
      </c>
      <c r="B1606" s="92" t="s">
        <v>17444</v>
      </c>
      <c r="C1606" s="92" t="s">
        <v>15260</v>
      </c>
      <c r="D1606" s="92" t="s">
        <v>16044</v>
      </c>
      <c r="E1606" s="94">
        <v>45113.55194444444</v>
      </c>
      <c r="F1606" s="94">
        <v>45907.649872685186</v>
      </c>
      <c r="G1606" s="90">
        <v>45113.55685185185</v>
      </c>
      <c r="H1606" s="1" t="s">
        <v>16476</v>
      </c>
    </row>
    <row r="1607">
      <c r="A1607" s="93">
        <v>801.0</v>
      </c>
      <c r="B1607" s="92" t="s">
        <v>17445</v>
      </c>
      <c r="C1607" s="92" t="s">
        <v>14257</v>
      </c>
      <c r="D1607" s="92" t="s">
        <v>16044</v>
      </c>
      <c r="E1607" s="94">
        <v>45113.545949074076</v>
      </c>
      <c r="F1607" s="94">
        <v>45907.64947916667</v>
      </c>
      <c r="G1607" s="90">
        <v>45113.55667824074</v>
      </c>
      <c r="H1607" s="1" t="s">
        <v>16476</v>
      </c>
    </row>
    <row r="1608">
      <c r="A1608" s="93">
        <v>1383.0</v>
      </c>
      <c r="B1608" s="92" t="s">
        <v>17446</v>
      </c>
      <c r="C1608" s="92" t="s">
        <v>7961</v>
      </c>
      <c r="D1608" s="92" t="s">
        <v>16044</v>
      </c>
      <c r="E1608" s="94">
        <v>45113.554502314815</v>
      </c>
      <c r="F1608" s="94">
        <v>45907.64886574074</v>
      </c>
      <c r="G1608" s="90">
        <v>45113.55662037037</v>
      </c>
      <c r="H1608" s="1" t="s">
        <v>16476</v>
      </c>
    </row>
    <row r="1609">
      <c r="A1609" s="93">
        <v>1126.0</v>
      </c>
      <c r="B1609" s="92" t="s">
        <v>17447</v>
      </c>
      <c r="C1609" s="92" t="s">
        <v>11255</v>
      </c>
      <c r="D1609" s="92" t="s">
        <v>16044</v>
      </c>
      <c r="E1609" s="94">
        <v>45113.55075231481</v>
      </c>
      <c r="F1609" s="94">
        <v>45907.648506944446</v>
      </c>
      <c r="G1609" s="90">
        <v>45113.556342592594</v>
      </c>
      <c r="H1609" s="1" t="s">
        <v>16476</v>
      </c>
    </row>
    <row r="1610">
      <c r="A1610" s="93">
        <v>950.0</v>
      </c>
      <c r="B1610" s="92" t="s">
        <v>17448</v>
      </c>
      <c r="C1610" s="92" t="s">
        <v>10704</v>
      </c>
      <c r="D1610" s="92" t="s">
        <v>16044</v>
      </c>
      <c r="E1610" s="94">
        <v>45113.54814814815</v>
      </c>
      <c r="F1610" s="94">
        <v>45907.64807870371</v>
      </c>
      <c r="G1610" s="90">
        <v>45113.556296296294</v>
      </c>
      <c r="H1610" s="1" t="s">
        <v>16476</v>
      </c>
    </row>
    <row r="1611">
      <c r="A1611" s="93">
        <v>1444.0</v>
      </c>
      <c r="B1611" s="92" t="s">
        <v>17449</v>
      </c>
      <c r="C1611" s="92" t="s">
        <v>11311</v>
      </c>
      <c r="D1611" s="92" t="s">
        <v>16044</v>
      </c>
      <c r="E1611" s="94">
        <v>45113.555393518516</v>
      </c>
      <c r="F1611" s="94">
        <v>45907.64778935185</v>
      </c>
      <c r="G1611" s="90">
        <v>45113.55616898148</v>
      </c>
      <c r="H1611" s="1" t="s">
        <v>16476</v>
      </c>
    </row>
    <row r="1612">
      <c r="A1612" s="93">
        <v>564.0</v>
      </c>
      <c r="B1612" s="92" t="s">
        <v>17450</v>
      </c>
      <c r="C1612" s="92" t="s">
        <v>15808</v>
      </c>
      <c r="D1612" s="92" t="s">
        <v>16044</v>
      </c>
      <c r="E1612" s="94">
        <v>45113.542395833334</v>
      </c>
      <c r="F1612" s="94">
        <v>45907.6475</v>
      </c>
      <c r="G1612" s="90">
        <v>45113.55606481482</v>
      </c>
      <c r="H1612" s="1" t="s">
        <v>16476</v>
      </c>
    </row>
    <row r="1613">
      <c r="A1613" s="93">
        <v>1182.0</v>
      </c>
      <c r="B1613" s="92" t="s">
        <v>17451</v>
      </c>
      <c r="C1613" s="92" t="s">
        <v>11260</v>
      </c>
      <c r="D1613" s="92" t="s">
        <v>16044</v>
      </c>
      <c r="E1613" s="94">
        <v>45113.551574074074</v>
      </c>
      <c r="F1613" s="94">
        <v>45907.64724537037</v>
      </c>
      <c r="G1613" s="90">
        <v>45113.55600694445</v>
      </c>
      <c r="H1613" s="1" t="s">
        <v>16476</v>
      </c>
    </row>
    <row r="1614">
      <c r="A1614" s="93">
        <v>1362.0</v>
      </c>
      <c r="B1614" s="92" t="s">
        <v>16881</v>
      </c>
      <c r="C1614" s="92" t="s">
        <v>11522</v>
      </c>
      <c r="D1614" s="92" t="s">
        <v>16044</v>
      </c>
      <c r="E1614" s="94">
        <v>45113.554189814815</v>
      </c>
      <c r="F1614" s="94">
        <v>45907.646944444445</v>
      </c>
      <c r="G1614" s="90">
        <v>45113.555972222224</v>
      </c>
      <c r="H1614" s="1" t="s">
        <v>16476</v>
      </c>
    </row>
    <row r="1615">
      <c r="A1615" s="93">
        <v>978.0</v>
      </c>
      <c r="B1615" s="92" t="s">
        <v>17452</v>
      </c>
      <c r="C1615" s="92" t="s">
        <v>13504</v>
      </c>
      <c r="D1615" s="92" t="s">
        <v>16044</v>
      </c>
      <c r="E1615" s="94">
        <v>45113.54855324074</v>
      </c>
      <c r="F1615" s="94">
        <v>45907.64623842593</v>
      </c>
      <c r="G1615" s="90">
        <v>45113.5559375</v>
      </c>
      <c r="H1615" s="1" t="s">
        <v>16476</v>
      </c>
    </row>
    <row r="1616">
      <c r="A1616" s="93">
        <v>1667.0</v>
      </c>
      <c r="B1616" s="92" t="s">
        <v>17453</v>
      </c>
      <c r="C1616" s="92" t="s">
        <v>13965</v>
      </c>
      <c r="D1616" s="92" t="s">
        <v>16044</v>
      </c>
      <c r="E1616" s="94">
        <v>45113.558657407404</v>
      </c>
      <c r="F1616" s="94">
        <v>45907.64572916667</v>
      </c>
      <c r="G1616" s="90">
        <v>45113.55582175926</v>
      </c>
      <c r="H1616" s="1" t="s">
        <v>16476</v>
      </c>
    </row>
    <row r="1617">
      <c r="A1617" s="93">
        <v>1606.0</v>
      </c>
      <c r="B1617" s="92" t="s">
        <v>17454</v>
      </c>
      <c r="C1617" s="92" t="s">
        <v>5178</v>
      </c>
      <c r="D1617" s="92" t="s">
        <v>16044</v>
      </c>
      <c r="E1617" s="94">
        <v>45113.55777777778</v>
      </c>
      <c r="F1617" s="94">
        <v>45907.64525462963</v>
      </c>
      <c r="G1617" s="90">
        <v>45113.55579861111</v>
      </c>
      <c r="H1617" s="1" t="s">
        <v>16476</v>
      </c>
    </row>
    <row r="1618">
      <c r="A1618" s="93">
        <v>630.0</v>
      </c>
      <c r="B1618" s="92" t="s">
        <v>17455</v>
      </c>
      <c r="C1618" s="92" t="s">
        <v>14700</v>
      </c>
      <c r="D1618" s="92" t="s">
        <v>16044</v>
      </c>
      <c r="E1618" s="94">
        <v>45113.54336805556</v>
      </c>
      <c r="F1618" s="94">
        <v>45907.644849537035</v>
      </c>
      <c r="G1618" s="90">
        <v>45113.55554398148</v>
      </c>
      <c r="H1618" s="1" t="s">
        <v>16476</v>
      </c>
    </row>
    <row r="1619">
      <c r="A1619" s="93">
        <v>749.0</v>
      </c>
      <c r="B1619" s="92" t="s">
        <v>17456</v>
      </c>
      <c r="C1619" s="92" t="s">
        <v>14671</v>
      </c>
      <c r="D1619" s="92" t="s">
        <v>16044</v>
      </c>
      <c r="E1619" s="94">
        <v>45113.54518518518</v>
      </c>
      <c r="F1619" s="94">
        <v>45907.64424768519</v>
      </c>
      <c r="G1619" s="90">
        <v>45113.55516203704</v>
      </c>
      <c r="H1619" s="1" t="s">
        <v>16476</v>
      </c>
    </row>
    <row r="1620">
      <c r="A1620" s="93">
        <v>1185.0</v>
      </c>
      <c r="B1620" s="92" t="s">
        <v>17457</v>
      </c>
      <c r="C1620" s="92" t="s">
        <v>12012</v>
      </c>
      <c r="D1620" s="92" t="s">
        <v>16044</v>
      </c>
      <c r="E1620" s="94">
        <v>45113.551620370374</v>
      </c>
      <c r="F1620" s="94">
        <v>45907.643854166665</v>
      </c>
      <c r="G1620" s="90">
        <v>45113.555127314816</v>
      </c>
      <c r="H1620" s="1" t="s">
        <v>16476</v>
      </c>
    </row>
    <row r="1621">
      <c r="A1621" s="93">
        <v>1202.0</v>
      </c>
      <c r="B1621" s="92" t="s">
        <v>17458</v>
      </c>
      <c r="C1621" s="92" t="s">
        <v>15634</v>
      </c>
      <c r="D1621" s="92" t="s">
        <v>16044</v>
      </c>
      <c r="E1621" s="94">
        <v>45113.55186342593</v>
      </c>
      <c r="F1621" s="94">
        <v>45907.643125</v>
      </c>
      <c r="G1621" s="90">
        <v>45113.55511574074</v>
      </c>
      <c r="H1621" s="1" t="s">
        <v>16476</v>
      </c>
    </row>
    <row r="1622">
      <c r="A1622" s="93">
        <v>867.0</v>
      </c>
      <c r="B1622" s="92" t="s">
        <v>17459</v>
      </c>
      <c r="C1622" s="92" t="s">
        <v>6940</v>
      </c>
      <c r="D1622" s="92" t="s">
        <v>16044</v>
      </c>
      <c r="E1622" s="94">
        <v>45113.54693287037</v>
      </c>
      <c r="F1622" s="94">
        <v>45907.64226851852</v>
      </c>
      <c r="G1622" s="90">
        <v>45113.555081018516</v>
      </c>
      <c r="H1622" s="1" t="s">
        <v>16476</v>
      </c>
    </row>
    <row r="1623">
      <c r="A1623" s="93">
        <v>1118.0</v>
      </c>
      <c r="B1623" s="92" t="s">
        <v>17460</v>
      </c>
      <c r="C1623" s="92" t="s">
        <v>14610</v>
      </c>
      <c r="D1623" s="92" t="s">
        <v>16044</v>
      </c>
      <c r="E1623" s="94">
        <v>45113.55063657407</v>
      </c>
      <c r="F1623" s="94">
        <v>45907.642013888886</v>
      </c>
      <c r="G1623" s="90">
        <v>45113.55502314815</v>
      </c>
      <c r="H1623" s="1" t="s">
        <v>16476</v>
      </c>
    </row>
    <row r="1624">
      <c r="A1624" s="93">
        <v>621.0</v>
      </c>
      <c r="B1624" s="92" t="s">
        <v>17461</v>
      </c>
      <c r="C1624" s="92" t="s">
        <v>11725</v>
      </c>
      <c r="D1624" s="92" t="s">
        <v>16044</v>
      </c>
      <c r="E1624" s="94">
        <v>45113.543229166666</v>
      </c>
      <c r="F1624" s="94">
        <v>45907.641689814816</v>
      </c>
      <c r="G1624" s="90">
        <v>45113.555</v>
      </c>
      <c r="H1624" s="1" t="s">
        <v>16476</v>
      </c>
    </row>
    <row r="1625">
      <c r="A1625" s="93">
        <v>1086.0</v>
      </c>
      <c r="B1625" s="92" t="s">
        <v>17462</v>
      </c>
      <c r="C1625" s="92" t="s">
        <v>14616</v>
      </c>
      <c r="D1625" s="92" t="s">
        <v>16044</v>
      </c>
      <c r="E1625" s="94">
        <v>45113.550150462965</v>
      </c>
      <c r="F1625" s="94">
        <v>45907.64037037037</v>
      </c>
      <c r="G1625" s="90">
        <v>45113.5549537037</v>
      </c>
      <c r="H1625" s="1" t="s">
        <v>16476</v>
      </c>
    </row>
    <row r="1626">
      <c r="A1626" s="93">
        <v>1357.0</v>
      </c>
      <c r="B1626" s="92" t="s">
        <v>17463</v>
      </c>
      <c r="C1626" s="92" t="s">
        <v>14619</v>
      </c>
      <c r="D1626" s="92" t="s">
        <v>16044</v>
      </c>
      <c r="E1626" s="94">
        <v>45113.55412037037</v>
      </c>
      <c r="F1626" s="94">
        <v>45907.64011574074</v>
      </c>
      <c r="G1626" s="90">
        <v>45113.55484953704</v>
      </c>
      <c r="H1626" s="1" t="s">
        <v>16476</v>
      </c>
    </row>
    <row r="1627">
      <c r="A1627" s="93">
        <v>756.0</v>
      </c>
      <c r="B1627" s="92" t="s">
        <v>17464</v>
      </c>
      <c r="C1627" s="92" t="s">
        <v>12666</v>
      </c>
      <c r="D1627" s="92" t="s">
        <v>16044</v>
      </c>
      <c r="E1627" s="94">
        <v>45113.54528935185</v>
      </c>
      <c r="F1627" s="94">
        <v>45907.63983796296</v>
      </c>
      <c r="G1627" s="90">
        <v>45113.55482638889</v>
      </c>
      <c r="H1627" s="1" t="s">
        <v>16476</v>
      </c>
    </row>
    <row r="1628">
      <c r="A1628" s="93">
        <v>1496.0</v>
      </c>
      <c r="B1628" s="92" t="s">
        <v>17465</v>
      </c>
      <c r="C1628" s="92" t="s">
        <v>11093</v>
      </c>
      <c r="D1628" s="92" t="s">
        <v>16044</v>
      </c>
      <c r="E1628" s="94">
        <v>45113.55615740741</v>
      </c>
      <c r="F1628" s="94">
        <v>45907.639560185184</v>
      </c>
      <c r="G1628" s="90">
        <v>45113.5546875</v>
      </c>
      <c r="H1628" s="1" t="s">
        <v>16476</v>
      </c>
    </row>
    <row r="1629">
      <c r="A1629" s="93">
        <v>1009.0</v>
      </c>
      <c r="B1629" s="92" t="s">
        <v>17466</v>
      </c>
      <c r="C1629" s="92" t="s">
        <v>14738</v>
      </c>
      <c r="D1629" s="92" t="s">
        <v>16044</v>
      </c>
      <c r="E1629" s="94">
        <v>45113.54900462963</v>
      </c>
      <c r="F1629" s="94">
        <v>45907.638344907406</v>
      </c>
      <c r="G1629" s="90">
        <v>45113.554560185185</v>
      </c>
      <c r="H1629" s="1" t="s">
        <v>16476</v>
      </c>
    </row>
    <row r="1630">
      <c r="A1630" s="93">
        <v>1320.0</v>
      </c>
      <c r="B1630" s="92" t="s">
        <v>17467</v>
      </c>
      <c r="C1630" s="92" t="s">
        <v>13258</v>
      </c>
      <c r="D1630" s="92" t="s">
        <v>16044</v>
      </c>
      <c r="E1630" s="94">
        <v>45113.55357638889</v>
      </c>
      <c r="F1630" s="94">
        <v>45907.63805555556</v>
      </c>
      <c r="G1630" s="90">
        <v>45113.55432870371</v>
      </c>
      <c r="H1630" s="1" t="s">
        <v>16476</v>
      </c>
    </row>
    <row r="1631">
      <c r="A1631" s="93">
        <v>1119.0</v>
      </c>
      <c r="B1631" s="92" t="s">
        <v>17468</v>
      </c>
      <c r="C1631" s="92" t="s">
        <v>11687</v>
      </c>
      <c r="D1631" s="92" t="s">
        <v>16044</v>
      </c>
      <c r="E1631" s="94">
        <v>45113.55064814815</v>
      </c>
      <c r="F1631" s="94">
        <v>45907.63761574074</v>
      </c>
      <c r="G1631" s="90">
        <v>45113.55428240741</v>
      </c>
      <c r="H1631" s="1" t="s">
        <v>16476</v>
      </c>
    </row>
    <row r="1632">
      <c r="A1632" s="93">
        <v>836.0</v>
      </c>
      <c r="B1632" s="92" t="s">
        <v>17469</v>
      </c>
      <c r="C1632" s="92" t="s">
        <v>14623</v>
      </c>
      <c r="D1632" s="92" t="s">
        <v>16044</v>
      </c>
      <c r="E1632" s="94">
        <v>45113.546481481484</v>
      </c>
      <c r="F1632" s="94">
        <v>45907.63731481481</v>
      </c>
      <c r="G1632" s="90">
        <v>45113.554247685184</v>
      </c>
      <c r="H1632" s="1" t="s">
        <v>16476</v>
      </c>
    </row>
    <row r="1633">
      <c r="A1633" s="93">
        <v>846.0</v>
      </c>
      <c r="B1633" s="92" t="s">
        <v>17470</v>
      </c>
      <c r="C1633" s="92" t="s">
        <v>14664</v>
      </c>
      <c r="D1633" s="92" t="s">
        <v>16044</v>
      </c>
      <c r="E1633" s="94">
        <v>45113.54662037037</v>
      </c>
      <c r="F1633" s="94">
        <v>45907.63699074074</v>
      </c>
      <c r="G1633" s="90">
        <v>45113.554085648146</v>
      </c>
      <c r="H1633" s="1" t="s">
        <v>16476</v>
      </c>
    </row>
    <row r="1634">
      <c r="A1634" s="93">
        <v>746.0</v>
      </c>
      <c r="B1634" s="92" t="s">
        <v>17471</v>
      </c>
      <c r="C1634" s="92" t="s">
        <v>15282</v>
      </c>
      <c r="D1634" s="92" t="s">
        <v>16044</v>
      </c>
      <c r="E1634" s="94">
        <v>45113.54515046296</v>
      </c>
      <c r="F1634" s="94">
        <v>45907.63637731481</v>
      </c>
      <c r="G1634" s="90">
        <v>45113.554074074076</v>
      </c>
      <c r="H1634" s="1" t="s">
        <v>16476</v>
      </c>
    </row>
    <row r="1635">
      <c r="A1635" s="93">
        <v>1287.0</v>
      </c>
      <c r="B1635" s="92" t="s">
        <v>17472</v>
      </c>
      <c r="C1635" s="92" t="s">
        <v>14667</v>
      </c>
      <c r="D1635" s="92" t="s">
        <v>16044</v>
      </c>
      <c r="E1635" s="94">
        <v>45113.55310185185</v>
      </c>
      <c r="F1635" s="94">
        <v>45907.63605324074</v>
      </c>
      <c r="G1635" s="90">
        <v>45113.554027777776</v>
      </c>
      <c r="H1635" s="1" t="s">
        <v>16476</v>
      </c>
    </row>
    <row r="1636">
      <c r="A1636" s="93">
        <v>789.0</v>
      </c>
      <c r="B1636" s="92" t="s">
        <v>17473</v>
      </c>
      <c r="C1636" s="92" t="s">
        <v>14691</v>
      </c>
      <c r="D1636" s="92" t="s">
        <v>16044</v>
      </c>
      <c r="E1636" s="94">
        <v>45113.54577546296</v>
      </c>
      <c r="F1636" s="94">
        <v>45907.63538194444</v>
      </c>
      <c r="G1636" s="90">
        <v>45113.55401620371</v>
      </c>
      <c r="H1636" s="1" t="s">
        <v>16476</v>
      </c>
    </row>
    <row r="1637">
      <c r="A1637" s="93">
        <v>748.0</v>
      </c>
      <c r="B1637" s="92" t="s">
        <v>17474</v>
      </c>
      <c r="C1637" s="92" t="s">
        <v>14680</v>
      </c>
      <c r="D1637" s="92" t="s">
        <v>16044</v>
      </c>
      <c r="E1637" s="94">
        <v>45113.54517361111</v>
      </c>
      <c r="F1637" s="94">
        <v>45907.63511574074</v>
      </c>
      <c r="G1637" s="90">
        <v>45113.55400462963</v>
      </c>
      <c r="H1637" s="1" t="s">
        <v>16476</v>
      </c>
    </row>
    <row r="1638">
      <c r="A1638" s="93">
        <v>1029.0</v>
      </c>
      <c r="B1638" s="92" t="s">
        <v>17475</v>
      </c>
      <c r="C1638" s="92" t="s">
        <v>10730</v>
      </c>
      <c r="D1638" s="92" t="s">
        <v>16044</v>
      </c>
      <c r="E1638" s="94">
        <v>45113.549305555556</v>
      </c>
      <c r="F1638" s="94">
        <v>45907.63482638889</v>
      </c>
      <c r="G1638" s="90">
        <v>45113.55396990741</v>
      </c>
      <c r="H1638" s="1" t="s">
        <v>16476</v>
      </c>
    </row>
    <row r="1639">
      <c r="A1639" s="93">
        <v>1364.0</v>
      </c>
      <c r="B1639" s="92" t="s">
        <v>17476</v>
      </c>
      <c r="C1639" s="92" t="s">
        <v>14759</v>
      </c>
      <c r="D1639" s="92" t="s">
        <v>16044</v>
      </c>
      <c r="E1639" s="94">
        <v>45113.55422453704</v>
      </c>
      <c r="F1639" s="94">
        <v>45907.63443287037</v>
      </c>
      <c r="G1639" s="90">
        <v>45113.55373842592</v>
      </c>
      <c r="H1639" s="1" t="s">
        <v>16476</v>
      </c>
    </row>
    <row r="1640">
      <c r="A1640" s="93">
        <v>844.0</v>
      </c>
      <c r="B1640" s="92" t="s">
        <v>17477</v>
      </c>
      <c r="C1640" s="92" t="s">
        <v>14715</v>
      </c>
      <c r="D1640" s="92" t="s">
        <v>16044</v>
      </c>
      <c r="E1640" s="94">
        <v>45113.54659722222</v>
      </c>
      <c r="F1640" s="94">
        <v>45907.634039351855</v>
      </c>
      <c r="G1640" s="90">
        <v>45113.553715277776</v>
      </c>
      <c r="H1640" s="1" t="s">
        <v>16476</v>
      </c>
    </row>
    <row r="1641">
      <c r="A1641" s="93">
        <v>1188.0</v>
      </c>
      <c r="B1641" s="92" t="s">
        <v>17478</v>
      </c>
      <c r="C1641" s="92" t="s">
        <v>11306</v>
      </c>
      <c r="D1641" s="92" t="s">
        <v>16044</v>
      </c>
      <c r="E1641" s="94">
        <v>45113.55165509259</v>
      </c>
      <c r="F1641" s="94">
        <v>45907.59967592593</v>
      </c>
      <c r="G1641" s="90">
        <v>45113.553611111114</v>
      </c>
      <c r="H1641" s="1" t="s">
        <v>16476</v>
      </c>
    </row>
    <row r="1642">
      <c r="A1642" s="93">
        <v>1295.0</v>
      </c>
      <c r="B1642" s="92" t="s">
        <v>17479</v>
      </c>
      <c r="C1642" s="92" t="s">
        <v>13270</v>
      </c>
      <c r="D1642" s="92" t="s">
        <v>16044</v>
      </c>
      <c r="E1642" s="94">
        <v>45113.55321759259</v>
      </c>
      <c r="F1642" s="94">
        <v>45907.59900462963</v>
      </c>
      <c r="G1642" s="90">
        <v>45113.55354166667</v>
      </c>
      <c r="H1642" s="1" t="s">
        <v>16476</v>
      </c>
    </row>
    <row r="1643">
      <c r="A1643" s="93">
        <v>1036.0</v>
      </c>
      <c r="B1643" s="92" t="s">
        <v>17480</v>
      </c>
      <c r="C1643" s="92" t="s">
        <v>9828</v>
      </c>
      <c r="D1643" s="92" t="s">
        <v>16044</v>
      </c>
      <c r="E1643" s="94">
        <v>45113.54939814815</v>
      </c>
      <c r="F1643" s="94">
        <v>45907.59806712963</v>
      </c>
      <c r="G1643" s="90">
        <v>45113.553402777776</v>
      </c>
      <c r="H1643" s="1" t="s">
        <v>16476</v>
      </c>
    </row>
    <row r="1644">
      <c r="A1644" s="93">
        <v>1128.0</v>
      </c>
      <c r="B1644" s="92" t="s">
        <v>17481</v>
      </c>
      <c r="C1644" s="92" t="s">
        <v>8715</v>
      </c>
      <c r="D1644" s="92" t="s">
        <v>16044</v>
      </c>
      <c r="E1644" s="94">
        <v>45113.550787037035</v>
      </c>
      <c r="F1644" s="94">
        <v>45907.59746527778</v>
      </c>
      <c r="G1644" s="90">
        <v>45113.553391203706</v>
      </c>
      <c r="H1644" s="1" t="s">
        <v>16476</v>
      </c>
    </row>
    <row r="1645">
      <c r="A1645" s="93">
        <v>1108.0</v>
      </c>
      <c r="B1645" s="92" t="s">
        <v>17482</v>
      </c>
      <c r="C1645" s="92" t="s">
        <v>6890</v>
      </c>
      <c r="D1645" s="92" t="s">
        <v>16044</v>
      </c>
      <c r="E1645" s="94">
        <v>45113.550474537034</v>
      </c>
      <c r="F1645" s="94">
        <v>45907.59707175926</v>
      </c>
      <c r="G1645" s="90">
        <v>45113.55328703704</v>
      </c>
      <c r="H1645" s="1" t="s">
        <v>16476</v>
      </c>
    </row>
    <row r="1646">
      <c r="A1646" s="93">
        <v>1288.0</v>
      </c>
      <c r="B1646" s="92" t="s">
        <v>17483</v>
      </c>
      <c r="C1646" s="92" t="s">
        <v>9578</v>
      </c>
      <c r="D1646" s="92" t="s">
        <v>16044</v>
      </c>
      <c r="E1646" s="94">
        <v>45113.55311342593</v>
      </c>
      <c r="F1646" s="94">
        <v>45907.596817129626</v>
      </c>
      <c r="G1646" s="90">
        <v>45113.553252314814</v>
      </c>
      <c r="H1646" s="1" t="s">
        <v>16476</v>
      </c>
    </row>
    <row r="1647">
      <c r="A1647" s="93">
        <v>1197.0</v>
      </c>
      <c r="B1647" s="92" t="s">
        <v>17484</v>
      </c>
      <c r="C1647" s="92" t="s">
        <v>12731</v>
      </c>
      <c r="D1647" s="92" t="s">
        <v>16044</v>
      </c>
      <c r="E1647" s="94">
        <v>45113.55179398148</v>
      </c>
      <c r="F1647" s="94">
        <v>45907.59636574074</v>
      </c>
      <c r="G1647" s="90">
        <v>45113.55318287037</v>
      </c>
      <c r="H1647" s="1" t="s">
        <v>16476</v>
      </c>
    </row>
    <row r="1648">
      <c r="A1648" s="93">
        <v>1479.0</v>
      </c>
      <c r="B1648" s="92" t="s">
        <v>17486</v>
      </c>
      <c r="C1648" s="92" t="s">
        <v>6795</v>
      </c>
      <c r="D1648" s="92" t="s">
        <v>16044</v>
      </c>
      <c r="E1648" s="94">
        <v>45113.55590277778</v>
      </c>
      <c r="F1648" s="94">
        <v>45907.59590277778</v>
      </c>
      <c r="G1648" s="90">
        <v>45113.55305555555</v>
      </c>
      <c r="H1648" s="1" t="s">
        <v>16476</v>
      </c>
    </row>
    <row r="1649">
      <c r="A1649" s="93">
        <v>13.0</v>
      </c>
      <c r="B1649" s="92" t="s">
        <v>18923</v>
      </c>
      <c r="C1649" s="92" t="s">
        <v>7289</v>
      </c>
      <c r="D1649" s="92" t="s">
        <v>16044</v>
      </c>
      <c r="E1649" s="94">
        <v>45091.490219907406</v>
      </c>
      <c r="F1649" s="94">
        <v>45907.59506944445</v>
      </c>
      <c r="G1649" s="90">
        <v>45113.55299768518</v>
      </c>
      <c r="H1649" s="1" t="s">
        <v>16476</v>
      </c>
    </row>
    <row r="1650">
      <c r="A1650" s="93">
        <v>1283.0</v>
      </c>
      <c r="B1650" s="92" t="s">
        <v>17488</v>
      </c>
      <c r="C1650" s="92" t="s">
        <v>12541</v>
      </c>
      <c r="D1650" s="92" t="s">
        <v>16044</v>
      </c>
      <c r="E1650" s="94">
        <v>45113.55304398148</v>
      </c>
      <c r="F1650" s="94">
        <v>45907.59106481481</v>
      </c>
      <c r="G1650" s="90">
        <v>45113.55295138889</v>
      </c>
      <c r="H1650" s="1" t="s">
        <v>16476</v>
      </c>
    </row>
    <row r="1651">
      <c r="A1651" s="93">
        <v>1718.0</v>
      </c>
      <c r="B1651" s="92" t="s">
        <v>18924</v>
      </c>
      <c r="C1651" s="92" t="s">
        <v>6943</v>
      </c>
      <c r="D1651" s="92" t="s">
        <v>16044</v>
      </c>
      <c r="E1651" s="94">
        <v>45134.55721064815</v>
      </c>
      <c r="F1651" s="94">
        <v>45907.58825231482</v>
      </c>
      <c r="G1651" s="90">
        <v>45113.552928240744</v>
      </c>
      <c r="H1651" s="1" t="s">
        <v>16476</v>
      </c>
    </row>
    <row r="1652">
      <c r="A1652" s="93">
        <v>1763.0</v>
      </c>
      <c r="B1652" s="92" t="s">
        <v>18925</v>
      </c>
      <c r="C1652" s="92" t="s">
        <v>18926</v>
      </c>
      <c r="D1652" s="92" t="s">
        <v>16044</v>
      </c>
      <c r="E1652" s="94">
        <v>45204.639861111114</v>
      </c>
      <c r="F1652" s="94">
        <v>45907.58546296296</v>
      </c>
      <c r="G1652" s="90">
        <v>45113.552881944444</v>
      </c>
      <c r="H1652" s="1" t="s">
        <v>16476</v>
      </c>
    </row>
    <row r="1653">
      <c r="A1653" s="93">
        <v>1225.0</v>
      </c>
      <c r="B1653" s="92" t="s">
        <v>17490</v>
      </c>
      <c r="C1653" s="92" t="s">
        <v>5328</v>
      </c>
      <c r="D1653" s="92" t="s">
        <v>16044</v>
      </c>
      <c r="E1653" s="94">
        <v>45113.552199074074</v>
      </c>
      <c r="F1653" s="94">
        <v>45907.58357638889</v>
      </c>
      <c r="G1653" s="90">
        <v>45113.552835648145</v>
      </c>
      <c r="H1653" s="1" t="s">
        <v>16476</v>
      </c>
    </row>
    <row r="1654">
      <c r="A1654" s="93">
        <v>1786.0</v>
      </c>
      <c r="B1654" s="92" t="s">
        <v>17491</v>
      </c>
      <c r="C1654" s="92" t="s">
        <v>7789</v>
      </c>
      <c r="D1654" s="92" t="s">
        <v>16044</v>
      </c>
      <c r="E1654" s="94">
        <v>45219.62396990741</v>
      </c>
      <c r="F1654" s="94">
        <v>45907.58258101852</v>
      </c>
      <c r="G1654" s="90">
        <v>45113.552777777775</v>
      </c>
      <c r="H1654" s="1" t="s">
        <v>16476</v>
      </c>
    </row>
    <row r="1655">
      <c r="A1655" s="93">
        <v>1855.0</v>
      </c>
      <c r="B1655" s="92" t="s">
        <v>17492</v>
      </c>
      <c r="C1655" s="92" t="s">
        <v>9696</v>
      </c>
      <c r="D1655" s="92" t="s">
        <v>16044</v>
      </c>
      <c r="E1655" s="94">
        <v>45245.39681712963</v>
      </c>
      <c r="F1655" s="94">
        <v>45907.58113425926</v>
      </c>
      <c r="G1655" s="90">
        <v>45113.55262731481</v>
      </c>
      <c r="H1655" s="1" t="s">
        <v>16476</v>
      </c>
    </row>
    <row r="1656">
      <c r="A1656" s="93">
        <v>1856.0</v>
      </c>
      <c r="B1656" s="92" t="s">
        <v>9777</v>
      </c>
      <c r="C1656" s="92" t="s">
        <v>9775</v>
      </c>
      <c r="D1656" s="92" t="s">
        <v>16044</v>
      </c>
      <c r="E1656" s="94">
        <v>45245.39685185185</v>
      </c>
      <c r="F1656" s="94">
        <v>45907.580613425926</v>
      </c>
      <c r="G1656" s="90">
        <v>45113.552395833336</v>
      </c>
      <c r="H1656" s="1" t="s">
        <v>16476</v>
      </c>
    </row>
    <row r="1657">
      <c r="A1657" s="93">
        <v>1848.0</v>
      </c>
      <c r="B1657" s="92" t="s">
        <v>14518</v>
      </c>
      <c r="C1657" s="92" t="s">
        <v>14516</v>
      </c>
      <c r="D1657" s="92" t="s">
        <v>16044</v>
      </c>
      <c r="E1657" s="94">
        <v>45245.39637731481</v>
      </c>
      <c r="F1657" s="94">
        <v>45907.58013888889</v>
      </c>
      <c r="G1657" s="90">
        <v>45113.55237268518</v>
      </c>
      <c r="H1657" s="1" t="s">
        <v>16476</v>
      </c>
    </row>
    <row r="1658">
      <c r="A1658" s="93">
        <v>1860.0</v>
      </c>
      <c r="B1658" s="92" t="s">
        <v>17494</v>
      </c>
      <c r="C1658" s="92" t="s">
        <v>6434</v>
      </c>
      <c r="D1658" s="92" t="s">
        <v>16044</v>
      </c>
      <c r="E1658" s="94">
        <v>45245.39712962963</v>
      </c>
      <c r="F1658" s="94">
        <v>45907.579618055555</v>
      </c>
      <c r="G1658" s="90">
        <v>45113.55231481481</v>
      </c>
      <c r="H1658" s="1" t="s">
        <v>16476</v>
      </c>
    </row>
    <row r="1659">
      <c r="A1659" s="93">
        <v>1818.0</v>
      </c>
      <c r="B1659" s="92" t="s">
        <v>18927</v>
      </c>
      <c r="C1659" s="92" t="s">
        <v>9532</v>
      </c>
      <c r="D1659" s="92" t="s">
        <v>16044</v>
      </c>
      <c r="E1659" s="94">
        <v>45233.36137731482</v>
      </c>
      <c r="F1659" s="94">
        <v>45907.57929398148</v>
      </c>
      <c r="G1659" s="90">
        <v>45113.552083333336</v>
      </c>
      <c r="H1659" s="1" t="s">
        <v>16476</v>
      </c>
    </row>
    <row r="1660">
      <c r="A1660" s="93">
        <v>1806.0</v>
      </c>
      <c r="B1660" s="92" t="s">
        <v>12828</v>
      </c>
      <c r="C1660" s="92" t="s">
        <v>12825</v>
      </c>
      <c r="D1660" s="92" t="s">
        <v>16044</v>
      </c>
      <c r="E1660" s="94">
        <v>45233.358310185184</v>
      </c>
      <c r="F1660" s="94">
        <v>45907.57894675926</v>
      </c>
      <c r="G1660" s="90">
        <v>45113.55204861111</v>
      </c>
      <c r="H1660" s="1" t="s">
        <v>16476</v>
      </c>
    </row>
    <row r="1661">
      <c r="A1661" s="93">
        <v>1825.0</v>
      </c>
      <c r="B1661" s="92" t="s">
        <v>18928</v>
      </c>
      <c r="C1661" s="92" t="s">
        <v>11691</v>
      </c>
      <c r="D1661" s="92" t="s">
        <v>16044</v>
      </c>
      <c r="E1661" s="94">
        <v>45233.36819444445</v>
      </c>
      <c r="F1661" s="94">
        <v>45907.57850694445</v>
      </c>
      <c r="G1661" s="90">
        <v>45113.55185185185</v>
      </c>
      <c r="H1661" s="1" t="s">
        <v>16476</v>
      </c>
    </row>
    <row r="1662">
      <c r="A1662" s="93">
        <v>1812.0</v>
      </c>
      <c r="B1662" s="92" t="s">
        <v>18929</v>
      </c>
      <c r="C1662" s="92" t="s">
        <v>11702</v>
      </c>
      <c r="D1662" s="92" t="s">
        <v>16044</v>
      </c>
      <c r="E1662" s="94">
        <v>45233.359085648146</v>
      </c>
      <c r="F1662" s="94">
        <v>45907.57813657408</v>
      </c>
      <c r="G1662" s="90">
        <v>45113.55175925926</v>
      </c>
      <c r="H1662" s="1" t="s">
        <v>16476</v>
      </c>
    </row>
    <row r="1663">
      <c r="A1663" s="93">
        <v>1822.0</v>
      </c>
      <c r="B1663" s="92" t="s">
        <v>17497</v>
      </c>
      <c r="C1663" s="92" t="s">
        <v>14704</v>
      </c>
      <c r="D1663" s="92" t="s">
        <v>16044</v>
      </c>
      <c r="E1663" s="94">
        <v>45233.36524305555</v>
      </c>
      <c r="F1663" s="94">
        <v>45907.577673611115</v>
      </c>
      <c r="G1663" s="90">
        <v>45113.55153935185</v>
      </c>
      <c r="H1663" s="1" t="s">
        <v>16476</v>
      </c>
    </row>
    <row r="1664">
      <c r="A1664" s="93">
        <v>1829.0</v>
      </c>
      <c r="B1664" s="92" t="s">
        <v>17498</v>
      </c>
      <c r="C1664" s="92" t="s">
        <v>6200</v>
      </c>
      <c r="D1664" s="92" t="s">
        <v>16044</v>
      </c>
      <c r="E1664" s="94">
        <v>45233.37552083333</v>
      </c>
      <c r="F1664" s="94">
        <v>45907.57729166667</v>
      </c>
      <c r="G1664" s="90">
        <v>45113.551469907405</v>
      </c>
      <c r="H1664" s="1" t="s">
        <v>16476</v>
      </c>
    </row>
    <row r="1665">
      <c r="A1665" s="93">
        <v>1821.0</v>
      </c>
      <c r="B1665" s="92" t="s">
        <v>11730</v>
      </c>
      <c r="C1665" s="92" t="s">
        <v>11728</v>
      </c>
      <c r="D1665" s="92" t="s">
        <v>16044</v>
      </c>
      <c r="E1665" s="94">
        <v>45233.365011574075</v>
      </c>
      <c r="F1665" s="94">
        <v>45907.57690972222</v>
      </c>
      <c r="G1665" s="90">
        <v>45113.55134259259</v>
      </c>
      <c r="H1665" s="1" t="s">
        <v>16476</v>
      </c>
    </row>
    <row r="1666">
      <c r="A1666" s="93">
        <v>1831.0</v>
      </c>
      <c r="B1666" s="92" t="s">
        <v>18930</v>
      </c>
      <c r="C1666" s="92" t="s">
        <v>9552</v>
      </c>
      <c r="D1666" s="92" t="s">
        <v>16044</v>
      </c>
      <c r="E1666" s="94">
        <v>45236.35460648148</v>
      </c>
      <c r="F1666" s="94">
        <v>45907.57653935185</v>
      </c>
      <c r="G1666" s="90">
        <v>45113.551203703704</v>
      </c>
      <c r="H1666" s="1" t="s">
        <v>16476</v>
      </c>
    </row>
    <row r="1667">
      <c r="A1667" s="93">
        <v>1807.0</v>
      </c>
      <c r="B1667" s="92" t="s">
        <v>17499</v>
      </c>
      <c r="C1667" s="92" t="s">
        <v>11710</v>
      </c>
      <c r="D1667" s="92" t="s">
        <v>16044</v>
      </c>
      <c r="E1667" s="94">
        <v>45233.358310185184</v>
      </c>
      <c r="F1667" s="94">
        <v>45907.576145833336</v>
      </c>
      <c r="G1667" s="90">
        <v>45113.55113425926</v>
      </c>
      <c r="H1667" s="1" t="s">
        <v>16476</v>
      </c>
    </row>
    <row r="1668">
      <c r="A1668" s="93">
        <v>1827.0</v>
      </c>
      <c r="B1668" s="92" t="s">
        <v>18931</v>
      </c>
      <c r="C1668" s="92" t="s">
        <v>11697</v>
      </c>
      <c r="D1668" s="92" t="s">
        <v>16044</v>
      </c>
      <c r="E1668" s="94">
        <v>45233.36912037037</v>
      </c>
      <c r="F1668" s="94">
        <v>45907.57581018518</v>
      </c>
      <c r="G1668" s="90">
        <v>45113.55081018519</v>
      </c>
      <c r="H1668" s="1" t="s">
        <v>16476</v>
      </c>
    </row>
    <row r="1669">
      <c r="A1669" s="93">
        <v>1805.0</v>
      </c>
      <c r="B1669" s="92" t="s">
        <v>18932</v>
      </c>
      <c r="C1669" s="92" t="s">
        <v>8147</v>
      </c>
      <c r="D1669" s="92" t="s">
        <v>16044</v>
      </c>
      <c r="E1669" s="94">
        <v>45233.357453703706</v>
      </c>
      <c r="F1669" s="94">
        <v>45907.57541666667</v>
      </c>
      <c r="G1669" s="90">
        <v>45113.55074074074</v>
      </c>
      <c r="H1669" s="1" t="s">
        <v>16476</v>
      </c>
    </row>
    <row r="1670">
      <c r="A1670" s="93">
        <v>1810.0</v>
      </c>
      <c r="B1670" s="92" t="s">
        <v>18933</v>
      </c>
      <c r="C1670" s="92" t="s">
        <v>11707</v>
      </c>
      <c r="D1670" s="92" t="s">
        <v>16044</v>
      </c>
      <c r="E1670" s="94">
        <v>45233.35885416667</v>
      </c>
      <c r="F1670" s="94">
        <v>45907.57503472222</v>
      </c>
      <c r="G1670" s="90">
        <v>45113.55061342593</v>
      </c>
      <c r="H1670" s="1" t="s">
        <v>16476</v>
      </c>
    </row>
    <row r="1671">
      <c r="A1671" s="93">
        <v>1832.0</v>
      </c>
      <c r="B1671" s="92" t="s">
        <v>18934</v>
      </c>
      <c r="C1671" s="92" t="s">
        <v>9277</v>
      </c>
      <c r="D1671" s="92" t="s">
        <v>16044</v>
      </c>
      <c r="E1671" s="94">
        <v>45236.35592592593</v>
      </c>
      <c r="F1671" s="94">
        <v>45907.57467592593</v>
      </c>
      <c r="G1671" s="90">
        <v>45113.55054398148</v>
      </c>
      <c r="H1671" s="1" t="s">
        <v>16476</v>
      </c>
    </row>
    <row r="1672">
      <c r="A1672" s="93">
        <v>1808.0</v>
      </c>
      <c r="B1672" s="92" t="s">
        <v>18935</v>
      </c>
      <c r="C1672" s="92" t="s">
        <v>9512</v>
      </c>
      <c r="D1672" s="92" t="s">
        <v>16044</v>
      </c>
      <c r="E1672" s="94">
        <v>45233.35832175926</v>
      </c>
      <c r="F1672" s="94">
        <v>45907.57417824074</v>
      </c>
      <c r="G1672" s="90">
        <v>45113.55048611111</v>
      </c>
      <c r="H1672" s="1" t="s">
        <v>16476</v>
      </c>
    </row>
    <row r="1673">
      <c r="A1673" s="93">
        <v>1828.0</v>
      </c>
      <c r="B1673" s="92" t="s">
        <v>18936</v>
      </c>
      <c r="C1673" s="92" t="s">
        <v>9525</v>
      </c>
      <c r="D1673" s="92" t="s">
        <v>16044</v>
      </c>
      <c r="E1673" s="94">
        <v>45233.370104166665</v>
      </c>
      <c r="F1673" s="94">
        <v>45907.57371527778</v>
      </c>
      <c r="G1673" s="90">
        <v>45113.55039351852</v>
      </c>
      <c r="H1673" s="1" t="s">
        <v>16476</v>
      </c>
    </row>
    <row r="1674">
      <c r="A1674" s="93">
        <v>1817.0</v>
      </c>
      <c r="B1674" s="92" t="s">
        <v>17504</v>
      </c>
      <c r="C1674" s="92" t="s">
        <v>11684</v>
      </c>
      <c r="D1674" s="92" t="s">
        <v>16044</v>
      </c>
      <c r="E1674" s="94">
        <v>45233.3602662037</v>
      </c>
      <c r="F1674" s="94">
        <v>45907.573125</v>
      </c>
      <c r="G1674" s="90">
        <v>45113.55017361111</v>
      </c>
      <c r="H1674" s="1" t="s">
        <v>16476</v>
      </c>
    </row>
    <row r="1675">
      <c r="A1675" s="93">
        <v>1809.0</v>
      </c>
      <c r="B1675" s="92" t="s">
        <v>18937</v>
      </c>
      <c r="C1675" s="92" t="s">
        <v>6807</v>
      </c>
      <c r="D1675" s="92" t="s">
        <v>16044</v>
      </c>
      <c r="E1675" s="94">
        <v>45233.35857638889</v>
      </c>
      <c r="F1675" s="94">
        <v>45907.56993055555</v>
      </c>
      <c r="G1675" s="90">
        <v>45113.55013888889</v>
      </c>
      <c r="H1675" s="1" t="s">
        <v>16476</v>
      </c>
    </row>
    <row r="1676">
      <c r="A1676" s="93">
        <v>1813.0</v>
      </c>
      <c r="B1676" s="92" t="s">
        <v>18938</v>
      </c>
      <c r="C1676" s="92" t="s">
        <v>12671</v>
      </c>
      <c r="D1676" s="92" t="s">
        <v>16044</v>
      </c>
      <c r="E1676" s="94">
        <v>45233.359502314815</v>
      </c>
      <c r="F1676" s="94">
        <v>45907.569502314815</v>
      </c>
      <c r="G1676" s="90">
        <v>45113.550046296295</v>
      </c>
      <c r="H1676" s="1" t="s">
        <v>16476</v>
      </c>
    </row>
    <row r="1677">
      <c r="A1677" s="93">
        <v>1816.0</v>
      </c>
      <c r="B1677" s="92" t="s">
        <v>18939</v>
      </c>
      <c r="C1677" s="92" t="s">
        <v>8133</v>
      </c>
      <c r="D1677" s="92" t="s">
        <v>16044</v>
      </c>
      <c r="E1677" s="94">
        <v>45233.36009259259</v>
      </c>
      <c r="F1677" s="94">
        <v>45907.56885416667</v>
      </c>
      <c r="G1677" s="90">
        <v>45113.54993055556</v>
      </c>
      <c r="H1677" s="1" t="s">
        <v>16476</v>
      </c>
    </row>
    <row r="1678">
      <c r="A1678" s="93">
        <v>1823.0</v>
      </c>
      <c r="B1678" s="92" t="s">
        <v>18940</v>
      </c>
      <c r="C1678" s="92" t="s">
        <v>10188</v>
      </c>
      <c r="D1678" s="92" t="s">
        <v>16044</v>
      </c>
      <c r="E1678" s="94">
        <v>45233.366631944446</v>
      </c>
      <c r="F1678" s="94">
        <v>45907.56847222222</v>
      </c>
      <c r="G1678" s="90">
        <v>45113.549780092595</v>
      </c>
      <c r="H1678" s="1" t="s">
        <v>16476</v>
      </c>
    </row>
    <row r="1679">
      <c r="A1679" s="93">
        <v>1824.0</v>
      </c>
      <c r="B1679" s="92" t="s">
        <v>18941</v>
      </c>
      <c r="C1679" s="92" t="s">
        <v>11824</v>
      </c>
      <c r="D1679" s="92" t="s">
        <v>16044</v>
      </c>
      <c r="E1679" s="94">
        <v>45233.36717592592</v>
      </c>
      <c r="F1679" s="94">
        <v>45907.56804398148</v>
      </c>
      <c r="G1679" s="90">
        <v>45113.549733796295</v>
      </c>
      <c r="H1679" s="1" t="s">
        <v>16476</v>
      </c>
    </row>
    <row r="1680">
      <c r="A1680" s="93">
        <v>1815.0</v>
      </c>
      <c r="B1680" s="92" t="s">
        <v>18942</v>
      </c>
      <c r="C1680" s="92" t="s">
        <v>6813</v>
      </c>
      <c r="D1680" s="92" t="s">
        <v>16044</v>
      </c>
      <c r="E1680" s="94">
        <v>45233.35989583333</v>
      </c>
      <c r="F1680" s="94">
        <v>45907.56762731481</v>
      </c>
      <c r="G1680" s="90">
        <v>45113.54969907407</v>
      </c>
      <c r="H1680" s="1" t="s">
        <v>16476</v>
      </c>
    </row>
    <row r="1681">
      <c r="A1681" s="93">
        <v>1811.0</v>
      </c>
      <c r="B1681" s="92" t="s">
        <v>18943</v>
      </c>
      <c r="C1681" s="92" t="s">
        <v>9506</v>
      </c>
      <c r="D1681" s="92" t="s">
        <v>16044</v>
      </c>
      <c r="E1681" s="94">
        <v>45233.35901620371</v>
      </c>
      <c r="F1681" s="94">
        <v>45907.56725694444</v>
      </c>
      <c r="G1681" s="90">
        <v>45113.549675925926</v>
      </c>
      <c r="H1681" s="1" t="s">
        <v>16476</v>
      </c>
    </row>
    <row r="1682">
      <c r="A1682" s="93">
        <v>1863.0</v>
      </c>
      <c r="B1682" s="92" t="s">
        <v>18944</v>
      </c>
      <c r="C1682" s="92" t="s">
        <v>14597</v>
      </c>
      <c r="D1682" s="92" t="s">
        <v>16044</v>
      </c>
      <c r="E1682" s="94">
        <v>45245.39826388889</v>
      </c>
      <c r="F1682" s="94">
        <v>45907.56663194444</v>
      </c>
      <c r="G1682" s="90">
        <v>45113.54958333333</v>
      </c>
      <c r="H1682" s="1" t="s">
        <v>16476</v>
      </c>
    </row>
    <row r="1683">
      <c r="A1683" s="93">
        <v>1677.0</v>
      </c>
      <c r="B1683" s="92" t="s">
        <v>17510</v>
      </c>
      <c r="C1683" s="92" t="s">
        <v>11970</v>
      </c>
      <c r="D1683" s="92" t="s">
        <v>16044</v>
      </c>
      <c r="E1683" s="94">
        <v>45113.55880787037</v>
      </c>
      <c r="F1683" s="94">
        <v>45907.55721064815</v>
      </c>
      <c r="G1683" s="90">
        <v>45113.54951388889</v>
      </c>
      <c r="H1683" s="1" t="s">
        <v>16476</v>
      </c>
    </row>
    <row r="1684">
      <c r="A1684" s="93">
        <v>770.0</v>
      </c>
      <c r="B1684" s="92" t="s">
        <v>17511</v>
      </c>
      <c r="C1684" s="92" t="s">
        <v>9838</v>
      </c>
      <c r="D1684" s="92" t="s">
        <v>16044</v>
      </c>
      <c r="E1684" s="94">
        <v>45113.54549768518</v>
      </c>
      <c r="F1684" s="94">
        <v>45907.55637731482</v>
      </c>
      <c r="G1684" s="90">
        <v>45113.54924768519</v>
      </c>
      <c r="H1684" s="1" t="s">
        <v>16476</v>
      </c>
    </row>
    <row r="1685">
      <c r="A1685" s="93">
        <v>2201.0</v>
      </c>
      <c r="B1685" s="92" t="s">
        <v>17512</v>
      </c>
      <c r="C1685" s="92" t="s">
        <v>18945</v>
      </c>
      <c r="D1685" s="92" t="s">
        <v>16044</v>
      </c>
      <c r="E1685" s="94">
        <v>45662.59002314815</v>
      </c>
      <c r="F1685" s="94">
        <v>45907.555763888886</v>
      </c>
      <c r="G1685" s="90">
        <v>45113.54914351852</v>
      </c>
      <c r="H1685" s="1" t="s">
        <v>16476</v>
      </c>
    </row>
    <row r="1686">
      <c r="A1686" s="93">
        <v>847.0</v>
      </c>
      <c r="B1686" s="92" t="s">
        <v>17513</v>
      </c>
      <c r="C1686" s="92" t="s">
        <v>9416</v>
      </c>
      <c r="D1686" s="92" t="s">
        <v>16044</v>
      </c>
      <c r="E1686" s="94">
        <v>45113.546643518515</v>
      </c>
      <c r="F1686" s="94">
        <v>45907.554872685185</v>
      </c>
      <c r="G1686" s="90">
        <v>45113.54903935185</v>
      </c>
      <c r="H1686" s="1" t="s">
        <v>16476</v>
      </c>
    </row>
    <row r="1687">
      <c r="A1687" s="93">
        <v>764.0</v>
      </c>
      <c r="B1687" s="92" t="s">
        <v>17514</v>
      </c>
      <c r="C1687" s="92" t="s">
        <v>9344</v>
      </c>
      <c r="D1687" s="92" t="s">
        <v>16044</v>
      </c>
      <c r="E1687" s="94">
        <v>45113.54540509259</v>
      </c>
      <c r="F1687" s="94">
        <v>45907.55394675926</v>
      </c>
      <c r="G1687" s="90">
        <v>45113.54902777778</v>
      </c>
      <c r="H1687" s="1" t="s">
        <v>16476</v>
      </c>
    </row>
    <row r="1688">
      <c r="A1688" s="93">
        <v>1557.0</v>
      </c>
      <c r="B1688" s="92" t="s">
        <v>17515</v>
      </c>
      <c r="C1688" s="92" t="s">
        <v>6990</v>
      </c>
      <c r="D1688" s="92" t="s">
        <v>16044</v>
      </c>
      <c r="E1688" s="94">
        <v>45113.55704861111</v>
      </c>
      <c r="F1688" s="94">
        <v>45907.553564814814</v>
      </c>
      <c r="G1688" s="90">
        <v>45113.54887731482</v>
      </c>
      <c r="H1688" s="1" t="s">
        <v>16476</v>
      </c>
    </row>
    <row r="1689">
      <c r="A1689" s="93">
        <v>1330.0</v>
      </c>
      <c r="B1689" s="92" t="s">
        <v>17516</v>
      </c>
      <c r="C1689" s="92" t="s">
        <v>12421</v>
      </c>
      <c r="D1689" s="92" t="s">
        <v>16044</v>
      </c>
      <c r="E1689" s="94">
        <v>45113.55372685185</v>
      </c>
      <c r="F1689" s="94">
        <v>45907.55226851852</v>
      </c>
      <c r="G1689" s="90">
        <v>45113.54886574074</v>
      </c>
      <c r="H1689" s="1" t="s">
        <v>16476</v>
      </c>
    </row>
    <row r="1690">
      <c r="A1690" s="93">
        <v>1186.0</v>
      </c>
      <c r="B1690" s="92" t="s">
        <v>17517</v>
      </c>
      <c r="C1690" s="92" t="s">
        <v>5349</v>
      </c>
      <c r="D1690" s="92" t="s">
        <v>16044</v>
      </c>
      <c r="E1690" s="94">
        <v>45113.55163194444</v>
      </c>
      <c r="F1690" s="94">
        <v>45907.550532407404</v>
      </c>
      <c r="G1690" s="90">
        <v>45113.54881944445</v>
      </c>
      <c r="H1690" s="1" t="s">
        <v>16476</v>
      </c>
    </row>
    <row r="1691">
      <c r="A1691" s="93">
        <v>1441.0</v>
      </c>
      <c r="B1691" s="92" t="s">
        <v>17518</v>
      </c>
      <c r="C1691" s="92" t="s">
        <v>12956</v>
      </c>
      <c r="D1691" s="92" t="s">
        <v>16044</v>
      </c>
      <c r="E1691" s="94">
        <v>45113.555347222224</v>
      </c>
      <c r="F1691" s="94">
        <v>45907.55017361111</v>
      </c>
      <c r="G1691" s="90">
        <v>45113.54877314815</v>
      </c>
      <c r="H1691" s="1" t="s">
        <v>16476</v>
      </c>
    </row>
    <row r="1692">
      <c r="A1692" s="93">
        <v>1851.0</v>
      </c>
      <c r="B1692" s="92" t="s">
        <v>18946</v>
      </c>
      <c r="C1692" s="92" t="s">
        <v>14145</v>
      </c>
      <c r="D1692" s="92" t="s">
        <v>16044</v>
      </c>
      <c r="E1692" s="94">
        <v>45245.39673611111</v>
      </c>
      <c r="F1692" s="94">
        <v>45907.548796296294</v>
      </c>
      <c r="G1692" s="90">
        <v>45113.54876157407</v>
      </c>
      <c r="H1692" s="1" t="s">
        <v>16476</v>
      </c>
    </row>
    <row r="1693">
      <c r="A1693" s="93">
        <v>824.0</v>
      </c>
      <c r="B1693" s="92" t="s">
        <v>17520</v>
      </c>
      <c r="C1693" s="92" t="s">
        <v>9435</v>
      </c>
      <c r="D1693" s="92" t="s">
        <v>16044</v>
      </c>
      <c r="E1693" s="94">
        <v>45113.54630787037</v>
      </c>
      <c r="F1693" s="94">
        <v>45907.548125</v>
      </c>
      <c r="G1693" s="90">
        <v>45113.548726851855</v>
      </c>
      <c r="H1693" s="1" t="s">
        <v>16476</v>
      </c>
    </row>
    <row r="1694">
      <c r="A1694" s="93">
        <v>667.0</v>
      </c>
      <c r="B1694" s="92" t="s">
        <v>17521</v>
      </c>
      <c r="C1694" s="92" t="s">
        <v>6003</v>
      </c>
      <c r="D1694" s="92" t="s">
        <v>16044</v>
      </c>
      <c r="E1694" s="94">
        <v>45113.54393518518</v>
      </c>
      <c r="F1694" s="94">
        <v>45907.54767361111</v>
      </c>
      <c r="G1694" s="90">
        <v>45113.54861111111</v>
      </c>
      <c r="H1694" s="1" t="s">
        <v>16476</v>
      </c>
    </row>
    <row r="1695">
      <c r="A1695" s="93">
        <v>1854.0</v>
      </c>
      <c r="B1695" s="92" t="s">
        <v>17522</v>
      </c>
      <c r="C1695" s="92" t="s">
        <v>18947</v>
      </c>
      <c r="D1695" s="92" t="s">
        <v>16044</v>
      </c>
      <c r="E1695" s="94">
        <v>45245.39677083334</v>
      </c>
      <c r="F1695" s="94">
        <v>45907.54653935185</v>
      </c>
      <c r="G1695" s="90">
        <v>45113.54854166666</v>
      </c>
      <c r="H1695" s="1" t="s">
        <v>16476</v>
      </c>
    </row>
    <row r="1696">
      <c r="A1696" s="93">
        <v>1864.0</v>
      </c>
      <c r="B1696" s="92" t="s">
        <v>17523</v>
      </c>
      <c r="C1696" s="92" t="s">
        <v>14127</v>
      </c>
      <c r="D1696" s="92" t="s">
        <v>16044</v>
      </c>
      <c r="E1696" s="94">
        <v>45245.403819444444</v>
      </c>
      <c r="F1696" s="94">
        <v>45907.54456018518</v>
      </c>
      <c r="G1696" s="90">
        <v>45113.548425925925</v>
      </c>
      <c r="H1696" s="1" t="s">
        <v>16476</v>
      </c>
    </row>
    <row r="1697">
      <c r="A1697" s="93">
        <v>1294.0</v>
      </c>
      <c r="B1697" s="92" t="s">
        <v>17524</v>
      </c>
      <c r="C1697" s="92" t="s">
        <v>12740</v>
      </c>
      <c r="D1697" s="92" t="s">
        <v>16044</v>
      </c>
      <c r="E1697" s="94">
        <v>45113.55320601852</v>
      </c>
      <c r="F1697" s="94">
        <v>45905.02337962963</v>
      </c>
      <c r="G1697" s="90">
        <v>45113.54828703704</v>
      </c>
      <c r="H1697" s="1" t="s">
        <v>16476</v>
      </c>
    </row>
    <row r="1698">
      <c r="A1698" s="93">
        <v>921.0</v>
      </c>
      <c r="B1698" s="92" t="s">
        <v>17525</v>
      </c>
      <c r="C1698" s="92" t="s">
        <v>9109</v>
      </c>
      <c r="D1698" s="92" t="s">
        <v>16044</v>
      </c>
      <c r="E1698" s="94">
        <v>45113.54771990741</v>
      </c>
      <c r="F1698" s="94">
        <v>45905.022372685184</v>
      </c>
      <c r="G1698" s="90">
        <v>45113.548263888886</v>
      </c>
      <c r="H1698" s="1" t="s">
        <v>16476</v>
      </c>
    </row>
    <row r="1699">
      <c r="A1699" s="93">
        <v>1954.0</v>
      </c>
      <c r="B1699" s="92" t="s">
        <v>18948</v>
      </c>
      <c r="C1699" s="92" t="s">
        <v>13055</v>
      </c>
      <c r="D1699" s="92" t="s">
        <v>16044</v>
      </c>
      <c r="E1699" s="94">
        <v>45377.419340277775</v>
      </c>
      <c r="F1699" s="94">
        <v>45905.01541666667</v>
      </c>
      <c r="G1699" s="90">
        <v>45113.54825231482</v>
      </c>
      <c r="H1699" s="1" t="s">
        <v>16476</v>
      </c>
    </row>
    <row r="1700">
      <c r="A1700" s="93">
        <v>2125.0</v>
      </c>
      <c r="B1700" s="92" t="s">
        <v>18949</v>
      </c>
      <c r="C1700" s="92" t="s">
        <v>18950</v>
      </c>
      <c r="D1700" s="92" t="s">
        <v>16044</v>
      </c>
      <c r="E1700" s="94">
        <v>45604.51694444445</v>
      </c>
      <c r="F1700" s="94">
        <v>45905.01489583333</v>
      </c>
      <c r="G1700" s="90">
        <v>45113.54820601852</v>
      </c>
      <c r="H1700" s="1" t="s">
        <v>16476</v>
      </c>
    </row>
    <row r="1701">
      <c r="A1701" s="93">
        <v>1955.0</v>
      </c>
      <c r="B1701" s="92" t="s">
        <v>18949</v>
      </c>
      <c r="C1701" s="92" t="s">
        <v>9682</v>
      </c>
      <c r="D1701" s="92" t="s">
        <v>16044</v>
      </c>
      <c r="E1701" s="94">
        <v>45377.41957175926</v>
      </c>
      <c r="F1701" s="94">
        <v>45905.014756944445</v>
      </c>
      <c r="G1701" s="90">
        <v>45113.54800925926</v>
      </c>
      <c r="H1701" s="1" t="s">
        <v>16476</v>
      </c>
    </row>
    <row r="1702">
      <c r="A1702" s="93">
        <v>1958.0</v>
      </c>
      <c r="B1702" s="92" t="s">
        <v>17526</v>
      </c>
      <c r="C1702" s="92" t="s">
        <v>13030</v>
      </c>
      <c r="D1702" s="92" t="s">
        <v>16044</v>
      </c>
      <c r="E1702" s="94">
        <v>45377.42465277778</v>
      </c>
      <c r="F1702" s="94">
        <v>45905.013333333336</v>
      </c>
      <c r="G1702" s="90">
        <v>45113.54797453704</v>
      </c>
      <c r="H1702" s="1" t="s">
        <v>16476</v>
      </c>
    </row>
    <row r="1703">
      <c r="A1703" s="93">
        <v>1963.0</v>
      </c>
      <c r="B1703" s="92" t="s">
        <v>18951</v>
      </c>
      <c r="C1703" s="92" t="s">
        <v>13070</v>
      </c>
      <c r="D1703" s="92" t="s">
        <v>16044</v>
      </c>
      <c r="E1703" s="94">
        <v>45378.51400462963</v>
      </c>
      <c r="F1703" s="94">
        <v>45905.01280092593</v>
      </c>
      <c r="G1703" s="90">
        <v>45113.5478125</v>
      </c>
      <c r="H1703" s="1" t="s">
        <v>16476</v>
      </c>
    </row>
    <row r="1704">
      <c r="A1704" s="93">
        <v>1960.0</v>
      </c>
      <c r="B1704" s="92" t="s">
        <v>18952</v>
      </c>
      <c r="C1704" s="92" t="s">
        <v>12071</v>
      </c>
      <c r="D1704" s="92" t="s">
        <v>16044</v>
      </c>
      <c r="E1704" s="94">
        <v>45378.511041666665</v>
      </c>
      <c r="F1704" s="94">
        <v>45905.01186342593</v>
      </c>
      <c r="G1704" s="90">
        <v>45113.54775462963</v>
      </c>
      <c r="H1704" s="1" t="s">
        <v>16476</v>
      </c>
    </row>
    <row r="1705">
      <c r="A1705" s="93">
        <v>1956.0</v>
      </c>
      <c r="B1705" s="92" t="s">
        <v>18953</v>
      </c>
      <c r="C1705" s="92" t="s">
        <v>13012</v>
      </c>
      <c r="D1705" s="92" t="s">
        <v>16044</v>
      </c>
      <c r="E1705" s="94">
        <v>45377.419953703706</v>
      </c>
      <c r="F1705" s="94">
        <v>45905.01106481482</v>
      </c>
      <c r="G1705" s="90">
        <v>45113.54766203704</v>
      </c>
      <c r="H1705" s="1" t="s">
        <v>16476</v>
      </c>
    </row>
    <row r="1706">
      <c r="A1706" s="93">
        <v>1965.0</v>
      </c>
      <c r="B1706" s="92" t="s">
        <v>17529</v>
      </c>
      <c r="C1706" s="92" t="s">
        <v>10465</v>
      </c>
      <c r="D1706" s="92" t="s">
        <v>16044</v>
      </c>
      <c r="E1706" s="94">
        <v>45379.40578703704</v>
      </c>
      <c r="F1706" s="94">
        <v>45905.00861111111</v>
      </c>
      <c r="G1706" s="90">
        <v>45113.547638888886</v>
      </c>
      <c r="H1706" s="1" t="s">
        <v>16476</v>
      </c>
    </row>
    <row r="1707">
      <c r="A1707" s="93">
        <v>1968.0</v>
      </c>
      <c r="B1707" s="92" t="s">
        <v>17530</v>
      </c>
      <c r="C1707" s="92" t="s">
        <v>13036</v>
      </c>
      <c r="D1707" s="92" t="s">
        <v>16044</v>
      </c>
      <c r="E1707" s="94">
        <v>45384.41068287037</v>
      </c>
      <c r="F1707" s="94">
        <v>45905.0080787037</v>
      </c>
      <c r="G1707" s="90">
        <v>45113.54761574074</v>
      </c>
      <c r="H1707" s="1" t="s">
        <v>16476</v>
      </c>
    </row>
    <row r="1708">
      <c r="A1708" s="93">
        <v>1967.0</v>
      </c>
      <c r="B1708" s="92" t="s">
        <v>18954</v>
      </c>
      <c r="C1708" s="92" t="s">
        <v>6873</v>
      </c>
      <c r="D1708" s="92" t="s">
        <v>16044</v>
      </c>
      <c r="E1708" s="94">
        <v>45384.410462962966</v>
      </c>
      <c r="F1708" s="94">
        <v>45905.00751157408</v>
      </c>
      <c r="G1708" s="90">
        <v>45113.547372685185</v>
      </c>
      <c r="H1708" s="1" t="s">
        <v>16476</v>
      </c>
    </row>
    <row r="1709">
      <c r="A1709" s="93">
        <v>1966.0</v>
      </c>
      <c r="B1709" s="92" t="s">
        <v>18955</v>
      </c>
      <c r="C1709" s="92" t="s">
        <v>13051</v>
      </c>
      <c r="D1709" s="92" t="s">
        <v>16044</v>
      </c>
      <c r="E1709" s="94">
        <v>45384.40971064815</v>
      </c>
      <c r="F1709" s="94">
        <v>45905.00693287037</v>
      </c>
      <c r="G1709" s="90">
        <v>45113.54730324074</v>
      </c>
      <c r="H1709" s="1" t="s">
        <v>16476</v>
      </c>
    </row>
    <row r="1710">
      <c r="A1710" s="93">
        <v>1952.0</v>
      </c>
      <c r="B1710" s="92" t="s">
        <v>17533</v>
      </c>
      <c r="C1710" s="92" t="s">
        <v>6906</v>
      </c>
      <c r="D1710" s="92" t="s">
        <v>16044</v>
      </c>
      <c r="E1710" s="94">
        <v>45377.416817129626</v>
      </c>
      <c r="F1710" s="94">
        <v>45905.00635416667</v>
      </c>
      <c r="G1710" s="90">
        <v>45113.547106481485</v>
      </c>
      <c r="H1710" s="1" t="s">
        <v>16476</v>
      </c>
    </row>
    <row r="1711">
      <c r="A1711" s="93">
        <v>2184.0</v>
      </c>
      <c r="B1711" s="92" t="s">
        <v>17798</v>
      </c>
      <c r="C1711" s="92" t="s">
        <v>18956</v>
      </c>
      <c r="D1711" s="92" t="s">
        <v>16044</v>
      </c>
      <c r="E1711" s="94">
        <v>45632.509247685186</v>
      </c>
      <c r="F1711" s="94">
        <v>45905.00299768519</v>
      </c>
      <c r="G1711" s="90">
        <v>45113.54699074074</v>
      </c>
      <c r="H1711" s="1" t="s">
        <v>16476</v>
      </c>
    </row>
    <row r="1712">
      <c r="A1712" s="93">
        <v>2317.0</v>
      </c>
      <c r="B1712" s="92" t="s">
        <v>17562</v>
      </c>
      <c r="C1712" s="92" t="s">
        <v>18957</v>
      </c>
      <c r="D1712" s="92" t="s">
        <v>18787</v>
      </c>
      <c r="E1712" s="94">
        <v>45818.757835648146</v>
      </c>
      <c r="F1712" s="94">
        <v>45883.87590277778</v>
      </c>
      <c r="G1712" s="90">
        <v>45113.54690972222</v>
      </c>
      <c r="H1712" s="1" t="s">
        <v>16476</v>
      </c>
    </row>
    <row r="1713">
      <c r="A1713" s="93">
        <v>2346.0</v>
      </c>
      <c r="B1713" s="92" t="s">
        <v>18958</v>
      </c>
      <c r="C1713" s="92" t="s">
        <v>7909</v>
      </c>
      <c r="D1713" s="92" t="s">
        <v>16044</v>
      </c>
      <c r="E1713" s="94">
        <v>45845.606782407405</v>
      </c>
      <c r="F1713" s="94">
        <v>45862.434537037036</v>
      </c>
      <c r="G1713" s="90">
        <v>45113.54688657408</v>
      </c>
      <c r="H1713" s="1" t="s">
        <v>16476</v>
      </c>
    </row>
    <row r="1714">
      <c r="A1714" s="93">
        <v>2369.0</v>
      </c>
      <c r="B1714" s="92" t="s">
        <v>17534</v>
      </c>
      <c r="C1714" s="92" t="s">
        <v>12109</v>
      </c>
      <c r="D1714" s="92" t="s">
        <v>16044</v>
      </c>
      <c r="E1714" s="94">
        <v>45861.49537037037</v>
      </c>
      <c r="F1714" s="94">
        <v>45861.495833333334</v>
      </c>
      <c r="G1714" s="90">
        <v>45113.5468287037</v>
      </c>
      <c r="H1714" s="1" t="s">
        <v>16476</v>
      </c>
    </row>
    <row r="1715">
      <c r="A1715" s="93">
        <v>2321.0</v>
      </c>
      <c r="B1715" s="92" t="s">
        <v>18959</v>
      </c>
      <c r="C1715" s="92" t="s">
        <v>18960</v>
      </c>
      <c r="D1715" s="92" t="s">
        <v>18877</v>
      </c>
      <c r="E1715" s="94">
        <v>45840.71671296296</v>
      </c>
      <c r="F1715" s="94">
        <v>45860.65362268518</v>
      </c>
      <c r="G1715" s="90">
        <v>45113.54667824074</v>
      </c>
      <c r="H1715" s="1" t="s">
        <v>16476</v>
      </c>
    </row>
    <row r="1716">
      <c r="A1716" s="93">
        <v>2368.0</v>
      </c>
      <c r="B1716" s="92" t="s">
        <v>17535</v>
      </c>
      <c r="C1716" s="92" t="s">
        <v>13576</v>
      </c>
      <c r="D1716" s="92" t="s">
        <v>16044</v>
      </c>
      <c r="E1716" s="94">
        <v>45856.4816087963</v>
      </c>
      <c r="F1716" s="94">
        <v>45856.48787037037</v>
      </c>
      <c r="G1716" s="90">
        <v>45113.5465625</v>
      </c>
      <c r="H1716" s="1" t="s">
        <v>16476</v>
      </c>
    </row>
    <row r="1717">
      <c r="A1717" s="93">
        <v>2354.0</v>
      </c>
      <c r="B1717" s="92" t="s">
        <v>18961</v>
      </c>
      <c r="C1717" s="92" t="s">
        <v>5818</v>
      </c>
      <c r="D1717" s="92" t="s">
        <v>16044</v>
      </c>
      <c r="E1717" s="94">
        <v>45848.543807870374</v>
      </c>
      <c r="F1717" s="94">
        <v>45855.77412037037</v>
      </c>
      <c r="G1717" s="90">
        <v>45113.54636574074</v>
      </c>
      <c r="H1717" s="1" t="s">
        <v>16476</v>
      </c>
    </row>
    <row r="1718">
      <c r="A1718" s="93">
        <v>2366.0</v>
      </c>
      <c r="B1718" s="92" t="s">
        <v>18962</v>
      </c>
      <c r="C1718" s="92" t="s">
        <v>12603</v>
      </c>
      <c r="D1718" s="92" t="s">
        <v>16044</v>
      </c>
      <c r="E1718" s="94">
        <v>45855.53142361111</v>
      </c>
      <c r="F1718" s="94">
        <v>45855.69488425926</v>
      </c>
      <c r="G1718" s="90">
        <v>45113.54622685185</v>
      </c>
      <c r="H1718" s="1" t="s">
        <v>16476</v>
      </c>
    </row>
    <row r="1719">
      <c r="A1719" s="93">
        <v>2365.0</v>
      </c>
      <c r="B1719" s="92" t="s">
        <v>17537</v>
      </c>
      <c r="C1719" s="92" t="s">
        <v>18963</v>
      </c>
      <c r="D1719" s="92" t="s">
        <v>16044</v>
      </c>
      <c r="E1719" s="94">
        <v>45854.56024305556</v>
      </c>
      <c r="F1719" s="94">
        <v>45854.59887731481</v>
      </c>
      <c r="G1719" s="90">
        <v>45113.546215277776</v>
      </c>
      <c r="H1719" s="1" t="s">
        <v>16476</v>
      </c>
    </row>
    <row r="1720">
      <c r="A1720" s="93">
        <v>2364.0</v>
      </c>
      <c r="B1720" s="92" t="s">
        <v>17538</v>
      </c>
      <c r="C1720" s="92" t="s">
        <v>18964</v>
      </c>
      <c r="D1720" s="92" t="s">
        <v>16044</v>
      </c>
      <c r="E1720" s="94">
        <v>45854.55606481482</v>
      </c>
      <c r="F1720" s="94">
        <v>45854.58627314815</v>
      </c>
      <c r="G1720" s="90">
        <v>45113.54592592592</v>
      </c>
      <c r="H1720" s="1" t="s">
        <v>16476</v>
      </c>
    </row>
    <row r="1721">
      <c r="A1721" s="93">
        <v>2361.0</v>
      </c>
      <c r="B1721" s="92" t="s">
        <v>18965</v>
      </c>
      <c r="C1721" s="92" t="s">
        <v>14157</v>
      </c>
      <c r="D1721" s="92" t="s">
        <v>16044</v>
      </c>
      <c r="E1721" s="94">
        <v>45853.477060185185</v>
      </c>
      <c r="F1721" s="94">
        <v>45853.49471064815</v>
      </c>
      <c r="G1721" s="90">
        <v>45113.54589120371</v>
      </c>
      <c r="H1721" s="1" t="s">
        <v>16476</v>
      </c>
    </row>
    <row r="1722">
      <c r="A1722" s="93">
        <v>2353.0</v>
      </c>
      <c r="B1722" s="92" t="s">
        <v>17539</v>
      </c>
      <c r="C1722" s="92" t="s">
        <v>13356</v>
      </c>
      <c r="D1722" s="92" t="s">
        <v>16044</v>
      </c>
      <c r="E1722" s="94">
        <v>45847.544652777775</v>
      </c>
      <c r="F1722" s="94">
        <v>45852.323333333334</v>
      </c>
      <c r="G1722" s="90">
        <v>45113.54578703704</v>
      </c>
      <c r="H1722" s="1" t="s">
        <v>16476</v>
      </c>
    </row>
    <row r="1723">
      <c r="A1723" s="93">
        <v>2356.0</v>
      </c>
      <c r="B1723" s="92" t="s">
        <v>17540</v>
      </c>
      <c r="C1723" s="92" t="s">
        <v>14014</v>
      </c>
      <c r="D1723" s="92" t="s">
        <v>16044</v>
      </c>
      <c r="E1723" s="94">
        <v>45849.858252314814</v>
      </c>
      <c r="F1723" s="94">
        <v>45849.8744212963</v>
      </c>
      <c r="G1723" s="90">
        <v>45113.545636574076</v>
      </c>
      <c r="H1723" s="1" t="s">
        <v>16476</v>
      </c>
    </row>
    <row r="1724">
      <c r="A1724" s="93">
        <v>2355.0</v>
      </c>
      <c r="B1724" s="92" t="s">
        <v>17541</v>
      </c>
      <c r="C1724" s="92" t="s">
        <v>15443</v>
      </c>
      <c r="D1724" s="92" t="s">
        <v>16044</v>
      </c>
      <c r="E1724" s="94">
        <v>45849.59805555556</v>
      </c>
      <c r="F1724" s="94">
        <v>45849.59861111111</v>
      </c>
      <c r="G1724" s="90">
        <v>45113.54560185185</v>
      </c>
      <c r="H1724" s="1" t="s">
        <v>16476</v>
      </c>
    </row>
    <row r="1725">
      <c r="A1725" s="93">
        <v>2350.0</v>
      </c>
      <c r="B1725" s="92" t="s">
        <v>18966</v>
      </c>
      <c r="C1725" s="92" t="s">
        <v>14064</v>
      </c>
      <c r="D1725" s="92" t="s">
        <v>16044</v>
      </c>
      <c r="E1725" s="94">
        <v>45846.73287037037</v>
      </c>
      <c r="F1725" s="94">
        <v>45847.57576388889</v>
      </c>
      <c r="G1725" s="90">
        <v>45113.54539351852</v>
      </c>
      <c r="H1725" s="1" t="s">
        <v>16476</v>
      </c>
    </row>
    <row r="1726">
      <c r="A1726" s="93">
        <v>2345.0</v>
      </c>
      <c r="B1726" s="92" t="s">
        <v>18967</v>
      </c>
      <c r="C1726" s="92" t="s">
        <v>6415</v>
      </c>
      <c r="D1726" s="92" t="s">
        <v>16044</v>
      </c>
      <c r="E1726" s="94">
        <v>45845.59935185185</v>
      </c>
      <c r="F1726" s="94">
        <v>45847.554456018515</v>
      </c>
      <c r="G1726" s="90">
        <v>45113.545335648145</v>
      </c>
      <c r="H1726" s="1" t="s">
        <v>16476</v>
      </c>
    </row>
    <row r="1727">
      <c r="A1727" s="93">
        <v>2348.0</v>
      </c>
      <c r="B1727" s="92" t="s">
        <v>18968</v>
      </c>
      <c r="C1727" s="92" t="s">
        <v>14313</v>
      </c>
      <c r="D1727" s="92" t="s">
        <v>16044</v>
      </c>
      <c r="E1727" s="94">
        <v>45846.37328703704</v>
      </c>
      <c r="F1727" s="94">
        <v>45847.526979166665</v>
      </c>
      <c r="G1727" s="90">
        <v>45113.54524305555</v>
      </c>
      <c r="H1727" s="1" t="s">
        <v>16476</v>
      </c>
    </row>
    <row r="1728">
      <c r="A1728" s="93">
        <v>2352.0</v>
      </c>
      <c r="B1728" s="92" t="s">
        <v>18969</v>
      </c>
      <c r="C1728" s="92" t="s">
        <v>13480</v>
      </c>
      <c r="D1728" s="92" t="s">
        <v>16044</v>
      </c>
      <c r="E1728" s="94">
        <v>45847.483564814815</v>
      </c>
      <c r="F1728" s="94">
        <v>45847.501435185186</v>
      </c>
      <c r="G1728" s="90">
        <v>45113.54523148148</v>
      </c>
      <c r="H1728" s="1" t="s">
        <v>16476</v>
      </c>
    </row>
    <row r="1729">
      <c r="A1729" s="93">
        <v>2351.0</v>
      </c>
      <c r="B1729" s="92" t="s">
        <v>18970</v>
      </c>
      <c r="C1729" s="92" t="s">
        <v>10291</v>
      </c>
      <c r="D1729" s="92" t="s">
        <v>16044</v>
      </c>
      <c r="E1729" s="94">
        <v>45847.48353009259</v>
      </c>
      <c r="F1729" s="94">
        <v>45847.49513888889</v>
      </c>
      <c r="G1729" s="90">
        <v>45113.5450462963</v>
      </c>
      <c r="H1729" s="1" t="s">
        <v>16476</v>
      </c>
    </row>
    <row r="1730">
      <c r="A1730" s="93">
        <v>2328.0</v>
      </c>
      <c r="B1730" s="92" t="s">
        <v>18971</v>
      </c>
      <c r="C1730" s="92" t="s">
        <v>13377</v>
      </c>
      <c r="D1730" s="92" t="s">
        <v>16044</v>
      </c>
      <c r="E1730" s="94">
        <v>45845.595289351855</v>
      </c>
      <c r="F1730" s="94">
        <v>45846.574641203704</v>
      </c>
      <c r="G1730" s="90">
        <v>45113.54491898148</v>
      </c>
      <c r="H1730" s="1" t="s">
        <v>16476</v>
      </c>
    </row>
    <row r="1731">
      <c r="A1731" s="93">
        <v>2334.0</v>
      </c>
      <c r="B1731" s="92" t="s">
        <v>17545</v>
      </c>
      <c r="C1731" s="92" t="s">
        <v>13621</v>
      </c>
      <c r="D1731" s="92" t="s">
        <v>16044</v>
      </c>
      <c r="E1731" s="94">
        <v>45845.596030092594</v>
      </c>
      <c r="F1731" s="94">
        <v>45846.539722222224</v>
      </c>
      <c r="G1731" s="90">
        <v>45113.544803240744</v>
      </c>
      <c r="H1731" s="1" t="s">
        <v>16476</v>
      </c>
    </row>
    <row r="1732">
      <c r="A1732" s="93">
        <v>2349.0</v>
      </c>
      <c r="B1732" s="92" t="s">
        <v>18972</v>
      </c>
      <c r="C1732" s="92" t="s">
        <v>13942</v>
      </c>
      <c r="D1732" s="92" t="s">
        <v>16044</v>
      </c>
      <c r="E1732" s="94">
        <v>45846.456099537034</v>
      </c>
      <c r="F1732" s="94">
        <v>45846.47219907407</v>
      </c>
      <c r="G1732" s="90">
        <v>45113.544699074075</v>
      </c>
      <c r="H1732" s="1" t="s">
        <v>16476</v>
      </c>
    </row>
    <row r="1733">
      <c r="A1733" s="93">
        <v>2341.0</v>
      </c>
      <c r="B1733" s="92" t="s">
        <v>17547</v>
      </c>
      <c r="C1733" s="92" t="s">
        <v>13933</v>
      </c>
      <c r="D1733" s="92" t="s">
        <v>16044</v>
      </c>
      <c r="E1733" s="94">
        <v>45845.597291666665</v>
      </c>
      <c r="F1733" s="94">
        <v>45846.39815972222</v>
      </c>
      <c r="G1733" s="90">
        <v>45113.54467592593</v>
      </c>
      <c r="H1733" s="1" t="s">
        <v>16476</v>
      </c>
    </row>
    <row r="1734">
      <c r="A1734" s="93">
        <v>2338.0</v>
      </c>
      <c r="B1734" s="92" t="s">
        <v>17548</v>
      </c>
      <c r="C1734" s="92" t="s">
        <v>15221</v>
      </c>
      <c r="D1734" s="92" t="s">
        <v>16044</v>
      </c>
      <c r="E1734" s="94">
        <v>45845.596608796295</v>
      </c>
      <c r="F1734" s="94">
        <v>45846.388969907406</v>
      </c>
      <c r="G1734" s="90">
        <v>45113.54466435185</v>
      </c>
      <c r="H1734" s="1" t="s">
        <v>16476</v>
      </c>
    </row>
    <row r="1735">
      <c r="A1735" s="93">
        <v>2330.0</v>
      </c>
      <c r="B1735" s="92" t="s">
        <v>18973</v>
      </c>
      <c r="C1735" s="92" t="s">
        <v>11248</v>
      </c>
      <c r="D1735" s="92" t="s">
        <v>16044</v>
      </c>
      <c r="E1735" s="94">
        <v>45845.59576388889</v>
      </c>
      <c r="F1735" s="94">
        <v>45845.86085648148</v>
      </c>
      <c r="G1735" s="90">
        <v>45113.54462962963</v>
      </c>
      <c r="H1735" s="1" t="s">
        <v>16476</v>
      </c>
    </row>
    <row r="1736">
      <c r="A1736" s="93">
        <v>2337.0</v>
      </c>
      <c r="B1736" s="92" t="s">
        <v>18974</v>
      </c>
      <c r="C1736" s="92" t="s">
        <v>15341</v>
      </c>
      <c r="D1736" s="92" t="s">
        <v>16044</v>
      </c>
      <c r="E1736" s="94">
        <v>45845.596608796295</v>
      </c>
      <c r="F1736" s="94">
        <v>45845.84688657407</v>
      </c>
      <c r="G1736" s="90">
        <v>45113.54456018518</v>
      </c>
      <c r="H1736" s="1" t="s">
        <v>16476</v>
      </c>
    </row>
    <row r="1737">
      <c r="A1737" s="93">
        <v>2347.0</v>
      </c>
      <c r="B1737" s="92" t="s">
        <v>17550</v>
      </c>
      <c r="C1737" s="92" t="s">
        <v>14244</v>
      </c>
      <c r="D1737" s="92" t="s">
        <v>16044</v>
      </c>
      <c r="E1737" s="94">
        <v>45845.752430555556</v>
      </c>
      <c r="F1737" s="94">
        <v>45845.76516203704</v>
      </c>
      <c r="G1737" s="90">
        <v>45113.54429398148</v>
      </c>
      <c r="H1737" s="1" t="s">
        <v>16476</v>
      </c>
    </row>
    <row r="1738">
      <c r="A1738" s="93">
        <v>2329.0</v>
      </c>
      <c r="B1738" s="92" t="s">
        <v>17551</v>
      </c>
      <c r="C1738" s="92" t="s">
        <v>13435</v>
      </c>
      <c r="D1738" s="92" t="s">
        <v>16044</v>
      </c>
      <c r="E1738" s="94">
        <v>45845.595509259256</v>
      </c>
      <c r="F1738" s="94">
        <v>45845.61398148148</v>
      </c>
      <c r="G1738" s="90">
        <v>45113.54424768518</v>
      </c>
      <c r="H1738" s="1" t="s">
        <v>16476</v>
      </c>
    </row>
    <row r="1739">
      <c r="A1739" s="93">
        <v>2339.0</v>
      </c>
      <c r="B1739" s="92" t="s">
        <v>18975</v>
      </c>
      <c r="C1739" s="92" t="s">
        <v>13857</v>
      </c>
      <c r="D1739" s="92" t="s">
        <v>16044</v>
      </c>
      <c r="E1739" s="94">
        <v>45845.59668981482</v>
      </c>
      <c r="F1739" s="94">
        <v>45845.61168981482</v>
      </c>
      <c r="G1739" s="90">
        <v>45113.544074074074</v>
      </c>
      <c r="H1739" s="1" t="s">
        <v>16476</v>
      </c>
    </row>
    <row r="1740">
      <c r="A1740" s="93">
        <v>2331.0</v>
      </c>
      <c r="B1740" s="92" t="s">
        <v>17553</v>
      </c>
      <c r="C1740" s="92" t="s">
        <v>13875</v>
      </c>
      <c r="D1740" s="92" t="s">
        <v>16044</v>
      </c>
      <c r="E1740" s="94">
        <v>45845.59583333333</v>
      </c>
      <c r="F1740" s="94">
        <v>45845.60811342593</v>
      </c>
      <c r="G1740" s="90">
        <v>45113.54405092593</v>
      </c>
      <c r="H1740" s="1" t="s">
        <v>16476</v>
      </c>
    </row>
    <row r="1741">
      <c r="A1741" s="93">
        <v>2336.0</v>
      </c>
      <c r="B1741" s="92" t="s">
        <v>17554</v>
      </c>
      <c r="C1741" s="92" t="s">
        <v>12116</v>
      </c>
      <c r="D1741" s="92" t="s">
        <v>16044</v>
      </c>
      <c r="E1741" s="94">
        <v>45845.59622685185</v>
      </c>
      <c r="F1741" s="94">
        <v>45845.60460648148</v>
      </c>
      <c r="G1741" s="90">
        <v>45113.54403935185</v>
      </c>
      <c r="H1741" s="1" t="s">
        <v>16476</v>
      </c>
    </row>
    <row r="1742">
      <c r="A1742" s="93">
        <v>2335.0</v>
      </c>
      <c r="B1742" s="92" t="s">
        <v>17555</v>
      </c>
      <c r="C1742" s="92" t="s">
        <v>14108</v>
      </c>
      <c r="D1742" s="92" t="s">
        <v>16044</v>
      </c>
      <c r="E1742" s="94">
        <v>45845.59612268519</v>
      </c>
      <c r="F1742" s="94">
        <v>45845.602314814816</v>
      </c>
      <c r="G1742" s="90">
        <v>45113.543900462966</v>
      </c>
      <c r="H1742" s="1" t="s">
        <v>16476</v>
      </c>
    </row>
    <row r="1743">
      <c r="A1743" s="93">
        <v>2342.0</v>
      </c>
      <c r="B1743" s="92" t="s">
        <v>17556</v>
      </c>
      <c r="C1743" s="92" t="s">
        <v>15105</v>
      </c>
      <c r="D1743" s="92" t="s">
        <v>16044</v>
      </c>
      <c r="E1743" s="94">
        <v>45845.59811342593</v>
      </c>
      <c r="F1743" s="94">
        <v>45845.599652777775</v>
      </c>
      <c r="G1743" s="90">
        <v>45113.54388888889</v>
      </c>
      <c r="H1743" s="1" t="s">
        <v>16476</v>
      </c>
    </row>
    <row r="1744">
      <c r="A1744" s="93">
        <v>2344.0</v>
      </c>
      <c r="B1744" s="92" t="s">
        <v>17557</v>
      </c>
      <c r="C1744" s="92" t="s">
        <v>15124</v>
      </c>
      <c r="D1744" s="92" t="s">
        <v>16044</v>
      </c>
      <c r="E1744" s="94">
        <v>45845.59885416667</v>
      </c>
      <c r="F1744" s="94">
        <v>45845.599074074074</v>
      </c>
      <c r="G1744" s="90">
        <v>45113.54387731481</v>
      </c>
      <c r="H1744" s="1" t="s">
        <v>16476</v>
      </c>
    </row>
    <row r="1745">
      <c r="A1745" s="93">
        <v>2343.0</v>
      </c>
      <c r="B1745" s="92" t="s">
        <v>17558</v>
      </c>
      <c r="C1745" s="92" t="s">
        <v>14343</v>
      </c>
      <c r="D1745" s="92" t="s">
        <v>16044</v>
      </c>
      <c r="E1745" s="94">
        <v>45845.598125</v>
      </c>
      <c r="F1745" s="94">
        <v>45845.59836805556</v>
      </c>
      <c r="G1745" s="90">
        <v>45113.54384259259</v>
      </c>
      <c r="H1745" s="1" t="s">
        <v>16476</v>
      </c>
    </row>
    <row r="1746">
      <c r="A1746" s="93">
        <v>2340.0</v>
      </c>
      <c r="B1746" s="92" t="s">
        <v>18976</v>
      </c>
      <c r="C1746" s="92" t="s">
        <v>11838</v>
      </c>
      <c r="D1746" s="92" t="s">
        <v>16044</v>
      </c>
      <c r="E1746" s="94">
        <v>45845.59694444444</v>
      </c>
      <c r="F1746" s="94">
        <v>45845.59783564815</v>
      </c>
      <c r="G1746" s="90">
        <v>45113.5437962963</v>
      </c>
      <c r="H1746" s="1" t="s">
        <v>16476</v>
      </c>
    </row>
    <row r="1747">
      <c r="A1747" s="93">
        <v>2332.0</v>
      </c>
      <c r="B1747" s="92" t="s">
        <v>18977</v>
      </c>
      <c r="C1747" s="92" t="s">
        <v>18978</v>
      </c>
      <c r="D1747" s="92" t="s">
        <v>16044</v>
      </c>
      <c r="E1747" s="94">
        <v>45845.59585648148</v>
      </c>
      <c r="F1747" s="94">
        <v>45845.5968287037</v>
      </c>
      <c r="G1747" s="90">
        <v>45113.54373842593</v>
      </c>
      <c r="H1747" s="1" t="s">
        <v>16476</v>
      </c>
    </row>
    <row r="1748">
      <c r="A1748" s="93">
        <v>2333.0</v>
      </c>
      <c r="B1748" s="92" t="s">
        <v>17560</v>
      </c>
      <c r="C1748" s="92" t="s">
        <v>14119</v>
      </c>
      <c r="D1748" s="92" t="s">
        <v>16044</v>
      </c>
      <c r="E1748" s="94">
        <v>45845.59590277778</v>
      </c>
      <c r="F1748" s="94">
        <v>45845.596238425926</v>
      </c>
      <c r="G1748" s="90">
        <v>45113.54372685185</v>
      </c>
      <c r="H1748" s="1" t="s">
        <v>16476</v>
      </c>
    </row>
    <row r="1749">
      <c r="A1749" s="93">
        <v>2327.0</v>
      </c>
      <c r="B1749" s="92" t="s">
        <v>18979</v>
      </c>
      <c r="C1749" s="92" t="s">
        <v>18980</v>
      </c>
      <c r="D1749" s="92" t="s">
        <v>18877</v>
      </c>
      <c r="E1749" s="94">
        <v>45845.58111111111</v>
      </c>
      <c r="F1749" s="94">
        <v>45845.58168981481</v>
      </c>
      <c r="G1749" s="90">
        <v>45113.54361111111</v>
      </c>
      <c r="H1749" s="1" t="s">
        <v>16476</v>
      </c>
    </row>
    <row r="1750">
      <c r="A1750" s="93">
        <v>2326.0</v>
      </c>
      <c r="B1750" s="92" t="s">
        <v>18981</v>
      </c>
      <c r="C1750" s="92" t="s">
        <v>18982</v>
      </c>
      <c r="D1750" s="92" t="s">
        <v>18877</v>
      </c>
      <c r="E1750" s="94">
        <v>45841.61604166667</v>
      </c>
      <c r="F1750" s="94">
        <v>45841.6166087963</v>
      </c>
      <c r="G1750" s="90">
        <v>45113.54346064815</v>
      </c>
      <c r="H1750" s="1" t="s">
        <v>16476</v>
      </c>
    </row>
    <row r="1751">
      <c r="A1751" s="93">
        <v>2325.0</v>
      </c>
      <c r="B1751" s="92" t="s">
        <v>18983</v>
      </c>
      <c r="C1751" s="92" t="s">
        <v>18984</v>
      </c>
      <c r="D1751" s="92" t="s">
        <v>18877</v>
      </c>
      <c r="E1751" s="94">
        <v>45841.614270833335</v>
      </c>
      <c r="F1751" s="94">
        <v>45841.61474537037</v>
      </c>
      <c r="G1751" s="90">
        <v>45113.54335648148</v>
      </c>
      <c r="H1751" s="1" t="s">
        <v>16476</v>
      </c>
    </row>
    <row r="1752">
      <c r="A1752" s="93">
        <v>2324.0</v>
      </c>
      <c r="B1752" s="92" t="s">
        <v>18985</v>
      </c>
      <c r="C1752" s="92" t="s">
        <v>18986</v>
      </c>
      <c r="D1752" s="92" t="s">
        <v>18877</v>
      </c>
      <c r="E1752" s="94">
        <v>45841.55359953704</v>
      </c>
      <c r="F1752" s="94">
        <v>45841.55380787037</v>
      </c>
      <c r="G1752" s="90">
        <v>45113.54326388889</v>
      </c>
      <c r="H1752" s="1" t="s">
        <v>16476</v>
      </c>
    </row>
    <row r="1753">
      <c r="A1753" s="93">
        <v>2323.0</v>
      </c>
      <c r="B1753" s="92" t="s">
        <v>18987</v>
      </c>
      <c r="C1753" s="92" t="s">
        <v>18988</v>
      </c>
      <c r="D1753" s="92" t="s">
        <v>18877</v>
      </c>
      <c r="E1753" s="94">
        <v>45841.17324074074</v>
      </c>
      <c r="F1753" s="94">
        <v>45841.17386574074</v>
      </c>
      <c r="G1753" s="90">
        <v>45113.543217592596</v>
      </c>
      <c r="H1753" s="1" t="s">
        <v>16476</v>
      </c>
    </row>
    <row r="1754">
      <c r="A1754" s="93">
        <v>204.0</v>
      </c>
      <c r="B1754" s="92" t="s">
        <v>18873</v>
      </c>
      <c r="C1754" s="92" t="s">
        <v>3822</v>
      </c>
      <c r="D1754" s="92" t="s">
        <v>18829</v>
      </c>
      <c r="E1754" s="94">
        <v>45113.538310185184</v>
      </c>
      <c r="F1754" s="94">
        <v>45840.69206018518</v>
      </c>
      <c r="G1754" s="90">
        <v>45113.54311342593</v>
      </c>
      <c r="H1754" s="1" t="s">
        <v>16476</v>
      </c>
    </row>
    <row r="1755">
      <c r="A1755" s="93">
        <v>2141.0</v>
      </c>
      <c r="B1755" s="92" t="s">
        <v>18989</v>
      </c>
      <c r="C1755" s="92" t="s">
        <v>5628</v>
      </c>
      <c r="D1755" s="92" t="s">
        <v>16044</v>
      </c>
      <c r="E1755" s="94">
        <v>45615.50975694445</v>
      </c>
      <c r="F1755" s="94">
        <v>45829.695752314816</v>
      </c>
      <c r="G1755" s="90">
        <v>45113.54289351852</v>
      </c>
      <c r="H1755" s="1" t="s">
        <v>16476</v>
      </c>
    </row>
    <row r="1756">
      <c r="A1756" s="93">
        <v>2318.0</v>
      </c>
      <c r="B1756" s="92" t="s">
        <v>18786</v>
      </c>
      <c r="C1756" s="92" t="s">
        <v>18990</v>
      </c>
      <c r="D1756" s="92" t="s">
        <v>18787</v>
      </c>
      <c r="E1756" s="94">
        <v>45819.66322916667</v>
      </c>
      <c r="F1756" s="94">
        <v>45819.66322916667</v>
      </c>
      <c r="G1756" s="90">
        <v>45113.54284722222</v>
      </c>
      <c r="H1756" s="1" t="s">
        <v>16476</v>
      </c>
    </row>
    <row r="1757">
      <c r="A1757" s="93">
        <v>2206.0</v>
      </c>
      <c r="B1757" s="92" t="s">
        <v>17562</v>
      </c>
      <c r="C1757" s="92" t="s">
        <v>18991</v>
      </c>
      <c r="D1757" s="92" t="s">
        <v>16044</v>
      </c>
      <c r="E1757" s="94">
        <v>45678.69850694444</v>
      </c>
      <c r="F1757" s="94">
        <v>45819.60627314815</v>
      </c>
      <c r="G1757" s="90">
        <v>45113.54256944444</v>
      </c>
      <c r="H1757" s="1" t="s">
        <v>16476</v>
      </c>
    </row>
    <row r="1758">
      <c r="A1758" s="93">
        <v>2212.0</v>
      </c>
      <c r="B1758" s="92" t="s">
        <v>17563</v>
      </c>
      <c r="C1758" s="92" t="s">
        <v>5850</v>
      </c>
      <c r="D1758" s="92" t="s">
        <v>16044</v>
      </c>
      <c r="E1758" s="94">
        <v>45692.58773148148</v>
      </c>
      <c r="F1758" s="94">
        <v>45819.60511574074</v>
      </c>
      <c r="G1758" s="90">
        <v>45113.54253472222</v>
      </c>
      <c r="H1758" s="1" t="s">
        <v>16476</v>
      </c>
    </row>
    <row r="1759">
      <c r="A1759" s="93">
        <v>2316.0</v>
      </c>
      <c r="B1759" s="92" t="s">
        <v>18786</v>
      </c>
      <c r="C1759" s="92" t="s">
        <v>18992</v>
      </c>
      <c r="D1759" s="92" t="s">
        <v>18787</v>
      </c>
      <c r="E1759" s="94">
        <v>45817.50445601852</v>
      </c>
      <c r="F1759" s="94">
        <v>45817.50445601852</v>
      </c>
      <c r="G1759" s="90">
        <v>45113.54252314815</v>
      </c>
      <c r="H1759" s="1" t="s">
        <v>16476</v>
      </c>
    </row>
    <row r="1760">
      <c r="A1760" s="93">
        <v>2315.0</v>
      </c>
      <c r="B1760" s="92" t="s">
        <v>18786</v>
      </c>
      <c r="C1760" s="92" t="s">
        <v>18993</v>
      </c>
      <c r="D1760" s="92" t="s">
        <v>18787</v>
      </c>
      <c r="E1760" s="94">
        <v>45817.49099537037</v>
      </c>
      <c r="F1760" s="94">
        <v>45817.49099537037</v>
      </c>
      <c r="G1760" s="90">
        <v>45113.54251157407</v>
      </c>
      <c r="H1760" s="1" t="s">
        <v>16476</v>
      </c>
    </row>
    <row r="1761">
      <c r="A1761" s="93">
        <v>2314.0</v>
      </c>
      <c r="B1761" s="92" t="s">
        <v>17564</v>
      </c>
      <c r="C1761" s="92" t="s">
        <v>18994</v>
      </c>
      <c r="D1761" s="92" t="s">
        <v>16044</v>
      </c>
      <c r="E1761" s="94">
        <v>45816.61560185185</v>
      </c>
      <c r="F1761" s="94">
        <v>45816.616898148146</v>
      </c>
      <c r="G1761" s="90">
        <v>45113.5425</v>
      </c>
      <c r="H1761" s="1" t="s">
        <v>16476</v>
      </c>
    </row>
    <row r="1762">
      <c r="A1762" s="93">
        <v>2304.0</v>
      </c>
      <c r="B1762" s="92" t="s">
        <v>18995</v>
      </c>
      <c r="C1762" s="92" t="s">
        <v>5283</v>
      </c>
      <c r="D1762" s="92" t="s">
        <v>16044</v>
      </c>
      <c r="E1762" s="94">
        <v>45774.90515046296</v>
      </c>
      <c r="F1762" s="94">
        <v>45807.645474537036</v>
      </c>
      <c r="G1762" s="90">
        <v>45113.54241898148</v>
      </c>
      <c r="H1762" s="1" t="s">
        <v>16476</v>
      </c>
    </row>
    <row r="1763">
      <c r="A1763" s="93">
        <v>2312.0</v>
      </c>
      <c r="B1763" s="92" t="s">
        <v>17565</v>
      </c>
      <c r="C1763" s="92" t="s">
        <v>9464</v>
      </c>
      <c r="D1763" s="92" t="s">
        <v>16044</v>
      </c>
      <c r="E1763" s="94">
        <v>45793.6228587963</v>
      </c>
      <c r="F1763" s="94">
        <v>45807.611354166664</v>
      </c>
      <c r="G1763" s="90">
        <v>45113.542291666665</v>
      </c>
      <c r="H1763" s="1" t="s">
        <v>16476</v>
      </c>
    </row>
    <row r="1764">
      <c r="A1764" s="93">
        <v>2313.0</v>
      </c>
      <c r="B1764" s="92" t="s">
        <v>17566</v>
      </c>
      <c r="C1764" s="92" t="s">
        <v>11658</v>
      </c>
      <c r="D1764" s="92" t="s">
        <v>16044</v>
      </c>
      <c r="E1764" s="94">
        <v>45806.49266203704</v>
      </c>
      <c r="F1764" s="94">
        <v>45807.56071759259</v>
      </c>
      <c r="G1764" s="90">
        <v>45113.542083333334</v>
      </c>
      <c r="H1764" s="1" t="s">
        <v>16476</v>
      </c>
    </row>
    <row r="1765">
      <c r="A1765" s="93">
        <v>2235.0</v>
      </c>
      <c r="B1765" s="92" t="s">
        <v>18996</v>
      </c>
      <c r="C1765" s="92" t="s">
        <v>5619</v>
      </c>
      <c r="D1765" s="92" t="s">
        <v>16044</v>
      </c>
      <c r="E1765" s="94">
        <v>45715.30677083333</v>
      </c>
      <c r="F1765" s="94">
        <v>45804.914305555554</v>
      </c>
      <c r="G1765" s="90">
        <v>45113.54207175926</v>
      </c>
      <c r="H1765" s="1" t="s">
        <v>16476</v>
      </c>
    </row>
    <row r="1766">
      <c r="A1766" s="93">
        <v>54.0</v>
      </c>
      <c r="B1766" s="92" t="s">
        <v>18698</v>
      </c>
      <c r="C1766" s="92" t="s">
        <v>18997</v>
      </c>
      <c r="D1766" s="92" t="s">
        <v>18765</v>
      </c>
      <c r="E1766" s="94">
        <v>45113.53686342593</v>
      </c>
      <c r="F1766" s="94">
        <v>45798.91454861111</v>
      </c>
      <c r="G1766" s="90">
        <v>45113.541446759256</v>
      </c>
      <c r="H1766" s="1" t="s">
        <v>16476</v>
      </c>
    </row>
    <row r="1767">
      <c r="A1767" s="93">
        <v>184.0</v>
      </c>
      <c r="B1767" s="92" t="s">
        <v>18699</v>
      </c>
      <c r="C1767" s="92" t="s">
        <v>18998</v>
      </c>
      <c r="D1767" s="92" t="s">
        <v>18765</v>
      </c>
      <c r="E1767" s="94">
        <v>45113.538125</v>
      </c>
      <c r="F1767" s="94">
        <v>45798.894108796296</v>
      </c>
      <c r="G1767" s="90">
        <v>45113.54085648148</v>
      </c>
      <c r="H1767" s="1" t="s">
        <v>16476</v>
      </c>
    </row>
    <row r="1768">
      <c r="A1768" s="93">
        <v>382.0</v>
      </c>
      <c r="B1768" s="92" t="s">
        <v>18700</v>
      </c>
      <c r="C1768" s="92" t="s">
        <v>3163</v>
      </c>
      <c r="D1768" s="92" t="s">
        <v>18765</v>
      </c>
      <c r="E1768" s="94">
        <v>45113.54002314815</v>
      </c>
      <c r="F1768" s="94">
        <v>45798.86929398148</v>
      </c>
      <c r="G1768" s="90">
        <v>45113.54084490741</v>
      </c>
      <c r="H1768" s="1" t="s">
        <v>16476</v>
      </c>
    </row>
    <row r="1769">
      <c r="A1769" s="93">
        <v>2226.0</v>
      </c>
      <c r="B1769" s="92" t="s">
        <v>16570</v>
      </c>
      <c r="C1769" s="92" t="s">
        <v>18999</v>
      </c>
      <c r="D1769" s="92" t="s">
        <v>18829</v>
      </c>
      <c r="E1769" s="94">
        <v>45705.464467592596</v>
      </c>
      <c r="F1769" s="94">
        <v>45792.652962962966</v>
      </c>
      <c r="G1769" s="90">
        <v>45113.540810185186</v>
      </c>
      <c r="H1769" s="1" t="s">
        <v>16476</v>
      </c>
    </row>
    <row r="1770">
      <c r="A1770" s="93">
        <v>2266.0</v>
      </c>
      <c r="B1770" s="92" t="s">
        <v>19000</v>
      </c>
      <c r="C1770" s="92" t="s">
        <v>19001</v>
      </c>
      <c r="D1770" s="92" t="s">
        <v>18829</v>
      </c>
      <c r="E1770" s="94">
        <v>45729.59564814815</v>
      </c>
      <c r="F1770" s="94">
        <v>45789.59748842593</v>
      </c>
      <c r="G1770" s="90">
        <v>45113.54075231482</v>
      </c>
      <c r="H1770" s="1" t="s">
        <v>16476</v>
      </c>
    </row>
    <row r="1771">
      <c r="A1771" s="93">
        <v>2311.0</v>
      </c>
      <c r="B1771" s="92" t="s">
        <v>17567</v>
      </c>
      <c r="C1771" s="92" t="s">
        <v>15563</v>
      </c>
      <c r="D1771" s="92" t="s">
        <v>16044</v>
      </c>
      <c r="E1771" s="94">
        <v>45789.443449074075</v>
      </c>
      <c r="F1771" s="94">
        <v>45789.44505787037</v>
      </c>
      <c r="G1771" s="90">
        <v>45104.226643518516</v>
      </c>
      <c r="H1771" s="1" t="s">
        <v>16476</v>
      </c>
    </row>
    <row r="1772">
      <c r="A1772" s="93">
        <v>2310.0</v>
      </c>
      <c r="B1772" s="92" t="s">
        <v>19002</v>
      </c>
      <c r="C1772" s="92" t="s">
        <v>16066</v>
      </c>
      <c r="D1772" s="92" t="s">
        <v>16044</v>
      </c>
      <c r="E1772" s="94">
        <v>45789.44275462963</v>
      </c>
      <c r="F1772" s="94">
        <v>45789.444189814814</v>
      </c>
      <c r="G1772" s="90">
        <v>45101.620844907404</v>
      </c>
      <c r="H1772" s="1" t="s">
        <v>16476</v>
      </c>
    </row>
    <row r="1773">
      <c r="A1773" s="93">
        <v>2309.0</v>
      </c>
      <c r="B1773" s="92" t="s">
        <v>19003</v>
      </c>
      <c r="C1773" s="92" t="s">
        <v>5564</v>
      </c>
      <c r="D1773" s="92" t="s">
        <v>16044</v>
      </c>
      <c r="E1773" s="94">
        <v>45786.634375</v>
      </c>
      <c r="F1773" s="94">
        <v>45786.65923611111</v>
      </c>
      <c r="G1773" s="90">
        <v>45091.55054398148</v>
      </c>
      <c r="H1773" s="1" t="s">
        <v>16476</v>
      </c>
    </row>
    <row r="1774">
      <c r="A1774" s="93">
        <v>2308.0</v>
      </c>
      <c r="B1774" s="92" t="s">
        <v>19004</v>
      </c>
      <c r="C1774" s="92" t="s">
        <v>19005</v>
      </c>
      <c r="D1774" s="92" t="s">
        <v>18829</v>
      </c>
      <c r="E1774" s="94">
        <v>45782.48899305556</v>
      </c>
      <c r="F1774" s="94">
        <v>45783.54361111111</v>
      </c>
      <c r="G1774" s="90">
        <v>45091.46079861111</v>
      </c>
      <c r="H1774" s="1" t="s">
        <v>16476</v>
      </c>
    </row>
    <row r="1775">
      <c r="A1775" s="93">
        <v>2305.0</v>
      </c>
      <c r="B1775" s="92" t="s">
        <v>17568</v>
      </c>
      <c r="C1775" s="92" t="s">
        <v>15640</v>
      </c>
      <c r="D1775" s="92" t="s">
        <v>16044</v>
      </c>
      <c r="E1775" s="94">
        <v>45779.444340277776</v>
      </c>
      <c r="F1775" s="94">
        <v>45779.462916666664</v>
      </c>
      <c r="G1775" s="90">
        <v>45085.31591435185</v>
      </c>
      <c r="H1775" s="1" t="s">
        <v>16476</v>
      </c>
    </row>
    <row r="1776">
      <c r="A1776" s="93">
        <v>2288.0</v>
      </c>
      <c r="B1776" s="92" t="s">
        <v>17569</v>
      </c>
      <c r="C1776" s="92" t="s">
        <v>13427</v>
      </c>
      <c r="D1776" s="92" t="s">
        <v>16044</v>
      </c>
      <c r="E1776" s="94">
        <v>45771.44159722222</v>
      </c>
      <c r="F1776" s="94">
        <v>45779.45658564815</v>
      </c>
    </row>
    <row r="1777">
      <c r="A1777" s="93">
        <v>2286.0</v>
      </c>
      <c r="B1777" s="92" t="s">
        <v>17570</v>
      </c>
      <c r="C1777" s="92" t="s">
        <v>12790</v>
      </c>
      <c r="D1777" s="92" t="s">
        <v>16044</v>
      </c>
      <c r="E1777" s="94">
        <v>45771.43803240741</v>
      </c>
      <c r="F1777" s="94">
        <v>45779.45475694445</v>
      </c>
    </row>
    <row r="1778">
      <c r="A1778" s="93">
        <v>2285.0</v>
      </c>
      <c r="B1778" s="92" t="s">
        <v>19006</v>
      </c>
      <c r="C1778" s="92" t="s">
        <v>19007</v>
      </c>
      <c r="D1778" s="92" t="s">
        <v>18877</v>
      </c>
      <c r="E1778" s="94">
        <v>45771.33478009259</v>
      </c>
      <c r="F1778" s="94">
        <v>45779.45396990741</v>
      </c>
    </row>
    <row r="1779">
      <c r="A1779" s="93">
        <v>2306.0</v>
      </c>
      <c r="B1779" s="92" t="s">
        <v>17571</v>
      </c>
      <c r="C1779" s="92" t="s">
        <v>13864</v>
      </c>
      <c r="D1779" s="92" t="s">
        <v>16044</v>
      </c>
      <c r="E1779" s="94">
        <v>45779.44700231482</v>
      </c>
      <c r="F1779" s="94">
        <v>45779.452731481484</v>
      </c>
    </row>
    <row r="1780">
      <c r="A1780" s="93">
        <v>2307.0</v>
      </c>
      <c r="B1780" s="92" t="s">
        <v>18786</v>
      </c>
      <c r="C1780" s="92" t="s">
        <v>19008</v>
      </c>
      <c r="D1780" s="92" t="s">
        <v>18787</v>
      </c>
      <c r="E1780" s="94">
        <v>45779.450219907405</v>
      </c>
      <c r="F1780" s="94">
        <v>45779.450219907405</v>
      </c>
    </row>
    <row r="1781">
      <c r="A1781" s="93">
        <v>65.0</v>
      </c>
      <c r="B1781" s="92" t="s">
        <v>18701</v>
      </c>
      <c r="C1781" s="92" t="s">
        <v>18702</v>
      </c>
      <c r="D1781" s="92" t="s">
        <v>18765</v>
      </c>
      <c r="E1781" s="94">
        <v>45113.53696759259</v>
      </c>
      <c r="F1781" s="94">
        <v>45772.67778935185</v>
      </c>
    </row>
    <row r="1782">
      <c r="A1782" s="93">
        <v>69.0</v>
      </c>
      <c r="B1782" s="92" t="s">
        <v>18703</v>
      </c>
      <c r="C1782" s="92" t="s">
        <v>649</v>
      </c>
      <c r="D1782" s="92" t="s">
        <v>18765</v>
      </c>
      <c r="E1782" s="94">
        <v>45113.53701388889</v>
      </c>
      <c r="F1782" s="94">
        <v>45772.675462962965</v>
      </c>
    </row>
    <row r="1783">
      <c r="A1783" s="93">
        <v>156.0</v>
      </c>
      <c r="B1783" s="92" t="s">
        <v>18704</v>
      </c>
      <c r="C1783" s="92" t="s">
        <v>19009</v>
      </c>
      <c r="D1783" s="92" t="s">
        <v>18765</v>
      </c>
      <c r="E1783" s="94">
        <v>45113.537835648145</v>
      </c>
      <c r="F1783" s="94">
        <v>45772.6169212963</v>
      </c>
    </row>
    <row r="1784">
      <c r="A1784" s="93">
        <v>167.0</v>
      </c>
      <c r="B1784" s="92" t="s">
        <v>18705</v>
      </c>
      <c r="C1784" s="92" t="s">
        <v>19010</v>
      </c>
      <c r="D1784" s="92" t="s">
        <v>18765</v>
      </c>
      <c r="E1784" s="94">
        <v>45113.53796296296</v>
      </c>
      <c r="F1784" s="94">
        <v>45772.61119212963</v>
      </c>
    </row>
    <row r="1785">
      <c r="A1785" s="93">
        <v>170.0</v>
      </c>
      <c r="B1785" s="92" t="s">
        <v>18706</v>
      </c>
      <c r="C1785" s="92" t="s">
        <v>1485</v>
      </c>
      <c r="D1785" s="92" t="s">
        <v>18765</v>
      </c>
      <c r="E1785" s="94">
        <v>45113.537986111114</v>
      </c>
      <c r="F1785" s="94">
        <v>45772.60975694445</v>
      </c>
    </row>
    <row r="1786">
      <c r="A1786" s="93">
        <v>188.0</v>
      </c>
      <c r="B1786" s="92" t="s">
        <v>18707</v>
      </c>
      <c r="C1786" s="92" t="s">
        <v>1630</v>
      </c>
      <c r="D1786" s="92" t="s">
        <v>18765</v>
      </c>
      <c r="E1786" s="94">
        <v>45113.53815972222</v>
      </c>
      <c r="F1786" s="94">
        <v>45772.60068287037</v>
      </c>
    </row>
    <row r="1787">
      <c r="A1787" s="93">
        <v>240.0</v>
      </c>
      <c r="B1787" s="92" t="s">
        <v>18708</v>
      </c>
      <c r="C1787" s="92" t="s">
        <v>2053</v>
      </c>
      <c r="D1787" s="92" t="s">
        <v>18765</v>
      </c>
      <c r="E1787" s="94">
        <v>45113.538668981484</v>
      </c>
      <c r="F1787" s="94">
        <v>45772.03659722222</v>
      </c>
    </row>
    <row r="1788">
      <c r="A1788" s="93">
        <v>386.0</v>
      </c>
      <c r="B1788" s="92" t="s">
        <v>18709</v>
      </c>
      <c r="C1788" s="92" t="s">
        <v>19011</v>
      </c>
      <c r="D1788" s="92" t="s">
        <v>18765</v>
      </c>
      <c r="E1788" s="94">
        <v>45113.54005787037</v>
      </c>
      <c r="F1788" s="94">
        <v>45771.99528935185</v>
      </c>
    </row>
    <row r="1789">
      <c r="A1789" s="93">
        <v>2303.0</v>
      </c>
      <c r="B1789" s="92" t="s">
        <v>19012</v>
      </c>
      <c r="C1789" s="92" t="s">
        <v>13907</v>
      </c>
      <c r="D1789" s="92" t="s">
        <v>16044</v>
      </c>
      <c r="E1789" s="94">
        <v>45771.71123842592</v>
      </c>
      <c r="F1789" s="94">
        <v>45771.71193287037</v>
      </c>
    </row>
    <row r="1790">
      <c r="A1790" s="93">
        <v>2302.0</v>
      </c>
      <c r="B1790" s="92" t="s">
        <v>17572</v>
      </c>
      <c r="C1790" s="92" t="s">
        <v>13600</v>
      </c>
      <c r="D1790" s="92" t="s">
        <v>16044</v>
      </c>
      <c r="E1790" s="94">
        <v>45771.456087962964</v>
      </c>
      <c r="F1790" s="94">
        <v>45771.465</v>
      </c>
    </row>
    <row r="1791">
      <c r="A1791" s="93">
        <v>2301.0</v>
      </c>
      <c r="B1791" s="92" t="s">
        <v>17573</v>
      </c>
      <c r="C1791" s="92" t="s">
        <v>13971</v>
      </c>
      <c r="D1791" s="92" t="s">
        <v>16044</v>
      </c>
      <c r="E1791" s="94">
        <v>45771.45071759259</v>
      </c>
      <c r="F1791" s="94">
        <v>45771.455717592595</v>
      </c>
    </row>
    <row r="1792">
      <c r="A1792" s="93">
        <v>2296.0</v>
      </c>
      <c r="B1792" s="92" t="s">
        <v>17574</v>
      </c>
      <c r="C1792" s="92" t="s">
        <v>14028</v>
      </c>
      <c r="D1792" s="92" t="s">
        <v>16044</v>
      </c>
      <c r="E1792" s="94">
        <v>45771.44574074074</v>
      </c>
      <c r="F1792" s="94">
        <v>45771.454872685186</v>
      </c>
    </row>
    <row r="1793">
      <c r="A1793" s="93">
        <v>2300.0</v>
      </c>
      <c r="B1793" s="92" t="s">
        <v>19013</v>
      </c>
      <c r="C1793" s="92" t="s">
        <v>7486</v>
      </c>
      <c r="D1793" s="92" t="s">
        <v>16044</v>
      </c>
      <c r="E1793" s="94">
        <v>45771.4503125</v>
      </c>
      <c r="F1793" s="94">
        <v>45771.45278935185</v>
      </c>
    </row>
    <row r="1794">
      <c r="A1794" s="93">
        <v>2299.0</v>
      </c>
      <c r="B1794" s="92" t="s">
        <v>17576</v>
      </c>
      <c r="C1794" s="92" t="s">
        <v>9762</v>
      </c>
      <c r="D1794" s="92" t="s">
        <v>16044</v>
      </c>
      <c r="E1794" s="94">
        <v>45771.44997685185</v>
      </c>
      <c r="F1794" s="94">
        <v>45771.45130787037</v>
      </c>
    </row>
    <row r="1795">
      <c r="A1795" s="93">
        <v>2298.0</v>
      </c>
      <c r="B1795" s="92" t="s">
        <v>17577</v>
      </c>
      <c r="C1795" s="92" t="s">
        <v>15959</v>
      </c>
      <c r="D1795" s="92" t="s">
        <v>16044</v>
      </c>
      <c r="E1795" s="94">
        <v>45771.44792824074</v>
      </c>
      <c r="F1795" s="94">
        <v>45771.448796296296</v>
      </c>
    </row>
    <row r="1796">
      <c r="A1796" s="93">
        <v>2297.0</v>
      </c>
      <c r="B1796" s="92" t="s">
        <v>19014</v>
      </c>
      <c r="C1796" s="92" t="s">
        <v>15473</v>
      </c>
      <c r="D1796" s="92" t="s">
        <v>16044</v>
      </c>
      <c r="E1796" s="94">
        <v>45771.44773148148</v>
      </c>
      <c r="F1796" s="94">
        <v>45771.44844907407</v>
      </c>
    </row>
    <row r="1797">
      <c r="A1797" s="93">
        <v>2294.0</v>
      </c>
      <c r="B1797" s="92" t="s">
        <v>19015</v>
      </c>
      <c r="C1797" s="92" t="s">
        <v>13280</v>
      </c>
      <c r="D1797" s="92" t="s">
        <v>16044</v>
      </c>
      <c r="E1797" s="94">
        <v>45771.44520833333</v>
      </c>
      <c r="F1797" s="94">
        <v>45771.44826388889</v>
      </c>
    </row>
    <row r="1798">
      <c r="A1798" s="93">
        <v>2290.0</v>
      </c>
      <c r="B1798" s="92" t="s">
        <v>19016</v>
      </c>
      <c r="C1798" s="92" t="s">
        <v>15297</v>
      </c>
      <c r="D1798" s="92" t="s">
        <v>16044</v>
      </c>
      <c r="E1798" s="94">
        <v>45771.44267361111</v>
      </c>
      <c r="F1798" s="94">
        <v>45771.4474537037</v>
      </c>
    </row>
    <row r="1799">
      <c r="A1799" s="93">
        <v>2289.0</v>
      </c>
      <c r="B1799" s="92" t="s">
        <v>19017</v>
      </c>
      <c r="C1799" s="92" t="s">
        <v>15953</v>
      </c>
      <c r="D1799" s="92" t="s">
        <v>16044</v>
      </c>
      <c r="E1799" s="94">
        <v>45771.44237268518</v>
      </c>
      <c r="F1799" s="94">
        <v>45771.44744212963</v>
      </c>
    </row>
    <row r="1800">
      <c r="A1800" s="93">
        <v>2295.0</v>
      </c>
      <c r="B1800" s="92" t="s">
        <v>17580</v>
      </c>
      <c r="C1800" s="92" t="s">
        <v>13994</v>
      </c>
      <c r="D1800" s="92" t="s">
        <v>16044</v>
      </c>
      <c r="E1800" s="94">
        <v>45771.44553240741</v>
      </c>
      <c r="F1800" s="94">
        <v>45771.44740740741</v>
      </c>
    </row>
    <row r="1801">
      <c r="A1801" s="93">
        <v>2291.0</v>
      </c>
      <c r="B1801" s="92" t="s">
        <v>17581</v>
      </c>
      <c r="C1801" s="92" t="s">
        <v>5654</v>
      </c>
      <c r="D1801" s="92" t="s">
        <v>16044</v>
      </c>
      <c r="E1801" s="94">
        <v>45771.443877314814</v>
      </c>
      <c r="F1801" s="94">
        <v>45771.44608796296</v>
      </c>
    </row>
    <row r="1802">
      <c r="A1802" s="93">
        <v>2293.0</v>
      </c>
      <c r="B1802" s="92" t="s">
        <v>19018</v>
      </c>
      <c r="C1802" s="92" t="s">
        <v>19019</v>
      </c>
      <c r="D1802" s="92" t="s">
        <v>16044</v>
      </c>
      <c r="E1802" s="94">
        <v>45771.4444212963</v>
      </c>
      <c r="F1802" s="94">
        <v>45771.44496527778</v>
      </c>
    </row>
    <row r="1803">
      <c r="A1803" s="93">
        <v>2292.0</v>
      </c>
      <c r="B1803" s="92" t="s">
        <v>19020</v>
      </c>
      <c r="C1803" s="92" t="s">
        <v>10816</v>
      </c>
      <c r="D1803" s="92" t="s">
        <v>16044</v>
      </c>
      <c r="E1803" s="94">
        <v>45771.44422453704</v>
      </c>
      <c r="F1803" s="94">
        <v>45771.44480324074</v>
      </c>
    </row>
    <row r="1804">
      <c r="A1804" s="93">
        <v>2287.0</v>
      </c>
      <c r="B1804" s="92" t="s">
        <v>17583</v>
      </c>
      <c r="C1804" s="92" t="s">
        <v>13894</v>
      </c>
      <c r="D1804" s="92" t="s">
        <v>16044</v>
      </c>
      <c r="E1804" s="94">
        <v>45771.4384375</v>
      </c>
      <c r="F1804" s="94">
        <v>45771.4390625</v>
      </c>
    </row>
    <row r="1805">
      <c r="A1805" s="93">
        <v>2092.0</v>
      </c>
      <c r="B1805" s="92" t="s">
        <v>18867</v>
      </c>
      <c r="C1805" s="92" t="s">
        <v>19021</v>
      </c>
      <c r="D1805" s="92" t="s">
        <v>18829</v>
      </c>
      <c r="E1805" s="94">
        <v>45575.653715277775</v>
      </c>
      <c r="F1805" s="94">
        <v>45766.62092592593</v>
      </c>
    </row>
    <row r="1806">
      <c r="A1806" s="93">
        <v>2282.0</v>
      </c>
      <c r="B1806" s="92" t="s">
        <v>17584</v>
      </c>
      <c r="C1806" s="92" t="s">
        <v>12647</v>
      </c>
      <c r="D1806" s="92" t="s">
        <v>16044</v>
      </c>
      <c r="E1806" s="94">
        <v>45744.569027777776</v>
      </c>
      <c r="F1806" s="94">
        <v>45754.813796296294</v>
      </c>
    </row>
    <row r="1807">
      <c r="A1807" s="93">
        <v>2284.0</v>
      </c>
      <c r="B1807" s="92" t="s">
        <v>19022</v>
      </c>
      <c r="C1807" s="92" t="s">
        <v>19023</v>
      </c>
      <c r="D1807" s="92" t="s">
        <v>18877</v>
      </c>
      <c r="E1807" s="94">
        <v>45754.67787037037</v>
      </c>
      <c r="F1807" s="94">
        <v>45754.67917824074</v>
      </c>
    </row>
    <row r="1808">
      <c r="A1808" s="93">
        <v>2283.0</v>
      </c>
      <c r="B1808" s="92" t="s">
        <v>17598</v>
      </c>
      <c r="C1808" s="92" t="s">
        <v>12237</v>
      </c>
      <c r="D1808" s="92" t="s">
        <v>16044</v>
      </c>
      <c r="E1808" s="94">
        <v>45750.50346064815</v>
      </c>
      <c r="F1808" s="94">
        <v>45750.522152777776</v>
      </c>
    </row>
    <row r="1809">
      <c r="A1809" s="93">
        <v>2252.0</v>
      </c>
      <c r="B1809" s="92" t="s">
        <v>19024</v>
      </c>
      <c r="C1809" s="92" t="s">
        <v>19025</v>
      </c>
      <c r="D1809" s="92" t="s">
        <v>16044</v>
      </c>
      <c r="E1809" s="94">
        <v>45727.53324074074</v>
      </c>
      <c r="F1809" s="94">
        <v>45750.50984953704</v>
      </c>
    </row>
    <row r="1810">
      <c r="A1810" s="93">
        <v>2281.0</v>
      </c>
      <c r="B1810" s="92" t="s">
        <v>19024</v>
      </c>
      <c r="C1810" s="92" t="s">
        <v>12950</v>
      </c>
      <c r="D1810" s="92" t="s">
        <v>16044</v>
      </c>
      <c r="E1810" s="94">
        <v>45743.504212962966</v>
      </c>
      <c r="F1810" s="94">
        <v>45743.52579861111</v>
      </c>
    </row>
    <row r="1811">
      <c r="A1811" s="93">
        <v>2280.0</v>
      </c>
      <c r="B1811" s="92" t="s">
        <v>19026</v>
      </c>
      <c r="C1811" s="92" t="s">
        <v>6706</v>
      </c>
      <c r="D1811" s="92" t="s">
        <v>16044</v>
      </c>
      <c r="E1811" s="94">
        <v>45743.50273148148</v>
      </c>
      <c r="F1811" s="94">
        <v>45743.50480324074</v>
      </c>
    </row>
    <row r="1812">
      <c r="A1812" s="93">
        <v>2279.0</v>
      </c>
      <c r="B1812" s="92" t="s">
        <v>17588</v>
      </c>
      <c r="C1812" s="92" t="s">
        <v>19027</v>
      </c>
      <c r="D1812" s="92" t="s">
        <v>16044</v>
      </c>
      <c r="E1812" s="94">
        <v>45740.65659722222</v>
      </c>
      <c r="F1812" s="94">
        <v>45740.663356481484</v>
      </c>
    </row>
    <row r="1813">
      <c r="A1813" s="93">
        <v>2250.0</v>
      </c>
      <c r="B1813" s="92" t="s">
        <v>19028</v>
      </c>
      <c r="C1813" s="92" t="s">
        <v>19029</v>
      </c>
      <c r="D1813" s="92" t="s">
        <v>18877</v>
      </c>
      <c r="E1813" s="94">
        <v>45727.46818287037</v>
      </c>
      <c r="F1813" s="94">
        <v>45736.55568287037</v>
      </c>
    </row>
    <row r="1814">
      <c r="A1814" s="93">
        <v>2278.0</v>
      </c>
      <c r="B1814" s="92" t="s">
        <v>19030</v>
      </c>
      <c r="C1814" s="92" t="s">
        <v>19031</v>
      </c>
      <c r="D1814" s="92" t="s">
        <v>18877</v>
      </c>
      <c r="E1814" s="94">
        <v>45735.546875</v>
      </c>
      <c r="F1814" s="94">
        <v>45735.54734953704</v>
      </c>
    </row>
    <row r="1815">
      <c r="A1815" s="93">
        <v>2277.0</v>
      </c>
      <c r="B1815" s="92" t="s">
        <v>17589</v>
      </c>
      <c r="C1815" s="92" t="s">
        <v>19032</v>
      </c>
      <c r="D1815" s="92" t="s">
        <v>16044</v>
      </c>
      <c r="E1815" s="94">
        <v>45733.967523148145</v>
      </c>
      <c r="F1815" s="94">
        <v>45733.985972222225</v>
      </c>
    </row>
    <row r="1816">
      <c r="A1816" s="93">
        <v>2276.0</v>
      </c>
      <c r="B1816" s="92" t="s">
        <v>17589</v>
      </c>
      <c r="C1816" s="92" t="s">
        <v>19033</v>
      </c>
      <c r="D1816" s="92" t="s">
        <v>16044</v>
      </c>
      <c r="E1816" s="94">
        <v>45733.70707175926</v>
      </c>
      <c r="F1816" s="94">
        <v>45733.74081018518</v>
      </c>
    </row>
    <row r="1817">
      <c r="A1817" s="93">
        <v>2275.0</v>
      </c>
      <c r="B1817" s="92" t="s">
        <v>17590</v>
      </c>
      <c r="C1817" s="92" t="s">
        <v>19034</v>
      </c>
      <c r="D1817" s="92" t="s">
        <v>16044</v>
      </c>
      <c r="E1817" s="94">
        <v>45733.67513888889</v>
      </c>
      <c r="F1817" s="94">
        <v>45733.676087962966</v>
      </c>
    </row>
    <row r="1818">
      <c r="A1818" s="93">
        <v>2274.0</v>
      </c>
      <c r="B1818" s="92" t="s">
        <v>17591</v>
      </c>
      <c r="C1818" s="92" t="s">
        <v>19035</v>
      </c>
      <c r="D1818" s="92" t="s">
        <v>16044</v>
      </c>
      <c r="E1818" s="94">
        <v>45733.642604166664</v>
      </c>
      <c r="F1818" s="94">
        <v>45733.65211805556</v>
      </c>
    </row>
    <row r="1819">
      <c r="A1819" s="93">
        <v>2273.0</v>
      </c>
      <c r="B1819" s="92" t="s">
        <v>17592</v>
      </c>
      <c r="C1819" s="92" t="s">
        <v>19036</v>
      </c>
      <c r="D1819" s="92" t="s">
        <v>16044</v>
      </c>
      <c r="E1819" s="94">
        <v>45733.41616898148</v>
      </c>
      <c r="F1819" s="94">
        <v>45733.627071759256</v>
      </c>
    </row>
    <row r="1820">
      <c r="A1820" s="93">
        <v>2272.0</v>
      </c>
      <c r="B1820" s="92" t="s">
        <v>18786</v>
      </c>
      <c r="C1820" s="92" t="s">
        <v>19037</v>
      </c>
      <c r="D1820" s="92" t="s">
        <v>18787</v>
      </c>
      <c r="E1820" s="94">
        <v>45733.41453703704</v>
      </c>
      <c r="F1820" s="94">
        <v>45733.41453703704</v>
      </c>
    </row>
    <row r="1821">
      <c r="A1821" s="93">
        <v>2271.0</v>
      </c>
      <c r="B1821" s="92" t="s">
        <v>17592</v>
      </c>
      <c r="C1821" s="92" t="s">
        <v>19038</v>
      </c>
      <c r="D1821" s="92" t="s">
        <v>16044</v>
      </c>
      <c r="E1821" s="94">
        <v>45730.66133101852</v>
      </c>
      <c r="F1821" s="94">
        <v>45730.73103009259</v>
      </c>
    </row>
    <row r="1822">
      <c r="A1822" s="93">
        <v>2270.0</v>
      </c>
      <c r="B1822" s="92" t="s">
        <v>17592</v>
      </c>
      <c r="C1822" s="92" t="s">
        <v>19039</v>
      </c>
      <c r="D1822" s="92" t="s">
        <v>16044</v>
      </c>
      <c r="E1822" s="94">
        <v>45730.65460648148</v>
      </c>
      <c r="F1822" s="94">
        <v>45730.65493055555</v>
      </c>
    </row>
    <row r="1823">
      <c r="A1823" s="93">
        <v>2269.0</v>
      </c>
      <c r="B1823" s="92" t="s">
        <v>17593</v>
      </c>
      <c r="C1823" s="92" t="s">
        <v>19040</v>
      </c>
      <c r="D1823" s="92" t="s">
        <v>16044</v>
      </c>
      <c r="E1823" s="94">
        <v>45730.64680555555</v>
      </c>
      <c r="F1823" s="94">
        <v>45730.65292824074</v>
      </c>
    </row>
    <row r="1824">
      <c r="A1824" s="93">
        <v>2268.0</v>
      </c>
      <c r="B1824" s="92" t="s">
        <v>19041</v>
      </c>
      <c r="C1824" s="92" t="s">
        <v>19042</v>
      </c>
      <c r="D1824" s="92" t="s">
        <v>16044</v>
      </c>
      <c r="E1824" s="94">
        <v>45730.51605324074</v>
      </c>
      <c r="F1824" s="94">
        <v>45730.53386574074</v>
      </c>
    </row>
    <row r="1825">
      <c r="A1825" s="93">
        <v>2267.0</v>
      </c>
      <c r="B1825" s="92" t="s">
        <v>19043</v>
      </c>
      <c r="C1825" s="92" t="s">
        <v>19044</v>
      </c>
      <c r="D1825" s="92" t="s">
        <v>18829</v>
      </c>
      <c r="E1825" s="94">
        <v>45729.65238425926</v>
      </c>
      <c r="F1825" s="94">
        <v>45729.67350694445</v>
      </c>
    </row>
    <row r="1826">
      <c r="A1826" s="93">
        <v>2258.0</v>
      </c>
      <c r="B1826" s="92" t="s">
        <v>5367</v>
      </c>
      <c r="C1826" s="92" t="s">
        <v>5363</v>
      </c>
      <c r="D1826" s="92" t="s">
        <v>16044</v>
      </c>
      <c r="E1826" s="94">
        <v>45729.48925925926</v>
      </c>
      <c r="F1826" s="94">
        <v>45729.53773148148</v>
      </c>
    </row>
    <row r="1827">
      <c r="A1827" s="93">
        <v>2261.0</v>
      </c>
      <c r="B1827" s="92" t="s">
        <v>19045</v>
      </c>
      <c r="C1827" s="92" t="s">
        <v>9074</v>
      </c>
      <c r="D1827" s="92" t="s">
        <v>16044</v>
      </c>
      <c r="E1827" s="94">
        <v>45729.51107638889</v>
      </c>
      <c r="F1827" s="94">
        <v>45729.536516203705</v>
      </c>
    </row>
    <row r="1828">
      <c r="A1828" s="93">
        <v>2259.0</v>
      </c>
      <c r="B1828" s="92" t="s">
        <v>17596</v>
      </c>
      <c r="C1828" s="92" t="s">
        <v>9139</v>
      </c>
      <c r="D1828" s="92" t="s">
        <v>16044</v>
      </c>
      <c r="E1828" s="94">
        <v>45729.500914351855</v>
      </c>
      <c r="F1828" s="94">
        <v>45729.53369212963</v>
      </c>
    </row>
    <row r="1829">
      <c r="A1829" s="93">
        <v>2264.0</v>
      </c>
      <c r="B1829" s="92" t="s">
        <v>17597</v>
      </c>
      <c r="C1829" s="92" t="s">
        <v>6900</v>
      </c>
      <c r="D1829" s="92" t="s">
        <v>16044</v>
      </c>
      <c r="E1829" s="94">
        <v>45729.5183912037</v>
      </c>
      <c r="F1829" s="94">
        <v>45729.531701388885</v>
      </c>
    </row>
    <row r="1830">
      <c r="A1830" s="93">
        <v>2265.0</v>
      </c>
      <c r="B1830" s="92" t="s">
        <v>17598</v>
      </c>
      <c r="C1830" s="92" t="s">
        <v>19046</v>
      </c>
      <c r="D1830" s="92" t="s">
        <v>16044</v>
      </c>
      <c r="E1830" s="94">
        <v>45729.52769675926</v>
      </c>
      <c r="F1830" s="94">
        <v>45729.52908564815</v>
      </c>
    </row>
    <row r="1831">
      <c r="A1831" s="93">
        <v>2263.0</v>
      </c>
      <c r="B1831" s="92" t="s">
        <v>19047</v>
      </c>
      <c r="C1831" s="92" t="s">
        <v>9268</v>
      </c>
      <c r="D1831" s="92" t="s">
        <v>16044</v>
      </c>
      <c r="E1831" s="94">
        <v>45729.514328703706</v>
      </c>
      <c r="F1831" s="94">
        <v>45729.52769675926</v>
      </c>
    </row>
    <row r="1832">
      <c r="A1832" s="93">
        <v>2257.0</v>
      </c>
      <c r="B1832" s="92" t="s">
        <v>19048</v>
      </c>
      <c r="C1832" s="92" t="s">
        <v>9200</v>
      </c>
      <c r="D1832" s="92" t="s">
        <v>16044</v>
      </c>
      <c r="E1832" s="94">
        <v>45729.48736111111</v>
      </c>
      <c r="F1832" s="94">
        <v>45729.524664351855</v>
      </c>
    </row>
    <row r="1833">
      <c r="A1833" s="93">
        <v>2260.0</v>
      </c>
      <c r="B1833" s="92" t="s">
        <v>9959</v>
      </c>
      <c r="C1833" s="92" t="s">
        <v>9957</v>
      </c>
      <c r="D1833" s="92" t="s">
        <v>16044</v>
      </c>
      <c r="E1833" s="94">
        <v>45729.50289351852</v>
      </c>
      <c r="F1833" s="94">
        <v>45729.521006944444</v>
      </c>
    </row>
    <row r="1834">
      <c r="A1834" s="93">
        <v>2262.0</v>
      </c>
      <c r="B1834" s="92" t="s">
        <v>17601</v>
      </c>
      <c r="C1834" s="92" t="s">
        <v>6590</v>
      </c>
      <c r="D1834" s="92" t="s">
        <v>16044</v>
      </c>
      <c r="E1834" s="94">
        <v>45729.51122685185</v>
      </c>
      <c r="F1834" s="94">
        <v>45729.51253472222</v>
      </c>
    </row>
    <row r="1835">
      <c r="A1835" s="93">
        <v>2256.0</v>
      </c>
      <c r="B1835" s="92" t="s">
        <v>19049</v>
      </c>
      <c r="C1835" s="92" t="s">
        <v>8770</v>
      </c>
      <c r="D1835" s="92" t="s">
        <v>16044</v>
      </c>
      <c r="E1835" s="94">
        <v>45729.48575231482</v>
      </c>
      <c r="F1835" s="94">
        <v>45729.50782407408</v>
      </c>
    </row>
    <row r="1836">
      <c r="A1836" s="93">
        <v>2254.0</v>
      </c>
      <c r="B1836" s="92" t="s">
        <v>19050</v>
      </c>
      <c r="C1836" s="92" t="s">
        <v>12195</v>
      </c>
      <c r="D1836" s="92" t="s">
        <v>16044</v>
      </c>
      <c r="E1836" s="94">
        <v>45727.53396990741</v>
      </c>
      <c r="F1836" s="94">
        <v>45729.50545138889</v>
      </c>
    </row>
    <row r="1837">
      <c r="A1837" s="93">
        <v>2248.0</v>
      </c>
      <c r="B1837" s="92" t="s">
        <v>19051</v>
      </c>
      <c r="C1837" s="92" t="s">
        <v>6781</v>
      </c>
      <c r="D1837" s="92" t="s">
        <v>16044</v>
      </c>
      <c r="E1837" s="94">
        <v>45723.533229166664</v>
      </c>
      <c r="F1837" s="94">
        <v>45729.504583333335</v>
      </c>
    </row>
    <row r="1838">
      <c r="A1838" s="93">
        <v>2253.0</v>
      </c>
      <c r="B1838" s="92" t="s">
        <v>19052</v>
      </c>
      <c r="C1838" s="92" t="s">
        <v>9131</v>
      </c>
      <c r="D1838" s="92" t="s">
        <v>16044</v>
      </c>
      <c r="E1838" s="94">
        <v>45727.533321759256</v>
      </c>
      <c r="F1838" s="94">
        <v>45729.50021990741</v>
      </c>
    </row>
    <row r="1839">
      <c r="A1839" s="93">
        <v>2246.0</v>
      </c>
      <c r="B1839" s="92" t="s">
        <v>17603</v>
      </c>
      <c r="C1839" s="92" t="s">
        <v>8642</v>
      </c>
      <c r="D1839" s="92" t="s">
        <v>16044</v>
      </c>
      <c r="E1839" s="94">
        <v>45723.517233796294</v>
      </c>
      <c r="F1839" s="94">
        <v>45729.48677083333</v>
      </c>
    </row>
    <row r="1840">
      <c r="A1840" s="93">
        <v>2255.0</v>
      </c>
      <c r="B1840" s="92" t="s">
        <v>19053</v>
      </c>
      <c r="C1840" s="92" t="s">
        <v>19054</v>
      </c>
      <c r="D1840" s="92" t="s">
        <v>19055</v>
      </c>
      <c r="E1840" s="94">
        <v>45729.135</v>
      </c>
      <c r="F1840" s="94">
        <v>45729.13545138889</v>
      </c>
    </row>
    <row r="1841">
      <c r="A1841" s="93">
        <v>2251.0</v>
      </c>
      <c r="B1841" s="92" t="s">
        <v>17604</v>
      </c>
      <c r="C1841" s="92" t="s">
        <v>6490</v>
      </c>
      <c r="D1841" s="92" t="s">
        <v>16044</v>
      </c>
      <c r="E1841" s="94">
        <v>45727.52211805555</v>
      </c>
      <c r="F1841" s="94">
        <v>45727.54108796296</v>
      </c>
    </row>
    <row r="1842">
      <c r="A1842" s="93">
        <v>2249.0</v>
      </c>
      <c r="B1842" s="92" t="s">
        <v>19056</v>
      </c>
      <c r="C1842" s="92" t="s">
        <v>19057</v>
      </c>
      <c r="D1842" s="92" t="s">
        <v>16044</v>
      </c>
      <c r="E1842" s="94">
        <v>45726.12200231481</v>
      </c>
      <c r="F1842" s="94">
        <v>45726.129837962966</v>
      </c>
    </row>
    <row r="1843">
      <c r="A1843" s="93">
        <v>2247.0</v>
      </c>
      <c r="B1843" s="92" t="s">
        <v>17605</v>
      </c>
      <c r="C1843" s="92" t="s">
        <v>6676</v>
      </c>
      <c r="D1843" s="92" t="s">
        <v>16044</v>
      </c>
      <c r="E1843" s="94">
        <v>45723.52217592593</v>
      </c>
      <c r="F1843" s="94">
        <v>45723.52342592592</v>
      </c>
    </row>
    <row r="1844">
      <c r="A1844" s="93">
        <v>2245.0</v>
      </c>
      <c r="B1844" s="92" t="s">
        <v>18786</v>
      </c>
      <c r="C1844" s="92" t="s">
        <v>19058</v>
      </c>
      <c r="D1844" s="92" t="s">
        <v>18787</v>
      </c>
      <c r="E1844" s="94">
        <v>45723.51431712963</v>
      </c>
      <c r="F1844" s="94">
        <v>45723.51431712963</v>
      </c>
    </row>
    <row r="1845">
      <c r="A1845" s="93">
        <v>2244.0</v>
      </c>
      <c r="B1845" s="92" t="s">
        <v>18786</v>
      </c>
      <c r="C1845" s="92" t="s">
        <v>19059</v>
      </c>
      <c r="D1845" s="92" t="s">
        <v>18787</v>
      </c>
      <c r="E1845" s="94">
        <v>45722.499398148146</v>
      </c>
      <c r="F1845" s="94">
        <v>45722.499398148146</v>
      </c>
    </row>
    <row r="1846">
      <c r="A1846" s="93">
        <v>2243.0</v>
      </c>
      <c r="B1846" s="92" t="s">
        <v>19060</v>
      </c>
      <c r="C1846" s="92" t="s">
        <v>19061</v>
      </c>
      <c r="D1846" s="92" t="s">
        <v>18877</v>
      </c>
      <c r="E1846" s="94">
        <v>45722.453252314815</v>
      </c>
      <c r="F1846" s="94">
        <v>45722.453668981485</v>
      </c>
    </row>
    <row r="1847">
      <c r="A1847" s="93">
        <v>2241.0</v>
      </c>
      <c r="B1847" s="92" t="s">
        <v>19062</v>
      </c>
      <c r="C1847" s="92" t="s">
        <v>19063</v>
      </c>
      <c r="D1847" s="92" t="s">
        <v>18877</v>
      </c>
      <c r="E1847" s="94">
        <v>45721.63159722222</v>
      </c>
      <c r="F1847" s="94">
        <v>45721.63407407407</v>
      </c>
    </row>
    <row r="1848">
      <c r="A1848" s="93">
        <v>2232.0</v>
      </c>
      <c r="B1848" s="92" t="s">
        <v>19064</v>
      </c>
      <c r="C1848" s="92" t="s">
        <v>5578</v>
      </c>
      <c r="D1848" s="92" t="s">
        <v>16044</v>
      </c>
      <c r="E1848" s="94">
        <v>45714.977847222224</v>
      </c>
      <c r="F1848" s="94">
        <v>45715.86628472222</v>
      </c>
    </row>
    <row r="1849">
      <c r="A1849" s="93">
        <v>2236.0</v>
      </c>
      <c r="B1849" s="92" t="s">
        <v>19065</v>
      </c>
      <c r="C1849" s="92" t="s">
        <v>12301</v>
      </c>
      <c r="D1849" s="92" t="s">
        <v>16044</v>
      </c>
      <c r="E1849" s="94">
        <v>45715.30679398148</v>
      </c>
      <c r="F1849" s="94">
        <v>45715.653865740744</v>
      </c>
    </row>
    <row r="1850">
      <c r="A1850" s="93">
        <v>2234.0</v>
      </c>
      <c r="B1850" s="92" t="s">
        <v>19066</v>
      </c>
      <c r="C1850" s="92" t="s">
        <v>15913</v>
      </c>
      <c r="D1850" s="92" t="s">
        <v>16044</v>
      </c>
      <c r="E1850" s="94">
        <v>45715.306666666664</v>
      </c>
      <c r="F1850" s="94">
        <v>45715.33018518519</v>
      </c>
    </row>
    <row r="1851">
      <c r="A1851" s="93">
        <v>2233.0</v>
      </c>
      <c r="B1851" s="92" t="s">
        <v>17608</v>
      </c>
      <c r="C1851" s="92" t="s">
        <v>19067</v>
      </c>
      <c r="D1851" s="92" t="s">
        <v>16044</v>
      </c>
      <c r="E1851" s="94">
        <v>45715.30664351852</v>
      </c>
      <c r="F1851" s="94">
        <v>45715.325902777775</v>
      </c>
    </row>
    <row r="1852">
      <c r="A1852" s="93">
        <v>2239.0</v>
      </c>
      <c r="B1852" s="92" t="s">
        <v>19068</v>
      </c>
      <c r="C1852" s="92" t="s">
        <v>14444</v>
      </c>
      <c r="D1852" s="92" t="s">
        <v>16044</v>
      </c>
      <c r="E1852" s="94">
        <v>45715.31201388889</v>
      </c>
      <c r="F1852" s="94">
        <v>45715.3240625</v>
      </c>
    </row>
    <row r="1853">
      <c r="A1853" s="93">
        <v>2237.0</v>
      </c>
      <c r="B1853" s="92" t="s">
        <v>19069</v>
      </c>
      <c r="C1853" s="92" t="s">
        <v>6959</v>
      </c>
      <c r="D1853" s="92" t="s">
        <v>16044</v>
      </c>
      <c r="E1853" s="94">
        <v>45715.31056712963</v>
      </c>
      <c r="F1853" s="94">
        <v>45715.319027777776</v>
      </c>
    </row>
    <row r="1854">
      <c r="A1854" s="93">
        <v>2240.0</v>
      </c>
      <c r="B1854" s="92" t="s">
        <v>19070</v>
      </c>
      <c r="C1854" s="92" t="s">
        <v>12316</v>
      </c>
      <c r="D1854" s="92" t="s">
        <v>16044</v>
      </c>
      <c r="E1854" s="94">
        <v>45715.313159722224</v>
      </c>
      <c r="F1854" s="94">
        <v>45715.31358796296</v>
      </c>
    </row>
    <row r="1855">
      <c r="A1855" s="93">
        <v>2238.0</v>
      </c>
      <c r="B1855" s="92" t="s">
        <v>19071</v>
      </c>
      <c r="C1855" s="92" t="s">
        <v>5936</v>
      </c>
      <c r="D1855" s="92" t="s">
        <v>16044</v>
      </c>
      <c r="E1855" s="94">
        <v>45715.311898148146</v>
      </c>
      <c r="F1855" s="94">
        <v>45715.31260416667</v>
      </c>
    </row>
    <row r="1856">
      <c r="A1856" s="93">
        <v>2228.0</v>
      </c>
      <c r="B1856" s="92" t="s">
        <v>17610</v>
      </c>
      <c r="C1856" s="92" t="s">
        <v>5571</v>
      </c>
      <c r="D1856" s="92" t="s">
        <v>16044</v>
      </c>
      <c r="E1856" s="94">
        <v>45712.766805555555</v>
      </c>
      <c r="F1856" s="94">
        <v>45714.87399305555</v>
      </c>
    </row>
    <row r="1857">
      <c r="A1857" s="93">
        <v>2231.0</v>
      </c>
      <c r="B1857" s="92" t="s">
        <v>17611</v>
      </c>
      <c r="C1857" s="92" t="s">
        <v>12342</v>
      </c>
      <c r="D1857" s="92" t="s">
        <v>16044</v>
      </c>
      <c r="E1857" s="94">
        <v>45714.75894675926</v>
      </c>
      <c r="F1857" s="94">
        <v>45714.76694444445</v>
      </c>
    </row>
    <row r="1858">
      <c r="A1858" s="93">
        <v>2230.0</v>
      </c>
      <c r="B1858" s="92" t="s">
        <v>19072</v>
      </c>
      <c r="C1858" s="92" t="s">
        <v>11430</v>
      </c>
      <c r="D1858" s="92" t="s">
        <v>16044</v>
      </c>
      <c r="E1858" s="94">
        <v>45713.588483796295</v>
      </c>
      <c r="F1858" s="94">
        <v>45713.59930555556</v>
      </c>
    </row>
    <row r="1859">
      <c r="A1859" s="93">
        <v>2229.0</v>
      </c>
      <c r="B1859" s="92" t="s">
        <v>19073</v>
      </c>
      <c r="C1859" s="92" t="s">
        <v>19074</v>
      </c>
      <c r="D1859" s="92" t="s">
        <v>16044</v>
      </c>
      <c r="E1859" s="94">
        <v>45712.82146990741</v>
      </c>
      <c r="F1859" s="94">
        <v>45712.82340277778</v>
      </c>
    </row>
    <row r="1860">
      <c r="A1860" s="93">
        <v>2227.0</v>
      </c>
      <c r="B1860" s="92" t="s">
        <v>19075</v>
      </c>
      <c r="C1860" s="92" t="s">
        <v>19076</v>
      </c>
      <c r="D1860" s="92" t="s">
        <v>18877</v>
      </c>
      <c r="E1860" s="94">
        <v>45712.403032407405</v>
      </c>
      <c r="F1860" s="94">
        <v>45712.403958333336</v>
      </c>
    </row>
    <row r="1861">
      <c r="A1861" s="93">
        <v>2215.0</v>
      </c>
      <c r="B1861" s="92" t="s">
        <v>17614</v>
      </c>
      <c r="C1861" s="92" t="s">
        <v>7977</v>
      </c>
      <c r="D1861" s="92" t="s">
        <v>16044</v>
      </c>
      <c r="E1861" s="94">
        <v>45692.58886574074</v>
      </c>
      <c r="F1861" s="94">
        <v>45710.57596064815</v>
      </c>
    </row>
    <row r="1862">
      <c r="A1862" s="93">
        <v>2218.0</v>
      </c>
      <c r="B1862" s="92" t="s">
        <v>19077</v>
      </c>
      <c r="C1862" s="92" t="s">
        <v>12200</v>
      </c>
      <c r="D1862" s="92" t="s">
        <v>16044</v>
      </c>
      <c r="E1862" s="94">
        <v>45692.58909722222</v>
      </c>
      <c r="F1862" s="94">
        <v>45708.448067129626</v>
      </c>
    </row>
    <row r="1863">
      <c r="A1863" s="93">
        <v>1840.0</v>
      </c>
      <c r="B1863" s="92" t="s">
        <v>18708</v>
      </c>
      <c r="C1863" s="92" t="s">
        <v>19078</v>
      </c>
      <c r="D1863" s="92" t="s">
        <v>18829</v>
      </c>
      <c r="E1863" s="94">
        <v>45243.569768518515</v>
      </c>
      <c r="F1863" s="94">
        <v>45705.47730324074</v>
      </c>
    </row>
    <row r="1864">
      <c r="A1864" s="93">
        <v>2220.0</v>
      </c>
      <c r="B1864" s="92" t="s">
        <v>17615</v>
      </c>
      <c r="C1864" s="92" t="s">
        <v>6760</v>
      </c>
      <c r="D1864" s="92" t="s">
        <v>16044</v>
      </c>
      <c r="E1864" s="94">
        <v>45693.56146990741</v>
      </c>
      <c r="F1864" s="94">
        <v>45700.63195601852</v>
      </c>
    </row>
    <row r="1865">
      <c r="A1865" s="93">
        <v>2216.0</v>
      </c>
      <c r="B1865" s="92" t="s">
        <v>19079</v>
      </c>
      <c r="C1865" s="92" t="s">
        <v>11551</v>
      </c>
      <c r="D1865" s="92" t="s">
        <v>16044</v>
      </c>
      <c r="E1865" s="94">
        <v>45692.588900462964</v>
      </c>
      <c r="F1865" s="94">
        <v>45699.594618055555</v>
      </c>
    </row>
    <row r="1866">
      <c r="A1866" s="93">
        <v>2213.0</v>
      </c>
      <c r="B1866" s="92" t="s">
        <v>13202</v>
      </c>
      <c r="C1866" s="92" t="s">
        <v>13199</v>
      </c>
      <c r="D1866" s="92" t="s">
        <v>16044</v>
      </c>
      <c r="E1866" s="94">
        <v>45692.58849537037</v>
      </c>
      <c r="F1866" s="94">
        <v>45699.59081018518</v>
      </c>
    </row>
    <row r="1867">
      <c r="A1867" s="93">
        <v>2211.0</v>
      </c>
      <c r="B1867" s="92" t="s">
        <v>17616</v>
      </c>
      <c r="C1867" s="92" t="s">
        <v>6582</v>
      </c>
      <c r="D1867" s="92" t="s">
        <v>16044</v>
      </c>
      <c r="E1867" s="94">
        <v>45692.58641203704</v>
      </c>
      <c r="F1867" s="94">
        <v>45699.580775462964</v>
      </c>
    </row>
    <row r="1868">
      <c r="A1868" s="93">
        <v>2225.0</v>
      </c>
      <c r="B1868" s="92" t="s">
        <v>19080</v>
      </c>
      <c r="C1868" s="92" t="s">
        <v>19081</v>
      </c>
      <c r="D1868" s="92" t="s">
        <v>18877</v>
      </c>
      <c r="E1868" s="94">
        <v>45699.449641203704</v>
      </c>
      <c r="F1868" s="94">
        <v>45699.4506712963</v>
      </c>
    </row>
    <row r="1869">
      <c r="A1869" s="93">
        <v>2214.0</v>
      </c>
      <c r="B1869" s="92" t="s">
        <v>19082</v>
      </c>
      <c r="C1869" s="92" t="s">
        <v>6638</v>
      </c>
      <c r="D1869" s="92" t="s">
        <v>16044</v>
      </c>
      <c r="E1869" s="94">
        <v>45692.58850694444</v>
      </c>
      <c r="F1869" s="94">
        <v>45697.801828703705</v>
      </c>
    </row>
    <row r="1870">
      <c r="A1870" s="93">
        <v>2224.0</v>
      </c>
      <c r="B1870" s="92" t="s">
        <v>19083</v>
      </c>
      <c r="C1870" s="92" t="s">
        <v>9032</v>
      </c>
      <c r="D1870" s="92" t="s">
        <v>16044</v>
      </c>
      <c r="E1870" s="94">
        <v>45693.64630787037</v>
      </c>
      <c r="F1870" s="94">
        <v>45694.777407407404</v>
      </c>
    </row>
    <row r="1871">
      <c r="A1871" s="93">
        <v>2223.0</v>
      </c>
      <c r="B1871" s="92" t="s">
        <v>19084</v>
      </c>
      <c r="C1871" s="92" t="s">
        <v>15132</v>
      </c>
      <c r="D1871" s="92" t="s">
        <v>16044</v>
      </c>
      <c r="E1871" s="94">
        <v>45693.627847222226</v>
      </c>
      <c r="F1871" s="94">
        <v>45693.62883101852</v>
      </c>
    </row>
    <row r="1872">
      <c r="A1872" s="93">
        <v>2222.0</v>
      </c>
      <c r="B1872" s="92" t="s">
        <v>19083</v>
      </c>
      <c r="C1872" s="92" t="s">
        <v>19085</v>
      </c>
      <c r="D1872" s="92" t="s">
        <v>16044</v>
      </c>
      <c r="E1872" s="94">
        <v>45693.61775462963</v>
      </c>
      <c r="F1872" s="94">
        <v>45693.62162037037</v>
      </c>
    </row>
    <row r="1873">
      <c r="A1873" s="93">
        <v>2221.0</v>
      </c>
      <c r="B1873" s="92" t="s">
        <v>17615</v>
      </c>
      <c r="C1873" s="92" t="s">
        <v>19086</v>
      </c>
      <c r="D1873" s="92" t="s">
        <v>16044</v>
      </c>
      <c r="E1873" s="94">
        <v>45693.562581018516</v>
      </c>
      <c r="F1873" s="94">
        <v>45693.563043981485</v>
      </c>
    </row>
    <row r="1874">
      <c r="A1874" s="93">
        <v>2219.0</v>
      </c>
      <c r="B1874" s="92" t="s">
        <v>19083</v>
      </c>
      <c r="C1874" s="92" t="s">
        <v>19087</v>
      </c>
      <c r="D1874" s="92" t="s">
        <v>16044</v>
      </c>
      <c r="E1874" s="94">
        <v>45692.590844907405</v>
      </c>
      <c r="F1874" s="94">
        <v>45692.59165509259</v>
      </c>
    </row>
    <row r="1875">
      <c r="A1875" s="93">
        <v>2217.0</v>
      </c>
      <c r="B1875" s="92" t="s">
        <v>17618</v>
      </c>
      <c r="C1875" s="92" t="s">
        <v>14894</v>
      </c>
      <c r="D1875" s="92" t="s">
        <v>16044</v>
      </c>
      <c r="E1875" s="94">
        <v>45692.58909722222</v>
      </c>
      <c r="F1875" s="94">
        <v>45692.58980324074</v>
      </c>
    </row>
    <row r="1876">
      <c r="A1876" s="93">
        <v>2210.0</v>
      </c>
      <c r="B1876" s="92" t="s">
        <v>19088</v>
      </c>
      <c r="C1876" s="92" t="s">
        <v>14802</v>
      </c>
      <c r="D1876" s="92" t="s">
        <v>16044</v>
      </c>
      <c r="E1876" s="94">
        <v>45680.654594907406</v>
      </c>
      <c r="F1876" s="94">
        <v>45680.65560185185</v>
      </c>
    </row>
    <row r="1877">
      <c r="A1877" s="93">
        <v>2209.0</v>
      </c>
      <c r="B1877" s="92" t="s">
        <v>17619</v>
      </c>
      <c r="C1877" s="92" t="s">
        <v>15373</v>
      </c>
      <c r="D1877" s="92" t="s">
        <v>16044</v>
      </c>
      <c r="E1877" s="94">
        <v>45680.623148148145</v>
      </c>
      <c r="F1877" s="94">
        <v>45680.624560185184</v>
      </c>
    </row>
    <row r="1878">
      <c r="A1878" s="93">
        <v>2208.0</v>
      </c>
      <c r="B1878" s="92" t="s">
        <v>19089</v>
      </c>
      <c r="C1878" s="92" t="s">
        <v>15137</v>
      </c>
      <c r="D1878" s="92" t="s">
        <v>16044</v>
      </c>
      <c r="E1878" s="94">
        <v>45680.619618055556</v>
      </c>
      <c r="F1878" s="94">
        <v>45680.62055555556</v>
      </c>
    </row>
    <row r="1879">
      <c r="A1879" s="93">
        <v>1941.0</v>
      </c>
      <c r="B1879" s="92" t="s">
        <v>18710</v>
      </c>
      <c r="C1879" s="92" t="s">
        <v>19090</v>
      </c>
      <c r="D1879" s="92" t="s">
        <v>18765</v>
      </c>
      <c r="E1879" s="94">
        <v>45348.630381944444</v>
      </c>
      <c r="F1879" s="94">
        <v>45676.57784722222</v>
      </c>
    </row>
    <row r="1880">
      <c r="A1880" s="93">
        <v>2205.0</v>
      </c>
      <c r="B1880" s="92" t="s">
        <v>18712</v>
      </c>
      <c r="C1880" s="92" t="s">
        <v>3817</v>
      </c>
      <c r="D1880" s="92" t="s">
        <v>18765</v>
      </c>
      <c r="E1880" s="94">
        <v>45676.56811342593</v>
      </c>
      <c r="F1880" s="94">
        <v>45676.572905092595</v>
      </c>
    </row>
    <row r="1881">
      <c r="A1881" s="93">
        <v>2171.0</v>
      </c>
      <c r="B1881" s="92" t="s">
        <v>14353</v>
      </c>
      <c r="C1881" s="92" t="s">
        <v>19091</v>
      </c>
      <c r="D1881" s="92" t="s">
        <v>16044</v>
      </c>
      <c r="E1881" s="94">
        <v>45631.495787037034</v>
      </c>
      <c r="F1881" s="94">
        <v>45676.55181712963</v>
      </c>
    </row>
    <row r="1882">
      <c r="A1882" s="93">
        <v>2162.0</v>
      </c>
      <c r="B1882" s="92" t="s">
        <v>19092</v>
      </c>
      <c r="C1882" s="92" t="s">
        <v>19093</v>
      </c>
      <c r="D1882" s="92" t="s">
        <v>16044</v>
      </c>
      <c r="E1882" s="94">
        <v>45631.49454861111</v>
      </c>
      <c r="F1882" s="94">
        <v>45675.9212962963</v>
      </c>
    </row>
    <row r="1883">
      <c r="A1883" s="93">
        <v>2173.0</v>
      </c>
      <c r="B1883" s="92" t="s">
        <v>19094</v>
      </c>
      <c r="C1883" s="92" t="s">
        <v>19095</v>
      </c>
      <c r="D1883" s="92" t="s">
        <v>16044</v>
      </c>
      <c r="E1883" s="94">
        <v>45631.49612268519</v>
      </c>
      <c r="F1883" s="94">
        <v>45675.91962962963</v>
      </c>
    </row>
    <row r="1884">
      <c r="A1884" s="93">
        <v>2168.0</v>
      </c>
      <c r="B1884" s="92" t="s">
        <v>17621</v>
      </c>
      <c r="C1884" s="92" t="s">
        <v>19096</v>
      </c>
      <c r="D1884" s="92" t="s">
        <v>16044</v>
      </c>
      <c r="E1884" s="94">
        <v>45631.49528935185</v>
      </c>
      <c r="F1884" s="94">
        <v>45675.9131712963</v>
      </c>
    </row>
    <row r="1885">
      <c r="A1885" s="93">
        <v>2158.0</v>
      </c>
      <c r="B1885" s="92" t="s">
        <v>19097</v>
      </c>
      <c r="C1885" s="92" t="s">
        <v>14467</v>
      </c>
      <c r="D1885" s="92" t="s">
        <v>16044</v>
      </c>
      <c r="E1885" s="94">
        <v>45628.56633101852</v>
      </c>
      <c r="F1885" s="94">
        <v>45673.48849537037</v>
      </c>
    </row>
    <row r="1886">
      <c r="A1886" s="93">
        <v>2175.0</v>
      </c>
      <c r="B1886" s="92" t="s">
        <v>19098</v>
      </c>
      <c r="C1886" s="92" t="s">
        <v>13493</v>
      </c>
      <c r="D1886" s="92" t="s">
        <v>16044</v>
      </c>
      <c r="E1886" s="94">
        <v>45632.392164351855</v>
      </c>
      <c r="F1886" s="94">
        <v>45673.482569444444</v>
      </c>
    </row>
    <row r="1887">
      <c r="A1887" s="93">
        <v>1846.0</v>
      </c>
      <c r="B1887" s="92" t="s">
        <v>19099</v>
      </c>
      <c r="C1887" s="92" t="s">
        <v>14742</v>
      </c>
      <c r="D1887" s="92" t="s">
        <v>16044</v>
      </c>
      <c r="E1887" s="94">
        <v>45245.39628472222</v>
      </c>
      <c r="F1887" s="94">
        <v>45670.982083333336</v>
      </c>
    </row>
    <row r="1888">
      <c r="A1888" s="93">
        <v>1845.0</v>
      </c>
      <c r="B1888" s="92" t="s">
        <v>17625</v>
      </c>
      <c r="C1888" s="92" t="s">
        <v>14747</v>
      </c>
      <c r="D1888" s="92" t="s">
        <v>16044</v>
      </c>
      <c r="E1888" s="94">
        <v>45245.39627314815</v>
      </c>
      <c r="F1888" s="94">
        <v>45670.97756944445</v>
      </c>
    </row>
    <row r="1889">
      <c r="A1889" s="93">
        <v>1850.0</v>
      </c>
      <c r="B1889" s="92" t="s">
        <v>19100</v>
      </c>
      <c r="C1889" s="92" t="s">
        <v>19101</v>
      </c>
      <c r="D1889" s="92" t="s">
        <v>16044</v>
      </c>
      <c r="E1889" s="94">
        <v>45245.39670138889</v>
      </c>
      <c r="F1889" s="94">
        <v>45670.971296296295</v>
      </c>
    </row>
    <row r="1890">
      <c r="A1890" s="93">
        <v>2204.0</v>
      </c>
      <c r="B1890" s="92" t="s">
        <v>17627</v>
      </c>
      <c r="C1890" s="92" t="s">
        <v>19102</v>
      </c>
      <c r="D1890" s="92" t="s">
        <v>16044</v>
      </c>
      <c r="E1890" s="94">
        <v>45670.96192129629</v>
      </c>
      <c r="F1890" s="94">
        <v>45670.96266203704</v>
      </c>
    </row>
    <row r="1891">
      <c r="A1891" s="93">
        <v>2203.0</v>
      </c>
      <c r="B1891" s="92" t="s">
        <v>17628</v>
      </c>
      <c r="C1891" s="92" t="s">
        <v>19103</v>
      </c>
      <c r="D1891" s="92" t="s">
        <v>16044</v>
      </c>
      <c r="E1891" s="94">
        <v>45670.954409722224</v>
      </c>
      <c r="F1891" s="94">
        <v>45670.9546875</v>
      </c>
    </row>
    <row r="1892">
      <c r="A1892" s="93">
        <v>2202.0</v>
      </c>
      <c r="B1892" s="92" t="s">
        <v>17629</v>
      </c>
      <c r="C1892" s="92" t="s">
        <v>19104</v>
      </c>
      <c r="D1892" s="92" t="s">
        <v>16044</v>
      </c>
      <c r="E1892" s="94">
        <v>45670.93004629629</v>
      </c>
      <c r="F1892" s="94">
        <v>45670.93004629629</v>
      </c>
    </row>
    <row r="1893">
      <c r="A1893" s="93">
        <v>2143.0</v>
      </c>
      <c r="B1893" s="92" t="s">
        <v>19105</v>
      </c>
      <c r="C1893" s="92" t="s">
        <v>11955</v>
      </c>
      <c r="D1893" s="92" t="s">
        <v>16044</v>
      </c>
      <c r="E1893" s="94">
        <v>45615.50987268519</v>
      </c>
      <c r="F1893" s="94">
        <v>45670.51513888889</v>
      </c>
    </row>
    <row r="1894">
      <c r="A1894" s="93">
        <v>2194.0</v>
      </c>
      <c r="B1894" s="92" t="s">
        <v>19106</v>
      </c>
      <c r="C1894" s="92" t="s">
        <v>8094</v>
      </c>
      <c r="D1894" s="92" t="s">
        <v>16044</v>
      </c>
      <c r="E1894" s="94">
        <v>45637.55289351852</v>
      </c>
      <c r="F1894" s="94">
        <v>45667.530335648145</v>
      </c>
    </row>
    <row r="1895">
      <c r="A1895" s="93">
        <v>2132.0</v>
      </c>
      <c r="B1895" s="92" t="s">
        <v>19107</v>
      </c>
      <c r="C1895" s="92" t="s">
        <v>15490</v>
      </c>
      <c r="D1895" s="92" t="s">
        <v>16044</v>
      </c>
      <c r="E1895" s="94">
        <v>45615.50815972222</v>
      </c>
      <c r="F1895" s="94">
        <v>45667.51479166667</v>
      </c>
    </row>
    <row r="1896">
      <c r="A1896" s="93">
        <v>2139.0</v>
      </c>
      <c r="B1896" s="92" t="s">
        <v>17630</v>
      </c>
      <c r="C1896" s="92" t="s">
        <v>9301</v>
      </c>
      <c r="D1896" s="92" t="s">
        <v>16044</v>
      </c>
      <c r="E1896" s="94">
        <v>45615.50953703704</v>
      </c>
      <c r="F1896" s="94">
        <v>45665.55842592593</v>
      </c>
    </row>
    <row r="1897">
      <c r="A1897" s="93">
        <v>2151.0</v>
      </c>
      <c r="B1897" s="92" t="s">
        <v>19108</v>
      </c>
      <c r="C1897" s="92" t="s">
        <v>5533</v>
      </c>
      <c r="D1897" s="92" t="s">
        <v>16044</v>
      </c>
      <c r="E1897" s="94">
        <v>45615.511296296296</v>
      </c>
      <c r="F1897" s="94">
        <v>45665.55731481482</v>
      </c>
    </row>
    <row r="1898">
      <c r="A1898" s="93">
        <v>2153.0</v>
      </c>
      <c r="B1898" s="92" t="s">
        <v>19109</v>
      </c>
      <c r="C1898" s="92" t="s">
        <v>9452</v>
      </c>
      <c r="D1898" s="92" t="s">
        <v>16044</v>
      </c>
      <c r="E1898" s="94">
        <v>45615.5131712963</v>
      </c>
      <c r="F1898" s="94">
        <v>45665.554074074076</v>
      </c>
    </row>
    <row r="1899">
      <c r="A1899" s="93">
        <v>2144.0</v>
      </c>
      <c r="B1899" s="92" t="s">
        <v>19110</v>
      </c>
      <c r="C1899" s="92" t="s">
        <v>9262</v>
      </c>
      <c r="D1899" s="92" t="s">
        <v>16044</v>
      </c>
      <c r="E1899" s="94">
        <v>45615.50991898148</v>
      </c>
      <c r="F1899" s="94">
        <v>45665.554074074076</v>
      </c>
    </row>
    <row r="1900">
      <c r="A1900" s="93">
        <v>2200.0</v>
      </c>
      <c r="B1900" s="92" t="s">
        <v>17631</v>
      </c>
      <c r="C1900" s="92" t="s">
        <v>19111</v>
      </c>
      <c r="D1900" s="92" t="s">
        <v>16044</v>
      </c>
      <c r="E1900" s="94">
        <v>45662.58261574074</v>
      </c>
      <c r="F1900" s="94">
        <v>45662.58288194444</v>
      </c>
    </row>
    <row r="1901">
      <c r="A1901" s="93">
        <v>2199.0</v>
      </c>
      <c r="B1901" s="92" t="s">
        <v>17632</v>
      </c>
      <c r="C1901" s="92" t="s">
        <v>19112</v>
      </c>
      <c r="D1901" s="92" t="s">
        <v>16044</v>
      </c>
      <c r="E1901" s="94">
        <v>45661.83560185185</v>
      </c>
      <c r="F1901" s="94">
        <v>45661.83608796296</v>
      </c>
    </row>
    <row r="1902">
      <c r="A1902" s="93">
        <v>2170.0</v>
      </c>
      <c r="B1902" s="92" t="s">
        <v>19113</v>
      </c>
      <c r="C1902" s="92" t="s">
        <v>15290</v>
      </c>
      <c r="D1902" s="92" t="s">
        <v>16044</v>
      </c>
      <c r="E1902" s="94">
        <v>45631.49553240741</v>
      </c>
      <c r="F1902" s="94">
        <v>45646.400625</v>
      </c>
    </row>
    <row r="1903">
      <c r="A1903" s="93">
        <v>2198.0</v>
      </c>
      <c r="B1903" s="92" t="s">
        <v>19114</v>
      </c>
      <c r="C1903" s="92" t="s">
        <v>6208</v>
      </c>
      <c r="D1903" s="92" t="s">
        <v>16044</v>
      </c>
      <c r="E1903" s="94">
        <v>45645.383784722224</v>
      </c>
      <c r="F1903" s="94">
        <v>45646.38119212963</v>
      </c>
    </row>
    <row r="1904">
      <c r="A1904" s="93">
        <v>2166.0</v>
      </c>
      <c r="B1904" s="92" t="s">
        <v>19115</v>
      </c>
      <c r="C1904" s="92" t="s">
        <v>9322</v>
      </c>
      <c r="D1904" s="92" t="s">
        <v>16044</v>
      </c>
      <c r="E1904" s="94">
        <v>45631.494942129626</v>
      </c>
      <c r="F1904" s="94">
        <v>45645.49459490741</v>
      </c>
    </row>
    <row r="1905">
      <c r="A1905" s="93">
        <v>2164.0</v>
      </c>
      <c r="B1905" s="92" t="s">
        <v>17635</v>
      </c>
      <c r="C1905" s="92" t="s">
        <v>9757</v>
      </c>
      <c r="D1905" s="92" t="s">
        <v>16044</v>
      </c>
      <c r="E1905" s="94">
        <v>45631.4946412037</v>
      </c>
      <c r="F1905" s="94">
        <v>45645.49037037037</v>
      </c>
    </row>
    <row r="1906">
      <c r="A1906" s="93">
        <v>2160.0</v>
      </c>
      <c r="B1906" s="92" t="s">
        <v>19116</v>
      </c>
      <c r="C1906" s="92" t="s">
        <v>9751</v>
      </c>
      <c r="D1906" s="92" t="s">
        <v>16044</v>
      </c>
      <c r="E1906" s="94">
        <v>45631.4933912037</v>
      </c>
      <c r="F1906" s="94">
        <v>45645.48322916667</v>
      </c>
    </row>
    <row r="1907">
      <c r="A1907" s="93">
        <v>2163.0</v>
      </c>
      <c r="B1907" s="92" t="s">
        <v>9783</v>
      </c>
      <c r="C1907" s="92" t="s">
        <v>9781</v>
      </c>
      <c r="D1907" s="92" t="s">
        <v>16044</v>
      </c>
      <c r="E1907" s="94">
        <v>45631.49459490741</v>
      </c>
      <c r="F1907" s="94">
        <v>45645.480405092596</v>
      </c>
    </row>
    <row r="1908">
      <c r="A1908" s="93">
        <v>2196.0</v>
      </c>
      <c r="B1908" s="92" t="s">
        <v>19117</v>
      </c>
      <c r="C1908" s="92" t="s">
        <v>14485</v>
      </c>
      <c r="D1908" s="92" t="s">
        <v>16044</v>
      </c>
      <c r="E1908" s="94">
        <v>45638.48585648148</v>
      </c>
      <c r="F1908" s="94">
        <v>45645.40929398148</v>
      </c>
    </row>
    <row r="1909">
      <c r="A1909" s="93">
        <v>2172.0</v>
      </c>
      <c r="B1909" s="92" t="s">
        <v>19118</v>
      </c>
      <c r="C1909" s="92" t="s">
        <v>9739</v>
      </c>
      <c r="D1909" s="92" t="s">
        <v>16044</v>
      </c>
      <c r="E1909" s="94">
        <v>45631.49590277778</v>
      </c>
      <c r="F1909" s="94">
        <v>45645.400509259256</v>
      </c>
    </row>
    <row r="1910">
      <c r="A1910" s="93">
        <v>2169.0</v>
      </c>
      <c r="B1910" s="92" t="s">
        <v>19119</v>
      </c>
      <c r="C1910" s="92" t="s">
        <v>11625</v>
      </c>
      <c r="D1910" s="92" t="s">
        <v>16044</v>
      </c>
      <c r="E1910" s="94">
        <v>45631.495358796295</v>
      </c>
      <c r="F1910" s="94">
        <v>45645.39953703704</v>
      </c>
    </row>
    <row r="1911">
      <c r="A1911" s="93">
        <v>2174.0</v>
      </c>
      <c r="B1911" s="92" t="s">
        <v>17637</v>
      </c>
      <c r="C1911" s="92" t="s">
        <v>5518</v>
      </c>
      <c r="D1911" s="92" t="s">
        <v>16044</v>
      </c>
      <c r="E1911" s="94">
        <v>45632.39202546296</v>
      </c>
      <c r="F1911" s="94">
        <v>45645.39724537037</v>
      </c>
    </row>
    <row r="1912">
      <c r="A1912" s="93">
        <v>2161.0</v>
      </c>
      <c r="B1912" s="92" t="s">
        <v>17638</v>
      </c>
      <c r="C1912" s="92" t="s">
        <v>14378</v>
      </c>
      <c r="D1912" s="92" t="s">
        <v>16044</v>
      </c>
      <c r="E1912" s="94">
        <v>45631.49453703704</v>
      </c>
      <c r="F1912" s="94">
        <v>45645.395324074074</v>
      </c>
    </row>
    <row r="1913">
      <c r="A1913" s="93">
        <v>2176.0</v>
      </c>
      <c r="B1913" s="92" t="s">
        <v>19120</v>
      </c>
      <c r="C1913" s="92" t="s">
        <v>15248</v>
      </c>
      <c r="D1913" s="92" t="s">
        <v>16044</v>
      </c>
      <c r="E1913" s="94">
        <v>45632.392592592594</v>
      </c>
      <c r="F1913" s="94">
        <v>45645.383564814816</v>
      </c>
    </row>
    <row r="1914">
      <c r="A1914" s="93">
        <v>2197.0</v>
      </c>
      <c r="B1914" s="92" t="s">
        <v>17640</v>
      </c>
      <c r="C1914" s="92" t="s">
        <v>16077</v>
      </c>
      <c r="D1914" s="92" t="s">
        <v>16044</v>
      </c>
      <c r="E1914" s="94">
        <v>45639.66005787037</v>
      </c>
      <c r="F1914" s="94">
        <v>45639.66061342593</v>
      </c>
    </row>
    <row r="1915">
      <c r="A1915" s="93">
        <v>2167.0</v>
      </c>
      <c r="B1915" s="92" t="s">
        <v>19121</v>
      </c>
      <c r="C1915" s="92" t="s">
        <v>9366</v>
      </c>
      <c r="D1915" s="92" t="s">
        <v>16044</v>
      </c>
      <c r="E1915" s="94">
        <v>45631.49513888889</v>
      </c>
      <c r="F1915" s="94">
        <v>45638.581875</v>
      </c>
    </row>
    <row r="1916">
      <c r="A1916" s="93">
        <v>2159.0</v>
      </c>
      <c r="B1916" s="92" t="s">
        <v>19122</v>
      </c>
      <c r="C1916" s="92" t="s">
        <v>19123</v>
      </c>
      <c r="D1916" s="92" t="s">
        <v>18877</v>
      </c>
      <c r="E1916" s="94">
        <v>45628.57944444445</v>
      </c>
      <c r="F1916" s="94">
        <v>45638.493101851855</v>
      </c>
    </row>
    <row r="1917">
      <c r="A1917" s="93">
        <v>2138.0</v>
      </c>
      <c r="B1917" s="92" t="s">
        <v>19124</v>
      </c>
      <c r="C1917" s="92" t="s">
        <v>12006</v>
      </c>
      <c r="D1917" s="92" t="s">
        <v>16044</v>
      </c>
      <c r="E1917" s="94">
        <v>45615.50947916666</v>
      </c>
      <c r="F1917" s="94">
        <v>45637.55902777778</v>
      </c>
    </row>
    <row r="1918">
      <c r="A1918" s="93">
        <v>2137.0</v>
      </c>
      <c r="B1918" s="92" t="s">
        <v>19125</v>
      </c>
      <c r="C1918" s="92" t="s">
        <v>11650</v>
      </c>
      <c r="D1918" s="92" t="s">
        <v>16044</v>
      </c>
      <c r="E1918" s="94">
        <v>45615.509467592594</v>
      </c>
      <c r="F1918" s="94">
        <v>45637.55820601852</v>
      </c>
    </row>
    <row r="1919">
      <c r="A1919" s="93">
        <v>2145.0</v>
      </c>
      <c r="B1919" s="92" t="s">
        <v>19126</v>
      </c>
      <c r="C1919" s="92" t="s">
        <v>9348</v>
      </c>
      <c r="D1919" s="92" t="s">
        <v>16044</v>
      </c>
      <c r="E1919" s="94">
        <v>45615.51016203704</v>
      </c>
      <c r="F1919" s="94">
        <v>45637.556921296295</v>
      </c>
    </row>
    <row r="1920">
      <c r="A1920" s="93">
        <v>2136.0</v>
      </c>
      <c r="B1920" s="92" t="s">
        <v>19127</v>
      </c>
      <c r="C1920" s="92" t="s">
        <v>11148</v>
      </c>
      <c r="D1920" s="92" t="s">
        <v>16044</v>
      </c>
      <c r="E1920" s="94">
        <v>45615.50892361111</v>
      </c>
      <c r="F1920" s="94">
        <v>45637.555810185186</v>
      </c>
    </row>
    <row r="1921">
      <c r="A1921" s="93">
        <v>2195.0</v>
      </c>
      <c r="B1921" s="92" t="s">
        <v>19128</v>
      </c>
      <c r="C1921" s="92" t="s">
        <v>9398</v>
      </c>
      <c r="D1921" s="92" t="s">
        <v>16044</v>
      </c>
      <c r="E1921" s="94">
        <v>45637.55300925926</v>
      </c>
      <c r="F1921" s="94">
        <v>45637.55383101852</v>
      </c>
    </row>
    <row r="1922">
      <c r="A1922" s="93">
        <v>2146.0</v>
      </c>
      <c r="B1922" s="92" t="s">
        <v>19129</v>
      </c>
      <c r="C1922" s="92" t="s">
        <v>11156</v>
      </c>
      <c r="D1922" s="92" t="s">
        <v>16044</v>
      </c>
      <c r="E1922" s="94">
        <v>45615.510416666664</v>
      </c>
      <c r="F1922" s="94">
        <v>45637.55297453704</v>
      </c>
    </row>
    <row r="1923">
      <c r="A1923" s="93">
        <v>2133.0</v>
      </c>
      <c r="B1923" s="92" t="s">
        <v>17642</v>
      </c>
      <c r="C1923" s="92" t="s">
        <v>12285</v>
      </c>
      <c r="D1923" s="92" t="s">
        <v>16044</v>
      </c>
      <c r="E1923" s="94">
        <v>45615.50863425926</v>
      </c>
      <c r="F1923" s="94">
        <v>45637.549675925926</v>
      </c>
    </row>
    <row r="1924">
      <c r="A1924" s="93">
        <v>2192.0</v>
      </c>
      <c r="B1924" s="92" t="s">
        <v>17643</v>
      </c>
      <c r="C1924" s="92" t="s">
        <v>14975</v>
      </c>
      <c r="D1924" s="92" t="s">
        <v>16044</v>
      </c>
      <c r="E1924" s="94">
        <v>45637.521828703706</v>
      </c>
      <c r="F1924" s="94">
        <v>45637.52851851852</v>
      </c>
    </row>
    <row r="1925">
      <c r="A1925" s="93">
        <v>2188.0</v>
      </c>
      <c r="B1925" s="92" t="s">
        <v>19130</v>
      </c>
      <c r="C1925" s="92" t="s">
        <v>10452</v>
      </c>
      <c r="D1925" s="92" t="s">
        <v>16044</v>
      </c>
      <c r="E1925" s="94">
        <v>45632.52291666667</v>
      </c>
      <c r="F1925" s="94">
        <v>45637.52774305556</v>
      </c>
    </row>
    <row r="1926">
      <c r="A1926" s="93">
        <v>2193.0</v>
      </c>
      <c r="B1926" s="92" t="s">
        <v>18786</v>
      </c>
      <c r="C1926" s="92" t="s">
        <v>19131</v>
      </c>
      <c r="D1926" s="92" t="s">
        <v>18787</v>
      </c>
      <c r="E1926" s="94">
        <v>45637.52707175926</v>
      </c>
      <c r="F1926" s="94">
        <v>45637.52707175926</v>
      </c>
    </row>
    <row r="1927">
      <c r="A1927" s="93">
        <v>2181.0</v>
      </c>
      <c r="B1927" s="92" t="s">
        <v>19132</v>
      </c>
      <c r="C1927" s="92" t="s">
        <v>11505</v>
      </c>
      <c r="D1927" s="92" t="s">
        <v>16044</v>
      </c>
      <c r="E1927" s="94">
        <v>45632.50634259259</v>
      </c>
      <c r="F1927" s="94">
        <v>45637.52658564815</v>
      </c>
    </row>
    <row r="1928">
      <c r="A1928" s="93">
        <v>2186.0</v>
      </c>
      <c r="B1928" s="92" t="s">
        <v>19133</v>
      </c>
      <c r="C1928" s="92" t="s">
        <v>12972</v>
      </c>
      <c r="D1928" s="92" t="s">
        <v>16044</v>
      </c>
      <c r="E1928" s="94">
        <v>45632.52177083334</v>
      </c>
      <c r="F1928" s="94">
        <v>45637.52652777778</v>
      </c>
    </row>
    <row r="1929">
      <c r="A1929" s="93">
        <v>2191.0</v>
      </c>
      <c r="B1929" s="92" t="s">
        <v>18786</v>
      </c>
      <c r="C1929" s="92" t="s">
        <v>19134</v>
      </c>
      <c r="D1929" s="92" t="s">
        <v>18787</v>
      </c>
      <c r="E1929" s="94">
        <v>45637.513657407406</v>
      </c>
      <c r="F1929" s="94">
        <v>45637.513657407406</v>
      </c>
    </row>
    <row r="1930">
      <c r="A1930" s="93">
        <v>2015.0</v>
      </c>
      <c r="B1930" s="92" t="s">
        <v>17645</v>
      </c>
      <c r="C1930" s="92" t="s">
        <v>19135</v>
      </c>
      <c r="D1930" s="92" t="s">
        <v>16044</v>
      </c>
      <c r="E1930" s="94">
        <v>45448.517164351855</v>
      </c>
      <c r="F1930" s="94">
        <v>45637.50890046296</v>
      </c>
    </row>
    <row r="1931">
      <c r="A1931" s="93">
        <v>2019.0</v>
      </c>
      <c r="B1931" s="92" t="s">
        <v>19136</v>
      </c>
      <c r="C1931" s="92" t="s">
        <v>19137</v>
      </c>
      <c r="D1931" s="92" t="s">
        <v>16044</v>
      </c>
      <c r="E1931" s="94">
        <v>45461.623344907406</v>
      </c>
      <c r="F1931" s="94">
        <v>45636.49248842592</v>
      </c>
    </row>
    <row r="1932">
      <c r="A1932" s="93">
        <v>2190.0</v>
      </c>
      <c r="B1932" s="92" t="s">
        <v>18867</v>
      </c>
      <c r="C1932" s="92" t="s">
        <v>19138</v>
      </c>
      <c r="D1932" s="92" t="s">
        <v>16044</v>
      </c>
      <c r="E1932" s="94">
        <v>45635.734189814815</v>
      </c>
      <c r="F1932" s="94">
        <v>45635.734826388885</v>
      </c>
    </row>
    <row r="1933">
      <c r="A1933" s="93">
        <v>2177.0</v>
      </c>
      <c r="B1933" s="92" t="s">
        <v>17647</v>
      </c>
      <c r="C1933" s="92" t="s">
        <v>9622</v>
      </c>
      <c r="D1933" s="92" t="s">
        <v>16044</v>
      </c>
      <c r="E1933" s="94">
        <v>45632.46503472222</v>
      </c>
      <c r="F1933" s="94">
        <v>45632.53128472222</v>
      </c>
    </row>
    <row r="1934">
      <c r="A1934" s="93">
        <v>2179.0</v>
      </c>
      <c r="B1934" s="92" t="s">
        <v>17648</v>
      </c>
      <c r="C1934" s="92" t="s">
        <v>10457</v>
      </c>
      <c r="D1934" s="92" t="s">
        <v>16044</v>
      </c>
      <c r="E1934" s="94">
        <v>45632.505590277775</v>
      </c>
      <c r="F1934" s="94">
        <v>45632.529398148145</v>
      </c>
    </row>
    <row r="1935">
      <c r="A1935" s="93">
        <v>2187.0</v>
      </c>
      <c r="B1935" s="92" t="s">
        <v>19139</v>
      </c>
      <c r="C1935" s="92" t="s">
        <v>15950</v>
      </c>
      <c r="D1935" s="92" t="s">
        <v>16044</v>
      </c>
      <c r="E1935" s="94">
        <v>45632.52287037037</v>
      </c>
      <c r="F1935" s="94">
        <v>45632.52543981482</v>
      </c>
    </row>
    <row r="1936">
      <c r="A1936" s="93">
        <v>2189.0</v>
      </c>
      <c r="B1936" s="92" t="s">
        <v>17649</v>
      </c>
      <c r="C1936" s="92" t="s">
        <v>14948</v>
      </c>
      <c r="D1936" s="92" t="s">
        <v>16044</v>
      </c>
      <c r="E1936" s="94">
        <v>45632.52337962963</v>
      </c>
      <c r="F1936" s="94">
        <v>45632.52496527778</v>
      </c>
    </row>
    <row r="1937">
      <c r="A1937" s="93">
        <v>2185.0</v>
      </c>
      <c r="B1937" s="92" t="s">
        <v>19140</v>
      </c>
      <c r="C1937" s="92" t="s">
        <v>9628</v>
      </c>
      <c r="D1937" s="92" t="s">
        <v>16044</v>
      </c>
      <c r="E1937" s="94">
        <v>45632.509571759256</v>
      </c>
      <c r="F1937" s="94">
        <v>45632.513645833336</v>
      </c>
    </row>
    <row r="1938">
      <c r="A1938" s="93">
        <v>2183.0</v>
      </c>
      <c r="B1938" s="92" t="s">
        <v>17651</v>
      </c>
      <c r="C1938" s="92" t="s">
        <v>19141</v>
      </c>
      <c r="D1938" s="92" t="s">
        <v>16044</v>
      </c>
      <c r="E1938" s="94">
        <v>45632.50880787037</v>
      </c>
      <c r="F1938" s="94">
        <v>45632.51042824074</v>
      </c>
    </row>
    <row r="1939">
      <c r="A1939" s="93">
        <v>2182.0</v>
      </c>
      <c r="B1939" s="92" t="s">
        <v>19142</v>
      </c>
      <c r="C1939" s="92" t="s">
        <v>14971</v>
      </c>
      <c r="D1939" s="92" t="s">
        <v>16044</v>
      </c>
      <c r="E1939" s="94">
        <v>45632.50646990741</v>
      </c>
      <c r="F1939" s="94">
        <v>45632.50921296296</v>
      </c>
    </row>
    <row r="1940">
      <c r="A1940" s="93">
        <v>2180.0</v>
      </c>
      <c r="B1940" s="92" t="s">
        <v>17652</v>
      </c>
      <c r="C1940" s="92" t="s">
        <v>11778</v>
      </c>
      <c r="D1940" s="92" t="s">
        <v>16044</v>
      </c>
      <c r="E1940" s="94">
        <v>45632.50561342593</v>
      </c>
      <c r="F1940" s="94">
        <v>45632.50792824074</v>
      </c>
    </row>
    <row r="1941">
      <c r="A1941" s="93">
        <v>2178.0</v>
      </c>
      <c r="B1941" s="92" t="s">
        <v>18786</v>
      </c>
      <c r="C1941" s="92" t="s">
        <v>19143</v>
      </c>
      <c r="D1941" s="92" t="s">
        <v>18787</v>
      </c>
      <c r="E1941" s="94">
        <v>45632.49476851852</v>
      </c>
      <c r="F1941" s="94">
        <v>45632.49476851852</v>
      </c>
    </row>
    <row r="1942">
      <c r="A1942" s="93">
        <v>2165.0</v>
      </c>
      <c r="B1942" s="92" t="s">
        <v>19144</v>
      </c>
      <c r="C1942" s="92" t="s">
        <v>14752</v>
      </c>
      <c r="D1942" s="92" t="s">
        <v>16044</v>
      </c>
      <c r="E1942" s="94">
        <v>45631.4946412037</v>
      </c>
      <c r="F1942" s="94">
        <v>45631.496342592596</v>
      </c>
    </row>
    <row r="1943">
      <c r="A1943" s="93">
        <v>469.0</v>
      </c>
      <c r="B1943" s="92" t="s">
        <v>17146</v>
      </c>
      <c r="C1943" s="92" t="s">
        <v>8264</v>
      </c>
      <c r="D1943" s="92" t="s">
        <v>16044</v>
      </c>
      <c r="E1943" s="94">
        <v>45113.54100694445</v>
      </c>
      <c r="F1943" s="94">
        <v>45630.7162962963</v>
      </c>
    </row>
    <row r="1944">
      <c r="A1944" s="93">
        <v>2150.0</v>
      </c>
      <c r="B1944" s="92" t="s">
        <v>17654</v>
      </c>
      <c r="C1944" s="92" t="s">
        <v>9556</v>
      </c>
      <c r="D1944" s="92" t="s">
        <v>16044</v>
      </c>
      <c r="E1944" s="94">
        <v>45615.510879629626</v>
      </c>
      <c r="F1944" s="94">
        <v>45630.56061342593</v>
      </c>
    </row>
    <row r="1945">
      <c r="A1945" s="93">
        <v>2140.0</v>
      </c>
      <c r="B1945" s="92" t="s">
        <v>19145</v>
      </c>
      <c r="C1945" s="92" t="s">
        <v>9249</v>
      </c>
      <c r="D1945" s="92" t="s">
        <v>16044</v>
      </c>
      <c r="E1945" s="94">
        <v>45615.50974537037</v>
      </c>
      <c r="F1945" s="94">
        <v>45630.559745370374</v>
      </c>
    </row>
    <row r="1946">
      <c r="A1946" s="93">
        <v>2149.0</v>
      </c>
      <c r="B1946" s="92" t="s">
        <v>19146</v>
      </c>
      <c r="C1946" s="92" t="s">
        <v>8700</v>
      </c>
      <c r="D1946" s="92" t="s">
        <v>16044</v>
      </c>
      <c r="E1946" s="94">
        <v>45615.510659722226</v>
      </c>
      <c r="F1946" s="94">
        <v>45630.558657407404</v>
      </c>
    </row>
    <row r="1947">
      <c r="A1947" s="93">
        <v>2156.0</v>
      </c>
      <c r="B1947" s="92" t="s">
        <v>19147</v>
      </c>
      <c r="C1947" s="92" t="s">
        <v>19148</v>
      </c>
      <c r="D1947" s="92" t="s">
        <v>18877</v>
      </c>
      <c r="E1947" s="94">
        <v>45628.32262731482</v>
      </c>
      <c r="F1947" s="94">
        <v>45628.32336805556</v>
      </c>
    </row>
    <row r="1948">
      <c r="A1948" s="93">
        <v>2155.0</v>
      </c>
      <c r="B1948" s="92" t="s">
        <v>19149</v>
      </c>
      <c r="C1948" s="92" t="s">
        <v>19150</v>
      </c>
      <c r="D1948" s="92" t="s">
        <v>18877</v>
      </c>
      <c r="E1948" s="94">
        <v>45622.44894675926</v>
      </c>
      <c r="F1948" s="94">
        <v>45622.44969907407</v>
      </c>
    </row>
    <row r="1949">
      <c r="A1949" s="93">
        <v>1258.0</v>
      </c>
      <c r="B1949" s="92" t="s">
        <v>17656</v>
      </c>
      <c r="C1949" s="92" t="s">
        <v>7121</v>
      </c>
      <c r="D1949" s="92" t="s">
        <v>16044</v>
      </c>
      <c r="E1949" s="94">
        <v>45113.55267361111</v>
      </c>
      <c r="F1949" s="94">
        <v>45620.933958333335</v>
      </c>
    </row>
    <row r="1950">
      <c r="A1950" s="93">
        <v>1462.0</v>
      </c>
      <c r="B1950" s="92" t="s">
        <v>17657</v>
      </c>
      <c r="C1950" s="92" t="s">
        <v>7064</v>
      </c>
      <c r="D1950" s="92" t="s">
        <v>16044</v>
      </c>
      <c r="E1950" s="94">
        <v>45113.555659722224</v>
      </c>
      <c r="F1950" s="94">
        <v>45620.93234953703</v>
      </c>
    </row>
    <row r="1951">
      <c r="A1951" s="93">
        <v>932.0</v>
      </c>
      <c r="B1951" s="92" t="s">
        <v>19151</v>
      </c>
      <c r="C1951" s="92" t="s">
        <v>10474</v>
      </c>
      <c r="D1951" s="92" t="s">
        <v>16044</v>
      </c>
      <c r="E1951" s="94">
        <v>45113.54788194445</v>
      </c>
      <c r="F1951" s="94">
        <v>45620.93167824074</v>
      </c>
    </row>
    <row r="1952">
      <c r="A1952" s="93">
        <v>1027.0</v>
      </c>
      <c r="B1952" s="92" t="s">
        <v>17659</v>
      </c>
      <c r="C1952" s="92" t="s">
        <v>9067</v>
      </c>
      <c r="D1952" s="92" t="s">
        <v>16044</v>
      </c>
      <c r="E1952" s="94">
        <v>45113.54927083333</v>
      </c>
      <c r="F1952" s="94">
        <v>45620.93027777778</v>
      </c>
    </row>
    <row r="1953">
      <c r="A1953" s="93">
        <v>1443.0</v>
      </c>
      <c r="B1953" s="92" t="s">
        <v>17660</v>
      </c>
      <c r="C1953" s="92" t="s">
        <v>7167</v>
      </c>
      <c r="D1953" s="92" t="s">
        <v>16044</v>
      </c>
      <c r="E1953" s="94">
        <v>45113.55538194445</v>
      </c>
      <c r="F1953" s="94">
        <v>45620.92895833333</v>
      </c>
    </row>
    <row r="1954">
      <c r="A1954" s="93">
        <v>1577.0</v>
      </c>
      <c r="B1954" s="92" t="s">
        <v>17661</v>
      </c>
      <c r="C1954" s="92" t="s">
        <v>7834</v>
      </c>
      <c r="D1954" s="92" t="s">
        <v>16044</v>
      </c>
      <c r="E1954" s="94">
        <v>45113.557337962964</v>
      </c>
      <c r="F1954" s="94">
        <v>45620.926840277774</v>
      </c>
    </row>
    <row r="1955">
      <c r="A1955" s="93">
        <v>951.0</v>
      </c>
      <c r="B1955" s="92" t="s">
        <v>11466</v>
      </c>
      <c r="C1955" s="92" t="s">
        <v>11424</v>
      </c>
      <c r="D1955" s="92" t="s">
        <v>16044</v>
      </c>
      <c r="E1955" s="94">
        <v>45113.548159722224</v>
      </c>
      <c r="F1955" s="94">
        <v>45620.92395833333</v>
      </c>
    </row>
    <row r="1956">
      <c r="A1956" s="93">
        <v>781.0</v>
      </c>
      <c r="B1956" s="92" t="s">
        <v>17662</v>
      </c>
      <c r="C1956" s="92" t="s">
        <v>6617</v>
      </c>
      <c r="D1956" s="92" t="s">
        <v>16044</v>
      </c>
      <c r="E1956" s="94">
        <v>45113.545648148145</v>
      </c>
      <c r="F1956" s="94">
        <v>45620.921875</v>
      </c>
    </row>
    <row r="1957">
      <c r="A1957" s="93">
        <v>1214.0</v>
      </c>
      <c r="B1957" s="92" t="s">
        <v>17663</v>
      </c>
      <c r="C1957" s="92" t="s">
        <v>10949</v>
      </c>
      <c r="D1957" s="92" t="s">
        <v>16044</v>
      </c>
      <c r="E1957" s="94">
        <v>45113.552037037036</v>
      </c>
      <c r="F1957" s="94">
        <v>45620.92034722222</v>
      </c>
    </row>
    <row r="1958">
      <c r="A1958" s="93">
        <v>1005.0</v>
      </c>
      <c r="B1958" s="92" t="s">
        <v>17664</v>
      </c>
      <c r="C1958" s="92" t="s">
        <v>8140</v>
      </c>
      <c r="D1958" s="92" t="s">
        <v>16044</v>
      </c>
      <c r="E1958" s="94">
        <v>45113.548946759256</v>
      </c>
      <c r="F1958" s="94">
        <v>45620.91894675926</v>
      </c>
    </row>
    <row r="1959">
      <c r="A1959" s="93">
        <v>862.0</v>
      </c>
      <c r="B1959" s="92" t="s">
        <v>17665</v>
      </c>
      <c r="C1959" s="92" t="s">
        <v>8013</v>
      </c>
      <c r="D1959" s="92" t="s">
        <v>16044</v>
      </c>
      <c r="E1959" s="94">
        <v>45113.54686342592</v>
      </c>
      <c r="F1959" s="94">
        <v>45619.75770833333</v>
      </c>
    </row>
    <row r="1960">
      <c r="A1960" s="93">
        <v>1630.0</v>
      </c>
      <c r="B1960" s="92" t="s">
        <v>17666</v>
      </c>
      <c r="C1960" s="92" t="s">
        <v>5921</v>
      </c>
      <c r="D1960" s="92" t="s">
        <v>16044</v>
      </c>
      <c r="E1960" s="94">
        <v>45113.558125</v>
      </c>
      <c r="F1960" s="94">
        <v>45619.756898148145</v>
      </c>
    </row>
    <row r="1961">
      <c r="A1961" s="93">
        <v>567.0</v>
      </c>
      <c r="B1961" s="92" t="s">
        <v>17667</v>
      </c>
      <c r="C1961" s="92" t="s">
        <v>7697</v>
      </c>
      <c r="D1961" s="92" t="s">
        <v>16044</v>
      </c>
      <c r="E1961" s="94">
        <v>45113.54243055556</v>
      </c>
      <c r="F1961" s="94">
        <v>45619.75502314815</v>
      </c>
    </row>
    <row r="1962">
      <c r="A1962" s="93">
        <v>905.0</v>
      </c>
      <c r="B1962" s="92" t="s">
        <v>17668</v>
      </c>
      <c r="C1962" s="92" t="s">
        <v>7271</v>
      </c>
      <c r="D1962" s="92" t="s">
        <v>16044</v>
      </c>
      <c r="E1962" s="94">
        <v>45113.547488425924</v>
      </c>
      <c r="F1962" s="94">
        <v>45619.75344907407</v>
      </c>
    </row>
    <row r="1963">
      <c r="A1963" s="93">
        <v>448.0</v>
      </c>
      <c r="B1963" s="92" t="s">
        <v>17669</v>
      </c>
      <c r="C1963" s="92" t="s">
        <v>12849</v>
      </c>
      <c r="D1963" s="92" t="s">
        <v>16044</v>
      </c>
      <c r="E1963" s="94">
        <v>45113.54069444445</v>
      </c>
      <c r="F1963" s="94">
        <v>45619.752800925926</v>
      </c>
    </row>
    <row r="1964">
      <c r="A1964" s="93">
        <v>1521.0</v>
      </c>
      <c r="B1964" s="92" t="s">
        <v>17670</v>
      </c>
      <c r="C1964" s="92" t="s">
        <v>11903</v>
      </c>
      <c r="D1964" s="92" t="s">
        <v>16044</v>
      </c>
      <c r="E1964" s="94">
        <v>45113.5565162037</v>
      </c>
      <c r="F1964" s="94">
        <v>45619.75178240741</v>
      </c>
    </row>
    <row r="1965">
      <c r="A1965" s="93">
        <v>738.0</v>
      </c>
      <c r="B1965" s="92" t="s">
        <v>17671</v>
      </c>
      <c r="C1965" s="92" t="s">
        <v>11370</v>
      </c>
      <c r="D1965" s="92" t="s">
        <v>16044</v>
      </c>
      <c r="E1965" s="94">
        <v>45113.545023148145</v>
      </c>
      <c r="F1965" s="94">
        <v>45619.75104166667</v>
      </c>
    </row>
    <row r="1966">
      <c r="A1966" s="93">
        <v>1033.0</v>
      </c>
      <c r="B1966" s="92" t="s">
        <v>17672</v>
      </c>
      <c r="C1966" s="92" t="s">
        <v>12618</v>
      </c>
      <c r="D1966" s="92" t="s">
        <v>16044</v>
      </c>
      <c r="E1966" s="94">
        <v>45113.549363425926</v>
      </c>
      <c r="F1966" s="94">
        <v>45619.750081018516</v>
      </c>
    </row>
    <row r="1967">
      <c r="A1967" s="93">
        <v>601.0</v>
      </c>
      <c r="B1967" s="92" t="s">
        <v>19152</v>
      </c>
      <c r="C1967" s="92" t="s">
        <v>12629</v>
      </c>
      <c r="D1967" s="92" t="s">
        <v>16044</v>
      </c>
      <c r="E1967" s="94">
        <v>45113.54293981481</v>
      </c>
      <c r="F1967" s="94">
        <v>45619.727476851855</v>
      </c>
    </row>
    <row r="1968">
      <c r="A1968" s="93">
        <v>449.0</v>
      </c>
      <c r="B1968" s="92" t="s">
        <v>19153</v>
      </c>
      <c r="C1968" s="92" t="s">
        <v>11462</v>
      </c>
      <c r="D1968" s="92" t="s">
        <v>16044</v>
      </c>
      <c r="E1968" s="94">
        <v>45113.54070601852</v>
      </c>
      <c r="F1968" s="94">
        <v>45619.72635416667</v>
      </c>
    </row>
    <row r="1969">
      <c r="A1969" s="93">
        <v>1066.0</v>
      </c>
      <c r="B1969" s="92" t="s">
        <v>17675</v>
      </c>
      <c r="C1969" s="92" t="s">
        <v>10243</v>
      </c>
      <c r="D1969" s="92" t="s">
        <v>16044</v>
      </c>
      <c r="E1969" s="94">
        <v>45113.54986111111</v>
      </c>
      <c r="F1969" s="94">
        <v>45619.72515046296</v>
      </c>
    </row>
    <row r="1970">
      <c r="A1970" s="93">
        <v>631.0</v>
      </c>
      <c r="B1970" s="92" t="s">
        <v>17676</v>
      </c>
      <c r="C1970" s="92" t="s">
        <v>10567</v>
      </c>
      <c r="D1970" s="92" t="s">
        <v>16044</v>
      </c>
      <c r="E1970" s="94">
        <v>45113.54337962963</v>
      </c>
      <c r="F1970" s="94">
        <v>45619.72342592593</v>
      </c>
    </row>
    <row r="1971">
      <c r="A1971" s="93">
        <v>1306.0</v>
      </c>
      <c r="B1971" s="92" t="s">
        <v>17677</v>
      </c>
      <c r="C1971" s="92" t="s">
        <v>7866</v>
      </c>
      <c r="D1971" s="92" t="s">
        <v>16044</v>
      </c>
      <c r="E1971" s="94">
        <v>45113.55337962963</v>
      </c>
      <c r="F1971" s="94">
        <v>45619.71959490741</v>
      </c>
    </row>
    <row r="1972">
      <c r="A1972" s="93">
        <v>722.0</v>
      </c>
      <c r="B1972" s="92" t="s">
        <v>19154</v>
      </c>
      <c r="C1972" s="92" t="s">
        <v>11375</v>
      </c>
      <c r="D1972" s="92" t="s">
        <v>16044</v>
      </c>
      <c r="E1972" s="94">
        <v>45113.54479166667</v>
      </c>
      <c r="F1972" s="94">
        <v>45619.71849537037</v>
      </c>
    </row>
    <row r="1973">
      <c r="A1973" s="93">
        <v>933.0</v>
      </c>
      <c r="B1973" s="92" t="s">
        <v>17679</v>
      </c>
      <c r="C1973" s="92" t="s">
        <v>5216</v>
      </c>
      <c r="D1973" s="92" t="s">
        <v>16044</v>
      </c>
      <c r="E1973" s="94">
        <v>45113.54789351852</v>
      </c>
      <c r="F1973" s="94">
        <v>45619.71771990741</v>
      </c>
    </row>
    <row r="1974">
      <c r="A1974" s="93">
        <v>550.0</v>
      </c>
      <c r="B1974" s="92" t="s">
        <v>17680</v>
      </c>
      <c r="C1974" s="92" t="s">
        <v>11908</v>
      </c>
      <c r="D1974" s="92" t="s">
        <v>16044</v>
      </c>
      <c r="E1974" s="94">
        <v>45113.5421875</v>
      </c>
      <c r="F1974" s="94">
        <v>45619.716898148145</v>
      </c>
    </row>
    <row r="1975">
      <c r="A1975" s="93">
        <v>1345.0</v>
      </c>
      <c r="B1975" s="92" t="s">
        <v>17681</v>
      </c>
      <c r="C1975" s="92" t="s">
        <v>12746</v>
      </c>
      <c r="D1975" s="92" t="s">
        <v>16044</v>
      </c>
      <c r="E1975" s="94">
        <v>45113.55394675926</v>
      </c>
      <c r="F1975" s="94">
        <v>45619.713796296295</v>
      </c>
    </row>
    <row r="1976">
      <c r="A1976" s="93">
        <v>1697.0</v>
      </c>
      <c r="B1976" s="92" t="s">
        <v>17682</v>
      </c>
      <c r="C1976" s="92" t="s">
        <v>11367</v>
      </c>
      <c r="D1976" s="92" t="s">
        <v>16044</v>
      </c>
      <c r="E1976" s="94">
        <v>45113.55909722222</v>
      </c>
      <c r="F1976" s="94">
        <v>45619.712847222225</v>
      </c>
    </row>
    <row r="1977">
      <c r="A1977" s="93">
        <v>787.0</v>
      </c>
      <c r="B1977" s="92" t="s">
        <v>17683</v>
      </c>
      <c r="C1977" s="92" t="s">
        <v>10755</v>
      </c>
      <c r="D1977" s="92" t="s">
        <v>16044</v>
      </c>
      <c r="E1977" s="94">
        <v>45113.54574074074</v>
      </c>
      <c r="F1977" s="94">
        <v>45619.71188657408</v>
      </c>
    </row>
    <row r="1978">
      <c r="A1978" s="93">
        <v>1682.0</v>
      </c>
      <c r="B1978" s="92" t="s">
        <v>17684</v>
      </c>
      <c r="C1978" s="92" t="s">
        <v>14096</v>
      </c>
      <c r="D1978" s="92" t="s">
        <v>16044</v>
      </c>
      <c r="E1978" s="94">
        <v>45113.55887731481</v>
      </c>
      <c r="F1978" s="94">
        <v>45619.710856481484</v>
      </c>
    </row>
    <row r="1979">
      <c r="A1979" s="93">
        <v>1015.0</v>
      </c>
      <c r="B1979" s="92" t="s">
        <v>17685</v>
      </c>
      <c r="C1979" s="92" t="s">
        <v>5960</v>
      </c>
      <c r="D1979" s="92" t="s">
        <v>16044</v>
      </c>
      <c r="E1979" s="94">
        <v>45113.549097222225</v>
      </c>
      <c r="F1979" s="94">
        <v>45619.70984953704</v>
      </c>
    </row>
    <row r="1980">
      <c r="A1980" s="93">
        <v>450.0</v>
      </c>
      <c r="B1980" s="92" t="s">
        <v>19155</v>
      </c>
      <c r="C1980" s="92" t="s">
        <v>13218</v>
      </c>
      <c r="D1980" s="92" t="s">
        <v>16044</v>
      </c>
      <c r="E1980" s="94">
        <v>45113.540717592594</v>
      </c>
      <c r="F1980" s="94">
        <v>45619.70768518518</v>
      </c>
    </row>
    <row r="1981">
      <c r="A1981" s="93">
        <v>1620.0</v>
      </c>
      <c r="B1981" s="92" t="s">
        <v>17687</v>
      </c>
      <c r="C1981" s="92" t="s">
        <v>7507</v>
      </c>
      <c r="D1981" s="92" t="s">
        <v>16044</v>
      </c>
      <c r="E1981" s="94">
        <v>45113.55798611111</v>
      </c>
      <c r="F1981" s="94">
        <v>45619.70715277778</v>
      </c>
    </row>
    <row r="1982">
      <c r="A1982" s="93">
        <v>1337.0</v>
      </c>
      <c r="B1982" s="92" t="s">
        <v>19156</v>
      </c>
      <c r="C1982" s="92" t="s">
        <v>5225</v>
      </c>
      <c r="D1982" s="92" t="s">
        <v>16044</v>
      </c>
      <c r="E1982" s="94">
        <v>45113.55383101852</v>
      </c>
      <c r="F1982" s="94">
        <v>45619.706400462965</v>
      </c>
    </row>
    <row r="1983">
      <c r="A1983" s="93">
        <v>1410.0</v>
      </c>
      <c r="B1983" s="92" t="s">
        <v>46</v>
      </c>
      <c r="C1983" s="92" t="s">
        <v>11098</v>
      </c>
      <c r="D1983" s="92" t="s">
        <v>16044</v>
      </c>
      <c r="E1983" s="94">
        <v>45113.55489583333</v>
      </c>
      <c r="F1983" s="94">
        <v>45619.705196759256</v>
      </c>
    </row>
    <row r="1984">
      <c r="A1984" s="93">
        <v>705.0</v>
      </c>
      <c r="B1984" s="92" t="s">
        <v>17689</v>
      </c>
      <c r="C1984" s="92" t="s">
        <v>13169</v>
      </c>
      <c r="D1984" s="92" t="s">
        <v>16044</v>
      </c>
      <c r="E1984" s="94">
        <v>45113.54450231481</v>
      </c>
      <c r="F1984" s="94">
        <v>45619.70439814815</v>
      </c>
    </row>
    <row r="1985">
      <c r="A1985" s="93">
        <v>698.0</v>
      </c>
      <c r="B1985" s="92" t="s">
        <v>17690</v>
      </c>
      <c r="C1985" s="92" t="s">
        <v>13188</v>
      </c>
      <c r="D1985" s="92" t="s">
        <v>16044</v>
      </c>
      <c r="E1985" s="94">
        <v>45113.54439814815</v>
      </c>
      <c r="F1985" s="94">
        <v>45619.70369212963</v>
      </c>
    </row>
    <row r="1986">
      <c r="A1986" s="93">
        <v>1510.0</v>
      </c>
      <c r="B1986" s="92" t="s">
        <v>17691</v>
      </c>
      <c r="C1986" s="92" t="s">
        <v>10574</v>
      </c>
      <c r="D1986" s="92" t="s">
        <v>16044</v>
      </c>
      <c r="E1986" s="94">
        <v>45113.55635416666</v>
      </c>
      <c r="F1986" s="94">
        <v>45619.67616898148</v>
      </c>
    </row>
    <row r="1987">
      <c r="A1987" s="93">
        <v>583.0</v>
      </c>
      <c r="B1987" s="92" t="s">
        <v>17692</v>
      </c>
      <c r="C1987" s="92" t="s">
        <v>7404</v>
      </c>
      <c r="D1987" s="92" t="s">
        <v>16044</v>
      </c>
      <c r="E1987" s="94">
        <v>45113.54267361111</v>
      </c>
      <c r="F1987" s="94">
        <v>45619.67386574074</v>
      </c>
    </row>
    <row r="1988">
      <c r="A1988" s="93">
        <v>1525.0</v>
      </c>
      <c r="B1988" s="92" t="s">
        <v>17693</v>
      </c>
      <c r="C1988" s="92" t="s">
        <v>14201</v>
      </c>
      <c r="D1988" s="92" t="s">
        <v>16044</v>
      </c>
      <c r="E1988" s="94">
        <v>45113.55657407407</v>
      </c>
      <c r="F1988" s="94">
        <v>45619.67288194445</v>
      </c>
    </row>
    <row r="1989">
      <c r="A1989" s="93">
        <v>1203.0</v>
      </c>
      <c r="B1989" s="92" t="s">
        <v>17694</v>
      </c>
      <c r="C1989" s="92" t="s">
        <v>12780</v>
      </c>
      <c r="D1989" s="92" t="s">
        <v>16044</v>
      </c>
      <c r="E1989" s="94">
        <v>45113.551875</v>
      </c>
      <c r="F1989" s="94">
        <v>45619.671898148146</v>
      </c>
    </row>
    <row r="1990">
      <c r="A1990" s="93">
        <v>1282.0</v>
      </c>
      <c r="B1990" s="92" t="s">
        <v>17695</v>
      </c>
      <c r="C1990" s="92" t="s">
        <v>8597</v>
      </c>
      <c r="D1990" s="92" t="s">
        <v>16044</v>
      </c>
      <c r="E1990" s="94">
        <v>45113.553032407406</v>
      </c>
      <c r="F1990" s="94">
        <v>45619.67037037037</v>
      </c>
    </row>
    <row r="1991">
      <c r="A1991" s="93">
        <v>1646.0</v>
      </c>
      <c r="B1991" s="92" t="s">
        <v>17696</v>
      </c>
      <c r="C1991" s="92" t="s">
        <v>12717</v>
      </c>
      <c r="D1991" s="92" t="s">
        <v>16044</v>
      </c>
      <c r="E1991" s="94">
        <v>45113.55835648148</v>
      </c>
      <c r="F1991" s="94">
        <v>45619.669340277775</v>
      </c>
    </row>
    <row r="1992">
      <c r="A1992" s="93">
        <v>1489.0</v>
      </c>
      <c r="B1992" s="92" t="s">
        <v>17697</v>
      </c>
      <c r="C1992" s="92" t="s">
        <v>15945</v>
      </c>
      <c r="D1992" s="92" t="s">
        <v>16044</v>
      </c>
      <c r="E1992" s="94">
        <v>45113.55605324074</v>
      </c>
      <c r="F1992" s="94">
        <v>45619.66840277778</v>
      </c>
    </row>
    <row r="1993">
      <c r="A1993" s="93">
        <v>1650.0</v>
      </c>
      <c r="B1993" s="92" t="s">
        <v>17698</v>
      </c>
      <c r="C1993" s="92" t="s">
        <v>5927</v>
      </c>
      <c r="D1993" s="92" t="s">
        <v>16044</v>
      </c>
      <c r="E1993" s="94">
        <v>45113.55841435185</v>
      </c>
      <c r="F1993" s="94">
        <v>45619.66755787037</v>
      </c>
    </row>
    <row r="1994">
      <c r="A1994" s="93">
        <v>638.0</v>
      </c>
      <c r="B1994" s="92" t="s">
        <v>17699</v>
      </c>
      <c r="C1994" s="92" t="s">
        <v>11212</v>
      </c>
      <c r="D1994" s="92" t="s">
        <v>16044</v>
      </c>
      <c r="E1994" s="94">
        <v>45113.5434837963</v>
      </c>
      <c r="F1994" s="94">
        <v>45619.66614583333</v>
      </c>
    </row>
    <row r="1995">
      <c r="A1995" s="93">
        <v>1321.0</v>
      </c>
      <c r="B1995" s="92" t="s">
        <v>19157</v>
      </c>
      <c r="C1995" s="92" t="s">
        <v>15940</v>
      </c>
      <c r="D1995" s="92" t="s">
        <v>16044</v>
      </c>
      <c r="E1995" s="94">
        <v>45113.55359953704</v>
      </c>
      <c r="F1995" s="94">
        <v>45619.66547453704</v>
      </c>
    </row>
    <row r="1996">
      <c r="A1996" s="93">
        <v>1260.0</v>
      </c>
      <c r="B1996" s="92" t="s">
        <v>19158</v>
      </c>
      <c r="C1996" s="92" t="s">
        <v>13571</v>
      </c>
      <c r="D1996" s="92" t="s">
        <v>16044</v>
      </c>
      <c r="E1996" s="94">
        <v>45113.552708333336</v>
      </c>
      <c r="F1996" s="94">
        <v>45619.664722222224</v>
      </c>
    </row>
    <row r="1997">
      <c r="A1997" s="93">
        <v>591.0</v>
      </c>
      <c r="B1997" s="92" t="s">
        <v>17702</v>
      </c>
      <c r="C1997" s="92" t="s">
        <v>9952</v>
      </c>
      <c r="D1997" s="92" t="s">
        <v>16044</v>
      </c>
      <c r="E1997" s="94">
        <v>45113.54278935185</v>
      </c>
      <c r="F1997" s="94">
        <v>45619.663935185185</v>
      </c>
    </row>
    <row r="1998">
      <c r="A1998" s="93">
        <v>1483.0</v>
      </c>
      <c r="B1998" s="92" t="s">
        <v>1729</v>
      </c>
      <c r="C1998" s="92" t="s">
        <v>5321</v>
      </c>
      <c r="D1998" s="92" t="s">
        <v>16044</v>
      </c>
      <c r="E1998" s="94">
        <v>45113.55596064815</v>
      </c>
      <c r="F1998" s="94">
        <v>45619.66332175926</v>
      </c>
    </row>
    <row r="1999">
      <c r="A1999" s="93">
        <v>1628.0</v>
      </c>
      <c r="B1999" s="92" t="s">
        <v>17703</v>
      </c>
      <c r="C1999" s="92" t="s">
        <v>15846</v>
      </c>
      <c r="D1999" s="92" t="s">
        <v>16044</v>
      </c>
      <c r="E1999" s="94">
        <v>45113.55809027778</v>
      </c>
      <c r="F1999" s="94">
        <v>45619.66244212963</v>
      </c>
    </row>
    <row r="2000">
      <c r="A2000" s="93">
        <v>1104.0</v>
      </c>
      <c r="B2000" s="92" t="s">
        <v>19159</v>
      </c>
      <c r="C2000" s="92" t="s">
        <v>5408</v>
      </c>
      <c r="D2000" s="92" t="s">
        <v>16044</v>
      </c>
      <c r="E2000" s="94">
        <v>45113.550416666665</v>
      </c>
      <c r="F2000" s="94">
        <v>45619.66138888889</v>
      </c>
    </row>
    <row r="2001">
      <c r="A2001" s="93">
        <v>690.0</v>
      </c>
      <c r="B2001" s="92" t="s">
        <v>17705</v>
      </c>
      <c r="C2001" s="92" t="s">
        <v>15817</v>
      </c>
      <c r="D2001" s="92" t="s">
        <v>16044</v>
      </c>
      <c r="E2001" s="94">
        <v>45113.544282407405</v>
      </c>
      <c r="F2001" s="94">
        <v>45619.6609375</v>
      </c>
    </row>
    <row r="2002">
      <c r="A2002" s="93">
        <v>808.0</v>
      </c>
      <c r="B2002" s="92" t="s">
        <v>17706</v>
      </c>
      <c r="C2002" s="92" t="s">
        <v>15831</v>
      </c>
      <c r="D2002" s="92" t="s">
        <v>16044</v>
      </c>
      <c r="E2002" s="94">
        <v>45113.54605324074</v>
      </c>
      <c r="F2002" s="94">
        <v>45619.65436342593</v>
      </c>
    </row>
    <row r="2003">
      <c r="A2003" s="93">
        <v>1028.0</v>
      </c>
      <c r="B2003" s="92" t="s">
        <v>17707</v>
      </c>
      <c r="C2003" s="92" t="s">
        <v>8587</v>
      </c>
      <c r="D2003" s="92" t="s">
        <v>16044</v>
      </c>
      <c r="E2003" s="94">
        <v>45113.54928240741</v>
      </c>
      <c r="F2003" s="94">
        <v>45619.652592592596</v>
      </c>
    </row>
    <row r="2004">
      <c r="A2004" s="93">
        <v>1190.0</v>
      </c>
      <c r="B2004" s="92" t="s">
        <v>17708</v>
      </c>
      <c r="C2004" s="92" t="s">
        <v>15874</v>
      </c>
      <c r="D2004" s="92" t="s">
        <v>16044</v>
      </c>
      <c r="E2004" s="94">
        <v>45113.55168981481</v>
      </c>
      <c r="F2004" s="94">
        <v>45619.651979166665</v>
      </c>
    </row>
    <row r="2005">
      <c r="A2005" s="93">
        <v>1403.0</v>
      </c>
      <c r="B2005" s="92" t="s">
        <v>17709</v>
      </c>
      <c r="C2005" s="92" t="s">
        <v>15879</v>
      </c>
      <c r="D2005" s="92" t="s">
        <v>16044</v>
      </c>
      <c r="E2005" s="94">
        <v>45113.55479166667</v>
      </c>
      <c r="F2005" s="94">
        <v>45619.65137731482</v>
      </c>
    </row>
    <row r="2006">
      <c r="A2006" s="93">
        <v>1120.0</v>
      </c>
      <c r="B2006" s="92" t="s">
        <v>17710</v>
      </c>
      <c r="C2006" s="92" t="s">
        <v>15864</v>
      </c>
      <c r="D2006" s="92" t="s">
        <v>16044</v>
      </c>
      <c r="E2006" s="94">
        <v>45113.550671296296</v>
      </c>
      <c r="F2006" s="94">
        <v>45619.65090277778</v>
      </c>
    </row>
    <row r="2007">
      <c r="A2007" s="93">
        <v>597.0</v>
      </c>
      <c r="B2007" s="92" t="s">
        <v>17711</v>
      </c>
      <c r="C2007" s="92" t="s">
        <v>5301</v>
      </c>
      <c r="D2007" s="92" t="s">
        <v>16044</v>
      </c>
      <c r="E2007" s="94">
        <v>45113.54288194444</v>
      </c>
      <c r="F2007" s="94">
        <v>45619.650416666664</v>
      </c>
    </row>
    <row r="2008">
      <c r="A2008" s="93">
        <v>734.0</v>
      </c>
      <c r="B2008" s="92" t="s">
        <v>19160</v>
      </c>
      <c r="C2008" s="92" t="s">
        <v>15860</v>
      </c>
      <c r="D2008" s="92" t="s">
        <v>16044</v>
      </c>
      <c r="E2008" s="94">
        <v>45113.544965277775</v>
      </c>
      <c r="F2008" s="94">
        <v>45619.64934027778</v>
      </c>
    </row>
    <row r="2009">
      <c r="A2009" s="93">
        <v>870.0</v>
      </c>
      <c r="B2009" s="92" t="s">
        <v>17713</v>
      </c>
      <c r="C2009" s="92" t="s">
        <v>15834</v>
      </c>
      <c r="D2009" s="92" t="s">
        <v>16044</v>
      </c>
      <c r="E2009" s="94">
        <v>45113.54697916667</v>
      </c>
      <c r="F2009" s="94">
        <v>45619.64828703704</v>
      </c>
    </row>
    <row r="2010">
      <c r="A2010" s="93">
        <v>1621.0</v>
      </c>
      <c r="B2010" s="92" t="s">
        <v>17714</v>
      </c>
      <c r="C2010" s="92" t="s">
        <v>8950</v>
      </c>
      <c r="D2010" s="92" t="s">
        <v>16044</v>
      </c>
      <c r="E2010" s="94">
        <v>45113.55799768519</v>
      </c>
      <c r="F2010" s="94">
        <v>45619.64740740741</v>
      </c>
    </row>
    <row r="2011">
      <c r="A2011" s="93">
        <v>1257.0</v>
      </c>
      <c r="B2011" s="92" t="s">
        <v>17715</v>
      </c>
      <c r="C2011" s="92" t="s">
        <v>5681</v>
      </c>
      <c r="D2011" s="92" t="s">
        <v>16044</v>
      </c>
      <c r="E2011" s="94">
        <v>45113.55266203704</v>
      </c>
      <c r="F2011" s="94">
        <v>45619.64650462963</v>
      </c>
    </row>
    <row r="2012">
      <c r="A2012" s="93">
        <v>791.0</v>
      </c>
      <c r="B2012" s="92" t="s">
        <v>15400</v>
      </c>
      <c r="C2012" s="92" t="s">
        <v>6273</v>
      </c>
      <c r="D2012" s="92" t="s">
        <v>16044</v>
      </c>
      <c r="E2012" s="94">
        <v>45113.545798611114</v>
      </c>
      <c r="F2012" s="94">
        <v>45619.643055555556</v>
      </c>
    </row>
    <row r="2013">
      <c r="A2013" s="93">
        <v>1205.0</v>
      </c>
      <c r="B2013" s="92" t="s">
        <v>17717</v>
      </c>
      <c r="C2013" s="92" t="s">
        <v>15840</v>
      </c>
      <c r="D2013" s="92" t="s">
        <v>16044</v>
      </c>
      <c r="E2013" s="94">
        <v>45113.55190972222</v>
      </c>
      <c r="F2013" s="94">
        <v>45619.64236111111</v>
      </c>
    </row>
    <row r="2014">
      <c r="A2014" s="93">
        <v>793.0</v>
      </c>
      <c r="B2014" s="92" t="s">
        <v>17718</v>
      </c>
      <c r="C2014" s="92" t="s">
        <v>10667</v>
      </c>
      <c r="D2014" s="92" t="s">
        <v>16044</v>
      </c>
      <c r="E2014" s="94">
        <v>45113.54583333333</v>
      </c>
      <c r="F2014" s="94">
        <v>45619.641377314816</v>
      </c>
    </row>
    <row r="2015">
      <c r="A2015" s="93">
        <v>1491.0</v>
      </c>
      <c r="B2015" s="92" t="s">
        <v>14205</v>
      </c>
      <c r="C2015" s="92" t="s">
        <v>5685</v>
      </c>
      <c r="D2015" s="92" t="s">
        <v>16044</v>
      </c>
      <c r="E2015" s="94">
        <v>45113.556076388886</v>
      </c>
      <c r="F2015" s="94">
        <v>45619.64059027778</v>
      </c>
    </row>
    <row r="2016">
      <c r="A2016" s="93">
        <v>1507.0</v>
      </c>
      <c r="B2016" s="92" t="s">
        <v>17719</v>
      </c>
      <c r="C2016" s="92" t="s">
        <v>15937</v>
      </c>
      <c r="D2016" s="92" t="s">
        <v>16044</v>
      </c>
      <c r="E2016" s="94">
        <v>45113.55630787037</v>
      </c>
      <c r="F2016" s="94">
        <v>45619.63854166667</v>
      </c>
    </row>
    <row r="2017">
      <c r="A2017" s="93">
        <v>1242.0</v>
      </c>
      <c r="B2017" s="92" t="s">
        <v>17720</v>
      </c>
      <c r="C2017" s="92" t="s">
        <v>5268</v>
      </c>
      <c r="D2017" s="92" t="s">
        <v>16044</v>
      </c>
      <c r="E2017" s="94">
        <v>45113.55244212963</v>
      </c>
      <c r="F2017" s="94">
        <v>45619.63636574074</v>
      </c>
    </row>
    <row r="2018">
      <c r="A2018" s="93">
        <v>948.0</v>
      </c>
      <c r="B2018" s="92" t="s">
        <v>17721</v>
      </c>
      <c r="C2018" s="92" t="s">
        <v>11200</v>
      </c>
      <c r="D2018" s="92" t="s">
        <v>16044</v>
      </c>
      <c r="E2018" s="94">
        <v>45113.548113425924</v>
      </c>
      <c r="F2018" s="94">
        <v>45619.634722222225</v>
      </c>
    </row>
    <row r="2019">
      <c r="A2019" s="93">
        <v>863.0</v>
      </c>
      <c r="B2019" s="92" t="s">
        <v>17722</v>
      </c>
      <c r="C2019" s="92" t="s">
        <v>13232</v>
      </c>
      <c r="D2019" s="92" t="s">
        <v>16044</v>
      </c>
      <c r="E2019" s="94">
        <v>45113.546875</v>
      </c>
      <c r="F2019" s="94">
        <v>45619.63277777778</v>
      </c>
    </row>
    <row r="2020">
      <c r="A2020" s="93">
        <v>1262.0</v>
      </c>
      <c r="B2020" s="92" t="s">
        <v>17723</v>
      </c>
      <c r="C2020" s="92" t="s">
        <v>15850</v>
      </c>
      <c r="D2020" s="92" t="s">
        <v>16044</v>
      </c>
      <c r="E2020" s="94">
        <v>45113.55273148148</v>
      </c>
      <c r="F2020" s="94">
        <v>45619.62939814815</v>
      </c>
    </row>
    <row r="2021">
      <c r="A2021" s="93">
        <v>587.0</v>
      </c>
      <c r="B2021" s="92" t="s">
        <v>17724</v>
      </c>
      <c r="C2021" s="92" t="s">
        <v>5431</v>
      </c>
      <c r="D2021" s="92" t="s">
        <v>16044</v>
      </c>
      <c r="E2021" s="94">
        <v>45113.54273148148</v>
      </c>
      <c r="F2021" s="94">
        <v>45619.627592592595</v>
      </c>
    </row>
    <row r="2022">
      <c r="A2022" s="93">
        <v>758.0</v>
      </c>
      <c r="B2022" s="92" t="s">
        <v>17725</v>
      </c>
      <c r="C2022" s="92" t="s">
        <v>14862</v>
      </c>
      <c r="D2022" s="92" t="s">
        <v>16044</v>
      </c>
      <c r="E2022" s="94">
        <v>45113.545324074075</v>
      </c>
      <c r="F2022" s="94">
        <v>45619.62400462963</v>
      </c>
    </row>
    <row r="2023">
      <c r="A2023" s="93">
        <v>616.0</v>
      </c>
      <c r="B2023" s="92" t="s">
        <v>17726</v>
      </c>
      <c r="C2023" s="92" t="s">
        <v>15701</v>
      </c>
      <c r="D2023" s="92" t="s">
        <v>16044</v>
      </c>
      <c r="E2023" s="94">
        <v>45113.54315972222</v>
      </c>
      <c r="F2023" s="94">
        <v>45619.62157407407</v>
      </c>
    </row>
    <row r="2024">
      <c r="A2024" s="93">
        <v>1466.0</v>
      </c>
      <c r="B2024" s="92" t="s">
        <v>17727</v>
      </c>
      <c r="C2024" s="92" t="s">
        <v>14941</v>
      </c>
      <c r="D2024" s="92" t="s">
        <v>16044</v>
      </c>
      <c r="E2024" s="94">
        <v>45113.55571759259</v>
      </c>
      <c r="F2024" s="94">
        <v>45619.62018518519</v>
      </c>
    </row>
    <row r="2025">
      <c r="A2025" s="93">
        <v>1503.0</v>
      </c>
      <c r="B2025" s="92" t="s">
        <v>17728</v>
      </c>
      <c r="C2025" s="92" t="s">
        <v>5471</v>
      </c>
      <c r="D2025" s="92" t="s">
        <v>16044</v>
      </c>
      <c r="E2025" s="94">
        <v>45113.55625</v>
      </c>
      <c r="F2025" s="94">
        <v>45619.6190162037</v>
      </c>
    </row>
    <row r="2026">
      <c r="A2026" s="93">
        <v>1177.0</v>
      </c>
      <c r="B2026" s="92" t="s">
        <v>17729</v>
      </c>
      <c r="C2026" s="92" t="s">
        <v>11206</v>
      </c>
      <c r="D2026" s="92" t="s">
        <v>16044</v>
      </c>
      <c r="E2026" s="94">
        <v>45113.55150462963</v>
      </c>
      <c r="F2026" s="94">
        <v>45619.61766203704</v>
      </c>
    </row>
    <row r="2027">
      <c r="A2027" s="93">
        <v>1353.0</v>
      </c>
      <c r="B2027" s="92" t="s">
        <v>17730</v>
      </c>
      <c r="C2027" s="92" t="s">
        <v>10628</v>
      </c>
      <c r="D2027" s="92" t="s">
        <v>16044</v>
      </c>
      <c r="E2027" s="94">
        <v>45113.5540625</v>
      </c>
      <c r="F2027" s="94">
        <v>45619.61672453704</v>
      </c>
    </row>
    <row r="2028">
      <c r="A2028" s="93">
        <v>728.0</v>
      </c>
      <c r="B2028" s="92" t="s">
        <v>17731</v>
      </c>
      <c r="C2028" s="92" t="s">
        <v>7838</v>
      </c>
      <c r="D2028" s="92" t="s">
        <v>16044</v>
      </c>
      <c r="E2028" s="94">
        <v>45113.54487268518</v>
      </c>
      <c r="F2028" s="94">
        <v>45619.61482638889</v>
      </c>
    </row>
    <row r="2029">
      <c r="A2029" s="93">
        <v>822.0</v>
      </c>
      <c r="B2029" s="92" t="s">
        <v>611</v>
      </c>
      <c r="C2029" s="92" t="s">
        <v>10719</v>
      </c>
      <c r="D2029" s="92" t="s">
        <v>16044</v>
      </c>
      <c r="E2029" s="94">
        <v>45113.546273148146</v>
      </c>
      <c r="F2029" s="94">
        <v>45619.57876157408</v>
      </c>
    </row>
    <row r="2030">
      <c r="A2030" s="93">
        <v>2105.0</v>
      </c>
      <c r="B2030" s="92" t="s">
        <v>17732</v>
      </c>
      <c r="C2030" s="92" t="s">
        <v>19161</v>
      </c>
      <c r="D2030" s="92" t="s">
        <v>16044</v>
      </c>
      <c r="E2030" s="94">
        <v>45585.0122337963</v>
      </c>
      <c r="F2030" s="94">
        <v>45619.55719907407</v>
      </c>
    </row>
    <row r="2031">
      <c r="A2031" s="93">
        <v>1905.0</v>
      </c>
      <c r="B2031" s="92" t="s">
        <v>17733</v>
      </c>
      <c r="C2031" s="92" t="s">
        <v>19162</v>
      </c>
      <c r="D2031" s="92" t="s">
        <v>16044</v>
      </c>
      <c r="E2031" s="94">
        <v>45300.02111111111</v>
      </c>
      <c r="F2031" s="94">
        <v>45618.47353009259</v>
      </c>
    </row>
    <row r="2032">
      <c r="A2032" s="93">
        <v>1879.0</v>
      </c>
      <c r="B2032" s="92" t="s">
        <v>17734</v>
      </c>
      <c r="C2032" s="92" t="s">
        <v>19163</v>
      </c>
      <c r="D2032" s="92" t="s">
        <v>16044</v>
      </c>
      <c r="E2032" s="94">
        <v>45278.59577546296</v>
      </c>
      <c r="F2032" s="94">
        <v>45618.47353009259</v>
      </c>
    </row>
    <row r="2033">
      <c r="A2033" s="93">
        <v>1904.0</v>
      </c>
      <c r="B2033" s="92" t="s">
        <v>19164</v>
      </c>
      <c r="C2033" s="92" t="s">
        <v>19165</v>
      </c>
      <c r="D2033" s="92" t="s">
        <v>16044</v>
      </c>
      <c r="E2033" s="94">
        <v>45299.59987268518</v>
      </c>
      <c r="F2033" s="94">
        <v>45618.47353009259</v>
      </c>
    </row>
    <row r="2034">
      <c r="A2034" s="93">
        <v>1909.0</v>
      </c>
      <c r="B2034" s="92" t="s">
        <v>19166</v>
      </c>
      <c r="C2034" s="92" t="s">
        <v>19167</v>
      </c>
      <c r="D2034" s="92" t="s">
        <v>16044</v>
      </c>
      <c r="E2034" s="94">
        <v>45301.68077546296</v>
      </c>
      <c r="F2034" s="94">
        <v>45618.47353009259</v>
      </c>
    </row>
    <row r="2035">
      <c r="A2035" s="93">
        <v>1910.0</v>
      </c>
      <c r="B2035" s="92" t="s">
        <v>19168</v>
      </c>
      <c r="C2035" s="92" t="s">
        <v>19169</v>
      </c>
      <c r="D2035" s="92" t="s">
        <v>16044</v>
      </c>
      <c r="E2035" s="94">
        <v>45301.68462962963</v>
      </c>
      <c r="F2035" s="94">
        <v>45618.47353009259</v>
      </c>
    </row>
    <row r="2036">
      <c r="A2036" s="93">
        <v>539.0</v>
      </c>
      <c r="B2036" s="92" t="s">
        <v>17736</v>
      </c>
      <c r="C2036" s="92" t="s">
        <v>19170</v>
      </c>
      <c r="D2036" s="92" t="s">
        <v>16044</v>
      </c>
      <c r="E2036" s="94">
        <v>45113.542037037034</v>
      </c>
      <c r="F2036" s="94">
        <v>45618.47353009259</v>
      </c>
    </row>
    <row r="2037">
      <c r="A2037" s="93">
        <v>1911.0</v>
      </c>
      <c r="B2037" s="92" t="s">
        <v>19171</v>
      </c>
      <c r="C2037" s="92" t="s">
        <v>19172</v>
      </c>
      <c r="D2037" s="92" t="s">
        <v>16044</v>
      </c>
      <c r="E2037" s="94">
        <v>45302.527395833335</v>
      </c>
      <c r="F2037" s="94">
        <v>45618.47353009259</v>
      </c>
    </row>
    <row r="2038">
      <c r="A2038" s="93">
        <v>536.0</v>
      </c>
      <c r="B2038" s="92" t="s">
        <v>17738</v>
      </c>
      <c r="C2038" s="92" t="s">
        <v>19173</v>
      </c>
      <c r="D2038" s="92" t="s">
        <v>16044</v>
      </c>
      <c r="E2038" s="94">
        <v>45113.54200231482</v>
      </c>
      <c r="F2038" s="94">
        <v>45618.47353009259</v>
      </c>
    </row>
    <row r="2039">
      <c r="A2039" s="93">
        <v>2154.0</v>
      </c>
      <c r="B2039" s="92" t="s">
        <v>17739</v>
      </c>
      <c r="C2039" s="92" t="s">
        <v>19174</v>
      </c>
      <c r="D2039" s="92" t="s">
        <v>16044</v>
      </c>
      <c r="E2039" s="94">
        <v>45617.69565972222</v>
      </c>
      <c r="F2039" s="94">
        <v>45617.77118055556</v>
      </c>
    </row>
    <row r="2040">
      <c r="A2040" s="93">
        <v>2147.0</v>
      </c>
      <c r="B2040" s="92" t="s">
        <v>17740</v>
      </c>
      <c r="C2040" s="92" t="s">
        <v>9846</v>
      </c>
      <c r="D2040" s="92" t="s">
        <v>16044</v>
      </c>
      <c r="E2040" s="94">
        <v>45615.51059027778</v>
      </c>
      <c r="F2040" s="94">
        <v>45616.55850694444</v>
      </c>
    </row>
    <row r="2041">
      <c r="A2041" s="93">
        <v>2142.0</v>
      </c>
      <c r="B2041" s="92" t="s">
        <v>19175</v>
      </c>
      <c r="C2041" s="92" t="s">
        <v>12171</v>
      </c>
      <c r="D2041" s="92" t="s">
        <v>16044</v>
      </c>
      <c r="E2041" s="94">
        <v>45615.50981481482</v>
      </c>
      <c r="F2041" s="94">
        <v>45616.55688657407</v>
      </c>
    </row>
    <row r="2042">
      <c r="A2042" s="93">
        <v>2135.0</v>
      </c>
      <c r="B2042" s="92" t="s">
        <v>19176</v>
      </c>
      <c r="C2042" s="92" t="s">
        <v>5548</v>
      </c>
      <c r="D2042" s="92" t="s">
        <v>16044</v>
      </c>
      <c r="E2042" s="94">
        <v>45615.50865740741</v>
      </c>
      <c r="F2042" s="94">
        <v>45616.5512962963</v>
      </c>
    </row>
    <row r="2043">
      <c r="A2043" s="93">
        <v>2134.0</v>
      </c>
      <c r="B2043" s="92" t="s">
        <v>19177</v>
      </c>
      <c r="C2043" s="92" t="s">
        <v>6235</v>
      </c>
      <c r="D2043" s="92" t="s">
        <v>16044</v>
      </c>
      <c r="E2043" s="94">
        <v>45615.50863425926</v>
      </c>
      <c r="F2043" s="94">
        <v>45616.54746527778</v>
      </c>
    </row>
    <row r="2044">
      <c r="A2044" s="93">
        <v>2152.0</v>
      </c>
      <c r="B2044" s="92" t="s">
        <v>19178</v>
      </c>
      <c r="C2044" s="92" t="s">
        <v>14527</v>
      </c>
      <c r="D2044" s="92" t="s">
        <v>16044</v>
      </c>
      <c r="E2044" s="94">
        <v>45615.51150462963</v>
      </c>
      <c r="F2044" s="94">
        <v>45615.513078703705</v>
      </c>
    </row>
    <row r="2045">
      <c r="A2045" s="93">
        <v>2148.0</v>
      </c>
      <c r="B2045" s="92" t="s">
        <v>19128</v>
      </c>
      <c r="C2045" s="92" t="s">
        <v>19179</v>
      </c>
      <c r="D2045" s="92" t="s">
        <v>16044</v>
      </c>
      <c r="E2045" s="94">
        <v>45615.510659722226</v>
      </c>
      <c r="F2045" s="94">
        <v>45615.51221064815</v>
      </c>
    </row>
    <row r="2046">
      <c r="A2046" s="93">
        <v>2131.0</v>
      </c>
      <c r="B2046" s="92" t="s">
        <v>18786</v>
      </c>
      <c r="C2046" s="92" t="s">
        <v>19180</v>
      </c>
      <c r="D2046" s="92" t="s">
        <v>18787</v>
      </c>
      <c r="E2046" s="94">
        <v>45615.46871527778</v>
      </c>
      <c r="F2046" s="94">
        <v>45615.46871527778</v>
      </c>
    </row>
    <row r="2047">
      <c r="A2047" s="93">
        <v>2130.0</v>
      </c>
      <c r="B2047" s="92" t="s">
        <v>19181</v>
      </c>
      <c r="C2047" s="92" t="s">
        <v>19182</v>
      </c>
      <c r="D2047" s="92" t="s">
        <v>18877</v>
      </c>
      <c r="E2047" s="94">
        <v>45614.4778125</v>
      </c>
      <c r="F2047" s="94">
        <v>45614.47825231482</v>
      </c>
    </row>
    <row r="2048">
      <c r="A2048" s="93">
        <v>2129.0</v>
      </c>
      <c r="B2048" s="92" t="s">
        <v>18786</v>
      </c>
      <c r="C2048" s="92" t="s">
        <v>19183</v>
      </c>
      <c r="D2048" s="92" t="s">
        <v>18787</v>
      </c>
      <c r="E2048" s="94">
        <v>45610.5072337963</v>
      </c>
      <c r="F2048" s="94">
        <v>45610.5072337963</v>
      </c>
    </row>
    <row r="2049">
      <c r="A2049" s="93">
        <v>2128.0</v>
      </c>
      <c r="B2049" s="92" t="s">
        <v>18786</v>
      </c>
      <c r="C2049" s="92" t="s">
        <v>19184</v>
      </c>
      <c r="D2049" s="92" t="s">
        <v>18787</v>
      </c>
      <c r="E2049" s="94">
        <v>45610.479467592595</v>
      </c>
      <c r="F2049" s="94">
        <v>45610.479467592595</v>
      </c>
    </row>
    <row r="2050">
      <c r="A2050" s="93">
        <v>2127.0</v>
      </c>
      <c r="B2050" s="92" t="s">
        <v>19185</v>
      </c>
      <c r="C2050" s="92" t="s">
        <v>19186</v>
      </c>
      <c r="D2050" s="92" t="s">
        <v>18877</v>
      </c>
      <c r="E2050" s="94">
        <v>45609.6547337963</v>
      </c>
      <c r="F2050" s="94">
        <v>45609.65702546296</v>
      </c>
    </row>
    <row r="2051">
      <c r="A2051" s="93">
        <v>2126.0</v>
      </c>
      <c r="B2051" s="92" t="s">
        <v>18786</v>
      </c>
      <c r="C2051" s="92" t="s">
        <v>19187</v>
      </c>
      <c r="D2051" s="92" t="s">
        <v>18787</v>
      </c>
      <c r="E2051" s="94">
        <v>45609.64497685185</v>
      </c>
      <c r="F2051" s="94">
        <v>45609.64497685185</v>
      </c>
    </row>
    <row r="2052">
      <c r="A2052" s="93">
        <v>2121.0</v>
      </c>
      <c r="B2052" s="92" t="s">
        <v>19188</v>
      </c>
      <c r="C2052" s="92" t="s">
        <v>6860</v>
      </c>
      <c r="D2052" s="92" t="s">
        <v>16044</v>
      </c>
      <c r="E2052" s="94">
        <v>45604.50696759259</v>
      </c>
      <c r="F2052" s="94">
        <v>45604.522777777776</v>
      </c>
    </row>
    <row r="2053">
      <c r="A2053" s="93">
        <v>2124.0</v>
      </c>
      <c r="B2053" s="92" t="s">
        <v>19130</v>
      </c>
      <c r="C2053" s="92" t="s">
        <v>19189</v>
      </c>
      <c r="D2053" s="92" t="s">
        <v>16044</v>
      </c>
      <c r="E2053" s="94">
        <v>45604.5144212963</v>
      </c>
      <c r="F2053" s="94">
        <v>45604.515706018516</v>
      </c>
    </row>
    <row r="2054">
      <c r="A2054" s="93">
        <v>2123.0</v>
      </c>
      <c r="B2054" s="92" t="s">
        <v>18786</v>
      </c>
      <c r="C2054" s="92" t="s">
        <v>19190</v>
      </c>
      <c r="D2054" s="92" t="s">
        <v>18787</v>
      </c>
      <c r="E2054" s="94">
        <v>45604.50951388889</v>
      </c>
      <c r="F2054" s="94">
        <v>45604.50951388889</v>
      </c>
    </row>
    <row r="2055">
      <c r="A2055" s="93">
        <v>2122.0</v>
      </c>
      <c r="B2055" s="92" t="s">
        <v>19191</v>
      </c>
      <c r="C2055" s="92" t="s">
        <v>15430</v>
      </c>
      <c r="D2055" s="92" t="s">
        <v>16044</v>
      </c>
      <c r="E2055" s="94">
        <v>45604.50729166667</v>
      </c>
      <c r="F2055" s="94">
        <v>45604.508726851855</v>
      </c>
    </row>
    <row r="2056">
      <c r="A2056" s="93">
        <v>2120.0</v>
      </c>
      <c r="B2056" s="92" t="s">
        <v>18786</v>
      </c>
      <c r="C2056" s="92" t="s">
        <v>19192</v>
      </c>
      <c r="D2056" s="92" t="s">
        <v>18787</v>
      </c>
      <c r="E2056" s="94">
        <v>45604.36125</v>
      </c>
      <c r="F2056" s="94">
        <v>45604.36125</v>
      </c>
    </row>
    <row r="2057">
      <c r="A2057" s="93">
        <v>2119.0</v>
      </c>
      <c r="B2057" s="92" t="s">
        <v>18786</v>
      </c>
      <c r="C2057" s="92" t="s">
        <v>19193</v>
      </c>
      <c r="D2057" s="92" t="s">
        <v>18787</v>
      </c>
      <c r="E2057" s="94">
        <v>45603.976018518515</v>
      </c>
      <c r="F2057" s="94">
        <v>45603.976018518515</v>
      </c>
    </row>
    <row r="2058">
      <c r="A2058" s="93">
        <v>2118.0</v>
      </c>
      <c r="B2058" s="92" t="s">
        <v>17746</v>
      </c>
      <c r="C2058" s="92" t="s">
        <v>15397</v>
      </c>
      <c r="D2058" s="92" t="s">
        <v>16044</v>
      </c>
      <c r="E2058" s="94">
        <v>45603.81078703704</v>
      </c>
      <c r="F2058" s="94">
        <v>45603.85894675926</v>
      </c>
    </row>
    <row r="2059">
      <c r="A2059" s="93">
        <v>2117.0</v>
      </c>
      <c r="B2059" s="92" t="s">
        <v>19194</v>
      </c>
      <c r="C2059" s="92" t="s">
        <v>6343</v>
      </c>
      <c r="D2059" s="92" t="s">
        <v>16044</v>
      </c>
      <c r="E2059" s="94">
        <v>45603.79854166666</v>
      </c>
      <c r="F2059" s="94">
        <v>45603.81925925926</v>
      </c>
    </row>
    <row r="2060">
      <c r="A2060" s="93">
        <v>2116.0</v>
      </c>
      <c r="B2060" s="92" t="s">
        <v>17747</v>
      </c>
      <c r="C2060" s="92" t="s">
        <v>9657</v>
      </c>
      <c r="D2060" s="92" t="s">
        <v>16044</v>
      </c>
      <c r="E2060" s="94">
        <v>45602.61954861111</v>
      </c>
      <c r="F2060" s="94">
        <v>45602.65063657407</v>
      </c>
    </row>
    <row r="2061">
      <c r="A2061" s="93">
        <v>2115.0</v>
      </c>
      <c r="B2061" s="92" t="s">
        <v>19195</v>
      </c>
      <c r="C2061" s="92" t="s">
        <v>19196</v>
      </c>
      <c r="D2061" s="92" t="s">
        <v>16044</v>
      </c>
      <c r="E2061" s="94">
        <v>45600.47725694445</v>
      </c>
      <c r="F2061" s="94">
        <v>45600.484664351854</v>
      </c>
    </row>
    <row r="2062">
      <c r="A2062" s="93">
        <v>2010.0</v>
      </c>
      <c r="B2062" s="92" t="s">
        <v>17146</v>
      </c>
      <c r="C2062" s="92" t="s">
        <v>19197</v>
      </c>
      <c r="D2062" s="92" t="s">
        <v>18829</v>
      </c>
      <c r="E2062" s="94">
        <v>45440.64304398148</v>
      </c>
      <c r="F2062" s="94">
        <v>45600.46021990741</v>
      </c>
    </row>
    <row r="2063">
      <c r="A2063" s="93">
        <v>2114.0</v>
      </c>
      <c r="B2063" s="92" t="s">
        <v>17749</v>
      </c>
      <c r="C2063" s="92" t="s">
        <v>19198</v>
      </c>
      <c r="D2063" s="92" t="s">
        <v>16044</v>
      </c>
      <c r="E2063" s="94">
        <v>45597.46440972222</v>
      </c>
      <c r="F2063" s="94">
        <v>45597.46505787037</v>
      </c>
    </row>
    <row r="2064">
      <c r="A2064" s="93">
        <v>2113.0</v>
      </c>
      <c r="B2064" s="92" t="s">
        <v>19199</v>
      </c>
      <c r="C2064" s="92" t="s">
        <v>19200</v>
      </c>
      <c r="D2064" s="92" t="s">
        <v>16044</v>
      </c>
      <c r="E2064" s="94">
        <v>45596.5541087963</v>
      </c>
      <c r="F2064" s="94">
        <v>45596.5597337963</v>
      </c>
    </row>
    <row r="2065">
      <c r="A2065" s="93">
        <v>2112.0</v>
      </c>
      <c r="B2065" s="92" t="s">
        <v>19201</v>
      </c>
      <c r="C2065" s="92" t="s">
        <v>19202</v>
      </c>
      <c r="D2065" s="92" t="s">
        <v>16044</v>
      </c>
      <c r="E2065" s="94">
        <v>45594.59984953704</v>
      </c>
      <c r="F2065" s="94">
        <v>45594.629108796296</v>
      </c>
    </row>
    <row r="2066">
      <c r="A2066" s="93">
        <v>2109.0</v>
      </c>
      <c r="B2066" s="92" t="s">
        <v>19203</v>
      </c>
      <c r="C2066" s="92" t="s">
        <v>15142</v>
      </c>
      <c r="D2066" s="92" t="s">
        <v>16044</v>
      </c>
      <c r="E2066" s="94">
        <v>45589.66357638889</v>
      </c>
      <c r="F2066" s="94">
        <v>45589.68738425926</v>
      </c>
    </row>
    <row r="2067">
      <c r="A2067" s="93">
        <v>2110.0</v>
      </c>
      <c r="B2067" s="92" t="s">
        <v>17752</v>
      </c>
      <c r="C2067" s="92" t="s">
        <v>6330</v>
      </c>
      <c r="D2067" s="92" t="s">
        <v>16044</v>
      </c>
      <c r="E2067" s="94">
        <v>45589.66358796296</v>
      </c>
      <c r="F2067" s="94">
        <v>45589.68653935185</v>
      </c>
    </row>
    <row r="2068">
      <c r="A2068" s="93">
        <v>2044.0</v>
      </c>
      <c r="B2068" s="92" t="s">
        <v>19204</v>
      </c>
      <c r="C2068" s="92" t="s">
        <v>19205</v>
      </c>
      <c r="D2068" s="92" t="s">
        <v>16044</v>
      </c>
      <c r="E2068" s="94">
        <v>45478.66806712963</v>
      </c>
      <c r="F2068" s="94">
        <v>45589.67722222222</v>
      </c>
    </row>
    <row r="2069">
      <c r="A2069" s="93">
        <v>2107.0</v>
      </c>
      <c r="B2069" s="92" t="s">
        <v>19206</v>
      </c>
      <c r="C2069" s="92" t="s">
        <v>6311</v>
      </c>
      <c r="D2069" s="92" t="s">
        <v>16044</v>
      </c>
      <c r="E2069" s="94">
        <v>45589.65986111111</v>
      </c>
      <c r="F2069" s="94">
        <v>45589.67528935185</v>
      </c>
    </row>
    <row r="2070">
      <c r="A2070" s="93">
        <v>2111.0</v>
      </c>
      <c r="B2070" s="92" t="s">
        <v>19207</v>
      </c>
      <c r="C2070" s="92" t="s">
        <v>12264</v>
      </c>
      <c r="D2070" s="92" t="s">
        <v>16044</v>
      </c>
      <c r="E2070" s="94">
        <v>45589.663668981484</v>
      </c>
      <c r="F2070" s="94">
        <v>45589.67333333333</v>
      </c>
    </row>
    <row r="2071">
      <c r="A2071" s="93">
        <v>2108.0</v>
      </c>
      <c r="B2071" s="92" t="s">
        <v>17755</v>
      </c>
      <c r="C2071" s="92" t="s">
        <v>19208</v>
      </c>
      <c r="D2071" s="92" t="s">
        <v>16044</v>
      </c>
      <c r="E2071" s="94">
        <v>45589.66171296296</v>
      </c>
      <c r="F2071" s="94">
        <v>45589.67260416667</v>
      </c>
    </row>
    <row r="2072">
      <c r="A2072" s="93">
        <v>2106.0</v>
      </c>
      <c r="B2072" s="92" t="s">
        <v>19199</v>
      </c>
      <c r="C2072" s="92" t="s">
        <v>19209</v>
      </c>
      <c r="D2072" s="92" t="s">
        <v>16044</v>
      </c>
      <c r="E2072" s="94">
        <v>45589.55247685185</v>
      </c>
      <c r="F2072" s="94">
        <v>45589.562048611115</v>
      </c>
    </row>
    <row r="2073">
      <c r="A2073" s="93">
        <v>2104.0</v>
      </c>
      <c r="B2073" s="92" t="s">
        <v>19210</v>
      </c>
      <c r="C2073" s="92" t="s">
        <v>15256</v>
      </c>
      <c r="D2073" s="92" t="s">
        <v>16044</v>
      </c>
      <c r="E2073" s="94">
        <v>45582.62598379629</v>
      </c>
      <c r="F2073" s="94">
        <v>45582.64072916667</v>
      </c>
    </row>
    <row r="2074">
      <c r="A2074" s="93">
        <v>2103.0</v>
      </c>
      <c r="B2074" s="92" t="s">
        <v>19211</v>
      </c>
      <c r="C2074" s="92" t="s">
        <v>13076</v>
      </c>
      <c r="D2074" s="92" t="s">
        <v>16044</v>
      </c>
      <c r="E2074" s="94">
        <v>45580.619722222225</v>
      </c>
      <c r="F2074" s="94">
        <v>45580.62914351852</v>
      </c>
    </row>
    <row r="2075">
      <c r="A2075" s="93">
        <v>2102.0</v>
      </c>
      <c r="B2075" s="92" t="s">
        <v>19212</v>
      </c>
      <c r="C2075" s="92" t="s">
        <v>12442</v>
      </c>
      <c r="D2075" s="92" t="s">
        <v>16044</v>
      </c>
      <c r="E2075" s="94">
        <v>45576.65859953704</v>
      </c>
      <c r="F2075" s="94">
        <v>45576.66537037037</v>
      </c>
    </row>
    <row r="2076">
      <c r="A2076" s="93">
        <v>2101.0</v>
      </c>
      <c r="B2076" s="92" t="s">
        <v>18786</v>
      </c>
      <c r="C2076" s="92" t="s">
        <v>19213</v>
      </c>
      <c r="D2076" s="92" t="s">
        <v>18787</v>
      </c>
      <c r="E2076" s="94">
        <v>45575.85775462963</v>
      </c>
      <c r="F2076" s="94">
        <v>45575.85775462963</v>
      </c>
    </row>
    <row r="2077">
      <c r="A2077" s="93">
        <v>2100.0</v>
      </c>
      <c r="B2077" s="92" t="s">
        <v>19214</v>
      </c>
      <c r="C2077" s="92" t="s">
        <v>6404</v>
      </c>
      <c r="D2077" s="92" t="s">
        <v>16044</v>
      </c>
      <c r="E2077" s="94">
        <v>45575.66774305556</v>
      </c>
      <c r="F2077" s="94">
        <v>45575.69385416667</v>
      </c>
    </row>
    <row r="2078">
      <c r="A2078" s="93">
        <v>2097.0</v>
      </c>
      <c r="B2078" s="92" t="s">
        <v>19215</v>
      </c>
      <c r="C2078" s="92" t="s">
        <v>15265</v>
      </c>
      <c r="D2078" s="92" t="s">
        <v>16044</v>
      </c>
      <c r="E2078" s="94">
        <v>45575.66636574074</v>
      </c>
      <c r="F2078" s="94">
        <v>45575.6903125</v>
      </c>
    </row>
    <row r="2079">
      <c r="A2079" s="93">
        <v>2099.0</v>
      </c>
      <c r="B2079" s="92" t="s">
        <v>19216</v>
      </c>
      <c r="C2079" s="92" t="s">
        <v>12330</v>
      </c>
      <c r="D2079" s="92" t="s">
        <v>16044</v>
      </c>
      <c r="E2079" s="94">
        <v>45575.66700231482</v>
      </c>
      <c r="F2079" s="94">
        <v>45575.689259259256</v>
      </c>
    </row>
    <row r="2080">
      <c r="A2080" s="93">
        <v>2098.0</v>
      </c>
      <c r="B2080" s="92" t="s">
        <v>19217</v>
      </c>
      <c r="C2080" s="92" t="s">
        <v>15099</v>
      </c>
      <c r="D2080" s="92" t="s">
        <v>16044</v>
      </c>
      <c r="E2080" s="94">
        <v>45575.666446759256</v>
      </c>
      <c r="F2080" s="94">
        <v>45575.68875</v>
      </c>
    </row>
    <row r="2081">
      <c r="A2081" s="93">
        <v>2095.0</v>
      </c>
      <c r="B2081" s="92" t="s">
        <v>19218</v>
      </c>
      <c r="C2081" s="92" t="s">
        <v>15230</v>
      </c>
      <c r="D2081" s="92" t="s">
        <v>16044</v>
      </c>
      <c r="E2081" s="94">
        <v>45575.66583333333</v>
      </c>
      <c r="F2081" s="94">
        <v>45575.68258101852</v>
      </c>
    </row>
    <row r="2082">
      <c r="A2082" s="93">
        <v>2093.0</v>
      </c>
      <c r="B2082" s="92" t="s">
        <v>19219</v>
      </c>
      <c r="C2082" s="92" t="s">
        <v>6385</v>
      </c>
      <c r="D2082" s="92" t="s">
        <v>16044</v>
      </c>
      <c r="E2082" s="94">
        <v>45575.663622685184</v>
      </c>
      <c r="F2082" s="94">
        <v>45575.67994212963</v>
      </c>
    </row>
    <row r="2083">
      <c r="A2083" s="93">
        <v>2094.0</v>
      </c>
      <c r="B2083" s="92" t="s">
        <v>19220</v>
      </c>
      <c r="C2083" s="92" t="s">
        <v>9745</v>
      </c>
      <c r="D2083" s="92" t="s">
        <v>16044</v>
      </c>
      <c r="E2083" s="94">
        <v>45575.66508101852</v>
      </c>
      <c r="F2083" s="94">
        <v>45575.679930555554</v>
      </c>
    </row>
    <row r="2084">
      <c r="A2084" s="93">
        <v>2096.0</v>
      </c>
      <c r="B2084" s="92" t="s">
        <v>127</v>
      </c>
      <c r="C2084" s="92" t="s">
        <v>16076</v>
      </c>
      <c r="D2084" s="92" t="s">
        <v>16044</v>
      </c>
      <c r="E2084" s="94">
        <v>45575.66614583333</v>
      </c>
      <c r="F2084" s="94">
        <v>45575.66894675926</v>
      </c>
    </row>
    <row r="2085">
      <c r="A2085" s="93">
        <v>4.0</v>
      </c>
      <c r="B2085" s="92" t="s">
        <v>19221</v>
      </c>
      <c r="C2085" s="92" t="s">
        <v>19222</v>
      </c>
      <c r="D2085" s="92" t="s">
        <v>18829</v>
      </c>
      <c r="E2085" s="94">
        <v>45085.2781712963</v>
      </c>
      <c r="F2085" s="94">
        <v>45575.66606481482</v>
      </c>
    </row>
    <row r="2086">
      <c r="A2086" s="93">
        <v>1704.0</v>
      </c>
      <c r="B2086" s="92" t="s">
        <v>17316</v>
      </c>
      <c r="C2086" s="92" t="s">
        <v>19223</v>
      </c>
      <c r="D2086" s="92" t="s">
        <v>18829</v>
      </c>
      <c r="E2086" s="94">
        <v>45113.5591087963</v>
      </c>
      <c r="F2086" s="94">
        <v>45575.66606481482</v>
      </c>
    </row>
    <row r="2087">
      <c r="A2087" s="93">
        <v>2091.0</v>
      </c>
      <c r="B2087" s="92" t="s">
        <v>17757</v>
      </c>
      <c r="C2087" s="92" t="s">
        <v>19224</v>
      </c>
      <c r="D2087" s="92" t="s">
        <v>16044</v>
      </c>
      <c r="E2087" s="94">
        <v>45572.50678240741</v>
      </c>
      <c r="F2087" s="94">
        <v>45572.51133101852</v>
      </c>
    </row>
    <row r="2088">
      <c r="A2088" s="93">
        <v>2090.0</v>
      </c>
      <c r="B2088" s="92" t="s">
        <v>17758</v>
      </c>
      <c r="C2088" s="92" t="s">
        <v>19225</v>
      </c>
      <c r="D2088" s="92" t="s">
        <v>16044</v>
      </c>
      <c r="E2088" s="94">
        <v>45565.398252314815</v>
      </c>
      <c r="F2088" s="94">
        <v>45565.408055555556</v>
      </c>
    </row>
    <row r="2089">
      <c r="A2089" s="93">
        <v>2089.0</v>
      </c>
      <c r="B2089" s="92" t="s">
        <v>19226</v>
      </c>
      <c r="C2089" s="92" t="s">
        <v>19227</v>
      </c>
      <c r="D2089" s="92" t="s">
        <v>16044</v>
      </c>
      <c r="E2089" s="94">
        <v>45561.55268518518</v>
      </c>
      <c r="F2089" s="94">
        <v>45561.60731481481</v>
      </c>
    </row>
    <row r="2090">
      <c r="A2090" s="93">
        <v>2088.0</v>
      </c>
      <c r="B2090" s="92" t="s">
        <v>18786</v>
      </c>
      <c r="C2090" s="92" t="s">
        <v>19228</v>
      </c>
      <c r="D2090" s="92" t="s">
        <v>18787</v>
      </c>
      <c r="E2090" s="94">
        <v>45561.49252314815</v>
      </c>
      <c r="F2090" s="94">
        <v>45561.49252314815</v>
      </c>
    </row>
    <row r="2091">
      <c r="A2091" s="93">
        <v>1841.0</v>
      </c>
      <c r="B2091" s="92" t="s">
        <v>19229</v>
      </c>
      <c r="C2091" s="92" t="s">
        <v>19230</v>
      </c>
      <c r="D2091" s="92" t="s">
        <v>19055</v>
      </c>
      <c r="E2091" s="94">
        <v>45243.61121527778</v>
      </c>
      <c r="F2091" s="94">
        <v>45555.589907407404</v>
      </c>
    </row>
    <row r="2092">
      <c r="A2092" s="93">
        <v>2086.0</v>
      </c>
      <c r="B2092" s="92" t="s">
        <v>19231</v>
      </c>
      <c r="C2092" s="92" t="s">
        <v>19232</v>
      </c>
      <c r="D2092" s="92" t="s">
        <v>18829</v>
      </c>
      <c r="E2092" s="94">
        <v>45554.638344907406</v>
      </c>
      <c r="F2092" s="94">
        <v>45555.58896990741</v>
      </c>
    </row>
    <row r="2093">
      <c r="A2093" s="93">
        <v>2087.0</v>
      </c>
      <c r="B2093" s="92" t="s">
        <v>18867</v>
      </c>
      <c r="C2093" s="92" t="s">
        <v>19233</v>
      </c>
      <c r="D2093" s="92" t="s">
        <v>18829</v>
      </c>
      <c r="E2093" s="94">
        <v>45555.58521990741</v>
      </c>
      <c r="F2093" s="94">
        <v>45555.58802083333</v>
      </c>
    </row>
    <row r="2094">
      <c r="A2094" s="93">
        <v>2085.0</v>
      </c>
      <c r="B2094" s="92" t="s">
        <v>19234</v>
      </c>
      <c r="C2094" s="92" t="s">
        <v>16187</v>
      </c>
      <c r="D2094" s="92" t="s">
        <v>18877</v>
      </c>
      <c r="E2094" s="94">
        <v>45554.62982638889</v>
      </c>
      <c r="F2094" s="94">
        <v>45554.631527777776</v>
      </c>
    </row>
    <row r="2095">
      <c r="A2095" s="93">
        <v>2084.0</v>
      </c>
      <c r="B2095" s="92" t="s">
        <v>19235</v>
      </c>
      <c r="C2095" s="92" t="s">
        <v>19236</v>
      </c>
      <c r="D2095" s="92" t="s">
        <v>18877</v>
      </c>
      <c r="E2095" s="94">
        <v>45554.62917824074</v>
      </c>
      <c r="F2095" s="94">
        <v>45554.63134259259</v>
      </c>
    </row>
    <row r="2096">
      <c r="A2096" s="93">
        <v>2083.0</v>
      </c>
      <c r="B2096" s="92" t="s">
        <v>19237</v>
      </c>
      <c r="C2096" s="92" t="s">
        <v>19238</v>
      </c>
      <c r="D2096" s="92" t="s">
        <v>18877</v>
      </c>
      <c r="E2096" s="94">
        <v>45554.50616898148</v>
      </c>
      <c r="F2096" s="94">
        <v>45554.50913194445</v>
      </c>
    </row>
    <row r="2097">
      <c r="A2097" s="93">
        <v>2079.0</v>
      </c>
      <c r="B2097" s="92" t="s">
        <v>18713</v>
      </c>
      <c r="C2097" s="92" t="s">
        <v>19239</v>
      </c>
      <c r="D2097" s="92" t="s">
        <v>18765</v>
      </c>
      <c r="E2097" s="94">
        <v>45520.238344907404</v>
      </c>
      <c r="F2097" s="94">
        <v>45546.028703703705</v>
      </c>
    </row>
    <row r="2098">
      <c r="A2098" s="93">
        <v>2082.0</v>
      </c>
      <c r="B2098" s="92" t="s">
        <v>17760</v>
      </c>
      <c r="C2098" s="92" t="s">
        <v>19240</v>
      </c>
      <c r="D2098" s="92" t="s">
        <v>16044</v>
      </c>
      <c r="E2098" s="94">
        <v>45541.609131944446</v>
      </c>
      <c r="F2098" s="94">
        <v>45541.609131944446</v>
      </c>
    </row>
    <row r="2099">
      <c r="A2099" s="93">
        <v>2080.0</v>
      </c>
      <c r="B2099" s="92" t="s">
        <v>19241</v>
      </c>
      <c r="C2099" s="92" t="s">
        <v>19242</v>
      </c>
      <c r="D2099" s="92" t="s">
        <v>18765</v>
      </c>
      <c r="E2099" s="94">
        <v>45520.73101851852</v>
      </c>
      <c r="F2099" s="94">
        <v>45520.77974537037</v>
      </c>
    </row>
    <row r="2100">
      <c r="A2100" s="93">
        <v>2078.0</v>
      </c>
      <c r="B2100" s="92" t="s">
        <v>16180</v>
      </c>
      <c r="C2100" s="92" t="s">
        <v>19243</v>
      </c>
      <c r="D2100" s="92" t="s">
        <v>18877</v>
      </c>
      <c r="E2100" s="94">
        <v>45519.50096064815</v>
      </c>
      <c r="F2100" s="94">
        <v>45519.50130787037</v>
      </c>
    </row>
    <row r="2101">
      <c r="A2101" s="93">
        <v>2077.0</v>
      </c>
      <c r="B2101" s="92" t="s">
        <v>17588</v>
      </c>
      <c r="C2101" s="92" t="s">
        <v>19244</v>
      </c>
      <c r="D2101" s="92" t="s">
        <v>18877</v>
      </c>
      <c r="E2101" s="94">
        <v>45519.412511574075</v>
      </c>
      <c r="F2101" s="94">
        <v>45519.412627314814</v>
      </c>
    </row>
    <row r="2102">
      <c r="A2102" s="93">
        <v>2075.0</v>
      </c>
      <c r="B2102" s="92" t="s">
        <v>19245</v>
      </c>
      <c r="C2102" s="92" t="s">
        <v>19246</v>
      </c>
      <c r="D2102" s="92" t="s">
        <v>18765</v>
      </c>
      <c r="E2102" s="94">
        <v>45511.57776620371</v>
      </c>
      <c r="F2102" s="94">
        <v>45517.87440972222</v>
      </c>
    </row>
    <row r="2103">
      <c r="A2103" s="93">
        <v>2030.0</v>
      </c>
      <c r="B2103" s="92" t="s">
        <v>17761</v>
      </c>
      <c r="C2103" s="92" t="s">
        <v>12025</v>
      </c>
      <c r="D2103" s="92" t="s">
        <v>16044</v>
      </c>
      <c r="E2103" s="94">
        <v>45465.68130787037</v>
      </c>
      <c r="F2103" s="94">
        <v>45515.61923611111</v>
      </c>
    </row>
    <row r="2104">
      <c r="A2104" s="93">
        <v>2056.0</v>
      </c>
      <c r="B2104" s="92" t="s">
        <v>17762</v>
      </c>
      <c r="C2104" s="92" t="s">
        <v>15548</v>
      </c>
      <c r="D2104" s="92" t="s">
        <v>16044</v>
      </c>
      <c r="E2104" s="94">
        <v>45481.577361111114</v>
      </c>
      <c r="F2104" s="94">
        <v>45512.554456018515</v>
      </c>
    </row>
    <row r="2105">
      <c r="A2105" s="93">
        <v>2058.0</v>
      </c>
      <c r="B2105" s="92" t="s">
        <v>17763</v>
      </c>
      <c r="C2105" s="92" t="s">
        <v>14816</v>
      </c>
      <c r="D2105" s="92" t="s">
        <v>16044</v>
      </c>
      <c r="E2105" s="94">
        <v>45481.58636574074</v>
      </c>
      <c r="F2105" s="94">
        <v>45512.54996527778</v>
      </c>
    </row>
    <row r="2106">
      <c r="A2106" s="93">
        <v>2060.0</v>
      </c>
      <c r="B2106" s="92" t="s">
        <v>17764</v>
      </c>
      <c r="C2106" s="92" t="s">
        <v>15962</v>
      </c>
      <c r="D2106" s="92" t="s">
        <v>16044</v>
      </c>
      <c r="E2106" s="94">
        <v>45483.637824074074</v>
      </c>
      <c r="F2106" s="94">
        <v>45512.548634259256</v>
      </c>
    </row>
    <row r="2107">
      <c r="A2107" s="93">
        <v>2053.0</v>
      </c>
      <c r="B2107" s="92" t="s">
        <v>17765</v>
      </c>
      <c r="C2107" s="92" t="s">
        <v>13883</v>
      </c>
      <c r="D2107" s="92" t="s">
        <v>16044</v>
      </c>
      <c r="E2107" s="94">
        <v>45481.558645833335</v>
      </c>
      <c r="F2107" s="94">
        <v>45512.543703703705</v>
      </c>
    </row>
    <row r="2108">
      <c r="A2108" s="93">
        <v>2052.0</v>
      </c>
      <c r="B2108" s="92" t="s">
        <v>19247</v>
      </c>
      <c r="C2108" s="92" t="s">
        <v>6374</v>
      </c>
      <c r="D2108" s="92" t="s">
        <v>16044</v>
      </c>
      <c r="E2108" s="94">
        <v>45481.550983796296</v>
      </c>
      <c r="F2108" s="94">
        <v>45512.53013888889</v>
      </c>
    </row>
    <row r="2109">
      <c r="A2109" s="93">
        <v>2076.0</v>
      </c>
      <c r="B2109" s="92" t="s">
        <v>19248</v>
      </c>
      <c r="C2109" s="92" t="s">
        <v>19249</v>
      </c>
      <c r="D2109" s="92" t="s">
        <v>18877</v>
      </c>
      <c r="E2109" s="94">
        <v>45511.66420138889</v>
      </c>
      <c r="F2109" s="94">
        <v>45511.664305555554</v>
      </c>
    </row>
    <row r="2110">
      <c r="A2110" s="93">
        <v>2055.0</v>
      </c>
      <c r="B2110" s="92" t="s">
        <v>17766</v>
      </c>
      <c r="C2110" s="92" t="s">
        <v>5595</v>
      </c>
      <c r="D2110" s="92" t="s">
        <v>16044</v>
      </c>
      <c r="E2110" s="94">
        <v>45481.56875</v>
      </c>
      <c r="F2110" s="94">
        <v>45506.68568287037</v>
      </c>
    </row>
    <row r="2111">
      <c r="A2111" s="93">
        <v>2063.0</v>
      </c>
      <c r="B2111" s="92" t="s">
        <v>17767</v>
      </c>
      <c r="C2111" s="92" t="s">
        <v>6567</v>
      </c>
      <c r="D2111" s="92" t="s">
        <v>16044</v>
      </c>
      <c r="E2111" s="94">
        <v>45484.61820601852</v>
      </c>
      <c r="F2111" s="94">
        <v>45506.68472222222</v>
      </c>
    </row>
    <row r="2112">
      <c r="A2112" s="93">
        <v>2042.0</v>
      </c>
      <c r="B2112" s="92" t="s">
        <v>19250</v>
      </c>
      <c r="C2112" s="92" t="s">
        <v>6317</v>
      </c>
      <c r="D2112" s="92" t="s">
        <v>16044</v>
      </c>
      <c r="E2112" s="94">
        <v>45478.64575231481</v>
      </c>
      <c r="F2112" s="94">
        <v>45506.66059027778</v>
      </c>
    </row>
    <row r="2113">
      <c r="A2113" s="93">
        <v>2051.0</v>
      </c>
      <c r="B2113" s="92" t="s">
        <v>19251</v>
      </c>
      <c r="C2113" s="92" t="s">
        <v>12636</v>
      </c>
      <c r="D2113" s="92" t="s">
        <v>16044</v>
      </c>
      <c r="E2113" s="94">
        <v>45481.51721064815</v>
      </c>
      <c r="F2113" s="94">
        <v>45506.64738425926</v>
      </c>
    </row>
    <row r="2114">
      <c r="A2114" s="93">
        <v>2047.0</v>
      </c>
      <c r="B2114" s="92" t="s">
        <v>17769</v>
      </c>
      <c r="C2114" s="92" t="s">
        <v>15113</v>
      </c>
      <c r="D2114" s="92" t="s">
        <v>16044</v>
      </c>
      <c r="E2114" s="94">
        <v>45481.50351851852</v>
      </c>
      <c r="F2114" s="94">
        <v>45506.6427662037</v>
      </c>
    </row>
    <row r="2115">
      <c r="A2115" s="93">
        <v>2064.0</v>
      </c>
      <c r="B2115" s="92" t="s">
        <v>19252</v>
      </c>
      <c r="C2115" s="92" t="s">
        <v>19253</v>
      </c>
      <c r="D2115" s="92" t="s">
        <v>16044</v>
      </c>
      <c r="E2115" s="94">
        <v>45484.62501157408</v>
      </c>
      <c r="F2115" s="94">
        <v>45506.64127314815</v>
      </c>
    </row>
    <row r="2116">
      <c r="A2116" s="93">
        <v>2043.0</v>
      </c>
      <c r="B2116" s="92" t="s">
        <v>17771</v>
      </c>
      <c r="C2116" s="92" t="s">
        <v>6352</v>
      </c>
      <c r="D2116" s="92" t="s">
        <v>16044</v>
      </c>
      <c r="E2116" s="94">
        <v>45478.65571759259</v>
      </c>
      <c r="F2116" s="94">
        <v>45506.632627314815</v>
      </c>
    </row>
    <row r="2117">
      <c r="A2117" s="93">
        <v>2074.0</v>
      </c>
      <c r="B2117" s="92" t="s">
        <v>19254</v>
      </c>
      <c r="C2117" s="92" t="s">
        <v>19255</v>
      </c>
      <c r="D2117" s="92" t="s">
        <v>18829</v>
      </c>
      <c r="E2117" s="94">
        <v>45499.51179398148</v>
      </c>
      <c r="F2117" s="94">
        <v>45503.534212962964</v>
      </c>
    </row>
    <row r="2118">
      <c r="A2118" s="93">
        <v>2073.0</v>
      </c>
      <c r="B2118" s="92" t="s">
        <v>18786</v>
      </c>
      <c r="C2118" s="92" t="s">
        <v>19256</v>
      </c>
      <c r="D2118" s="92" t="s">
        <v>18787</v>
      </c>
      <c r="E2118" s="94">
        <v>45496.72005787037</v>
      </c>
      <c r="F2118" s="94">
        <v>45496.72005787037</v>
      </c>
    </row>
    <row r="2119">
      <c r="A2119" s="93">
        <v>1603.0</v>
      </c>
      <c r="B2119" s="92" t="s">
        <v>17772</v>
      </c>
      <c r="C2119" s="92" t="s">
        <v>9080</v>
      </c>
      <c r="D2119" s="92" t="s">
        <v>16044</v>
      </c>
      <c r="E2119" s="94">
        <v>45113.55773148148</v>
      </c>
      <c r="F2119" s="94">
        <v>45492.485439814816</v>
      </c>
    </row>
    <row r="2120">
      <c r="A2120" s="93">
        <v>2036.0</v>
      </c>
      <c r="B2120" s="92" t="s">
        <v>19257</v>
      </c>
      <c r="C2120" s="92" t="s">
        <v>19258</v>
      </c>
      <c r="D2120" s="92" t="s">
        <v>18829</v>
      </c>
      <c r="E2120" s="94">
        <v>45468.4728125</v>
      </c>
      <c r="F2120" s="94">
        <v>45490.599270833336</v>
      </c>
    </row>
    <row r="2121">
      <c r="A2121" s="93">
        <v>2072.0</v>
      </c>
      <c r="B2121" s="92" t="s">
        <v>17773</v>
      </c>
      <c r="C2121" s="92" t="s">
        <v>19259</v>
      </c>
      <c r="D2121" s="92" t="s">
        <v>16044</v>
      </c>
      <c r="E2121" s="94">
        <v>45488.62868055556</v>
      </c>
      <c r="F2121" s="94">
        <v>45488.62880787037</v>
      </c>
    </row>
    <row r="2122">
      <c r="A2122" s="93">
        <v>2045.0</v>
      </c>
      <c r="B2122" s="92" t="s">
        <v>19260</v>
      </c>
      <c r="C2122" s="92" t="s">
        <v>12701</v>
      </c>
      <c r="D2122" s="92" t="s">
        <v>16044</v>
      </c>
      <c r="E2122" s="94">
        <v>45478.67613425926</v>
      </c>
      <c r="F2122" s="94">
        <v>45484.66517361111</v>
      </c>
    </row>
    <row r="2123">
      <c r="A2123" s="93">
        <v>2054.0</v>
      </c>
      <c r="B2123" s="92" t="s">
        <v>17774</v>
      </c>
      <c r="C2123" s="92" t="s">
        <v>6368</v>
      </c>
      <c r="D2123" s="92" t="s">
        <v>16044</v>
      </c>
      <c r="E2123" s="94">
        <v>45481.56622685185</v>
      </c>
      <c r="F2123" s="94">
        <v>45484.66443287037</v>
      </c>
    </row>
    <row r="2124">
      <c r="A2124" s="93">
        <v>2066.0</v>
      </c>
      <c r="B2124" s="92" t="s">
        <v>19204</v>
      </c>
      <c r="C2124" s="92" t="s">
        <v>5509</v>
      </c>
      <c r="D2124" s="92" t="s">
        <v>16044</v>
      </c>
      <c r="E2124" s="94">
        <v>45484.63521990741</v>
      </c>
      <c r="F2124" s="94">
        <v>45484.664131944446</v>
      </c>
    </row>
    <row r="2125">
      <c r="A2125" s="93">
        <v>2041.0</v>
      </c>
      <c r="B2125" s="92" t="s">
        <v>17776</v>
      </c>
      <c r="C2125" s="92" t="s">
        <v>6364</v>
      </c>
      <c r="D2125" s="92" t="s">
        <v>16044</v>
      </c>
      <c r="E2125" s="94">
        <v>45478.6271875</v>
      </c>
      <c r="F2125" s="94">
        <v>45484.663449074076</v>
      </c>
    </row>
    <row r="2126">
      <c r="A2126" s="93">
        <v>2071.0</v>
      </c>
      <c r="B2126" s="92" t="s">
        <v>17777</v>
      </c>
      <c r="C2126" s="92" t="s">
        <v>19261</v>
      </c>
      <c r="D2126" s="92" t="s">
        <v>16044</v>
      </c>
      <c r="E2126" s="94">
        <v>45484.66100694444</v>
      </c>
      <c r="F2126" s="94">
        <v>45484.663310185184</v>
      </c>
    </row>
    <row r="2127">
      <c r="A2127" s="93">
        <v>2070.0</v>
      </c>
      <c r="B2127" s="92" t="s">
        <v>17778</v>
      </c>
      <c r="C2127" s="92" t="s">
        <v>19262</v>
      </c>
      <c r="D2127" s="92" t="s">
        <v>16044</v>
      </c>
      <c r="E2127" s="94">
        <v>45484.659895833334</v>
      </c>
      <c r="F2127" s="94">
        <v>45484.66003472222</v>
      </c>
    </row>
    <row r="2128">
      <c r="A2128" s="93">
        <v>2069.0</v>
      </c>
      <c r="B2128" s="92" t="s">
        <v>17779</v>
      </c>
      <c r="C2128" s="92" t="s">
        <v>19263</v>
      </c>
      <c r="D2128" s="92" t="s">
        <v>16044</v>
      </c>
      <c r="E2128" s="94">
        <v>45484.658530092594</v>
      </c>
      <c r="F2128" s="94">
        <v>45484.65865740741</v>
      </c>
    </row>
    <row r="2129">
      <c r="A2129" s="93">
        <v>2068.0</v>
      </c>
      <c r="B2129" s="92" t="s">
        <v>17780</v>
      </c>
      <c r="C2129" s="92" t="s">
        <v>19264</v>
      </c>
      <c r="D2129" s="92" t="s">
        <v>16044</v>
      </c>
      <c r="E2129" s="94">
        <v>45484.64934027778</v>
      </c>
      <c r="F2129" s="94">
        <v>45484.65431712963</v>
      </c>
    </row>
    <row r="2130">
      <c r="A2130" s="93">
        <v>2067.0</v>
      </c>
      <c r="B2130" s="92" t="s">
        <v>17781</v>
      </c>
      <c r="C2130" s="92" t="s">
        <v>19265</v>
      </c>
      <c r="D2130" s="92" t="s">
        <v>16044</v>
      </c>
      <c r="E2130" s="94">
        <v>45484.640173611115</v>
      </c>
      <c r="F2130" s="94">
        <v>45484.64030092592</v>
      </c>
    </row>
    <row r="2131">
      <c r="A2131" s="93">
        <v>2065.0</v>
      </c>
      <c r="B2131" s="92" t="s">
        <v>19266</v>
      </c>
      <c r="C2131" s="92" t="s">
        <v>14978</v>
      </c>
      <c r="D2131" s="92" t="s">
        <v>16044</v>
      </c>
      <c r="E2131" s="94">
        <v>45484.631377314814</v>
      </c>
      <c r="F2131" s="94">
        <v>45484.631689814814</v>
      </c>
    </row>
    <row r="2132">
      <c r="A2132" s="93">
        <v>2062.0</v>
      </c>
      <c r="B2132" s="92" t="s">
        <v>17783</v>
      </c>
      <c r="C2132" s="92" t="s">
        <v>19267</v>
      </c>
      <c r="D2132" s="92" t="s">
        <v>16044</v>
      </c>
      <c r="E2132" s="94">
        <v>45484.49998842592</v>
      </c>
      <c r="F2132" s="94">
        <v>45484.50013888889</v>
      </c>
    </row>
    <row r="2133">
      <c r="A2133" s="93">
        <v>2061.0</v>
      </c>
      <c r="B2133" s="92" t="s">
        <v>18786</v>
      </c>
      <c r="C2133" s="92" t="s">
        <v>19268</v>
      </c>
      <c r="D2133" s="92" t="s">
        <v>18787</v>
      </c>
      <c r="E2133" s="94">
        <v>45483.71806712963</v>
      </c>
      <c r="F2133" s="94">
        <v>45483.71806712963</v>
      </c>
    </row>
    <row r="2134">
      <c r="A2134" s="93">
        <v>2057.0</v>
      </c>
      <c r="B2134" s="92" t="s">
        <v>19266</v>
      </c>
      <c r="C2134" s="92" t="s">
        <v>19269</v>
      </c>
      <c r="D2134" s="92" t="s">
        <v>16044</v>
      </c>
      <c r="E2134" s="94">
        <v>45481.57829861111</v>
      </c>
      <c r="F2134" s="94">
        <v>45481.57875</v>
      </c>
    </row>
    <row r="2135">
      <c r="A2135" s="93">
        <v>2050.0</v>
      </c>
      <c r="B2135" s="92" t="s">
        <v>19252</v>
      </c>
      <c r="C2135" s="92" t="s">
        <v>15324</v>
      </c>
      <c r="D2135" s="92" t="s">
        <v>16044</v>
      </c>
      <c r="E2135" s="94">
        <v>45481.507372685184</v>
      </c>
      <c r="F2135" s="94">
        <v>45481.5077662037</v>
      </c>
    </row>
    <row r="2136">
      <c r="A2136" s="93">
        <v>2049.0</v>
      </c>
      <c r="B2136" s="92" t="s">
        <v>17784</v>
      </c>
      <c r="C2136" s="92" t="s">
        <v>15934</v>
      </c>
      <c r="D2136" s="92" t="s">
        <v>16044</v>
      </c>
      <c r="E2136" s="94">
        <v>45481.50565972222</v>
      </c>
      <c r="F2136" s="94">
        <v>45481.507361111115</v>
      </c>
    </row>
    <row r="2137">
      <c r="A2137" s="93">
        <v>2048.0</v>
      </c>
      <c r="B2137" s="92" t="s">
        <v>17785</v>
      </c>
      <c r="C2137" s="92" t="s">
        <v>19270</v>
      </c>
      <c r="D2137" s="92" t="s">
        <v>16044</v>
      </c>
      <c r="E2137" s="94">
        <v>45481.50378472222</v>
      </c>
      <c r="F2137" s="94">
        <v>45481.504641203705</v>
      </c>
    </row>
    <row r="2138">
      <c r="A2138" s="93">
        <v>2046.0</v>
      </c>
      <c r="B2138" s="92" t="s">
        <v>19271</v>
      </c>
      <c r="C2138" s="92" t="s">
        <v>19272</v>
      </c>
      <c r="D2138" s="92" t="s">
        <v>16044</v>
      </c>
      <c r="E2138" s="94">
        <v>45479.55949074074</v>
      </c>
      <c r="F2138" s="94">
        <v>45479.560636574075</v>
      </c>
    </row>
    <row r="2139">
      <c r="A2139" s="93">
        <v>2040.0</v>
      </c>
      <c r="B2139" s="92" t="s">
        <v>18717</v>
      </c>
      <c r="C2139" s="92" t="s">
        <v>19273</v>
      </c>
      <c r="D2139" s="92" t="s">
        <v>18765</v>
      </c>
      <c r="E2139" s="94">
        <v>45472.78425925926</v>
      </c>
      <c r="F2139" s="94">
        <v>45475.75219907407</v>
      </c>
    </row>
    <row r="2140">
      <c r="A2140" s="93">
        <v>2039.0</v>
      </c>
      <c r="B2140" s="92" t="s">
        <v>19274</v>
      </c>
      <c r="C2140" s="92" t="s">
        <v>19275</v>
      </c>
      <c r="D2140" s="92" t="s">
        <v>16044</v>
      </c>
      <c r="E2140" s="94">
        <v>45470.86996527778</v>
      </c>
      <c r="F2140" s="94">
        <v>45470.87128472222</v>
      </c>
    </row>
    <row r="2141">
      <c r="A2141" s="93">
        <v>2038.0</v>
      </c>
      <c r="B2141" s="92" t="s">
        <v>19276</v>
      </c>
      <c r="C2141" s="92" t="s">
        <v>19277</v>
      </c>
      <c r="D2141" s="92" t="s">
        <v>18877</v>
      </c>
      <c r="E2141" s="94">
        <v>45468.589583333334</v>
      </c>
      <c r="F2141" s="94">
        <v>45469.5002662037</v>
      </c>
    </row>
    <row r="2142">
      <c r="A2142" s="93">
        <v>2037.0</v>
      </c>
      <c r="B2142" s="92" t="s">
        <v>17787</v>
      </c>
      <c r="C2142" s="92" t="s">
        <v>19278</v>
      </c>
      <c r="D2142" s="92" t="s">
        <v>16044</v>
      </c>
      <c r="E2142" s="94">
        <v>45468.55732638889</v>
      </c>
      <c r="F2142" s="94">
        <v>45468.557708333334</v>
      </c>
    </row>
    <row r="2143">
      <c r="A2143" s="93">
        <v>2035.0</v>
      </c>
      <c r="B2143" s="92" t="s">
        <v>18786</v>
      </c>
      <c r="C2143" s="92" t="s">
        <v>19279</v>
      </c>
      <c r="D2143" s="92" t="s">
        <v>18787</v>
      </c>
      <c r="E2143" s="94">
        <v>45465.688159722224</v>
      </c>
      <c r="F2143" s="94">
        <v>45465.688159722224</v>
      </c>
    </row>
    <row r="2144">
      <c r="A2144" s="93">
        <v>2029.0</v>
      </c>
      <c r="B2144" s="92" t="s">
        <v>17724</v>
      </c>
      <c r="C2144" s="92" t="s">
        <v>19280</v>
      </c>
      <c r="D2144" s="92" t="s">
        <v>16044</v>
      </c>
      <c r="E2144" s="94">
        <v>45465.68121527778</v>
      </c>
      <c r="F2144" s="94">
        <v>45465.68785879629</v>
      </c>
    </row>
    <row r="2145">
      <c r="A2145" s="93">
        <v>2033.0</v>
      </c>
      <c r="B2145" s="92" t="s">
        <v>16577</v>
      </c>
      <c r="C2145" s="92" t="s">
        <v>19281</v>
      </c>
      <c r="D2145" s="92" t="s">
        <v>16044</v>
      </c>
      <c r="E2145" s="94">
        <v>45465.683171296296</v>
      </c>
      <c r="F2145" s="94">
        <v>45465.683275462965</v>
      </c>
    </row>
    <row r="2146">
      <c r="A2146" s="93">
        <v>2032.0</v>
      </c>
      <c r="B2146" s="92" t="s">
        <v>17788</v>
      </c>
      <c r="C2146" s="92" t="s">
        <v>19282</v>
      </c>
      <c r="D2146" s="92" t="s">
        <v>16044</v>
      </c>
      <c r="E2146" s="94">
        <v>45465.682337962964</v>
      </c>
      <c r="F2146" s="94">
        <v>45465.68319444444</v>
      </c>
    </row>
    <row r="2147">
      <c r="A2147" s="93">
        <v>2028.0</v>
      </c>
      <c r="B2147" s="92" t="s">
        <v>19283</v>
      </c>
      <c r="C2147" s="92" t="s">
        <v>19284</v>
      </c>
      <c r="D2147" s="92" t="s">
        <v>16044</v>
      </c>
      <c r="E2147" s="94">
        <v>45465.68119212963</v>
      </c>
      <c r="F2147" s="94">
        <v>45465.68292824074</v>
      </c>
    </row>
    <row r="2148">
      <c r="A2148" s="93">
        <v>2031.0</v>
      </c>
      <c r="B2148" s="92" t="s">
        <v>18786</v>
      </c>
      <c r="C2148" s="92" t="s">
        <v>19285</v>
      </c>
      <c r="D2148" s="92" t="s">
        <v>18787</v>
      </c>
      <c r="E2148" s="94">
        <v>45465.681597222225</v>
      </c>
      <c r="F2148" s="94">
        <v>45465.681597222225</v>
      </c>
    </row>
    <row r="2149">
      <c r="A2149" s="93">
        <v>2027.0</v>
      </c>
      <c r="B2149" s="92" t="s">
        <v>18786</v>
      </c>
      <c r="C2149" s="92" t="s">
        <v>19286</v>
      </c>
      <c r="D2149" s="92" t="s">
        <v>18787</v>
      </c>
      <c r="E2149" s="94">
        <v>45465.68116898148</v>
      </c>
      <c r="F2149" s="94">
        <v>45465.68116898148</v>
      </c>
    </row>
    <row r="2150">
      <c r="A2150" s="93">
        <v>2025.0</v>
      </c>
      <c r="B2150" s="92" t="s">
        <v>18786</v>
      </c>
      <c r="C2150" s="92" t="s">
        <v>19287</v>
      </c>
      <c r="D2150" s="92" t="s">
        <v>18787</v>
      </c>
      <c r="E2150" s="94">
        <v>45465.6808912037</v>
      </c>
      <c r="F2150" s="94">
        <v>45465.6808912037</v>
      </c>
    </row>
    <row r="2151">
      <c r="A2151" s="93">
        <v>2024.0</v>
      </c>
      <c r="B2151" s="92" t="s">
        <v>17790</v>
      </c>
      <c r="C2151" s="92" t="s">
        <v>19288</v>
      </c>
      <c r="D2151" s="92" t="s">
        <v>16044</v>
      </c>
      <c r="E2151" s="94">
        <v>45464.82303240741</v>
      </c>
      <c r="F2151" s="94">
        <v>45464.823125</v>
      </c>
    </row>
    <row r="2152">
      <c r="A2152" s="93">
        <v>2023.0</v>
      </c>
      <c r="B2152" s="92" t="s">
        <v>17791</v>
      </c>
      <c r="C2152" s="92" t="s">
        <v>19289</v>
      </c>
      <c r="D2152" s="92" t="s">
        <v>16044</v>
      </c>
      <c r="E2152" s="94">
        <v>45464.709861111114</v>
      </c>
      <c r="F2152" s="94">
        <v>45464.70997685185</v>
      </c>
    </row>
    <row r="2153">
      <c r="A2153" s="93">
        <v>2021.0</v>
      </c>
      <c r="B2153" s="92" t="s">
        <v>19290</v>
      </c>
      <c r="C2153" s="92" t="s">
        <v>19291</v>
      </c>
      <c r="D2153" s="92" t="s">
        <v>16044</v>
      </c>
      <c r="E2153" s="94">
        <v>45463.69673611111</v>
      </c>
      <c r="F2153" s="94">
        <v>45464.69513888889</v>
      </c>
    </row>
    <row r="2154">
      <c r="A2154" s="93">
        <v>2013.0</v>
      </c>
      <c r="B2154" s="92" t="s">
        <v>17778</v>
      </c>
      <c r="C2154" s="92" t="s">
        <v>19292</v>
      </c>
      <c r="D2154" s="92" t="s">
        <v>16044</v>
      </c>
      <c r="E2154" s="94">
        <v>45446.6177662037</v>
      </c>
      <c r="F2154" s="94">
        <v>45464.59480324074</v>
      </c>
    </row>
    <row r="2155">
      <c r="A2155" s="93">
        <v>2022.0</v>
      </c>
      <c r="B2155" s="92" t="s">
        <v>18786</v>
      </c>
      <c r="C2155" s="92" t="s">
        <v>19293</v>
      </c>
      <c r="D2155" s="92" t="s">
        <v>18787</v>
      </c>
      <c r="E2155" s="94">
        <v>45464.59172453704</v>
      </c>
      <c r="F2155" s="94">
        <v>45464.59172453704</v>
      </c>
    </row>
    <row r="2156">
      <c r="A2156" s="93">
        <v>1946.0</v>
      </c>
      <c r="B2156" s="92" t="s">
        <v>17792</v>
      </c>
      <c r="C2156" s="92" t="s">
        <v>19294</v>
      </c>
      <c r="D2156" s="92" t="s">
        <v>16044</v>
      </c>
      <c r="E2156" s="94">
        <v>45359.012337962966</v>
      </c>
      <c r="F2156" s="94">
        <v>45463.76534722222</v>
      </c>
    </row>
    <row r="2157">
      <c r="A2157" s="93">
        <v>2020.0</v>
      </c>
      <c r="B2157" s="92" t="s">
        <v>17777</v>
      </c>
      <c r="C2157" s="92" t="s">
        <v>19295</v>
      </c>
      <c r="D2157" s="92" t="s">
        <v>16044</v>
      </c>
      <c r="E2157" s="94">
        <v>45461.66033564815</v>
      </c>
      <c r="F2157" s="94">
        <v>45461.66045138889</v>
      </c>
    </row>
    <row r="2158">
      <c r="A2158" s="93">
        <v>2018.0</v>
      </c>
      <c r="B2158" s="92" t="s">
        <v>17793</v>
      </c>
      <c r="C2158" s="92" t="s">
        <v>19296</v>
      </c>
      <c r="D2158" s="92" t="s">
        <v>16044</v>
      </c>
      <c r="E2158" s="94">
        <v>45454.42648148148</v>
      </c>
      <c r="F2158" s="94">
        <v>45454.42690972222</v>
      </c>
    </row>
    <row r="2159">
      <c r="A2159" s="93">
        <v>2016.0</v>
      </c>
      <c r="B2159" s="92" t="s">
        <v>18786</v>
      </c>
      <c r="C2159" s="92" t="s">
        <v>19297</v>
      </c>
      <c r="D2159" s="92" t="s">
        <v>18787</v>
      </c>
      <c r="E2159" s="94">
        <v>45450.90064814815</v>
      </c>
      <c r="F2159" s="94">
        <v>45450.90064814815</v>
      </c>
    </row>
    <row r="2160">
      <c r="A2160" s="93">
        <v>2014.0</v>
      </c>
      <c r="B2160" s="92" t="s">
        <v>18786</v>
      </c>
      <c r="C2160" s="92" t="s">
        <v>19298</v>
      </c>
      <c r="D2160" s="92" t="s">
        <v>18787</v>
      </c>
      <c r="E2160" s="94">
        <v>45446.68261574074</v>
      </c>
      <c r="F2160" s="94">
        <v>45446.68261574074</v>
      </c>
    </row>
    <row r="2161">
      <c r="A2161" s="93">
        <v>2012.0</v>
      </c>
      <c r="B2161" s="92" t="s">
        <v>17794</v>
      </c>
      <c r="C2161" s="92" t="s">
        <v>19299</v>
      </c>
      <c r="D2161" s="92" t="s">
        <v>16044</v>
      </c>
      <c r="E2161" s="94">
        <v>45446.616898148146</v>
      </c>
      <c r="F2161" s="94">
        <v>45446.622777777775</v>
      </c>
    </row>
    <row r="2162">
      <c r="A2162" s="93">
        <v>2011.0</v>
      </c>
      <c r="B2162" s="92" t="s">
        <v>19300</v>
      </c>
      <c r="C2162" s="92" t="s">
        <v>19301</v>
      </c>
      <c r="D2162" s="92" t="s">
        <v>18829</v>
      </c>
      <c r="E2162" s="94">
        <v>45442.55181712963</v>
      </c>
      <c r="F2162" s="94">
        <v>45442.55421296296</v>
      </c>
    </row>
    <row r="2163">
      <c r="A2163" s="93">
        <v>2004.0</v>
      </c>
      <c r="B2163" s="92" t="s">
        <v>19302</v>
      </c>
      <c r="C2163" s="92" t="s">
        <v>13020</v>
      </c>
      <c r="D2163" s="92" t="s">
        <v>16044</v>
      </c>
      <c r="E2163" s="94">
        <v>45419.41074074074</v>
      </c>
      <c r="F2163" s="94">
        <v>45441.513449074075</v>
      </c>
    </row>
    <row r="2164">
      <c r="A2164" s="93">
        <v>2009.0</v>
      </c>
      <c r="B2164" s="92" t="s">
        <v>19303</v>
      </c>
      <c r="C2164" s="92" t="s">
        <v>19304</v>
      </c>
      <c r="D2164" s="92" t="s">
        <v>16044</v>
      </c>
      <c r="E2164" s="94">
        <v>45440.414351851854</v>
      </c>
      <c r="F2164" s="94">
        <v>45440.419490740744</v>
      </c>
    </row>
    <row r="2165">
      <c r="A2165" s="93">
        <v>2008.0</v>
      </c>
      <c r="B2165" s="92" t="s">
        <v>18786</v>
      </c>
      <c r="C2165" s="92" t="s">
        <v>19305</v>
      </c>
      <c r="D2165" s="92" t="s">
        <v>18787</v>
      </c>
      <c r="E2165" s="94">
        <v>45434.04076388889</v>
      </c>
      <c r="F2165" s="94">
        <v>45434.04076388889</v>
      </c>
    </row>
    <row r="2166">
      <c r="A2166" s="93">
        <v>2007.0</v>
      </c>
      <c r="B2166" s="92" t="s">
        <v>19306</v>
      </c>
      <c r="C2166" s="92" t="s">
        <v>19307</v>
      </c>
      <c r="D2166" s="92" t="s">
        <v>16044</v>
      </c>
      <c r="E2166" s="94">
        <v>45433.416041666664</v>
      </c>
      <c r="F2166" s="94">
        <v>45433.41971064815</v>
      </c>
    </row>
    <row r="2167">
      <c r="A2167" s="93">
        <v>1961.0</v>
      </c>
      <c r="B2167" s="92" t="s">
        <v>17798</v>
      </c>
      <c r="C2167" s="92" t="s">
        <v>10461</v>
      </c>
      <c r="D2167" s="92" t="s">
        <v>16044</v>
      </c>
      <c r="E2167" s="94">
        <v>45378.511712962965</v>
      </c>
      <c r="F2167" s="94">
        <v>45427.39440972222</v>
      </c>
    </row>
    <row r="2168">
      <c r="A2168" s="93">
        <v>1820.0</v>
      </c>
      <c r="B2168" s="92" t="s">
        <v>19308</v>
      </c>
      <c r="C2168" s="92" t="s">
        <v>11732</v>
      </c>
      <c r="D2168" s="92" t="s">
        <v>16044</v>
      </c>
      <c r="E2168" s="94">
        <v>45233.364375</v>
      </c>
      <c r="F2168" s="94">
        <v>45426.55432870371</v>
      </c>
    </row>
    <row r="2169">
      <c r="A2169" s="93">
        <v>1814.0</v>
      </c>
      <c r="B2169" s="92" t="s">
        <v>19309</v>
      </c>
      <c r="C2169" s="92" t="s">
        <v>19310</v>
      </c>
      <c r="D2169" s="92" t="s">
        <v>16044</v>
      </c>
      <c r="E2169" s="94">
        <v>45233.35984953704</v>
      </c>
      <c r="F2169" s="94">
        <v>45426.55163194444</v>
      </c>
    </row>
    <row r="2170">
      <c r="A2170" s="93">
        <v>2006.0</v>
      </c>
      <c r="B2170" s="92" t="s">
        <v>18719</v>
      </c>
      <c r="C2170" s="92" t="s">
        <v>19311</v>
      </c>
      <c r="D2170" s="92" t="s">
        <v>18765</v>
      </c>
      <c r="E2170" s="94">
        <v>45422.66608796296</v>
      </c>
      <c r="F2170" s="94">
        <v>45422.66675925926</v>
      </c>
    </row>
    <row r="2171">
      <c r="A2171" s="93">
        <v>2005.0</v>
      </c>
      <c r="B2171" s="92" t="s">
        <v>19312</v>
      </c>
      <c r="C2171" s="92" t="s">
        <v>19313</v>
      </c>
      <c r="D2171" s="92" t="s">
        <v>16044</v>
      </c>
      <c r="E2171" s="94">
        <v>45419.41508101852</v>
      </c>
      <c r="F2171" s="94">
        <v>45419.41994212963</v>
      </c>
    </row>
    <row r="2172">
      <c r="A2172" s="93">
        <v>2003.0</v>
      </c>
      <c r="B2172" s="92" t="s">
        <v>19314</v>
      </c>
      <c r="C2172" s="92" t="s">
        <v>19315</v>
      </c>
      <c r="D2172" s="92" t="s">
        <v>16044</v>
      </c>
      <c r="E2172" s="94">
        <v>45414.416909722226</v>
      </c>
      <c r="F2172" s="94">
        <v>45415.423472222225</v>
      </c>
    </row>
    <row r="2173">
      <c r="A2173" s="93">
        <v>2002.0</v>
      </c>
      <c r="B2173" s="92" t="s">
        <v>19316</v>
      </c>
      <c r="C2173" s="92" t="s">
        <v>19317</v>
      </c>
      <c r="D2173" s="92" t="s">
        <v>16044</v>
      </c>
      <c r="E2173" s="94">
        <v>45414.41663194444</v>
      </c>
      <c r="F2173" s="94">
        <v>45415.42152777778</v>
      </c>
    </row>
    <row r="2174">
      <c r="A2174" s="93">
        <v>2001.0</v>
      </c>
      <c r="B2174" s="92" t="s">
        <v>19318</v>
      </c>
      <c r="C2174" s="92" t="s">
        <v>9689</v>
      </c>
      <c r="D2174" s="92" t="s">
        <v>16044</v>
      </c>
      <c r="E2174" s="94">
        <v>45414.4152662037</v>
      </c>
      <c r="F2174" s="94">
        <v>45415.418761574074</v>
      </c>
    </row>
    <row r="2175">
      <c r="A2175" s="93">
        <v>2000.0</v>
      </c>
      <c r="B2175" s="92" t="s">
        <v>18140</v>
      </c>
      <c r="C2175" s="92" t="s">
        <v>19319</v>
      </c>
      <c r="D2175" s="92" t="s">
        <v>18765</v>
      </c>
      <c r="E2175" s="94">
        <v>45413.54871527778</v>
      </c>
      <c r="F2175" s="94">
        <v>45413.54903935185</v>
      </c>
    </row>
    <row r="2176">
      <c r="A2176" s="93">
        <v>1999.0</v>
      </c>
      <c r="B2176" s="92" t="s">
        <v>5814</v>
      </c>
      <c r="C2176" s="92" t="s">
        <v>9931</v>
      </c>
      <c r="D2176" s="92" t="s">
        <v>16044</v>
      </c>
      <c r="E2176" s="94">
        <v>45409.92637731481</v>
      </c>
      <c r="F2176" s="94">
        <v>45411.46020833333</v>
      </c>
    </row>
    <row r="2177">
      <c r="A2177" s="93">
        <v>1998.0</v>
      </c>
      <c r="B2177" s="92" t="s">
        <v>17802</v>
      </c>
      <c r="C2177" s="92" t="s">
        <v>6610</v>
      </c>
      <c r="D2177" s="92" t="s">
        <v>16044</v>
      </c>
      <c r="E2177" s="94">
        <v>45407.79640046296</v>
      </c>
      <c r="F2177" s="94">
        <v>45407.81815972222</v>
      </c>
    </row>
    <row r="2178">
      <c r="A2178" s="93">
        <v>1997.0</v>
      </c>
      <c r="B2178" s="92" t="s">
        <v>17803</v>
      </c>
      <c r="C2178" s="92" t="s">
        <v>19320</v>
      </c>
      <c r="D2178" s="92" t="s">
        <v>16044</v>
      </c>
      <c r="E2178" s="94">
        <v>45407.58652777778</v>
      </c>
      <c r="F2178" s="94">
        <v>45407.58675925926</v>
      </c>
    </row>
    <row r="2179">
      <c r="A2179" s="93">
        <v>1996.0</v>
      </c>
      <c r="B2179" s="92" t="s">
        <v>17804</v>
      </c>
      <c r="C2179" s="92" t="s">
        <v>19321</v>
      </c>
      <c r="D2179" s="92" t="s">
        <v>16044</v>
      </c>
      <c r="E2179" s="94">
        <v>45407.58550925926</v>
      </c>
      <c r="F2179" s="94">
        <v>45407.58579861111</v>
      </c>
    </row>
    <row r="2180">
      <c r="A2180" s="93">
        <v>1993.0</v>
      </c>
      <c r="B2180" s="92" t="s">
        <v>19322</v>
      </c>
      <c r="C2180" s="92" t="s">
        <v>15196</v>
      </c>
      <c r="D2180" s="92" t="s">
        <v>16044</v>
      </c>
      <c r="E2180" s="94">
        <v>45405.45417824074</v>
      </c>
      <c r="F2180" s="94">
        <v>45407.42864583333</v>
      </c>
    </row>
    <row r="2181">
      <c r="A2181" s="93">
        <v>1995.0</v>
      </c>
      <c r="B2181" s="92" t="s">
        <v>17805</v>
      </c>
      <c r="C2181" s="92" t="s">
        <v>14984</v>
      </c>
      <c r="D2181" s="92" t="s">
        <v>16044</v>
      </c>
      <c r="E2181" s="94">
        <v>45406.44877314815</v>
      </c>
      <c r="F2181" s="94">
        <v>45406.449282407404</v>
      </c>
    </row>
    <row r="2182">
      <c r="A2182" s="93">
        <v>1994.0</v>
      </c>
      <c r="B2182" s="92" t="s">
        <v>19323</v>
      </c>
      <c r="C2182" s="92" t="s">
        <v>19324</v>
      </c>
      <c r="D2182" s="92" t="s">
        <v>18765</v>
      </c>
      <c r="E2182" s="94">
        <v>45405.83064814815</v>
      </c>
      <c r="F2182" s="94">
        <v>45405.87496527778</v>
      </c>
    </row>
    <row r="2183">
      <c r="A2183" s="93">
        <v>1992.0</v>
      </c>
      <c r="B2183" s="92" t="s">
        <v>18786</v>
      </c>
      <c r="C2183" s="92" t="s">
        <v>19325</v>
      </c>
      <c r="D2183" s="92" t="s">
        <v>18787</v>
      </c>
      <c r="E2183" s="94">
        <v>45405.42458333333</v>
      </c>
      <c r="F2183" s="94">
        <v>45405.42458333333</v>
      </c>
    </row>
    <row r="2184">
      <c r="A2184" s="93">
        <v>1991.0</v>
      </c>
      <c r="B2184" s="92" t="s">
        <v>19326</v>
      </c>
      <c r="C2184" s="92" t="s">
        <v>16072</v>
      </c>
      <c r="D2184" s="92" t="s">
        <v>16044</v>
      </c>
      <c r="E2184" s="94">
        <v>45404.454201388886</v>
      </c>
      <c r="F2184" s="94">
        <v>45404.45527777778</v>
      </c>
    </row>
    <row r="2185">
      <c r="A2185" s="93">
        <v>1987.0</v>
      </c>
      <c r="B2185" s="92" t="s">
        <v>17807</v>
      </c>
      <c r="C2185" s="92" t="s">
        <v>15992</v>
      </c>
      <c r="D2185" s="92" t="s">
        <v>16044</v>
      </c>
      <c r="E2185" s="94">
        <v>45399.44584490741</v>
      </c>
      <c r="F2185" s="94">
        <v>45399.44703703704</v>
      </c>
    </row>
    <row r="2186">
      <c r="A2186" s="93">
        <v>1990.0</v>
      </c>
      <c r="B2186" s="92" t="s">
        <v>17808</v>
      </c>
      <c r="C2186" s="92" t="s">
        <v>16056</v>
      </c>
      <c r="D2186" s="92" t="s">
        <v>16044</v>
      </c>
      <c r="E2186" s="94">
        <v>45399.44598379629</v>
      </c>
      <c r="F2186" s="94">
        <v>45399.446747685186</v>
      </c>
    </row>
    <row r="2187">
      <c r="A2187" s="93">
        <v>1985.0</v>
      </c>
      <c r="B2187" s="92" t="s">
        <v>17809</v>
      </c>
      <c r="C2187" s="92" t="s">
        <v>19327</v>
      </c>
      <c r="D2187" s="92" t="s">
        <v>16044</v>
      </c>
      <c r="E2187" s="94">
        <v>45399.44577546296</v>
      </c>
      <c r="F2187" s="94">
        <v>45399.446701388886</v>
      </c>
    </row>
    <row r="2188">
      <c r="A2188" s="93">
        <v>1978.0</v>
      </c>
      <c r="B2188" s="92" t="s">
        <v>19328</v>
      </c>
      <c r="C2188" s="92" t="s">
        <v>15973</v>
      </c>
      <c r="D2188" s="92" t="s">
        <v>16044</v>
      </c>
      <c r="E2188" s="94">
        <v>45399.44516203704</v>
      </c>
      <c r="F2188" s="94">
        <v>45399.446597222224</v>
      </c>
    </row>
    <row r="2189">
      <c r="A2189" s="93">
        <v>1988.0</v>
      </c>
      <c r="B2189" s="92" t="s">
        <v>19329</v>
      </c>
      <c r="C2189" s="92" t="s">
        <v>15994</v>
      </c>
      <c r="D2189" s="92" t="s">
        <v>16044</v>
      </c>
      <c r="E2189" s="94">
        <v>45399.445856481485</v>
      </c>
      <c r="F2189" s="94">
        <v>45399.44658564815</v>
      </c>
    </row>
    <row r="2190">
      <c r="A2190" s="93">
        <v>1979.0</v>
      </c>
      <c r="B2190" s="92" t="s">
        <v>17811</v>
      </c>
      <c r="C2190" s="92" t="s">
        <v>15975</v>
      </c>
      <c r="D2190" s="92" t="s">
        <v>16044</v>
      </c>
      <c r="E2190" s="94">
        <v>45399.445185185185</v>
      </c>
      <c r="F2190" s="94">
        <v>45399.4465625</v>
      </c>
    </row>
    <row r="2191">
      <c r="A2191" s="93">
        <v>1989.0</v>
      </c>
      <c r="B2191" s="92" t="s">
        <v>19330</v>
      </c>
      <c r="C2191" s="92" t="s">
        <v>16055</v>
      </c>
      <c r="D2191" s="92" t="s">
        <v>16044</v>
      </c>
      <c r="E2191" s="94">
        <v>45399.4458912037</v>
      </c>
      <c r="F2191" s="94">
        <v>45399.446550925924</v>
      </c>
    </row>
    <row r="2192">
      <c r="A2192" s="93">
        <v>1982.0</v>
      </c>
      <c r="B2192" s="92" t="s">
        <v>19331</v>
      </c>
      <c r="C2192" s="92" t="s">
        <v>15983</v>
      </c>
      <c r="D2192" s="92" t="s">
        <v>16044</v>
      </c>
      <c r="E2192" s="94">
        <v>45399.44537037037</v>
      </c>
      <c r="F2192" s="94">
        <v>45399.446539351855</v>
      </c>
    </row>
    <row r="2193">
      <c r="A2193" s="93">
        <v>1977.0</v>
      </c>
      <c r="B2193" s="92" t="s">
        <v>19332</v>
      </c>
      <c r="C2193" s="92" t="s">
        <v>15964</v>
      </c>
      <c r="D2193" s="92" t="s">
        <v>16044</v>
      </c>
      <c r="E2193" s="94">
        <v>45399.44510416667</v>
      </c>
      <c r="F2193" s="94">
        <v>45399.44645833333</v>
      </c>
    </row>
    <row r="2194">
      <c r="A2194" s="93">
        <v>1984.0</v>
      </c>
      <c r="B2194" s="92" t="s">
        <v>17813</v>
      </c>
      <c r="C2194" s="92" t="s">
        <v>19333</v>
      </c>
      <c r="D2194" s="92" t="s">
        <v>16044</v>
      </c>
      <c r="E2194" s="94">
        <v>45399.44574074074</v>
      </c>
      <c r="F2194" s="94">
        <v>45399.44645833333</v>
      </c>
    </row>
    <row r="2195">
      <c r="A2195" s="93">
        <v>1983.0</v>
      </c>
      <c r="B2195" s="92" t="s">
        <v>17814</v>
      </c>
      <c r="C2195" s="92" t="s">
        <v>15986</v>
      </c>
      <c r="D2195" s="92" t="s">
        <v>16044</v>
      </c>
      <c r="E2195" s="94">
        <v>45399.44550925926</v>
      </c>
      <c r="F2195" s="94">
        <v>45399.44640046296</v>
      </c>
    </row>
    <row r="2196">
      <c r="A2196" s="93">
        <v>1986.0</v>
      </c>
      <c r="B2196" s="92" t="s">
        <v>17815</v>
      </c>
      <c r="C2196" s="92" t="s">
        <v>15990</v>
      </c>
      <c r="D2196" s="92" t="s">
        <v>16044</v>
      </c>
      <c r="E2196" s="94">
        <v>45399.44579861111</v>
      </c>
      <c r="F2196" s="94">
        <v>45399.446377314816</v>
      </c>
    </row>
    <row r="2197">
      <c r="A2197" s="93">
        <v>1980.0</v>
      </c>
      <c r="B2197" s="92" t="s">
        <v>19334</v>
      </c>
      <c r="C2197" s="92" t="s">
        <v>15978</v>
      </c>
      <c r="D2197" s="92" t="s">
        <v>16044</v>
      </c>
      <c r="E2197" s="94">
        <v>45399.4452662037</v>
      </c>
      <c r="F2197" s="94">
        <v>45399.44633101852</v>
      </c>
    </row>
    <row r="2198">
      <c r="A2198" s="93">
        <v>1981.0</v>
      </c>
      <c r="B2198" s="92" t="s">
        <v>19335</v>
      </c>
      <c r="C2198" s="92" t="s">
        <v>15981</v>
      </c>
      <c r="D2198" s="92" t="s">
        <v>16044</v>
      </c>
      <c r="E2198" s="94">
        <v>45399.4453125</v>
      </c>
      <c r="F2198" s="94">
        <v>45399.445752314816</v>
      </c>
    </row>
    <row r="2199">
      <c r="A2199" s="93">
        <v>1976.0</v>
      </c>
      <c r="B2199" s="92" t="s">
        <v>17816</v>
      </c>
      <c r="C2199" s="92" t="s">
        <v>13042</v>
      </c>
      <c r="D2199" s="92" t="s">
        <v>16044</v>
      </c>
      <c r="E2199" s="94">
        <v>45395.43848379629</v>
      </c>
      <c r="F2199" s="94">
        <v>45395.45611111111</v>
      </c>
    </row>
    <row r="2200">
      <c r="A2200" s="93">
        <v>1975.0</v>
      </c>
      <c r="B2200" s="92" t="s">
        <v>19336</v>
      </c>
      <c r="C2200" s="92" t="s">
        <v>11015</v>
      </c>
      <c r="D2200" s="92" t="s">
        <v>16044</v>
      </c>
      <c r="E2200" s="94">
        <v>45391.42123842592</v>
      </c>
      <c r="F2200" s="94">
        <v>45394.40851851852</v>
      </c>
    </row>
    <row r="2201">
      <c r="A2201" s="93">
        <v>1974.0</v>
      </c>
      <c r="B2201" s="92" t="s">
        <v>17818</v>
      </c>
      <c r="C2201" s="92" t="s">
        <v>19337</v>
      </c>
      <c r="D2201" s="92" t="s">
        <v>16044</v>
      </c>
      <c r="E2201" s="94">
        <v>45386.56527777778</v>
      </c>
      <c r="F2201" s="94">
        <v>45386.565416666665</v>
      </c>
    </row>
    <row r="2202">
      <c r="A2202" s="93">
        <v>1972.0</v>
      </c>
      <c r="B2202" s="92" t="s">
        <v>17819</v>
      </c>
      <c r="C2202" s="92" t="s">
        <v>11775</v>
      </c>
      <c r="D2202" s="92" t="s">
        <v>16044</v>
      </c>
      <c r="E2202" s="94">
        <v>45385.50622685185</v>
      </c>
      <c r="F2202" s="94">
        <v>45385.52111111111</v>
      </c>
    </row>
    <row r="2203">
      <c r="A2203" s="93">
        <v>1964.0</v>
      </c>
      <c r="B2203" s="92" t="s">
        <v>19338</v>
      </c>
      <c r="C2203" s="92" t="s">
        <v>12960</v>
      </c>
      <c r="D2203" s="92" t="s">
        <v>16044</v>
      </c>
      <c r="E2203" s="94">
        <v>45378.51482638889</v>
      </c>
      <c r="F2203" s="94">
        <v>45385.51084490741</v>
      </c>
    </row>
    <row r="2204">
      <c r="A2204" s="93">
        <v>1971.0</v>
      </c>
      <c r="B2204" s="92" t="s">
        <v>19339</v>
      </c>
      <c r="C2204" s="92" t="s">
        <v>14953</v>
      </c>
      <c r="D2204" s="92" t="s">
        <v>16044</v>
      </c>
      <c r="E2204" s="94">
        <v>45385.420902777776</v>
      </c>
      <c r="F2204" s="94">
        <v>45385.4246875</v>
      </c>
    </row>
    <row r="2205">
      <c r="A2205" s="93">
        <v>1970.0</v>
      </c>
      <c r="B2205" s="92" t="s">
        <v>17821</v>
      </c>
      <c r="C2205" s="92" t="s">
        <v>13017</v>
      </c>
      <c r="D2205" s="92" t="s">
        <v>16044</v>
      </c>
      <c r="E2205" s="94">
        <v>45384.41855324074</v>
      </c>
      <c r="F2205" s="94">
        <v>45384.428402777776</v>
      </c>
    </row>
    <row r="2206">
      <c r="A2206" s="93">
        <v>1969.0</v>
      </c>
      <c r="B2206" s="92" t="s">
        <v>19340</v>
      </c>
      <c r="C2206" s="92" t="s">
        <v>13001</v>
      </c>
      <c r="D2206" s="92" t="s">
        <v>16044</v>
      </c>
      <c r="E2206" s="94">
        <v>45384.41280092593</v>
      </c>
      <c r="F2206" s="94">
        <v>45384.41395833333</v>
      </c>
    </row>
    <row r="2207">
      <c r="A2207" s="93">
        <v>1957.0</v>
      </c>
      <c r="B2207" s="92" t="s">
        <v>19341</v>
      </c>
      <c r="C2207" s="92" t="s">
        <v>13049</v>
      </c>
      <c r="D2207" s="92" t="s">
        <v>16044</v>
      </c>
      <c r="E2207" s="94">
        <v>45377.42204861111</v>
      </c>
      <c r="F2207" s="94">
        <v>45378.52788194444</v>
      </c>
    </row>
    <row r="2208">
      <c r="A2208" s="93">
        <v>1962.0</v>
      </c>
      <c r="B2208" s="92" t="s">
        <v>17529</v>
      </c>
      <c r="C2208" s="92" t="s">
        <v>19342</v>
      </c>
      <c r="D2208" s="92" t="s">
        <v>16044</v>
      </c>
      <c r="E2208" s="94">
        <v>45378.51284722222</v>
      </c>
      <c r="F2208" s="94">
        <v>45378.51503472222</v>
      </c>
    </row>
    <row r="2209">
      <c r="A2209" s="93">
        <v>1959.0</v>
      </c>
      <c r="B2209" s="92" t="s">
        <v>16315</v>
      </c>
      <c r="C2209" s="92" t="s">
        <v>19343</v>
      </c>
      <c r="D2209" s="92" t="s">
        <v>18765</v>
      </c>
      <c r="E2209" s="94">
        <v>45377.773125</v>
      </c>
      <c r="F2209" s="94">
        <v>45377.785787037035</v>
      </c>
    </row>
    <row r="2210">
      <c r="A2210" s="93">
        <v>1953.0</v>
      </c>
      <c r="B2210" s="92" t="s">
        <v>19338</v>
      </c>
      <c r="C2210" s="92" t="s">
        <v>19344</v>
      </c>
      <c r="D2210" s="92" t="s">
        <v>16044</v>
      </c>
      <c r="E2210" s="94">
        <v>45377.41881944444</v>
      </c>
      <c r="F2210" s="94">
        <v>45377.42074074074</v>
      </c>
    </row>
    <row r="2211">
      <c r="A2211" s="93">
        <v>1951.0</v>
      </c>
      <c r="B2211" s="92" t="s">
        <v>18725</v>
      </c>
      <c r="C2211" s="92" t="s">
        <v>19345</v>
      </c>
      <c r="D2211" s="92" t="s">
        <v>18765</v>
      </c>
      <c r="E2211" s="94">
        <v>45376.74167824074</v>
      </c>
      <c r="F2211" s="94">
        <v>45376.741944444446</v>
      </c>
    </row>
    <row r="2212">
      <c r="A2212" s="93">
        <v>1950.0</v>
      </c>
      <c r="B2212" s="92" t="s">
        <v>18786</v>
      </c>
      <c r="C2212" s="92" t="s">
        <v>19346</v>
      </c>
      <c r="D2212" s="92" t="s">
        <v>18787</v>
      </c>
      <c r="E2212" s="94">
        <v>45374.50340277778</v>
      </c>
      <c r="F2212" s="94">
        <v>45374.50340277778</v>
      </c>
    </row>
    <row r="2213">
      <c r="A2213" s="93">
        <v>1948.0</v>
      </c>
      <c r="B2213" s="92" t="s">
        <v>17823</v>
      </c>
      <c r="C2213" s="92" t="s">
        <v>19347</v>
      </c>
      <c r="D2213" s="92" t="s">
        <v>16044</v>
      </c>
      <c r="E2213" s="94">
        <v>45369.61614583333</v>
      </c>
      <c r="F2213" s="94">
        <v>45369.616377314815</v>
      </c>
    </row>
    <row r="2214">
      <c r="A2214" s="93">
        <v>1947.0</v>
      </c>
      <c r="B2214" s="92" t="s">
        <v>18726</v>
      </c>
      <c r="C2214" s="92" t="s">
        <v>19348</v>
      </c>
      <c r="D2214" s="92" t="s">
        <v>18765</v>
      </c>
      <c r="E2214" s="94">
        <v>45365.49165509259</v>
      </c>
      <c r="F2214" s="94">
        <v>45365.492314814815</v>
      </c>
    </row>
    <row r="2215">
      <c r="A2215" s="93">
        <v>1945.0</v>
      </c>
      <c r="B2215" s="92" t="s">
        <v>19349</v>
      </c>
      <c r="C2215" s="92" t="s">
        <v>19350</v>
      </c>
      <c r="D2215" s="92" t="s">
        <v>18877</v>
      </c>
      <c r="E2215" s="94">
        <v>45356.61046296296</v>
      </c>
      <c r="F2215" s="94">
        <v>45356.61046296296</v>
      </c>
    </row>
    <row r="2216">
      <c r="A2216" s="93">
        <v>1944.0</v>
      </c>
      <c r="B2216" s="92" t="s">
        <v>18727</v>
      </c>
      <c r="C2216" s="92" t="s">
        <v>19351</v>
      </c>
      <c r="D2216" s="92" t="s">
        <v>18765</v>
      </c>
      <c r="E2216" s="94">
        <v>45356.60697916667</v>
      </c>
      <c r="F2216" s="94">
        <v>45356.60697916667</v>
      </c>
    </row>
    <row r="2217">
      <c r="A2217" s="93">
        <v>1923.0</v>
      </c>
      <c r="B2217" s="92" t="s">
        <v>19352</v>
      </c>
      <c r="C2217" s="92" t="s">
        <v>13583</v>
      </c>
      <c r="D2217" s="92" t="s">
        <v>16044</v>
      </c>
      <c r="E2217" s="94">
        <v>45313.50728009259</v>
      </c>
      <c r="F2217" s="94">
        <v>45355.95297453704</v>
      </c>
    </row>
    <row r="2218">
      <c r="A2218" s="93">
        <v>1932.0</v>
      </c>
      <c r="B2218" s="92" t="s">
        <v>19353</v>
      </c>
      <c r="C2218" s="92" t="s">
        <v>9473</v>
      </c>
      <c r="D2218" s="92" t="s">
        <v>16044</v>
      </c>
      <c r="E2218" s="94">
        <v>45317.40844907407</v>
      </c>
      <c r="F2218" s="94">
        <v>45355.9525462963</v>
      </c>
    </row>
    <row r="2219">
      <c r="A2219" s="93">
        <v>1927.0</v>
      </c>
      <c r="B2219" s="92" t="s">
        <v>19354</v>
      </c>
      <c r="C2219" s="92" t="s">
        <v>11616</v>
      </c>
      <c r="D2219" s="92" t="s">
        <v>16044</v>
      </c>
      <c r="E2219" s="94">
        <v>45313.57974537037</v>
      </c>
      <c r="F2219" s="94">
        <v>45355.951828703706</v>
      </c>
    </row>
    <row r="2220">
      <c r="A2220" s="93">
        <v>1928.0</v>
      </c>
      <c r="B2220" s="92" t="s">
        <v>19355</v>
      </c>
      <c r="C2220" s="92" t="s">
        <v>12063</v>
      </c>
      <c r="D2220" s="92" t="s">
        <v>16044</v>
      </c>
      <c r="E2220" s="94">
        <v>45313.59339120371</v>
      </c>
      <c r="F2220" s="94">
        <v>45355.95149305555</v>
      </c>
    </row>
    <row r="2221">
      <c r="A2221" s="93">
        <v>1919.0</v>
      </c>
      <c r="B2221" s="92" t="s">
        <v>17826</v>
      </c>
      <c r="C2221" s="92" t="s">
        <v>5875</v>
      </c>
      <c r="D2221" s="92" t="s">
        <v>16044</v>
      </c>
      <c r="E2221" s="94">
        <v>45310.432488425926</v>
      </c>
      <c r="F2221" s="94">
        <v>45355.943402777775</v>
      </c>
    </row>
    <row r="2222">
      <c r="A2222" s="93">
        <v>1912.0</v>
      </c>
      <c r="B2222" s="92" t="s">
        <v>19356</v>
      </c>
      <c r="C2222" s="92" t="s">
        <v>12464</v>
      </c>
      <c r="D2222" s="92" t="s">
        <v>16044</v>
      </c>
      <c r="E2222" s="94">
        <v>45302.5466087963</v>
      </c>
      <c r="F2222" s="94">
        <v>45355.9428125</v>
      </c>
    </row>
    <row r="2223">
      <c r="A2223" s="93">
        <v>1917.0</v>
      </c>
      <c r="B2223" s="92" t="s">
        <v>19357</v>
      </c>
      <c r="C2223" s="92" t="s">
        <v>6951</v>
      </c>
      <c r="D2223" s="92" t="s">
        <v>16044</v>
      </c>
      <c r="E2223" s="94">
        <v>45310.42159722222</v>
      </c>
      <c r="F2223" s="94">
        <v>45355.94201388889</v>
      </c>
    </row>
    <row r="2224">
      <c r="A2224" s="93">
        <v>1920.0</v>
      </c>
      <c r="B2224" s="92" t="s">
        <v>17829</v>
      </c>
      <c r="C2224" s="92" t="s">
        <v>12816</v>
      </c>
      <c r="D2224" s="92" t="s">
        <v>16044</v>
      </c>
      <c r="E2224" s="94">
        <v>45310.438043981485</v>
      </c>
      <c r="F2224" s="94">
        <v>45355.94167824074</v>
      </c>
    </row>
    <row r="2225">
      <c r="A2225" s="93">
        <v>1886.0</v>
      </c>
      <c r="B2225" s="92" t="s">
        <v>19358</v>
      </c>
      <c r="C2225" s="92" t="s">
        <v>5804</v>
      </c>
      <c r="D2225" s="92" t="s">
        <v>16044</v>
      </c>
      <c r="E2225" s="94">
        <v>45281.636342592596</v>
      </c>
      <c r="F2225" s="94">
        <v>45355.941400462965</v>
      </c>
    </row>
    <row r="2226">
      <c r="A2226" s="93">
        <v>1896.0</v>
      </c>
      <c r="B2226" s="92" t="s">
        <v>17831</v>
      </c>
      <c r="C2226" s="92" t="s">
        <v>7391</v>
      </c>
      <c r="D2226" s="92" t="s">
        <v>16044</v>
      </c>
      <c r="E2226" s="94">
        <v>45295.50980324074</v>
      </c>
      <c r="F2226" s="94">
        <v>45355.93914351852</v>
      </c>
    </row>
    <row r="2227">
      <c r="A2227" s="93">
        <v>1943.0</v>
      </c>
      <c r="B2227" s="92" t="s">
        <v>19359</v>
      </c>
      <c r="C2227" s="92" t="s">
        <v>19360</v>
      </c>
      <c r="D2227" s="92" t="s">
        <v>18877</v>
      </c>
      <c r="E2227" s="94">
        <v>45352.58278935185</v>
      </c>
      <c r="F2227" s="94">
        <v>45352.58290509259</v>
      </c>
    </row>
    <row r="2228">
      <c r="A2228" s="93">
        <v>1942.0</v>
      </c>
      <c r="B2228" s="92" t="s">
        <v>19359</v>
      </c>
      <c r="C2228" s="92" t="s">
        <v>19361</v>
      </c>
      <c r="D2228" s="92" t="s">
        <v>18877</v>
      </c>
      <c r="E2228" s="94">
        <v>45352.58222222222</v>
      </c>
      <c r="F2228" s="94">
        <v>45352.58230324074</v>
      </c>
    </row>
    <row r="2229">
      <c r="A2229" s="93">
        <v>1940.0</v>
      </c>
      <c r="B2229" s="92" t="s">
        <v>18728</v>
      </c>
      <c r="C2229" s="92" t="s">
        <v>19362</v>
      </c>
      <c r="D2229" s="92" t="s">
        <v>18765</v>
      </c>
      <c r="E2229" s="94">
        <v>45346.457870370374</v>
      </c>
      <c r="F2229" s="94">
        <v>45346.45805555556</v>
      </c>
    </row>
    <row r="2230">
      <c r="A2230" s="93">
        <v>1937.0</v>
      </c>
      <c r="B2230" s="92" t="s">
        <v>19363</v>
      </c>
      <c r="C2230" s="92" t="s">
        <v>8962</v>
      </c>
      <c r="D2230" s="92" t="s">
        <v>16044</v>
      </c>
      <c r="E2230" s="94">
        <v>45322.65655092592</v>
      </c>
      <c r="F2230" s="94">
        <v>45322.667974537035</v>
      </c>
    </row>
    <row r="2231">
      <c r="A2231" s="93">
        <v>1933.0</v>
      </c>
      <c r="B2231" s="92" t="s">
        <v>19364</v>
      </c>
      <c r="C2231" s="92" t="s">
        <v>9789</v>
      </c>
      <c r="D2231" s="92" t="s">
        <v>16044</v>
      </c>
      <c r="E2231" s="94">
        <v>45320.54717592592</v>
      </c>
      <c r="F2231" s="94">
        <v>45322.582453703704</v>
      </c>
    </row>
    <row r="2232">
      <c r="A2232" s="93">
        <v>1935.0</v>
      </c>
      <c r="B2232" s="92" t="s">
        <v>19365</v>
      </c>
      <c r="C2232" s="92" t="s">
        <v>8926</v>
      </c>
      <c r="D2232" s="92" t="s">
        <v>16044</v>
      </c>
      <c r="E2232" s="94">
        <v>45321.587118055555</v>
      </c>
      <c r="F2232" s="94">
        <v>45321.60392361111</v>
      </c>
    </row>
    <row r="2233">
      <c r="A2233" s="93">
        <v>1936.0</v>
      </c>
      <c r="B2233" s="92" t="s">
        <v>18786</v>
      </c>
      <c r="C2233" s="92" t="s">
        <v>19366</v>
      </c>
      <c r="D2233" s="92" t="s">
        <v>18787</v>
      </c>
      <c r="E2233" s="94">
        <v>45321.60025462963</v>
      </c>
      <c r="F2233" s="94">
        <v>45321.60025462963</v>
      </c>
    </row>
    <row r="2234">
      <c r="A2234" s="93">
        <v>1934.0</v>
      </c>
      <c r="B2234" s="92" t="s">
        <v>19367</v>
      </c>
      <c r="C2234" s="92" t="s">
        <v>5859</v>
      </c>
      <c r="D2234" s="92" t="s">
        <v>16044</v>
      </c>
      <c r="E2234" s="94">
        <v>45321.40767361111</v>
      </c>
      <c r="F2234" s="94">
        <v>45321.43709490741</v>
      </c>
    </row>
    <row r="2235">
      <c r="A2235" s="93">
        <v>877.0</v>
      </c>
      <c r="B2235" s="92" t="s">
        <v>17950</v>
      </c>
      <c r="C2235" s="92" t="s">
        <v>10633</v>
      </c>
      <c r="D2235" s="92" t="s">
        <v>16044</v>
      </c>
      <c r="E2235" s="94">
        <v>45113.54708333333</v>
      </c>
      <c r="F2235" s="94">
        <v>45316.001388888886</v>
      </c>
    </row>
    <row r="2236">
      <c r="A2236" s="93">
        <v>1918.0</v>
      </c>
      <c r="B2236" s="92" t="s">
        <v>19368</v>
      </c>
      <c r="C2236" s="92" t="s">
        <v>5717</v>
      </c>
      <c r="D2236" s="92" t="s">
        <v>16044</v>
      </c>
      <c r="E2236" s="94">
        <v>45310.42537037037</v>
      </c>
      <c r="F2236" s="94">
        <v>45315.41887731481</v>
      </c>
    </row>
    <row r="2237">
      <c r="A2237" s="93">
        <v>1930.0</v>
      </c>
      <c r="B2237" s="92" t="s">
        <v>19369</v>
      </c>
      <c r="C2237" s="92" t="s">
        <v>19370</v>
      </c>
      <c r="D2237" s="92" t="s">
        <v>18765</v>
      </c>
      <c r="E2237" s="94">
        <v>45314.61277777778</v>
      </c>
      <c r="F2237" s="94">
        <v>45314.613171296296</v>
      </c>
    </row>
    <row r="2238">
      <c r="A2238" s="93">
        <v>1884.0</v>
      </c>
      <c r="B2238" s="92" t="s">
        <v>19371</v>
      </c>
      <c r="C2238" s="92" t="s">
        <v>12268</v>
      </c>
      <c r="D2238" s="92" t="s">
        <v>16044</v>
      </c>
      <c r="E2238" s="94">
        <v>45281.51006944444</v>
      </c>
      <c r="F2238" s="94">
        <v>45314.39931712963</v>
      </c>
    </row>
    <row r="2239">
      <c r="A2239" s="93">
        <v>1926.0</v>
      </c>
      <c r="B2239" s="92" t="s">
        <v>17835</v>
      </c>
      <c r="C2239" s="92" t="s">
        <v>9126</v>
      </c>
      <c r="D2239" s="92" t="s">
        <v>16044</v>
      </c>
      <c r="E2239" s="94">
        <v>45313.5759837963</v>
      </c>
      <c r="F2239" s="94">
        <v>45313.59716435185</v>
      </c>
    </row>
    <row r="2240">
      <c r="A2240" s="93">
        <v>1898.0</v>
      </c>
      <c r="B2240" s="92" t="s">
        <v>19372</v>
      </c>
      <c r="C2240" s="92" t="s">
        <v>8991</v>
      </c>
      <c r="D2240" s="92" t="s">
        <v>16044</v>
      </c>
      <c r="E2240" s="94">
        <v>45295.52333333333</v>
      </c>
      <c r="F2240" s="94">
        <v>45313.579675925925</v>
      </c>
    </row>
    <row r="2241">
      <c r="A2241" s="93">
        <v>1916.0</v>
      </c>
      <c r="B2241" s="92" t="s">
        <v>19373</v>
      </c>
      <c r="C2241" s="92" t="s">
        <v>14408</v>
      </c>
      <c r="D2241" s="92" t="s">
        <v>16044</v>
      </c>
      <c r="E2241" s="94">
        <v>45309.66887731481</v>
      </c>
      <c r="F2241" s="94">
        <v>45313.55298611111</v>
      </c>
    </row>
    <row r="2242">
      <c r="A2242" s="93">
        <v>1924.0</v>
      </c>
      <c r="B2242" s="92" t="s">
        <v>19374</v>
      </c>
      <c r="C2242" s="92" t="s">
        <v>12914</v>
      </c>
      <c r="D2242" s="92" t="s">
        <v>16044</v>
      </c>
      <c r="E2242" s="94">
        <v>45313.507685185185</v>
      </c>
      <c r="F2242" s="94">
        <v>45313.54251157407</v>
      </c>
    </row>
    <row r="2243">
      <c r="A2243" s="93">
        <v>1925.0</v>
      </c>
      <c r="B2243" s="92" t="s">
        <v>19375</v>
      </c>
      <c r="C2243" s="92" t="s">
        <v>8840</v>
      </c>
      <c r="D2243" s="92" t="s">
        <v>16044</v>
      </c>
      <c r="E2243" s="94">
        <v>45313.50846064815</v>
      </c>
      <c r="F2243" s="94">
        <v>45313.53319444445</v>
      </c>
    </row>
    <row r="2244">
      <c r="A2244" s="93">
        <v>1921.0</v>
      </c>
      <c r="B2244" s="92" t="s">
        <v>19376</v>
      </c>
      <c r="C2244" s="92" t="s">
        <v>9609</v>
      </c>
      <c r="D2244" s="92" t="s">
        <v>16044</v>
      </c>
      <c r="E2244" s="94">
        <v>45310.568020833336</v>
      </c>
      <c r="F2244" s="94">
        <v>45310.59318287037</v>
      </c>
    </row>
    <row r="2245">
      <c r="A2245" s="93">
        <v>1915.0</v>
      </c>
      <c r="B2245" s="92" t="s">
        <v>19377</v>
      </c>
      <c r="C2245" s="92" t="s">
        <v>9052</v>
      </c>
      <c r="D2245" s="92" t="s">
        <v>16044</v>
      </c>
      <c r="E2245" s="94">
        <v>45309.5071875</v>
      </c>
      <c r="F2245" s="94">
        <v>45309.54094907407</v>
      </c>
    </row>
    <row r="2246">
      <c r="A2246" s="93">
        <v>1914.0</v>
      </c>
      <c r="B2246" s="92" t="s">
        <v>19378</v>
      </c>
      <c r="C2246" s="92" t="s">
        <v>9378</v>
      </c>
      <c r="D2246" s="92" t="s">
        <v>16044</v>
      </c>
      <c r="E2246" s="94">
        <v>45309.45153935185</v>
      </c>
      <c r="F2246" s="94">
        <v>45309.4884375</v>
      </c>
    </row>
    <row r="2247">
      <c r="A2247" s="93">
        <v>1908.0</v>
      </c>
      <c r="B2247" s="92" t="s">
        <v>17838</v>
      </c>
      <c r="C2247" s="92" t="s">
        <v>11538</v>
      </c>
      <c r="D2247" s="92" t="s">
        <v>16044</v>
      </c>
      <c r="E2247" s="94">
        <v>45300.626435185186</v>
      </c>
      <c r="F2247" s="94">
        <v>45301.63978009259</v>
      </c>
    </row>
    <row r="2248">
      <c r="A2248" s="93">
        <v>1073.0</v>
      </c>
      <c r="B2248" s="92" t="s">
        <v>17839</v>
      </c>
      <c r="C2248" s="92" t="s">
        <v>8032</v>
      </c>
      <c r="D2248" s="92" t="s">
        <v>16044</v>
      </c>
      <c r="E2248" s="94">
        <v>45113.5499537037</v>
      </c>
      <c r="F2248" s="94">
        <v>45300.66376157408</v>
      </c>
    </row>
    <row r="2249">
      <c r="A2249" s="93">
        <v>1907.0</v>
      </c>
      <c r="B2249" s="92" t="s">
        <v>19379</v>
      </c>
      <c r="C2249" s="92" t="s">
        <v>9479</v>
      </c>
      <c r="D2249" s="92" t="s">
        <v>16044</v>
      </c>
      <c r="E2249" s="94">
        <v>45300.50564814815</v>
      </c>
      <c r="F2249" s="94">
        <v>45300.53188657408</v>
      </c>
    </row>
    <row r="2250">
      <c r="A2250" s="93">
        <v>1906.0</v>
      </c>
      <c r="B2250" s="92" t="s">
        <v>19380</v>
      </c>
      <c r="C2250" s="92" t="s">
        <v>9634</v>
      </c>
      <c r="D2250" s="92" t="s">
        <v>16044</v>
      </c>
      <c r="E2250" s="94">
        <v>45300.50540509259</v>
      </c>
      <c r="F2250" s="94">
        <v>45300.53184027778</v>
      </c>
    </row>
    <row r="2251">
      <c r="A2251" s="93">
        <v>1897.0</v>
      </c>
      <c r="B2251" s="92" t="s">
        <v>19381</v>
      </c>
      <c r="C2251" s="92" t="s">
        <v>9731</v>
      </c>
      <c r="D2251" s="92" t="s">
        <v>16044</v>
      </c>
      <c r="E2251" s="94">
        <v>45295.52287037037</v>
      </c>
      <c r="F2251" s="94">
        <v>45299.72521990741</v>
      </c>
    </row>
    <row r="2252">
      <c r="A2252" s="93">
        <v>1903.0</v>
      </c>
      <c r="B2252" s="92" t="s">
        <v>17842</v>
      </c>
      <c r="C2252" s="92" t="s">
        <v>8250</v>
      </c>
      <c r="D2252" s="92" t="s">
        <v>16044</v>
      </c>
      <c r="E2252" s="94">
        <v>45296.64429398148</v>
      </c>
      <c r="F2252" s="94">
        <v>45296.673993055556</v>
      </c>
    </row>
    <row r="2253">
      <c r="A2253" s="93">
        <v>1902.0</v>
      </c>
      <c r="B2253" s="92" t="s">
        <v>17843</v>
      </c>
      <c r="C2253" s="92" t="s">
        <v>8236</v>
      </c>
      <c r="D2253" s="92" t="s">
        <v>16044</v>
      </c>
      <c r="E2253" s="94">
        <v>45296.64336805556</v>
      </c>
      <c r="F2253" s="94">
        <v>45296.67381944445</v>
      </c>
    </row>
    <row r="2254">
      <c r="A2254" s="93">
        <v>1901.0</v>
      </c>
      <c r="B2254" s="92" t="s">
        <v>19382</v>
      </c>
      <c r="C2254" s="92" t="s">
        <v>11532</v>
      </c>
      <c r="D2254" s="92" t="s">
        <v>16044</v>
      </c>
      <c r="E2254" s="94">
        <v>45296.618125</v>
      </c>
      <c r="F2254" s="94">
        <v>45296.63594907407</v>
      </c>
    </row>
    <row r="2255">
      <c r="A2255" s="93">
        <v>1900.0</v>
      </c>
      <c r="B2255" s="92" t="s">
        <v>19383</v>
      </c>
      <c r="C2255" s="92" t="s">
        <v>19384</v>
      </c>
      <c r="D2255" s="92" t="s">
        <v>16044</v>
      </c>
      <c r="E2255" s="94">
        <v>45295.8996875</v>
      </c>
      <c r="F2255" s="94">
        <v>45295.9046875</v>
      </c>
    </row>
    <row r="2256">
      <c r="A2256" s="93">
        <v>1899.0</v>
      </c>
      <c r="B2256" s="92" t="s">
        <v>19383</v>
      </c>
      <c r="C2256" s="92" t="s">
        <v>19385</v>
      </c>
      <c r="D2256" s="92" t="s">
        <v>16044</v>
      </c>
      <c r="E2256" s="94">
        <v>45295.88958333333</v>
      </c>
      <c r="F2256" s="94">
        <v>45295.890023148146</v>
      </c>
    </row>
    <row r="2257">
      <c r="A2257" s="93">
        <v>1894.0</v>
      </c>
      <c r="B2257" s="92" t="s">
        <v>18730</v>
      </c>
      <c r="C2257" s="92" t="s">
        <v>19386</v>
      </c>
      <c r="D2257" s="92" t="s">
        <v>18765</v>
      </c>
      <c r="E2257" s="94">
        <v>45293.45936342593</v>
      </c>
      <c r="F2257" s="94">
        <v>45293.45949074074</v>
      </c>
    </row>
    <row r="2258">
      <c r="A2258" s="93">
        <v>1893.0</v>
      </c>
      <c r="B2258" s="92" t="s">
        <v>18786</v>
      </c>
      <c r="C2258" s="92" t="s">
        <v>19387</v>
      </c>
      <c r="D2258" s="92" t="s">
        <v>18787</v>
      </c>
      <c r="E2258" s="94">
        <v>45291.46792824074</v>
      </c>
      <c r="F2258" s="94">
        <v>45291.46792824074</v>
      </c>
    </row>
    <row r="2259">
      <c r="A2259" s="93">
        <v>1891.0</v>
      </c>
      <c r="B2259" s="92" t="s">
        <v>18786</v>
      </c>
      <c r="C2259" s="92" t="s">
        <v>19388</v>
      </c>
      <c r="D2259" s="92" t="s">
        <v>18787</v>
      </c>
      <c r="E2259" s="94">
        <v>45282.635300925926</v>
      </c>
      <c r="F2259" s="94">
        <v>45282.635300925926</v>
      </c>
    </row>
    <row r="2260">
      <c r="A2260" s="93">
        <v>1890.0</v>
      </c>
      <c r="B2260" s="92" t="s">
        <v>18786</v>
      </c>
      <c r="C2260" s="92" t="s">
        <v>19389</v>
      </c>
      <c r="D2260" s="92" t="s">
        <v>18787</v>
      </c>
      <c r="E2260" s="94">
        <v>45282.63267361111</v>
      </c>
      <c r="F2260" s="94">
        <v>45282.63267361111</v>
      </c>
    </row>
    <row r="2261">
      <c r="A2261" s="93">
        <v>1889.0</v>
      </c>
      <c r="B2261" s="92" t="s">
        <v>18787</v>
      </c>
      <c r="C2261" s="92" t="s">
        <v>19390</v>
      </c>
      <c r="D2261" s="92" t="s">
        <v>18829</v>
      </c>
      <c r="E2261" s="94">
        <v>45282.6309837963</v>
      </c>
      <c r="F2261" s="94">
        <v>45282.63234953704</v>
      </c>
    </row>
    <row r="2262">
      <c r="A2262" s="93">
        <v>1888.0</v>
      </c>
      <c r="B2262" s="92" t="s">
        <v>18786</v>
      </c>
      <c r="C2262" s="92" t="s">
        <v>19391</v>
      </c>
      <c r="D2262" s="92" t="s">
        <v>18787</v>
      </c>
      <c r="E2262" s="94">
        <v>45281.6781712963</v>
      </c>
      <c r="F2262" s="94">
        <v>45281.6781712963</v>
      </c>
    </row>
    <row r="2263">
      <c r="A2263" s="93">
        <v>1887.0</v>
      </c>
      <c r="B2263" s="92" t="s">
        <v>18786</v>
      </c>
      <c r="C2263" s="92" t="s">
        <v>45</v>
      </c>
      <c r="D2263" s="92" t="s">
        <v>18787</v>
      </c>
      <c r="E2263" s="94">
        <v>45281.65357638889</v>
      </c>
      <c r="F2263" s="94">
        <v>45281.65357638889</v>
      </c>
    </row>
    <row r="2264">
      <c r="A2264" s="93">
        <v>1885.0</v>
      </c>
      <c r="B2264" s="92" t="s">
        <v>17844</v>
      </c>
      <c r="C2264" s="92" t="s">
        <v>19392</v>
      </c>
      <c r="D2264" s="92" t="s">
        <v>16044</v>
      </c>
      <c r="E2264" s="94">
        <v>45281.604837962965</v>
      </c>
      <c r="F2264" s="94">
        <v>45281.610914351855</v>
      </c>
    </row>
    <row r="2265">
      <c r="A2265" s="93">
        <v>1883.0</v>
      </c>
      <c r="B2265" s="92" t="s">
        <v>18786</v>
      </c>
      <c r="C2265" s="92" t="s">
        <v>19393</v>
      </c>
      <c r="D2265" s="92" t="s">
        <v>18787</v>
      </c>
      <c r="E2265" s="94">
        <v>45280.834861111114</v>
      </c>
      <c r="F2265" s="94">
        <v>45280.834861111114</v>
      </c>
    </row>
    <row r="2266">
      <c r="A2266" s="93">
        <v>1873.0</v>
      </c>
      <c r="B2266" s="92" t="s">
        <v>17845</v>
      </c>
      <c r="C2266" s="92" t="s">
        <v>19394</v>
      </c>
      <c r="D2266" s="92" t="s">
        <v>16044</v>
      </c>
      <c r="E2266" s="94">
        <v>45265.75466435185</v>
      </c>
      <c r="F2266" s="94">
        <v>45280.46413194444</v>
      </c>
    </row>
    <row r="2267">
      <c r="A2267" s="93">
        <v>1882.0</v>
      </c>
      <c r="B2267" s="92" t="s">
        <v>19395</v>
      </c>
      <c r="C2267" s="92" t="s">
        <v>19396</v>
      </c>
      <c r="D2267" s="92" t="s">
        <v>18877</v>
      </c>
      <c r="E2267" s="94">
        <v>45279.66373842592</v>
      </c>
      <c r="F2267" s="94">
        <v>45279.66494212963</v>
      </c>
    </row>
    <row r="2268">
      <c r="A2268" s="93">
        <v>1881.0</v>
      </c>
      <c r="B2268" s="92" t="s">
        <v>17846</v>
      </c>
      <c r="C2268" s="92" t="s">
        <v>19397</v>
      </c>
      <c r="D2268" s="92" t="s">
        <v>16044</v>
      </c>
      <c r="E2268" s="94">
        <v>45279.55386574074</v>
      </c>
      <c r="F2268" s="94">
        <v>45279.553981481484</v>
      </c>
    </row>
    <row r="2269">
      <c r="A2269" s="93">
        <v>1880.0</v>
      </c>
      <c r="B2269" s="92" t="s">
        <v>18732</v>
      </c>
      <c r="C2269" s="92" t="s">
        <v>19398</v>
      </c>
      <c r="D2269" s="92" t="s">
        <v>18765</v>
      </c>
      <c r="E2269" s="94">
        <v>45279.000625</v>
      </c>
      <c r="F2269" s="94">
        <v>45279.0008912037</v>
      </c>
    </row>
    <row r="2270">
      <c r="A2270" s="93">
        <v>1878.0</v>
      </c>
      <c r="B2270" s="92" t="s">
        <v>19399</v>
      </c>
      <c r="C2270" s="92" t="s">
        <v>19400</v>
      </c>
      <c r="D2270" s="92" t="s">
        <v>18765</v>
      </c>
      <c r="E2270" s="94">
        <v>45276.32798611111</v>
      </c>
      <c r="F2270" s="94">
        <v>45276.3283912037</v>
      </c>
    </row>
    <row r="2271">
      <c r="A2271" s="93">
        <v>1877.0</v>
      </c>
      <c r="B2271" s="92" t="s">
        <v>18786</v>
      </c>
      <c r="C2271" s="92" t="s">
        <v>19401</v>
      </c>
      <c r="D2271" s="92" t="s">
        <v>18787</v>
      </c>
      <c r="E2271" s="94">
        <v>45274.399675925924</v>
      </c>
      <c r="F2271" s="94">
        <v>45274.399675925924</v>
      </c>
    </row>
    <row r="2272">
      <c r="A2272" s="93">
        <v>1876.0</v>
      </c>
      <c r="B2272" s="92" t="s">
        <v>18786</v>
      </c>
      <c r="C2272" s="92" t="s">
        <v>19402</v>
      </c>
      <c r="D2272" s="92" t="s">
        <v>18787</v>
      </c>
      <c r="E2272" s="94">
        <v>45266.52232638889</v>
      </c>
      <c r="F2272" s="94">
        <v>45266.52232638889</v>
      </c>
    </row>
    <row r="2273">
      <c r="A2273" s="93">
        <v>1872.0</v>
      </c>
      <c r="B2273" s="92" t="s">
        <v>18786</v>
      </c>
      <c r="C2273" s="92" t="s">
        <v>19403</v>
      </c>
      <c r="D2273" s="92" t="s">
        <v>18787</v>
      </c>
      <c r="E2273" s="94">
        <v>45265.61651620371</v>
      </c>
      <c r="F2273" s="94">
        <v>45265.61651620371</v>
      </c>
    </row>
    <row r="2274">
      <c r="A2274" s="93">
        <v>1871.0</v>
      </c>
      <c r="B2274" s="92" t="s">
        <v>18786</v>
      </c>
      <c r="C2274" s="92" t="s">
        <v>19404</v>
      </c>
      <c r="D2274" s="92" t="s">
        <v>18787</v>
      </c>
      <c r="E2274" s="94">
        <v>45261.65574074074</v>
      </c>
      <c r="F2274" s="94">
        <v>45261.65574074074</v>
      </c>
    </row>
    <row r="2275">
      <c r="A2275" s="93">
        <v>1869.0</v>
      </c>
      <c r="B2275" s="92" t="s">
        <v>17847</v>
      </c>
      <c r="C2275" s="92" t="s">
        <v>19405</v>
      </c>
      <c r="D2275" s="92" t="s">
        <v>16044</v>
      </c>
      <c r="E2275" s="94">
        <v>45259.632256944446</v>
      </c>
      <c r="F2275" s="94">
        <v>45259.63280092592</v>
      </c>
    </row>
    <row r="2276">
      <c r="A2276" s="93">
        <v>1819.0</v>
      </c>
      <c r="B2276" s="92" t="s">
        <v>19406</v>
      </c>
      <c r="C2276" s="92" t="s">
        <v>9501</v>
      </c>
      <c r="D2276" s="92" t="s">
        <v>16044</v>
      </c>
      <c r="E2276" s="94">
        <v>45233.362349537034</v>
      </c>
      <c r="F2276" s="94">
        <v>45251.57502314815</v>
      </c>
    </row>
    <row r="2277">
      <c r="A2277" s="93">
        <v>1837.0</v>
      </c>
      <c r="B2277" s="92" t="s">
        <v>19407</v>
      </c>
      <c r="C2277" s="92" t="s">
        <v>6820</v>
      </c>
      <c r="D2277" s="92" t="s">
        <v>16044</v>
      </c>
      <c r="E2277" s="94">
        <v>45238.42736111111</v>
      </c>
      <c r="F2277" s="94">
        <v>45251.569502314815</v>
      </c>
    </row>
    <row r="2278">
      <c r="A2278" s="93">
        <v>1867.0</v>
      </c>
      <c r="B2278" s="92" t="s">
        <v>17849</v>
      </c>
      <c r="C2278" s="92" t="s">
        <v>9020</v>
      </c>
      <c r="D2278" s="92" t="s">
        <v>16044</v>
      </c>
      <c r="E2278" s="94">
        <v>45250.46991898148</v>
      </c>
      <c r="F2278" s="94">
        <v>45250.68040509259</v>
      </c>
    </row>
    <row r="2279">
      <c r="A2279" s="93">
        <v>1866.0</v>
      </c>
      <c r="B2279" s="92" t="s">
        <v>17850</v>
      </c>
      <c r="C2279" s="92" t="s">
        <v>19408</v>
      </c>
      <c r="D2279" s="92" t="s">
        <v>16044</v>
      </c>
      <c r="E2279" s="94">
        <v>45246.453576388885</v>
      </c>
      <c r="F2279" s="94">
        <v>45246.45548611111</v>
      </c>
    </row>
    <row r="2280">
      <c r="A2280" s="93">
        <v>1844.0</v>
      </c>
      <c r="B2280" s="92" t="s">
        <v>17851</v>
      </c>
      <c r="C2280" s="92" t="s">
        <v>12309</v>
      </c>
      <c r="D2280" s="92" t="s">
        <v>16044</v>
      </c>
      <c r="E2280" s="94">
        <v>45245.396145833336</v>
      </c>
      <c r="F2280" s="94">
        <v>45245.40893518519</v>
      </c>
    </row>
    <row r="2281">
      <c r="A2281" s="93">
        <v>1865.0</v>
      </c>
      <c r="B2281" s="92" t="s">
        <v>18786</v>
      </c>
      <c r="C2281" s="92" t="s">
        <v>14136</v>
      </c>
      <c r="D2281" s="92" t="s">
        <v>18787</v>
      </c>
      <c r="E2281" s="94">
        <v>45245.40528935185</v>
      </c>
      <c r="F2281" s="94">
        <v>45245.40528935185</v>
      </c>
    </row>
    <row r="2282">
      <c r="A2282" s="93">
        <v>1843.0</v>
      </c>
      <c r="B2282" s="92" t="s">
        <v>19409</v>
      </c>
      <c r="C2282" s="92" t="s">
        <v>19410</v>
      </c>
      <c r="D2282" s="92" t="s">
        <v>16044</v>
      </c>
      <c r="E2282" s="94">
        <v>45245.39612268518</v>
      </c>
      <c r="F2282" s="94">
        <v>45245.39875</v>
      </c>
    </row>
    <row r="2283">
      <c r="A2283" s="93">
        <v>1862.0</v>
      </c>
      <c r="B2283" s="92" t="s">
        <v>18786</v>
      </c>
      <c r="C2283" s="92" t="s">
        <v>14585</v>
      </c>
      <c r="D2283" s="92" t="s">
        <v>18787</v>
      </c>
      <c r="E2283" s="94">
        <v>45245.3978125</v>
      </c>
      <c r="F2283" s="94">
        <v>45245.3978125</v>
      </c>
    </row>
    <row r="2284">
      <c r="A2284" s="93">
        <v>1861.0</v>
      </c>
      <c r="B2284" s="92" t="s">
        <v>18786</v>
      </c>
      <c r="C2284" s="92" t="s">
        <v>14141</v>
      </c>
      <c r="D2284" s="92" t="s">
        <v>18787</v>
      </c>
      <c r="E2284" s="94">
        <v>45245.39755787037</v>
      </c>
      <c r="F2284" s="94">
        <v>45245.39755787037</v>
      </c>
    </row>
    <row r="2285">
      <c r="A2285" s="93">
        <v>1859.0</v>
      </c>
      <c r="B2285" s="92" t="s">
        <v>18786</v>
      </c>
      <c r="C2285" s="92" t="s">
        <v>14427</v>
      </c>
      <c r="D2285" s="92" t="s">
        <v>18787</v>
      </c>
      <c r="E2285" s="94">
        <v>45245.39712962963</v>
      </c>
      <c r="F2285" s="94">
        <v>45245.39712962963</v>
      </c>
    </row>
    <row r="2286">
      <c r="A2286" s="93">
        <v>1858.0</v>
      </c>
      <c r="B2286" s="92" t="s">
        <v>18786</v>
      </c>
      <c r="C2286" s="92" t="s">
        <v>15668</v>
      </c>
      <c r="D2286" s="92" t="s">
        <v>18787</v>
      </c>
      <c r="E2286" s="94">
        <v>45245.397048611114</v>
      </c>
      <c r="F2286" s="94">
        <v>45245.397048611114</v>
      </c>
    </row>
    <row r="2287">
      <c r="A2287" s="93">
        <v>1857.0</v>
      </c>
      <c r="B2287" s="92" t="s">
        <v>18786</v>
      </c>
      <c r="C2287" s="92" t="s">
        <v>14592</v>
      </c>
      <c r="D2287" s="92" t="s">
        <v>18787</v>
      </c>
      <c r="E2287" s="94">
        <v>45245.39686342593</v>
      </c>
      <c r="F2287" s="94">
        <v>45245.39686342593</v>
      </c>
    </row>
    <row r="2288">
      <c r="A2288" s="93">
        <v>1853.0</v>
      </c>
      <c r="B2288" s="92" t="s">
        <v>18786</v>
      </c>
      <c r="C2288" s="92" t="s">
        <v>19411</v>
      </c>
      <c r="D2288" s="92" t="s">
        <v>18787</v>
      </c>
      <c r="E2288" s="94">
        <v>45245.39675925926</v>
      </c>
      <c r="F2288" s="94">
        <v>45245.39675925926</v>
      </c>
    </row>
    <row r="2289">
      <c r="A2289" s="93">
        <v>1852.0</v>
      </c>
      <c r="B2289" s="92" t="s">
        <v>18786</v>
      </c>
      <c r="C2289" s="92" t="s">
        <v>19412</v>
      </c>
      <c r="D2289" s="92" t="s">
        <v>18787</v>
      </c>
      <c r="E2289" s="94">
        <v>45245.39674768518</v>
      </c>
      <c r="F2289" s="94">
        <v>45245.39674768518</v>
      </c>
    </row>
    <row r="2290">
      <c r="A2290" s="93">
        <v>1849.0</v>
      </c>
      <c r="B2290" s="92" t="s">
        <v>18786</v>
      </c>
      <c r="C2290" s="92" t="s">
        <v>10399</v>
      </c>
      <c r="D2290" s="92" t="s">
        <v>18787</v>
      </c>
      <c r="E2290" s="94">
        <v>45245.396678240744</v>
      </c>
      <c r="F2290" s="94">
        <v>45245.396678240744</v>
      </c>
    </row>
    <row r="2291">
      <c r="A2291" s="93">
        <v>1847.0</v>
      </c>
      <c r="B2291" s="92" t="s">
        <v>18786</v>
      </c>
      <c r="C2291" s="92" t="s">
        <v>19413</v>
      </c>
      <c r="D2291" s="92" t="s">
        <v>18787</v>
      </c>
      <c r="E2291" s="94">
        <v>45245.39630787037</v>
      </c>
      <c r="F2291" s="94">
        <v>45245.39630787037</v>
      </c>
    </row>
    <row r="2292">
      <c r="A2292" s="93">
        <v>1842.0</v>
      </c>
      <c r="B2292" s="92" t="s">
        <v>19414</v>
      </c>
      <c r="C2292" s="92" t="s">
        <v>19415</v>
      </c>
      <c r="D2292" s="92" t="s">
        <v>18765</v>
      </c>
      <c r="E2292" s="94">
        <v>45244.43664351852</v>
      </c>
      <c r="F2292" s="94">
        <v>45244.468993055554</v>
      </c>
    </row>
    <row r="2293">
      <c r="A2293" s="93">
        <v>1839.0</v>
      </c>
      <c r="B2293" s="92" t="s">
        <v>17853</v>
      </c>
      <c r="C2293" s="92" t="s">
        <v>19416</v>
      </c>
      <c r="D2293" s="92" t="s">
        <v>16044</v>
      </c>
      <c r="E2293" s="94">
        <v>45239.38361111111</v>
      </c>
      <c r="F2293" s="94">
        <v>45239.38428240741</v>
      </c>
    </row>
    <row r="2294">
      <c r="A2294" s="93">
        <v>1838.0</v>
      </c>
      <c r="B2294" s="92" t="s">
        <v>19417</v>
      </c>
      <c r="C2294" s="92" t="s">
        <v>19418</v>
      </c>
      <c r="D2294" s="92" t="s">
        <v>18877</v>
      </c>
      <c r="E2294" s="94">
        <v>45239.38234953704</v>
      </c>
      <c r="F2294" s="94">
        <v>45239.382685185185</v>
      </c>
    </row>
    <row r="2295">
      <c r="A2295" s="93">
        <v>1791.0</v>
      </c>
      <c r="B2295" s="92" t="s">
        <v>19419</v>
      </c>
      <c r="C2295" s="92" t="s">
        <v>14511</v>
      </c>
      <c r="D2295" s="92" t="s">
        <v>16044</v>
      </c>
      <c r="E2295" s="94">
        <v>45223.78236111111</v>
      </c>
      <c r="F2295" s="94">
        <v>45238.64796296296</v>
      </c>
    </row>
    <row r="2296">
      <c r="A2296" s="93">
        <v>1803.0</v>
      </c>
      <c r="B2296" s="92" t="s">
        <v>19420</v>
      </c>
      <c r="C2296" s="92" t="s">
        <v>12223</v>
      </c>
      <c r="D2296" s="92" t="s">
        <v>16044</v>
      </c>
      <c r="E2296" s="94">
        <v>45226.599375</v>
      </c>
      <c r="F2296" s="94">
        <v>45238.39824074074</v>
      </c>
    </row>
    <row r="2297">
      <c r="A2297" s="93">
        <v>1836.0</v>
      </c>
      <c r="B2297" s="92" t="s">
        <v>18786</v>
      </c>
      <c r="C2297" s="92" t="s">
        <v>19421</v>
      </c>
      <c r="D2297" s="92" t="s">
        <v>18787</v>
      </c>
      <c r="E2297" s="94">
        <v>45236.49829861111</v>
      </c>
      <c r="F2297" s="94">
        <v>45236.49829861111</v>
      </c>
    </row>
    <row r="2298">
      <c r="A2298" s="93">
        <v>1835.0</v>
      </c>
      <c r="B2298" s="92" t="s">
        <v>18786</v>
      </c>
      <c r="C2298" s="92" t="s">
        <v>19422</v>
      </c>
      <c r="D2298" s="92" t="s">
        <v>18787</v>
      </c>
      <c r="E2298" s="94">
        <v>45236.496666666666</v>
      </c>
      <c r="F2298" s="94">
        <v>45236.496666666666</v>
      </c>
    </row>
    <row r="2299">
      <c r="A2299" s="93">
        <v>1834.0</v>
      </c>
      <c r="B2299" s="92" t="s">
        <v>17855</v>
      </c>
      <c r="C2299" s="92" t="s">
        <v>19423</v>
      </c>
      <c r="D2299" s="92" t="s">
        <v>16044</v>
      </c>
      <c r="E2299" s="94">
        <v>45236.49508101852</v>
      </c>
      <c r="F2299" s="94">
        <v>45236.4952662037</v>
      </c>
    </row>
    <row r="2300">
      <c r="A2300" s="93">
        <v>1833.0</v>
      </c>
      <c r="B2300" s="92" t="s">
        <v>18786</v>
      </c>
      <c r="C2300" s="92" t="s">
        <v>19424</v>
      </c>
      <c r="D2300" s="92" t="s">
        <v>18787</v>
      </c>
      <c r="E2300" s="94">
        <v>45236.36954861111</v>
      </c>
      <c r="F2300" s="94">
        <v>45236.36954861111</v>
      </c>
    </row>
    <row r="2301">
      <c r="A2301" s="93">
        <v>1826.0</v>
      </c>
      <c r="B2301" s="92" t="s">
        <v>19425</v>
      </c>
      <c r="C2301" s="92" t="s">
        <v>11678</v>
      </c>
      <c r="D2301" s="92" t="s">
        <v>16044</v>
      </c>
      <c r="E2301" s="94">
        <v>45233.36821759259</v>
      </c>
      <c r="F2301" s="94">
        <v>45236.36534722222</v>
      </c>
    </row>
    <row r="2302">
      <c r="A2302" s="93">
        <v>1830.0</v>
      </c>
      <c r="B2302" s="92" t="s">
        <v>18786</v>
      </c>
      <c r="C2302" s="92" t="s">
        <v>19426</v>
      </c>
      <c r="D2302" s="92" t="s">
        <v>18787</v>
      </c>
      <c r="E2302" s="94">
        <v>45234.09143518518</v>
      </c>
      <c r="F2302" s="94">
        <v>45234.09143518518</v>
      </c>
    </row>
    <row r="2303">
      <c r="A2303" s="93">
        <v>1804.0</v>
      </c>
      <c r="B2303" s="92" t="s">
        <v>19427</v>
      </c>
      <c r="C2303" s="92" t="s">
        <v>19428</v>
      </c>
      <c r="D2303" s="92" t="s">
        <v>16044</v>
      </c>
      <c r="E2303" s="94">
        <v>45233.35700231481</v>
      </c>
      <c r="F2303" s="94">
        <v>45233.35775462963</v>
      </c>
    </row>
    <row r="2304">
      <c r="A2304" s="93">
        <v>1802.0</v>
      </c>
      <c r="B2304" s="92" t="s">
        <v>18786</v>
      </c>
      <c r="C2304" s="92" t="s">
        <v>19429</v>
      </c>
      <c r="D2304" s="92" t="s">
        <v>18787</v>
      </c>
      <c r="E2304" s="94">
        <v>45226.59038194444</v>
      </c>
      <c r="F2304" s="94">
        <v>45226.59038194444</v>
      </c>
    </row>
    <row r="2305">
      <c r="A2305" s="93">
        <v>1801.0</v>
      </c>
      <c r="B2305" s="92" t="s">
        <v>17857</v>
      </c>
      <c r="C2305" s="92" t="s">
        <v>19430</v>
      </c>
      <c r="D2305" s="92" t="s">
        <v>16044</v>
      </c>
      <c r="E2305" s="94">
        <v>45225.55038194444</v>
      </c>
      <c r="F2305" s="94">
        <v>45225.56396990741</v>
      </c>
    </row>
    <row r="2306">
      <c r="A2306" s="93">
        <v>1751.0</v>
      </c>
      <c r="B2306" s="92" t="s">
        <v>17858</v>
      </c>
      <c r="C2306" s="92" t="s">
        <v>19431</v>
      </c>
      <c r="D2306" s="92" t="s">
        <v>16044</v>
      </c>
      <c r="E2306" s="94">
        <v>45194.44541666667</v>
      </c>
      <c r="F2306" s="94">
        <v>45224.660046296296</v>
      </c>
    </row>
    <row r="2307">
      <c r="A2307" s="93">
        <v>1800.0</v>
      </c>
      <c r="B2307" s="92" t="s">
        <v>17859</v>
      </c>
      <c r="C2307" s="92" t="s">
        <v>19432</v>
      </c>
      <c r="D2307" s="92" t="s">
        <v>16044</v>
      </c>
      <c r="E2307" s="94">
        <v>45224.62961805556</v>
      </c>
      <c r="F2307" s="94">
        <v>45224.63170138889</v>
      </c>
    </row>
    <row r="2308">
      <c r="A2308" s="93">
        <v>1799.0</v>
      </c>
      <c r="B2308" s="92" t="s">
        <v>19433</v>
      </c>
      <c r="C2308" s="92" t="s">
        <v>19434</v>
      </c>
      <c r="D2308" s="92" t="s">
        <v>16044</v>
      </c>
      <c r="E2308" s="94">
        <v>45224.62289351852</v>
      </c>
      <c r="F2308" s="94">
        <v>45224.62333333334</v>
      </c>
    </row>
    <row r="2309">
      <c r="A2309" s="93">
        <v>1798.0</v>
      </c>
      <c r="B2309" s="92" t="s">
        <v>18786</v>
      </c>
      <c r="C2309" s="92" t="s">
        <v>19435</v>
      </c>
      <c r="D2309" s="92" t="s">
        <v>18787</v>
      </c>
      <c r="E2309" s="94">
        <v>45224.6190162037</v>
      </c>
      <c r="F2309" s="94">
        <v>45224.6190162037</v>
      </c>
    </row>
    <row r="2310">
      <c r="A2310" s="93">
        <v>1797.0</v>
      </c>
      <c r="B2310" s="92" t="s">
        <v>18786</v>
      </c>
      <c r="C2310" s="92" t="s">
        <v>19436</v>
      </c>
      <c r="D2310" s="92" t="s">
        <v>18787</v>
      </c>
      <c r="E2310" s="94">
        <v>45224.3103587963</v>
      </c>
      <c r="F2310" s="94">
        <v>45224.3103587963</v>
      </c>
    </row>
    <row r="2311">
      <c r="A2311" s="93">
        <v>1796.0</v>
      </c>
      <c r="B2311" s="92" t="s">
        <v>18786</v>
      </c>
      <c r="C2311" s="92" t="s">
        <v>19437</v>
      </c>
      <c r="D2311" s="92" t="s">
        <v>18787</v>
      </c>
      <c r="E2311" s="94">
        <v>45224.02065972222</v>
      </c>
      <c r="F2311" s="94">
        <v>45224.02065972222</v>
      </c>
    </row>
    <row r="2312">
      <c r="A2312" s="93">
        <v>1795.0</v>
      </c>
      <c r="B2312" s="92" t="s">
        <v>17860</v>
      </c>
      <c r="C2312" s="92" t="s">
        <v>19438</v>
      </c>
      <c r="D2312" s="92" t="s">
        <v>16044</v>
      </c>
      <c r="E2312" s="94">
        <v>45223.992002314815</v>
      </c>
      <c r="F2312" s="94">
        <v>45224.01204861111</v>
      </c>
    </row>
    <row r="2313">
      <c r="A2313" s="93">
        <v>1794.0</v>
      </c>
      <c r="B2313" s="92" t="s">
        <v>17861</v>
      </c>
      <c r="C2313" s="92" t="s">
        <v>19439</v>
      </c>
      <c r="D2313" s="92" t="s">
        <v>16044</v>
      </c>
      <c r="E2313" s="94">
        <v>45223.82424768519</v>
      </c>
      <c r="F2313" s="94">
        <v>45223.98736111111</v>
      </c>
    </row>
    <row r="2314">
      <c r="A2314" s="93">
        <v>1793.0</v>
      </c>
      <c r="B2314" s="92" t="s">
        <v>17862</v>
      </c>
      <c r="C2314" s="92" t="s">
        <v>19440</v>
      </c>
      <c r="D2314" s="92" t="s">
        <v>16044</v>
      </c>
      <c r="E2314" s="94">
        <v>45223.805983796294</v>
      </c>
      <c r="F2314" s="94">
        <v>45223.80614583333</v>
      </c>
    </row>
    <row r="2315">
      <c r="A2315" s="93">
        <v>1792.0</v>
      </c>
      <c r="B2315" s="92" t="s">
        <v>18786</v>
      </c>
      <c r="C2315" s="92" t="s">
        <v>19441</v>
      </c>
      <c r="D2315" s="92" t="s">
        <v>18787</v>
      </c>
      <c r="E2315" s="94">
        <v>45223.79893518519</v>
      </c>
      <c r="F2315" s="94">
        <v>45223.79893518519</v>
      </c>
    </row>
    <row r="2316">
      <c r="A2316" s="93">
        <v>1789.0</v>
      </c>
      <c r="B2316" s="92" t="s">
        <v>17863</v>
      </c>
      <c r="C2316" s="92" t="s">
        <v>7025</v>
      </c>
      <c r="D2316" s="92" t="s">
        <v>16044</v>
      </c>
      <c r="E2316" s="94">
        <v>45223.509467592594</v>
      </c>
      <c r="F2316" s="94">
        <v>45223.52579861111</v>
      </c>
    </row>
    <row r="2317">
      <c r="A2317" s="93">
        <v>1767.0</v>
      </c>
      <c r="B2317" s="92" t="s">
        <v>17864</v>
      </c>
      <c r="C2317" s="92" t="s">
        <v>7770</v>
      </c>
      <c r="D2317" s="92" t="s">
        <v>16044</v>
      </c>
      <c r="E2317" s="94">
        <v>45204.64383101852</v>
      </c>
      <c r="F2317" s="94">
        <v>45223.51650462963</v>
      </c>
    </row>
    <row r="2318">
      <c r="A2318" s="93">
        <v>1790.0</v>
      </c>
      <c r="B2318" s="92" t="s">
        <v>18273</v>
      </c>
      <c r="C2318" s="92" t="s">
        <v>19442</v>
      </c>
      <c r="D2318" s="92" t="s">
        <v>18765</v>
      </c>
      <c r="E2318" s="94">
        <v>45223.51325231481</v>
      </c>
      <c r="F2318" s="94">
        <v>45223.51341435185</v>
      </c>
    </row>
    <row r="2319">
      <c r="A2319" s="93">
        <v>1787.0</v>
      </c>
      <c r="B2319" s="92" t="s">
        <v>17865</v>
      </c>
      <c r="C2319" s="92" t="s">
        <v>7465</v>
      </c>
      <c r="D2319" s="92" t="s">
        <v>16044</v>
      </c>
      <c r="E2319" s="94">
        <v>45219.62420138889</v>
      </c>
      <c r="F2319" s="94">
        <v>45219.6400462963</v>
      </c>
    </row>
    <row r="2320">
      <c r="A2320" s="93">
        <v>1785.0</v>
      </c>
      <c r="B2320" s="92" t="s">
        <v>17866</v>
      </c>
      <c r="C2320" s="92" t="s">
        <v>7724</v>
      </c>
      <c r="D2320" s="92" t="s">
        <v>16044</v>
      </c>
      <c r="E2320" s="94">
        <v>45218.622662037036</v>
      </c>
      <c r="F2320" s="94">
        <v>45218.64059027778</v>
      </c>
    </row>
    <row r="2321">
      <c r="A2321" s="93">
        <v>1783.0</v>
      </c>
      <c r="B2321" s="92" t="s">
        <v>19443</v>
      </c>
      <c r="C2321" s="92" t="s">
        <v>7953</v>
      </c>
      <c r="D2321" s="92" t="s">
        <v>16044</v>
      </c>
      <c r="E2321" s="94">
        <v>45218.62181712963</v>
      </c>
      <c r="F2321" s="94">
        <v>45218.63929398148</v>
      </c>
    </row>
    <row r="2322">
      <c r="A2322" s="93">
        <v>1784.0</v>
      </c>
      <c r="B2322" s="92" t="s">
        <v>17868</v>
      </c>
      <c r="C2322" s="92" t="s">
        <v>6669</v>
      </c>
      <c r="D2322" s="92" t="s">
        <v>16044</v>
      </c>
      <c r="E2322" s="94">
        <v>45218.62204861111</v>
      </c>
      <c r="F2322" s="94">
        <v>45218.638194444444</v>
      </c>
    </row>
    <row r="2323">
      <c r="A2323" s="93">
        <v>1782.0</v>
      </c>
      <c r="B2323" s="92" t="s">
        <v>17857</v>
      </c>
      <c r="C2323" s="92" t="s">
        <v>19444</v>
      </c>
      <c r="D2323" s="92" t="s">
        <v>18829</v>
      </c>
      <c r="E2323" s="94">
        <v>45215.599074074074</v>
      </c>
      <c r="F2323" s="94">
        <v>45215.60454861111</v>
      </c>
    </row>
    <row r="2324">
      <c r="A2324" s="93">
        <v>1761.0</v>
      </c>
      <c r="B2324" s="92" t="s">
        <v>19445</v>
      </c>
      <c r="C2324" s="92" t="s">
        <v>5953</v>
      </c>
      <c r="D2324" s="92" t="s">
        <v>16044</v>
      </c>
      <c r="E2324" s="94">
        <v>45204.6375462963</v>
      </c>
      <c r="F2324" s="94">
        <v>45215.40667824074</v>
      </c>
    </row>
    <row r="2325">
      <c r="A2325" s="93">
        <v>1778.0</v>
      </c>
      <c r="B2325" s="92" t="s">
        <v>17869</v>
      </c>
      <c r="C2325" s="92" t="s">
        <v>19446</v>
      </c>
      <c r="D2325" s="92" t="s">
        <v>16044</v>
      </c>
      <c r="E2325" s="94">
        <v>45211.622766203705</v>
      </c>
      <c r="F2325" s="94">
        <v>45215.40621527778</v>
      </c>
    </row>
    <row r="2326">
      <c r="A2326" s="93">
        <v>1781.0</v>
      </c>
      <c r="B2326" s="92" t="s">
        <v>18786</v>
      </c>
      <c r="C2326" s="92" t="s">
        <v>19447</v>
      </c>
      <c r="D2326" s="92" t="s">
        <v>18787</v>
      </c>
      <c r="E2326" s="94">
        <v>45214.87306712963</v>
      </c>
      <c r="F2326" s="94">
        <v>45214.87306712963</v>
      </c>
    </row>
    <row r="2327">
      <c r="A2327" s="93">
        <v>1779.0</v>
      </c>
      <c r="B2327" s="92" t="s">
        <v>19448</v>
      </c>
      <c r="C2327" s="92" t="s">
        <v>12920</v>
      </c>
      <c r="D2327" s="92" t="s">
        <v>16044</v>
      </c>
      <c r="E2327" s="94">
        <v>45211.62283564815</v>
      </c>
      <c r="F2327" s="94">
        <v>45211.64141203704</v>
      </c>
    </row>
    <row r="2328">
      <c r="A2328" s="93">
        <v>1780.0</v>
      </c>
      <c r="B2328" s="92" t="s">
        <v>17870</v>
      </c>
      <c r="C2328" s="92" t="s">
        <v>7652</v>
      </c>
      <c r="D2328" s="92" t="s">
        <v>16044</v>
      </c>
      <c r="E2328" s="94">
        <v>45211.62719907407</v>
      </c>
      <c r="F2328" s="94">
        <v>45211.64047453704</v>
      </c>
    </row>
    <row r="2329">
      <c r="A2329" s="93">
        <v>1777.0</v>
      </c>
      <c r="B2329" s="92" t="s">
        <v>17871</v>
      </c>
      <c r="C2329" s="92" t="s">
        <v>7735</v>
      </c>
      <c r="D2329" s="92" t="s">
        <v>16044</v>
      </c>
      <c r="E2329" s="94">
        <v>45211.55844907407</v>
      </c>
      <c r="F2329" s="94">
        <v>45211.56993055555</v>
      </c>
    </row>
    <row r="2330">
      <c r="A2330" s="93">
        <v>1727.0</v>
      </c>
      <c r="B2330" s="92" t="s">
        <v>19449</v>
      </c>
      <c r="C2330" s="92" t="s">
        <v>19450</v>
      </c>
      <c r="D2330" s="92" t="s">
        <v>18829</v>
      </c>
      <c r="E2330" s="94">
        <v>45152.55331018518</v>
      </c>
      <c r="F2330" s="94">
        <v>45211.466412037036</v>
      </c>
    </row>
    <row r="2331">
      <c r="A2331" s="93">
        <v>1776.0</v>
      </c>
      <c r="B2331" s="92" t="s">
        <v>18734</v>
      </c>
      <c r="C2331" s="92" t="s">
        <v>19451</v>
      </c>
      <c r="D2331" s="92" t="s">
        <v>18765</v>
      </c>
      <c r="E2331" s="94">
        <v>45211.37804398148</v>
      </c>
      <c r="F2331" s="94">
        <v>45211.3815625</v>
      </c>
    </row>
    <row r="2332">
      <c r="A2332" s="93">
        <v>1775.0</v>
      </c>
      <c r="B2332" s="92" t="s">
        <v>17872</v>
      </c>
      <c r="C2332" s="92" t="s">
        <v>19452</v>
      </c>
      <c r="D2332" s="92" t="s">
        <v>16044</v>
      </c>
      <c r="E2332" s="94">
        <v>45210.96938657408</v>
      </c>
      <c r="F2332" s="94">
        <v>45210.970868055556</v>
      </c>
    </row>
    <row r="2333">
      <c r="A2333" s="93">
        <v>1774.0</v>
      </c>
      <c r="B2333" s="92" t="s">
        <v>18786</v>
      </c>
      <c r="C2333" s="92" t="s">
        <v>19453</v>
      </c>
      <c r="D2333" s="92" t="s">
        <v>18787</v>
      </c>
      <c r="E2333" s="94">
        <v>45210.64287037037</v>
      </c>
      <c r="F2333" s="94">
        <v>45210.64287037037</v>
      </c>
    </row>
    <row r="2334">
      <c r="A2334" s="93">
        <v>1773.0</v>
      </c>
      <c r="B2334" s="92" t="s">
        <v>18925</v>
      </c>
      <c r="C2334" s="92" t="s">
        <v>14184</v>
      </c>
      <c r="D2334" s="92" t="s">
        <v>16044</v>
      </c>
      <c r="E2334" s="94">
        <v>45209.63841435185</v>
      </c>
      <c r="F2334" s="94">
        <v>45209.656747685185</v>
      </c>
    </row>
    <row r="2335">
      <c r="A2335" s="93">
        <v>1770.0</v>
      </c>
      <c r="B2335" s="92" t="s">
        <v>17873</v>
      </c>
      <c r="C2335" s="92" t="s">
        <v>7967</v>
      </c>
      <c r="D2335" s="92" t="s">
        <v>16044</v>
      </c>
      <c r="E2335" s="94">
        <v>45209.626909722225</v>
      </c>
      <c r="F2335" s="94">
        <v>45209.64755787037</v>
      </c>
    </row>
    <row r="2336">
      <c r="A2336" s="93">
        <v>1772.0</v>
      </c>
      <c r="B2336" s="92" t="s">
        <v>17874</v>
      </c>
      <c r="C2336" s="92" t="s">
        <v>7309</v>
      </c>
      <c r="D2336" s="92" t="s">
        <v>16044</v>
      </c>
      <c r="E2336" s="94">
        <v>45209.63255787037</v>
      </c>
      <c r="F2336" s="94">
        <v>45209.64649305555</v>
      </c>
    </row>
    <row r="2337">
      <c r="A2337" s="93">
        <v>1764.0</v>
      </c>
      <c r="B2337" s="92" t="s">
        <v>19454</v>
      </c>
      <c r="C2337" s="92" t="s">
        <v>19455</v>
      </c>
      <c r="D2337" s="92" t="s">
        <v>16044</v>
      </c>
      <c r="E2337" s="94">
        <v>45204.640185185184</v>
      </c>
      <c r="F2337" s="94">
        <v>45209.64299768519</v>
      </c>
    </row>
    <row r="2338">
      <c r="A2338" s="93">
        <v>1766.0</v>
      </c>
      <c r="B2338" s="92" t="s">
        <v>19456</v>
      </c>
      <c r="C2338" s="92" t="s">
        <v>13082</v>
      </c>
      <c r="D2338" s="92" t="s">
        <v>16044</v>
      </c>
      <c r="E2338" s="94">
        <v>45204.64037037037</v>
      </c>
      <c r="F2338" s="94">
        <v>45209.6408912037</v>
      </c>
    </row>
    <row r="2339">
      <c r="A2339" s="93">
        <v>1771.0</v>
      </c>
      <c r="B2339" s="92" t="s">
        <v>18786</v>
      </c>
      <c r="C2339" s="92" t="s">
        <v>19457</v>
      </c>
      <c r="D2339" s="92" t="s">
        <v>18787</v>
      </c>
      <c r="E2339" s="94">
        <v>45209.62887731481</v>
      </c>
      <c r="F2339" s="94">
        <v>45209.62887731481</v>
      </c>
    </row>
    <row r="2340">
      <c r="A2340" s="93">
        <v>1769.0</v>
      </c>
      <c r="B2340" s="92" t="s">
        <v>18786</v>
      </c>
      <c r="C2340" s="92" t="s">
        <v>19458</v>
      </c>
      <c r="D2340" s="92" t="s">
        <v>18787</v>
      </c>
      <c r="E2340" s="94">
        <v>45209.620787037034</v>
      </c>
      <c r="F2340" s="94">
        <v>45209.620787037034</v>
      </c>
    </row>
    <row r="2341">
      <c r="A2341" s="93">
        <v>1768.0</v>
      </c>
      <c r="B2341" s="92" t="s">
        <v>18786</v>
      </c>
      <c r="C2341" s="92" t="s">
        <v>19459</v>
      </c>
      <c r="D2341" s="92" t="s">
        <v>18787</v>
      </c>
      <c r="E2341" s="94">
        <v>45209.38521990741</v>
      </c>
      <c r="F2341" s="94">
        <v>45209.38521990741</v>
      </c>
    </row>
    <row r="2342">
      <c r="A2342" s="93">
        <v>1760.0</v>
      </c>
      <c r="B2342" s="92" t="s">
        <v>17367</v>
      </c>
      <c r="C2342" s="92" t="s">
        <v>19460</v>
      </c>
      <c r="D2342" s="92" t="s">
        <v>16044</v>
      </c>
      <c r="E2342" s="94">
        <v>45204.63555555556</v>
      </c>
      <c r="F2342" s="94">
        <v>45204.686689814815</v>
      </c>
    </row>
    <row r="2343">
      <c r="A2343" s="93">
        <v>1765.0</v>
      </c>
      <c r="B2343" s="92" t="s">
        <v>17875</v>
      </c>
      <c r="C2343" s="92" t="s">
        <v>19461</v>
      </c>
      <c r="D2343" s="92" t="s">
        <v>16044</v>
      </c>
      <c r="E2343" s="94">
        <v>45204.64020833333</v>
      </c>
      <c r="F2343" s="94">
        <v>45204.642060185186</v>
      </c>
    </row>
    <row r="2344">
      <c r="A2344" s="93">
        <v>1762.0</v>
      </c>
      <c r="B2344" s="92" t="s">
        <v>18786</v>
      </c>
      <c r="C2344" s="92" t="s">
        <v>19462</v>
      </c>
      <c r="D2344" s="92" t="s">
        <v>18787</v>
      </c>
      <c r="E2344" s="94">
        <v>45204.63928240741</v>
      </c>
      <c r="F2344" s="94">
        <v>45204.63928240741</v>
      </c>
    </row>
    <row r="2345">
      <c r="A2345" s="93">
        <v>2.0</v>
      </c>
      <c r="B2345" s="92" t="s">
        <v>19463</v>
      </c>
      <c r="C2345" s="92" t="s">
        <v>19464</v>
      </c>
      <c r="D2345" s="92" t="s">
        <v>18829</v>
      </c>
      <c r="E2345" s="94">
        <v>45085.2781712963</v>
      </c>
      <c r="F2345" s="94">
        <v>45204.596238425926</v>
      </c>
    </row>
    <row r="2346">
      <c r="A2346" s="93">
        <v>5.0</v>
      </c>
      <c r="B2346" s="92" t="s">
        <v>19465</v>
      </c>
      <c r="C2346" s="92" t="s">
        <v>19466</v>
      </c>
      <c r="D2346" s="92" t="s">
        <v>18829</v>
      </c>
      <c r="E2346" s="94">
        <v>45085.2781712963</v>
      </c>
      <c r="F2346" s="94">
        <v>45204.59616898148</v>
      </c>
    </row>
    <row r="2347">
      <c r="A2347" s="93">
        <v>1759.0</v>
      </c>
      <c r="B2347" s="92" t="s">
        <v>18736</v>
      </c>
      <c r="C2347" s="92" t="s">
        <v>19467</v>
      </c>
      <c r="D2347" s="92" t="s">
        <v>18765</v>
      </c>
      <c r="E2347" s="94">
        <v>45197.13774305556</v>
      </c>
      <c r="F2347" s="94">
        <v>45197.138125</v>
      </c>
    </row>
    <row r="2348">
      <c r="A2348" s="93">
        <v>1758.0</v>
      </c>
      <c r="B2348" s="92" t="s">
        <v>18786</v>
      </c>
      <c r="C2348" s="92" t="s">
        <v>19468</v>
      </c>
      <c r="D2348" s="92" t="s">
        <v>18787</v>
      </c>
      <c r="E2348" s="94">
        <v>45197.11969907407</v>
      </c>
      <c r="F2348" s="94">
        <v>45197.11969907407</v>
      </c>
    </row>
    <row r="2349">
      <c r="A2349" s="93">
        <v>1757.0</v>
      </c>
      <c r="B2349" s="92" t="s">
        <v>17876</v>
      </c>
      <c r="C2349" s="92" t="s">
        <v>19469</v>
      </c>
      <c r="D2349" s="92" t="s">
        <v>16044</v>
      </c>
      <c r="E2349" s="94">
        <v>45197.03693287037</v>
      </c>
      <c r="F2349" s="94">
        <v>45197.037314814814</v>
      </c>
    </row>
    <row r="2350">
      <c r="A2350" s="93">
        <v>1756.0</v>
      </c>
      <c r="B2350" s="92" t="s">
        <v>18786</v>
      </c>
      <c r="C2350" s="92" t="s">
        <v>3717</v>
      </c>
      <c r="D2350" s="92" t="s">
        <v>18787</v>
      </c>
      <c r="E2350" s="94">
        <v>45195.67984953704</v>
      </c>
      <c r="F2350" s="94">
        <v>45195.67984953704</v>
      </c>
    </row>
    <row r="2351">
      <c r="A2351" s="93">
        <v>1755.0</v>
      </c>
      <c r="B2351" s="92" t="s">
        <v>18786</v>
      </c>
      <c r="C2351" s="92" t="s">
        <v>19470</v>
      </c>
      <c r="D2351" s="92" t="s">
        <v>18787</v>
      </c>
      <c r="E2351" s="94">
        <v>45195.6771875</v>
      </c>
      <c r="F2351" s="94">
        <v>45195.6771875</v>
      </c>
    </row>
    <row r="2352">
      <c r="A2352" s="93">
        <v>1754.0</v>
      </c>
      <c r="B2352" s="92" t="s">
        <v>18786</v>
      </c>
      <c r="C2352" s="92" t="s">
        <v>19471</v>
      </c>
      <c r="D2352" s="92" t="s">
        <v>18787</v>
      </c>
      <c r="E2352" s="94">
        <v>45194.58263888889</v>
      </c>
      <c r="F2352" s="94">
        <v>45194.58263888889</v>
      </c>
    </row>
    <row r="2353">
      <c r="A2353" s="93">
        <v>1753.0</v>
      </c>
      <c r="B2353" s="92" t="s">
        <v>18786</v>
      </c>
      <c r="C2353" s="92" t="s">
        <v>19472</v>
      </c>
      <c r="D2353" s="92" t="s">
        <v>18787</v>
      </c>
      <c r="E2353" s="94">
        <v>45194.56655092593</v>
      </c>
      <c r="F2353" s="94">
        <v>45194.56655092593</v>
      </c>
    </row>
    <row r="2354">
      <c r="A2354" s="93">
        <v>1752.0</v>
      </c>
      <c r="B2354" s="92" t="s">
        <v>18737</v>
      </c>
      <c r="C2354" s="92" t="s">
        <v>19473</v>
      </c>
      <c r="D2354" s="92" t="s">
        <v>18765</v>
      </c>
      <c r="E2354" s="94">
        <v>45194.544652777775</v>
      </c>
      <c r="F2354" s="94">
        <v>45194.54483796296</v>
      </c>
    </row>
    <row r="2355">
      <c r="A2355" s="93">
        <v>1750.0</v>
      </c>
      <c r="B2355" s="92" t="s">
        <v>18786</v>
      </c>
      <c r="C2355" s="92" t="s">
        <v>19474</v>
      </c>
      <c r="D2355" s="92" t="s">
        <v>18787</v>
      </c>
      <c r="E2355" s="94">
        <v>45194.44076388889</v>
      </c>
      <c r="F2355" s="94">
        <v>45194.44076388889</v>
      </c>
    </row>
    <row r="2356">
      <c r="A2356" s="93">
        <v>1749.0</v>
      </c>
      <c r="B2356" s="92" t="s">
        <v>18786</v>
      </c>
      <c r="C2356" s="92" t="s">
        <v>19475</v>
      </c>
      <c r="D2356" s="92" t="s">
        <v>18787</v>
      </c>
      <c r="E2356" s="94">
        <v>45194.378657407404</v>
      </c>
      <c r="F2356" s="94">
        <v>45194.378657407404</v>
      </c>
    </row>
    <row r="2357">
      <c r="A2357" s="93">
        <v>10.0</v>
      </c>
      <c r="B2357" s="92" t="s">
        <v>19476</v>
      </c>
      <c r="C2357" s="92" t="s">
        <v>11990</v>
      </c>
      <c r="D2357" s="92" t="s">
        <v>16044</v>
      </c>
      <c r="E2357" s="94">
        <v>45090.507835648146</v>
      </c>
      <c r="F2357" s="94">
        <v>45190.61603009259</v>
      </c>
    </row>
    <row r="2358">
      <c r="A2358" s="93">
        <v>1748.0</v>
      </c>
      <c r="B2358" s="92" t="s">
        <v>18738</v>
      </c>
      <c r="C2358" s="92" t="s">
        <v>19477</v>
      </c>
      <c r="D2358" s="92" t="s">
        <v>18765</v>
      </c>
      <c r="E2358" s="94">
        <v>45189.649722222224</v>
      </c>
      <c r="F2358" s="94">
        <v>45189.650092592594</v>
      </c>
    </row>
    <row r="2359">
      <c r="A2359" s="93">
        <v>1746.0</v>
      </c>
      <c r="B2359" s="92" t="s">
        <v>18739</v>
      </c>
      <c r="C2359" s="92" t="s">
        <v>19478</v>
      </c>
      <c r="D2359" s="92" t="s">
        <v>18765</v>
      </c>
      <c r="E2359" s="94">
        <v>45189.45391203704</v>
      </c>
      <c r="F2359" s="94">
        <v>45189.45431712963</v>
      </c>
    </row>
    <row r="2360">
      <c r="A2360" s="93">
        <v>1740.0</v>
      </c>
      <c r="B2360" s="92" t="s">
        <v>19479</v>
      </c>
      <c r="C2360" s="92" t="s">
        <v>19480</v>
      </c>
      <c r="D2360" s="92" t="s">
        <v>18829</v>
      </c>
      <c r="E2360" s="94">
        <v>45182.85118055555</v>
      </c>
      <c r="F2360" s="94">
        <v>45187.66952546296</v>
      </c>
    </row>
    <row r="2361">
      <c r="A2361" s="93">
        <v>1745.0</v>
      </c>
      <c r="B2361" s="92" t="s">
        <v>18786</v>
      </c>
      <c r="C2361" s="92" t="s">
        <v>19481</v>
      </c>
      <c r="D2361" s="92" t="s">
        <v>18787</v>
      </c>
      <c r="E2361" s="94">
        <v>45187.6505787037</v>
      </c>
      <c r="F2361" s="94">
        <v>45187.6505787037</v>
      </c>
    </row>
    <row r="2362">
      <c r="A2362" s="93">
        <v>1743.0</v>
      </c>
      <c r="B2362" s="92" t="s">
        <v>18786</v>
      </c>
      <c r="C2362" s="92" t="s">
        <v>19482</v>
      </c>
      <c r="D2362" s="92" t="s">
        <v>18787</v>
      </c>
      <c r="E2362" s="94">
        <v>45187.46892361111</v>
      </c>
      <c r="F2362" s="94">
        <v>45187.46892361111</v>
      </c>
    </row>
    <row r="2363">
      <c r="A2363" s="93">
        <v>1742.0</v>
      </c>
      <c r="B2363" s="92" t="s">
        <v>18740</v>
      </c>
      <c r="C2363" s="92" t="s">
        <v>19483</v>
      </c>
      <c r="D2363" s="92" t="s">
        <v>18765</v>
      </c>
      <c r="E2363" s="94">
        <v>45187.4278125</v>
      </c>
      <c r="F2363" s="94">
        <v>45187.42802083334</v>
      </c>
    </row>
    <row r="2364">
      <c r="A2364" s="93">
        <v>1741.0</v>
      </c>
      <c r="B2364" s="92" t="s">
        <v>18742</v>
      </c>
      <c r="C2364" s="92" t="s">
        <v>19484</v>
      </c>
      <c r="D2364" s="92" t="s">
        <v>18765</v>
      </c>
      <c r="E2364" s="94">
        <v>45183.59196759259</v>
      </c>
      <c r="F2364" s="94">
        <v>45183.592361111114</v>
      </c>
    </row>
    <row r="2365">
      <c r="A2365" s="93">
        <v>1737.0</v>
      </c>
      <c r="B2365" s="92" t="s">
        <v>18786</v>
      </c>
      <c r="C2365" s="92" t="s">
        <v>19485</v>
      </c>
      <c r="D2365" s="92" t="s">
        <v>18787</v>
      </c>
      <c r="E2365" s="94">
        <v>45160.78265046296</v>
      </c>
      <c r="F2365" s="94">
        <v>45160.78265046296</v>
      </c>
    </row>
    <row r="2366">
      <c r="A2366" s="93">
        <v>1736.0</v>
      </c>
      <c r="B2366" s="92" t="s">
        <v>19486</v>
      </c>
      <c r="C2366" s="92" t="s">
        <v>19487</v>
      </c>
      <c r="D2366" s="92" t="s">
        <v>18877</v>
      </c>
      <c r="E2366" s="94">
        <v>45160.65153935185</v>
      </c>
      <c r="F2366" s="94">
        <v>45160.65170138889</v>
      </c>
    </row>
    <row r="2367">
      <c r="A2367" s="93">
        <v>1735.0</v>
      </c>
      <c r="B2367" s="92" t="s">
        <v>18744</v>
      </c>
      <c r="C2367" s="92" t="s">
        <v>19488</v>
      </c>
      <c r="D2367" s="92" t="s">
        <v>18765</v>
      </c>
      <c r="E2367" s="94">
        <v>45160.65149305556</v>
      </c>
      <c r="F2367" s="94">
        <v>45160.65163194444</v>
      </c>
    </row>
    <row r="2368">
      <c r="A2368" s="93">
        <v>1734.0</v>
      </c>
      <c r="B2368" s="92" t="s">
        <v>18745</v>
      </c>
      <c r="C2368" s="92" t="s">
        <v>19489</v>
      </c>
      <c r="D2368" s="92" t="s">
        <v>18765</v>
      </c>
      <c r="E2368" s="94">
        <v>45160.3928125</v>
      </c>
      <c r="F2368" s="94">
        <v>45160.39434027778</v>
      </c>
    </row>
    <row r="2369">
      <c r="A2369" s="93">
        <v>1733.0</v>
      </c>
      <c r="B2369" s="92" t="s">
        <v>18786</v>
      </c>
      <c r="C2369" s="92" t="s">
        <v>19490</v>
      </c>
      <c r="D2369" s="92" t="s">
        <v>18787</v>
      </c>
      <c r="E2369" s="94">
        <v>45156.50494212963</v>
      </c>
      <c r="F2369" s="94">
        <v>45156.50494212963</v>
      </c>
    </row>
    <row r="2370">
      <c r="A2370" s="93">
        <v>1731.0</v>
      </c>
      <c r="B2370" s="92" t="s">
        <v>18746</v>
      </c>
      <c r="C2370" s="92" t="s">
        <v>19491</v>
      </c>
      <c r="D2370" s="92" t="s">
        <v>18765</v>
      </c>
      <c r="E2370" s="94">
        <v>45153.57434027778</v>
      </c>
      <c r="F2370" s="94">
        <v>45156.491273148145</v>
      </c>
    </row>
    <row r="2371">
      <c r="A2371" s="93">
        <v>1732.0</v>
      </c>
      <c r="B2371" s="92" t="s">
        <v>18786</v>
      </c>
      <c r="C2371" s="92" t="s">
        <v>19492</v>
      </c>
      <c r="D2371" s="92" t="s">
        <v>18787</v>
      </c>
      <c r="E2371" s="94">
        <v>45155.35165509259</v>
      </c>
      <c r="F2371" s="94">
        <v>45155.35165509259</v>
      </c>
    </row>
    <row r="2372">
      <c r="A2372" s="93">
        <v>1730.0</v>
      </c>
      <c r="B2372" s="92" t="s">
        <v>18747</v>
      </c>
      <c r="C2372" s="92" t="s">
        <v>19493</v>
      </c>
      <c r="D2372" s="92" t="s">
        <v>18765</v>
      </c>
      <c r="E2372" s="94">
        <v>45153.558703703704</v>
      </c>
      <c r="F2372" s="94">
        <v>45153.55893518519</v>
      </c>
    </row>
    <row r="2373">
      <c r="A2373" s="93">
        <v>1729.0</v>
      </c>
      <c r="B2373" s="92" t="s">
        <v>18786</v>
      </c>
      <c r="C2373" s="92" t="s">
        <v>19494</v>
      </c>
      <c r="D2373" s="92" t="s">
        <v>18787</v>
      </c>
      <c r="E2373" s="94">
        <v>45153.463912037034</v>
      </c>
      <c r="F2373" s="94">
        <v>45153.463912037034</v>
      </c>
    </row>
    <row r="2374">
      <c r="A2374" s="93">
        <v>1728.0</v>
      </c>
      <c r="B2374" s="92" t="s">
        <v>18786</v>
      </c>
      <c r="C2374" s="92" t="s">
        <v>19495</v>
      </c>
      <c r="D2374" s="92" t="s">
        <v>18787</v>
      </c>
      <c r="E2374" s="94">
        <v>45152.55412037037</v>
      </c>
      <c r="F2374" s="94">
        <v>45152.55412037037</v>
      </c>
    </row>
    <row r="2375">
      <c r="A2375" s="93">
        <v>1725.0</v>
      </c>
      <c r="B2375" s="92" t="s">
        <v>17878</v>
      </c>
      <c r="C2375" s="92" t="s">
        <v>19496</v>
      </c>
      <c r="D2375" s="92" t="s">
        <v>16044</v>
      </c>
      <c r="E2375" s="94">
        <v>45145.64396990741</v>
      </c>
      <c r="F2375" s="94">
        <v>45145.64527777778</v>
      </c>
    </row>
    <row r="2376">
      <c r="A2376" s="93">
        <v>1724.0</v>
      </c>
      <c r="B2376" s="92" t="s">
        <v>18748</v>
      </c>
      <c r="C2376" s="92" t="s">
        <v>19497</v>
      </c>
      <c r="D2376" s="92" t="s">
        <v>18765</v>
      </c>
      <c r="E2376" s="94">
        <v>45141.51943287037</v>
      </c>
      <c r="F2376" s="94">
        <v>45141.51969907407</v>
      </c>
    </row>
    <row r="2377">
      <c r="A2377" s="93">
        <v>1723.0</v>
      </c>
      <c r="B2377" s="92" t="s">
        <v>18786</v>
      </c>
      <c r="C2377" s="92" t="s">
        <v>19498</v>
      </c>
      <c r="D2377" s="92" t="s">
        <v>18787</v>
      </c>
      <c r="E2377" s="94">
        <v>45139.62228009259</v>
      </c>
      <c r="F2377" s="94">
        <v>45139.62228009259</v>
      </c>
    </row>
    <row r="2378">
      <c r="A2378" s="93">
        <v>1722.0</v>
      </c>
      <c r="B2378" s="92" t="s">
        <v>18786</v>
      </c>
      <c r="C2378" s="92" t="s">
        <v>19499</v>
      </c>
      <c r="D2378" s="92" t="s">
        <v>18787</v>
      </c>
      <c r="E2378" s="94">
        <v>45139.621087962965</v>
      </c>
      <c r="F2378" s="94">
        <v>45139.621087962965</v>
      </c>
    </row>
    <row r="2379">
      <c r="A2379" s="93">
        <v>1713.0</v>
      </c>
      <c r="B2379" s="92" t="s">
        <v>17879</v>
      </c>
      <c r="C2379" s="92" t="s">
        <v>9663</v>
      </c>
      <c r="D2379" s="92" t="s">
        <v>16044</v>
      </c>
      <c r="E2379" s="94">
        <v>45121.649976851855</v>
      </c>
      <c r="F2379" s="94">
        <v>45138.92361111111</v>
      </c>
    </row>
    <row r="2380">
      <c r="A2380" s="93">
        <v>22.0</v>
      </c>
      <c r="B2380" s="92" t="s">
        <v>19500</v>
      </c>
      <c r="C2380" s="92" t="s">
        <v>13212</v>
      </c>
      <c r="D2380" s="92" t="s">
        <v>16044</v>
      </c>
      <c r="E2380" s="94">
        <v>45099.72677083333</v>
      </c>
      <c r="F2380" s="94">
        <v>45138.92359953704</v>
      </c>
    </row>
    <row r="2381">
      <c r="A2381" s="93">
        <v>19.0</v>
      </c>
      <c r="B2381" s="92" t="s">
        <v>19501</v>
      </c>
      <c r="C2381" s="92" t="s">
        <v>10923</v>
      </c>
      <c r="D2381" s="92" t="s">
        <v>16044</v>
      </c>
      <c r="E2381" s="94">
        <v>45095.91473379629</v>
      </c>
      <c r="F2381" s="94">
        <v>45138.92359953704</v>
      </c>
    </row>
    <row r="2382">
      <c r="A2382" s="93">
        <v>18.0</v>
      </c>
      <c r="B2382" s="92" t="s">
        <v>19502</v>
      </c>
      <c r="C2382" s="92" t="s">
        <v>19503</v>
      </c>
      <c r="D2382" s="92" t="s">
        <v>16044</v>
      </c>
      <c r="E2382" s="94">
        <v>45093.7494212963</v>
      </c>
      <c r="F2382" s="94">
        <v>45138.92359953704</v>
      </c>
    </row>
    <row r="2383">
      <c r="A2383" s="93">
        <v>15.0</v>
      </c>
      <c r="B2383" s="92" t="s">
        <v>17883</v>
      </c>
      <c r="C2383" s="92" t="s">
        <v>13564</v>
      </c>
      <c r="D2383" s="92" t="s">
        <v>16044</v>
      </c>
      <c r="E2383" s="94">
        <v>45092.40744212963</v>
      </c>
      <c r="F2383" s="94">
        <v>45138.92358796296</v>
      </c>
    </row>
    <row r="2384">
      <c r="A2384" s="93">
        <v>11.0</v>
      </c>
      <c r="B2384" s="92" t="s">
        <v>17884</v>
      </c>
      <c r="C2384" s="92" t="s">
        <v>8636</v>
      </c>
      <c r="D2384" s="92" t="s">
        <v>16044</v>
      </c>
      <c r="E2384" s="94">
        <v>45090.50814814815</v>
      </c>
      <c r="F2384" s="94">
        <v>45138.92357638889</v>
      </c>
    </row>
    <row r="2385">
      <c r="A2385" s="93">
        <v>23.0</v>
      </c>
      <c r="B2385" s="92" t="s">
        <v>19502</v>
      </c>
      <c r="C2385" s="92" t="s">
        <v>10642</v>
      </c>
      <c r="D2385" s="92" t="s">
        <v>16044</v>
      </c>
      <c r="E2385" s="94">
        <v>45100.72758101852</v>
      </c>
      <c r="F2385" s="94">
        <v>45138.92356481482</v>
      </c>
    </row>
    <row r="2386">
      <c r="A2386" s="93">
        <v>1719.0</v>
      </c>
      <c r="B2386" s="92" t="s">
        <v>19486</v>
      </c>
      <c r="C2386" s="92" t="s">
        <v>19504</v>
      </c>
      <c r="D2386" s="92" t="s">
        <v>18829</v>
      </c>
      <c r="E2386" s="94">
        <v>45134.68748842592</v>
      </c>
      <c r="F2386" s="94">
        <v>45135.574166666665</v>
      </c>
    </row>
    <row r="2387">
      <c r="A2387" s="93">
        <v>1717.0</v>
      </c>
      <c r="B2387" s="92" t="s">
        <v>18749</v>
      </c>
      <c r="C2387" s="92" t="s">
        <v>19505</v>
      </c>
      <c r="D2387" s="92" t="s">
        <v>18765</v>
      </c>
      <c r="E2387" s="94">
        <v>45128.6462962963</v>
      </c>
      <c r="F2387" s="94">
        <v>45128.64648148148</v>
      </c>
    </row>
    <row r="2388">
      <c r="A2388" s="93">
        <v>1716.0</v>
      </c>
      <c r="B2388" s="92" t="s">
        <v>19506</v>
      </c>
      <c r="C2388" s="92" t="s">
        <v>19507</v>
      </c>
      <c r="D2388" s="92" t="s">
        <v>18877</v>
      </c>
      <c r="E2388" s="94">
        <v>45125.633888888886</v>
      </c>
      <c r="F2388" s="94">
        <v>45125.6349537037</v>
      </c>
    </row>
    <row r="2389">
      <c r="A2389" s="93">
        <v>1715.0</v>
      </c>
      <c r="B2389" s="92" t="s">
        <v>18751</v>
      </c>
      <c r="C2389" s="92" t="s">
        <v>19508</v>
      </c>
      <c r="D2389" s="92" t="s">
        <v>18765</v>
      </c>
      <c r="E2389" s="94">
        <v>45124.5025</v>
      </c>
      <c r="F2389" s="94">
        <v>45124.50262731482</v>
      </c>
    </row>
    <row r="2390">
      <c r="A2390" s="93">
        <v>1714.0</v>
      </c>
      <c r="B2390" s="92" t="s">
        <v>19509</v>
      </c>
      <c r="C2390" s="92" t="s">
        <v>19510</v>
      </c>
      <c r="D2390" s="92" t="s">
        <v>18765</v>
      </c>
      <c r="E2390" s="94">
        <v>45122.546689814815</v>
      </c>
      <c r="F2390" s="94">
        <v>45122.547002314815</v>
      </c>
    </row>
    <row r="2391">
      <c r="A2391" s="93">
        <v>1712.0</v>
      </c>
      <c r="B2391" s="92" t="s">
        <v>17885</v>
      </c>
      <c r="C2391" s="92" t="s">
        <v>19511</v>
      </c>
      <c r="D2391" s="92" t="s">
        <v>16044</v>
      </c>
      <c r="E2391" s="94">
        <v>45120.5468287037</v>
      </c>
      <c r="F2391" s="94">
        <v>45120.54820601852</v>
      </c>
    </row>
    <row r="2392">
      <c r="A2392" s="93">
        <v>1711.0</v>
      </c>
      <c r="B2392" s="92" t="s">
        <v>18786</v>
      </c>
      <c r="C2392" s="92" t="s">
        <v>19512</v>
      </c>
      <c r="D2392" s="92" t="s">
        <v>18787</v>
      </c>
      <c r="E2392" s="94">
        <v>45120.54090277778</v>
      </c>
      <c r="F2392" s="94">
        <v>45120.54090277778</v>
      </c>
    </row>
    <row r="2393">
      <c r="A2393" s="93">
        <v>1710.0</v>
      </c>
      <c r="B2393" s="92" t="s">
        <v>19513</v>
      </c>
      <c r="C2393" s="92" t="s">
        <v>19514</v>
      </c>
      <c r="D2393" s="92" t="s">
        <v>18765</v>
      </c>
      <c r="E2393" s="94">
        <v>45118.66197916667</v>
      </c>
      <c r="F2393" s="94">
        <v>45118.66253472222</v>
      </c>
    </row>
    <row r="2394">
      <c r="A2394" s="93">
        <v>1709.0</v>
      </c>
      <c r="B2394" s="92" t="s">
        <v>17886</v>
      </c>
      <c r="C2394" s="92" t="s">
        <v>19515</v>
      </c>
      <c r="D2394" s="92" t="s">
        <v>16044</v>
      </c>
      <c r="E2394" s="94">
        <v>45118.567407407405</v>
      </c>
      <c r="F2394" s="94">
        <v>45118.57013888889</v>
      </c>
    </row>
    <row r="2395">
      <c r="A2395" s="93">
        <v>1708.0</v>
      </c>
      <c r="B2395" s="92" t="s">
        <v>18786</v>
      </c>
      <c r="C2395" s="92" t="s">
        <v>19516</v>
      </c>
      <c r="D2395" s="92" t="s">
        <v>18787</v>
      </c>
      <c r="E2395" s="94">
        <v>45117.67103009259</v>
      </c>
      <c r="F2395" s="94">
        <v>45117.67103009259</v>
      </c>
    </row>
    <row r="2396">
      <c r="A2396" s="93">
        <v>1707.0</v>
      </c>
      <c r="B2396" s="92" t="s">
        <v>19517</v>
      </c>
      <c r="C2396" s="92" t="s">
        <v>19518</v>
      </c>
      <c r="D2396" s="92" t="s">
        <v>18829</v>
      </c>
      <c r="E2396" s="94">
        <v>45117.42936342592</v>
      </c>
      <c r="F2396" s="94">
        <v>45117.43056712963</v>
      </c>
    </row>
    <row r="2397">
      <c r="A2397" s="93">
        <v>1706.0</v>
      </c>
      <c r="B2397" s="92" t="s">
        <v>19519</v>
      </c>
      <c r="C2397" s="92" t="s">
        <v>19520</v>
      </c>
      <c r="D2397" s="92" t="s">
        <v>18829</v>
      </c>
      <c r="E2397" s="94">
        <v>45117.42930555555</v>
      </c>
      <c r="F2397" s="94">
        <v>45117.43041666667</v>
      </c>
    </row>
    <row r="2398">
      <c r="A2398" s="93">
        <v>1705.0</v>
      </c>
      <c r="B2398" s="92" t="s">
        <v>18755</v>
      </c>
      <c r="C2398" s="92" t="s">
        <v>19521</v>
      </c>
      <c r="D2398" s="92" t="s">
        <v>18765</v>
      </c>
      <c r="E2398" s="94">
        <v>45116.368842592594</v>
      </c>
      <c r="F2398" s="94">
        <v>45116.36895833333</v>
      </c>
    </row>
    <row r="2399">
      <c r="A2399" s="93">
        <v>6.0</v>
      </c>
      <c r="B2399" s="92" t="s">
        <v>17872</v>
      </c>
      <c r="C2399" s="92" t="s">
        <v>19522</v>
      </c>
      <c r="D2399" s="92" t="s">
        <v>18829</v>
      </c>
      <c r="E2399" s="94">
        <v>45085.2781712963</v>
      </c>
      <c r="F2399" s="94">
        <v>45113.5591087963</v>
      </c>
    </row>
    <row r="2400">
      <c r="A2400" s="93">
        <v>1.0</v>
      </c>
      <c r="B2400" s="92" t="s">
        <v>18065</v>
      </c>
      <c r="C2400" s="92" t="s">
        <v>19523</v>
      </c>
      <c r="D2400" s="92" t="s">
        <v>18829</v>
      </c>
      <c r="E2400" s="94">
        <v>45085.2781712963</v>
      </c>
      <c r="F2400" s="94">
        <v>45113.5591087963</v>
      </c>
    </row>
    <row r="2401">
      <c r="A2401" s="93">
        <v>1668.0</v>
      </c>
      <c r="B2401" s="92" t="s">
        <v>17887</v>
      </c>
      <c r="C2401" s="92" t="s">
        <v>15210</v>
      </c>
      <c r="D2401" s="92" t="s">
        <v>16044</v>
      </c>
      <c r="E2401" s="94">
        <v>45113.55868055556</v>
      </c>
      <c r="F2401" s="94">
        <v>45113.55868055556</v>
      </c>
    </row>
    <row r="2402">
      <c r="A2402" s="93">
        <v>1662.0</v>
      </c>
      <c r="B2402" s="92" t="s">
        <v>17888</v>
      </c>
      <c r="C2402" s="92" t="s">
        <v>8390</v>
      </c>
      <c r="D2402" s="92" t="s">
        <v>16044</v>
      </c>
      <c r="E2402" s="94">
        <v>45113.558587962965</v>
      </c>
      <c r="F2402" s="94">
        <v>45113.558587962965</v>
      </c>
    </row>
    <row r="2403">
      <c r="A2403" s="93">
        <v>1661.0</v>
      </c>
      <c r="B2403" s="92" t="s">
        <v>17889</v>
      </c>
      <c r="C2403" s="92" t="s">
        <v>13815</v>
      </c>
      <c r="D2403" s="92" t="s">
        <v>16044</v>
      </c>
      <c r="E2403" s="94">
        <v>45113.55857638889</v>
      </c>
      <c r="F2403" s="94">
        <v>45113.55857638889</v>
      </c>
    </row>
    <row r="2404">
      <c r="A2404" s="93">
        <v>1654.0</v>
      </c>
      <c r="B2404" s="92" t="s">
        <v>17890</v>
      </c>
      <c r="C2404" s="92" t="s">
        <v>5278</v>
      </c>
      <c r="D2404" s="92" t="s">
        <v>16044</v>
      </c>
      <c r="E2404" s="94">
        <v>45113.55847222222</v>
      </c>
      <c r="F2404" s="94">
        <v>45113.55847222222</v>
      </c>
    </row>
    <row r="2405">
      <c r="A2405" s="93">
        <v>1648.0</v>
      </c>
      <c r="B2405" s="92" t="s">
        <v>17891</v>
      </c>
      <c r="C2405" s="92" t="s">
        <v>12249</v>
      </c>
      <c r="D2405" s="92" t="s">
        <v>16044</v>
      </c>
      <c r="E2405" s="94">
        <v>45113.55837962963</v>
      </c>
      <c r="F2405" s="94">
        <v>45113.55837962963</v>
      </c>
    </row>
    <row r="2406">
      <c r="A2406" s="93">
        <v>1624.0</v>
      </c>
      <c r="B2406" s="92" t="s">
        <v>17892</v>
      </c>
      <c r="C2406" s="92" t="s">
        <v>15147</v>
      </c>
      <c r="D2406" s="92" t="s">
        <v>16044</v>
      </c>
      <c r="E2406" s="94">
        <v>45113.55804398148</v>
      </c>
      <c r="F2406" s="94">
        <v>45113.55804398148</v>
      </c>
    </row>
    <row r="2407">
      <c r="A2407" s="93">
        <v>1623.0</v>
      </c>
      <c r="B2407" s="92" t="s">
        <v>17893</v>
      </c>
      <c r="C2407" s="92" t="s">
        <v>7115</v>
      </c>
      <c r="D2407" s="92" t="s">
        <v>16044</v>
      </c>
      <c r="E2407" s="94">
        <v>45113.558020833334</v>
      </c>
      <c r="F2407" s="94">
        <v>45113.558020833334</v>
      </c>
    </row>
    <row r="2408">
      <c r="A2408" s="93">
        <v>1618.0</v>
      </c>
      <c r="B2408" s="92" t="s">
        <v>17894</v>
      </c>
      <c r="C2408" s="92" t="s">
        <v>15179</v>
      </c>
      <c r="D2408" s="92" t="s">
        <v>16044</v>
      </c>
      <c r="E2408" s="94">
        <v>45113.55795138889</v>
      </c>
      <c r="F2408" s="94">
        <v>45113.55795138889</v>
      </c>
    </row>
    <row r="2409">
      <c r="A2409" s="93">
        <v>1616.0</v>
      </c>
      <c r="B2409" s="92" t="s">
        <v>17895</v>
      </c>
      <c r="C2409" s="92" t="s">
        <v>10369</v>
      </c>
      <c r="D2409" s="92" t="s">
        <v>16044</v>
      </c>
      <c r="E2409" s="94">
        <v>45113.55792824074</v>
      </c>
      <c r="F2409" s="94">
        <v>45113.55792824074</v>
      </c>
    </row>
    <row r="2410">
      <c r="A2410" s="93">
        <v>1613.0</v>
      </c>
      <c r="B2410" s="92" t="s">
        <v>17896</v>
      </c>
      <c r="C2410" s="92" t="s">
        <v>14522</v>
      </c>
      <c r="D2410" s="92" t="s">
        <v>16044</v>
      </c>
      <c r="E2410" s="94">
        <v>45113.55788194444</v>
      </c>
      <c r="F2410" s="94">
        <v>45113.55788194444</v>
      </c>
    </row>
    <row r="2411">
      <c r="A2411" s="93">
        <v>1601.0</v>
      </c>
      <c r="B2411" s="92" t="s">
        <v>17897</v>
      </c>
      <c r="C2411" s="92" t="s">
        <v>14589</v>
      </c>
      <c r="D2411" s="92" t="s">
        <v>16044</v>
      </c>
      <c r="E2411" s="94">
        <v>45113.557708333334</v>
      </c>
      <c r="F2411" s="94">
        <v>45113.557708333334</v>
      </c>
    </row>
    <row r="2412">
      <c r="A2412" s="93">
        <v>1600.0</v>
      </c>
      <c r="B2412" s="92" t="s">
        <v>17898</v>
      </c>
      <c r="C2412" s="92" t="s">
        <v>12589</v>
      </c>
      <c r="D2412" s="92" t="s">
        <v>16044</v>
      </c>
      <c r="E2412" s="94">
        <v>45113.55769675926</v>
      </c>
      <c r="F2412" s="94">
        <v>45113.55769675926</v>
      </c>
    </row>
    <row r="2413">
      <c r="A2413" s="93">
        <v>1591.0</v>
      </c>
      <c r="B2413" s="92" t="s">
        <v>17899</v>
      </c>
      <c r="C2413" s="92" t="s">
        <v>12795</v>
      </c>
      <c r="D2413" s="92" t="s">
        <v>16044</v>
      </c>
      <c r="E2413" s="94">
        <v>45113.557546296295</v>
      </c>
      <c r="F2413" s="94">
        <v>45113.557546296295</v>
      </c>
    </row>
    <row r="2414">
      <c r="A2414" s="93">
        <v>1578.0</v>
      </c>
      <c r="B2414" s="92" t="s">
        <v>17900</v>
      </c>
      <c r="C2414" s="92" t="s">
        <v>5525</v>
      </c>
      <c r="D2414" s="92" t="s">
        <v>16044</v>
      </c>
      <c r="E2414" s="94">
        <v>45113.55734953703</v>
      </c>
      <c r="F2414" s="94">
        <v>45113.55734953703</v>
      </c>
    </row>
    <row r="2415">
      <c r="A2415" s="93">
        <v>1573.0</v>
      </c>
      <c r="B2415" s="92" t="s">
        <v>17901</v>
      </c>
      <c r="C2415" s="92" t="s">
        <v>5691</v>
      </c>
      <c r="D2415" s="92" t="s">
        <v>16044</v>
      </c>
      <c r="E2415" s="94">
        <v>45113.557280092595</v>
      </c>
      <c r="F2415" s="94">
        <v>45113.557280092595</v>
      </c>
    </row>
    <row r="2416">
      <c r="A2416" s="93">
        <v>1571.0</v>
      </c>
      <c r="B2416" s="92" t="s">
        <v>19524</v>
      </c>
      <c r="C2416" s="92" t="s">
        <v>16048</v>
      </c>
      <c r="D2416" s="92" t="s">
        <v>16044</v>
      </c>
      <c r="E2416" s="94">
        <v>45113.55724537037</v>
      </c>
      <c r="F2416" s="94">
        <v>45113.55724537037</v>
      </c>
    </row>
    <row r="2417">
      <c r="A2417" s="93">
        <v>1570.0</v>
      </c>
      <c r="B2417" s="92" t="s">
        <v>17903</v>
      </c>
      <c r="C2417" s="92" t="s">
        <v>8901</v>
      </c>
      <c r="D2417" s="92" t="s">
        <v>16044</v>
      </c>
      <c r="E2417" s="94">
        <v>45113.557233796295</v>
      </c>
      <c r="F2417" s="94">
        <v>45113.557233796295</v>
      </c>
    </row>
    <row r="2418">
      <c r="A2418" s="93">
        <v>1558.0</v>
      </c>
      <c r="B2418" s="92" t="s">
        <v>17904</v>
      </c>
      <c r="C2418" s="92" t="s">
        <v>9393</v>
      </c>
      <c r="D2418" s="92" t="s">
        <v>16044</v>
      </c>
      <c r="E2418" s="94">
        <v>45113.55706018519</v>
      </c>
      <c r="F2418" s="94">
        <v>45113.55706018519</v>
      </c>
    </row>
    <row r="2419">
      <c r="A2419" s="93">
        <v>1555.0</v>
      </c>
      <c r="B2419" s="92" t="s">
        <v>17905</v>
      </c>
      <c r="C2419" s="92" t="s">
        <v>7336</v>
      </c>
      <c r="D2419" s="92" t="s">
        <v>16044</v>
      </c>
      <c r="E2419" s="94">
        <v>45113.55701388889</v>
      </c>
      <c r="F2419" s="94">
        <v>45113.55701388889</v>
      </c>
    </row>
    <row r="2420">
      <c r="A2420" s="93">
        <v>1549.0</v>
      </c>
      <c r="B2420" s="92" t="s">
        <v>2576</v>
      </c>
      <c r="C2420" s="92" t="s">
        <v>11975</v>
      </c>
      <c r="D2420" s="92" t="s">
        <v>16044</v>
      </c>
      <c r="E2420" s="94">
        <v>45113.55693287037</v>
      </c>
      <c r="F2420" s="94">
        <v>45113.55693287037</v>
      </c>
    </row>
    <row r="2421">
      <c r="A2421" s="93">
        <v>1547.0</v>
      </c>
      <c r="B2421" s="92" t="s">
        <v>17906</v>
      </c>
      <c r="C2421" s="92" t="s">
        <v>8682</v>
      </c>
      <c r="D2421" s="92" t="s">
        <v>16044</v>
      </c>
      <c r="E2421" s="94">
        <v>45113.55689814815</v>
      </c>
      <c r="F2421" s="94">
        <v>45113.55689814815</v>
      </c>
    </row>
    <row r="2422">
      <c r="A2422" s="93">
        <v>1545.0</v>
      </c>
      <c r="B2422" s="92" t="s">
        <v>17907</v>
      </c>
      <c r="C2422" s="92" t="s">
        <v>14774</v>
      </c>
      <c r="D2422" s="92" t="s">
        <v>16044</v>
      </c>
      <c r="E2422" s="94">
        <v>45113.556863425925</v>
      </c>
      <c r="F2422" s="94">
        <v>45113.556863425925</v>
      </c>
    </row>
    <row r="2423">
      <c r="A2423" s="93">
        <v>1544.0</v>
      </c>
      <c r="B2423" s="92" t="s">
        <v>17908</v>
      </c>
      <c r="C2423" s="92" t="s">
        <v>12125</v>
      </c>
      <c r="D2423" s="92" t="s">
        <v>16044</v>
      </c>
      <c r="E2423" s="94">
        <v>45113.55685185185</v>
      </c>
      <c r="F2423" s="94">
        <v>45113.55685185185</v>
      </c>
    </row>
    <row r="2424">
      <c r="A2424" s="93">
        <v>1532.0</v>
      </c>
      <c r="B2424" s="92" t="s">
        <v>17909</v>
      </c>
      <c r="C2424" s="92" t="s">
        <v>6305</v>
      </c>
      <c r="D2424" s="92" t="s">
        <v>16044</v>
      </c>
      <c r="E2424" s="94">
        <v>45113.55667824074</v>
      </c>
      <c r="F2424" s="94">
        <v>45113.55667824074</v>
      </c>
    </row>
    <row r="2425">
      <c r="A2425" s="93">
        <v>1528.0</v>
      </c>
      <c r="B2425" s="92" t="s">
        <v>17910</v>
      </c>
      <c r="C2425" s="92" t="s">
        <v>6278</v>
      </c>
      <c r="D2425" s="92" t="s">
        <v>16044</v>
      </c>
      <c r="E2425" s="94">
        <v>45113.55662037037</v>
      </c>
      <c r="F2425" s="94">
        <v>45113.55662037037</v>
      </c>
    </row>
    <row r="2426">
      <c r="A2426" s="93">
        <v>1509.0</v>
      </c>
      <c r="B2426" s="92" t="s">
        <v>17911</v>
      </c>
      <c r="C2426" s="92" t="s">
        <v>12864</v>
      </c>
      <c r="D2426" s="92" t="s">
        <v>16044</v>
      </c>
      <c r="E2426" s="94">
        <v>45113.556342592594</v>
      </c>
      <c r="F2426" s="94">
        <v>45113.556342592594</v>
      </c>
    </row>
    <row r="2427">
      <c r="A2427" s="93">
        <v>1506.0</v>
      </c>
      <c r="B2427" s="92" t="s">
        <v>17912</v>
      </c>
      <c r="C2427" s="92" t="s">
        <v>11941</v>
      </c>
      <c r="D2427" s="92" t="s">
        <v>16044</v>
      </c>
      <c r="E2427" s="94">
        <v>45113.556296296294</v>
      </c>
      <c r="F2427" s="94">
        <v>45113.556296296294</v>
      </c>
    </row>
    <row r="2428">
      <c r="A2428" s="93">
        <v>1497.0</v>
      </c>
      <c r="B2428" s="92" t="s">
        <v>17913</v>
      </c>
      <c r="C2428" s="92" t="s">
        <v>14832</v>
      </c>
      <c r="D2428" s="92" t="s">
        <v>16044</v>
      </c>
      <c r="E2428" s="94">
        <v>45113.55616898148</v>
      </c>
      <c r="F2428" s="94">
        <v>45113.55616898148</v>
      </c>
    </row>
    <row r="2429">
      <c r="A2429" s="93">
        <v>1490.0</v>
      </c>
      <c r="B2429" s="92" t="s">
        <v>17914</v>
      </c>
      <c r="C2429" s="92" t="s">
        <v>12878</v>
      </c>
      <c r="D2429" s="92" t="s">
        <v>16044</v>
      </c>
      <c r="E2429" s="94">
        <v>45113.55606481482</v>
      </c>
      <c r="F2429" s="94">
        <v>45113.55606481482</v>
      </c>
    </row>
    <row r="2430">
      <c r="A2430" s="93">
        <v>1486.0</v>
      </c>
      <c r="B2430" s="92" t="s">
        <v>17915</v>
      </c>
      <c r="C2430" s="92" t="s">
        <v>12855</v>
      </c>
      <c r="D2430" s="92" t="s">
        <v>16044</v>
      </c>
      <c r="E2430" s="94">
        <v>45113.55600694445</v>
      </c>
      <c r="F2430" s="94">
        <v>45113.55600694445</v>
      </c>
    </row>
    <row r="2431">
      <c r="A2431" s="93">
        <v>1484.0</v>
      </c>
      <c r="B2431" s="92" t="s">
        <v>17916</v>
      </c>
      <c r="C2431" s="92" t="s">
        <v>11219</v>
      </c>
      <c r="D2431" s="92" t="s">
        <v>16044</v>
      </c>
      <c r="E2431" s="94">
        <v>45113.555972222224</v>
      </c>
      <c r="F2431" s="94">
        <v>45113.555972222224</v>
      </c>
    </row>
    <row r="2432">
      <c r="A2432" s="93">
        <v>1481.0</v>
      </c>
      <c r="B2432" s="92" t="s">
        <v>17917</v>
      </c>
      <c r="C2432" s="92" t="s">
        <v>13469</v>
      </c>
      <c r="D2432" s="92" t="s">
        <v>16044</v>
      </c>
      <c r="E2432" s="94">
        <v>45113.5559375</v>
      </c>
      <c r="F2432" s="94">
        <v>45113.5559375</v>
      </c>
    </row>
    <row r="2433">
      <c r="A2433" s="93">
        <v>1473.0</v>
      </c>
      <c r="B2433" s="92" t="s">
        <v>17918</v>
      </c>
      <c r="C2433" s="92" t="s">
        <v>12871</v>
      </c>
      <c r="D2433" s="92" t="s">
        <v>16044</v>
      </c>
      <c r="E2433" s="94">
        <v>45113.55582175926</v>
      </c>
      <c r="F2433" s="94">
        <v>45113.55582175926</v>
      </c>
    </row>
    <row r="2434">
      <c r="A2434" s="93">
        <v>1472.0</v>
      </c>
      <c r="B2434" s="92" t="s">
        <v>17919</v>
      </c>
      <c r="C2434" s="92" t="s">
        <v>15039</v>
      </c>
      <c r="D2434" s="92" t="s">
        <v>16044</v>
      </c>
      <c r="E2434" s="94">
        <v>45113.55579861111</v>
      </c>
      <c r="F2434" s="94">
        <v>45113.55579861111</v>
      </c>
    </row>
    <row r="2435">
      <c r="A2435" s="93">
        <v>1454.0</v>
      </c>
      <c r="B2435" s="92" t="s">
        <v>17920</v>
      </c>
      <c r="C2435" s="92" t="s">
        <v>15023</v>
      </c>
      <c r="D2435" s="92" t="s">
        <v>16044</v>
      </c>
      <c r="E2435" s="94">
        <v>45113.55554398148</v>
      </c>
      <c r="F2435" s="94">
        <v>45113.55554398148</v>
      </c>
    </row>
    <row r="2436">
      <c r="A2436" s="93">
        <v>1428.0</v>
      </c>
      <c r="B2436" s="92" t="s">
        <v>17921</v>
      </c>
      <c r="C2436" s="92" t="s">
        <v>14661</v>
      </c>
      <c r="D2436" s="92" t="s">
        <v>16044</v>
      </c>
      <c r="E2436" s="94">
        <v>45113.55516203704</v>
      </c>
      <c r="F2436" s="94">
        <v>45113.55516203704</v>
      </c>
    </row>
    <row r="2437">
      <c r="A2437" s="93">
        <v>1426.0</v>
      </c>
      <c r="B2437" s="92" t="s">
        <v>17922</v>
      </c>
      <c r="C2437" s="92" t="s">
        <v>5290</v>
      </c>
      <c r="D2437" s="92" t="s">
        <v>16044</v>
      </c>
      <c r="E2437" s="94">
        <v>45113.555127314816</v>
      </c>
      <c r="F2437" s="94">
        <v>45113.555127314816</v>
      </c>
    </row>
    <row r="2438">
      <c r="A2438" s="93">
        <v>1425.0</v>
      </c>
      <c r="B2438" s="92" t="s">
        <v>17923</v>
      </c>
      <c r="C2438" s="92" t="s">
        <v>6398</v>
      </c>
      <c r="D2438" s="92" t="s">
        <v>16044</v>
      </c>
      <c r="E2438" s="94">
        <v>45113.55511574074</v>
      </c>
      <c r="F2438" s="94">
        <v>45113.55511574074</v>
      </c>
    </row>
    <row r="2439">
      <c r="A2439" s="93">
        <v>1423.0</v>
      </c>
      <c r="B2439" s="92" t="s">
        <v>17924</v>
      </c>
      <c r="C2439" s="92" t="s">
        <v>13820</v>
      </c>
      <c r="D2439" s="92" t="s">
        <v>16044</v>
      </c>
      <c r="E2439" s="94">
        <v>45113.555081018516</v>
      </c>
      <c r="F2439" s="94">
        <v>45113.555081018516</v>
      </c>
    </row>
    <row r="2440">
      <c r="A2440" s="93">
        <v>1419.0</v>
      </c>
      <c r="B2440" s="92" t="s">
        <v>19525</v>
      </c>
      <c r="C2440" s="92" t="s">
        <v>13300</v>
      </c>
      <c r="D2440" s="92" t="s">
        <v>16044</v>
      </c>
      <c r="E2440" s="94">
        <v>45113.55502314815</v>
      </c>
      <c r="F2440" s="94">
        <v>45113.55502314815</v>
      </c>
    </row>
    <row r="2441">
      <c r="A2441" s="93">
        <v>1417.0</v>
      </c>
      <c r="B2441" s="92" t="s">
        <v>17436</v>
      </c>
      <c r="C2441" s="92" t="s">
        <v>12982</v>
      </c>
      <c r="D2441" s="92" t="s">
        <v>16044</v>
      </c>
      <c r="E2441" s="94">
        <v>45113.555</v>
      </c>
      <c r="F2441" s="94">
        <v>45113.555</v>
      </c>
    </row>
    <row r="2442">
      <c r="A2442" s="93">
        <v>1414.0</v>
      </c>
      <c r="B2442" s="92" t="s">
        <v>17926</v>
      </c>
      <c r="C2442" s="92" t="s">
        <v>10432</v>
      </c>
      <c r="D2442" s="92" t="s">
        <v>16044</v>
      </c>
      <c r="E2442" s="94">
        <v>45113.5549537037</v>
      </c>
      <c r="F2442" s="94">
        <v>45113.5549537037</v>
      </c>
    </row>
    <row r="2443">
      <c r="A2443" s="93">
        <v>1407.0</v>
      </c>
      <c r="B2443" s="92" t="s">
        <v>17927</v>
      </c>
      <c r="C2443" s="92" t="s">
        <v>14873</v>
      </c>
      <c r="D2443" s="92" t="s">
        <v>16044</v>
      </c>
      <c r="E2443" s="94">
        <v>45113.55484953704</v>
      </c>
      <c r="F2443" s="94">
        <v>45113.55484953704</v>
      </c>
    </row>
    <row r="2444">
      <c r="A2444" s="93">
        <v>1405.0</v>
      </c>
      <c r="B2444" s="92" t="s">
        <v>17928</v>
      </c>
      <c r="C2444" s="92" t="s">
        <v>9423</v>
      </c>
      <c r="D2444" s="92" t="s">
        <v>16044</v>
      </c>
      <c r="E2444" s="94">
        <v>45113.55482638889</v>
      </c>
      <c r="F2444" s="94">
        <v>45113.55482638889</v>
      </c>
    </row>
    <row r="2445">
      <c r="A2445" s="93">
        <v>1396.0</v>
      </c>
      <c r="B2445" s="92" t="s">
        <v>17929</v>
      </c>
      <c r="C2445" s="92" t="s">
        <v>15171</v>
      </c>
      <c r="D2445" s="92" t="s">
        <v>16044</v>
      </c>
      <c r="E2445" s="94">
        <v>45113.5546875</v>
      </c>
      <c r="F2445" s="94">
        <v>45113.5546875</v>
      </c>
    </row>
    <row r="2446">
      <c r="A2446" s="93">
        <v>1387.0</v>
      </c>
      <c r="B2446" s="92" t="s">
        <v>17930</v>
      </c>
      <c r="C2446" s="92" t="s">
        <v>12841</v>
      </c>
      <c r="D2446" s="92" t="s">
        <v>16044</v>
      </c>
      <c r="E2446" s="94">
        <v>45113.554560185185</v>
      </c>
      <c r="F2446" s="94">
        <v>45113.554560185185</v>
      </c>
    </row>
    <row r="2447">
      <c r="A2447" s="93">
        <v>1371.0</v>
      </c>
      <c r="B2447" s="92" t="s">
        <v>5133</v>
      </c>
      <c r="C2447" s="92" t="s">
        <v>12893</v>
      </c>
      <c r="D2447" s="92" t="s">
        <v>16044</v>
      </c>
      <c r="E2447" s="94">
        <v>45113.55432870371</v>
      </c>
      <c r="F2447" s="94">
        <v>45113.55432870371</v>
      </c>
    </row>
    <row r="2448">
      <c r="A2448" s="93">
        <v>1368.0</v>
      </c>
      <c r="B2448" s="92" t="s">
        <v>17931</v>
      </c>
      <c r="C2448" s="92" t="s">
        <v>5166</v>
      </c>
      <c r="D2448" s="92" t="s">
        <v>16044</v>
      </c>
      <c r="E2448" s="94">
        <v>45113.55428240741</v>
      </c>
      <c r="F2448" s="94">
        <v>45113.55428240741</v>
      </c>
    </row>
    <row r="2449">
      <c r="A2449" s="93">
        <v>1366.0</v>
      </c>
      <c r="B2449" s="92" t="s">
        <v>17932</v>
      </c>
      <c r="C2449" s="92" t="s">
        <v>11064</v>
      </c>
      <c r="D2449" s="92" t="s">
        <v>16044</v>
      </c>
      <c r="E2449" s="94">
        <v>45113.554247685184</v>
      </c>
      <c r="F2449" s="94">
        <v>45113.554247685184</v>
      </c>
    </row>
    <row r="2450">
      <c r="A2450" s="93">
        <v>1355.0</v>
      </c>
      <c r="B2450" s="92" t="s">
        <v>17933</v>
      </c>
      <c r="C2450" s="92" t="s">
        <v>15932</v>
      </c>
      <c r="D2450" s="92" t="s">
        <v>16044</v>
      </c>
      <c r="E2450" s="94">
        <v>45113.554085648146</v>
      </c>
      <c r="F2450" s="94">
        <v>45113.554085648146</v>
      </c>
    </row>
    <row r="2451">
      <c r="A2451" s="93">
        <v>1354.0</v>
      </c>
      <c r="B2451" s="92" t="s">
        <v>17934</v>
      </c>
      <c r="C2451" s="92" t="s">
        <v>12808</v>
      </c>
      <c r="D2451" s="92" t="s">
        <v>16044</v>
      </c>
      <c r="E2451" s="94">
        <v>45113.554074074076</v>
      </c>
      <c r="F2451" s="94">
        <v>45113.554074074076</v>
      </c>
    </row>
    <row r="2452">
      <c r="A2452" s="93">
        <v>1351.0</v>
      </c>
      <c r="B2452" s="92" t="s">
        <v>17935</v>
      </c>
      <c r="C2452" s="92" t="s">
        <v>7777</v>
      </c>
      <c r="D2452" s="92" t="s">
        <v>16044</v>
      </c>
      <c r="E2452" s="94">
        <v>45113.554027777776</v>
      </c>
      <c r="F2452" s="94">
        <v>45113.554027777776</v>
      </c>
    </row>
    <row r="2453">
      <c r="A2453" s="93">
        <v>1350.0</v>
      </c>
      <c r="B2453" s="92" t="s">
        <v>17936</v>
      </c>
      <c r="C2453" s="92" t="s">
        <v>6770</v>
      </c>
      <c r="D2453" s="92" t="s">
        <v>16044</v>
      </c>
      <c r="E2453" s="94">
        <v>45113.55401620371</v>
      </c>
      <c r="F2453" s="94">
        <v>45113.55401620371</v>
      </c>
    </row>
    <row r="2454">
      <c r="A2454" s="93">
        <v>1349.0</v>
      </c>
      <c r="B2454" s="92" t="s">
        <v>17937</v>
      </c>
      <c r="C2454" s="92" t="s">
        <v>10073</v>
      </c>
      <c r="D2454" s="92" t="s">
        <v>16044</v>
      </c>
      <c r="E2454" s="94">
        <v>45113.55400462963</v>
      </c>
      <c r="F2454" s="94">
        <v>45113.55400462963</v>
      </c>
    </row>
    <row r="2455">
      <c r="A2455" s="93">
        <v>1347.0</v>
      </c>
      <c r="B2455" s="92" t="s">
        <v>17938</v>
      </c>
      <c r="C2455" s="92" t="s">
        <v>14884</v>
      </c>
      <c r="D2455" s="92" t="s">
        <v>16044</v>
      </c>
      <c r="E2455" s="94">
        <v>45113.55396990741</v>
      </c>
      <c r="F2455" s="94">
        <v>45113.55396990741</v>
      </c>
    </row>
    <row r="2456">
      <c r="A2456" s="93">
        <v>1331.0</v>
      </c>
      <c r="B2456" s="92" t="s">
        <v>17939</v>
      </c>
      <c r="C2456" s="92" t="s">
        <v>14268</v>
      </c>
      <c r="D2456" s="92" t="s">
        <v>16044</v>
      </c>
      <c r="E2456" s="94">
        <v>45113.55373842592</v>
      </c>
      <c r="F2456" s="94">
        <v>45113.55373842592</v>
      </c>
    </row>
    <row r="2457">
      <c r="A2457" s="93">
        <v>1329.0</v>
      </c>
      <c r="B2457" s="92" t="s">
        <v>17940</v>
      </c>
      <c r="C2457" s="92" t="s">
        <v>19526</v>
      </c>
      <c r="D2457" s="92" t="s">
        <v>16044</v>
      </c>
      <c r="E2457" s="94">
        <v>45113.553715277776</v>
      </c>
      <c r="F2457" s="94">
        <v>45113.553715277776</v>
      </c>
    </row>
    <row r="2458">
      <c r="A2458" s="93">
        <v>1322.0</v>
      </c>
      <c r="B2458" s="92" t="s">
        <v>17941</v>
      </c>
      <c r="C2458" s="92" t="s">
        <v>12760</v>
      </c>
      <c r="D2458" s="92" t="s">
        <v>16044</v>
      </c>
      <c r="E2458" s="94">
        <v>45113.553611111114</v>
      </c>
      <c r="F2458" s="94">
        <v>45113.553611111114</v>
      </c>
    </row>
    <row r="2459">
      <c r="A2459" s="93">
        <v>1317.0</v>
      </c>
      <c r="B2459" s="92" t="s">
        <v>17942</v>
      </c>
      <c r="C2459" s="92" t="s">
        <v>7630</v>
      </c>
      <c r="D2459" s="92" t="s">
        <v>16044</v>
      </c>
      <c r="E2459" s="94">
        <v>45113.55354166667</v>
      </c>
      <c r="F2459" s="94">
        <v>45113.55354166667</v>
      </c>
    </row>
    <row r="2460">
      <c r="A2460" s="93">
        <v>1308.0</v>
      </c>
      <c r="B2460" s="92" t="s">
        <v>17943</v>
      </c>
      <c r="C2460" s="92" t="s">
        <v>11169</v>
      </c>
      <c r="D2460" s="92" t="s">
        <v>16044</v>
      </c>
      <c r="E2460" s="94">
        <v>45113.553402777776</v>
      </c>
      <c r="F2460" s="94">
        <v>45113.553402777776</v>
      </c>
    </row>
    <row r="2461">
      <c r="A2461" s="93">
        <v>1307.0</v>
      </c>
      <c r="B2461" s="92" t="s">
        <v>17944</v>
      </c>
      <c r="C2461" s="92" t="s">
        <v>14723</v>
      </c>
      <c r="D2461" s="92" t="s">
        <v>16044</v>
      </c>
      <c r="E2461" s="94">
        <v>45113.553391203706</v>
      </c>
      <c r="F2461" s="94">
        <v>45113.553391203706</v>
      </c>
    </row>
    <row r="2462">
      <c r="A2462" s="93">
        <v>1300.0</v>
      </c>
      <c r="B2462" s="92" t="s">
        <v>17945</v>
      </c>
      <c r="C2462" s="92" t="s">
        <v>13672</v>
      </c>
      <c r="D2462" s="92" t="s">
        <v>16044</v>
      </c>
      <c r="E2462" s="94">
        <v>45113.55328703704</v>
      </c>
      <c r="F2462" s="94">
        <v>45113.55328703704</v>
      </c>
    </row>
    <row r="2463">
      <c r="A2463" s="93">
        <v>1297.0</v>
      </c>
      <c r="B2463" s="92" t="s">
        <v>17479</v>
      </c>
      <c r="C2463" s="92" t="s">
        <v>5400</v>
      </c>
      <c r="D2463" s="92" t="s">
        <v>16044</v>
      </c>
      <c r="E2463" s="94">
        <v>45113.553252314814</v>
      </c>
      <c r="F2463" s="94">
        <v>45113.553252314814</v>
      </c>
    </row>
    <row r="2464">
      <c r="A2464" s="93">
        <v>1293.0</v>
      </c>
      <c r="B2464" s="92" t="s">
        <v>17946</v>
      </c>
      <c r="C2464" s="92" t="s">
        <v>7828</v>
      </c>
      <c r="D2464" s="92" t="s">
        <v>16044</v>
      </c>
      <c r="E2464" s="94">
        <v>45113.55318287037</v>
      </c>
      <c r="F2464" s="94">
        <v>45113.55318287037</v>
      </c>
    </row>
    <row r="2465">
      <c r="A2465" s="93">
        <v>1284.0</v>
      </c>
      <c r="B2465" s="92" t="s">
        <v>17947</v>
      </c>
      <c r="C2465" s="92" t="s">
        <v>14326</v>
      </c>
      <c r="D2465" s="92" t="s">
        <v>16044</v>
      </c>
      <c r="E2465" s="94">
        <v>45113.55305555555</v>
      </c>
      <c r="F2465" s="94">
        <v>45113.55305555555</v>
      </c>
    </row>
    <row r="2466">
      <c r="A2466" s="93">
        <v>1280.0</v>
      </c>
      <c r="B2466" s="92" t="s">
        <v>17948</v>
      </c>
      <c r="C2466" s="92" t="s">
        <v>14297</v>
      </c>
      <c r="D2466" s="92" t="s">
        <v>16044</v>
      </c>
      <c r="E2466" s="94">
        <v>45113.55299768518</v>
      </c>
      <c r="F2466" s="94">
        <v>45113.55299768518</v>
      </c>
    </row>
    <row r="2467">
      <c r="A2467" s="93">
        <v>1277.0</v>
      </c>
      <c r="B2467" s="92" t="s">
        <v>19527</v>
      </c>
      <c r="C2467" s="92" t="s">
        <v>11753</v>
      </c>
      <c r="D2467" s="92" t="s">
        <v>16044</v>
      </c>
      <c r="E2467" s="94">
        <v>45113.55295138889</v>
      </c>
      <c r="F2467" s="94">
        <v>45113.55295138889</v>
      </c>
    </row>
    <row r="2468">
      <c r="A2468" s="93">
        <v>1275.0</v>
      </c>
      <c r="B2468" s="92" t="s">
        <v>17950</v>
      </c>
      <c r="C2468" s="92" t="s">
        <v>10590</v>
      </c>
      <c r="D2468" s="92" t="s">
        <v>16044</v>
      </c>
      <c r="E2468" s="94">
        <v>45113.552928240744</v>
      </c>
      <c r="F2468" s="94">
        <v>45113.552928240744</v>
      </c>
    </row>
    <row r="2469">
      <c r="A2469" s="93">
        <v>1272.0</v>
      </c>
      <c r="B2469" s="92" t="s">
        <v>17951</v>
      </c>
      <c r="C2469" s="92" t="s">
        <v>9087</v>
      </c>
      <c r="D2469" s="92" t="s">
        <v>16044</v>
      </c>
      <c r="E2469" s="94">
        <v>45113.552881944444</v>
      </c>
      <c r="F2469" s="94">
        <v>45113.552881944444</v>
      </c>
    </row>
    <row r="2470">
      <c r="A2470" s="93">
        <v>1269.0</v>
      </c>
      <c r="B2470" s="92" t="s">
        <v>12493</v>
      </c>
      <c r="C2470" s="92" t="s">
        <v>10872</v>
      </c>
      <c r="D2470" s="92" t="s">
        <v>16044</v>
      </c>
      <c r="E2470" s="94">
        <v>45113.552835648145</v>
      </c>
      <c r="F2470" s="94">
        <v>45113.552835648145</v>
      </c>
    </row>
    <row r="2471">
      <c r="A2471" s="93">
        <v>1265.0</v>
      </c>
      <c r="B2471" s="92" t="s">
        <v>17952</v>
      </c>
      <c r="C2471" s="92" t="s">
        <v>7881</v>
      </c>
      <c r="D2471" s="92" t="s">
        <v>16044</v>
      </c>
      <c r="E2471" s="94">
        <v>45113.552777777775</v>
      </c>
      <c r="F2471" s="94">
        <v>45113.552777777775</v>
      </c>
    </row>
    <row r="2472">
      <c r="A2472" s="93">
        <v>1255.0</v>
      </c>
      <c r="B2472" s="92" t="s">
        <v>17953</v>
      </c>
      <c r="C2472" s="92" t="s">
        <v>6776</v>
      </c>
      <c r="D2472" s="92" t="s">
        <v>16044</v>
      </c>
      <c r="E2472" s="94">
        <v>45113.55262731481</v>
      </c>
      <c r="F2472" s="94">
        <v>45113.55262731481</v>
      </c>
    </row>
    <row r="2473">
      <c r="A2473" s="93">
        <v>1239.0</v>
      </c>
      <c r="B2473" s="92" t="s">
        <v>17954</v>
      </c>
      <c r="C2473" s="92" t="s">
        <v>6453</v>
      </c>
      <c r="D2473" s="92" t="s">
        <v>16044</v>
      </c>
      <c r="E2473" s="94">
        <v>45113.552395833336</v>
      </c>
      <c r="F2473" s="94">
        <v>45113.552395833336</v>
      </c>
    </row>
    <row r="2474">
      <c r="A2474" s="93">
        <v>1237.0</v>
      </c>
      <c r="B2474" s="92" t="s">
        <v>17940</v>
      </c>
      <c r="C2474" s="92" t="s">
        <v>7002</v>
      </c>
      <c r="D2474" s="92" t="s">
        <v>16044</v>
      </c>
      <c r="E2474" s="94">
        <v>45113.55237268518</v>
      </c>
      <c r="F2474" s="94">
        <v>45113.55237268518</v>
      </c>
    </row>
    <row r="2475">
      <c r="A2475" s="93">
        <v>1233.0</v>
      </c>
      <c r="B2475" s="92" t="s">
        <v>17000</v>
      </c>
      <c r="C2475" s="92" t="s">
        <v>8980</v>
      </c>
      <c r="D2475" s="92" t="s">
        <v>16044</v>
      </c>
      <c r="E2475" s="94">
        <v>45113.55231481481</v>
      </c>
      <c r="F2475" s="94">
        <v>45113.55231481481</v>
      </c>
    </row>
    <row r="2476">
      <c r="A2476" s="93">
        <v>1217.0</v>
      </c>
      <c r="B2476" s="92" t="s">
        <v>17955</v>
      </c>
      <c r="C2476" s="92" t="s">
        <v>15895</v>
      </c>
      <c r="D2476" s="92" t="s">
        <v>16044</v>
      </c>
      <c r="E2476" s="94">
        <v>45113.552083333336</v>
      </c>
      <c r="F2476" s="94">
        <v>45113.552083333336</v>
      </c>
    </row>
    <row r="2477">
      <c r="A2477" s="93">
        <v>1215.0</v>
      </c>
      <c r="B2477" s="92" t="s">
        <v>17956</v>
      </c>
      <c r="C2477" s="92" t="s">
        <v>7078</v>
      </c>
      <c r="D2477" s="92" t="s">
        <v>16044</v>
      </c>
      <c r="E2477" s="94">
        <v>45113.55204861111</v>
      </c>
      <c r="F2477" s="94">
        <v>45113.55204861111</v>
      </c>
    </row>
    <row r="2478">
      <c r="A2478" s="93">
        <v>1201.0</v>
      </c>
      <c r="B2478" s="92" t="s">
        <v>17957</v>
      </c>
      <c r="C2478" s="92" t="s">
        <v>13800</v>
      </c>
      <c r="D2478" s="92" t="s">
        <v>16044</v>
      </c>
      <c r="E2478" s="94">
        <v>45113.55185185185</v>
      </c>
      <c r="F2478" s="94">
        <v>45113.55185185185</v>
      </c>
    </row>
    <row r="2479">
      <c r="A2479" s="93">
        <v>1195.0</v>
      </c>
      <c r="B2479" s="92" t="s">
        <v>17958</v>
      </c>
      <c r="C2479" s="92" t="s">
        <v>6059</v>
      </c>
      <c r="D2479" s="92" t="s">
        <v>16044</v>
      </c>
      <c r="E2479" s="94">
        <v>45113.55175925926</v>
      </c>
      <c r="F2479" s="94">
        <v>45113.55175925926</v>
      </c>
    </row>
    <row r="2480">
      <c r="A2480" s="93">
        <v>1180.0</v>
      </c>
      <c r="B2480" s="92" t="s">
        <v>17959</v>
      </c>
      <c r="C2480" s="92" t="s">
        <v>15868</v>
      </c>
      <c r="D2480" s="92" t="s">
        <v>16044</v>
      </c>
      <c r="E2480" s="94">
        <v>45113.55153935185</v>
      </c>
      <c r="F2480" s="94">
        <v>45113.55153935185</v>
      </c>
    </row>
    <row r="2481">
      <c r="A2481" s="93">
        <v>1175.0</v>
      </c>
      <c r="B2481" s="92" t="s">
        <v>17960</v>
      </c>
      <c r="C2481" s="92" t="s">
        <v>14331</v>
      </c>
      <c r="D2481" s="92" t="s">
        <v>16044</v>
      </c>
      <c r="E2481" s="94">
        <v>45113.551469907405</v>
      </c>
      <c r="F2481" s="94">
        <v>45113.551469907405</v>
      </c>
    </row>
    <row r="2482">
      <c r="A2482" s="93">
        <v>1166.0</v>
      </c>
      <c r="B2482" s="92" t="s">
        <v>17961</v>
      </c>
      <c r="C2482" s="92" t="s">
        <v>15509</v>
      </c>
      <c r="D2482" s="92" t="s">
        <v>16044</v>
      </c>
      <c r="E2482" s="94">
        <v>45113.55134259259</v>
      </c>
      <c r="F2482" s="94">
        <v>45113.55134259259</v>
      </c>
    </row>
    <row r="2483">
      <c r="A2483" s="93">
        <v>1157.0</v>
      </c>
      <c r="B2483" s="92" t="s">
        <v>17962</v>
      </c>
      <c r="C2483" s="92" t="s">
        <v>9015</v>
      </c>
      <c r="D2483" s="92" t="s">
        <v>16044</v>
      </c>
      <c r="E2483" s="94">
        <v>45113.551203703704</v>
      </c>
      <c r="F2483" s="94">
        <v>45113.551203703704</v>
      </c>
    </row>
    <row r="2484">
      <c r="A2484" s="93">
        <v>1152.0</v>
      </c>
      <c r="B2484" s="92" t="s">
        <v>17963</v>
      </c>
      <c r="C2484" s="92" t="s">
        <v>13759</v>
      </c>
      <c r="D2484" s="92" t="s">
        <v>16044</v>
      </c>
      <c r="E2484" s="94">
        <v>45113.55113425926</v>
      </c>
      <c r="F2484" s="94">
        <v>45113.55113425926</v>
      </c>
    </row>
    <row r="2485">
      <c r="A2485" s="93">
        <v>1130.0</v>
      </c>
      <c r="B2485" s="92" t="s">
        <v>17964</v>
      </c>
      <c r="C2485" s="92" t="s">
        <v>7544</v>
      </c>
      <c r="D2485" s="92" t="s">
        <v>16044</v>
      </c>
      <c r="E2485" s="94">
        <v>45113.55081018519</v>
      </c>
      <c r="F2485" s="94">
        <v>45113.55081018519</v>
      </c>
    </row>
    <row r="2486">
      <c r="A2486" s="93">
        <v>1125.0</v>
      </c>
      <c r="B2486" s="92" t="s">
        <v>17965</v>
      </c>
      <c r="C2486" s="92" t="s">
        <v>15743</v>
      </c>
      <c r="D2486" s="92" t="s">
        <v>16044</v>
      </c>
      <c r="E2486" s="94">
        <v>45113.55074074074</v>
      </c>
      <c r="F2486" s="94">
        <v>45113.55074074074</v>
      </c>
    </row>
    <row r="2487">
      <c r="A2487" s="93">
        <v>1116.0</v>
      </c>
      <c r="B2487" s="92" t="s">
        <v>17966</v>
      </c>
      <c r="C2487" s="92" t="s">
        <v>8709</v>
      </c>
      <c r="D2487" s="92" t="s">
        <v>16044</v>
      </c>
      <c r="E2487" s="94">
        <v>45113.55061342593</v>
      </c>
      <c r="F2487" s="94">
        <v>45113.55061342593</v>
      </c>
    </row>
    <row r="2488">
      <c r="A2488" s="93">
        <v>1113.0</v>
      </c>
      <c r="B2488" s="92" t="s">
        <v>17967</v>
      </c>
      <c r="C2488" s="92" t="s">
        <v>14696</v>
      </c>
      <c r="D2488" s="92" t="s">
        <v>16044</v>
      </c>
      <c r="E2488" s="94">
        <v>45113.55054398148</v>
      </c>
      <c r="F2488" s="94">
        <v>45113.55054398148</v>
      </c>
    </row>
    <row r="2489">
      <c r="A2489" s="93">
        <v>1109.0</v>
      </c>
      <c r="B2489" s="92" t="s">
        <v>17968</v>
      </c>
      <c r="C2489" s="92" t="s">
        <v>8764</v>
      </c>
      <c r="D2489" s="92" t="s">
        <v>16044</v>
      </c>
      <c r="E2489" s="94">
        <v>45113.55048611111</v>
      </c>
      <c r="F2489" s="94">
        <v>45113.55048611111</v>
      </c>
    </row>
    <row r="2490">
      <c r="A2490" s="93">
        <v>1103.0</v>
      </c>
      <c r="B2490" s="92" t="s">
        <v>17970</v>
      </c>
      <c r="C2490" s="92" t="s">
        <v>13733</v>
      </c>
      <c r="D2490" s="92" t="s">
        <v>16044</v>
      </c>
      <c r="E2490" s="94">
        <v>45113.55039351852</v>
      </c>
      <c r="F2490" s="94">
        <v>45113.55039351852</v>
      </c>
    </row>
    <row r="2491">
      <c r="A2491" s="93">
        <v>1088.0</v>
      </c>
      <c r="B2491" s="92" t="s">
        <v>17971</v>
      </c>
      <c r="C2491" s="92" t="s">
        <v>13712</v>
      </c>
      <c r="D2491" s="92" t="s">
        <v>16044</v>
      </c>
      <c r="E2491" s="94">
        <v>45113.55017361111</v>
      </c>
      <c r="F2491" s="94">
        <v>45113.55017361111</v>
      </c>
    </row>
    <row r="2492">
      <c r="A2492" s="93">
        <v>1085.0</v>
      </c>
      <c r="B2492" s="92" t="s">
        <v>17972</v>
      </c>
      <c r="C2492" s="92" t="s">
        <v>13697</v>
      </c>
      <c r="D2492" s="92" t="s">
        <v>16044</v>
      </c>
      <c r="E2492" s="94">
        <v>45113.55013888889</v>
      </c>
      <c r="F2492" s="94">
        <v>45113.55013888889</v>
      </c>
    </row>
    <row r="2493">
      <c r="A2493" s="93">
        <v>1079.0</v>
      </c>
      <c r="B2493" s="92" t="s">
        <v>17973</v>
      </c>
      <c r="C2493" s="92" t="s">
        <v>15715</v>
      </c>
      <c r="D2493" s="92" t="s">
        <v>16044</v>
      </c>
      <c r="E2493" s="94">
        <v>45113.550046296295</v>
      </c>
      <c r="F2493" s="94">
        <v>45113.550046296295</v>
      </c>
    </row>
    <row r="2494">
      <c r="A2494" s="93">
        <v>1071.0</v>
      </c>
      <c r="B2494" s="92" t="s">
        <v>17974</v>
      </c>
      <c r="C2494" s="92" t="s">
        <v>13666</v>
      </c>
      <c r="D2494" s="92" t="s">
        <v>16044</v>
      </c>
      <c r="E2494" s="94">
        <v>45113.54993055556</v>
      </c>
      <c r="F2494" s="94">
        <v>45113.54993055556</v>
      </c>
    </row>
    <row r="2495">
      <c r="A2495" s="93">
        <v>1062.0</v>
      </c>
      <c r="B2495" s="92" t="s">
        <v>17975</v>
      </c>
      <c r="C2495" s="92" t="s">
        <v>15193</v>
      </c>
      <c r="D2495" s="92" t="s">
        <v>16044</v>
      </c>
      <c r="E2495" s="94">
        <v>45113.549780092595</v>
      </c>
      <c r="F2495" s="94">
        <v>45113.549780092595</v>
      </c>
    </row>
    <row r="2496">
      <c r="A2496" s="93">
        <v>1059.0</v>
      </c>
      <c r="B2496" s="92" t="s">
        <v>17976</v>
      </c>
      <c r="C2496" s="92" t="s">
        <v>15032</v>
      </c>
      <c r="D2496" s="92" t="s">
        <v>16044</v>
      </c>
      <c r="E2496" s="94">
        <v>45113.549733796295</v>
      </c>
      <c r="F2496" s="94">
        <v>45113.549733796295</v>
      </c>
    </row>
    <row r="2497">
      <c r="A2497" s="93">
        <v>1056.0</v>
      </c>
      <c r="B2497" s="92" t="s">
        <v>17977</v>
      </c>
      <c r="C2497" s="92" t="s">
        <v>16021</v>
      </c>
      <c r="D2497" s="92" t="s">
        <v>16044</v>
      </c>
      <c r="E2497" s="94">
        <v>45113.54969907407</v>
      </c>
      <c r="F2497" s="94">
        <v>45113.54969907407</v>
      </c>
    </row>
    <row r="2498">
      <c r="A2498" s="93">
        <v>1055.0</v>
      </c>
      <c r="B2498" s="92" t="s">
        <v>17978</v>
      </c>
      <c r="C2498" s="92" t="s">
        <v>13128</v>
      </c>
      <c r="D2498" s="92" t="s">
        <v>16044</v>
      </c>
      <c r="E2498" s="94">
        <v>45113.549675925926</v>
      </c>
      <c r="F2498" s="94">
        <v>45113.549675925926</v>
      </c>
    </row>
    <row r="2499">
      <c r="A2499" s="93">
        <v>1048.0</v>
      </c>
      <c r="B2499" s="92" t="s">
        <v>84</v>
      </c>
      <c r="C2499" s="92" t="s">
        <v>14657</v>
      </c>
      <c r="D2499" s="92" t="s">
        <v>16044</v>
      </c>
      <c r="E2499" s="94">
        <v>45113.54958333333</v>
      </c>
      <c r="F2499" s="94">
        <v>45113.54958333333</v>
      </c>
    </row>
    <row r="2500">
      <c r="A2500" s="93">
        <v>1044.0</v>
      </c>
      <c r="B2500" s="92" t="s">
        <v>17979</v>
      </c>
      <c r="C2500" s="92" t="s">
        <v>6232</v>
      </c>
      <c r="D2500" s="92" t="s">
        <v>16044</v>
      </c>
      <c r="E2500" s="94">
        <v>45113.54951388889</v>
      </c>
      <c r="F2500" s="94">
        <v>45113.54951388889</v>
      </c>
    </row>
    <row r="2501">
      <c r="A2501" s="93">
        <v>1025.0</v>
      </c>
      <c r="B2501" s="92" t="s">
        <v>19528</v>
      </c>
      <c r="C2501" s="92" t="s">
        <v>16046</v>
      </c>
      <c r="D2501" s="92" t="s">
        <v>16044</v>
      </c>
      <c r="E2501" s="94">
        <v>45113.54924768519</v>
      </c>
      <c r="F2501" s="94">
        <v>45113.54924768519</v>
      </c>
    </row>
    <row r="2502">
      <c r="A2502" s="93">
        <v>1018.0</v>
      </c>
      <c r="B2502" s="92" t="s">
        <v>17980</v>
      </c>
      <c r="C2502" s="92" t="s">
        <v>5600</v>
      </c>
      <c r="D2502" s="92" t="s">
        <v>16044</v>
      </c>
      <c r="E2502" s="94">
        <v>45113.54914351852</v>
      </c>
      <c r="F2502" s="94">
        <v>45113.54914351852</v>
      </c>
    </row>
    <row r="2503">
      <c r="A2503" s="93">
        <v>1011.0</v>
      </c>
      <c r="B2503" s="92" t="s">
        <v>17981</v>
      </c>
      <c r="C2503" s="92" t="s">
        <v>16017</v>
      </c>
      <c r="D2503" s="92" t="s">
        <v>16044</v>
      </c>
      <c r="E2503" s="94">
        <v>45113.54903935185</v>
      </c>
      <c r="F2503" s="94">
        <v>45113.54903935185</v>
      </c>
    </row>
    <row r="2504">
      <c r="A2504" s="93">
        <v>1010.0</v>
      </c>
      <c r="B2504" s="92" t="s">
        <v>17982</v>
      </c>
      <c r="C2504" s="92" t="s">
        <v>12766</v>
      </c>
      <c r="D2504" s="92" t="s">
        <v>16044</v>
      </c>
      <c r="E2504" s="94">
        <v>45113.54902777778</v>
      </c>
      <c r="F2504" s="94">
        <v>45113.54902777778</v>
      </c>
    </row>
    <row r="2505">
      <c r="A2505" s="93">
        <v>1000.0</v>
      </c>
      <c r="B2505" s="92" t="s">
        <v>17983</v>
      </c>
      <c r="C2505" s="92" t="s">
        <v>14039</v>
      </c>
      <c r="D2505" s="92" t="s">
        <v>16044</v>
      </c>
      <c r="E2505" s="94">
        <v>45113.54887731482</v>
      </c>
      <c r="F2505" s="94">
        <v>45113.54887731482</v>
      </c>
    </row>
    <row r="2506">
      <c r="A2506" s="93">
        <v>999.0</v>
      </c>
      <c r="B2506" s="92" t="s">
        <v>17984</v>
      </c>
      <c r="C2506" s="92" t="s">
        <v>11179</v>
      </c>
      <c r="D2506" s="92" t="s">
        <v>16044</v>
      </c>
      <c r="E2506" s="94">
        <v>45113.54886574074</v>
      </c>
      <c r="F2506" s="94">
        <v>45113.54886574074</v>
      </c>
    </row>
    <row r="2507">
      <c r="A2507" s="93">
        <v>996.0</v>
      </c>
      <c r="B2507" s="92" t="s">
        <v>19529</v>
      </c>
      <c r="C2507" s="92" t="s">
        <v>15688</v>
      </c>
      <c r="D2507" s="92" t="s">
        <v>16044</v>
      </c>
      <c r="E2507" s="94">
        <v>45113.54881944445</v>
      </c>
      <c r="F2507" s="94">
        <v>45113.54881944445</v>
      </c>
    </row>
    <row r="2508">
      <c r="A2508" s="93">
        <v>993.0</v>
      </c>
      <c r="B2508" s="92" t="s">
        <v>17985</v>
      </c>
      <c r="C2508" s="92" t="s">
        <v>10350</v>
      </c>
      <c r="D2508" s="92" t="s">
        <v>16044</v>
      </c>
      <c r="E2508" s="94">
        <v>45113.54877314815</v>
      </c>
      <c r="F2508" s="94">
        <v>45113.54877314815</v>
      </c>
    </row>
    <row r="2509">
      <c r="A2509" s="93">
        <v>992.0</v>
      </c>
      <c r="B2509" s="92" t="s">
        <v>17986</v>
      </c>
      <c r="C2509" s="92" t="s">
        <v>10532</v>
      </c>
      <c r="D2509" s="92" t="s">
        <v>16044</v>
      </c>
      <c r="E2509" s="94">
        <v>45113.54876157407</v>
      </c>
      <c r="F2509" s="94">
        <v>45113.54876157407</v>
      </c>
    </row>
    <row r="2510">
      <c r="A2510" s="93">
        <v>990.0</v>
      </c>
      <c r="B2510" s="92" t="s">
        <v>17987</v>
      </c>
      <c r="C2510" s="92" t="s">
        <v>15586</v>
      </c>
      <c r="D2510" s="92" t="s">
        <v>16044</v>
      </c>
      <c r="E2510" s="94">
        <v>45113.548726851855</v>
      </c>
      <c r="F2510" s="94">
        <v>45113.548726851855</v>
      </c>
    </row>
    <row r="2511">
      <c r="A2511" s="93">
        <v>982.0</v>
      </c>
      <c r="B2511" s="92" t="s">
        <v>17988</v>
      </c>
      <c r="C2511" s="92" t="s">
        <v>15559</v>
      </c>
      <c r="D2511" s="92" t="s">
        <v>16044</v>
      </c>
      <c r="E2511" s="94">
        <v>45113.54861111111</v>
      </c>
      <c r="F2511" s="94">
        <v>45113.54861111111</v>
      </c>
    </row>
    <row r="2512">
      <c r="A2512" s="93">
        <v>977.0</v>
      </c>
      <c r="B2512" s="92" t="s">
        <v>17989</v>
      </c>
      <c r="C2512" s="92" t="s">
        <v>14676</v>
      </c>
      <c r="D2512" s="92" t="s">
        <v>16044</v>
      </c>
      <c r="E2512" s="94">
        <v>45113.54854166666</v>
      </c>
      <c r="F2512" s="94">
        <v>45113.54854166666</v>
      </c>
    </row>
    <row r="2513">
      <c r="A2513" s="93">
        <v>969.0</v>
      </c>
      <c r="B2513" s="92" t="s">
        <v>17990</v>
      </c>
      <c r="C2513" s="92" t="s">
        <v>14212</v>
      </c>
      <c r="D2513" s="92" t="s">
        <v>16044</v>
      </c>
      <c r="E2513" s="94">
        <v>45113.548425925925</v>
      </c>
      <c r="F2513" s="94">
        <v>45113.548425925925</v>
      </c>
    </row>
    <row r="2514">
      <c r="A2514" s="93">
        <v>960.0</v>
      </c>
      <c r="B2514" s="92" t="s">
        <v>17991</v>
      </c>
      <c r="C2514" s="92" t="s">
        <v>8753</v>
      </c>
      <c r="D2514" s="92" t="s">
        <v>16044</v>
      </c>
      <c r="E2514" s="94">
        <v>45113.54828703704</v>
      </c>
      <c r="F2514" s="94">
        <v>45113.54828703704</v>
      </c>
    </row>
    <row r="2515">
      <c r="A2515" s="93">
        <v>958.0</v>
      </c>
      <c r="B2515" s="92" t="s">
        <v>17992</v>
      </c>
      <c r="C2515" s="92" t="s">
        <v>8480</v>
      </c>
      <c r="D2515" s="92" t="s">
        <v>16044</v>
      </c>
      <c r="E2515" s="94">
        <v>45113.548263888886</v>
      </c>
      <c r="F2515" s="94">
        <v>45113.548263888886</v>
      </c>
    </row>
    <row r="2516">
      <c r="A2516" s="93">
        <v>957.0</v>
      </c>
      <c r="B2516" s="92" t="s">
        <v>17993</v>
      </c>
      <c r="C2516" s="92" t="s">
        <v>16013</v>
      </c>
      <c r="D2516" s="92" t="s">
        <v>16044</v>
      </c>
      <c r="E2516" s="94">
        <v>45113.54825231482</v>
      </c>
      <c r="F2516" s="94">
        <v>45113.54825231482</v>
      </c>
    </row>
    <row r="2517">
      <c r="A2517" s="93">
        <v>954.0</v>
      </c>
      <c r="B2517" s="92" t="s">
        <v>17994</v>
      </c>
      <c r="C2517" s="92" t="s">
        <v>10357</v>
      </c>
      <c r="D2517" s="92" t="s">
        <v>16044</v>
      </c>
      <c r="E2517" s="94">
        <v>45113.54820601852</v>
      </c>
      <c r="F2517" s="94">
        <v>45113.54820601852</v>
      </c>
    </row>
    <row r="2518">
      <c r="A2518" s="93">
        <v>941.0</v>
      </c>
      <c r="B2518" s="92" t="s">
        <v>17995</v>
      </c>
      <c r="C2518" s="92" t="s">
        <v>9770</v>
      </c>
      <c r="D2518" s="92" t="s">
        <v>16044</v>
      </c>
      <c r="E2518" s="94">
        <v>45113.54800925926</v>
      </c>
      <c r="F2518" s="94">
        <v>45113.54800925926</v>
      </c>
    </row>
    <row r="2519">
      <c r="A2519" s="93">
        <v>938.0</v>
      </c>
      <c r="B2519" s="92" t="s">
        <v>17996</v>
      </c>
      <c r="C2519" s="92" t="s">
        <v>14320</v>
      </c>
      <c r="D2519" s="92" t="s">
        <v>16044</v>
      </c>
      <c r="E2519" s="94">
        <v>45113.54797453704</v>
      </c>
      <c r="F2519" s="94">
        <v>45113.54797453704</v>
      </c>
    </row>
    <row r="2520">
      <c r="A2520" s="93">
        <v>927.0</v>
      </c>
      <c r="B2520" s="92" t="s">
        <v>5089</v>
      </c>
      <c r="C2520" s="92" t="s">
        <v>11643</v>
      </c>
      <c r="D2520" s="92" t="s">
        <v>16044</v>
      </c>
      <c r="E2520" s="94">
        <v>45113.5478125</v>
      </c>
      <c r="F2520" s="94">
        <v>45113.5478125</v>
      </c>
    </row>
    <row r="2521">
      <c r="A2521" s="93">
        <v>923.0</v>
      </c>
      <c r="B2521" s="92" t="s">
        <v>17997</v>
      </c>
      <c r="C2521" s="92" t="s">
        <v>12058</v>
      </c>
      <c r="D2521" s="92" t="s">
        <v>16044</v>
      </c>
      <c r="E2521" s="94">
        <v>45113.54775462963</v>
      </c>
      <c r="F2521" s="94">
        <v>45113.54775462963</v>
      </c>
    </row>
    <row r="2522">
      <c r="A2522" s="93">
        <v>917.0</v>
      </c>
      <c r="B2522" s="92" t="s">
        <v>17998</v>
      </c>
      <c r="C2522" s="92" t="s">
        <v>7205</v>
      </c>
      <c r="D2522" s="92" t="s">
        <v>16044</v>
      </c>
      <c r="E2522" s="94">
        <v>45113.54766203704</v>
      </c>
      <c r="F2522" s="94">
        <v>45113.54766203704</v>
      </c>
    </row>
    <row r="2523">
      <c r="A2523" s="93">
        <v>915.0</v>
      </c>
      <c r="B2523" s="92" t="s">
        <v>17999</v>
      </c>
      <c r="C2523" s="92" t="s">
        <v>10437</v>
      </c>
      <c r="D2523" s="92" t="s">
        <v>16044</v>
      </c>
      <c r="E2523" s="94">
        <v>45113.547638888886</v>
      </c>
      <c r="F2523" s="94">
        <v>45113.547638888886</v>
      </c>
    </row>
    <row r="2524">
      <c r="A2524" s="93">
        <v>914.0</v>
      </c>
      <c r="B2524" s="92" t="s">
        <v>18000</v>
      </c>
      <c r="C2524" s="92" t="s">
        <v>10887</v>
      </c>
      <c r="D2524" s="92" t="s">
        <v>16044</v>
      </c>
      <c r="E2524" s="94">
        <v>45113.54761574074</v>
      </c>
      <c r="F2524" s="94">
        <v>45113.54761574074</v>
      </c>
    </row>
    <row r="2525">
      <c r="A2525" s="93">
        <v>897.0</v>
      </c>
      <c r="B2525" s="92" t="s">
        <v>18001</v>
      </c>
      <c r="C2525" s="92" t="s">
        <v>13770</v>
      </c>
      <c r="D2525" s="92" t="s">
        <v>16044</v>
      </c>
      <c r="E2525" s="94">
        <v>45113.547372685185</v>
      </c>
      <c r="F2525" s="94">
        <v>45113.547372685185</v>
      </c>
    </row>
    <row r="2526">
      <c r="A2526" s="93">
        <v>892.0</v>
      </c>
      <c r="B2526" s="92" t="s">
        <v>18002</v>
      </c>
      <c r="C2526" s="92" t="s">
        <v>8521</v>
      </c>
      <c r="D2526" s="92" t="s">
        <v>16044</v>
      </c>
      <c r="E2526" s="94">
        <v>45113.54730324074</v>
      </c>
      <c r="F2526" s="94">
        <v>45113.54730324074</v>
      </c>
    </row>
    <row r="2527">
      <c r="A2527" s="93">
        <v>879.0</v>
      </c>
      <c r="B2527" s="92" t="s">
        <v>18003</v>
      </c>
      <c r="C2527" s="92" t="s">
        <v>6753</v>
      </c>
      <c r="D2527" s="92" t="s">
        <v>16044</v>
      </c>
      <c r="E2527" s="94">
        <v>45113.547106481485</v>
      </c>
      <c r="F2527" s="94">
        <v>45113.547106481485</v>
      </c>
    </row>
    <row r="2528">
      <c r="A2528" s="93">
        <v>871.0</v>
      </c>
      <c r="B2528" s="92" t="s">
        <v>18004</v>
      </c>
      <c r="C2528" s="92" t="s">
        <v>15697</v>
      </c>
      <c r="D2528" s="92" t="s">
        <v>16044</v>
      </c>
      <c r="E2528" s="94">
        <v>45113.54699074074</v>
      </c>
      <c r="F2528" s="94">
        <v>45113.54699074074</v>
      </c>
    </row>
    <row r="2529">
      <c r="A2529" s="93">
        <v>865.0</v>
      </c>
      <c r="B2529" s="92" t="s">
        <v>18005</v>
      </c>
      <c r="C2529" s="92" t="s">
        <v>10790</v>
      </c>
      <c r="D2529" s="92" t="s">
        <v>16044</v>
      </c>
      <c r="E2529" s="94">
        <v>45113.54690972222</v>
      </c>
      <c r="F2529" s="94">
        <v>45113.54690972222</v>
      </c>
    </row>
    <row r="2530">
      <c r="A2530" s="93">
        <v>864.0</v>
      </c>
      <c r="B2530" s="92" t="s">
        <v>18006</v>
      </c>
      <c r="C2530" s="92" t="s">
        <v>15693</v>
      </c>
      <c r="D2530" s="92" t="s">
        <v>16044</v>
      </c>
      <c r="E2530" s="94">
        <v>45113.54688657408</v>
      </c>
      <c r="F2530" s="94">
        <v>45113.54688657408</v>
      </c>
    </row>
    <row r="2531">
      <c r="A2531" s="93">
        <v>860.0</v>
      </c>
      <c r="B2531" s="92" t="s">
        <v>18007</v>
      </c>
      <c r="C2531" s="92" t="s">
        <v>15680</v>
      </c>
      <c r="D2531" s="92" t="s">
        <v>16044</v>
      </c>
      <c r="E2531" s="94">
        <v>45113.5468287037</v>
      </c>
      <c r="F2531" s="94">
        <v>45113.5468287037</v>
      </c>
    </row>
    <row r="2532">
      <c r="A2532" s="93">
        <v>850.0</v>
      </c>
      <c r="B2532" s="92" t="s">
        <v>18008</v>
      </c>
      <c r="C2532" s="92" t="s">
        <v>15416</v>
      </c>
      <c r="D2532" s="92" t="s">
        <v>16044</v>
      </c>
      <c r="E2532" s="94">
        <v>45113.54667824074</v>
      </c>
      <c r="F2532" s="94">
        <v>45113.54667824074</v>
      </c>
    </row>
    <row r="2533">
      <c r="A2533" s="93">
        <v>842.0</v>
      </c>
      <c r="B2533" s="92" t="s">
        <v>18009</v>
      </c>
      <c r="C2533" s="92" t="s">
        <v>8776</v>
      </c>
      <c r="D2533" s="92" t="s">
        <v>16044</v>
      </c>
      <c r="E2533" s="94">
        <v>45113.5465625</v>
      </c>
      <c r="F2533" s="94">
        <v>45113.5465625</v>
      </c>
    </row>
    <row r="2534">
      <c r="A2534" s="93">
        <v>828.0</v>
      </c>
      <c r="B2534" s="92" t="s">
        <v>18010</v>
      </c>
      <c r="C2534" s="92" t="s">
        <v>15898</v>
      </c>
      <c r="D2534" s="92" t="s">
        <v>16044</v>
      </c>
      <c r="E2534" s="94">
        <v>45113.54636574074</v>
      </c>
      <c r="F2534" s="94">
        <v>45113.54636574074</v>
      </c>
    </row>
    <row r="2535">
      <c r="A2535" s="93">
        <v>820.0</v>
      </c>
      <c r="B2535" s="92" t="s">
        <v>18011</v>
      </c>
      <c r="C2535" s="92" t="s">
        <v>14879</v>
      </c>
      <c r="D2535" s="92" t="s">
        <v>16044</v>
      </c>
      <c r="E2535" s="94">
        <v>45113.54622685185</v>
      </c>
      <c r="F2535" s="94">
        <v>45113.54622685185</v>
      </c>
    </row>
    <row r="2536">
      <c r="A2536" s="93">
        <v>819.0</v>
      </c>
      <c r="B2536" s="92" t="s">
        <v>18012</v>
      </c>
      <c r="C2536" s="92" t="s">
        <v>5318</v>
      </c>
      <c r="D2536" s="92" t="s">
        <v>16044</v>
      </c>
      <c r="E2536" s="94">
        <v>45113.546215277776</v>
      </c>
      <c r="F2536" s="94">
        <v>45113.546215277776</v>
      </c>
    </row>
    <row r="2537">
      <c r="A2537" s="93">
        <v>800.0</v>
      </c>
      <c r="B2537" s="92" t="s">
        <v>18013</v>
      </c>
      <c r="C2537" s="92" t="s">
        <v>14638</v>
      </c>
      <c r="D2537" s="92" t="s">
        <v>16044</v>
      </c>
      <c r="E2537" s="94">
        <v>45113.54592592592</v>
      </c>
      <c r="F2537" s="94">
        <v>45113.54592592592</v>
      </c>
    </row>
    <row r="2538">
      <c r="A2538" s="93">
        <v>797.0</v>
      </c>
      <c r="B2538" s="92" t="s">
        <v>18014</v>
      </c>
      <c r="C2538" s="92" t="s">
        <v>13274</v>
      </c>
      <c r="D2538" s="92" t="s">
        <v>16044</v>
      </c>
      <c r="E2538" s="94">
        <v>45113.54589120371</v>
      </c>
      <c r="F2538" s="94">
        <v>45113.54589120371</v>
      </c>
    </row>
    <row r="2539">
      <c r="A2539" s="93">
        <v>790.0</v>
      </c>
      <c r="B2539" s="92" t="s">
        <v>18015</v>
      </c>
      <c r="C2539" s="92" t="s">
        <v>6132</v>
      </c>
      <c r="D2539" s="92" t="s">
        <v>16044</v>
      </c>
      <c r="E2539" s="94">
        <v>45113.54578703704</v>
      </c>
      <c r="F2539" s="94">
        <v>45113.54578703704</v>
      </c>
    </row>
    <row r="2540">
      <c r="A2540" s="93">
        <v>780.0</v>
      </c>
      <c r="B2540" s="92" t="s">
        <v>18016</v>
      </c>
      <c r="C2540" s="92" t="s">
        <v>12335</v>
      </c>
      <c r="D2540" s="92" t="s">
        <v>16044</v>
      </c>
      <c r="E2540" s="94">
        <v>45113.545636574076</v>
      </c>
      <c r="F2540" s="94">
        <v>45113.545636574076</v>
      </c>
    </row>
    <row r="2541">
      <c r="A2541" s="93">
        <v>777.0</v>
      </c>
      <c r="B2541" s="92" t="s">
        <v>18017</v>
      </c>
      <c r="C2541" s="92" t="s">
        <v>8866</v>
      </c>
      <c r="D2541" s="92" t="s">
        <v>16044</v>
      </c>
      <c r="E2541" s="94">
        <v>45113.54560185185</v>
      </c>
      <c r="F2541" s="94">
        <v>45113.54560185185</v>
      </c>
    </row>
    <row r="2542">
      <c r="A2542" s="93">
        <v>763.0</v>
      </c>
      <c r="B2542" s="92" t="s">
        <v>18018</v>
      </c>
      <c r="C2542" s="92" t="s">
        <v>15771</v>
      </c>
      <c r="D2542" s="92" t="s">
        <v>16044</v>
      </c>
      <c r="E2542" s="94">
        <v>45113.54539351852</v>
      </c>
      <c r="F2542" s="94">
        <v>45113.54539351852</v>
      </c>
    </row>
    <row r="2543">
      <c r="A2543" s="93">
        <v>759.0</v>
      </c>
      <c r="B2543" s="92" t="s">
        <v>18019</v>
      </c>
      <c r="C2543" s="92" t="s">
        <v>8436</v>
      </c>
      <c r="D2543" s="92" t="s">
        <v>16044</v>
      </c>
      <c r="E2543" s="94">
        <v>45113.545335648145</v>
      </c>
      <c r="F2543" s="94">
        <v>45113.545335648145</v>
      </c>
    </row>
    <row r="2544">
      <c r="A2544" s="93">
        <v>753.0</v>
      </c>
      <c r="B2544" s="92" t="s">
        <v>18020</v>
      </c>
      <c r="C2544" s="92" t="s">
        <v>8723</v>
      </c>
      <c r="D2544" s="92" t="s">
        <v>16044</v>
      </c>
      <c r="E2544" s="94">
        <v>45113.54524305555</v>
      </c>
      <c r="F2544" s="94">
        <v>45113.54524305555</v>
      </c>
    </row>
    <row r="2545">
      <c r="A2545" s="93">
        <v>752.0</v>
      </c>
      <c r="B2545" s="92" t="s">
        <v>18021</v>
      </c>
      <c r="C2545" s="92" t="s">
        <v>13554</v>
      </c>
      <c r="D2545" s="92" t="s">
        <v>16044</v>
      </c>
      <c r="E2545" s="94">
        <v>45113.54523148148</v>
      </c>
      <c r="F2545" s="94">
        <v>45113.54523148148</v>
      </c>
    </row>
    <row r="2546">
      <c r="A2546" s="93">
        <v>739.0</v>
      </c>
      <c r="B2546" s="92" t="s">
        <v>18022</v>
      </c>
      <c r="C2546" s="92" t="s">
        <v>14956</v>
      </c>
      <c r="D2546" s="92" t="s">
        <v>16044</v>
      </c>
      <c r="E2546" s="94">
        <v>45113.5450462963</v>
      </c>
      <c r="F2546" s="94">
        <v>45113.5450462963</v>
      </c>
    </row>
    <row r="2547">
      <c r="A2547" s="93">
        <v>731.0</v>
      </c>
      <c r="B2547" s="92" t="s">
        <v>18023</v>
      </c>
      <c r="C2547" s="92" t="s">
        <v>11583</v>
      </c>
      <c r="D2547" s="92" t="s">
        <v>16044</v>
      </c>
      <c r="E2547" s="94">
        <v>45113.54491898148</v>
      </c>
      <c r="F2547" s="94">
        <v>45113.54491898148</v>
      </c>
    </row>
    <row r="2548">
      <c r="A2548" s="93">
        <v>723.0</v>
      </c>
      <c r="B2548" s="92" t="s">
        <v>19530</v>
      </c>
      <c r="C2548" s="92" t="s">
        <v>15464</v>
      </c>
      <c r="D2548" s="92" t="s">
        <v>16044</v>
      </c>
      <c r="E2548" s="94">
        <v>45113.544803240744</v>
      </c>
      <c r="F2548" s="94">
        <v>45113.544803240744</v>
      </c>
    </row>
    <row r="2549">
      <c r="A2549" s="93">
        <v>716.0</v>
      </c>
      <c r="B2549" s="92" t="s">
        <v>18025</v>
      </c>
      <c r="C2549" s="92" t="s">
        <v>15514</v>
      </c>
      <c r="D2549" s="92" t="s">
        <v>16044</v>
      </c>
      <c r="E2549" s="94">
        <v>45113.544699074075</v>
      </c>
      <c r="F2549" s="94">
        <v>45113.544699074075</v>
      </c>
    </row>
    <row r="2550">
      <c r="A2550" s="93">
        <v>715.0</v>
      </c>
      <c r="B2550" s="92" t="s">
        <v>18026</v>
      </c>
      <c r="C2550" s="92" t="s">
        <v>15855</v>
      </c>
      <c r="D2550" s="92" t="s">
        <v>16044</v>
      </c>
      <c r="E2550" s="94">
        <v>45113.54467592593</v>
      </c>
      <c r="F2550" s="94">
        <v>45113.54467592593</v>
      </c>
    </row>
    <row r="2551">
      <c r="A2551" s="93">
        <v>714.0</v>
      </c>
      <c r="B2551" s="92" t="s">
        <v>18027</v>
      </c>
      <c r="C2551" s="92" t="s">
        <v>14366</v>
      </c>
      <c r="D2551" s="92" t="s">
        <v>16044</v>
      </c>
      <c r="E2551" s="94">
        <v>45113.54466435185</v>
      </c>
      <c r="F2551" s="94">
        <v>45113.54466435185</v>
      </c>
    </row>
    <row r="2552">
      <c r="A2552" s="93">
        <v>713.0</v>
      </c>
      <c r="B2552" s="92" t="s">
        <v>18028</v>
      </c>
      <c r="C2552" s="92" t="s">
        <v>15624</v>
      </c>
      <c r="D2552" s="92" t="s">
        <v>16044</v>
      </c>
      <c r="E2552" s="94">
        <v>45113.54462962963</v>
      </c>
      <c r="F2552" s="94">
        <v>45113.54462962963</v>
      </c>
    </row>
    <row r="2553">
      <c r="A2553" s="93">
        <v>709.0</v>
      </c>
      <c r="B2553" s="92" t="s">
        <v>18029</v>
      </c>
      <c r="C2553" s="92" t="s">
        <v>14777</v>
      </c>
      <c r="D2553" s="92" t="s">
        <v>16044</v>
      </c>
      <c r="E2553" s="94">
        <v>45113.54456018518</v>
      </c>
      <c r="F2553" s="94">
        <v>45113.54456018518</v>
      </c>
    </row>
    <row r="2554">
      <c r="A2554" s="93">
        <v>691.0</v>
      </c>
      <c r="B2554" s="92" t="s">
        <v>18030</v>
      </c>
      <c r="C2554" s="92" t="s">
        <v>8628</v>
      </c>
      <c r="D2554" s="92" t="s">
        <v>16044</v>
      </c>
      <c r="E2554" s="94">
        <v>45113.54429398148</v>
      </c>
      <c r="F2554" s="94">
        <v>45113.54429398148</v>
      </c>
    </row>
    <row r="2555">
      <c r="A2555" s="93">
        <v>688.0</v>
      </c>
      <c r="B2555" s="92" t="s">
        <v>18031</v>
      </c>
      <c r="C2555" s="92" t="s">
        <v>14553</v>
      </c>
      <c r="D2555" s="92" t="s">
        <v>16044</v>
      </c>
      <c r="E2555" s="94">
        <v>45113.54424768518</v>
      </c>
      <c r="F2555" s="94">
        <v>45113.54424768518</v>
      </c>
    </row>
    <row r="2556">
      <c r="A2556" s="93">
        <v>676.0</v>
      </c>
      <c r="B2556" s="92" t="s">
        <v>18032</v>
      </c>
      <c r="C2556" s="92" t="s">
        <v>15028</v>
      </c>
      <c r="D2556" s="92" t="s">
        <v>16044</v>
      </c>
      <c r="E2556" s="94">
        <v>45113.544074074074</v>
      </c>
      <c r="F2556" s="94">
        <v>45113.544074074074</v>
      </c>
    </row>
    <row r="2557">
      <c r="A2557" s="93">
        <v>675.0</v>
      </c>
      <c r="B2557" s="92" t="s">
        <v>18033</v>
      </c>
      <c r="C2557" s="92" t="s">
        <v>11045</v>
      </c>
      <c r="D2557" s="92" t="s">
        <v>16044</v>
      </c>
      <c r="E2557" s="94">
        <v>45113.54405092593</v>
      </c>
      <c r="F2557" s="94">
        <v>45113.54405092593</v>
      </c>
    </row>
    <row r="2558">
      <c r="A2558" s="93">
        <v>674.0</v>
      </c>
      <c r="B2558" s="92" t="s">
        <v>17082</v>
      </c>
      <c r="C2558" s="92" t="s">
        <v>8049</v>
      </c>
      <c r="D2558" s="92" t="s">
        <v>16044</v>
      </c>
      <c r="E2558" s="94">
        <v>45113.54403935185</v>
      </c>
      <c r="F2558" s="94">
        <v>45113.54403935185</v>
      </c>
    </row>
    <row r="2559">
      <c r="A2559" s="93">
        <v>665.0</v>
      </c>
      <c r="B2559" s="92" t="s">
        <v>18034</v>
      </c>
      <c r="C2559" s="92" t="s">
        <v>14856</v>
      </c>
      <c r="D2559" s="92" t="s">
        <v>16044</v>
      </c>
      <c r="E2559" s="94">
        <v>45113.543900462966</v>
      </c>
      <c r="F2559" s="94">
        <v>45113.543900462966</v>
      </c>
    </row>
    <row r="2560">
      <c r="A2560" s="93">
        <v>664.0</v>
      </c>
      <c r="B2560" s="92" t="s">
        <v>18035</v>
      </c>
      <c r="C2560" s="92" t="s">
        <v>8082</v>
      </c>
      <c r="D2560" s="92" t="s">
        <v>16044</v>
      </c>
      <c r="E2560" s="94">
        <v>45113.54388888889</v>
      </c>
      <c r="F2560" s="94">
        <v>45113.54388888889</v>
      </c>
    </row>
    <row r="2561">
      <c r="A2561" s="93">
        <v>663.0</v>
      </c>
      <c r="B2561" s="92" t="s">
        <v>18036</v>
      </c>
      <c r="C2561" s="92" t="s">
        <v>14291</v>
      </c>
      <c r="D2561" s="92" t="s">
        <v>16044</v>
      </c>
      <c r="E2561" s="94">
        <v>45113.54387731481</v>
      </c>
      <c r="F2561" s="94">
        <v>45113.54387731481</v>
      </c>
    </row>
    <row r="2562">
      <c r="A2562" s="93">
        <v>661.0</v>
      </c>
      <c r="B2562" s="92" t="s">
        <v>18037</v>
      </c>
      <c r="C2562" s="92" t="s">
        <v>10181</v>
      </c>
      <c r="D2562" s="92" t="s">
        <v>16044</v>
      </c>
      <c r="E2562" s="94">
        <v>45113.54384259259</v>
      </c>
      <c r="F2562" s="94">
        <v>45113.54384259259</v>
      </c>
    </row>
    <row r="2563">
      <c r="A2563" s="93">
        <v>658.0</v>
      </c>
      <c r="B2563" s="92" t="s">
        <v>18038</v>
      </c>
      <c r="C2563" s="92" t="s">
        <v>9537</v>
      </c>
      <c r="D2563" s="92" t="s">
        <v>16044</v>
      </c>
      <c r="E2563" s="94">
        <v>45113.5437962963</v>
      </c>
      <c r="F2563" s="94">
        <v>45113.5437962963</v>
      </c>
    </row>
    <row r="2564">
      <c r="A2564" s="93">
        <v>654.0</v>
      </c>
      <c r="B2564" s="92" t="s">
        <v>18039</v>
      </c>
      <c r="C2564" s="92" t="s">
        <v>11421</v>
      </c>
      <c r="D2564" s="92" t="s">
        <v>16044</v>
      </c>
      <c r="E2564" s="94">
        <v>45113.54373842593</v>
      </c>
      <c r="F2564" s="94">
        <v>45113.54373842593</v>
      </c>
    </row>
    <row r="2565">
      <c r="A2565" s="93">
        <v>653.0</v>
      </c>
      <c r="B2565" s="92" t="s">
        <v>18040</v>
      </c>
      <c r="C2565" s="92" t="s">
        <v>7850</v>
      </c>
      <c r="D2565" s="92" t="s">
        <v>16044</v>
      </c>
      <c r="E2565" s="94">
        <v>45113.54372685185</v>
      </c>
      <c r="F2565" s="94">
        <v>45113.54372685185</v>
      </c>
    </row>
    <row r="2566">
      <c r="A2566" s="93">
        <v>645.0</v>
      </c>
      <c r="B2566" s="92" t="s">
        <v>18041</v>
      </c>
      <c r="C2566" s="92" t="s">
        <v>14889</v>
      </c>
      <c r="D2566" s="92" t="s">
        <v>16044</v>
      </c>
      <c r="E2566" s="94">
        <v>45113.54361111111</v>
      </c>
      <c r="F2566" s="94">
        <v>45113.54361111111</v>
      </c>
    </row>
    <row r="2567">
      <c r="A2567" s="93">
        <v>636.0</v>
      </c>
      <c r="B2567" s="92" t="s">
        <v>18042</v>
      </c>
      <c r="C2567" s="92" t="s">
        <v>14867</v>
      </c>
      <c r="D2567" s="92" t="s">
        <v>16044</v>
      </c>
      <c r="E2567" s="94">
        <v>45113.54346064815</v>
      </c>
      <c r="F2567" s="94">
        <v>45113.54346064815</v>
      </c>
    </row>
    <row r="2568">
      <c r="A2568" s="93">
        <v>629.0</v>
      </c>
      <c r="B2568" s="92" t="s">
        <v>18043</v>
      </c>
      <c r="C2568" s="92" t="s">
        <v>8853</v>
      </c>
      <c r="D2568" s="92" t="s">
        <v>16044</v>
      </c>
      <c r="E2568" s="94">
        <v>45113.54335648148</v>
      </c>
      <c r="F2568" s="94">
        <v>45113.54335648148</v>
      </c>
    </row>
    <row r="2569">
      <c r="A2569" s="93">
        <v>623.0</v>
      </c>
      <c r="B2569" s="92" t="s">
        <v>8210</v>
      </c>
      <c r="C2569" s="92" t="s">
        <v>8207</v>
      </c>
      <c r="D2569" s="92" t="s">
        <v>16044</v>
      </c>
      <c r="E2569" s="94">
        <v>45113.54326388889</v>
      </c>
      <c r="F2569" s="94">
        <v>45113.54326388889</v>
      </c>
    </row>
    <row r="2570">
      <c r="A2570" s="93">
        <v>620.0</v>
      </c>
      <c r="B2570" s="92" t="s">
        <v>19531</v>
      </c>
      <c r="C2570" s="92" t="s">
        <v>19532</v>
      </c>
      <c r="D2570" s="92" t="s">
        <v>16044</v>
      </c>
      <c r="E2570" s="94">
        <v>45113.543217592596</v>
      </c>
      <c r="F2570" s="94">
        <v>45113.543217592596</v>
      </c>
    </row>
    <row r="2571">
      <c r="A2571" s="93">
        <v>613.0</v>
      </c>
      <c r="B2571" s="92" t="s">
        <v>18045</v>
      </c>
      <c r="C2571" s="92" t="s">
        <v>15360</v>
      </c>
      <c r="D2571" s="92" t="s">
        <v>16044</v>
      </c>
      <c r="E2571" s="94">
        <v>45113.54311342593</v>
      </c>
      <c r="F2571" s="94">
        <v>45113.54311342593</v>
      </c>
    </row>
    <row r="2572">
      <c r="A2572" s="93">
        <v>598.0</v>
      </c>
      <c r="B2572" s="92" t="s">
        <v>18046</v>
      </c>
      <c r="C2572" s="92" t="s">
        <v>11415</v>
      </c>
      <c r="D2572" s="92" t="s">
        <v>16044</v>
      </c>
      <c r="E2572" s="94">
        <v>45113.54289351852</v>
      </c>
      <c r="F2572" s="94">
        <v>45113.54289351852</v>
      </c>
    </row>
    <row r="2573">
      <c r="A2573" s="93">
        <v>595.0</v>
      </c>
      <c r="B2573" s="92" t="s">
        <v>18047</v>
      </c>
      <c r="C2573" s="92" t="s">
        <v>10993</v>
      </c>
      <c r="D2573" s="92" t="s">
        <v>16044</v>
      </c>
      <c r="E2573" s="94">
        <v>45113.54284722222</v>
      </c>
      <c r="F2573" s="94">
        <v>45113.54284722222</v>
      </c>
    </row>
    <row r="2574">
      <c r="A2574" s="93">
        <v>576.0</v>
      </c>
      <c r="B2574" s="92" t="s">
        <v>18048</v>
      </c>
      <c r="C2574" s="92" t="s">
        <v>13338</v>
      </c>
      <c r="D2574" s="92" t="s">
        <v>16044</v>
      </c>
      <c r="E2574" s="94">
        <v>45113.54256944444</v>
      </c>
      <c r="F2574" s="94">
        <v>45113.54256944444</v>
      </c>
    </row>
    <row r="2575">
      <c r="A2575" s="93">
        <v>574.0</v>
      </c>
      <c r="B2575" s="92" t="s">
        <v>18049</v>
      </c>
      <c r="C2575" s="92" t="s">
        <v>15385</v>
      </c>
      <c r="D2575" s="92" t="s">
        <v>16044</v>
      </c>
      <c r="E2575" s="94">
        <v>45113.54253472222</v>
      </c>
      <c r="F2575" s="94">
        <v>45113.54253472222</v>
      </c>
    </row>
    <row r="2576">
      <c r="A2576" s="93">
        <v>573.0</v>
      </c>
      <c r="B2576" s="92" t="s">
        <v>18050</v>
      </c>
      <c r="C2576" s="92" t="s">
        <v>13238</v>
      </c>
      <c r="D2576" s="92" t="s">
        <v>16044</v>
      </c>
      <c r="E2576" s="94">
        <v>45113.54252314815</v>
      </c>
      <c r="F2576" s="94">
        <v>45113.54252314815</v>
      </c>
    </row>
    <row r="2577">
      <c r="A2577" s="93">
        <v>572.0</v>
      </c>
      <c r="B2577" s="92" t="s">
        <v>18051</v>
      </c>
      <c r="C2577" s="92" t="s">
        <v>14262</v>
      </c>
      <c r="D2577" s="92" t="s">
        <v>16044</v>
      </c>
      <c r="E2577" s="94">
        <v>45113.54251157407</v>
      </c>
      <c r="F2577" s="94">
        <v>45113.54251157407</v>
      </c>
    </row>
    <row r="2578">
      <c r="A2578" s="93">
        <v>571.0</v>
      </c>
      <c r="B2578" s="92" t="s">
        <v>18052</v>
      </c>
      <c r="C2578" s="92" t="s">
        <v>15903</v>
      </c>
      <c r="D2578" s="92" t="s">
        <v>16044</v>
      </c>
      <c r="E2578" s="94">
        <v>45113.5425</v>
      </c>
      <c r="F2578" s="94">
        <v>45113.5425</v>
      </c>
    </row>
    <row r="2579">
      <c r="A2579" s="93">
        <v>566.0</v>
      </c>
      <c r="B2579" s="92" t="s">
        <v>18053</v>
      </c>
      <c r="C2579" s="92" t="s">
        <v>15017</v>
      </c>
      <c r="D2579" s="92" t="s">
        <v>16044</v>
      </c>
      <c r="E2579" s="94">
        <v>45113.54241898148</v>
      </c>
      <c r="F2579" s="94">
        <v>45113.54241898148</v>
      </c>
    </row>
    <row r="2580">
      <c r="A2580" s="93">
        <v>557.0</v>
      </c>
      <c r="B2580" s="92" t="s">
        <v>18054</v>
      </c>
      <c r="C2580" s="92" t="s">
        <v>14606</v>
      </c>
      <c r="D2580" s="92" t="s">
        <v>16044</v>
      </c>
      <c r="E2580" s="94">
        <v>45113.542291666665</v>
      </c>
      <c r="F2580" s="94">
        <v>45113.542291666665</v>
      </c>
    </row>
    <row r="2581">
      <c r="A2581" s="93">
        <v>543.0</v>
      </c>
      <c r="B2581" s="92" t="s">
        <v>18055</v>
      </c>
      <c r="C2581" s="92" t="s">
        <v>11135</v>
      </c>
      <c r="D2581" s="92" t="s">
        <v>16044</v>
      </c>
      <c r="E2581" s="94">
        <v>45113.542083333334</v>
      </c>
      <c r="F2581" s="94">
        <v>45113.542083333334</v>
      </c>
    </row>
    <row r="2582">
      <c r="A2582" s="93">
        <v>542.0</v>
      </c>
      <c r="B2582" s="92" t="s">
        <v>18056</v>
      </c>
      <c r="C2582" s="92" t="s">
        <v>13592</v>
      </c>
      <c r="D2582" s="92" t="s">
        <v>16044</v>
      </c>
      <c r="E2582" s="94">
        <v>45113.54207175926</v>
      </c>
      <c r="F2582" s="94">
        <v>45113.54207175926</v>
      </c>
    </row>
    <row r="2583">
      <c r="A2583" s="93">
        <v>497.0</v>
      </c>
      <c r="B2583" s="92" t="s">
        <v>18057</v>
      </c>
      <c r="C2583" s="92" t="s">
        <v>7242</v>
      </c>
      <c r="D2583" s="92" t="s">
        <v>16044</v>
      </c>
      <c r="E2583" s="94">
        <v>45113.541446759256</v>
      </c>
      <c r="F2583" s="94">
        <v>45113.541446759256</v>
      </c>
    </row>
    <row r="2584">
      <c r="A2584" s="93">
        <v>459.0</v>
      </c>
      <c r="B2584" s="92" t="s">
        <v>18058</v>
      </c>
      <c r="C2584" s="92" t="s">
        <v>14462</v>
      </c>
      <c r="D2584" s="92" t="s">
        <v>16044</v>
      </c>
      <c r="E2584" s="94">
        <v>45113.54085648148</v>
      </c>
      <c r="F2584" s="94">
        <v>45113.54085648148</v>
      </c>
    </row>
    <row r="2585">
      <c r="A2585" s="93">
        <v>458.0</v>
      </c>
      <c r="B2585" s="92" t="s">
        <v>18059</v>
      </c>
      <c r="C2585" s="92" t="s">
        <v>15826</v>
      </c>
      <c r="D2585" s="92" t="s">
        <v>16044</v>
      </c>
      <c r="E2585" s="94">
        <v>45113.54084490741</v>
      </c>
      <c r="F2585" s="94">
        <v>45113.54084490741</v>
      </c>
    </row>
    <row r="2586">
      <c r="A2586" s="93">
        <v>456.0</v>
      </c>
      <c r="B2586" s="92" t="s">
        <v>19533</v>
      </c>
      <c r="C2586" s="92" t="s">
        <v>15058</v>
      </c>
      <c r="D2586" s="92" t="s">
        <v>16044</v>
      </c>
      <c r="E2586" s="94">
        <v>45113.540810185186</v>
      </c>
      <c r="F2586" s="94">
        <v>45113.540810185186</v>
      </c>
    </row>
    <row r="2587">
      <c r="A2587" s="93">
        <v>452.0</v>
      </c>
      <c r="B2587" s="92" t="s">
        <v>18061</v>
      </c>
      <c r="C2587" s="92" t="s">
        <v>15316</v>
      </c>
      <c r="D2587" s="92" t="s">
        <v>16044</v>
      </c>
      <c r="E2587" s="94">
        <v>45113.54075231482</v>
      </c>
      <c r="F2587" s="94">
        <v>45113.54075231482</v>
      </c>
    </row>
    <row r="2588">
      <c r="A2588" s="93">
        <v>444.0</v>
      </c>
      <c r="B2588" s="92" t="s">
        <v>18756</v>
      </c>
      <c r="C2588" s="92" t="s">
        <v>3641</v>
      </c>
      <c r="D2588" s="92" t="s">
        <v>18765</v>
      </c>
      <c r="E2588" s="94">
        <v>45113.54063657407</v>
      </c>
      <c r="F2588" s="94">
        <v>45113.54063657407</v>
      </c>
    </row>
    <row r="2589">
      <c r="A2589" s="93">
        <v>398.0</v>
      </c>
      <c r="B2589" s="92" t="s">
        <v>18757</v>
      </c>
      <c r="C2589" s="92" t="s">
        <v>3291</v>
      </c>
      <c r="D2589" s="92" t="s">
        <v>18765</v>
      </c>
      <c r="E2589" s="94">
        <v>45113.54017361111</v>
      </c>
      <c r="F2589" s="94">
        <v>45113.54017361111</v>
      </c>
    </row>
    <row r="2590">
      <c r="A2590" s="93">
        <v>307.0</v>
      </c>
      <c r="B2590" s="92" t="s">
        <v>18758</v>
      </c>
      <c r="C2590" s="92" t="s">
        <v>19534</v>
      </c>
      <c r="D2590" s="92" t="s">
        <v>18765</v>
      </c>
      <c r="E2590" s="94">
        <v>45113.539305555554</v>
      </c>
      <c r="F2590" s="94">
        <v>45113.539305555554</v>
      </c>
    </row>
    <row r="2591">
      <c r="A2591" s="93">
        <v>25.0</v>
      </c>
      <c r="B2591" s="92" t="s">
        <v>18759</v>
      </c>
      <c r="D2591" s="92" t="s">
        <v>18765</v>
      </c>
      <c r="E2591" s="94">
        <v>45113.53658564815</v>
      </c>
      <c r="F2591" s="94">
        <v>45113.53658564815</v>
      </c>
    </row>
    <row r="2592">
      <c r="A2592" s="93">
        <v>21.0</v>
      </c>
      <c r="B2592" s="92" t="s">
        <v>19535</v>
      </c>
      <c r="C2592" s="92" t="s">
        <v>10583</v>
      </c>
      <c r="D2592" s="92" t="s">
        <v>16044</v>
      </c>
      <c r="E2592" s="94">
        <v>45098.4308912037</v>
      </c>
      <c r="F2592" s="94">
        <v>45104.226643518516</v>
      </c>
    </row>
    <row r="2593">
      <c r="A2593" s="93">
        <v>24.0</v>
      </c>
      <c r="B2593" s="92" t="s">
        <v>18062</v>
      </c>
      <c r="C2593" s="92" t="s">
        <v>11795</v>
      </c>
      <c r="D2593" s="92" t="s">
        <v>16044</v>
      </c>
      <c r="E2593" s="94">
        <v>45101.165983796294</v>
      </c>
      <c r="F2593" s="94">
        <v>45101.620844907404</v>
      </c>
    </row>
    <row r="2594">
      <c r="A2594" s="93">
        <v>20.0</v>
      </c>
      <c r="B2594" s="92" t="s">
        <v>19536</v>
      </c>
      <c r="C2594" s="92" t="s">
        <v>19537</v>
      </c>
      <c r="D2594" s="92" t="s">
        <v>18829</v>
      </c>
      <c r="E2594" s="94">
        <v>45097.55719907407</v>
      </c>
      <c r="F2594" s="94">
        <v>45097.558900462966</v>
      </c>
    </row>
    <row r="2595">
      <c r="A2595" s="93">
        <v>16.0</v>
      </c>
      <c r="B2595" s="92" t="s">
        <v>19538</v>
      </c>
      <c r="C2595" s="92" t="s">
        <v>19539</v>
      </c>
      <c r="D2595" s="92" t="s">
        <v>18829</v>
      </c>
      <c r="E2595" s="94">
        <v>45092.51829861111</v>
      </c>
      <c r="F2595" s="94">
        <v>45092.55094907407</v>
      </c>
    </row>
    <row r="2596">
      <c r="A2596" s="93">
        <v>17.0</v>
      </c>
      <c r="B2596" s="92" t="s">
        <v>18810</v>
      </c>
      <c r="C2596" s="92" t="s">
        <v>19540</v>
      </c>
      <c r="D2596" s="92" t="s">
        <v>18829</v>
      </c>
      <c r="E2596" s="94">
        <v>45092.54630787037</v>
      </c>
      <c r="F2596" s="94">
        <v>45092.54825231482</v>
      </c>
    </row>
    <row r="2597">
      <c r="A2597" s="93">
        <v>14.0</v>
      </c>
      <c r="B2597" s="92" t="s">
        <v>18063</v>
      </c>
      <c r="C2597" s="92" t="s">
        <v>19541</v>
      </c>
      <c r="D2597" s="92" t="s">
        <v>16044</v>
      </c>
      <c r="E2597" s="94">
        <v>45091.54966435185</v>
      </c>
      <c r="F2597" s="94">
        <v>45091.55054398148</v>
      </c>
    </row>
    <row r="2598">
      <c r="A2598" s="93">
        <v>12.0</v>
      </c>
      <c r="B2598" s="92" t="s">
        <v>18751</v>
      </c>
      <c r="C2598" s="92" t="s">
        <v>19542</v>
      </c>
      <c r="D2598" s="92" t="s">
        <v>16044</v>
      </c>
      <c r="E2598" s="94">
        <v>45091.4590625</v>
      </c>
      <c r="F2598" s="94">
        <v>45091.46079861111</v>
      </c>
    </row>
    <row r="2599">
      <c r="A2599" s="93">
        <v>8.0</v>
      </c>
      <c r="B2599" s="92" t="s">
        <v>18065</v>
      </c>
      <c r="C2599" s="92" t="s">
        <v>19543</v>
      </c>
      <c r="D2599" s="92" t="s">
        <v>16044</v>
      </c>
      <c r="E2599" s="94">
        <v>45085.31564814815</v>
      </c>
      <c r="F2599" s="94">
        <v>45085.31591435185</v>
      </c>
    </row>
    <row r="2600">
      <c r="A2600" s="93">
        <v>7.0</v>
      </c>
      <c r="B2600" s="92" t="s">
        <v>18065</v>
      </c>
      <c r="C2600" s="92" t="s">
        <v>19544</v>
      </c>
      <c r="D2600" s="92" t="s">
        <v>18765</v>
      </c>
      <c r="E2600" s="94">
        <v>45085.31486111111</v>
      </c>
      <c r="F2600" s="94">
        <v>45085.315358796295</v>
      </c>
    </row>
  </sheetData>
  <mergeCells count="1">
    <mergeCell ref="B2591:C259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40.75"/>
    <col customWidth="1" min="3" max="4" width="18.88"/>
    <col customWidth="1" min="6" max="6" width="34.13"/>
    <col customWidth="1" min="7" max="7" width="23.13"/>
    <col customWidth="1" min="8" max="8" width="25.63"/>
    <col customWidth="1" min="9" max="9" width="27.0"/>
  </cols>
  <sheetData>
    <row r="1">
      <c r="A1" s="95" t="s">
        <v>19545</v>
      </c>
      <c r="B1" s="96" t="s">
        <v>213</v>
      </c>
      <c r="C1" s="97" t="s">
        <v>19546</v>
      </c>
      <c r="D1" s="96" t="s">
        <v>37</v>
      </c>
      <c r="E1" s="97" t="s">
        <v>208</v>
      </c>
      <c r="F1" s="97" t="s">
        <v>18761</v>
      </c>
      <c r="G1" s="97" t="s">
        <v>19547</v>
      </c>
      <c r="H1" s="97" t="s">
        <v>19548</v>
      </c>
      <c r="I1" s="97" t="s">
        <v>19549</v>
      </c>
      <c r="J1" s="98"/>
      <c r="K1" s="98"/>
      <c r="L1" s="98"/>
      <c r="M1" s="98"/>
      <c r="N1" s="98"/>
      <c r="O1" s="98"/>
      <c r="P1" s="98"/>
      <c r="Q1" s="98"/>
      <c r="R1" s="98"/>
      <c r="S1" s="98"/>
      <c r="T1" s="98"/>
      <c r="U1" s="98"/>
      <c r="V1" s="98"/>
      <c r="W1" s="98"/>
      <c r="X1" s="98"/>
      <c r="Y1" s="99"/>
      <c r="Z1" s="99"/>
      <c r="AA1" s="99"/>
      <c r="AB1" s="99"/>
      <c r="AC1" s="99"/>
    </row>
    <row r="2">
      <c r="A2" s="100" t="s">
        <v>19550</v>
      </c>
      <c r="B2" s="101" t="s">
        <v>19551</v>
      </c>
      <c r="C2" s="102" t="s">
        <v>18202</v>
      </c>
      <c r="D2" s="103">
        <v>6.462171453E9</v>
      </c>
      <c r="E2" s="102" t="s">
        <v>248</v>
      </c>
      <c r="F2" s="104" t="s">
        <v>19552</v>
      </c>
      <c r="G2" s="102" t="s">
        <v>19553</v>
      </c>
      <c r="H2" s="105"/>
      <c r="I2" s="102" t="s">
        <v>19554</v>
      </c>
      <c r="J2" s="106"/>
      <c r="K2" s="107"/>
      <c r="L2" s="107"/>
      <c r="M2" s="107"/>
      <c r="N2" s="107"/>
      <c r="O2" s="107"/>
      <c r="P2" s="107"/>
      <c r="Q2" s="107"/>
      <c r="R2" s="107"/>
      <c r="S2" s="107"/>
      <c r="T2" s="107"/>
      <c r="U2" s="107"/>
      <c r="V2" s="107"/>
      <c r="W2" s="107"/>
      <c r="X2" s="107"/>
      <c r="Y2" s="108"/>
      <c r="Z2" s="108"/>
      <c r="AA2" s="108"/>
      <c r="AB2" s="108"/>
      <c r="AC2" s="108"/>
    </row>
    <row r="3">
      <c r="A3" s="100" t="s">
        <v>19550</v>
      </c>
      <c r="B3" s="101" t="s">
        <v>19555</v>
      </c>
      <c r="C3" s="102" t="s">
        <v>18400</v>
      </c>
      <c r="D3" s="102">
        <f>16319217959
</f>
        <v>16319217959</v>
      </c>
      <c r="E3" s="102" t="s">
        <v>248</v>
      </c>
      <c r="F3" s="104" t="s">
        <v>19556</v>
      </c>
      <c r="G3" s="102" t="s">
        <v>19557</v>
      </c>
      <c r="H3" s="102" t="s">
        <v>19558</v>
      </c>
      <c r="I3" s="102" t="s">
        <v>19559</v>
      </c>
      <c r="J3" s="106"/>
      <c r="K3" s="107"/>
      <c r="L3" s="107"/>
      <c r="M3" s="107"/>
      <c r="N3" s="107"/>
      <c r="O3" s="107"/>
      <c r="P3" s="107"/>
      <c r="Q3" s="107"/>
      <c r="R3" s="107"/>
      <c r="S3" s="107"/>
      <c r="T3" s="107"/>
      <c r="U3" s="107"/>
      <c r="V3" s="107"/>
      <c r="W3" s="107"/>
      <c r="X3" s="107"/>
      <c r="Y3" s="108"/>
      <c r="Z3" s="108"/>
      <c r="AA3" s="108"/>
      <c r="AB3" s="108"/>
      <c r="AC3" s="108"/>
    </row>
    <row r="4">
      <c r="A4" s="100" t="s">
        <v>19550</v>
      </c>
      <c r="B4" s="101" t="s">
        <v>19555</v>
      </c>
      <c r="C4" s="102" t="s">
        <v>18451</v>
      </c>
      <c r="D4" s="102">
        <f>19175605692
</f>
        <v>19175605692</v>
      </c>
      <c r="E4" s="102" t="s">
        <v>248</v>
      </c>
      <c r="F4" s="104" t="s">
        <v>19560</v>
      </c>
      <c r="G4" s="102" t="s">
        <v>19553</v>
      </c>
      <c r="H4" s="102" t="s">
        <v>19558</v>
      </c>
      <c r="I4" s="102" t="s">
        <v>19561</v>
      </c>
      <c r="J4" s="106"/>
      <c r="K4" s="107"/>
      <c r="L4" s="107"/>
      <c r="M4" s="107"/>
      <c r="N4" s="107"/>
      <c r="O4" s="107"/>
      <c r="P4" s="107"/>
      <c r="Q4" s="107"/>
      <c r="R4" s="107"/>
      <c r="S4" s="107"/>
      <c r="T4" s="107"/>
      <c r="U4" s="107"/>
      <c r="V4" s="107"/>
      <c r="W4" s="107"/>
      <c r="X4" s="107"/>
      <c r="Y4" s="108"/>
      <c r="Z4" s="108"/>
      <c r="AA4" s="108"/>
      <c r="AB4" s="108"/>
      <c r="AC4" s="108"/>
    </row>
    <row r="5">
      <c r="A5" s="100" t="s">
        <v>19550</v>
      </c>
      <c r="B5" s="101" t="s">
        <v>19555</v>
      </c>
      <c r="C5" s="102" t="s">
        <v>18394</v>
      </c>
      <c r="D5" s="102">
        <f>12673287420
</f>
        <v>12673287420</v>
      </c>
      <c r="E5" s="102" t="s">
        <v>248</v>
      </c>
      <c r="F5" s="104" t="s">
        <v>19562</v>
      </c>
      <c r="G5" s="102" t="s">
        <v>19553</v>
      </c>
      <c r="H5" s="102" t="s">
        <v>19558</v>
      </c>
      <c r="I5" s="102" t="s">
        <v>19563</v>
      </c>
      <c r="J5" s="106"/>
      <c r="K5" s="107"/>
      <c r="L5" s="107"/>
      <c r="M5" s="107"/>
      <c r="N5" s="107"/>
      <c r="O5" s="107"/>
      <c r="P5" s="107"/>
      <c r="Q5" s="107"/>
      <c r="R5" s="107"/>
      <c r="S5" s="107"/>
      <c r="T5" s="107"/>
      <c r="U5" s="107"/>
      <c r="V5" s="107"/>
      <c r="W5" s="107"/>
      <c r="X5" s="107"/>
      <c r="Y5" s="108"/>
      <c r="Z5" s="108"/>
      <c r="AA5" s="108"/>
      <c r="AB5" s="108"/>
      <c r="AC5" s="108"/>
    </row>
    <row r="6">
      <c r="A6" s="100" t="s">
        <v>19550</v>
      </c>
      <c r="B6" s="101" t="s">
        <v>19564</v>
      </c>
      <c r="C6" s="102" t="s">
        <v>18264</v>
      </c>
      <c r="D6" s="102">
        <f>19542780515
</f>
        <v>19542780515</v>
      </c>
      <c r="E6" s="102" t="s">
        <v>248</v>
      </c>
      <c r="F6" s="104" t="s">
        <v>19565</v>
      </c>
      <c r="G6" s="102" t="s">
        <v>19553</v>
      </c>
      <c r="H6" s="105"/>
      <c r="I6" s="102" t="s">
        <v>19566</v>
      </c>
      <c r="J6" s="106"/>
      <c r="K6" s="107"/>
      <c r="L6" s="107"/>
      <c r="M6" s="107"/>
      <c r="N6" s="107"/>
      <c r="O6" s="107"/>
      <c r="P6" s="107"/>
      <c r="Q6" s="107"/>
      <c r="R6" s="107"/>
      <c r="S6" s="107"/>
      <c r="T6" s="107"/>
      <c r="U6" s="107"/>
      <c r="V6" s="107"/>
      <c r="W6" s="107"/>
      <c r="X6" s="107"/>
      <c r="Y6" s="108"/>
      <c r="Z6" s="108"/>
      <c r="AA6" s="108"/>
      <c r="AB6" s="108"/>
      <c r="AC6" s="108"/>
    </row>
    <row r="7">
      <c r="A7" s="100" t="s">
        <v>19550</v>
      </c>
      <c r="B7" s="101" t="s">
        <v>19567</v>
      </c>
      <c r="C7" s="102" t="s">
        <v>18395</v>
      </c>
      <c r="D7" s="102">
        <f>19179074518
</f>
        <v>19179074518</v>
      </c>
      <c r="E7" s="102" t="s">
        <v>248</v>
      </c>
      <c r="F7" s="104" t="s">
        <v>19568</v>
      </c>
      <c r="G7" s="102" t="s">
        <v>19553</v>
      </c>
      <c r="H7" s="102" t="s">
        <v>19558</v>
      </c>
      <c r="I7" s="102" t="s">
        <v>19569</v>
      </c>
      <c r="J7" s="106"/>
      <c r="K7" s="107"/>
      <c r="L7" s="107"/>
      <c r="M7" s="107"/>
      <c r="N7" s="107"/>
      <c r="O7" s="107"/>
      <c r="P7" s="107"/>
      <c r="Q7" s="107"/>
      <c r="R7" s="107"/>
      <c r="S7" s="107"/>
      <c r="T7" s="107"/>
      <c r="U7" s="107"/>
      <c r="V7" s="107"/>
      <c r="W7" s="107"/>
      <c r="X7" s="107"/>
      <c r="Y7" s="108"/>
      <c r="Z7" s="108"/>
      <c r="AA7" s="108"/>
      <c r="AB7" s="108"/>
      <c r="AC7" s="108"/>
    </row>
    <row r="8">
      <c r="A8" s="100" t="s">
        <v>19550</v>
      </c>
      <c r="B8" s="101" t="s">
        <v>19570</v>
      </c>
      <c r="C8" s="102" t="s">
        <v>18477</v>
      </c>
      <c r="D8" s="102">
        <f>19014962323
</f>
        <v>19014962323</v>
      </c>
      <c r="E8" s="102" t="s">
        <v>248</v>
      </c>
      <c r="F8" s="104" t="s">
        <v>19571</v>
      </c>
      <c r="G8" s="102" t="s">
        <v>19557</v>
      </c>
      <c r="H8" s="102" t="s">
        <v>19558</v>
      </c>
      <c r="I8" s="102" t="s">
        <v>19572</v>
      </c>
      <c r="J8" s="106"/>
      <c r="K8" s="107"/>
      <c r="L8" s="107"/>
      <c r="M8" s="107"/>
      <c r="N8" s="107"/>
      <c r="O8" s="107"/>
      <c r="P8" s="107"/>
      <c r="Q8" s="107"/>
      <c r="R8" s="107"/>
      <c r="S8" s="107"/>
      <c r="T8" s="107"/>
      <c r="U8" s="107"/>
      <c r="V8" s="107"/>
      <c r="W8" s="107"/>
      <c r="X8" s="107"/>
      <c r="Y8" s="108"/>
      <c r="Z8" s="108"/>
      <c r="AA8" s="108"/>
      <c r="AB8" s="108"/>
      <c r="AC8" s="108"/>
    </row>
    <row r="9">
      <c r="A9" s="100" t="s">
        <v>19550</v>
      </c>
      <c r="B9" s="101" t="s">
        <v>19573</v>
      </c>
      <c r="C9" s="102" t="s">
        <v>18372</v>
      </c>
      <c r="D9" s="102">
        <f>19173340493
</f>
        <v>19173340493</v>
      </c>
      <c r="E9" s="102" t="s">
        <v>248</v>
      </c>
      <c r="F9" s="104" t="s">
        <v>19574</v>
      </c>
      <c r="G9" s="102" t="s">
        <v>19553</v>
      </c>
      <c r="H9" s="102" t="s">
        <v>19558</v>
      </c>
      <c r="I9" s="102" t="s">
        <v>19575</v>
      </c>
      <c r="J9" s="106"/>
      <c r="K9" s="107"/>
      <c r="L9" s="107"/>
      <c r="M9" s="107"/>
      <c r="N9" s="107"/>
      <c r="O9" s="107"/>
      <c r="P9" s="107"/>
      <c r="Q9" s="107"/>
      <c r="R9" s="107"/>
      <c r="S9" s="107"/>
      <c r="T9" s="107"/>
      <c r="U9" s="107"/>
      <c r="V9" s="107"/>
      <c r="W9" s="107"/>
      <c r="X9" s="107"/>
      <c r="Y9" s="108"/>
      <c r="Z9" s="108"/>
      <c r="AA9" s="108"/>
      <c r="AB9" s="108"/>
      <c r="AC9" s="108"/>
    </row>
    <row r="10">
      <c r="A10" s="100" t="s">
        <v>19550</v>
      </c>
      <c r="B10" s="101" t="s">
        <v>19555</v>
      </c>
      <c r="C10" s="109" t="s">
        <v>18462</v>
      </c>
      <c r="D10" s="103" t="s">
        <v>19576</v>
      </c>
      <c r="E10" s="102" t="s">
        <v>248</v>
      </c>
      <c r="F10" s="104" t="s">
        <v>19577</v>
      </c>
      <c r="G10" s="102" t="s">
        <v>19553</v>
      </c>
      <c r="H10" s="102" t="s">
        <v>19558</v>
      </c>
      <c r="I10" s="102" t="s">
        <v>19578</v>
      </c>
      <c r="J10" s="106"/>
      <c r="K10" s="107"/>
      <c r="L10" s="107"/>
      <c r="M10" s="107"/>
      <c r="N10" s="107"/>
      <c r="O10" s="107"/>
      <c r="P10" s="107"/>
      <c r="Q10" s="107"/>
      <c r="R10" s="107"/>
      <c r="S10" s="107"/>
      <c r="T10" s="107"/>
      <c r="U10" s="107"/>
      <c r="V10" s="107"/>
      <c r="W10" s="107"/>
      <c r="X10" s="107"/>
      <c r="Y10" s="108"/>
      <c r="Z10" s="108"/>
      <c r="AA10" s="108"/>
      <c r="AB10" s="108"/>
      <c r="AC10" s="108"/>
    </row>
    <row r="11">
      <c r="A11" s="100" t="s">
        <v>19550</v>
      </c>
      <c r="B11" s="101" t="s">
        <v>19555</v>
      </c>
      <c r="C11" s="102" t="s">
        <v>18557</v>
      </c>
      <c r="D11" s="103">
        <v>6.365412393E9</v>
      </c>
      <c r="E11" s="102" t="s">
        <v>248</v>
      </c>
      <c r="F11" s="104" t="s">
        <v>19579</v>
      </c>
      <c r="G11" s="102" t="s">
        <v>19557</v>
      </c>
      <c r="H11" s="102" t="s">
        <v>19558</v>
      </c>
      <c r="I11" s="102" t="s">
        <v>19580</v>
      </c>
      <c r="J11" s="106"/>
      <c r="K11" s="107"/>
      <c r="L11" s="107"/>
      <c r="M11" s="107"/>
      <c r="N11" s="107"/>
      <c r="O11" s="107"/>
      <c r="P11" s="107"/>
      <c r="Q11" s="107"/>
      <c r="R11" s="107"/>
      <c r="S11" s="107"/>
      <c r="T11" s="107"/>
      <c r="U11" s="107"/>
      <c r="V11" s="107"/>
      <c r="W11" s="107"/>
      <c r="X11" s="107"/>
      <c r="Y11" s="108"/>
      <c r="Z11" s="108"/>
      <c r="AA11" s="108"/>
      <c r="AB11" s="108"/>
      <c r="AC11" s="108"/>
    </row>
    <row r="12">
      <c r="A12" s="100" t="s">
        <v>19550</v>
      </c>
      <c r="B12" s="101" t="s">
        <v>19555</v>
      </c>
      <c r="C12" s="102" t="s">
        <v>18368</v>
      </c>
      <c r="D12" s="103" t="s">
        <v>19581</v>
      </c>
      <c r="E12" s="102" t="s">
        <v>248</v>
      </c>
      <c r="F12" s="104" t="s">
        <v>19582</v>
      </c>
      <c r="G12" s="102" t="s">
        <v>19583</v>
      </c>
      <c r="H12" s="105"/>
      <c r="I12" s="102" t="s">
        <v>19584</v>
      </c>
      <c r="J12" s="106"/>
      <c r="K12" s="107"/>
      <c r="L12" s="107"/>
      <c r="M12" s="107"/>
      <c r="N12" s="107"/>
      <c r="O12" s="107"/>
      <c r="P12" s="107"/>
      <c r="Q12" s="107"/>
      <c r="R12" s="107"/>
      <c r="S12" s="107"/>
      <c r="T12" s="107"/>
      <c r="U12" s="107"/>
      <c r="V12" s="107"/>
      <c r="W12" s="107"/>
      <c r="X12" s="107"/>
      <c r="Y12" s="108"/>
      <c r="Z12" s="108"/>
      <c r="AA12" s="108"/>
      <c r="AB12" s="108"/>
      <c r="AC12" s="108"/>
    </row>
    <row r="13">
      <c r="A13" s="100" t="s">
        <v>19550</v>
      </c>
      <c r="B13" s="101" t="s">
        <v>19555</v>
      </c>
      <c r="C13" s="102" t="s">
        <v>19585</v>
      </c>
      <c r="D13" s="102">
        <f>16462603663
</f>
        <v>16462603663</v>
      </c>
      <c r="E13" s="102" t="s">
        <v>248</v>
      </c>
      <c r="F13" s="104" t="s">
        <v>19586</v>
      </c>
      <c r="G13" s="102" t="s">
        <v>19557</v>
      </c>
      <c r="H13" s="102" t="s">
        <v>19558</v>
      </c>
      <c r="I13" s="102" t="s">
        <v>19587</v>
      </c>
      <c r="J13" s="106"/>
      <c r="K13" s="107"/>
      <c r="L13" s="107"/>
      <c r="M13" s="107"/>
      <c r="N13" s="107"/>
      <c r="O13" s="107"/>
      <c r="P13" s="107"/>
      <c r="Q13" s="107"/>
      <c r="R13" s="107"/>
      <c r="S13" s="107"/>
      <c r="T13" s="107"/>
      <c r="U13" s="107"/>
      <c r="V13" s="107"/>
      <c r="W13" s="107"/>
      <c r="X13" s="107"/>
      <c r="Y13" s="108"/>
      <c r="Z13" s="108"/>
      <c r="AA13" s="108"/>
      <c r="AB13" s="108"/>
      <c r="AC13" s="108"/>
    </row>
    <row r="14">
      <c r="A14" s="100" t="s">
        <v>19550</v>
      </c>
      <c r="B14" s="101" t="s">
        <v>19555</v>
      </c>
      <c r="C14" s="102" t="s">
        <v>18159</v>
      </c>
      <c r="D14" s="102">
        <f>19178658316
</f>
        <v>19178658316</v>
      </c>
      <c r="E14" s="102" t="s">
        <v>248</v>
      </c>
      <c r="F14" s="104" t="s">
        <v>19588</v>
      </c>
      <c r="G14" s="102" t="s">
        <v>19589</v>
      </c>
      <c r="H14" s="105"/>
      <c r="I14" s="102" t="s">
        <v>19590</v>
      </c>
      <c r="J14" s="106"/>
      <c r="K14" s="107"/>
      <c r="L14" s="107"/>
      <c r="M14" s="107"/>
      <c r="N14" s="107"/>
      <c r="O14" s="107"/>
      <c r="P14" s="107"/>
      <c r="Q14" s="107"/>
      <c r="R14" s="107"/>
      <c r="S14" s="107"/>
      <c r="T14" s="107"/>
      <c r="U14" s="107"/>
      <c r="V14" s="107"/>
      <c r="W14" s="107"/>
      <c r="X14" s="107"/>
      <c r="Y14" s="108"/>
      <c r="Z14" s="108"/>
      <c r="AA14" s="108"/>
      <c r="AB14" s="108"/>
      <c r="AC14" s="108"/>
    </row>
    <row r="15">
      <c r="A15" s="100" t="s">
        <v>19550</v>
      </c>
      <c r="B15" s="101" t="s">
        <v>19555</v>
      </c>
      <c r="C15" s="102" t="s">
        <v>18530</v>
      </c>
      <c r="D15" s="103">
        <v>6.467891472E9</v>
      </c>
      <c r="E15" s="102" t="s">
        <v>248</v>
      </c>
      <c r="F15" s="104" t="s">
        <v>19591</v>
      </c>
      <c r="G15" s="102" t="s">
        <v>19557</v>
      </c>
      <c r="H15" s="102" t="s">
        <v>19592</v>
      </c>
      <c r="I15" s="102" t="s">
        <v>19593</v>
      </c>
      <c r="J15" s="106"/>
      <c r="K15" s="107"/>
      <c r="L15" s="107"/>
      <c r="M15" s="107"/>
      <c r="N15" s="107"/>
      <c r="O15" s="107"/>
      <c r="P15" s="107"/>
      <c r="Q15" s="107"/>
      <c r="R15" s="107"/>
      <c r="S15" s="107"/>
      <c r="T15" s="107"/>
      <c r="U15" s="107"/>
      <c r="V15" s="107"/>
      <c r="W15" s="107"/>
      <c r="X15" s="107"/>
      <c r="Y15" s="108"/>
      <c r="Z15" s="108"/>
      <c r="AA15" s="108"/>
      <c r="AB15" s="108"/>
      <c r="AC15" s="108"/>
    </row>
    <row r="16">
      <c r="A16" s="100" t="s">
        <v>19550</v>
      </c>
      <c r="B16" s="101" t="s">
        <v>19594</v>
      </c>
      <c r="C16" s="102" t="s">
        <v>18537</v>
      </c>
      <c r="D16" s="103" t="s">
        <v>479</v>
      </c>
      <c r="E16" s="102" t="s">
        <v>248</v>
      </c>
      <c r="F16" s="104" t="s">
        <v>19595</v>
      </c>
      <c r="G16" s="102" t="s">
        <v>19557</v>
      </c>
      <c r="H16" s="105"/>
      <c r="I16" s="102" t="s">
        <v>19596</v>
      </c>
      <c r="J16" s="106"/>
      <c r="K16" s="107"/>
      <c r="L16" s="107"/>
      <c r="M16" s="107"/>
      <c r="N16" s="107"/>
      <c r="O16" s="107"/>
      <c r="P16" s="107"/>
      <c r="Q16" s="107"/>
      <c r="R16" s="107"/>
      <c r="S16" s="107"/>
      <c r="T16" s="107"/>
      <c r="U16" s="107"/>
      <c r="V16" s="107"/>
      <c r="W16" s="107"/>
      <c r="X16" s="107"/>
      <c r="Y16" s="108"/>
      <c r="Z16" s="108"/>
      <c r="AA16" s="108"/>
      <c r="AB16" s="108"/>
      <c r="AC16" s="108"/>
    </row>
    <row r="17">
      <c r="A17" s="100" t="s">
        <v>19550</v>
      </c>
      <c r="B17" s="101" t="s">
        <v>19597</v>
      </c>
      <c r="C17" s="109" t="s">
        <v>18299</v>
      </c>
      <c r="D17" s="103" t="s">
        <v>19598</v>
      </c>
      <c r="E17" s="102" t="s">
        <v>248</v>
      </c>
      <c r="F17" s="104" t="s">
        <v>19599</v>
      </c>
      <c r="G17" s="102" t="s">
        <v>19557</v>
      </c>
      <c r="H17" s="102" t="s">
        <v>19558</v>
      </c>
      <c r="I17" s="102" t="s">
        <v>19600</v>
      </c>
      <c r="J17" s="106"/>
      <c r="K17" s="107"/>
      <c r="L17" s="107"/>
      <c r="M17" s="107"/>
      <c r="N17" s="107"/>
      <c r="O17" s="107"/>
      <c r="P17" s="107"/>
      <c r="Q17" s="107"/>
      <c r="R17" s="107"/>
      <c r="S17" s="107"/>
      <c r="T17" s="107"/>
      <c r="U17" s="107"/>
      <c r="V17" s="107"/>
      <c r="W17" s="107"/>
      <c r="X17" s="107"/>
      <c r="Y17" s="108"/>
      <c r="Z17" s="108"/>
      <c r="AA17" s="108"/>
      <c r="AB17" s="108"/>
      <c r="AC17" s="108"/>
    </row>
    <row r="18">
      <c r="A18" s="100" t="s">
        <v>19550</v>
      </c>
      <c r="B18" s="101" t="s">
        <v>19601</v>
      </c>
      <c r="C18" s="102" t="s">
        <v>18550</v>
      </c>
      <c r="D18" s="103" t="s">
        <v>19602</v>
      </c>
      <c r="E18" s="102" t="s">
        <v>248</v>
      </c>
      <c r="F18" s="104" t="s">
        <v>19603</v>
      </c>
      <c r="G18" s="102" t="s">
        <v>19553</v>
      </c>
      <c r="H18" s="102" t="s">
        <v>19558</v>
      </c>
      <c r="I18" s="102" t="s">
        <v>19604</v>
      </c>
      <c r="J18" s="106"/>
      <c r="K18" s="107"/>
      <c r="L18" s="107"/>
      <c r="M18" s="107"/>
      <c r="N18" s="107"/>
      <c r="O18" s="107"/>
      <c r="P18" s="107"/>
      <c r="Q18" s="107"/>
      <c r="R18" s="107"/>
      <c r="S18" s="107"/>
      <c r="T18" s="107"/>
      <c r="U18" s="107"/>
      <c r="V18" s="107"/>
      <c r="W18" s="107"/>
      <c r="X18" s="107"/>
      <c r="Y18" s="108"/>
      <c r="Z18" s="108"/>
      <c r="AA18" s="108"/>
      <c r="AB18" s="108"/>
      <c r="AC18" s="108"/>
    </row>
    <row r="19">
      <c r="A19" s="100" t="s">
        <v>19550</v>
      </c>
      <c r="B19" s="101" t="s">
        <v>19605</v>
      </c>
      <c r="C19" s="102" t="s">
        <v>18374</v>
      </c>
      <c r="D19" s="103" t="s">
        <v>19606</v>
      </c>
      <c r="E19" s="102" t="s">
        <v>248</v>
      </c>
      <c r="F19" s="104" t="s">
        <v>19607</v>
      </c>
      <c r="G19" s="102" t="s">
        <v>19608</v>
      </c>
      <c r="H19" s="105"/>
      <c r="I19" s="102" t="s">
        <v>19609</v>
      </c>
      <c r="J19" s="106"/>
      <c r="K19" s="107"/>
      <c r="L19" s="107"/>
      <c r="M19" s="107"/>
      <c r="N19" s="107"/>
      <c r="O19" s="107"/>
      <c r="P19" s="107"/>
      <c r="Q19" s="107"/>
      <c r="R19" s="107"/>
      <c r="S19" s="107"/>
      <c r="T19" s="107"/>
      <c r="U19" s="107"/>
      <c r="V19" s="107"/>
      <c r="W19" s="107"/>
      <c r="X19" s="107"/>
      <c r="Y19" s="108"/>
      <c r="Z19" s="108"/>
      <c r="AA19" s="108"/>
      <c r="AB19" s="108"/>
      <c r="AC19" s="108"/>
    </row>
    <row r="20">
      <c r="A20" s="100" t="s">
        <v>19550</v>
      </c>
      <c r="B20" s="101" t="s">
        <v>19555</v>
      </c>
      <c r="C20" s="102" t="s">
        <v>18554</v>
      </c>
      <c r="D20" s="103" t="s">
        <v>19610</v>
      </c>
      <c r="E20" s="102" t="s">
        <v>248</v>
      </c>
      <c r="F20" s="104" t="s">
        <v>19611</v>
      </c>
      <c r="G20" s="102" t="s">
        <v>19557</v>
      </c>
      <c r="H20" s="105"/>
      <c r="I20" s="102" t="s">
        <v>19612</v>
      </c>
      <c r="J20" s="106"/>
      <c r="K20" s="107"/>
      <c r="L20" s="107"/>
      <c r="M20" s="107"/>
      <c r="N20" s="107"/>
      <c r="O20" s="107"/>
      <c r="P20" s="107"/>
      <c r="Q20" s="107"/>
      <c r="R20" s="107"/>
      <c r="S20" s="107"/>
      <c r="T20" s="107"/>
      <c r="U20" s="107"/>
      <c r="V20" s="107"/>
      <c r="W20" s="107"/>
      <c r="X20" s="107"/>
      <c r="Y20" s="108"/>
      <c r="Z20" s="108"/>
      <c r="AA20" s="108"/>
      <c r="AB20" s="108"/>
      <c r="AC20" s="108"/>
    </row>
    <row r="21">
      <c r="A21" s="100" t="s">
        <v>19550</v>
      </c>
      <c r="B21" s="101" t="s">
        <v>19555</v>
      </c>
      <c r="C21" s="102" t="s">
        <v>18415</v>
      </c>
      <c r="D21" s="103" t="s">
        <v>19613</v>
      </c>
      <c r="E21" s="102" t="s">
        <v>248</v>
      </c>
      <c r="F21" s="104" t="s">
        <v>19614</v>
      </c>
      <c r="G21" s="102" t="s">
        <v>19557</v>
      </c>
      <c r="H21" s="102" t="s">
        <v>19592</v>
      </c>
      <c r="I21" s="102" t="s">
        <v>19615</v>
      </c>
      <c r="J21" s="106"/>
      <c r="K21" s="107"/>
      <c r="L21" s="107"/>
      <c r="M21" s="107"/>
      <c r="N21" s="107"/>
      <c r="O21" s="107"/>
      <c r="P21" s="107"/>
      <c r="Q21" s="107"/>
      <c r="R21" s="107"/>
      <c r="S21" s="107"/>
      <c r="T21" s="107"/>
      <c r="U21" s="107"/>
      <c r="V21" s="107"/>
      <c r="W21" s="107"/>
      <c r="X21" s="107"/>
      <c r="Y21" s="108"/>
      <c r="Z21" s="108"/>
      <c r="AA21" s="108"/>
      <c r="AB21" s="108"/>
      <c r="AC21" s="108"/>
    </row>
    <row r="22">
      <c r="A22" s="100" t="s">
        <v>19550</v>
      </c>
      <c r="B22" s="110" t="s">
        <v>19616</v>
      </c>
      <c r="C22" s="111" t="s">
        <v>19617</v>
      </c>
      <c r="D22" s="111" t="s">
        <v>19618</v>
      </c>
      <c r="E22" s="111" t="s">
        <v>19619</v>
      </c>
      <c r="F22" s="111" t="s">
        <v>1556</v>
      </c>
      <c r="G22" s="112"/>
      <c r="H22" s="112"/>
      <c r="I22" s="112"/>
      <c r="J22" s="113"/>
      <c r="K22" s="107"/>
      <c r="L22" s="107"/>
      <c r="M22" s="107"/>
      <c r="N22" s="107"/>
      <c r="O22" s="107"/>
      <c r="P22" s="107"/>
      <c r="Q22" s="107"/>
      <c r="R22" s="107"/>
      <c r="S22" s="107"/>
      <c r="T22" s="107"/>
      <c r="U22" s="107"/>
      <c r="V22" s="107"/>
      <c r="W22" s="107"/>
      <c r="X22" s="107"/>
      <c r="Y22" s="108"/>
      <c r="Z22" s="108"/>
      <c r="AA22" s="108"/>
      <c r="AB22" s="108"/>
      <c r="AC22" s="108"/>
    </row>
    <row r="23">
      <c r="A23" s="100" t="s">
        <v>19550</v>
      </c>
      <c r="B23" s="110" t="s">
        <v>19555</v>
      </c>
      <c r="C23" s="111" t="s">
        <v>19620</v>
      </c>
      <c r="D23" s="111" t="s">
        <v>19621</v>
      </c>
      <c r="E23" s="111" t="s">
        <v>248</v>
      </c>
      <c r="F23" s="111" t="s">
        <v>19622</v>
      </c>
      <c r="G23" s="112"/>
      <c r="H23" s="112"/>
      <c r="I23" s="112"/>
      <c r="J23" s="113"/>
      <c r="K23" s="107"/>
      <c r="L23" s="107"/>
      <c r="M23" s="107"/>
      <c r="N23" s="107"/>
      <c r="O23" s="107"/>
      <c r="P23" s="107"/>
      <c r="Q23" s="107"/>
      <c r="R23" s="107"/>
      <c r="S23" s="107"/>
      <c r="T23" s="107"/>
      <c r="U23" s="107"/>
      <c r="V23" s="107"/>
      <c r="W23" s="107"/>
      <c r="X23" s="107"/>
      <c r="Y23" s="108"/>
      <c r="Z23" s="108"/>
      <c r="AA23" s="108"/>
      <c r="AB23" s="108"/>
      <c r="AC23" s="108"/>
    </row>
    <row r="24">
      <c r="A24" s="100" t="s">
        <v>19550</v>
      </c>
      <c r="B24" s="101" t="s">
        <v>19555</v>
      </c>
      <c r="C24" s="109" t="s">
        <v>18361</v>
      </c>
      <c r="D24" s="103">
        <v>4.157105816E9</v>
      </c>
      <c r="E24" s="102" t="s">
        <v>248</v>
      </c>
      <c r="F24" s="104" t="s">
        <v>19623</v>
      </c>
      <c r="G24" s="102" t="s">
        <v>19553</v>
      </c>
      <c r="H24" s="102" t="s">
        <v>19592</v>
      </c>
      <c r="I24" s="102" t="s">
        <v>19624</v>
      </c>
      <c r="J24" s="106"/>
      <c r="K24" s="107"/>
      <c r="L24" s="107"/>
      <c r="M24" s="107"/>
      <c r="N24" s="107"/>
      <c r="O24" s="107"/>
      <c r="P24" s="107"/>
      <c r="Q24" s="107"/>
      <c r="R24" s="107"/>
      <c r="S24" s="107"/>
      <c r="T24" s="107"/>
      <c r="U24" s="107"/>
      <c r="V24" s="107"/>
      <c r="W24" s="107"/>
      <c r="X24" s="107"/>
      <c r="Y24" s="108"/>
      <c r="Z24" s="108"/>
      <c r="AA24" s="108"/>
      <c r="AB24" s="108"/>
      <c r="AC24" s="108"/>
    </row>
    <row r="25">
      <c r="A25" s="100" t="s">
        <v>19550</v>
      </c>
      <c r="B25" s="101" t="s">
        <v>19555</v>
      </c>
      <c r="C25" s="102" t="s">
        <v>18410</v>
      </c>
      <c r="D25" s="102">
        <f>15034739360
</f>
        <v>15034739360</v>
      </c>
      <c r="E25" s="102" t="s">
        <v>248</v>
      </c>
      <c r="F25" s="104" t="s">
        <v>19625</v>
      </c>
      <c r="G25" s="102" t="s">
        <v>19553</v>
      </c>
      <c r="H25" s="105"/>
      <c r="I25" s="102" t="s">
        <v>19626</v>
      </c>
      <c r="J25" s="106"/>
      <c r="K25" s="107"/>
      <c r="L25" s="107"/>
      <c r="M25" s="107"/>
      <c r="N25" s="107"/>
      <c r="O25" s="107"/>
      <c r="P25" s="107"/>
      <c r="Q25" s="107"/>
      <c r="R25" s="107"/>
      <c r="S25" s="107"/>
      <c r="T25" s="107"/>
      <c r="U25" s="107"/>
      <c r="V25" s="107"/>
      <c r="W25" s="107"/>
      <c r="X25" s="107"/>
      <c r="Y25" s="108"/>
      <c r="Z25" s="108"/>
      <c r="AA25" s="108"/>
      <c r="AB25" s="108"/>
      <c r="AC25" s="108"/>
    </row>
    <row r="26">
      <c r="A26" s="100" t="s">
        <v>19550</v>
      </c>
      <c r="B26" s="101" t="s">
        <v>19555</v>
      </c>
      <c r="C26" s="102" t="s">
        <v>18328</v>
      </c>
      <c r="D26" s="102">
        <f>16077934200
</f>
        <v>16077934200</v>
      </c>
      <c r="E26" s="102" t="s">
        <v>248</v>
      </c>
      <c r="F26" s="104" t="s">
        <v>19627</v>
      </c>
      <c r="G26" s="102" t="s">
        <v>19553</v>
      </c>
      <c r="H26" s="102" t="s">
        <v>19558</v>
      </c>
      <c r="I26" s="102" t="s">
        <v>19628</v>
      </c>
      <c r="J26" s="106"/>
      <c r="K26" s="107"/>
      <c r="L26" s="107"/>
      <c r="M26" s="107"/>
      <c r="N26" s="107"/>
      <c r="O26" s="107"/>
      <c r="P26" s="107"/>
      <c r="Q26" s="107"/>
      <c r="R26" s="107"/>
      <c r="S26" s="107"/>
      <c r="T26" s="107"/>
      <c r="U26" s="107"/>
      <c r="V26" s="107"/>
      <c r="W26" s="107"/>
      <c r="X26" s="107"/>
      <c r="Y26" s="108"/>
      <c r="Z26" s="108"/>
      <c r="AA26" s="108"/>
      <c r="AB26" s="108"/>
      <c r="AC26" s="108"/>
    </row>
    <row r="27">
      <c r="A27" s="100" t="s">
        <v>19550</v>
      </c>
      <c r="B27" s="101" t="s">
        <v>19555</v>
      </c>
      <c r="C27" s="102" t="s">
        <v>19629</v>
      </c>
      <c r="D27" s="103">
        <v>9.179748253E9</v>
      </c>
      <c r="E27" s="102" t="s">
        <v>248</v>
      </c>
      <c r="F27" s="104" t="s">
        <v>19630</v>
      </c>
      <c r="G27" s="102" t="s">
        <v>19583</v>
      </c>
      <c r="H27" s="105"/>
      <c r="I27" s="102" t="s">
        <v>19631</v>
      </c>
      <c r="J27" s="106"/>
      <c r="K27" s="107"/>
      <c r="L27" s="107"/>
      <c r="M27" s="107"/>
      <c r="N27" s="107"/>
      <c r="O27" s="107"/>
      <c r="P27" s="107"/>
      <c r="Q27" s="107"/>
      <c r="R27" s="107"/>
      <c r="S27" s="107"/>
      <c r="T27" s="107"/>
      <c r="U27" s="107"/>
      <c r="V27" s="107"/>
      <c r="W27" s="107"/>
      <c r="X27" s="107"/>
      <c r="Y27" s="108"/>
      <c r="Z27" s="108"/>
      <c r="AA27" s="108"/>
      <c r="AB27" s="108"/>
      <c r="AC27" s="108"/>
    </row>
    <row r="28">
      <c r="A28" s="100" t="s">
        <v>19550</v>
      </c>
      <c r="B28" s="101" t="s">
        <v>19632</v>
      </c>
      <c r="C28" s="114" t="s">
        <v>18185</v>
      </c>
      <c r="D28" s="114"/>
      <c r="E28" s="115"/>
      <c r="F28" s="116"/>
      <c r="G28" s="115"/>
      <c r="H28" s="115"/>
      <c r="I28" s="117"/>
      <c r="J28" s="118"/>
      <c r="K28" s="119"/>
      <c r="L28" s="119"/>
      <c r="M28" s="119"/>
      <c r="N28" s="119"/>
      <c r="O28" s="119"/>
      <c r="P28" s="119"/>
      <c r="Q28" s="119"/>
      <c r="R28" s="119"/>
      <c r="S28" s="119"/>
      <c r="T28" s="119"/>
      <c r="U28" s="119"/>
      <c r="V28" s="119"/>
      <c r="W28" s="119"/>
      <c r="X28" s="119"/>
      <c r="Y28" s="120"/>
      <c r="Z28" s="120"/>
      <c r="AA28" s="120"/>
      <c r="AB28" s="120"/>
      <c r="AC28" s="120"/>
    </row>
    <row r="29">
      <c r="A29" s="100" t="s">
        <v>19550</v>
      </c>
      <c r="B29" s="101" t="s">
        <v>19632</v>
      </c>
      <c r="C29" s="115" t="s">
        <v>18313</v>
      </c>
      <c r="D29" s="114">
        <v>8.182632274E9</v>
      </c>
      <c r="E29" s="115" t="s">
        <v>248</v>
      </c>
      <c r="F29" s="116" t="s">
        <v>19633</v>
      </c>
      <c r="G29" s="115" t="s">
        <v>19553</v>
      </c>
      <c r="H29" s="115" t="s">
        <v>19558</v>
      </c>
      <c r="I29" s="121" t="s">
        <v>19634</v>
      </c>
      <c r="J29" s="118"/>
      <c r="K29" s="119"/>
      <c r="L29" s="119"/>
      <c r="M29" s="119"/>
      <c r="N29" s="119"/>
      <c r="O29" s="119"/>
      <c r="P29" s="119"/>
      <c r="Q29" s="119"/>
      <c r="R29" s="119"/>
      <c r="S29" s="119"/>
      <c r="T29" s="119"/>
      <c r="U29" s="119"/>
      <c r="V29" s="119"/>
      <c r="W29" s="119"/>
      <c r="X29" s="119"/>
      <c r="Y29" s="120"/>
      <c r="Z29" s="120"/>
      <c r="AA29" s="120"/>
      <c r="AB29" s="120"/>
      <c r="AC29" s="120"/>
    </row>
    <row r="30">
      <c r="A30" s="100" t="s">
        <v>19550</v>
      </c>
      <c r="B30" s="122" t="s">
        <v>19635</v>
      </c>
      <c r="C30" s="115" t="s">
        <v>19636</v>
      </c>
      <c r="D30" s="115">
        <f>15189862883</f>
        <v>15189862883</v>
      </c>
      <c r="E30" s="115" t="s">
        <v>248</v>
      </c>
      <c r="F30" s="116" t="s">
        <v>19637</v>
      </c>
      <c r="G30" s="115" t="s">
        <v>19557</v>
      </c>
      <c r="H30" s="123"/>
      <c r="I30" s="115" t="s">
        <v>19638</v>
      </c>
      <c r="J30" s="118"/>
      <c r="K30" s="119"/>
      <c r="L30" s="119"/>
      <c r="M30" s="119"/>
      <c r="N30" s="119"/>
      <c r="O30" s="119"/>
      <c r="P30" s="119"/>
      <c r="Q30" s="119"/>
      <c r="R30" s="119"/>
      <c r="S30" s="119"/>
      <c r="T30" s="119"/>
      <c r="U30" s="119"/>
      <c r="V30" s="119"/>
      <c r="W30" s="119"/>
      <c r="X30" s="119"/>
      <c r="Y30" s="120"/>
      <c r="Z30" s="120"/>
      <c r="AA30" s="120"/>
      <c r="AB30" s="120"/>
      <c r="AC30" s="120"/>
    </row>
    <row r="31">
      <c r="A31" s="100" t="s">
        <v>19550</v>
      </c>
      <c r="B31" s="110" t="s">
        <v>19632</v>
      </c>
      <c r="C31" s="124" t="s">
        <v>19639</v>
      </c>
      <c r="D31" s="124" t="s">
        <v>3303</v>
      </c>
      <c r="E31" s="124" t="s">
        <v>248</v>
      </c>
      <c r="F31" s="124" t="s">
        <v>19640</v>
      </c>
      <c r="G31" s="125"/>
      <c r="H31" s="125"/>
      <c r="I31" s="125"/>
      <c r="J31" s="126"/>
      <c r="K31" s="119"/>
      <c r="L31" s="119"/>
      <c r="M31" s="119"/>
      <c r="N31" s="119"/>
      <c r="O31" s="119"/>
      <c r="P31" s="119"/>
      <c r="Q31" s="119"/>
      <c r="R31" s="119"/>
      <c r="S31" s="119"/>
      <c r="T31" s="119"/>
      <c r="U31" s="119"/>
      <c r="V31" s="119"/>
      <c r="W31" s="119"/>
      <c r="X31" s="119"/>
      <c r="Y31" s="120"/>
      <c r="Z31" s="120"/>
      <c r="AA31" s="120"/>
      <c r="AB31" s="120"/>
      <c r="AC31" s="120"/>
    </row>
    <row r="32">
      <c r="A32" s="100" t="s">
        <v>19550</v>
      </c>
      <c r="B32" s="101" t="s">
        <v>19632</v>
      </c>
      <c r="C32" s="115" t="s">
        <v>18253</v>
      </c>
      <c r="D32" s="114">
        <v>1.5164561006E10</v>
      </c>
      <c r="E32" s="127" t="s">
        <v>248</v>
      </c>
      <c r="F32" s="116" t="s">
        <v>19641</v>
      </c>
      <c r="G32" s="123"/>
      <c r="H32" s="123"/>
      <c r="I32" s="115" t="s">
        <v>3747</v>
      </c>
      <c r="J32" s="118"/>
      <c r="K32" s="119"/>
      <c r="L32" s="119"/>
      <c r="M32" s="119"/>
      <c r="N32" s="119"/>
      <c r="O32" s="119"/>
      <c r="P32" s="119"/>
      <c r="Q32" s="119"/>
      <c r="R32" s="119"/>
      <c r="S32" s="119"/>
      <c r="T32" s="119"/>
      <c r="U32" s="119"/>
      <c r="V32" s="119"/>
      <c r="W32" s="119"/>
      <c r="X32" s="119"/>
      <c r="Y32" s="120"/>
      <c r="Z32" s="120"/>
      <c r="AA32" s="120"/>
      <c r="AB32" s="120"/>
      <c r="AC32" s="120"/>
    </row>
    <row r="33">
      <c r="A33" s="100" t="s">
        <v>19642</v>
      </c>
      <c r="B33" s="128"/>
      <c r="C33" s="129" t="s">
        <v>18774</v>
      </c>
      <c r="D33" s="130">
        <v>3.474187547E9</v>
      </c>
      <c r="E33" s="129" t="s">
        <v>19643</v>
      </c>
      <c r="F33" s="131" t="s">
        <v>19644</v>
      </c>
      <c r="G33" s="132"/>
      <c r="H33" s="132"/>
      <c r="I33" s="132"/>
      <c r="J33" s="133"/>
      <c r="K33" s="134"/>
      <c r="L33" s="134"/>
      <c r="M33" s="134"/>
      <c r="N33" s="134"/>
      <c r="O33" s="134"/>
      <c r="P33" s="134"/>
      <c r="Q33" s="134"/>
      <c r="R33" s="134"/>
      <c r="S33" s="134"/>
      <c r="T33" s="134"/>
      <c r="U33" s="134"/>
      <c r="V33" s="134"/>
      <c r="W33" s="134"/>
      <c r="X33" s="134"/>
      <c r="Y33" s="135"/>
      <c r="Z33" s="135"/>
      <c r="AA33" s="135"/>
      <c r="AB33" s="135"/>
      <c r="AC33" s="135"/>
    </row>
    <row r="34">
      <c r="A34" s="100" t="s">
        <v>19642</v>
      </c>
      <c r="B34" s="136" t="s">
        <v>19645</v>
      </c>
      <c r="C34" s="137" t="s">
        <v>18509</v>
      </c>
      <c r="D34" s="137">
        <f>13473765144
</f>
        <v>13473765144</v>
      </c>
      <c r="E34" s="137" t="s">
        <v>248</v>
      </c>
      <c r="F34" s="138" t="s">
        <v>19646</v>
      </c>
      <c r="G34" s="137" t="s">
        <v>19553</v>
      </c>
      <c r="H34" s="137" t="s">
        <v>19558</v>
      </c>
      <c r="I34" s="137" t="s">
        <v>19647</v>
      </c>
      <c r="J34" s="139"/>
      <c r="K34" s="140"/>
      <c r="L34" s="140"/>
      <c r="M34" s="140"/>
      <c r="N34" s="140"/>
      <c r="O34" s="140"/>
      <c r="P34" s="140"/>
      <c r="Q34" s="140"/>
      <c r="R34" s="140"/>
      <c r="S34" s="140"/>
      <c r="T34" s="140"/>
      <c r="U34" s="140"/>
      <c r="V34" s="140"/>
      <c r="W34" s="140"/>
      <c r="X34" s="140"/>
      <c r="Y34" s="141"/>
      <c r="Z34" s="141"/>
      <c r="AA34" s="141"/>
      <c r="AB34" s="141"/>
      <c r="AC34" s="141"/>
    </row>
    <row r="35">
      <c r="A35" s="100" t="s">
        <v>19642</v>
      </c>
      <c r="B35" s="136" t="s">
        <v>19648</v>
      </c>
      <c r="C35" s="137" t="s">
        <v>18408</v>
      </c>
      <c r="D35" s="142" t="s">
        <v>19649</v>
      </c>
      <c r="E35" s="137" t="s">
        <v>248</v>
      </c>
      <c r="F35" s="138" t="s">
        <v>19650</v>
      </c>
      <c r="G35" s="143"/>
      <c r="H35" s="143"/>
      <c r="I35" s="137" t="s">
        <v>19651</v>
      </c>
      <c r="J35" s="139"/>
      <c r="K35" s="140"/>
      <c r="L35" s="140"/>
      <c r="M35" s="140"/>
      <c r="N35" s="140"/>
      <c r="O35" s="140"/>
      <c r="P35" s="140"/>
      <c r="Q35" s="140"/>
      <c r="R35" s="140"/>
      <c r="S35" s="140"/>
      <c r="T35" s="140"/>
      <c r="U35" s="140"/>
      <c r="V35" s="140"/>
      <c r="W35" s="140"/>
      <c r="X35" s="140"/>
      <c r="Y35" s="141"/>
      <c r="Z35" s="141"/>
      <c r="AA35" s="141"/>
      <c r="AB35" s="141"/>
      <c r="AC35" s="141"/>
    </row>
    <row r="36">
      <c r="A36" s="100" t="s">
        <v>19642</v>
      </c>
      <c r="B36" s="144" t="s">
        <v>19652</v>
      </c>
      <c r="C36" s="129" t="s">
        <v>18690</v>
      </c>
      <c r="D36" s="130">
        <v>7.322368025E9</v>
      </c>
      <c r="E36" s="129" t="s">
        <v>248</v>
      </c>
      <c r="F36" s="131" t="s">
        <v>19653</v>
      </c>
      <c r="G36" s="129" t="s">
        <v>19553</v>
      </c>
      <c r="H36" s="129" t="s">
        <v>19654</v>
      </c>
      <c r="I36" s="129" t="s">
        <v>19655</v>
      </c>
      <c r="J36" s="133"/>
      <c r="K36" s="134"/>
      <c r="L36" s="134"/>
      <c r="M36" s="134"/>
      <c r="N36" s="134"/>
      <c r="O36" s="134"/>
      <c r="P36" s="134"/>
      <c r="Q36" s="134"/>
      <c r="R36" s="134"/>
      <c r="S36" s="134"/>
      <c r="T36" s="134"/>
      <c r="U36" s="134"/>
      <c r="V36" s="134"/>
      <c r="W36" s="134"/>
      <c r="X36" s="134"/>
      <c r="Y36" s="135"/>
      <c r="Z36" s="135"/>
      <c r="AA36" s="135"/>
      <c r="AB36" s="135"/>
      <c r="AC36" s="135"/>
    </row>
    <row r="37">
      <c r="A37" s="100" t="s">
        <v>19642</v>
      </c>
      <c r="B37" s="145" t="s">
        <v>19656</v>
      </c>
      <c r="C37" s="146" t="s">
        <v>18369</v>
      </c>
      <c r="D37" s="147" t="s">
        <v>19657</v>
      </c>
      <c r="E37" s="146" t="s">
        <v>248</v>
      </c>
      <c r="F37" s="148" t="s">
        <v>19658</v>
      </c>
      <c r="G37" s="146" t="s">
        <v>19553</v>
      </c>
      <c r="H37" s="146" t="s">
        <v>19592</v>
      </c>
      <c r="I37" s="149" t="s">
        <v>19659</v>
      </c>
      <c r="J37" s="150"/>
      <c r="K37" s="151"/>
      <c r="L37" s="151"/>
      <c r="M37" s="151"/>
      <c r="N37" s="151"/>
      <c r="O37" s="151"/>
      <c r="P37" s="151"/>
      <c r="Q37" s="151"/>
      <c r="R37" s="151"/>
      <c r="S37" s="151"/>
      <c r="T37" s="151"/>
      <c r="U37" s="151"/>
      <c r="V37" s="151"/>
      <c r="W37" s="151"/>
      <c r="X37" s="151"/>
      <c r="Y37" s="152"/>
      <c r="Z37" s="152"/>
      <c r="AA37" s="152"/>
      <c r="AB37" s="152"/>
      <c r="AC37" s="152"/>
    </row>
    <row r="38">
      <c r="A38" s="100" t="s">
        <v>19642</v>
      </c>
      <c r="B38" s="144" t="s">
        <v>19660</v>
      </c>
      <c r="C38" s="129" t="s">
        <v>18238</v>
      </c>
      <c r="D38" s="129">
        <f>19174446930</f>
        <v>19174446930</v>
      </c>
      <c r="E38" s="129" t="s">
        <v>248</v>
      </c>
      <c r="F38" s="131" t="s">
        <v>19661</v>
      </c>
      <c r="G38" s="129" t="s">
        <v>19557</v>
      </c>
      <c r="H38" s="129" t="s">
        <v>19558</v>
      </c>
      <c r="I38" s="129" t="s">
        <v>19662</v>
      </c>
      <c r="J38" s="133"/>
      <c r="K38" s="134"/>
      <c r="L38" s="134"/>
      <c r="M38" s="134"/>
      <c r="N38" s="134"/>
      <c r="O38" s="134"/>
      <c r="P38" s="134"/>
      <c r="Q38" s="134"/>
      <c r="R38" s="134"/>
      <c r="S38" s="134"/>
      <c r="T38" s="134"/>
      <c r="U38" s="134"/>
      <c r="V38" s="134"/>
      <c r="W38" s="134"/>
      <c r="X38" s="134"/>
      <c r="Y38" s="135"/>
      <c r="Z38" s="135"/>
      <c r="AA38" s="135"/>
      <c r="AB38" s="135"/>
      <c r="AC38" s="135"/>
    </row>
    <row r="39">
      <c r="A39" s="100" t="s">
        <v>19642</v>
      </c>
      <c r="B39" s="144" t="s">
        <v>19663</v>
      </c>
      <c r="C39" s="129" t="s">
        <v>18334</v>
      </c>
      <c r="D39" s="130">
        <v>2.672299405E9</v>
      </c>
      <c r="E39" s="129" t="s">
        <v>248</v>
      </c>
      <c r="F39" s="131" t="s">
        <v>19664</v>
      </c>
      <c r="G39" s="129" t="s">
        <v>19553</v>
      </c>
      <c r="H39" s="132"/>
      <c r="I39" s="129" t="s">
        <v>19665</v>
      </c>
      <c r="J39" s="133"/>
      <c r="K39" s="134"/>
      <c r="L39" s="134"/>
      <c r="M39" s="134"/>
      <c r="N39" s="134"/>
      <c r="O39" s="134"/>
      <c r="P39" s="134"/>
      <c r="Q39" s="134"/>
      <c r="R39" s="134"/>
      <c r="S39" s="134"/>
      <c r="T39" s="134"/>
      <c r="U39" s="134"/>
      <c r="V39" s="134"/>
      <c r="W39" s="134"/>
      <c r="X39" s="134"/>
      <c r="Y39" s="135"/>
      <c r="Z39" s="135"/>
      <c r="AA39" s="135"/>
      <c r="AB39" s="135"/>
      <c r="AC39" s="135"/>
    </row>
    <row r="40">
      <c r="A40" s="100" t="s">
        <v>19666</v>
      </c>
      <c r="B40" s="153" t="s">
        <v>19667</v>
      </c>
      <c r="C40" s="102" t="s">
        <v>18378</v>
      </c>
      <c r="D40" s="102">
        <f>16467710288
</f>
        <v>16467710288</v>
      </c>
      <c r="E40" s="102" t="s">
        <v>248</v>
      </c>
      <c r="F40" s="104" t="s">
        <v>19668</v>
      </c>
      <c r="G40" s="102" t="s">
        <v>19553</v>
      </c>
      <c r="H40" s="102" t="s">
        <v>19558</v>
      </c>
      <c r="I40" s="102" t="s">
        <v>19669</v>
      </c>
      <c r="J40" s="106"/>
      <c r="K40" s="107"/>
      <c r="L40" s="107"/>
      <c r="M40" s="107"/>
      <c r="N40" s="107"/>
      <c r="O40" s="107"/>
      <c r="P40" s="107"/>
      <c r="Q40" s="107"/>
      <c r="R40" s="107"/>
      <c r="S40" s="107"/>
      <c r="T40" s="107"/>
      <c r="U40" s="107"/>
      <c r="V40" s="107"/>
      <c r="W40" s="107"/>
      <c r="X40" s="107"/>
      <c r="Y40" s="108"/>
      <c r="Z40" s="108"/>
      <c r="AA40" s="108"/>
      <c r="AB40" s="108"/>
      <c r="AC40" s="108"/>
    </row>
    <row r="41">
      <c r="A41" s="100" t="s">
        <v>19666</v>
      </c>
      <c r="B41" s="153" t="s">
        <v>19667</v>
      </c>
      <c r="C41" s="102" t="s">
        <v>18783</v>
      </c>
      <c r="D41" s="103" t="s">
        <v>19670</v>
      </c>
      <c r="E41" s="102" t="s">
        <v>248</v>
      </c>
      <c r="F41" s="104" t="s">
        <v>19671</v>
      </c>
      <c r="G41" s="105"/>
      <c r="H41" s="105"/>
      <c r="I41" s="102" t="s">
        <v>19672</v>
      </c>
      <c r="J41" s="106"/>
      <c r="K41" s="107"/>
      <c r="L41" s="107"/>
      <c r="M41" s="107"/>
      <c r="N41" s="107"/>
      <c r="O41" s="107"/>
      <c r="P41" s="107"/>
      <c r="Q41" s="107"/>
      <c r="R41" s="107"/>
      <c r="S41" s="107"/>
      <c r="T41" s="107"/>
      <c r="U41" s="107"/>
      <c r="V41" s="107"/>
      <c r="W41" s="107"/>
      <c r="X41" s="107"/>
      <c r="Y41" s="108"/>
      <c r="Z41" s="108"/>
      <c r="AA41" s="108"/>
      <c r="AB41" s="108"/>
      <c r="AC41" s="108"/>
    </row>
    <row r="42">
      <c r="A42" s="100" t="s">
        <v>19666</v>
      </c>
      <c r="B42" s="153" t="s">
        <v>19667</v>
      </c>
      <c r="C42" s="102" t="s">
        <v>18181</v>
      </c>
      <c r="D42" s="102">
        <f>14849956689
</f>
        <v>14849956689</v>
      </c>
      <c r="E42" s="102" t="s">
        <v>248</v>
      </c>
      <c r="F42" s="104" t="s">
        <v>19673</v>
      </c>
      <c r="G42" s="102" t="s">
        <v>19553</v>
      </c>
      <c r="H42" s="102" t="s">
        <v>19558</v>
      </c>
      <c r="I42" s="102" t="s">
        <v>19674</v>
      </c>
      <c r="J42" s="106"/>
      <c r="K42" s="107"/>
      <c r="L42" s="107"/>
      <c r="M42" s="107"/>
      <c r="N42" s="107"/>
      <c r="O42" s="107"/>
      <c r="P42" s="107"/>
      <c r="Q42" s="107"/>
      <c r="R42" s="107"/>
      <c r="S42" s="107"/>
      <c r="T42" s="107"/>
      <c r="U42" s="107"/>
      <c r="V42" s="107"/>
      <c r="W42" s="107"/>
      <c r="X42" s="107"/>
      <c r="Y42" s="108"/>
      <c r="Z42" s="108"/>
      <c r="AA42" s="108"/>
      <c r="AB42" s="108"/>
      <c r="AC42" s="108"/>
    </row>
    <row r="43">
      <c r="A43" s="100" t="s">
        <v>19666</v>
      </c>
      <c r="B43" s="153" t="s">
        <v>19667</v>
      </c>
      <c r="C43" s="102" t="s">
        <v>18533</v>
      </c>
      <c r="D43" s="102">
        <f>19174154436
</f>
        <v>19174154436</v>
      </c>
      <c r="E43" s="102" t="s">
        <v>248</v>
      </c>
      <c r="F43" s="104" t="s">
        <v>19675</v>
      </c>
      <c r="G43" s="102" t="s">
        <v>19553</v>
      </c>
      <c r="H43" s="102" t="s">
        <v>19558</v>
      </c>
      <c r="I43" s="102" t="s">
        <v>19676</v>
      </c>
      <c r="J43" s="106"/>
      <c r="K43" s="107"/>
      <c r="L43" s="107"/>
      <c r="M43" s="107"/>
      <c r="N43" s="107"/>
      <c r="O43" s="107"/>
      <c r="P43" s="107"/>
      <c r="Q43" s="107"/>
      <c r="R43" s="107"/>
      <c r="S43" s="107"/>
      <c r="T43" s="107"/>
      <c r="U43" s="107"/>
      <c r="V43" s="107"/>
      <c r="W43" s="107"/>
      <c r="X43" s="107"/>
      <c r="Y43" s="108"/>
      <c r="Z43" s="108"/>
      <c r="AA43" s="108"/>
      <c r="AB43" s="108"/>
      <c r="AC43" s="108"/>
    </row>
    <row r="44">
      <c r="A44" s="154"/>
      <c r="B44" s="154"/>
      <c r="C44" s="154" t="s">
        <v>18349</v>
      </c>
      <c r="D44" s="154"/>
      <c r="E44" s="154" t="s">
        <v>248</v>
      </c>
      <c r="F44" s="155" t="s">
        <v>19677</v>
      </c>
      <c r="G44" s="154" t="s">
        <v>19553</v>
      </c>
      <c r="H44" s="156"/>
      <c r="I44" s="154" t="s">
        <v>19678</v>
      </c>
      <c r="J44" s="157"/>
      <c r="K44" s="158"/>
      <c r="L44" s="158"/>
      <c r="M44" s="158"/>
      <c r="N44" s="158"/>
      <c r="O44" s="158"/>
      <c r="P44" s="158"/>
      <c r="Q44" s="158"/>
      <c r="R44" s="158"/>
      <c r="S44" s="158"/>
      <c r="T44" s="158"/>
      <c r="U44" s="158"/>
      <c r="V44" s="158"/>
      <c r="W44" s="158"/>
      <c r="X44" s="158"/>
    </row>
    <row r="45">
      <c r="A45" s="154"/>
      <c r="B45" s="154"/>
      <c r="C45" s="154" t="s">
        <v>18514</v>
      </c>
      <c r="D45" s="154"/>
      <c r="E45" s="154" t="s">
        <v>248</v>
      </c>
      <c r="F45" s="155" t="s">
        <v>19679</v>
      </c>
      <c r="G45" s="154" t="s">
        <v>19553</v>
      </c>
      <c r="H45" s="154" t="s">
        <v>19558</v>
      </c>
      <c r="I45" s="154" t="s">
        <v>19680</v>
      </c>
      <c r="J45" s="156"/>
      <c r="K45" s="159"/>
      <c r="L45" s="159"/>
      <c r="M45" s="159"/>
      <c r="N45" s="159"/>
      <c r="O45" s="159"/>
      <c r="P45" s="159"/>
      <c r="Q45" s="159"/>
      <c r="R45" s="159"/>
      <c r="S45" s="159"/>
      <c r="T45" s="159"/>
      <c r="U45" s="159"/>
      <c r="V45" s="159"/>
      <c r="W45" s="159"/>
      <c r="X45" s="159"/>
      <c r="Y45" s="160"/>
      <c r="Z45" s="160"/>
      <c r="AA45" s="160"/>
      <c r="AB45" s="160"/>
      <c r="AC45" s="160"/>
    </row>
    <row r="46">
      <c r="A46" s="154"/>
      <c r="B46" s="154"/>
      <c r="C46" s="154" t="s">
        <v>18508</v>
      </c>
      <c r="D46" s="154"/>
      <c r="E46" s="154" t="s">
        <v>248</v>
      </c>
      <c r="F46" s="155" t="s">
        <v>19681</v>
      </c>
      <c r="G46" s="154" t="s">
        <v>19553</v>
      </c>
      <c r="H46" s="154" t="s">
        <v>19558</v>
      </c>
      <c r="I46" s="154" t="s">
        <v>19682</v>
      </c>
      <c r="J46" s="156"/>
      <c r="K46" s="159"/>
      <c r="L46" s="159"/>
      <c r="M46" s="159"/>
      <c r="N46" s="159"/>
      <c r="O46" s="159"/>
      <c r="P46" s="159"/>
      <c r="Q46" s="159"/>
      <c r="R46" s="159"/>
      <c r="S46" s="159"/>
      <c r="T46" s="159"/>
      <c r="U46" s="159"/>
      <c r="V46" s="159"/>
      <c r="W46" s="159"/>
      <c r="X46" s="159"/>
      <c r="Y46" s="160"/>
      <c r="Z46" s="160"/>
      <c r="AA46" s="160"/>
      <c r="AB46" s="160"/>
      <c r="AC46" s="160"/>
    </row>
    <row r="47">
      <c r="A47" s="154"/>
      <c r="B47" s="154"/>
      <c r="C47" s="154" t="s">
        <v>18544</v>
      </c>
      <c r="D47" s="154"/>
      <c r="E47" s="154" t="s">
        <v>248</v>
      </c>
      <c r="F47" s="155" t="s">
        <v>19683</v>
      </c>
      <c r="G47" s="154" t="s">
        <v>19557</v>
      </c>
      <c r="H47" s="154" t="s">
        <v>19558</v>
      </c>
      <c r="I47" s="154" t="s">
        <v>19684</v>
      </c>
      <c r="J47" s="161"/>
      <c r="K47" s="158"/>
      <c r="L47" s="158"/>
      <c r="M47" s="158"/>
      <c r="N47" s="158"/>
      <c r="O47" s="158"/>
      <c r="P47" s="158"/>
      <c r="Q47" s="158"/>
      <c r="R47" s="158"/>
      <c r="S47" s="158"/>
      <c r="T47" s="158"/>
      <c r="U47" s="158"/>
      <c r="V47" s="158"/>
      <c r="W47" s="158"/>
      <c r="X47" s="158"/>
    </row>
    <row r="48">
      <c r="A48" s="154"/>
      <c r="B48" s="154"/>
      <c r="C48" s="154" t="s">
        <v>18359</v>
      </c>
      <c r="D48" s="154"/>
      <c r="E48" s="154" t="s">
        <v>248</v>
      </c>
      <c r="F48" s="155" t="s">
        <v>19685</v>
      </c>
      <c r="G48" s="154" t="s">
        <v>19553</v>
      </c>
      <c r="H48" s="154" t="s">
        <v>19654</v>
      </c>
      <c r="I48" s="154" t="s">
        <v>19686</v>
      </c>
      <c r="J48" s="161"/>
      <c r="K48" s="158"/>
      <c r="L48" s="158"/>
      <c r="M48" s="158"/>
      <c r="N48" s="158"/>
      <c r="O48" s="158"/>
      <c r="P48" s="158"/>
      <c r="Q48" s="158"/>
      <c r="R48" s="158"/>
      <c r="S48" s="158"/>
      <c r="T48" s="158"/>
      <c r="U48" s="158"/>
      <c r="V48" s="158"/>
      <c r="W48" s="158"/>
      <c r="X48" s="158"/>
    </row>
    <row r="49">
      <c r="A49" s="154"/>
      <c r="B49" s="154"/>
      <c r="C49" s="154" t="s">
        <v>18338</v>
      </c>
      <c r="D49" s="154"/>
      <c r="E49" s="154" t="s">
        <v>248</v>
      </c>
      <c r="F49" s="155" t="s">
        <v>19687</v>
      </c>
      <c r="G49" s="154" t="s">
        <v>19557</v>
      </c>
      <c r="H49" s="156"/>
      <c r="I49" s="154" t="s">
        <v>19688</v>
      </c>
      <c r="J49" s="161"/>
      <c r="K49" s="158"/>
      <c r="L49" s="158"/>
      <c r="M49" s="158"/>
      <c r="N49" s="158"/>
      <c r="O49" s="158"/>
      <c r="P49" s="158"/>
      <c r="Q49" s="158"/>
      <c r="R49" s="158"/>
      <c r="S49" s="158"/>
      <c r="T49" s="158"/>
      <c r="U49" s="158"/>
      <c r="V49" s="158"/>
      <c r="W49" s="158"/>
      <c r="X49" s="158"/>
    </row>
    <row r="50">
      <c r="A50" s="154"/>
      <c r="B50" s="154"/>
      <c r="C50" s="154" t="s">
        <v>18225</v>
      </c>
      <c r="D50" s="154"/>
      <c r="E50" s="154" t="s">
        <v>248</v>
      </c>
      <c r="F50" s="155" t="s">
        <v>19689</v>
      </c>
      <c r="G50" s="154" t="s">
        <v>19557</v>
      </c>
      <c r="H50" s="154" t="s">
        <v>19558</v>
      </c>
      <c r="I50" s="154" t="s">
        <v>19690</v>
      </c>
      <c r="J50" s="161"/>
      <c r="K50" s="158"/>
      <c r="L50" s="158"/>
      <c r="M50" s="158"/>
      <c r="N50" s="158"/>
      <c r="O50" s="158"/>
      <c r="P50" s="158"/>
      <c r="Q50" s="158"/>
      <c r="R50" s="158"/>
      <c r="S50" s="158"/>
      <c r="T50" s="158"/>
      <c r="U50" s="158"/>
      <c r="V50" s="158"/>
      <c r="W50" s="158"/>
      <c r="X50" s="158"/>
    </row>
    <row r="51">
      <c r="A51" s="154"/>
      <c r="B51" s="154"/>
      <c r="C51" s="154" t="s">
        <v>18266</v>
      </c>
      <c r="D51" s="154"/>
      <c r="E51" s="154" t="s">
        <v>19643</v>
      </c>
      <c r="F51" s="155" t="s">
        <v>19691</v>
      </c>
      <c r="G51" s="156"/>
      <c r="H51" s="156"/>
      <c r="I51" s="154" t="s">
        <v>19692</v>
      </c>
      <c r="J51" s="161"/>
      <c r="K51" s="158"/>
      <c r="L51" s="158"/>
      <c r="M51" s="158"/>
      <c r="N51" s="158"/>
      <c r="O51" s="158"/>
      <c r="P51" s="158"/>
      <c r="Q51" s="158"/>
      <c r="R51" s="158"/>
      <c r="S51" s="158"/>
      <c r="T51" s="158"/>
      <c r="U51" s="158"/>
      <c r="V51" s="158"/>
      <c r="W51" s="158"/>
      <c r="X51" s="158"/>
    </row>
    <row r="52">
      <c r="A52" s="154"/>
      <c r="B52" s="154"/>
      <c r="C52" s="154" t="s">
        <v>18330</v>
      </c>
      <c r="D52" s="154"/>
      <c r="E52" s="154" t="s">
        <v>248</v>
      </c>
      <c r="F52" s="155" t="s">
        <v>19693</v>
      </c>
      <c r="G52" s="154" t="s">
        <v>19557</v>
      </c>
      <c r="H52" s="156"/>
      <c r="I52" s="154" t="s">
        <v>19694</v>
      </c>
      <c r="J52" s="161"/>
      <c r="K52" s="158"/>
      <c r="L52" s="158"/>
      <c r="M52" s="158"/>
      <c r="N52" s="158"/>
      <c r="O52" s="158"/>
      <c r="P52" s="158"/>
      <c r="Q52" s="158"/>
      <c r="R52" s="158"/>
      <c r="S52" s="158"/>
      <c r="T52" s="158"/>
      <c r="U52" s="158"/>
      <c r="V52" s="158"/>
      <c r="W52" s="158"/>
      <c r="X52" s="158"/>
    </row>
    <row r="53">
      <c r="A53" s="154"/>
      <c r="B53" s="154"/>
      <c r="C53" s="154" t="s">
        <v>18481</v>
      </c>
      <c r="D53" s="154"/>
      <c r="E53" s="154" t="s">
        <v>248</v>
      </c>
      <c r="F53" s="155" t="s">
        <v>19695</v>
      </c>
      <c r="G53" s="154" t="s">
        <v>19557</v>
      </c>
      <c r="H53" s="154" t="s">
        <v>19558</v>
      </c>
      <c r="I53" s="154" t="s">
        <v>19696</v>
      </c>
      <c r="J53" s="161"/>
      <c r="K53" s="158"/>
      <c r="L53" s="158"/>
      <c r="M53" s="158"/>
      <c r="N53" s="158"/>
      <c r="O53" s="158"/>
      <c r="P53" s="158"/>
      <c r="Q53" s="158"/>
      <c r="R53" s="158"/>
      <c r="S53" s="158"/>
      <c r="T53" s="158"/>
      <c r="U53" s="158"/>
      <c r="V53" s="158"/>
      <c r="W53" s="158"/>
      <c r="X53" s="158"/>
    </row>
    <row r="54">
      <c r="A54" s="154"/>
      <c r="B54" s="154"/>
      <c r="C54" s="154" t="s">
        <v>18180</v>
      </c>
      <c r="D54" s="154"/>
      <c r="E54" s="154" t="s">
        <v>248</v>
      </c>
      <c r="F54" s="155" t="s">
        <v>19697</v>
      </c>
      <c r="G54" s="154" t="s">
        <v>19557</v>
      </c>
      <c r="H54" s="154" t="s">
        <v>19592</v>
      </c>
      <c r="I54" s="154" t="s">
        <v>19698</v>
      </c>
      <c r="J54" s="161"/>
      <c r="K54" s="158"/>
      <c r="L54" s="158"/>
      <c r="M54" s="158"/>
      <c r="N54" s="158"/>
      <c r="O54" s="158"/>
      <c r="P54" s="158"/>
      <c r="Q54" s="158"/>
      <c r="R54" s="158"/>
      <c r="S54" s="158"/>
      <c r="T54" s="158"/>
      <c r="U54" s="158"/>
      <c r="V54" s="158"/>
      <c r="W54" s="158"/>
      <c r="X54" s="158"/>
    </row>
    <row r="55">
      <c r="A55" s="154"/>
      <c r="B55" s="154"/>
      <c r="C55" s="154" t="s">
        <v>18335</v>
      </c>
      <c r="D55" s="154"/>
      <c r="E55" s="154" t="s">
        <v>248</v>
      </c>
      <c r="F55" s="155" t="s">
        <v>19699</v>
      </c>
      <c r="G55" s="154" t="s">
        <v>19557</v>
      </c>
      <c r="H55" s="156"/>
      <c r="I55" s="154" t="s">
        <v>19700</v>
      </c>
      <c r="J55" s="161"/>
      <c r="K55" s="158"/>
      <c r="L55" s="158"/>
      <c r="M55" s="158"/>
      <c r="N55" s="158"/>
      <c r="O55" s="158"/>
      <c r="P55" s="158"/>
      <c r="Q55" s="158"/>
      <c r="R55" s="158"/>
      <c r="S55" s="158"/>
      <c r="T55" s="158"/>
      <c r="U55" s="158"/>
      <c r="V55" s="158"/>
      <c r="W55" s="158"/>
      <c r="X55" s="158"/>
    </row>
    <row r="56">
      <c r="A56" s="154"/>
      <c r="B56" s="154"/>
      <c r="C56" s="154" t="s">
        <v>18482</v>
      </c>
      <c r="D56" s="154"/>
      <c r="E56" s="154" t="s">
        <v>248</v>
      </c>
      <c r="F56" s="155" t="s">
        <v>19701</v>
      </c>
      <c r="G56" s="154" t="s">
        <v>19608</v>
      </c>
      <c r="H56" s="154" t="s">
        <v>19558</v>
      </c>
      <c r="I56" s="154" t="s">
        <v>19702</v>
      </c>
      <c r="J56" s="161"/>
      <c r="K56" s="158"/>
      <c r="L56" s="158"/>
      <c r="M56" s="158"/>
      <c r="N56" s="158"/>
      <c r="O56" s="158"/>
      <c r="P56" s="158"/>
      <c r="Q56" s="158"/>
      <c r="R56" s="158"/>
      <c r="S56" s="158"/>
      <c r="T56" s="158"/>
      <c r="U56" s="158"/>
      <c r="V56" s="158"/>
      <c r="W56" s="158"/>
      <c r="X56" s="158"/>
    </row>
    <row r="57">
      <c r="A57" s="154"/>
      <c r="B57" s="154"/>
      <c r="C57" s="154" t="s">
        <v>18343</v>
      </c>
      <c r="D57" s="154"/>
      <c r="E57" s="154" t="s">
        <v>248</v>
      </c>
      <c r="F57" s="155" t="s">
        <v>19703</v>
      </c>
      <c r="G57" s="154" t="s">
        <v>19557</v>
      </c>
      <c r="H57" s="156"/>
      <c r="I57" s="154" t="s">
        <v>19704</v>
      </c>
      <c r="J57" s="161"/>
      <c r="K57" s="158"/>
      <c r="L57" s="158"/>
      <c r="M57" s="158"/>
      <c r="N57" s="158"/>
      <c r="O57" s="158"/>
      <c r="P57" s="158"/>
      <c r="Q57" s="158"/>
      <c r="R57" s="158"/>
      <c r="S57" s="158"/>
      <c r="T57" s="158"/>
      <c r="U57" s="158"/>
      <c r="V57" s="158"/>
      <c r="W57" s="158"/>
      <c r="X57" s="158"/>
    </row>
    <row r="58">
      <c r="A58" s="154"/>
      <c r="B58" s="154"/>
      <c r="C58" s="154" t="s">
        <v>18279</v>
      </c>
      <c r="D58" s="154"/>
      <c r="E58" s="154" t="s">
        <v>19643</v>
      </c>
      <c r="F58" s="155" t="s">
        <v>19705</v>
      </c>
      <c r="G58" s="156"/>
      <c r="H58" s="156"/>
      <c r="I58" s="154" t="s">
        <v>19706</v>
      </c>
      <c r="J58" s="161"/>
      <c r="K58" s="158"/>
      <c r="L58" s="158"/>
      <c r="M58" s="158"/>
      <c r="N58" s="158"/>
      <c r="O58" s="158"/>
      <c r="P58" s="158"/>
      <c r="Q58" s="158"/>
      <c r="R58" s="158"/>
      <c r="S58" s="158"/>
      <c r="T58" s="158"/>
      <c r="U58" s="158"/>
      <c r="V58" s="158"/>
      <c r="W58" s="158"/>
      <c r="X58" s="158"/>
    </row>
    <row r="59">
      <c r="A59" s="154"/>
      <c r="B59" s="154"/>
      <c r="C59" s="154" t="s">
        <v>18392</v>
      </c>
      <c r="D59" s="154"/>
      <c r="E59" s="154" t="s">
        <v>248</v>
      </c>
      <c r="F59" s="155" t="s">
        <v>19707</v>
      </c>
      <c r="G59" s="154" t="s">
        <v>19553</v>
      </c>
      <c r="H59" s="154" t="s">
        <v>19592</v>
      </c>
      <c r="I59" s="154" t="s">
        <v>19708</v>
      </c>
      <c r="J59" s="161"/>
      <c r="K59" s="158"/>
      <c r="L59" s="158"/>
      <c r="M59" s="158"/>
      <c r="N59" s="158"/>
      <c r="O59" s="158"/>
      <c r="P59" s="158"/>
      <c r="Q59" s="158"/>
      <c r="R59" s="158"/>
      <c r="S59" s="158"/>
      <c r="T59" s="158"/>
      <c r="U59" s="158"/>
      <c r="V59" s="158"/>
      <c r="W59" s="158"/>
      <c r="X59" s="158"/>
    </row>
    <row r="60">
      <c r="A60" s="154"/>
      <c r="B60" s="154"/>
      <c r="C60" s="154" t="s">
        <v>18456</v>
      </c>
      <c r="D60" s="154"/>
      <c r="E60" s="154" t="s">
        <v>19643</v>
      </c>
      <c r="F60" s="155" t="s">
        <v>19709</v>
      </c>
      <c r="G60" s="156"/>
      <c r="H60" s="156"/>
      <c r="I60" s="154" t="s">
        <v>19710</v>
      </c>
      <c r="J60" s="161"/>
      <c r="K60" s="158"/>
      <c r="L60" s="158"/>
      <c r="M60" s="158"/>
      <c r="N60" s="158"/>
      <c r="O60" s="158"/>
      <c r="P60" s="158"/>
      <c r="Q60" s="158"/>
      <c r="R60" s="158"/>
      <c r="S60" s="158"/>
      <c r="T60" s="158"/>
      <c r="U60" s="158"/>
      <c r="V60" s="158"/>
      <c r="W60" s="158"/>
      <c r="X60" s="158"/>
    </row>
    <row r="61" ht="18.75" customHeight="1">
      <c r="A61" s="154"/>
      <c r="B61" s="154"/>
      <c r="C61" s="154" t="s">
        <v>18281</v>
      </c>
      <c r="D61" s="154"/>
      <c r="E61" s="154" t="s">
        <v>248</v>
      </c>
      <c r="F61" s="155" t="s">
        <v>19711</v>
      </c>
      <c r="G61" s="156"/>
      <c r="H61" s="156"/>
      <c r="I61" s="154" t="s">
        <v>19712</v>
      </c>
      <c r="J61" s="161"/>
      <c r="K61" s="158"/>
      <c r="L61" s="158"/>
      <c r="M61" s="158"/>
      <c r="N61" s="158"/>
      <c r="O61" s="158"/>
      <c r="P61" s="158"/>
      <c r="Q61" s="158"/>
      <c r="R61" s="158"/>
      <c r="S61" s="158"/>
      <c r="T61" s="158"/>
      <c r="U61" s="158"/>
      <c r="V61" s="158"/>
      <c r="W61" s="158"/>
      <c r="X61" s="158"/>
    </row>
    <row r="62">
      <c r="A62" s="154"/>
      <c r="B62" s="154"/>
      <c r="C62" s="154" t="s">
        <v>18282</v>
      </c>
      <c r="D62" s="154"/>
      <c r="E62" s="154" t="s">
        <v>248</v>
      </c>
      <c r="F62" s="155" t="s">
        <v>19713</v>
      </c>
      <c r="G62" s="156"/>
      <c r="H62" s="156"/>
      <c r="I62" s="154" t="s">
        <v>19714</v>
      </c>
      <c r="J62" s="156"/>
      <c r="K62" s="159"/>
      <c r="L62" s="159"/>
      <c r="M62" s="159"/>
      <c r="N62" s="159"/>
      <c r="O62" s="159"/>
      <c r="P62" s="159"/>
      <c r="Q62" s="159"/>
      <c r="R62" s="159"/>
      <c r="S62" s="159"/>
      <c r="T62" s="159"/>
      <c r="U62" s="159"/>
      <c r="V62" s="159"/>
      <c r="W62" s="159"/>
      <c r="X62" s="159"/>
      <c r="Y62" s="160"/>
      <c r="Z62" s="160"/>
      <c r="AA62" s="160"/>
      <c r="AB62" s="160"/>
      <c r="AC62" s="160"/>
    </row>
    <row r="63">
      <c r="A63" s="154"/>
      <c r="B63" s="154"/>
      <c r="C63" s="154" t="s">
        <v>18524</v>
      </c>
      <c r="D63" s="154"/>
      <c r="E63" s="154" t="s">
        <v>19643</v>
      </c>
      <c r="F63" s="155" t="s">
        <v>19715</v>
      </c>
      <c r="G63" s="156"/>
      <c r="H63" s="156"/>
      <c r="I63" s="154" t="s">
        <v>19716</v>
      </c>
      <c r="J63" s="161"/>
      <c r="K63" s="158"/>
      <c r="L63" s="158"/>
      <c r="M63" s="158"/>
      <c r="N63" s="158"/>
      <c r="O63" s="158"/>
      <c r="P63" s="158"/>
      <c r="Q63" s="158"/>
      <c r="R63" s="158"/>
      <c r="S63" s="158"/>
      <c r="T63" s="158"/>
      <c r="U63" s="158"/>
      <c r="V63" s="158"/>
      <c r="W63" s="158"/>
      <c r="X63" s="158"/>
    </row>
    <row r="64">
      <c r="A64" s="154"/>
      <c r="B64" s="154"/>
      <c r="C64" s="154" t="s">
        <v>18506</v>
      </c>
      <c r="D64" s="154"/>
      <c r="E64" s="154" t="s">
        <v>248</v>
      </c>
      <c r="F64" s="155" t="s">
        <v>19717</v>
      </c>
      <c r="G64" s="156"/>
      <c r="H64" s="156"/>
      <c r="I64" s="154" t="s">
        <v>19718</v>
      </c>
      <c r="J64" s="161"/>
      <c r="K64" s="158"/>
      <c r="L64" s="158"/>
      <c r="M64" s="158"/>
      <c r="N64" s="158"/>
      <c r="O64" s="158"/>
      <c r="P64" s="158"/>
      <c r="Q64" s="158"/>
      <c r="R64" s="158"/>
      <c r="S64" s="158"/>
      <c r="T64" s="158"/>
      <c r="U64" s="158"/>
      <c r="V64" s="158"/>
      <c r="W64" s="158"/>
      <c r="X64" s="158"/>
    </row>
    <row r="65">
      <c r="A65" s="154"/>
      <c r="B65" s="154"/>
      <c r="C65" s="154" t="s">
        <v>18353</v>
      </c>
      <c r="D65" s="154"/>
      <c r="E65" s="154" t="s">
        <v>248</v>
      </c>
      <c r="F65" s="155" t="s">
        <v>19719</v>
      </c>
      <c r="G65" s="154" t="s">
        <v>19553</v>
      </c>
      <c r="H65" s="156"/>
      <c r="I65" s="154" t="s">
        <v>19720</v>
      </c>
      <c r="J65" s="161"/>
      <c r="K65" s="158"/>
      <c r="L65" s="158"/>
      <c r="M65" s="158"/>
      <c r="N65" s="158"/>
      <c r="O65" s="158"/>
      <c r="P65" s="158"/>
      <c r="Q65" s="158"/>
      <c r="R65" s="158"/>
      <c r="S65" s="158"/>
      <c r="T65" s="158"/>
      <c r="U65" s="158"/>
      <c r="V65" s="158"/>
      <c r="W65" s="158"/>
      <c r="X65" s="158"/>
    </row>
    <row r="66">
      <c r="A66" s="154"/>
      <c r="B66" s="154"/>
      <c r="C66" s="154" t="s">
        <v>18312</v>
      </c>
      <c r="D66" s="154"/>
      <c r="E66" s="154" t="s">
        <v>248</v>
      </c>
      <c r="F66" s="155" t="s">
        <v>19721</v>
      </c>
      <c r="G66" s="154" t="s">
        <v>19557</v>
      </c>
      <c r="H66" s="156"/>
      <c r="I66" s="154" t="s">
        <v>19722</v>
      </c>
      <c r="J66" s="161"/>
      <c r="K66" s="158"/>
      <c r="L66" s="158"/>
      <c r="M66" s="158"/>
      <c r="N66" s="158"/>
      <c r="O66" s="158"/>
      <c r="P66" s="158"/>
      <c r="Q66" s="158"/>
      <c r="R66" s="158"/>
      <c r="S66" s="158"/>
      <c r="T66" s="158"/>
      <c r="U66" s="158"/>
      <c r="V66" s="158"/>
      <c r="W66" s="158"/>
      <c r="X66" s="158"/>
    </row>
    <row r="67">
      <c r="A67" s="154"/>
      <c r="B67" s="154"/>
      <c r="C67" s="154" t="s">
        <v>18246</v>
      </c>
      <c r="D67" s="154"/>
      <c r="E67" s="154" t="s">
        <v>248</v>
      </c>
      <c r="F67" s="155" t="s">
        <v>19723</v>
      </c>
      <c r="G67" s="154" t="s">
        <v>19557</v>
      </c>
      <c r="H67" s="156"/>
      <c r="I67" s="162" t="s">
        <v>19724</v>
      </c>
      <c r="J67" s="161"/>
      <c r="K67" s="158"/>
      <c r="L67" s="158"/>
      <c r="M67" s="158"/>
      <c r="N67" s="158"/>
      <c r="O67" s="158"/>
      <c r="P67" s="158"/>
      <c r="Q67" s="158"/>
      <c r="R67" s="158"/>
      <c r="S67" s="158"/>
      <c r="T67" s="158"/>
      <c r="U67" s="158"/>
      <c r="V67" s="158"/>
      <c r="W67" s="158"/>
      <c r="X67" s="158"/>
    </row>
    <row r="68">
      <c r="A68" s="154"/>
      <c r="B68" s="154"/>
      <c r="C68" s="154" t="s">
        <v>19725</v>
      </c>
      <c r="D68" s="154"/>
      <c r="E68" s="154" t="s">
        <v>248</v>
      </c>
      <c r="F68" s="155" t="s">
        <v>19726</v>
      </c>
      <c r="G68" s="154" t="s">
        <v>19557</v>
      </c>
      <c r="H68" s="156"/>
      <c r="I68" s="162" t="s">
        <v>19727</v>
      </c>
      <c r="J68" s="161"/>
      <c r="K68" s="158"/>
      <c r="L68" s="158"/>
      <c r="M68" s="158"/>
      <c r="N68" s="158"/>
      <c r="O68" s="158"/>
      <c r="P68" s="158"/>
      <c r="Q68" s="158"/>
      <c r="R68" s="158"/>
      <c r="S68" s="158"/>
      <c r="T68" s="158"/>
      <c r="U68" s="158"/>
      <c r="V68" s="158"/>
      <c r="W68" s="158"/>
      <c r="X68" s="158"/>
    </row>
    <row r="69">
      <c r="A69" s="154"/>
      <c r="B69" s="154"/>
      <c r="C69" s="154" t="s">
        <v>18449</v>
      </c>
      <c r="D69" s="154"/>
      <c r="E69" s="154" t="s">
        <v>248</v>
      </c>
      <c r="F69" s="155" t="s">
        <v>19728</v>
      </c>
      <c r="G69" s="154" t="s">
        <v>19557</v>
      </c>
      <c r="H69" s="154" t="s">
        <v>19558</v>
      </c>
      <c r="I69" s="154" t="s">
        <v>19729</v>
      </c>
      <c r="J69" s="161"/>
      <c r="K69" s="158"/>
      <c r="L69" s="158"/>
      <c r="M69" s="158"/>
      <c r="N69" s="158"/>
      <c r="O69" s="158"/>
      <c r="P69" s="158"/>
      <c r="Q69" s="158"/>
      <c r="R69" s="158"/>
      <c r="S69" s="158"/>
      <c r="T69" s="158"/>
      <c r="U69" s="158"/>
      <c r="V69" s="158"/>
      <c r="W69" s="158"/>
      <c r="X69" s="158"/>
    </row>
    <row r="70">
      <c r="A70" s="163"/>
      <c r="B70" s="164"/>
      <c r="C70" s="165" t="s">
        <v>18424</v>
      </c>
      <c r="D70" s="165">
        <f>13125051020
</f>
        <v>13125051020</v>
      </c>
      <c r="E70" s="165" t="s">
        <v>248</v>
      </c>
      <c r="F70" s="166" t="s">
        <v>19730</v>
      </c>
      <c r="G70" s="165" t="s">
        <v>19553</v>
      </c>
      <c r="H70" s="165" t="s">
        <v>19558</v>
      </c>
      <c r="I70" s="165" t="s">
        <v>19731</v>
      </c>
      <c r="J70" s="167"/>
      <c r="K70" s="168"/>
      <c r="L70" s="168"/>
      <c r="M70" s="168"/>
      <c r="N70" s="168"/>
      <c r="O70" s="168"/>
      <c r="P70" s="168"/>
      <c r="Q70" s="168"/>
      <c r="R70" s="168"/>
      <c r="S70" s="168"/>
      <c r="T70" s="168"/>
      <c r="U70" s="168"/>
      <c r="V70" s="168"/>
      <c r="W70" s="168"/>
      <c r="X70" s="168"/>
      <c r="Y70" s="169"/>
      <c r="Z70" s="169"/>
      <c r="AA70" s="169"/>
      <c r="AB70" s="169"/>
      <c r="AC70" s="169"/>
    </row>
    <row r="71">
      <c r="A71" s="163"/>
      <c r="B71" s="170"/>
      <c r="C71" s="146" t="s">
        <v>18360</v>
      </c>
      <c r="D71" s="142" t="s">
        <v>19732</v>
      </c>
      <c r="E71" s="146" t="s">
        <v>248</v>
      </c>
      <c r="F71" s="148" t="s">
        <v>19733</v>
      </c>
      <c r="G71" s="146" t="s">
        <v>19589</v>
      </c>
      <c r="H71" s="171"/>
      <c r="I71" s="146" t="s">
        <v>19734</v>
      </c>
      <c r="J71" s="150"/>
      <c r="K71" s="151"/>
      <c r="L71" s="151"/>
      <c r="M71" s="151"/>
      <c r="N71" s="151"/>
      <c r="O71" s="151"/>
      <c r="P71" s="151"/>
      <c r="Q71" s="151"/>
      <c r="R71" s="151"/>
      <c r="S71" s="151"/>
      <c r="T71" s="151"/>
      <c r="U71" s="151"/>
      <c r="V71" s="151"/>
      <c r="W71" s="151"/>
      <c r="X71" s="151"/>
      <c r="Y71" s="152"/>
      <c r="Z71" s="152"/>
      <c r="AA71" s="152"/>
      <c r="AB71" s="152"/>
      <c r="AC71" s="152"/>
    </row>
    <row r="72">
      <c r="A72" s="154"/>
      <c r="B72" s="154"/>
      <c r="C72" s="154" t="s">
        <v>18132</v>
      </c>
      <c r="D72" s="154"/>
      <c r="E72" s="154" t="s">
        <v>19643</v>
      </c>
      <c r="F72" s="155" t="s">
        <v>19735</v>
      </c>
      <c r="G72" s="156"/>
      <c r="H72" s="156"/>
      <c r="I72" s="154" t="s">
        <v>19736</v>
      </c>
      <c r="J72" s="161"/>
      <c r="K72" s="158"/>
      <c r="L72" s="158"/>
      <c r="M72" s="158"/>
      <c r="N72" s="158"/>
      <c r="O72" s="158"/>
      <c r="P72" s="158"/>
      <c r="Q72" s="158"/>
      <c r="R72" s="158"/>
      <c r="S72" s="158"/>
      <c r="T72" s="158"/>
      <c r="U72" s="158"/>
      <c r="V72" s="158"/>
      <c r="W72" s="158"/>
      <c r="X72" s="158"/>
    </row>
    <row r="73">
      <c r="A73" s="154"/>
      <c r="B73" s="154"/>
      <c r="C73" s="154" t="s">
        <v>19737</v>
      </c>
      <c r="D73" s="154"/>
      <c r="E73" s="154" t="s">
        <v>248</v>
      </c>
      <c r="F73" s="155" t="s">
        <v>19738</v>
      </c>
      <c r="G73" s="154" t="s">
        <v>19553</v>
      </c>
      <c r="H73" s="156"/>
      <c r="I73" s="154" t="s">
        <v>19739</v>
      </c>
      <c r="J73" s="161"/>
      <c r="K73" s="158"/>
      <c r="L73" s="158"/>
      <c r="M73" s="158"/>
      <c r="N73" s="158"/>
      <c r="O73" s="158"/>
      <c r="P73" s="158"/>
      <c r="Q73" s="158"/>
      <c r="R73" s="158"/>
      <c r="S73" s="158"/>
      <c r="T73" s="158"/>
      <c r="U73" s="158"/>
      <c r="V73" s="158"/>
      <c r="W73" s="158"/>
      <c r="X73" s="158"/>
    </row>
    <row r="74">
      <c r="A74" s="163"/>
      <c r="B74" s="164"/>
      <c r="C74" s="165" t="s">
        <v>18832</v>
      </c>
      <c r="D74" s="172">
        <v>9.292879273E9</v>
      </c>
      <c r="E74" s="165" t="s">
        <v>248</v>
      </c>
      <c r="F74" s="166" t="s">
        <v>19740</v>
      </c>
      <c r="G74" s="165" t="s">
        <v>19557</v>
      </c>
      <c r="H74" s="173" t="s">
        <v>19558</v>
      </c>
      <c r="I74" s="165" t="s">
        <v>19741</v>
      </c>
      <c r="J74" s="167"/>
      <c r="K74" s="168"/>
      <c r="L74" s="168"/>
      <c r="M74" s="168"/>
      <c r="N74" s="168"/>
      <c r="O74" s="168"/>
      <c r="P74" s="168"/>
      <c r="Q74" s="168"/>
      <c r="R74" s="168"/>
      <c r="S74" s="168"/>
      <c r="T74" s="168"/>
      <c r="U74" s="168"/>
      <c r="V74" s="168"/>
      <c r="W74" s="168"/>
      <c r="X74" s="168"/>
      <c r="Y74" s="169"/>
      <c r="Z74" s="169"/>
      <c r="AA74" s="169"/>
      <c r="AB74" s="169"/>
      <c r="AC74" s="169"/>
    </row>
    <row r="75">
      <c r="A75" s="154"/>
      <c r="B75" s="154"/>
      <c r="C75" s="154" t="s">
        <v>18142</v>
      </c>
      <c r="D75" s="154"/>
      <c r="E75" s="154" t="s">
        <v>19643</v>
      </c>
      <c r="F75" s="155" t="s">
        <v>19742</v>
      </c>
      <c r="G75" s="156"/>
      <c r="H75" s="156"/>
      <c r="I75" s="154" t="s">
        <v>19743</v>
      </c>
      <c r="J75" s="161"/>
      <c r="K75" s="158"/>
      <c r="L75" s="158"/>
      <c r="M75" s="158"/>
      <c r="N75" s="158"/>
      <c r="O75" s="158"/>
      <c r="P75" s="158"/>
      <c r="Q75" s="158"/>
      <c r="R75" s="158"/>
      <c r="S75" s="158"/>
      <c r="T75" s="158"/>
      <c r="U75" s="158"/>
      <c r="V75" s="158"/>
      <c r="W75" s="158"/>
      <c r="X75" s="158"/>
    </row>
    <row r="76">
      <c r="A76" s="154"/>
      <c r="B76" s="154"/>
      <c r="C76" s="154" t="s">
        <v>18500</v>
      </c>
      <c r="D76" s="154"/>
      <c r="E76" s="154" t="s">
        <v>248</v>
      </c>
      <c r="F76" s="155" t="s">
        <v>19744</v>
      </c>
      <c r="G76" s="154" t="s">
        <v>19553</v>
      </c>
      <c r="H76" s="154" t="s">
        <v>19558</v>
      </c>
      <c r="I76" s="154" t="s">
        <v>19745</v>
      </c>
      <c r="J76" s="161"/>
      <c r="K76" s="158"/>
      <c r="L76" s="158"/>
      <c r="M76" s="158"/>
      <c r="N76" s="158"/>
      <c r="O76" s="158"/>
      <c r="P76" s="158"/>
      <c r="Q76" s="158"/>
      <c r="R76" s="158"/>
      <c r="S76" s="158"/>
      <c r="T76" s="158"/>
      <c r="U76" s="158"/>
      <c r="V76" s="158"/>
      <c r="W76" s="158"/>
      <c r="X76" s="158"/>
    </row>
    <row r="77">
      <c r="A77" s="154"/>
      <c r="B77" s="154"/>
      <c r="C77" s="154" t="s">
        <v>18512</v>
      </c>
      <c r="D77" s="154"/>
      <c r="E77" s="154" t="s">
        <v>248</v>
      </c>
      <c r="F77" s="155" t="s">
        <v>19746</v>
      </c>
      <c r="G77" s="154" t="s">
        <v>19553</v>
      </c>
      <c r="H77" s="154" t="s">
        <v>19558</v>
      </c>
      <c r="I77" s="154" t="s">
        <v>19747</v>
      </c>
      <c r="J77" s="161"/>
      <c r="K77" s="158"/>
      <c r="L77" s="158"/>
      <c r="M77" s="158"/>
      <c r="N77" s="158"/>
      <c r="O77" s="158"/>
      <c r="P77" s="158"/>
      <c r="Q77" s="158"/>
      <c r="R77" s="158"/>
      <c r="S77" s="158"/>
      <c r="T77" s="158"/>
      <c r="U77" s="158"/>
      <c r="V77" s="158"/>
      <c r="W77" s="158"/>
      <c r="X77" s="158"/>
    </row>
    <row r="78">
      <c r="A78" s="154"/>
      <c r="B78" s="154"/>
      <c r="C78" s="154" t="s">
        <v>18708</v>
      </c>
      <c r="D78" s="154"/>
      <c r="E78" s="154" t="s">
        <v>248</v>
      </c>
      <c r="F78" s="155" t="s">
        <v>19748</v>
      </c>
      <c r="G78" s="154" t="s">
        <v>19557</v>
      </c>
      <c r="H78" s="154" t="s">
        <v>19558</v>
      </c>
      <c r="I78" s="154" t="s">
        <v>19749</v>
      </c>
      <c r="J78" s="161"/>
      <c r="K78" s="158"/>
      <c r="L78" s="158"/>
      <c r="M78" s="158"/>
      <c r="N78" s="158"/>
      <c r="O78" s="158"/>
      <c r="P78" s="158"/>
      <c r="Q78" s="158"/>
      <c r="R78" s="158"/>
      <c r="S78" s="158"/>
      <c r="T78" s="158"/>
      <c r="U78" s="158"/>
      <c r="V78" s="158"/>
      <c r="W78" s="158"/>
      <c r="X78" s="158"/>
    </row>
    <row r="79">
      <c r="A79" s="154"/>
      <c r="B79" s="154"/>
      <c r="C79" s="154" t="s">
        <v>18383</v>
      </c>
      <c r="D79" s="154"/>
      <c r="E79" s="154" t="s">
        <v>19643</v>
      </c>
      <c r="F79" s="155" t="s">
        <v>19750</v>
      </c>
      <c r="G79" s="156"/>
      <c r="H79" s="156"/>
      <c r="I79" s="154" t="s">
        <v>19751</v>
      </c>
      <c r="J79" s="161"/>
      <c r="K79" s="158"/>
      <c r="L79" s="158"/>
      <c r="M79" s="158"/>
      <c r="N79" s="158"/>
      <c r="O79" s="158"/>
      <c r="P79" s="158"/>
      <c r="Q79" s="158"/>
      <c r="R79" s="158"/>
      <c r="S79" s="158"/>
      <c r="T79" s="158"/>
      <c r="U79" s="158"/>
      <c r="V79" s="158"/>
      <c r="W79" s="158"/>
      <c r="X79" s="158"/>
    </row>
    <row r="80">
      <c r="A80" s="154"/>
      <c r="B80" s="154"/>
      <c r="C80" s="154" t="s">
        <v>18705</v>
      </c>
      <c r="D80" s="154"/>
      <c r="E80" s="154" t="s">
        <v>248</v>
      </c>
      <c r="F80" s="155" t="s">
        <v>19752</v>
      </c>
      <c r="G80" s="154" t="s">
        <v>19553</v>
      </c>
      <c r="H80" s="154" t="s">
        <v>19558</v>
      </c>
      <c r="I80" s="154" t="s">
        <v>19753</v>
      </c>
      <c r="J80" s="161"/>
      <c r="K80" s="158"/>
      <c r="L80" s="158"/>
      <c r="M80" s="158"/>
      <c r="N80" s="158"/>
      <c r="O80" s="158"/>
      <c r="P80" s="158"/>
      <c r="Q80" s="158"/>
      <c r="R80" s="158"/>
      <c r="S80" s="158"/>
      <c r="T80" s="158"/>
      <c r="U80" s="158"/>
      <c r="V80" s="158"/>
      <c r="W80" s="158"/>
      <c r="X80" s="158"/>
    </row>
    <row r="81">
      <c r="A81" s="163"/>
      <c r="B81" s="164"/>
      <c r="C81" s="165" t="s">
        <v>18234</v>
      </c>
      <c r="D81" s="137">
        <f>13477842546
</f>
        <v>13477842546</v>
      </c>
      <c r="E81" s="165" t="s">
        <v>248</v>
      </c>
      <c r="F81" s="138" t="s">
        <v>19754</v>
      </c>
      <c r="G81" s="165" t="s">
        <v>19553</v>
      </c>
      <c r="H81" s="165" t="s">
        <v>19558</v>
      </c>
      <c r="I81" s="165" t="s">
        <v>19755</v>
      </c>
      <c r="J81" s="167"/>
      <c r="K81" s="168"/>
      <c r="L81" s="168"/>
      <c r="M81" s="168"/>
      <c r="N81" s="168"/>
      <c r="O81" s="168"/>
      <c r="P81" s="168"/>
      <c r="Q81" s="168"/>
      <c r="R81" s="168"/>
      <c r="S81" s="168"/>
      <c r="T81" s="168"/>
      <c r="U81" s="168"/>
      <c r="V81" s="168"/>
      <c r="W81" s="168"/>
      <c r="X81" s="168"/>
      <c r="Y81" s="169"/>
      <c r="Z81" s="169"/>
      <c r="AA81" s="169"/>
      <c r="AB81" s="169"/>
      <c r="AC81" s="169"/>
    </row>
    <row r="82">
      <c r="A82" s="154"/>
      <c r="B82" s="154"/>
      <c r="C82" s="154" t="s">
        <v>18283</v>
      </c>
      <c r="D82" s="154"/>
      <c r="E82" s="154" t="s">
        <v>248</v>
      </c>
      <c r="F82" s="155" t="s">
        <v>19756</v>
      </c>
      <c r="G82" s="154" t="s">
        <v>19553</v>
      </c>
      <c r="H82" s="156"/>
      <c r="I82" s="154" t="s">
        <v>19757</v>
      </c>
      <c r="J82" s="161"/>
      <c r="K82" s="158"/>
      <c r="L82" s="158"/>
      <c r="M82" s="158"/>
      <c r="N82" s="158"/>
      <c r="O82" s="158"/>
      <c r="P82" s="158"/>
      <c r="Q82" s="158"/>
      <c r="R82" s="158"/>
      <c r="S82" s="158"/>
      <c r="T82" s="158"/>
      <c r="U82" s="158"/>
      <c r="V82" s="158"/>
      <c r="W82" s="158"/>
      <c r="X82" s="158"/>
    </row>
    <row r="83">
      <c r="A83" s="154"/>
      <c r="B83" s="154"/>
      <c r="C83" s="154" t="s">
        <v>18824</v>
      </c>
      <c r="D83" s="154"/>
      <c r="E83" s="154" t="s">
        <v>248</v>
      </c>
      <c r="F83" s="155" t="s">
        <v>19758</v>
      </c>
      <c r="G83" s="156"/>
      <c r="H83" s="156"/>
      <c r="I83" s="154" t="s">
        <v>19759</v>
      </c>
      <c r="J83" s="161"/>
      <c r="K83" s="158"/>
      <c r="L83" s="158"/>
      <c r="M83" s="158"/>
      <c r="N83" s="158"/>
      <c r="O83" s="158"/>
      <c r="P83" s="158"/>
      <c r="Q83" s="158"/>
      <c r="R83" s="158"/>
      <c r="S83" s="158"/>
      <c r="T83" s="158"/>
      <c r="U83" s="158"/>
      <c r="V83" s="158"/>
      <c r="W83" s="158"/>
      <c r="X83" s="158"/>
    </row>
    <row r="84">
      <c r="A84" s="154"/>
      <c r="B84" s="154"/>
      <c r="C84" s="154" t="s">
        <v>18797</v>
      </c>
      <c r="D84" s="154"/>
      <c r="E84" s="154" t="s">
        <v>248</v>
      </c>
      <c r="F84" s="155" t="s">
        <v>19760</v>
      </c>
      <c r="G84" s="156"/>
      <c r="H84" s="156"/>
      <c r="I84" s="154" t="s">
        <v>19761</v>
      </c>
      <c r="J84" s="161"/>
      <c r="K84" s="158"/>
      <c r="L84" s="158"/>
      <c r="M84" s="158"/>
      <c r="N84" s="158"/>
      <c r="O84" s="158"/>
      <c r="P84" s="158"/>
      <c r="Q84" s="158"/>
      <c r="R84" s="158"/>
      <c r="S84" s="158"/>
      <c r="T84" s="158"/>
      <c r="U84" s="158"/>
      <c r="V84" s="158"/>
      <c r="W84" s="158"/>
      <c r="X84" s="158"/>
    </row>
    <row r="85">
      <c r="A85" s="163"/>
      <c r="B85" s="128"/>
      <c r="C85" s="129" t="s">
        <v>18503</v>
      </c>
      <c r="D85" s="129">
        <f>19544396702
</f>
        <v>19544396702</v>
      </c>
      <c r="E85" s="129" t="s">
        <v>248</v>
      </c>
      <c r="F85" s="131" t="s">
        <v>19762</v>
      </c>
      <c r="G85" s="129" t="s">
        <v>19553</v>
      </c>
      <c r="H85" s="129" t="s">
        <v>19558</v>
      </c>
      <c r="I85" s="129" t="s">
        <v>19763</v>
      </c>
      <c r="J85" s="133"/>
      <c r="K85" s="134"/>
      <c r="L85" s="134"/>
      <c r="M85" s="134"/>
      <c r="N85" s="134"/>
      <c r="O85" s="134"/>
      <c r="P85" s="134"/>
      <c r="Q85" s="134"/>
      <c r="R85" s="134"/>
      <c r="S85" s="134"/>
      <c r="T85" s="134"/>
      <c r="U85" s="134"/>
      <c r="V85" s="134"/>
      <c r="W85" s="134"/>
      <c r="X85" s="134"/>
      <c r="Y85" s="135"/>
      <c r="Z85" s="135"/>
      <c r="AA85" s="135"/>
      <c r="AB85" s="135"/>
      <c r="AC85" s="135"/>
    </row>
    <row r="86">
      <c r="A86" s="100"/>
      <c r="B86" s="128"/>
      <c r="C86" s="129" t="s">
        <v>18151</v>
      </c>
      <c r="D86" s="129">
        <f>12676162601
</f>
        <v>12676162601</v>
      </c>
      <c r="E86" s="129" t="s">
        <v>19643</v>
      </c>
      <c r="F86" s="131" t="s">
        <v>19764</v>
      </c>
      <c r="G86" s="132"/>
      <c r="H86" s="132"/>
      <c r="I86" s="132"/>
      <c r="J86" s="133"/>
      <c r="K86" s="134"/>
      <c r="L86" s="134"/>
      <c r="M86" s="134"/>
      <c r="N86" s="134"/>
      <c r="O86" s="134"/>
      <c r="P86" s="134"/>
      <c r="Q86" s="134"/>
      <c r="R86" s="134"/>
      <c r="S86" s="134"/>
      <c r="T86" s="134"/>
      <c r="U86" s="134"/>
      <c r="V86" s="134"/>
      <c r="W86" s="134"/>
      <c r="X86" s="134"/>
      <c r="Y86" s="135"/>
      <c r="Z86" s="135"/>
      <c r="AA86" s="135"/>
      <c r="AB86" s="135"/>
      <c r="AC86" s="135"/>
    </row>
    <row r="87">
      <c r="A87" s="163"/>
      <c r="B87" s="164"/>
      <c r="C87" s="165" t="s">
        <v>18188</v>
      </c>
      <c r="D87" s="165">
        <f>19173017557
</f>
        <v>19173017557</v>
      </c>
      <c r="E87" s="165" t="s">
        <v>248</v>
      </c>
      <c r="F87" s="166" t="s">
        <v>19765</v>
      </c>
      <c r="G87" s="165" t="s">
        <v>19557</v>
      </c>
      <c r="H87" s="174"/>
      <c r="I87" s="165" t="s">
        <v>19766</v>
      </c>
      <c r="J87" s="167"/>
      <c r="K87" s="168"/>
      <c r="L87" s="168"/>
      <c r="M87" s="168"/>
      <c r="N87" s="168"/>
      <c r="O87" s="168"/>
      <c r="P87" s="168"/>
      <c r="Q87" s="168"/>
      <c r="R87" s="168"/>
      <c r="S87" s="168"/>
      <c r="T87" s="168"/>
      <c r="U87" s="168"/>
      <c r="V87" s="168"/>
      <c r="W87" s="168"/>
      <c r="X87" s="168"/>
      <c r="Y87" s="169"/>
      <c r="Z87" s="169"/>
      <c r="AA87" s="169"/>
      <c r="AB87" s="169"/>
      <c r="AC87" s="169"/>
    </row>
    <row r="88">
      <c r="A88" s="154"/>
      <c r="B88" s="154"/>
      <c r="C88" s="154" t="s">
        <v>18245</v>
      </c>
      <c r="D88" s="154"/>
      <c r="E88" s="154" t="s">
        <v>248</v>
      </c>
      <c r="F88" s="155" t="s">
        <v>19767</v>
      </c>
      <c r="G88" s="156"/>
      <c r="H88" s="154" t="s">
        <v>19558</v>
      </c>
      <c r="I88" s="154" t="s">
        <v>19768</v>
      </c>
      <c r="J88" s="161"/>
      <c r="K88" s="158"/>
      <c r="L88" s="158"/>
      <c r="M88" s="158"/>
      <c r="N88" s="158"/>
      <c r="O88" s="158"/>
      <c r="P88" s="158"/>
      <c r="Q88" s="158"/>
      <c r="R88" s="158"/>
      <c r="S88" s="158"/>
      <c r="T88" s="158"/>
      <c r="U88" s="158"/>
      <c r="V88" s="158"/>
      <c r="W88" s="158"/>
      <c r="X88" s="158"/>
    </row>
    <row r="89">
      <c r="A89" s="163"/>
      <c r="B89" s="164"/>
      <c r="C89" s="165" t="s">
        <v>18540</v>
      </c>
      <c r="D89" s="165">
        <f>16027368545
</f>
        <v>16027368545</v>
      </c>
      <c r="E89" s="165" t="s">
        <v>248</v>
      </c>
      <c r="F89" s="166" t="s">
        <v>19769</v>
      </c>
      <c r="G89" s="165" t="s">
        <v>19557</v>
      </c>
      <c r="H89" s="165" t="s">
        <v>19558</v>
      </c>
      <c r="I89" s="165" t="s">
        <v>19770</v>
      </c>
      <c r="J89" s="167"/>
      <c r="K89" s="168"/>
      <c r="L89" s="168"/>
      <c r="M89" s="168"/>
      <c r="N89" s="168"/>
      <c r="O89" s="168"/>
      <c r="P89" s="168"/>
      <c r="Q89" s="168"/>
      <c r="R89" s="168"/>
      <c r="S89" s="168"/>
      <c r="T89" s="168"/>
      <c r="U89" s="168"/>
      <c r="V89" s="168"/>
      <c r="W89" s="168"/>
      <c r="X89" s="168"/>
      <c r="Y89" s="169"/>
      <c r="Z89" s="169"/>
      <c r="AA89" s="169"/>
      <c r="AB89" s="169"/>
      <c r="AC89" s="169"/>
    </row>
    <row r="90">
      <c r="A90" s="154"/>
      <c r="B90" s="154"/>
      <c r="C90" s="154" t="s">
        <v>18170</v>
      </c>
      <c r="D90" s="154"/>
      <c r="E90" s="154" t="s">
        <v>248</v>
      </c>
      <c r="F90" s="155" t="s">
        <v>19771</v>
      </c>
      <c r="G90" s="154" t="s">
        <v>19553</v>
      </c>
      <c r="H90" s="154" t="s">
        <v>19558</v>
      </c>
      <c r="I90" s="154" t="s">
        <v>19772</v>
      </c>
      <c r="J90" s="161"/>
      <c r="K90" s="158"/>
      <c r="L90" s="158"/>
      <c r="M90" s="158"/>
      <c r="N90" s="158"/>
      <c r="O90" s="158"/>
      <c r="P90" s="158"/>
      <c r="Q90" s="158"/>
      <c r="R90" s="158"/>
      <c r="S90" s="158"/>
      <c r="T90" s="158"/>
      <c r="U90" s="158"/>
      <c r="V90" s="158"/>
      <c r="W90" s="158"/>
      <c r="X90" s="158"/>
    </row>
    <row r="91">
      <c r="A91" s="163"/>
      <c r="B91" s="164"/>
      <c r="C91" s="165" t="s">
        <v>18467</v>
      </c>
      <c r="D91" s="165">
        <f>19292724159
</f>
        <v>19292724159</v>
      </c>
      <c r="E91" s="165" t="s">
        <v>19643</v>
      </c>
      <c r="F91" s="166" t="s">
        <v>19773</v>
      </c>
      <c r="G91" s="174"/>
      <c r="H91" s="174"/>
      <c r="I91" s="165" t="s">
        <v>19774</v>
      </c>
      <c r="J91" s="167"/>
      <c r="K91" s="168"/>
      <c r="L91" s="168"/>
      <c r="M91" s="168"/>
      <c r="N91" s="168"/>
      <c r="O91" s="168"/>
      <c r="P91" s="168"/>
      <c r="Q91" s="168"/>
      <c r="R91" s="168"/>
      <c r="S91" s="168"/>
      <c r="T91" s="168"/>
      <c r="U91" s="168"/>
      <c r="V91" s="168"/>
      <c r="W91" s="168"/>
      <c r="X91" s="168"/>
      <c r="Y91" s="169"/>
      <c r="Z91" s="169"/>
      <c r="AA91" s="169"/>
      <c r="AB91" s="169"/>
      <c r="AC91" s="169"/>
    </row>
    <row r="92">
      <c r="A92" s="163"/>
      <c r="B92" s="164"/>
      <c r="C92" s="165" t="s">
        <v>18389</v>
      </c>
      <c r="D92" s="165">
        <f>16462013318
</f>
        <v>16462013318</v>
      </c>
      <c r="E92" s="165" t="s">
        <v>248</v>
      </c>
      <c r="F92" s="166" t="s">
        <v>19775</v>
      </c>
      <c r="G92" s="165" t="s">
        <v>19557</v>
      </c>
      <c r="H92" s="174"/>
      <c r="I92" s="165" t="s">
        <v>19776</v>
      </c>
      <c r="J92" s="167"/>
      <c r="K92" s="168"/>
      <c r="L92" s="168"/>
      <c r="M92" s="168"/>
      <c r="N92" s="168"/>
      <c r="O92" s="168"/>
      <c r="P92" s="168"/>
      <c r="Q92" s="168"/>
      <c r="R92" s="168"/>
      <c r="S92" s="168"/>
      <c r="T92" s="168"/>
      <c r="U92" s="168"/>
      <c r="V92" s="168"/>
      <c r="W92" s="168"/>
      <c r="X92" s="168"/>
      <c r="Y92" s="169"/>
      <c r="Z92" s="169"/>
      <c r="AA92" s="169"/>
      <c r="AB92" s="169"/>
      <c r="AC92" s="169"/>
    </row>
    <row r="93">
      <c r="A93" s="154"/>
      <c r="B93" s="154"/>
      <c r="C93" s="154" t="s">
        <v>18295</v>
      </c>
      <c r="D93" s="154"/>
      <c r="E93" s="154" t="s">
        <v>248</v>
      </c>
      <c r="F93" s="155" t="s">
        <v>19777</v>
      </c>
      <c r="G93" s="154" t="s">
        <v>19557</v>
      </c>
      <c r="H93" s="156"/>
      <c r="I93" s="162" t="s">
        <v>19778</v>
      </c>
      <c r="J93" s="161"/>
      <c r="K93" s="158"/>
      <c r="L93" s="158"/>
      <c r="M93" s="158"/>
      <c r="N93" s="158"/>
      <c r="O93" s="158"/>
      <c r="P93" s="158"/>
      <c r="Q93" s="158"/>
      <c r="R93" s="158"/>
      <c r="S93" s="158"/>
      <c r="T93" s="158"/>
      <c r="U93" s="158"/>
      <c r="V93" s="158"/>
      <c r="W93" s="158"/>
      <c r="X93" s="158"/>
    </row>
    <row r="94">
      <c r="A94" s="154"/>
      <c r="B94" s="154"/>
      <c r="C94" s="154" t="s">
        <v>18699</v>
      </c>
      <c r="D94" s="154"/>
      <c r="E94" s="154" t="s">
        <v>248</v>
      </c>
      <c r="F94" s="155" t="s">
        <v>19779</v>
      </c>
      <c r="G94" s="154" t="s">
        <v>19557</v>
      </c>
      <c r="H94" s="154" t="s">
        <v>19558</v>
      </c>
      <c r="I94" s="154" t="s">
        <v>19780</v>
      </c>
      <c r="J94" s="161"/>
      <c r="K94" s="158"/>
      <c r="L94" s="158"/>
      <c r="M94" s="158"/>
      <c r="N94" s="158"/>
      <c r="O94" s="158"/>
      <c r="P94" s="158"/>
      <c r="Q94" s="158"/>
      <c r="R94" s="158"/>
      <c r="S94" s="158"/>
      <c r="T94" s="158"/>
      <c r="U94" s="158"/>
      <c r="V94" s="158"/>
      <c r="W94" s="158"/>
      <c r="X94" s="158"/>
    </row>
    <row r="95">
      <c r="A95" s="163"/>
      <c r="B95" s="164"/>
      <c r="C95" s="165" t="s">
        <v>18276</v>
      </c>
      <c r="D95" s="172">
        <v>8.454599911E9</v>
      </c>
      <c r="E95" s="165" t="s">
        <v>248</v>
      </c>
      <c r="F95" s="166" t="s">
        <v>19781</v>
      </c>
      <c r="G95" s="165" t="s">
        <v>19557</v>
      </c>
      <c r="H95" s="174"/>
      <c r="I95" s="165" t="s">
        <v>19782</v>
      </c>
      <c r="J95" s="167"/>
      <c r="K95" s="168"/>
      <c r="L95" s="168"/>
      <c r="M95" s="168"/>
      <c r="N95" s="168"/>
      <c r="O95" s="168"/>
      <c r="P95" s="168"/>
      <c r="Q95" s="168"/>
      <c r="R95" s="168"/>
      <c r="S95" s="168"/>
      <c r="T95" s="168"/>
      <c r="U95" s="168"/>
      <c r="V95" s="168"/>
      <c r="W95" s="168"/>
      <c r="X95" s="168"/>
      <c r="Y95" s="169"/>
      <c r="Z95" s="169"/>
      <c r="AA95" s="169"/>
      <c r="AB95" s="169"/>
      <c r="AC95" s="169"/>
    </row>
    <row r="96">
      <c r="A96" s="163"/>
      <c r="B96" s="164"/>
      <c r="C96" s="165" t="s">
        <v>18326</v>
      </c>
      <c r="D96" s="172" t="s">
        <v>19783</v>
      </c>
      <c r="E96" s="165" t="s">
        <v>248</v>
      </c>
      <c r="F96" s="166" t="s">
        <v>19784</v>
      </c>
      <c r="G96" s="165" t="s">
        <v>19557</v>
      </c>
      <c r="H96" s="165" t="s">
        <v>19558</v>
      </c>
      <c r="I96" s="175" t="s">
        <v>19785</v>
      </c>
      <c r="J96" s="167"/>
      <c r="K96" s="168"/>
      <c r="L96" s="168"/>
      <c r="M96" s="168"/>
      <c r="N96" s="168"/>
      <c r="O96" s="168"/>
      <c r="P96" s="168"/>
      <c r="Q96" s="168"/>
      <c r="R96" s="168"/>
      <c r="S96" s="168"/>
      <c r="T96" s="168"/>
      <c r="U96" s="168"/>
      <c r="V96" s="168"/>
      <c r="W96" s="168"/>
      <c r="X96" s="168"/>
      <c r="Y96" s="169"/>
      <c r="Z96" s="169"/>
      <c r="AA96" s="169"/>
      <c r="AB96" s="169"/>
      <c r="AC96" s="169"/>
    </row>
    <row r="97">
      <c r="A97" s="100"/>
      <c r="B97" s="144" t="s">
        <v>19786</v>
      </c>
      <c r="C97" s="129" t="s">
        <v>18248</v>
      </c>
      <c r="D97" s="130" t="s">
        <v>19787</v>
      </c>
      <c r="E97" s="129" t="s">
        <v>248</v>
      </c>
      <c r="F97" s="131" t="s">
        <v>19788</v>
      </c>
      <c r="G97" s="132"/>
      <c r="H97" s="132"/>
      <c r="I97" s="129" t="s">
        <v>19789</v>
      </c>
      <c r="J97" s="133"/>
      <c r="K97" s="134"/>
      <c r="L97" s="134"/>
      <c r="M97" s="134"/>
      <c r="N97" s="134"/>
      <c r="O97" s="134"/>
      <c r="P97" s="134"/>
      <c r="Q97" s="134"/>
      <c r="R97" s="134"/>
      <c r="S97" s="134"/>
      <c r="T97" s="134"/>
      <c r="U97" s="134"/>
      <c r="V97" s="134"/>
      <c r="W97" s="134"/>
      <c r="X97" s="134"/>
      <c r="Y97" s="135"/>
      <c r="Z97" s="135"/>
      <c r="AA97" s="135"/>
      <c r="AB97" s="135"/>
      <c r="AC97" s="135"/>
    </row>
    <row r="98">
      <c r="A98" s="176"/>
      <c r="B98" s="177"/>
      <c r="C98" s="158"/>
      <c r="D98" s="158"/>
      <c r="E98" s="158"/>
      <c r="F98" s="158"/>
      <c r="G98" s="158"/>
      <c r="H98" s="158"/>
      <c r="I98" s="158"/>
      <c r="J98" s="158"/>
      <c r="K98" s="158"/>
      <c r="L98" s="158"/>
      <c r="M98" s="158"/>
      <c r="N98" s="158"/>
      <c r="O98" s="158"/>
      <c r="P98" s="158"/>
      <c r="Q98" s="158"/>
      <c r="R98" s="158"/>
      <c r="S98" s="158"/>
      <c r="T98" s="158"/>
      <c r="U98" s="158"/>
      <c r="V98" s="158"/>
      <c r="W98" s="158"/>
      <c r="X98" s="158"/>
    </row>
    <row r="99">
      <c r="A99" s="176"/>
      <c r="B99" s="177"/>
      <c r="C99" s="158"/>
      <c r="D99" s="158"/>
      <c r="E99" s="158"/>
      <c r="F99" s="158"/>
      <c r="G99" s="158"/>
      <c r="H99" s="158"/>
      <c r="I99" s="158"/>
      <c r="J99" s="158"/>
      <c r="K99" s="158"/>
      <c r="L99" s="158"/>
      <c r="M99" s="158"/>
      <c r="N99" s="158"/>
      <c r="O99" s="158"/>
      <c r="P99" s="158"/>
      <c r="Q99" s="158"/>
      <c r="R99" s="158"/>
      <c r="S99" s="158"/>
      <c r="T99" s="158"/>
      <c r="U99" s="158"/>
      <c r="V99" s="158"/>
      <c r="W99" s="158"/>
      <c r="X99" s="158"/>
    </row>
    <row r="100">
      <c r="A100" s="176"/>
      <c r="B100" s="177"/>
      <c r="C100" s="158"/>
      <c r="D100" s="158"/>
      <c r="E100" s="158"/>
      <c r="G100" s="158"/>
      <c r="H100" s="158"/>
      <c r="I100" s="158"/>
      <c r="J100" s="158"/>
      <c r="K100" s="158"/>
      <c r="L100" s="158"/>
      <c r="M100" s="158"/>
      <c r="N100" s="158"/>
      <c r="O100" s="158"/>
      <c r="P100" s="158"/>
      <c r="Q100" s="158"/>
      <c r="R100" s="158"/>
      <c r="S100" s="158"/>
      <c r="T100" s="158"/>
      <c r="U100" s="158"/>
      <c r="V100" s="158"/>
      <c r="W100" s="158"/>
      <c r="X100" s="158"/>
    </row>
    <row r="101">
      <c r="A101" s="176"/>
      <c r="B101" s="177"/>
      <c r="C101" s="158"/>
      <c r="D101" s="158"/>
      <c r="E101" s="158"/>
      <c r="F101" s="158"/>
      <c r="G101" s="158"/>
      <c r="H101" s="158"/>
      <c r="I101" s="158"/>
      <c r="J101" s="158"/>
      <c r="K101" s="158"/>
      <c r="L101" s="158"/>
      <c r="M101" s="158"/>
      <c r="N101" s="158"/>
      <c r="O101" s="158"/>
      <c r="P101" s="158"/>
      <c r="Q101" s="158"/>
      <c r="R101" s="158"/>
      <c r="S101" s="158"/>
      <c r="T101" s="158"/>
      <c r="U101" s="158"/>
      <c r="V101" s="158"/>
      <c r="W101" s="158"/>
      <c r="X101" s="158"/>
    </row>
    <row r="102">
      <c r="A102" s="176"/>
      <c r="B102" s="177"/>
      <c r="C102" s="158"/>
      <c r="D102" s="158"/>
      <c r="E102" s="158"/>
      <c r="F102" s="158"/>
      <c r="G102" s="158"/>
      <c r="H102" s="158"/>
      <c r="I102" s="158"/>
      <c r="J102" s="158"/>
      <c r="K102" s="158"/>
      <c r="L102" s="158"/>
      <c r="M102" s="158"/>
      <c r="N102" s="158"/>
      <c r="O102" s="158"/>
      <c r="P102" s="158"/>
      <c r="Q102" s="158"/>
      <c r="R102" s="158"/>
      <c r="S102" s="158"/>
      <c r="T102" s="158"/>
      <c r="U102" s="158"/>
      <c r="V102" s="158"/>
      <c r="W102" s="158"/>
      <c r="X102" s="158"/>
    </row>
    <row r="103">
      <c r="A103" s="176"/>
      <c r="B103" s="177"/>
      <c r="C103" s="158"/>
      <c r="D103" s="158"/>
      <c r="E103" s="158"/>
      <c r="F103" s="158"/>
      <c r="G103" s="158"/>
      <c r="H103" s="158"/>
      <c r="I103" s="158"/>
      <c r="J103" s="158"/>
      <c r="K103" s="158"/>
      <c r="L103" s="158"/>
      <c r="M103" s="158"/>
      <c r="N103" s="158"/>
      <c r="O103" s="158"/>
      <c r="P103" s="158"/>
      <c r="Q103" s="158"/>
      <c r="R103" s="158"/>
      <c r="S103" s="158"/>
      <c r="T103" s="158"/>
      <c r="U103" s="158"/>
      <c r="V103" s="158"/>
      <c r="W103" s="158"/>
      <c r="X103" s="158"/>
    </row>
    <row r="104">
      <c r="A104" s="176"/>
      <c r="B104" s="177"/>
      <c r="C104" s="158"/>
      <c r="D104" s="158"/>
      <c r="E104" s="158"/>
      <c r="F104" s="158"/>
      <c r="G104" s="158"/>
      <c r="H104" s="158"/>
      <c r="I104" s="158"/>
      <c r="J104" s="158"/>
      <c r="K104" s="158"/>
      <c r="L104" s="158"/>
      <c r="M104" s="158"/>
      <c r="N104" s="158"/>
      <c r="O104" s="158"/>
      <c r="P104" s="158"/>
      <c r="Q104" s="158"/>
      <c r="R104" s="158"/>
      <c r="S104" s="158"/>
      <c r="T104" s="158"/>
      <c r="U104" s="158"/>
      <c r="V104" s="158"/>
      <c r="W104" s="158"/>
      <c r="X104" s="158"/>
    </row>
    <row r="105">
      <c r="A105" s="176"/>
      <c r="B105" s="177"/>
      <c r="C105" s="158"/>
      <c r="D105" s="158"/>
      <c r="E105" s="158"/>
      <c r="F105" s="158"/>
      <c r="G105" s="158"/>
      <c r="H105" s="158"/>
      <c r="I105" s="158"/>
      <c r="J105" s="158"/>
      <c r="K105" s="158"/>
      <c r="L105" s="158"/>
      <c r="M105" s="158"/>
      <c r="N105" s="158"/>
      <c r="O105" s="158"/>
      <c r="P105" s="158"/>
      <c r="Q105" s="158"/>
      <c r="R105" s="158"/>
      <c r="S105" s="158"/>
      <c r="T105" s="158"/>
      <c r="U105" s="158"/>
      <c r="V105" s="158"/>
      <c r="W105" s="158"/>
      <c r="X105" s="158"/>
    </row>
    <row r="106">
      <c r="A106" s="176"/>
      <c r="B106" s="177"/>
      <c r="C106" s="158"/>
      <c r="D106" s="158"/>
      <c r="E106" s="158"/>
      <c r="F106" s="158"/>
      <c r="G106" s="158"/>
      <c r="H106" s="158"/>
      <c r="I106" s="158"/>
      <c r="J106" s="158"/>
      <c r="K106" s="158"/>
      <c r="L106" s="158"/>
      <c r="M106" s="158"/>
      <c r="N106" s="158"/>
      <c r="O106" s="158"/>
      <c r="P106" s="158"/>
      <c r="Q106" s="158"/>
      <c r="R106" s="158"/>
      <c r="S106" s="158"/>
      <c r="T106" s="158"/>
      <c r="U106" s="158"/>
      <c r="V106" s="158"/>
      <c r="W106" s="158"/>
      <c r="X106" s="158"/>
    </row>
    <row r="107">
      <c r="A107" s="176"/>
      <c r="B107" s="177"/>
      <c r="C107" s="158"/>
      <c r="D107" s="158"/>
      <c r="E107" s="158"/>
      <c r="F107" s="158"/>
      <c r="G107" s="158"/>
      <c r="H107" s="158"/>
      <c r="I107" s="158"/>
      <c r="J107" s="158"/>
      <c r="K107" s="158"/>
      <c r="L107" s="158"/>
      <c r="M107" s="158"/>
      <c r="N107" s="158"/>
      <c r="O107" s="158"/>
      <c r="P107" s="158"/>
      <c r="Q107" s="158"/>
      <c r="R107" s="158"/>
      <c r="S107" s="158"/>
      <c r="T107" s="158"/>
      <c r="U107" s="158"/>
      <c r="V107" s="158"/>
      <c r="W107" s="158"/>
      <c r="X107" s="158"/>
    </row>
    <row r="108">
      <c r="A108" s="176"/>
      <c r="B108" s="177"/>
      <c r="C108" s="158"/>
      <c r="D108" s="158"/>
      <c r="E108" s="158"/>
      <c r="F108" s="158"/>
      <c r="G108" s="158"/>
      <c r="H108" s="158"/>
      <c r="I108" s="158"/>
      <c r="J108" s="158"/>
      <c r="K108" s="158"/>
      <c r="L108" s="158"/>
      <c r="M108" s="158"/>
      <c r="N108" s="158"/>
      <c r="O108" s="158"/>
      <c r="P108" s="158"/>
      <c r="Q108" s="158"/>
      <c r="R108" s="158"/>
      <c r="S108" s="158"/>
      <c r="T108" s="158"/>
      <c r="U108" s="158"/>
      <c r="V108" s="158"/>
      <c r="W108" s="158"/>
      <c r="X108" s="158"/>
    </row>
    <row r="109">
      <c r="A109" s="176"/>
      <c r="B109" s="177"/>
      <c r="C109" s="158"/>
      <c r="D109" s="158"/>
      <c r="E109" s="158"/>
      <c r="G109" s="158"/>
      <c r="H109" s="158"/>
      <c r="I109" s="158"/>
      <c r="J109" s="158"/>
      <c r="K109" s="158"/>
      <c r="L109" s="158"/>
      <c r="M109" s="158"/>
      <c r="N109" s="158"/>
      <c r="O109" s="158"/>
      <c r="P109" s="158"/>
      <c r="Q109" s="158"/>
      <c r="R109" s="158"/>
      <c r="S109" s="158"/>
      <c r="T109" s="158"/>
      <c r="U109" s="158"/>
      <c r="V109" s="158"/>
      <c r="W109" s="158"/>
      <c r="X109" s="158"/>
    </row>
    <row r="110">
      <c r="A110" s="176"/>
      <c r="B110" s="177"/>
      <c r="C110" s="158"/>
      <c r="D110" s="158"/>
      <c r="E110" s="158"/>
      <c r="F110" s="158"/>
      <c r="G110" s="158"/>
      <c r="H110" s="158"/>
      <c r="I110" s="158"/>
      <c r="J110" s="158"/>
      <c r="K110" s="158"/>
      <c r="L110" s="158"/>
      <c r="M110" s="158"/>
      <c r="N110" s="158"/>
      <c r="O110" s="158"/>
      <c r="P110" s="158"/>
      <c r="Q110" s="158"/>
      <c r="R110" s="158"/>
      <c r="S110" s="158"/>
      <c r="T110" s="158"/>
      <c r="U110" s="158"/>
      <c r="V110" s="158"/>
      <c r="W110" s="158"/>
      <c r="X110" s="158"/>
    </row>
    <row r="111">
      <c r="A111" s="176"/>
      <c r="B111" s="177"/>
      <c r="C111" s="158"/>
      <c r="D111" s="158"/>
      <c r="E111" s="158"/>
      <c r="F111" s="158"/>
      <c r="G111" s="158"/>
      <c r="H111" s="158"/>
      <c r="I111" s="158"/>
      <c r="J111" s="158"/>
      <c r="K111" s="158"/>
      <c r="L111" s="158"/>
      <c r="M111" s="158"/>
      <c r="N111" s="158"/>
      <c r="O111" s="158"/>
      <c r="P111" s="158"/>
      <c r="Q111" s="158"/>
      <c r="R111" s="158"/>
      <c r="S111" s="158"/>
      <c r="T111" s="158"/>
      <c r="U111" s="158"/>
      <c r="V111" s="158"/>
      <c r="W111" s="158"/>
      <c r="X111" s="158"/>
    </row>
    <row r="112">
      <c r="A112" s="176"/>
      <c r="B112" s="177"/>
      <c r="C112" s="158"/>
      <c r="D112" s="158"/>
      <c r="E112" s="158"/>
      <c r="F112" s="158"/>
      <c r="G112" s="158"/>
      <c r="H112" s="158"/>
      <c r="I112" s="158"/>
      <c r="J112" s="158"/>
      <c r="K112" s="158"/>
      <c r="L112" s="158"/>
      <c r="M112" s="158"/>
      <c r="N112" s="158"/>
      <c r="O112" s="158"/>
      <c r="P112" s="158"/>
      <c r="Q112" s="158"/>
      <c r="R112" s="158"/>
      <c r="S112" s="158"/>
      <c r="T112" s="158"/>
      <c r="U112" s="158"/>
      <c r="V112" s="158"/>
      <c r="W112" s="158"/>
      <c r="X112" s="158"/>
    </row>
    <row r="113">
      <c r="A113" s="176"/>
      <c r="B113" s="177"/>
      <c r="C113" s="158"/>
      <c r="D113" s="158"/>
      <c r="E113" s="158"/>
      <c r="F113" s="158"/>
      <c r="G113" s="158"/>
      <c r="H113" s="158"/>
      <c r="I113" s="158"/>
      <c r="J113" s="158"/>
      <c r="K113" s="158"/>
      <c r="L113" s="158"/>
      <c r="M113" s="158"/>
      <c r="N113" s="158"/>
      <c r="O113" s="158"/>
      <c r="P113" s="158"/>
      <c r="Q113" s="158"/>
      <c r="R113" s="158"/>
      <c r="S113" s="158"/>
      <c r="T113" s="158"/>
      <c r="U113" s="158"/>
      <c r="V113" s="158"/>
      <c r="W113" s="158"/>
      <c r="X113" s="158"/>
    </row>
    <row r="114">
      <c r="A114" s="176"/>
      <c r="B114" s="177"/>
      <c r="C114" s="158"/>
      <c r="D114" s="158"/>
      <c r="E114" s="158"/>
      <c r="F114" s="158"/>
      <c r="G114" s="158"/>
      <c r="H114" s="158"/>
      <c r="I114" s="158"/>
      <c r="J114" s="158"/>
      <c r="K114" s="158"/>
      <c r="L114" s="158"/>
      <c r="M114" s="158"/>
      <c r="N114" s="158"/>
      <c r="O114" s="158"/>
      <c r="P114" s="158"/>
      <c r="Q114" s="158"/>
      <c r="R114" s="158"/>
      <c r="S114" s="158"/>
      <c r="T114" s="158"/>
      <c r="U114" s="158"/>
      <c r="V114" s="158"/>
      <c r="W114" s="158"/>
      <c r="X114" s="158"/>
    </row>
    <row r="115">
      <c r="A115" s="176"/>
      <c r="B115" s="177"/>
      <c r="C115" s="158"/>
      <c r="D115" s="158"/>
      <c r="E115" s="158"/>
      <c r="F115" s="158"/>
      <c r="G115" s="158"/>
      <c r="H115" s="158"/>
      <c r="I115" s="158"/>
      <c r="J115" s="158"/>
      <c r="K115" s="158"/>
      <c r="L115" s="158"/>
      <c r="M115" s="158"/>
      <c r="N115" s="158"/>
      <c r="O115" s="158"/>
      <c r="P115" s="158"/>
      <c r="Q115" s="158"/>
      <c r="R115" s="158"/>
      <c r="S115" s="158"/>
      <c r="T115" s="158"/>
      <c r="U115" s="158"/>
      <c r="V115" s="158"/>
      <c r="W115" s="158"/>
      <c r="X115" s="158"/>
    </row>
    <row r="116">
      <c r="A116" s="176"/>
      <c r="B116" s="177"/>
      <c r="C116" s="158"/>
      <c r="D116" s="158"/>
      <c r="E116" s="158"/>
      <c r="F116" s="158"/>
      <c r="G116" s="158"/>
      <c r="H116" s="158"/>
      <c r="I116" s="158"/>
      <c r="J116" s="158"/>
      <c r="K116" s="158"/>
      <c r="L116" s="158"/>
      <c r="M116" s="158"/>
      <c r="N116" s="158"/>
      <c r="O116" s="158"/>
      <c r="P116" s="158"/>
      <c r="Q116" s="158"/>
      <c r="R116" s="158"/>
      <c r="S116" s="158"/>
      <c r="T116" s="158"/>
      <c r="U116" s="158"/>
      <c r="V116" s="158"/>
      <c r="W116" s="158"/>
      <c r="X116" s="158"/>
    </row>
    <row r="117">
      <c r="A117" s="176"/>
      <c r="B117" s="177"/>
      <c r="C117" s="158"/>
      <c r="D117" s="158"/>
      <c r="E117" s="158"/>
      <c r="F117" s="158"/>
      <c r="G117" s="158"/>
      <c r="H117" s="158"/>
      <c r="I117" s="158"/>
      <c r="J117" s="158"/>
      <c r="K117" s="158"/>
      <c r="L117" s="158"/>
      <c r="M117" s="158"/>
      <c r="N117" s="158"/>
      <c r="O117" s="158"/>
      <c r="P117" s="158"/>
      <c r="Q117" s="158"/>
      <c r="R117" s="158"/>
      <c r="S117" s="158"/>
      <c r="T117" s="158"/>
      <c r="U117" s="158"/>
      <c r="V117" s="158"/>
      <c r="W117" s="158"/>
      <c r="X117" s="158"/>
    </row>
    <row r="118">
      <c r="A118" s="176"/>
      <c r="B118" s="177"/>
      <c r="C118" s="158"/>
      <c r="D118" s="158"/>
      <c r="E118" s="158"/>
      <c r="F118" s="158"/>
      <c r="G118" s="158"/>
      <c r="H118" s="158"/>
      <c r="I118" s="158"/>
      <c r="J118" s="158"/>
      <c r="K118" s="158"/>
      <c r="L118" s="158"/>
      <c r="M118" s="158"/>
      <c r="N118" s="158"/>
      <c r="O118" s="158"/>
      <c r="P118" s="158"/>
      <c r="Q118" s="158"/>
      <c r="R118" s="158"/>
      <c r="S118" s="158"/>
      <c r="T118" s="158"/>
      <c r="U118" s="158"/>
      <c r="V118" s="158"/>
      <c r="W118" s="158"/>
      <c r="X118" s="158"/>
    </row>
    <row r="119">
      <c r="A119" s="176"/>
      <c r="B119" s="177"/>
      <c r="C119" s="158"/>
      <c r="D119" s="158"/>
      <c r="E119" s="158"/>
      <c r="G119" s="158"/>
      <c r="H119" s="158"/>
      <c r="I119" s="158"/>
      <c r="J119" s="158"/>
      <c r="K119" s="158"/>
      <c r="L119" s="158"/>
      <c r="M119" s="158"/>
      <c r="N119" s="158"/>
      <c r="O119" s="158"/>
      <c r="P119" s="158"/>
      <c r="Q119" s="158"/>
      <c r="R119" s="158"/>
      <c r="S119" s="158"/>
      <c r="T119" s="158"/>
      <c r="U119" s="158"/>
      <c r="V119" s="158"/>
      <c r="W119" s="158"/>
      <c r="X119" s="158"/>
    </row>
    <row r="120">
      <c r="A120" s="176"/>
      <c r="B120" s="177"/>
      <c r="C120" s="158"/>
      <c r="D120" s="158"/>
      <c r="E120" s="158"/>
      <c r="F120" s="158"/>
      <c r="G120" s="158"/>
      <c r="H120" s="158"/>
      <c r="I120" s="158"/>
      <c r="J120" s="158"/>
      <c r="K120" s="158"/>
      <c r="L120" s="158"/>
      <c r="M120" s="158"/>
      <c r="N120" s="158"/>
      <c r="O120" s="158"/>
      <c r="P120" s="158"/>
      <c r="Q120" s="158"/>
      <c r="R120" s="158"/>
      <c r="S120" s="158"/>
      <c r="T120" s="158"/>
      <c r="U120" s="158"/>
      <c r="V120" s="158"/>
      <c r="W120" s="158"/>
      <c r="X120" s="158"/>
    </row>
    <row r="121">
      <c r="A121" s="176"/>
      <c r="B121" s="177"/>
      <c r="C121" s="158"/>
      <c r="D121" s="158"/>
      <c r="E121" s="158"/>
      <c r="F121" s="158"/>
      <c r="G121" s="158"/>
      <c r="H121" s="158"/>
      <c r="I121" s="158"/>
      <c r="J121" s="158"/>
      <c r="K121" s="158"/>
      <c r="L121" s="158"/>
      <c r="M121" s="158"/>
      <c r="N121" s="158"/>
      <c r="O121" s="158"/>
      <c r="P121" s="158"/>
      <c r="Q121" s="158"/>
      <c r="R121" s="158"/>
      <c r="S121" s="158"/>
      <c r="T121" s="158"/>
      <c r="U121" s="158"/>
      <c r="V121" s="158"/>
      <c r="W121" s="158"/>
      <c r="X121" s="158"/>
    </row>
    <row r="122">
      <c r="A122" s="176"/>
      <c r="B122" s="177"/>
      <c r="C122" s="158"/>
      <c r="D122" s="158"/>
      <c r="E122" s="158"/>
      <c r="F122" s="158"/>
      <c r="G122" s="158"/>
      <c r="H122" s="158"/>
      <c r="I122" s="158"/>
      <c r="J122" s="158"/>
      <c r="K122" s="158"/>
      <c r="L122" s="158"/>
      <c r="M122" s="158"/>
      <c r="N122" s="158"/>
      <c r="O122" s="158"/>
      <c r="P122" s="158"/>
      <c r="Q122" s="158"/>
      <c r="R122" s="158"/>
      <c r="S122" s="158"/>
      <c r="T122" s="158"/>
      <c r="U122" s="158"/>
      <c r="V122" s="158"/>
      <c r="W122" s="158"/>
      <c r="X122" s="158"/>
    </row>
    <row r="123">
      <c r="A123" s="176"/>
      <c r="B123" s="177"/>
      <c r="C123" s="158"/>
      <c r="D123" s="158"/>
      <c r="E123" s="158"/>
      <c r="F123" s="158"/>
      <c r="G123" s="158"/>
      <c r="H123" s="158"/>
      <c r="I123" s="158"/>
      <c r="J123" s="158"/>
      <c r="K123" s="158"/>
      <c r="L123" s="158"/>
      <c r="M123" s="158"/>
      <c r="N123" s="158"/>
      <c r="O123" s="158"/>
      <c r="P123" s="158"/>
      <c r="Q123" s="158"/>
      <c r="R123" s="158"/>
      <c r="S123" s="158"/>
      <c r="T123" s="158"/>
      <c r="U123" s="158"/>
      <c r="V123" s="158"/>
      <c r="W123" s="158"/>
      <c r="X123" s="158"/>
    </row>
    <row r="124">
      <c r="A124" s="176"/>
      <c r="B124" s="177"/>
      <c r="C124" s="158"/>
      <c r="D124" s="158"/>
      <c r="E124" s="158"/>
      <c r="F124" s="158"/>
      <c r="G124" s="158"/>
      <c r="H124" s="158"/>
      <c r="I124" s="158"/>
      <c r="J124" s="158"/>
      <c r="K124" s="158"/>
      <c r="L124" s="158"/>
      <c r="M124" s="158"/>
      <c r="N124" s="158"/>
      <c r="O124" s="158"/>
      <c r="P124" s="158"/>
      <c r="Q124" s="158"/>
      <c r="R124" s="158"/>
      <c r="S124" s="158"/>
      <c r="T124" s="158"/>
      <c r="U124" s="158"/>
      <c r="V124" s="158"/>
      <c r="W124" s="158"/>
      <c r="X124" s="158"/>
    </row>
    <row r="125">
      <c r="A125" s="176"/>
      <c r="B125" s="177"/>
      <c r="C125" s="158"/>
      <c r="D125" s="158"/>
      <c r="E125" s="158"/>
      <c r="F125" s="158"/>
      <c r="G125" s="158"/>
      <c r="H125" s="158"/>
      <c r="I125" s="158"/>
      <c r="J125" s="158"/>
      <c r="K125" s="158"/>
      <c r="L125" s="158"/>
      <c r="M125" s="158"/>
      <c r="N125" s="158"/>
      <c r="O125" s="158"/>
      <c r="P125" s="158"/>
      <c r="Q125" s="158"/>
      <c r="R125" s="158"/>
      <c r="S125" s="158"/>
      <c r="T125" s="158"/>
      <c r="U125" s="158"/>
      <c r="V125" s="158"/>
      <c r="W125" s="158"/>
      <c r="X125" s="158"/>
    </row>
    <row r="126">
      <c r="A126" s="176"/>
      <c r="B126" s="177"/>
      <c r="C126" s="158"/>
      <c r="D126" s="158"/>
      <c r="E126" s="158"/>
      <c r="F126" s="158"/>
      <c r="G126" s="158"/>
      <c r="H126" s="158"/>
      <c r="I126" s="158"/>
      <c r="J126" s="158"/>
      <c r="K126" s="158"/>
      <c r="L126" s="158"/>
      <c r="M126" s="158"/>
      <c r="N126" s="158"/>
      <c r="O126" s="158"/>
      <c r="P126" s="158"/>
      <c r="Q126" s="158"/>
      <c r="R126" s="158"/>
      <c r="S126" s="158"/>
      <c r="T126" s="158"/>
      <c r="U126" s="158"/>
      <c r="V126" s="158"/>
      <c r="W126" s="158"/>
      <c r="X126" s="158"/>
    </row>
    <row r="127">
      <c r="A127" s="176"/>
      <c r="B127" s="177"/>
      <c r="C127" s="158"/>
      <c r="D127" s="158"/>
      <c r="E127" s="158"/>
      <c r="F127" s="158"/>
      <c r="G127" s="158"/>
      <c r="H127" s="158"/>
      <c r="I127" s="158"/>
      <c r="J127" s="158"/>
      <c r="K127" s="158"/>
      <c r="L127" s="158"/>
      <c r="M127" s="158"/>
      <c r="N127" s="158"/>
      <c r="O127" s="158"/>
      <c r="P127" s="158"/>
      <c r="Q127" s="158"/>
      <c r="R127" s="158"/>
      <c r="S127" s="158"/>
      <c r="T127" s="158"/>
      <c r="U127" s="158"/>
      <c r="V127" s="158"/>
      <c r="W127" s="158"/>
      <c r="X127" s="158"/>
    </row>
    <row r="128">
      <c r="A128" s="176"/>
      <c r="B128" s="177"/>
      <c r="C128" s="158"/>
      <c r="D128" s="158"/>
      <c r="E128" s="158"/>
      <c r="F128" s="158"/>
      <c r="G128" s="158"/>
      <c r="H128" s="158"/>
      <c r="I128" s="158"/>
      <c r="J128" s="158"/>
      <c r="K128" s="158"/>
      <c r="L128" s="158"/>
      <c r="M128" s="158"/>
      <c r="N128" s="158"/>
      <c r="O128" s="158"/>
      <c r="P128" s="158"/>
      <c r="Q128" s="158"/>
      <c r="R128" s="158"/>
      <c r="S128" s="158"/>
      <c r="T128" s="158"/>
      <c r="U128" s="158"/>
      <c r="V128" s="158"/>
      <c r="W128" s="158"/>
      <c r="X128" s="158"/>
    </row>
    <row r="129">
      <c r="A129" s="176"/>
      <c r="B129" s="177"/>
      <c r="C129" s="158"/>
      <c r="D129" s="158"/>
      <c r="E129" s="158"/>
      <c r="F129" s="158"/>
      <c r="G129" s="158"/>
      <c r="H129" s="158"/>
      <c r="I129" s="158"/>
      <c r="J129" s="158"/>
      <c r="K129" s="158"/>
      <c r="L129" s="158"/>
      <c r="M129" s="158"/>
      <c r="N129" s="158"/>
      <c r="O129" s="158"/>
      <c r="P129" s="158"/>
      <c r="Q129" s="158"/>
      <c r="R129" s="158"/>
      <c r="S129" s="158"/>
      <c r="T129" s="158"/>
      <c r="U129" s="158"/>
      <c r="V129" s="158"/>
      <c r="W129" s="158"/>
      <c r="X129" s="158"/>
    </row>
    <row r="130">
      <c r="A130" s="176"/>
      <c r="B130" s="177"/>
      <c r="C130" s="158"/>
      <c r="D130" s="158"/>
      <c r="E130" s="158"/>
      <c r="F130" s="158"/>
      <c r="G130" s="158"/>
      <c r="H130" s="158"/>
      <c r="I130" s="158"/>
      <c r="J130" s="158"/>
      <c r="K130" s="158"/>
      <c r="L130" s="158"/>
      <c r="M130" s="158"/>
      <c r="N130" s="158"/>
      <c r="O130" s="158"/>
      <c r="P130" s="158"/>
      <c r="Q130" s="158"/>
      <c r="R130" s="158"/>
      <c r="S130" s="158"/>
      <c r="T130" s="158"/>
      <c r="U130" s="158"/>
      <c r="V130" s="158"/>
      <c r="W130" s="158"/>
      <c r="X130" s="158"/>
    </row>
    <row r="131">
      <c r="A131" s="176"/>
      <c r="B131" s="177"/>
      <c r="C131" s="158"/>
      <c r="D131" s="158"/>
      <c r="E131" s="158"/>
      <c r="F131" s="158"/>
      <c r="G131" s="158"/>
      <c r="H131" s="158"/>
      <c r="I131" s="158"/>
      <c r="J131" s="158"/>
      <c r="K131" s="158"/>
      <c r="L131" s="158"/>
      <c r="M131" s="158"/>
      <c r="N131" s="158"/>
      <c r="O131" s="158"/>
      <c r="P131" s="158"/>
      <c r="Q131" s="158"/>
      <c r="R131" s="158"/>
      <c r="S131" s="158"/>
      <c r="T131" s="158"/>
      <c r="U131" s="158"/>
      <c r="V131" s="158"/>
      <c r="W131" s="158"/>
      <c r="X131" s="158"/>
    </row>
    <row r="132">
      <c r="A132" s="176"/>
      <c r="B132" s="177"/>
      <c r="C132" s="158"/>
      <c r="D132" s="158"/>
      <c r="E132" s="158"/>
      <c r="F132" s="158"/>
      <c r="G132" s="158"/>
      <c r="H132" s="158"/>
      <c r="I132" s="158"/>
      <c r="J132" s="158"/>
      <c r="K132" s="158"/>
      <c r="L132" s="158"/>
      <c r="M132" s="158"/>
      <c r="N132" s="158"/>
      <c r="O132" s="158"/>
      <c r="P132" s="158"/>
      <c r="Q132" s="158"/>
      <c r="R132" s="158"/>
      <c r="S132" s="158"/>
      <c r="T132" s="158"/>
      <c r="U132" s="158"/>
      <c r="V132" s="158"/>
      <c r="W132" s="158"/>
      <c r="X132" s="158"/>
    </row>
    <row r="133">
      <c r="A133" s="176"/>
      <c r="B133" s="177"/>
      <c r="C133" s="158"/>
      <c r="D133" s="158"/>
      <c r="E133" s="158"/>
      <c r="F133" s="158"/>
      <c r="G133" s="158"/>
      <c r="H133" s="158"/>
      <c r="I133" s="158"/>
      <c r="J133" s="158"/>
      <c r="K133" s="158"/>
      <c r="L133" s="158"/>
      <c r="M133" s="158"/>
      <c r="N133" s="158"/>
      <c r="O133" s="158"/>
      <c r="P133" s="158"/>
      <c r="Q133" s="158"/>
      <c r="R133" s="158"/>
      <c r="S133" s="158"/>
      <c r="T133" s="158"/>
      <c r="U133" s="158"/>
      <c r="V133" s="158"/>
      <c r="W133" s="158"/>
      <c r="X133" s="158"/>
    </row>
    <row r="134">
      <c r="A134" s="176"/>
      <c r="B134" s="177"/>
      <c r="C134" s="158"/>
      <c r="D134" s="158"/>
      <c r="E134" s="158"/>
      <c r="F134" s="158"/>
      <c r="G134" s="158"/>
      <c r="H134" s="158"/>
      <c r="I134" s="158"/>
      <c r="J134" s="158"/>
      <c r="K134" s="158"/>
      <c r="L134" s="158"/>
      <c r="M134" s="158"/>
      <c r="N134" s="158"/>
      <c r="O134" s="158"/>
      <c r="P134" s="158"/>
      <c r="Q134" s="158"/>
      <c r="R134" s="158"/>
      <c r="S134" s="158"/>
      <c r="T134" s="158"/>
      <c r="U134" s="158"/>
      <c r="V134" s="158"/>
      <c r="W134" s="158"/>
      <c r="X134" s="158"/>
    </row>
    <row r="135">
      <c r="A135" s="176"/>
      <c r="B135" s="177"/>
      <c r="C135" s="158"/>
      <c r="D135" s="158"/>
      <c r="E135" s="158"/>
      <c r="F135" s="158"/>
      <c r="G135" s="158"/>
      <c r="H135" s="158"/>
      <c r="I135" s="158"/>
      <c r="J135" s="158"/>
      <c r="K135" s="158"/>
      <c r="L135" s="158"/>
      <c r="M135" s="158"/>
      <c r="N135" s="158"/>
      <c r="O135" s="158"/>
      <c r="P135" s="158"/>
      <c r="Q135" s="158"/>
      <c r="R135" s="158"/>
      <c r="S135" s="158"/>
      <c r="T135" s="158"/>
      <c r="U135" s="158"/>
      <c r="V135" s="158"/>
      <c r="W135" s="158"/>
      <c r="X135" s="158"/>
    </row>
    <row r="136">
      <c r="A136" s="176"/>
      <c r="B136" s="177"/>
      <c r="C136" s="158"/>
      <c r="D136" s="158"/>
      <c r="E136" s="158"/>
      <c r="F136" s="158"/>
      <c r="G136" s="158"/>
      <c r="H136" s="158"/>
      <c r="I136" s="158"/>
      <c r="J136" s="158"/>
      <c r="K136" s="158"/>
      <c r="L136" s="158"/>
      <c r="M136" s="158"/>
      <c r="N136" s="158"/>
      <c r="O136" s="158"/>
      <c r="P136" s="158"/>
      <c r="Q136" s="158"/>
      <c r="R136" s="158"/>
      <c r="S136" s="158"/>
      <c r="T136" s="158"/>
      <c r="U136" s="158"/>
      <c r="V136" s="158"/>
      <c r="W136" s="158"/>
      <c r="X136" s="158"/>
    </row>
    <row r="137">
      <c r="A137" s="176"/>
      <c r="B137" s="177"/>
      <c r="C137" s="158"/>
      <c r="D137" s="158"/>
      <c r="E137" s="158"/>
      <c r="F137" s="158"/>
      <c r="G137" s="158"/>
      <c r="H137" s="158"/>
      <c r="I137" s="158"/>
      <c r="J137" s="158"/>
      <c r="K137" s="158"/>
      <c r="L137" s="158"/>
      <c r="M137" s="158"/>
      <c r="N137" s="158"/>
      <c r="O137" s="158"/>
      <c r="P137" s="158"/>
      <c r="Q137" s="158"/>
      <c r="R137" s="158"/>
      <c r="S137" s="158"/>
      <c r="T137" s="158"/>
      <c r="U137" s="158"/>
      <c r="V137" s="158"/>
      <c r="W137" s="158"/>
      <c r="X137" s="158"/>
    </row>
    <row r="138">
      <c r="A138" s="176"/>
      <c r="B138" s="177"/>
      <c r="C138" s="158"/>
      <c r="D138" s="158"/>
      <c r="E138" s="158"/>
      <c r="F138" s="158"/>
      <c r="G138" s="158"/>
      <c r="H138" s="158"/>
      <c r="I138" s="158"/>
      <c r="J138" s="158"/>
      <c r="K138" s="158"/>
      <c r="L138" s="158"/>
      <c r="M138" s="158"/>
      <c r="N138" s="158"/>
      <c r="O138" s="158"/>
      <c r="P138" s="158"/>
      <c r="Q138" s="158"/>
      <c r="R138" s="158"/>
      <c r="S138" s="158"/>
      <c r="T138" s="158"/>
      <c r="U138" s="158"/>
      <c r="V138" s="158"/>
      <c r="W138" s="158"/>
      <c r="X138" s="158"/>
    </row>
    <row r="139">
      <c r="A139" s="176"/>
      <c r="B139" s="177"/>
      <c r="C139" s="158"/>
      <c r="D139" s="158"/>
      <c r="E139" s="158"/>
      <c r="G139" s="158"/>
      <c r="H139" s="158"/>
      <c r="I139" s="158"/>
      <c r="J139" s="158"/>
      <c r="K139" s="158"/>
      <c r="L139" s="158"/>
      <c r="M139" s="158"/>
      <c r="N139" s="158"/>
      <c r="O139" s="158"/>
      <c r="P139" s="158"/>
      <c r="Q139" s="158"/>
      <c r="R139" s="158"/>
      <c r="S139" s="158"/>
      <c r="T139" s="158"/>
      <c r="U139" s="158"/>
      <c r="V139" s="158"/>
      <c r="W139" s="158"/>
      <c r="X139" s="158"/>
    </row>
    <row r="140">
      <c r="A140" s="176"/>
      <c r="B140" s="177"/>
      <c r="C140" s="158"/>
      <c r="D140" s="158"/>
      <c r="E140" s="158"/>
      <c r="G140" s="158"/>
      <c r="H140" s="158"/>
      <c r="I140" s="158"/>
      <c r="J140" s="158"/>
      <c r="K140" s="158"/>
      <c r="L140" s="158"/>
      <c r="M140" s="158"/>
      <c r="N140" s="158"/>
      <c r="O140" s="158"/>
      <c r="P140" s="158"/>
      <c r="Q140" s="158"/>
      <c r="R140" s="158"/>
      <c r="S140" s="158"/>
      <c r="T140" s="158"/>
      <c r="U140" s="158"/>
      <c r="V140" s="158"/>
      <c r="W140" s="158"/>
      <c r="X140" s="158"/>
    </row>
    <row r="141">
      <c r="A141" s="176"/>
      <c r="B141" s="177"/>
      <c r="C141" s="158"/>
      <c r="D141" s="158"/>
      <c r="E141" s="158"/>
      <c r="G141" s="158"/>
      <c r="H141" s="158"/>
      <c r="I141" s="158"/>
      <c r="J141" s="158"/>
      <c r="K141" s="158"/>
      <c r="L141" s="158"/>
      <c r="M141" s="158"/>
      <c r="N141" s="158"/>
      <c r="O141" s="158"/>
      <c r="P141" s="158"/>
      <c r="Q141" s="158"/>
      <c r="R141" s="158"/>
      <c r="S141" s="158"/>
      <c r="T141" s="158"/>
      <c r="U141" s="158"/>
      <c r="V141" s="158"/>
      <c r="W141" s="158"/>
      <c r="X141" s="158"/>
    </row>
    <row r="142">
      <c r="A142" s="176"/>
      <c r="B142" s="177"/>
      <c r="C142" s="158"/>
      <c r="D142" s="158"/>
      <c r="E142" s="158"/>
      <c r="F142" s="158"/>
      <c r="G142" s="158"/>
      <c r="H142" s="158"/>
      <c r="I142" s="158"/>
      <c r="J142" s="158"/>
      <c r="K142" s="158"/>
      <c r="L142" s="158"/>
      <c r="M142" s="158"/>
      <c r="N142" s="158"/>
      <c r="O142" s="158"/>
      <c r="P142" s="158"/>
      <c r="Q142" s="158"/>
      <c r="R142" s="158"/>
      <c r="S142" s="158"/>
      <c r="T142" s="158"/>
      <c r="U142" s="158"/>
      <c r="V142" s="158"/>
      <c r="W142" s="158"/>
      <c r="X142" s="158"/>
    </row>
    <row r="143">
      <c r="A143" s="176"/>
      <c r="B143" s="177"/>
      <c r="C143" s="158"/>
      <c r="D143" s="158"/>
      <c r="E143" s="158"/>
      <c r="F143" s="158"/>
      <c r="G143" s="158"/>
      <c r="H143" s="158"/>
      <c r="I143" s="158"/>
      <c r="J143" s="158"/>
      <c r="K143" s="158"/>
      <c r="L143" s="158"/>
      <c r="M143" s="158"/>
      <c r="N143" s="158"/>
      <c r="O143" s="158"/>
      <c r="P143" s="158"/>
      <c r="Q143" s="158"/>
      <c r="R143" s="158"/>
      <c r="S143" s="158"/>
      <c r="T143" s="158"/>
      <c r="U143" s="158"/>
      <c r="V143" s="158"/>
      <c r="W143" s="158"/>
      <c r="X143" s="158"/>
    </row>
    <row r="144">
      <c r="A144" s="176"/>
      <c r="B144" s="177"/>
      <c r="C144" s="158"/>
      <c r="D144" s="158"/>
      <c r="E144" s="158"/>
      <c r="F144" s="158"/>
      <c r="G144" s="158"/>
      <c r="H144" s="158"/>
      <c r="I144" s="158"/>
      <c r="J144" s="158"/>
      <c r="K144" s="158"/>
      <c r="L144" s="158"/>
      <c r="M144" s="158"/>
      <c r="N144" s="158"/>
      <c r="O144" s="158"/>
      <c r="P144" s="158"/>
      <c r="Q144" s="158"/>
      <c r="R144" s="158"/>
      <c r="S144" s="158"/>
      <c r="T144" s="158"/>
      <c r="U144" s="158"/>
      <c r="V144" s="158"/>
      <c r="W144" s="158"/>
      <c r="X144" s="158"/>
    </row>
    <row r="145">
      <c r="A145" s="176"/>
      <c r="B145" s="177"/>
      <c r="C145" s="158"/>
      <c r="D145" s="158"/>
      <c r="E145" s="158"/>
      <c r="F145" s="158"/>
      <c r="G145" s="158"/>
      <c r="H145" s="158"/>
      <c r="I145" s="158"/>
      <c r="J145" s="158"/>
      <c r="K145" s="158"/>
      <c r="L145" s="158"/>
      <c r="M145" s="158"/>
      <c r="N145" s="158"/>
      <c r="O145" s="158"/>
      <c r="P145" s="158"/>
      <c r="Q145" s="158"/>
      <c r="R145" s="158"/>
      <c r="S145" s="158"/>
      <c r="T145" s="158"/>
      <c r="U145" s="158"/>
      <c r="V145" s="158"/>
      <c r="W145" s="158"/>
      <c r="X145" s="158"/>
    </row>
    <row r="146">
      <c r="A146" s="176"/>
      <c r="B146" s="177"/>
      <c r="C146" s="158"/>
      <c r="D146" s="158"/>
      <c r="E146" s="158"/>
      <c r="F146" s="158"/>
      <c r="G146" s="158"/>
      <c r="H146" s="158"/>
      <c r="I146" s="158"/>
      <c r="J146" s="158"/>
      <c r="K146" s="158"/>
      <c r="L146" s="158"/>
      <c r="M146" s="158"/>
      <c r="N146" s="158"/>
      <c r="O146" s="158"/>
      <c r="P146" s="158"/>
      <c r="Q146" s="158"/>
      <c r="R146" s="158"/>
      <c r="S146" s="158"/>
      <c r="T146" s="158"/>
      <c r="U146" s="158"/>
      <c r="V146" s="158"/>
      <c r="W146" s="158"/>
      <c r="X146" s="158"/>
    </row>
    <row r="147">
      <c r="A147" s="176"/>
      <c r="B147" s="177"/>
      <c r="C147" s="158"/>
      <c r="D147" s="158"/>
      <c r="E147" s="158"/>
      <c r="F147" s="158"/>
      <c r="G147" s="158"/>
      <c r="H147" s="158"/>
      <c r="I147" s="158"/>
      <c r="J147" s="158"/>
      <c r="K147" s="158"/>
      <c r="L147" s="158"/>
      <c r="M147" s="158"/>
      <c r="N147" s="158"/>
      <c r="O147" s="158"/>
      <c r="P147" s="158"/>
      <c r="Q147" s="158"/>
      <c r="R147" s="158"/>
      <c r="S147" s="158"/>
      <c r="T147" s="158"/>
      <c r="U147" s="158"/>
      <c r="V147" s="158"/>
      <c r="W147" s="158"/>
      <c r="X147" s="158"/>
    </row>
    <row r="148">
      <c r="A148" s="176"/>
      <c r="B148" s="177"/>
      <c r="C148" s="158"/>
      <c r="D148" s="158"/>
      <c r="E148" s="158"/>
      <c r="F148" s="158"/>
      <c r="G148" s="158"/>
      <c r="H148" s="158"/>
      <c r="I148" s="158"/>
      <c r="J148" s="158"/>
      <c r="K148" s="158"/>
      <c r="L148" s="158"/>
      <c r="M148" s="158"/>
      <c r="N148" s="158"/>
      <c r="O148" s="158"/>
      <c r="P148" s="158"/>
      <c r="Q148" s="158"/>
      <c r="R148" s="158"/>
      <c r="S148" s="158"/>
      <c r="T148" s="158"/>
      <c r="U148" s="158"/>
      <c r="V148" s="158"/>
      <c r="W148" s="158"/>
      <c r="X148" s="158"/>
    </row>
    <row r="149">
      <c r="A149" s="176"/>
      <c r="B149" s="177"/>
      <c r="C149" s="158"/>
      <c r="D149" s="158"/>
      <c r="E149" s="158"/>
      <c r="F149" s="158"/>
      <c r="G149" s="158"/>
      <c r="H149" s="158"/>
      <c r="I149" s="158"/>
      <c r="J149" s="158"/>
      <c r="K149" s="158"/>
      <c r="L149" s="158"/>
      <c r="M149" s="158"/>
      <c r="N149" s="158"/>
      <c r="O149" s="158"/>
      <c r="P149" s="158"/>
      <c r="Q149" s="158"/>
      <c r="R149" s="158"/>
      <c r="S149" s="158"/>
      <c r="T149" s="158"/>
      <c r="U149" s="158"/>
      <c r="V149" s="158"/>
      <c r="W149" s="158"/>
      <c r="X149" s="158"/>
    </row>
    <row r="150">
      <c r="A150" s="176"/>
      <c r="B150" s="177"/>
      <c r="C150" s="158"/>
      <c r="D150" s="158"/>
      <c r="E150" s="158"/>
      <c r="F150" s="158"/>
      <c r="G150" s="158"/>
      <c r="H150" s="158"/>
      <c r="I150" s="158"/>
      <c r="J150" s="158"/>
      <c r="K150" s="158"/>
      <c r="L150" s="158"/>
      <c r="M150" s="158"/>
      <c r="N150" s="158"/>
      <c r="O150" s="158"/>
      <c r="P150" s="158"/>
      <c r="Q150" s="158"/>
      <c r="R150" s="158"/>
      <c r="S150" s="158"/>
      <c r="T150" s="158"/>
      <c r="U150" s="158"/>
      <c r="V150" s="158"/>
      <c r="W150" s="158"/>
      <c r="X150" s="158"/>
    </row>
    <row r="151">
      <c r="A151" s="176"/>
      <c r="B151" s="177"/>
      <c r="C151" s="158"/>
      <c r="D151" s="158"/>
      <c r="E151" s="158"/>
      <c r="F151" s="158"/>
      <c r="G151" s="158"/>
      <c r="H151" s="158"/>
      <c r="I151" s="158"/>
      <c r="J151" s="158"/>
      <c r="K151" s="158"/>
      <c r="L151" s="158"/>
      <c r="M151" s="158"/>
      <c r="N151" s="158"/>
      <c r="O151" s="158"/>
      <c r="P151" s="158"/>
      <c r="Q151" s="158"/>
      <c r="R151" s="158"/>
      <c r="S151" s="158"/>
      <c r="T151" s="158"/>
      <c r="U151" s="158"/>
      <c r="V151" s="158"/>
      <c r="W151" s="158"/>
      <c r="X151" s="158"/>
    </row>
    <row r="152">
      <c r="A152" s="176"/>
      <c r="B152" s="177"/>
      <c r="C152" s="158"/>
      <c r="D152" s="158"/>
      <c r="E152" s="158"/>
      <c r="F152" s="158"/>
      <c r="G152" s="158"/>
      <c r="H152" s="158"/>
      <c r="I152" s="158"/>
      <c r="J152" s="158"/>
      <c r="K152" s="158"/>
      <c r="L152" s="158"/>
      <c r="M152" s="158"/>
      <c r="N152" s="158"/>
      <c r="O152" s="158"/>
      <c r="P152" s="158"/>
      <c r="Q152" s="158"/>
      <c r="R152" s="158"/>
      <c r="S152" s="158"/>
      <c r="T152" s="158"/>
      <c r="U152" s="158"/>
      <c r="V152" s="158"/>
      <c r="W152" s="158"/>
      <c r="X152" s="158"/>
    </row>
    <row r="153">
      <c r="A153" s="176"/>
      <c r="B153" s="177"/>
      <c r="C153" s="158"/>
      <c r="D153" s="158"/>
      <c r="E153" s="158"/>
      <c r="F153" s="158"/>
      <c r="G153" s="158"/>
      <c r="H153" s="158"/>
      <c r="I153" s="158"/>
      <c r="J153" s="158"/>
      <c r="K153" s="158"/>
      <c r="L153" s="158"/>
      <c r="M153" s="158"/>
      <c r="N153" s="158"/>
      <c r="O153" s="158"/>
      <c r="P153" s="158"/>
      <c r="Q153" s="158"/>
      <c r="R153" s="158"/>
      <c r="S153" s="158"/>
      <c r="T153" s="158"/>
      <c r="U153" s="158"/>
      <c r="V153" s="158"/>
      <c r="W153" s="158"/>
      <c r="X153" s="158"/>
    </row>
    <row r="154">
      <c r="A154" s="176"/>
      <c r="B154" s="177"/>
      <c r="C154" s="158"/>
      <c r="D154" s="158"/>
      <c r="E154" s="158"/>
      <c r="F154" s="158"/>
      <c r="G154" s="158"/>
      <c r="H154" s="158"/>
      <c r="I154" s="158"/>
      <c r="J154" s="158"/>
      <c r="K154" s="158"/>
      <c r="L154" s="158"/>
      <c r="M154" s="158"/>
      <c r="N154" s="158"/>
      <c r="O154" s="158"/>
      <c r="P154" s="158"/>
      <c r="Q154" s="158"/>
      <c r="R154" s="158"/>
      <c r="S154" s="158"/>
      <c r="T154" s="158"/>
      <c r="U154" s="158"/>
      <c r="V154" s="158"/>
      <c r="W154" s="158"/>
      <c r="X154" s="158"/>
    </row>
    <row r="155">
      <c r="A155" s="176"/>
      <c r="B155" s="177"/>
      <c r="C155" s="158"/>
      <c r="D155" s="158"/>
      <c r="E155" s="158"/>
      <c r="F155" s="158"/>
      <c r="G155" s="158"/>
      <c r="H155" s="158"/>
      <c r="I155" s="158"/>
      <c r="J155" s="158"/>
      <c r="K155" s="158"/>
      <c r="L155" s="158"/>
      <c r="M155" s="158"/>
      <c r="N155" s="158"/>
      <c r="O155" s="158"/>
      <c r="P155" s="158"/>
      <c r="Q155" s="158"/>
      <c r="R155" s="158"/>
      <c r="S155" s="158"/>
      <c r="T155" s="158"/>
      <c r="U155" s="158"/>
      <c r="V155" s="158"/>
      <c r="W155" s="158"/>
      <c r="X155" s="158"/>
    </row>
    <row r="156">
      <c r="A156" s="176"/>
      <c r="B156" s="177"/>
      <c r="C156" s="158"/>
      <c r="D156" s="158"/>
      <c r="E156" s="158"/>
      <c r="F156" s="158"/>
      <c r="G156" s="158"/>
      <c r="H156" s="158"/>
      <c r="I156" s="158"/>
      <c r="J156" s="158"/>
      <c r="K156" s="158"/>
      <c r="L156" s="158"/>
      <c r="M156" s="158"/>
      <c r="N156" s="158"/>
      <c r="O156" s="158"/>
      <c r="P156" s="158"/>
      <c r="Q156" s="158"/>
      <c r="R156" s="158"/>
      <c r="S156" s="158"/>
      <c r="T156" s="158"/>
      <c r="U156" s="158"/>
      <c r="V156" s="158"/>
      <c r="W156" s="158"/>
      <c r="X156" s="158"/>
    </row>
    <row r="157">
      <c r="A157" s="176"/>
      <c r="B157" s="177"/>
      <c r="C157" s="158"/>
      <c r="D157" s="158"/>
      <c r="E157" s="158"/>
      <c r="F157" s="158"/>
      <c r="G157" s="158"/>
      <c r="H157" s="158"/>
      <c r="I157" s="158"/>
      <c r="J157" s="158"/>
      <c r="K157" s="158"/>
      <c r="L157" s="158"/>
      <c r="M157" s="158"/>
      <c r="N157" s="158"/>
      <c r="O157" s="158"/>
      <c r="P157" s="158"/>
      <c r="Q157" s="158"/>
      <c r="R157" s="158"/>
      <c r="S157" s="158"/>
      <c r="T157" s="158"/>
      <c r="U157" s="158"/>
      <c r="V157" s="158"/>
      <c r="W157" s="158"/>
      <c r="X157" s="158"/>
    </row>
    <row r="158">
      <c r="A158" s="176"/>
      <c r="B158" s="177"/>
      <c r="C158" s="158"/>
      <c r="D158" s="158"/>
      <c r="E158" s="158"/>
      <c r="F158" s="158"/>
      <c r="G158" s="158"/>
      <c r="H158" s="158"/>
      <c r="I158" s="158"/>
      <c r="J158" s="158"/>
      <c r="K158" s="158"/>
      <c r="L158" s="158"/>
      <c r="M158" s="158"/>
      <c r="N158" s="158"/>
      <c r="O158" s="158"/>
      <c r="P158" s="158"/>
      <c r="Q158" s="158"/>
      <c r="R158" s="158"/>
      <c r="S158" s="158"/>
      <c r="T158" s="158"/>
      <c r="U158" s="158"/>
      <c r="V158" s="158"/>
      <c r="W158" s="158"/>
      <c r="X158" s="158"/>
    </row>
    <row r="159">
      <c r="A159" s="176"/>
      <c r="B159" s="177"/>
      <c r="C159" s="158"/>
      <c r="D159" s="158"/>
      <c r="E159" s="158"/>
      <c r="F159" s="158"/>
      <c r="G159" s="158"/>
      <c r="H159" s="158"/>
      <c r="I159" s="158"/>
      <c r="J159" s="158"/>
      <c r="K159" s="158"/>
      <c r="L159" s="158"/>
      <c r="M159" s="158"/>
      <c r="N159" s="158"/>
      <c r="O159" s="158"/>
      <c r="P159" s="158"/>
      <c r="Q159" s="158"/>
      <c r="R159" s="158"/>
      <c r="S159" s="158"/>
      <c r="T159" s="158"/>
      <c r="U159" s="158"/>
      <c r="V159" s="158"/>
      <c r="W159" s="158"/>
      <c r="X159" s="158"/>
    </row>
    <row r="160">
      <c r="A160" s="176"/>
      <c r="B160" s="177"/>
      <c r="C160" s="158"/>
      <c r="D160" s="158"/>
      <c r="E160" s="158"/>
      <c r="F160" s="158"/>
      <c r="G160" s="158"/>
      <c r="H160" s="158"/>
      <c r="I160" s="158"/>
      <c r="J160" s="158"/>
      <c r="K160" s="158"/>
      <c r="L160" s="158"/>
      <c r="M160" s="158"/>
      <c r="N160" s="158"/>
      <c r="O160" s="158"/>
      <c r="P160" s="158"/>
      <c r="Q160" s="158"/>
      <c r="R160" s="158"/>
      <c r="S160" s="158"/>
      <c r="T160" s="158"/>
      <c r="U160" s="158"/>
      <c r="V160" s="158"/>
      <c r="W160" s="158"/>
      <c r="X160" s="158"/>
    </row>
    <row r="161">
      <c r="A161" s="176"/>
      <c r="B161" s="177"/>
      <c r="C161" s="158"/>
      <c r="D161" s="158"/>
      <c r="E161" s="158"/>
      <c r="F161" s="158"/>
      <c r="G161" s="158"/>
      <c r="H161" s="158"/>
      <c r="I161" s="158"/>
      <c r="J161" s="158"/>
      <c r="K161" s="158"/>
      <c r="L161" s="158"/>
      <c r="M161" s="158"/>
      <c r="N161" s="158"/>
      <c r="O161" s="158"/>
      <c r="P161" s="158"/>
      <c r="Q161" s="158"/>
      <c r="R161" s="158"/>
      <c r="S161" s="158"/>
      <c r="T161" s="158"/>
      <c r="U161" s="158"/>
      <c r="V161" s="158"/>
      <c r="W161" s="158"/>
      <c r="X161" s="158"/>
    </row>
    <row r="162">
      <c r="A162" s="176"/>
      <c r="B162" s="177"/>
      <c r="C162" s="158"/>
      <c r="D162" s="158"/>
      <c r="E162" s="158"/>
      <c r="G162" s="158"/>
      <c r="H162" s="158"/>
      <c r="I162" s="158"/>
      <c r="J162" s="158"/>
      <c r="K162" s="158"/>
      <c r="L162" s="158"/>
      <c r="M162" s="158"/>
      <c r="N162" s="158"/>
      <c r="O162" s="158"/>
      <c r="P162" s="158"/>
      <c r="Q162" s="158"/>
      <c r="R162" s="158"/>
      <c r="S162" s="158"/>
      <c r="T162" s="158"/>
      <c r="U162" s="158"/>
      <c r="V162" s="158"/>
      <c r="W162" s="158"/>
      <c r="X162" s="158"/>
    </row>
    <row r="163">
      <c r="A163" s="176"/>
      <c r="B163" s="177"/>
      <c r="C163" s="158"/>
      <c r="D163" s="158"/>
      <c r="E163" s="158"/>
      <c r="F163" s="158"/>
      <c r="G163" s="158"/>
      <c r="H163" s="158"/>
      <c r="I163" s="158"/>
      <c r="J163" s="158"/>
      <c r="K163" s="158"/>
      <c r="L163" s="158"/>
      <c r="M163" s="158"/>
      <c r="N163" s="158"/>
      <c r="O163" s="158"/>
      <c r="P163" s="158"/>
      <c r="Q163" s="158"/>
      <c r="R163" s="158"/>
      <c r="S163" s="158"/>
      <c r="T163" s="158"/>
      <c r="U163" s="158"/>
      <c r="V163" s="158"/>
      <c r="W163" s="158"/>
      <c r="X163" s="158"/>
    </row>
    <row r="164">
      <c r="A164" s="176"/>
      <c r="B164" s="177"/>
      <c r="C164" s="158"/>
      <c r="D164" s="158"/>
      <c r="E164" s="158"/>
      <c r="F164" s="158"/>
      <c r="G164" s="158"/>
      <c r="H164" s="158"/>
      <c r="I164" s="158"/>
      <c r="J164" s="158"/>
      <c r="K164" s="158"/>
      <c r="L164" s="158"/>
      <c r="M164" s="158"/>
      <c r="N164" s="158"/>
      <c r="O164" s="158"/>
      <c r="P164" s="158"/>
      <c r="Q164" s="158"/>
      <c r="R164" s="158"/>
      <c r="S164" s="158"/>
      <c r="T164" s="158"/>
      <c r="U164" s="158"/>
      <c r="V164" s="158"/>
      <c r="W164" s="158"/>
      <c r="X164" s="158"/>
    </row>
    <row r="165">
      <c r="A165" s="176"/>
      <c r="B165" s="177"/>
      <c r="C165" s="158"/>
      <c r="D165" s="158"/>
      <c r="E165" s="158"/>
      <c r="F165" s="158"/>
      <c r="G165" s="158"/>
      <c r="H165" s="158"/>
      <c r="I165" s="158"/>
      <c r="J165" s="158"/>
      <c r="K165" s="158"/>
      <c r="L165" s="158"/>
      <c r="M165" s="158"/>
      <c r="N165" s="158"/>
      <c r="O165" s="158"/>
      <c r="P165" s="158"/>
      <c r="Q165" s="158"/>
      <c r="R165" s="158"/>
      <c r="S165" s="158"/>
      <c r="T165" s="158"/>
      <c r="U165" s="158"/>
      <c r="V165" s="158"/>
      <c r="W165" s="158"/>
      <c r="X165" s="158"/>
    </row>
    <row r="166">
      <c r="A166" s="176"/>
      <c r="B166" s="177"/>
      <c r="C166" s="158"/>
      <c r="D166" s="158"/>
      <c r="E166" s="158"/>
      <c r="F166" s="158"/>
      <c r="G166" s="158"/>
      <c r="H166" s="158"/>
      <c r="I166" s="158"/>
      <c r="J166" s="158"/>
      <c r="K166" s="158"/>
      <c r="L166" s="158"/>
      <c r="M166" s="158"/>
      <c r="N166" s="158"/>
      <c r="O166" s="158"/>
      <c r="P166" s="158"/>
      <c r="Q166" s="158"/>
      <c r="R166" s="158"/>
      <c r="S166" s="158"/>
      <c r="T166" s="158"/>
      <c r="U166" s="158"/>
      <c r="V166" s="158"/>
      <c r="W166" s="158"/>
      <c r="X166" s="158"/>
    </row>
    <row r="167">
      <c r="A167" s="176"/>
      <c r="B167" s="177"/>
      <c r="C167" s="158"/>
      <c r="D167" s="158"/>
      <c r="E167" s="158"/>
      <c r="F167" s="158"/>
      <c r="G167" s="158"/>
      <c r="H167" s="158"/>
      <c r="I167" s="158"/>
      <c r="J167" s="158"/>
      <c r="K167" s="158"/>
      <c r="L167" s="158"/>
      <c r="M167" s="158"/>
      <c r="N167" s="158"/>
      <c r="O167" s="158"/>
      <c r="P167" s="158"/>
      <c r="Q167" s="158"/>
      <c r="R167" s="158"/>
      <c r="S167" s="158"/>
      <c r="T167" s="158"/>
      <c r="U167" s="158"/>
      <c r="V167" s="158"/>
      <c r="W167" s="158"/>
      <c r="X167" s="158"/>
    </row>
    <row r="168">
      <c r="A168" s="176"/>
      <c r="B168" s="177"/>
      <c r="C168" s="158"/>
      <c r="D168" s="158"/>
      <c r="E168" s="158"/>
      <c r="F168" s="158"/>
      <c r="G168" s="158"/>
      <c r="H168" s="158"/>
      <c r="I168" s="158"/>
      <c r="J168" s="158"/>
      <c r="K168" s="158"/>
      <c r="L168" s="158"/>
      <c r="M168" s="158"/>
      <c r="N168" s="158"/>
      <c r="O168" s="158"/>
      <c r="P168" s="158"/>
      <c r="Q168" s="158"/>
      <c r="R168" s="158"/>
      <c r="S168" s="158"/>
      <c r="T168" s="158"/>
      <c r="U168" s="158"/>
      <c r="V168" s="158"/>
      <c r="W168" s="158"/>
      <c r="X168" s="158"/>
    </row>
    <row r="169">
      <c r="A169" s="176"/>
      <c r="B169" s="177"/>
      <c r="C169" s="158"/>
      <c r="D169" s="158"/>
      <c r="E169" s="158"/>
      <c r="F169" s="158"/>
      <c r="G169" s="158"/>
      <c r="H169" s="158"/>
      <c r="I169" s="158"/>
      <c r="J169" s="158"/>
      <c r="K169" s="158"/>
      <c r="L169" s="158"/>
      <c r="M169" s="158"/>
      <c r="N169" s="158"/>
      <c r="O169" s="158"/>
      <c r="P169" s="158"/>
      <c r="Q169" s="158"/>
      <c r="R169" s="158"/>
      <c r="S169" s="158"/>
      <c r="T169" s="158"/>
      <c r="U169" s="158"/>
      <c r="V169" s="158"/>
      <c r="W169" s="158"/>
      <c r="X169" s="158"/>
    </row>
    <row r="170">
      <c r="A170" s="176"/>
      <c r="B170" s="177"/>
      <c r="C170" s="158"/>
      <c r="D170" s="158"/>
      <c r="E170" s="158"/>
      <c r="G170" s="158"/>
      <c r="H170" s="158"/>
      <c r="I170" s="158"/>
      <c r="J170" s="158"/>
      <c r="K170" s="158"/>
      <c r="L170" s="158"/>
      <c r="M170" s="158"/>
      <c r="N170" s="158"/>
      <c r="O170" s="158"/>
      <c r="P170" s="158"/>
      <c r="Q170" s="158"/>
      <c r="R170" s="158"/>
      <c r="S170" s="158"/>
      <c r="T170" s="158"/>
      <c r="U170" s="158"/>
      <c r="V170" s="158"/>
      <c r="W170" s="158"/>
      <c r="X170" s="158"/>
    </row>
    <row r="171">
      <c r="A171" s="176"/>
      <c r="B171" s="177"/>
      <c r="C171" s="158"/>
      <c r="D171" s="158"/>
      <c r="E171" s="158"/>
      <c r="G171" s="158"/>
      <c r="H171" s="158"/>
      <c r="I171" s="158"/>
      <c r="J171" s="158"/>
      <c r="K171" s="158"/>
      <c r="L171" s="158"/>
      <c r="M171" s="158"/>
      <c r="N171" s="158"/>
      <c r="O171" s="158"/>
      <c r="P171" s="158"/>
      <c r="Q171" s="158"/>
      <c r="R171" s="158"/>
      <c r="S171" s="158"/>
      <c r="T171" s="158"/>
      <c r="U171" s="158"/>
      <c r="V171" s="158"/>
      <c r="W171" s="158"/>
      <c r="X171" s="158"/>
    </row>
    <row r="172">
      <c r="A172" s="176"/>
      <c r="B172" s="177"/>
      <c r="C172" s="158"/>
      <c r="D172" s="158"/>
      <c r="E172" s="158"/>
      <c r="G172" s="158"/>
      <c r="H172" s="158"/>
      <c r="I172" s="158"/>
      <c r="J172" s="158"/>
      <c r="K172" s="158"/>
      <c r="L172" s="158"/>
      <c r="M172" s="158"/>
      <c r="N172" s="158"/>
      <c r="O172" s="158"/>
      <c r="P172" s="158"/>
      <c r="Q172" s="158"/>
      <c r="R172" s="158"/>
      <c r="S172" s="158"/>
      <c r="T172" s="158"/>
      <c r="U172" s="158"/>
      <c r="V172" s="158"/>
      <c r="W172" s="158"/>
      <c r="X172" s="158"/>
    </row>
    <row r="173">
      <c r="A173" s="176"/>
      <c r="B173" s="177"/>
      <c r="C173" s="158"/>
      <c r="D173" s="158"/>
      <c r="E173" s="158"/>
      <c r="G173" s="158"/>
      <c r="H173" s="158"/>
      <c r="I173" s="158"/>
      <c r="J173" s="158"/>
      <c r="K173" s="158"/>
      <c r="L173" s="158"/>
      <c r="M173" s="158"/>
      <c r="N173" s="158"/>
      <c r="O173" s="158"/>
      <c r="P173" s="158"/>
      <c r="Q173" s="158"/>
      <c r="R173" s="158"/>
      <c r="S173" s="158"/>
      <c r="T173" s="158"/>
      <c r="U173" s="158"/>
      <c r="V173" s="158"/>
      <c r="W173" s="158"/>
      <c r="X173" s="158"/>
    </row>
    <row r="174">
      <c r="A174" s="176"/>
      <c r="B174" s="177"/>
      <c r="C174" s="158"/>
      <c r="D174" s="158"/>
      <c r="E174" s="158"/>
      <c r="G174" s="158"/>
      <c r="H174" s="158"/>
      <c r="I174" s="158"/>
      <c r="J174" s="158"/>
      <c r="K174" s="158"/>
      <c r="L174" s="158"/>
      <c r="M174" s="158"/>
      <c r="N174" s="158"/>
      <c r="O174" s="158"/>
      <c r="P174" s="158"/>
      <c r="Q174" s="158"/>
      <c r="R174" s="158"/>
      <c r="S174" s="158"/>
      <c r="T174" s="158"/>
      <c r="U174" s="158"/>
      <c r="V174" s="158"/>
      <c r="W174" s="158"/>
      <c r="X174" s="158"/>
    </row>
    <row r="175">
      <c r="A175" s="176"/>
      <c r="B175" s="177"/>
      <c r="C175" s="158"/>
      <c r="D175" s="158"/>
      <c r="E175" s="158"/>
      <c r="G175" s="158"/>
      <c r="H175" s="158"/>
      <c r="I175" s="158"/>
      <c r="J175" s="158"/>
      <c r="K175" s="158"/>
      <c r="L175" s="158"/>
      <c r="M175" s="158"/>
      <c r="N175" s="158"/>
      <c r="O175" s="158"/>
      <c r="P175" s="158"/>
      <c r="Q175" s="158"/>
      <c r="R175" s="158"/>
      <c r="S175" s="158"/>
      <c r="T175" s="158"/>
      <c r="U175" s="158"/>
      <c r="V175" s="158"/>
      <c r="W175" s="158"/>
      <c r="X175" s="158"/>
    </row>
    <row r="176">
      <c r="A176" s="176"/>
      <c r="B176" s="177"/>
      <c r="C176" s="158"/>
      <c r="D176" s="158"/>
      <c r="E176" s="158"/>
      <c r="F176" s="158"/>
      <c r="G176" s="158"/>
      <c r="H176" s="158"/>
      <c r="I176" s="158"/>
      <c r="J176" s="158"/>
      <c r="K176" s="158"/>
      <c r="L176" s="158"/>
      <c r="M176" s="158"/>
      <c r="N176" s="158"/>
      <c r="O176" s="158"/>
      <c r="P176" s="158"/>
      <c r="Q176" s="158"/>
      <c r="R176" s="158"/>
      <c r="S176" s="158"/>
      <c r="T176" s="158"/>
      <c r="U176" s="158"/>
      <c r="V176" s="158"/>
      <c r="W176" s="158"/>
      <c r="X176" s="158"/>
    </row>
    <row r="177">
      <c r="A177" s="176"/>
      <c r="B177" s="177"/>
      <c r="C177" s="158"/>
      <c r="D177" s="158"/>
      <c r="E177" s="158"/>
      <c r="G177" s="158"/>
      <c r="H177" s="158"/>
      <c r="I177" s="158"/>
      <c r="J177" s="158"/>
      <c r="K177" s="158"/>
      <c r="L177" s="158"/>
      <c r="M177" s="158"/>
      <c r="N177" s="158"/>
      <c r="O177" s="158"/>
      <c r="P177" s="158"/>
      <c r="Q177" s="158"/>
      <c r="R177" s="158"/>
      <c r="S177" s="158"/>
      <c r="T177" s="158"/>
      <c r="U177" s="158"/>
      <c r="V177" s="158"/>
      <c r="W177" s="158"/>
      <c r="X177" s="158"/>
    </row>
    <row r="178">
      <c r="A178" s="176"/>
      <c r="B178" s="177"/>
      <c r="C178" s="158"/>
      <c r="D178" s="158"/>
      <c r="E178" s="158"/>
      <c r="G178" s="158"/>
      <c r="H178" s="158"/>
      <c r="I178" s="158"/>
      <c r="J178" s="158"/>
      <c r="K178" s="158"/>
      <c r="L178" s="158"/>
      <c r="M178" s="158"/>
      <c r="N178" s="158"/>
      <c r="O178" s="158"/>
      <c r="P178" s="158"/>
      <c r="Q178" s="158"/>
      <c r="R178" s="158"/>
      <c r="S178" s="158"/>
      <c r="T178" s="158"/>
      <c r="U178" s="158"/>
      <c r="V178" s="158"/>
      <c r="W178" s="158"/>
      <c r="X178" s="158"/>
    </row>
    <row r="179">
      <c r="A179" s="176"/>
      <c r="B179" s="177"/>
      <c r="C179" s="158"/>
      <c r="D179" s="158"/>
      <c r="E179" s="158"/>
      <c r="F179" s="158"/>
      <c r="G179" s="158"/>
      <c r="H179" s="158"/>
      <c r="I179" s="158"/>
      <c r="J179" s="158"/>
      <c r="K179" s="158"/>
      <c r="L179" s="158"/>
      <c r="M179" s="158"/>
      <c r="N179" s="158"/>
      <c r="O179" s="158"/>
      <c r="P179" s="158"/>
      <c r="Q179" s="158"/>
      <c r="R179" s="158"/>
      <c r="S179" s="158"/>
      <c r="T179" s="158"/>
      <c r="U179" s="158"/>
      <c r="V179" s="158"/>
      <c r="W179" s="158"/>
      <c r="X179" s="158"/>
    </row>
    <row r="180">
      <c r="A180" s="176"/>
      <c r="B180" s="177"/>
      <c r="C180" s="158"/>
      <c r="D180" s="158"/>
      <c r="E180" s="158"/>
      <c r="G180" s="158"/>
      <c r="H180" s="158"/>
      <c r="I180" s="158"/>
      <c r="J180" s="158"/>
      <c r="K180" s="158"/>
      <c r="L180" s="158"/>
      <c r="M180" s="158"/>
      <c r="N180" s="158"/>
      <c r="O180" s="158"/>
      <c r="P180" s="158"/>
      <c r="Q180" s="158"/>
      <c r="R180" s="158"/>
      <c r="S180" s="158"/>
      <c r="T180" s="158"/>
      <c r="U180" s="158"/>
      <c r="V180" s="158"/>
      <c r="W180" s="158"/>
      <c r="X180" s="158"/>
    </row>
    <row r="181">
      <c r="A181" s="176"/>
      <c r="B181" s="177"/>
      <c r="C181" s="158"/>
      <c r="D181" s="158"/>
      <c r="E181" s="158"/>
      <c r="G181" s="158"/>
      <c r="H181" s="158"/>
      <c r="I181" s="158"/>
      <c r="J181" s="158"/>
      <c r="K181" s="158"/>
      <c r="L181" s="158"/>
      <c r="M181" s="158"/>
      <c r="N181" s="158"/>
      <c r="O181" s="158"/>
      <c r="P181" s="158"/>
      <c r="Q181" s="158"/>
      <c r="R181" s="158"/>
      <c r="S181" s="158"/>
      <c r="T181" s="158"/>
      <c r="U181" s="158"/>
      <c r="V181" s="158"/>
      <c r="W181" s="158"/>
      <c r="X181" s="158"/>
    </row>
    <row r="182">
      <c r="A182" s="176"/>
      <c r="B182" s="177"/>
      <c r="C182" s="158"/>
      <c r="D182" s="158"/>
      <c r="E182" s="158"/>
      <c r="F182" s="158"/>
      <c r="G182" s="158"/>
      <c r="H182" s="158"/>
      <c r="I182" s="158"/>
      <c r="J182" s="158"/>
      <c r="K182" s="158"/>
      <c r="L182" s="158"/>
      <c r="M182" s="158"/>
      <c r="N182" s="158"/>
      <c r="O182" s="158"/>
      <c r="P182" s="158"/>
      <c r="Q182" s="158"/>
      <c r="R182" s="158"/>
      <c r="S182" s="158"/>
      <c r="T182" s="158"/>
      <c r="U182" s="158"/>
      <c r="V182" s="158"/>
      <c r="W182" s="158"/>
      <c r="X182" s="158"/>
    </row>
    <row r="183">
      <c r="A183" s="176"/>
      <c r="B183" s="177"/>
      <c r="C183" s="158"/>
      <c r="D183" s="158"/>
      <c r="E183" s="158"/>
      <c r="F183" s="158"/>
      <c r="G183" s="158"/>
      <c r="H183" s="158"/>
      <c r="I183" s="158"/>
      <c r="J183" s="158"/>
      <c r="K183" s="158"/>
      <c r="L183" s="158"/>
      <c r="M183" s="158"/>
      <c r="N183" s="158"/>
      <c r="O183" s="158"/>
      <c r="P183" s="158"/>
      <c r="Q183" s="158"/>
      <c r="R183" s="158"/>
      <c r="S183" s="158"/>
      <c r="T183" s="158"/>
      <c r="U183" s="158"/>
      <c r="V183" s="158"/>
      <c r="W183" s="158"/>
      <c r="X183" s="158"/>
    </row>
    <row r="184">
      <c r="A184" s="176"/>
      <c r="B184" s="177"/>
      <c r="C184" s="158"/>
      <c r="D184" s="158"/>
      <c r="E184" s="158"/>
      <c r="G184" s="158"/>
      <c r="H184" s="158"/>
      <c r="I184" s="158"/>
      <c r="J184" s="158"/>
      <c r="K184" s="158"/>
      <c r="L184" s="158"/>
      <c r="M184" s="158"/>
      <c r="N184" s="158"/>
      <c r="O184" s="158"/>
      <c r="P184" s="158"/>
      <c r="Q184" s="158"/>
      <c r="R184" s="158"/>
      <c r="S184" s="158"/>
      <c r="T184" s="158"/>
      <c r="U184" s="158"/>
      <c r="V184" s="158"/>
      <c r="W184" s="158"/>
      <c r="X184" s="158"/>
    </row>
    <row r="185">
      <c r="A185" s="176"/>
      <c r="B185" s="177"/>
      <c r="C185" s="158"/>
      <c r="D185" s="158"/>
      <c r="E185" s="158"/>
      <c r="G185" s="158"/>
      <c r="H185" s="158"/>
      <c r="I185" s="158"/>
      <c r="J185" s="158"/>
      <c r="K185" s="158"/>
      <c r="L185" s="158"/>
      <c r="M185" s="158"/>
      <c r="N185" s="158"/>
      <c r="O185" s="158"/>
      <c r="P185" s="158"/>
      <c r="Q185" s="158"/>
      <c r="R185" s="158"/>
      <c r="S185" s="158"/>
      <c r="T185" s="158"/>
      <c r="U185" s="158"/>
      <c r="V185" s="158"/>
      <c r="W185" s="158"/>
      <c r="X185" s="158"/>
    </row>
    <row r="186">
      <c r="A186" s="176"/>
      <c r="B186" s="177"/>
      <c r="C186" s="158"/>
      <c r="D186" s="158"/>
      <c r="E186" s="158"/>
      <c r="F186" s="158"/>
      <c r="G186" s="158"/>
      <c r="H186" s="158"/>
      <c r="I186" s="158"/>
      <c r="J186" s="158"/>
      <c r="K186" s="158"/>
      <c r="L186" s="158"/>
      <c r="M186" s="158"/>
      <c r="N186" s="158"/>
      <c r="O186" s="158"/>
      <c r="P186" s="158"/>
      <c r="Q186" s="158"/>
      <c r="R186" s="158"/>
      <c r="S186" s="158"/>
      <c r="T186" s="158"/>
      <c r="U186" s="158"/>
      <c r="V186" s="158"/>
      <c r="W186" s="158"/>
      <c r="X186" s="158"/>
    </row>
    <row r="187">
      <c r="A187" s="176"/>
      <c r="B187" s="177"/>
      <c r="C187" s="158"/>
      <c r="D187" s="158"/>
      <c r="E187" s="158"/>
      <c r="G187" s="158"/>
      <c r="H187" s="158"/>
      <c r="I187" s="158"/>
      <c r="J187" s="158"/>
      <c r="K187" s="158"/>
      <c r="L187" s="158"/>
      <c r="M187" s="158"/>
      <c r="N187" s="158"/>
      <c r="O187" s="158"/>
      <c r="P187" s="158"/>
      <c r="Q187" s="158"/>
      <c r="R187" s="158"/>
      <c r="S187" s="158"/>
      <c r="T187" s="158"/>
      <c r="U187" s="158"/>
      <c r="V187" s="158"/>
      <c r="W187" s="158"/>
      <c r="X187" s="158"/>
    </row>
    <row r="188">
      <c r="A188" s="176"/>
      <c r="B188" s="177"/>
      <c r="C188" s="158"/>
      <c r="D188" s="158"/>
      <c r="E188" s="158"/>
      <c r="F188" s="158"/>
      <c r="G188" s="158"/>
      <c r="H188" s="158"/>
      <c r="I188" s="158"/>
      <c r="J188" s="158"/>
      <c r="K188" s="158"/>
      <c r="L188" s="158"/>
      <c r="M188" s="158"/>
      <c r="N188" s="158"/>
      <c r="O188" s="158"/>
      <c r="P188" s="158"/>
      <c r="Q188" s="158"/>
      <c r="R188" s="158"/>
      <c r="S188" s="158"/>
      <c r="T188" s="158"/>
      <c r="U188" s="158"/>
      <c r="V188" s="158"/>
      <c r="W188" s="158"/>
      <c r="X188" s="158"/>
    </row>
    <row r="189">
      <c r="A189" s="176"/>
      <c r="B189" s="177"/>
      <c r="C189" s="158"/>
      <c r="D189" s="158"/>
      <c r="E189" s="158"/>
      <c r="G189" s="158"/>
      <c r="H189" s="158"/>
      <c r="I189" s="158"/>
      <c r="J189" s="158"/>
      <c r="K189" s="158"/>
      <c r="L189" s="158"/>
      <c r="M189" s="158"/>
      <c r="N189" s="158"/>
      <c r="O189" s="158"/>
      <c r="P189" s="158"/>
      <c r="Q189" s="158"/>
      <c r="R189" s="158"/>
      <c r="S189" s="158"/>
      <c r="T189" s="158"/>
      <c r="U189" s="158"/>
      <c r="V189" s="158"/>
      <c r="W189" s="158"/>
      <c r="X189" s="158"/>
    </row>
    <row r="190">
      <c r="A190" s="176"/>
      <c r="B190" s="177"/>
      <c r="C190" s="158"/>
      <c r="D190" s="158"/>
      <c r="E190" s="158"/>
      <c r="G190" s="158"/>
      <c r="H190" s="158"/>
      <c r="I190" s="158"/>
      <c r="J190" s="158"/>
      <c r="K190" s="158"/>
      <c r="L190" s="158"/>
      <c r="M190" s="158"/>
      <c r="N190" s="158"/>
      <c r="O190" s="158"/>
      <c r="P190" s="158"/>
      <c r="Q190" s="158"/>
      <c r="R190" s="158"/>
      <c r="S190" s="158"/>
      <c r="T190" s="158"/>
      <c r="U190" s="158"/>
      <c r="V190" s="158"/>
      <c r="W190" s="158"/>
      <c r="X190" s="158"/>
    </row>
    <row r="191">
      <c r="A191" s="176"/>
      <c r="B191" s="177"/>
      <c r="C191" s="158"/>
      <c r="D191" s="158"/>
      <c r="E191" s="158"/>
      <c r="G191" s="158"/>
      <c r="H191" s="158"/>
      <c r="I191" s="158"/>
      <c r="J191" s="158"/>
      <c r="K191" s="158"/>
      <c r="L191" s="158"/>
      <c r="M191" s="158"/>
      <c r="N191" s="158"/>
      <c r="O191" s="158"/>
      <c r="P191" s="158"/>
      <c r="Q191" s="158"/>
      <c r="R191" s="158"/>
      <c r="S191" s="158"/>
      <c r="T191" s="158"/>
      <c r="U191" s="158"/>
      <c r="V191" s="158"/>
      <c r="W191" s="158"/>
      <c r="X191" s="158"/>
    </row>
    <row r="192">
      <c r="A192" s="176"/>
      <c r="B192" s="177"/>
      <c r="C192" s="158"/>
      <c r="D192" s="158"/>
      <c r="E192" s="158"/>
      <c r="G192" s="158"/>
      <c r="H192" s="158"/>
      <c r="I192" s="158"/>
      <c r="J192" s="158"/>
      <c r="K192" s="158"/>
      <c r="L192" s="158"/>
      <c r="M192" s="158"/>
      <c r="N192" s="158"/>
      <c r="O192" s="158"/>
      <c r="P192" s="158"/>
      <c r="Q192" s="158"/>
      <c r="R192" s="158"/>
      <c r="S192" s="158"/>
      <c r="T192" s="158"/>
      <c r="U192" s="158"/>
      <c r="V192" s="158"/>
      <c r="W192" s="158"/>
      <c r="X192" s="158"/>
    </row>
    <row r="193">
      <c r="A193" s="176"/>
      <c r="B193" s="177"/>
      <c r="C193" s="158"/>
      <c r="D193" s="158"/>
      <c r="E193" s="158"/>
      <c r="F193" s="158"/>
      <c r="G193" s="158"/>
      <c r="H193" s="158"/>
      <c r="I193" s="158"/>
      <c r="J193" s="158"/>
      <c r="K193" s="158"/>
      <c r="L193" s="158"/>
      <c r="M193" s="158"/>
      <c r="N193" s="158"/>
      <c r="O193" s="158"/>
      <c r="P193" s="158"/>
      <c r="Q193" s="158"/>
      <c r="R193" s="158"/>
      <c r="S193" s="158"/>
      <c r="T193" s="158"/>
      <c r="U193" s="158"/>
      <c r="V193" s="158"/>
      <c r="W193" s="158"/>
      <c r="X193" s="158"/>
    </row>
    <row r="194">
      <c r="A194" s="176"/>
      <c r="B194" s="177"/>
      <c r="C194" s="158"/>
      <c r="D194" s="158"/>
      <c r="E194" s="158"/>
      <c r="G194" s="158"/>
      <c r="H194" s="158"/>
      <c r="I194" s="158"/>
      <c r="J194" s="158"/>
      <c r="K194" s="158"/>
      <c r="L194" s="158"/>
      <c r="M194" s="158"/>
      <c r="N194" s="158"/>
      <c r="O194" s="158"/>
      <c r="P194" s="158"/>
      <c r="Q194" s="158"/>
      <c r="R194" s="158"/>
      <c r="S194" s="158"/>
      <c r="T194" s="158"/>
      <c r="U194" s="158"/>
      <c r="V194" s="158"/>
      <c r="W194" s="158"/>
      <c r="X194" s="158"/>
    </row>
    <row r="195">
      <c r="A195" s="176"/>
      <c r="B195" s="177"/>
      <c r="C195" s="158"/>
      <c r="D195" s="158"/>
      <c r="E195" s="158"/>
      <c r="F195" s="158"/>
      <c r="G195" s="158"/>
      <c r="H195" s="158"/>
      <c r="I195" s="158"/>
      <c r="J195" s="158"/>
      <c r="K195" s="158"/>
      <c r="L195" s="158"/>
      <c r="M195" s="158"/>
      <c r="N195" s="158"/>
      <c r="O195" s="158"/>
      <c r="P195" s="158"/>
      <c r="Q195" s="158"/>
      <c r="R195" s="158"/>
      <c r="S195" s="158"/>
      <c r="T195" s="158"/>
      <c r="U195" s="158"/>
      <c r="V195" s="158"/>
      <c r="W195" s="158"/>
      <c r="X195" s="158"/>
    </row>
    <row r="196">
      <c r="A196" s="176"/>
      <c r="B196" s="177"/>
      <c r="C196" s="158"/>
      <c r="D196" s="158"/>
      <c r="E196" s="158"/>
      <c r="G196" s="158"/>
      <c r="H196" s="158"/>
      <c r="I196" s="158"/>
      <c r="J196" s="158"/>
      <c r="K196" s="158"/>
      <c r="L196" s="158"/>
      <c r="M196" s="158"/>
      <c r="N196" s="158"/>
      <c r="O196" s="158"/>
      <c r="P196" s="158"/>
      <c r="Q196" s="158"/>
      <c r="R196" s="158"/>
      <c r="S196" s="158"/>
      <c r="T196" s="158"/>
      <c r="U196" s="158"/>
      <c r="V196" s="158"/>
      <c r="W196" s="158"/>
      <c r="X196" s="158"/>
    </row>
    <row r="197">
      <c r="A197" s="176"/>
      <c r="B197" s="177"/>
      <c r="C197" s="158"/>
      <c r="D197" s="158"/>
      <c r="E197" s="158"/>
      <c r="F197" s="178"/>
      <c r="G197" s="158"/>
      <c r="H197" s="158"/>
      <c r="I197" s="158"/>
      <c r="J197" s="158"/>
      <c r="K197" s="158"/>
      <c r="L197" s="158"/>
      <c r="M197" s="158"/>
      <c r="N197" s="158"/>
      <c r="O197" s="158"/>
      <c r="P197" s="158"/>
      <c r="Q197" s="158"/>
      <c r="R197" s="158"/>
      <c r="S197" s="158"/>
      <c r="T197" s="158"/>
      <c r="U197" s="158"/>
      <c r="V197" s="158"/>
      <c r="W197" s="158"/>
      <c r="X197" s="158"/>
    </row>
    <row r="198">
      <c r="A198" s="176"/>
      <c r="B198" s="177"/>
      <c r="C198" s="158"/>
      <c r="D198" s="158"/>
      <c r="E198" s="158"/>
      <c r="F198" s="158"/>
      <c r="G198" s="158"/>
      <c r="H198" s="158"/>
      <c r="I198" s="158"/>
      <c r="J198" s="158"/>
      <c r="K198" s="158"/>
      <c r="L198" s="158"/>
      <c r="M198" s="158"/>
      <c r="N198" s="158"/>
      <c r="O198" s="158"/>
      <c r="P198" s="158"/>
      <c r="Q198" s="158"/>
      <c r="R198" s="158"/>
      <c r="S198" s="158"/>
      <c r="T198" s="158"/>
      <c r="U198" s="158"/>
      <c r="V198" s="158"/>
      <c r="W198" s="158"/>
      <c r="X198" s="158"/>
    </row>
    <row r="199">
      <c r="A199" s="176"/>
      <c r="B199" s="177"/>
      <c r="C199" s="158"/>
      <c r="D199" s="158"/>
      <c r="E199" s="158"/>
      <c r="F199" s="158"/>
      <c r="G199" s="158"/>
      <c r="H199" s="158"/>
      <c r="I199" s="158"/>
      <c r="J199" s="158"/>
      <c r="K199" s="158"/>
      <c r="L199" s="158"/>
      <c r="M199" s="158"/>
      <c r="N199" s="158"/>
      <c r="O199" s="158"/>
      <c r="P199" s="158"/>
      <c r="Q199" s="158"/>
      <c r="R199" s="158"/>
      <c r="S199" s="158"/>
      <c r="T199" s="158"/>
      <c r="U199" s="158"/>
      <c r="V199" s="158"/>
      <c r="W199" s="158"/>
      <c r="X199" s="158"/>
    </row>
    <row r="200">
      <c r="A200" s="176"/>
      <c r="B200" s="177"/>
      <c r="C200" s="158"/>
      <c r="D200" s="158"/>
      <c r="E200" s="158"/>
      <c r="G200" s="158"/>
      <c r="H200" s="158"/>
      <c r="I200" s="158"/>
      <c r="J200" s="158"/>
      <c r="K200" s="158"/>
      <c r="L200" s="158"/>
      <c r="M200" s="158"/>
      <c r="N200" s="158"/>
      <c r="O200" s="158"/>
      <c r="P200" s="158"/>
      <c r="Q200" s="158"/>
      <c r="R200" s="158"/>
      <c r="S200" s="158"/>
      <c r="T200" s="158"/>
      <c r="U200" s="158"/>
      <c r="V200" s="158"/>
      <c r="W200" s="158"/>
      <c r="X200" s="158"/>
    </row>
    <row r="201">
      <c r="A201" s="176"/>
      <c r="B201" s="177"/>
      <c r="C201" s="158"/>
      <c r="D201" s="158"/>
      <c r="E201" s="158"/>
      <c r="G201" s="158"/>
      <c r="H201" s="158"/>
      <c r="I201" s="158"/>
      <c r="J201" s="158"/>
      <c r="K201" s="158"/>
      <c r="L201" s="158"/>
      <c r="M201" s="158"/>
      <c r="N201" s="158"/>
      <c r="O201" s="158"/>
      <c r="P201" s="158"/>
      <c r="Q201" s="158"/>
      <c r="R201" s="158"/>
      <c r="S201" s="158"/>
      <c r="T201" s="158"/>
      <c r="U201" s="158"/>
      <c r="V201" s="158"/>
      <c r="W201" s="158"/>
      <c r="X201" s="158"/>
    </row>
    <row r="202">
      <c r="A202" s="176"/>
      <c r="B202" s="177"/>
      <c r="C202" s="158"/>
      <c r="D202" s="158"/>
      <c r="E202" s="158"/>
      <c r="G202" s="158"/>
      <c r="H202" s="158"/>
      <c r="I202" s="158"/>
      <c r="J202" s="158"/>
      <c r="K202" s="158"/>
      <c r="L202" s="158"/>
      <c r="M202" s="158"/>
      <c r="N202" s="158"/>
      <c r="O202" s="158"/>
      <c r="P202" s="158"/>
      <c r="Q202" s="158"/>
      <c r="R202" s="158"/>
      <c r="S202" s="158"/>
      <c r="T202" s="158"/>
      <c r="U202" s="158"/>
      <c r="V202" s="158"/>
      <c r="W202" s="158"/>
      <c r="X202" s="158"/>
    </row>
    <row r="203">
      <c r="A203" s="176"/>
      <c r="B203" s="177"/>
      <c r="C203" s="158"/>
      <c r="D203" s="158"/>
      <c r="E203" s="158"/>
      <c r="G203" s="158"/>
      <c r="H203" s="158"/>
      <c r="I203" s="158"/>
      <c r="J203" s="158"/>
      <c r="K203" s="158"/>
      <c r="L203" s="158"/>
      <c r="M203" s="158"/>
      <c r="N203" s="158"/>
      <c r="O203" s="158"/>
      <c r="P203" s="158"/>
      <c r="Q203" s="158"/>
      <c r="R203" s="158"/>
      <c r="S203" s="158"/>
      <c r="T203" s="158"/>
      <c r="U203" s="158"/>
      <c r="V203" s="158"/>
      <c r="W203" s="158"/>
      <c r="X203" s="158"/>
    </row>
    <row r="204">
      <c r="A204" s="176"/>
      <c r="B204" s="177"/>
      <c r="C204" s="158"/>
      <c r="D204" s="158"/>
      <c r="E204" s="158"/>
      <c r="G204" s="158"/>
      <c r="H204" s="158"/>
      <c r="I204" s="158"/>
      <c r="J204" s="158"/>
      <c r="K204" s="158"/>
      <c r="L204" s="158"/>
      <c r="M204" s="158"/>
      <c r="N204" s="158"/>
      <c r="O204" s="158"/>
      <c r="P204" s="158"/>
      <c r="Q204" s="158"/>
      <c r="R204" s="158"/>
      <c r="S204" s="158"/>
      <c r="T204" s="158"/>
      <c r="U204" s="158"/>
      <c r="V204" s="158"/>
      <c r="W204" s="158"/>
      <c r="X204" s="158"/>
    </row>
    <row r="205">
      <c r="A205" s="176"/>
      <c r="B205" s="177"/>
      <c r="C205" s="158"/>
      <c r="D205" s="158"/>
      <c r="E205" s="158"/>
      <c r="G205" s="158"/>
      <c r="H205" s="158"/>
      <c r="I205" s="158"/>
      <c r="J205" s="158"/>
      <c r="K205" s="158"/>
      <c r="L205" s="158"/>
      <c r="M205" s="158"/>
      <c r="N205" s="158"/>
      <c r="O205" s="158"/>
      <c r="P205" s="158"/>
      <c r="Q205" s="158"/>
      <c r="R205" s="158"/>
      <c r="S205" s="158"/>
      <c r="T205" s="158"/>
      <c r="U205" s="158"/>
      <c r="V205" s="158"/>
      <c r="W205" s="158"/>
      <c r="X205" s="158"/>
    </row>
    <row r="206">
      <c r="A206" s="176"/>
      <c r="B206" s="177"/>
      <c r="C206" s="158"/>
      <c r="D206" s="158"/>
      <c r="E206" s="158"/>
      <c r="G206" s="158"/>
      <c r="H206" s="158"/>
      <c r="I206" s="158"/>
      <c r="J206" s="158"/>
      <c r="K206" s="158"/>
      <c r="L206" s="158"/>
      <c r="M206" s="158"/>
      <c r="N206" s="158"/>
      <c r="O206" s="158"/>
      <c r="P206" s="158"/>
      <c r="Q206" s="158"/>
      <c r="R206" s="158"/>
      <c r="S206" s="158"/>
      <c r="T206" s="158"/>
      <c r="U206" s="158"/>
      <c r="V206" s="158"/>
      <c r="W206" s="158"/>
      <c r="X206" s="158"/>
    </row>
    <row r="207">
      <c r="A207" s="176"/>
      <c r="B207" s="177"/>
      <c r="C207" s="158"/>
      <c r="D207" s="158"/>
      <c r="E207" s="158"/>
      <c r="F207" s="158"/>
      <c r="G207" s="158"/>
      <c r="H207" s="158"/>
      <c r="I207" s="158"/>
      <c r="J207" s="158"/>
      <c r="K207" s="158"/>
      <c r="L207" s="158"/>
      <c r="M207" s="158"/>
      <c r="N207" s="158"/>
      <c r="O207" s="158"/>
      <c r="P207" s="158"/>
      <c r="Q207" s="158"/>
      <c r="R207" s="158"/>
      <c r="S207" s="158"/>
      <c r="T207" s="158"/>
      <c r="U207" s="158"/>
      <c r="V207" s="158"/>
      <c r="W207" s="158"/>
      <c r="X207" s="158"/>
    </row>
    <row r="208">
      <c r="A208" s="176"/>
      <c r="B208" s="177"/>
      <c r="C208" s="158"/>
      <c r="D208" s="158"/>
      <c r="E208" s="158"/>
      <c r="G208" s="158"/>
      <c r="H208" s="158"/>
      <c r="I208" s="158"/>
      <c r="J208" s="158"/>
      <c r="K208" s="158"/>
      <c r="L208" s="158"/>
      <c r="M208" s="158"/>
      <c r="N208" s="158"/>
      <c r="O208" s="158"/>
      <c r="P208" s="158"/>
      <c r="Q208" s="158"/>
      <c r="R208" s="158"/>
      <c r="S208" s="158"/>
      <c r="T208" s="158"/>
      <c r="U208" s="158"/>
      <c r="V208" s="158"/>
      <c r="W208" s="158"/>
      <c r="X208" s="158"/>
    </row>
    <row r="209">
      <c r="A209" s="176"/>
      <c r="B209" s="177"/>
      <c r="C209" s="158"/>
      <c r="D209" s="158"/>
      <c r="E209" s="158"/>
      <c r="G209" s="158"/>
      <c r="H209" s="158"/>
      <c r="I209" s="158"/>
      <c r="J209" s="158"/>
      <c r="K209" s="158"/>
      <c r="L209" s="158"/>
      <c r="M209" s="158"/>
      <c r="N209" s="158"/>
      <c r="O209" s="158"/>
      <c r="P209" s="158"/>
      <c r="Q209" s="158"/>
      <c r="R209" s="158"/>
      <c r="S209" s="158"/>
      <c r="T209" s="158"/>
      <c r="U209" s="158"/>
      <c r="V209" s="158"/>
      <c r="W209" s="158"/>
      <c r="X209" s="158"/>
    </row>
    <row r="210">
      <c r="A210" s="176"/>
      <c r="B210" s="177"/>
      <c r="C210" s="158"/>
      <c r="D210" s="158"/>
      <c r="E210" s="158"/>
      <c r="G210" s="158"/>
      <c r="H210" s="158"/>
      <c r="I210" s="158"/>
      <c r="J210" s="158"/>
      <c r="K210" s="158"/>
      <c r="L210" s="158"/>
      <c r="M210" s="158"/>
      <c r="N210" s="158"/>
      <c r="O210" s="158"/>
      <c r="P210" s="158"/>
      <c r="Q210" s="158"/>
      <c r="R210" s="158"/>
      <c r="S210" s="158"/>
      <c r="T210" s="158"/>
      <c r="U210" s="158"/>
      <c r="V210" s="158"/>
      <c r="W210" s="158"/>
      <c r="X210" s="158"/>
    </row>
    <row r="211">
      <c r="A211" s="176"/>
      <c r="B211" s="177"/>
      <c r="C211" s="158"/>
      <c r="D211" s="158"/>
      <c r="E211" s="158"/>
      <c r="G211" s="158"/>
      <c r="H211" s="158"/>
      <c r="I211" s="158"/>
      <c r="J211" s="158"/>
      <c r="K211" s="158"/>
      <c r="L211" s="158"/>
      <c r="M211" s="158"/>
      <c r="N211" s="158"/>
      <c r="O211" s="158"/>
      <c r="P211" s="158"/>
      <c r="Q211" s="158"/>
      <c r="R211" s="158"/>
      <c r="S211" s="158"/>
      <c r="T211" s="158"/>
      <c r="U211" s="158"/>
      <c r="V211" s="158"/>
      <c r="W211" s="158"/>
      <c r="X211" s="158"/>
    </row>
    <row r="212">
      <c r="A212" s="176"/>
      <c r="B212" s="177"/>
      <c r="C212" s="158"/>
      <c r="D212" s="158"/>
      <c r="E212" s="158"/>
      <c r="G212" s="158"/>
      <c r="H212" s="158"/>
      <c r="I212" s="158"/>
      <c r="J212" s="158"/>
      <c r="K212" s="158"/>
      <c r="L212" s="158"/>
      <c r="M212" s="158"/>
      <c r="N212" s="158"/>
      <c r="O212" s="158"/>
      <c r="P212" s="158"/>
      <c r="Q212" s="158"/>
      <c r="R212" s="158"/>
      <c r="S212" s="158"/>
      <c r="T212" s="158"/>
      <c r="U212" s="158"/>
      <c r="V212" s="158"/>
      <c r="W212" s="158"/>
      <c r="X212" s="158"/>
    </row>
    <row r="213">
      <c r="A213" s="176"/>
      <c r="B213" s="177"/>
      <c r="C213" s="158"/>
      <c r="D213" s="158"/>
      <c r="E213" s="158"/>
      <c r="G213" s="158"/>
      <c r="H213" s="158"/>
      <c r="I213" s="158"/>
      <c r="J213" s="158"/>
      <c r="K213" s="158"/>
      <c r="L213" s="158"/>
      <c r="M213" s="158"/>
      <c r="N213" s="158"/>
      <c r="O213" s="158"/>
      <c r="P213" s="158"/>
      <c r="Q213" s="158"/>
      <c r="R213" s="158"/>
      <c r="S213" s="158"/>
      <c r="T213" s="158"/>
      <c r="U213" s="158"/>
      <c r="V213" s="158"/>
      <c r="W213" s="158"/>
      <c r="X213" s="158"/>
    </row>
    <row r="214">
      <c r="A214" s="176"/>
      <c r="B214" s="177"/>
      <c r="C214" s="158"/>
      <c r="D214" s="158"/>
      <c r="E214" s="158"/>
      <c r="G214" s="158"/>
      <c r="H214" s="158"/>
      <c r="I214" s="158"/>
      <c r="J214" s="158"/>
      <c r="K214" s="158"/>
      <c r="L214" s="158"/>
      <c r="M214" s="158"/>
      <c r="N214" s="158"/>
      <c r="O214" s="158"/>
      <c r="P214" s="158"/>
      <c r="Q214" s="158"/>
      <c r="R214" s="158"/>
      <c r="S214" s="158"/>
      <c r="T214" s="158"/>
      <c r="U214" s="158"/>
      <c r="V214" s="158"/>
      <c r="W214" s="158"/>
      <c r="X214" s="158"/>
    </row>
    <row r="215">
      <c r="A215" s="176"/>
      <c r="B215" s="177"/>
      <c r="C215" s="158"/>
      <c r="D215" s="158"/>
      <c r="E215" s="158"/>
      <c r="G215" s="158"/>
      <c r="H215" s="158"/>
      <c r="I215" s="158"/>
      <c r="J215" s="158"/>
      <c r="K215" s="158"/>
      <c r="L215" s="158"/>
      <c r="M215" s="158"/>
      <c r="N215" s="158"/>
      <c r="O215" s="158"/>
      <c r="P215" s="158"/>
      <c r="Q215" s="158"/>
      <c r="R215" s="158"/>
      <c r="S215" s="158"/>
      <c r="T215" s="158"/>
      <c r="U215" s="158"/>
      <c r="V215" s="158"/>
      <c r="W215" s="158"/>
      <c r="X215" s="158"/>
    </row>
    <row r="216">
      <c r="A216" s="176"/>
      <c r="B216" s="177"/>
      <c r="C216" s="158"/>
      <c r="D216" s="158"/>
      <c r="E216" s="158"/>
      <c r="G216" s="158"/>
      <c r="H216" s="158"/>
      <c r="I216" s="158"/>
      <c r="J216" s="158"/>
      <c r="K216" s="158"/>
      <c r="L216" s="158"/>
      <c r="M216" s="158"/>
      <c r="N216" s="158"/>
      <c r="O216" s="158"/>
      <c r="P216" s="158"/>
      <c r="Q216" s="158"/>
      <c r="R216" s="158"/>
      <c r="S216" s="158"/>
      <c r="T216" s="158"/>
      <c r="U216" s="158"/>
      <c r="V216" s="158"/>
      <c r="W216" s="158"/>
      <c r="X216" s="158"/>
    </row>
    <row r="217">
      <c r="A217" s="176"/>
      <c r="B217" s="177"/>
      <c r="C217" s="158"/>
      <c r="D217" s="158"/>
      <c r="E217" s="158"/>
      <c r="G217" s="158"/>
      <c r="H217" s="158"/>
      <c r="I217" s="158"/>
      <c r="J217" s="158"/>
      <c r="K217" s="158"/>
      <c r="L217" s="158"/>
      <c r="M217" s="158"/>
      <c r="N217" s="158"/>
      <c r="O217" s="158"/>
      <c r="P217" s="158"/>
      <c r="Q217" s="158"/>
      <c r="R217" s="158"/>
      <c r="S217" s="158"/>
      <c r="T217" s="158"/>
      <c r="U217" s="158"/>
      <c r="V217" s="158"/>
      <c r="W217" s="158"/>
      <c r="X217" s="158"/>
    </row>
    <row r="218">
      <c r="A218" s="176"/>
      <c r="B218" s="177"/>
      <c r="C218" s="158"/>
      <c r="D218" s="158"/>
      <c r="E218" s="158"/>
      <c r="F218" s="158"/>
      <c r="G218" s="158"/>
      <c r="H218" s="158"/>
      <c r="I218" s="158"/>
      <c r="J218" s="158"/>
      <c r="K218" s="158"/>
      <c r="L218" s="158"/>
      <c r="M218" s="158"/>
      <c r="N218" s="158"/>
      <c r="O218" s="158"/>
      <c r="P218" s="158"/>
      <c r="Q218" s="158"/>
      <c r="R218" s="158"/>
      <c r="S218" s="158"/>
      <c r="T218" s="158"/>
      <c r="U218" s="158"/>
      <c r="V218" s="158"/>
      <c r="W218" s="158"/>
      <c r="X218" s="158"/>
    </row>
    <row r="219">
      <c r="A219" s="176"/>
      <c r="B219" s="177"/>
      <c r="C219" s="158"/>
      <c r="D219" s="158"/>
      <c r="E219" s="158"/>
      <c r="G219" s="158"/>
      <c r="H219" s="158"/>
      <c r="I219" s="158"/>
      <c r="J219" s="158"/>
      <c r="K219" s="158"/>
      <c r="L219" s="158"/>
      <c r="M219" s="158"/>
      <c r="N219" s="158"/>
      <c r="O219" s="158"/>
      <c r="P219" s="158"/>
      <c r="Q219" s="158"/>
      <c r="R219" s="158"/>
      <c r="S219" s="158"/>
      <c r="T219" s="158"/>
      <c r="U219" s="158"/>
      <c r="V219" s="158"/>
      <c r="W219" s="158"/>
      <c r="X219" s="158"/>
    </row>
    <row r="220">
      <c r="A220" s="176"/>
      <c r="B220" s="177"/>
      <c r="C220" s="158"/>
      <c r="D220" s="158"/>
      <c r="E220" s="158"/>
      <c r="G220" s="158"/>
      <c r="H220" s="158"/>
      <c r="I220" s="158"/>
      <c r="J220" s="158"/>
      <c r="K220" s="158"/>
      <c r="L220" s="158"/>
      <c r="M220" s="158"/>
      <c r="N220" s="158"/>
      <c r="O220" s="158"/>
      <c r="P220" s="158"/>
      <c r="Q220" s="158"/>
      <c r="R220" s="158"/>
      <c r="S220" s="158"/>
      <c r="T220" s="158"/>
      <c r="U220" s="158"/>
      <c r="V220" s="158"/>
      <c r="W220" s="158"/>
      <c r="X220" s="158"/>
    </row>
    <row r="221">
      <c r="A221" s="176"/>
      <c r="B221" s="177"/>
      <c r="C221" s="158"/>
      <c r="D221" s="158"/>
      <c r="E221" s="158"/>
      <c r="G221" s="158"/>
      <c r="H221" s="158"/>
      <c r="I221" s="158"/>
      <c r="J221" s="158"/>
      <c r="K221" s="158"/>
      <c r="L221" s="158"/>
      <c r="M221" s="158"/>
      <c r="N221" s="158"/>
      <c r="O221" s="158"/>
      <c r="P221" s="158"/>
      <c r="Q221" s="158"/>
      <c r="R221" s="158"/>
      <c r="S221" s="158"/>
      <c r="T221" s="158"/>
      <c r="U221" s="158"/>
      <c r="V221" s="158"/>
      <c r="W221" s="158"/>
      <c r="X221" s="158"/>
    </row>
    <row r="222">
      <c r="A222" s="176"/>
      <c r="B222" s="177"/>
      <c r="C222" s="158"/>
      <c r="D222" s="158"/>
      <c r="E222" s="158"/>
      <c r="F222" s="158"/>
      <c r="G222" s="158"/>
      <c r="H222" s="158"/>
      <c r="I222" s="158"/>
      <c r="J222" s="158"/>
      <c r="K222" s="158"/>
      <c r="L222" s="158"/>
      <c r="M222" s="158"/>
      <c r="N222" s="158"/>
      <c r="O222" s="158"/>
      <c r="P222" s="158"/>
      <c r="Q222" s="158"/>
      <c r="R222" s="158"/>
      <c r="S222" s="158"/>
      <c r="T222" s="158"/>
      <c r="U222" s="158"/>
      <c r="V222" s="158"/>
      <c r="W222" s="158"/>
      <c r="X222" s="158"/>
    </row>
    <row r="223">
      <c r="A223" s="176"/>
      <c r="B223" s="177"/>
      <c r="C223" s="158"/>
      <c r="D223" s="158"/>
      <c r="E223" s="158"/>
      <c r="F223" s="158"/>
      <c r="G223" s="158"/>
      <c r="H223" s="158"/>
      <c r="I223" s="158"/>
      <c r="J223" s="158"/>
      <c r="K223" s="158"/>
      <c r="L223" s="158"/>
      <c r="M223" s="158"/>
      <c r="N223" s="158"/>
      <c r="O223" s="158"/>
      <c r="P223" s="158"/>
      <c r="Q223" s="158"/>
      <c r="R223" s="158"/>
      <c r="S223" s="158"/>
      <c r="T223" s="158"/>
      <c r="U223" s="158"/>
      <c r="V223" s="158"/>
      <c r="W223" s="158"/>
      <c r="X223" s="158"/>
    </row>
    <row r="224">
      <c r="A224" s="176"/>
      <c r="B224" s="177"/>
      <c r="C224" s="158"/>
      <c r="D224" s="158"/>
      <c r="E224" s="158"/>
      <c r="F224" s="158"/>
      <c r="G224" s="158"/>
      <c r="H224" s="158"/>
      <c r="I224" s="158"/>
      <c r="J224" s="158"/>
      <c r="K224" s="158"/>
      <c r="L224" s="158"/>
      <c r="M224" s="158"/>
      <c r="N224" s="158"/>
      <c r="O224" s="158"/>
      <c r="P224" s="158"/>
      <c r="Q224" s="158"/>
      <c r="R224" s="158"/>
      <c r="S224" s="158"/>
      <c r="T224" s="158"/>
      <c r="U224" s="158"/>
      <c r="V224" s="158"/>
      <c r="W224" s="158"/>
      <c r="X224" s="158"/>
    </row>
    <row r="225">
      <c r="A225" s="176"/>
      <c r="B225" s="177"/>
      <c r="C225" s="158"/>
      <c r="D225" s="158"/>
      <c r="E225" s="158"/>
      <c r="G225" s="158"/>
      <c r="H225" s="158"/>
      <c r="I225" s="158"/>
      <c r="J225" s="158"/>
      <c r="K225" s="158"/>
      <c r="L225" s="158"/>
      <c r="M225" s="158"/>
      <c r="N225" s="158"/>
      <c r="O225" s="158"/>
      <c r="P225" s="158"/>
      <c r="Q225" s="158"/>
      <c r="R225" s="158"/>
      <c r="S225" s="158"/>
      <c r="T225" s="158"/>
      <c r="U225" s="158"/>
      <c r="V225" s="158"/>
      <c r="W225" s="158"/>
      <c r="X225" s="158"/>
    </row>
    <row r="226">
      <c r="A226" s="176"/>
      <c r="B226" s="177"/>
      <c r="C226" s="158"/>
      <c r="D226" s="158"/>
      <c r="E226" s="158"/>
      <c r="F226" s="158"/>
      <c r="G226" s="158"/>
      <c r="H226" s="158"/>
      <c r="I226" s="158"/>
      <c r="J226" s="158"/>
      <c r="K226" s="158"/>
      <c r="L226" s="158"/>
      <c r="M226" s="158"/>
      <c r="N226" s="158"/>
      <c r="O226" s="158"/>
      <c r="P226" s="158"/>
      <c r="Q226" s="158"/>
      <c r="R226" s="158"/>
      <c r="S226" s="158"/>
      <c r="T226" s="158"/>
      <c r="U226" s="158"/>
      <c r="V226" s="158"/>
      <c r="W226" s="158"/>
      <c r="X226" s="158"/>
    </row>
    <row r="227">
      <c r="A227" s="176"/>
      <c r="B227" s="177"/>
      <c r="C227" s="158"/>
      <c r="D227" s="158"/>
      <c r="E227" s="158"/>
      <c r="F227" s="158"/>
      <c r="G227" s="158"/>
      <c r="H227" s="158"/>
      <c r="I227" s="158"/>
      <c r="J227" s="158"/>
      <c r="K227" s="158"/>
      <c r="L227" s="158"/>
      <c r="M227" s="158"/>
      <c r="N227" s="158"/>
      <c r="O227" s="158"/>
      <c r="P227" s="158"/>
      <c r="Q227" s="158"/>
      <c r="R227" s="158"/>
      <c r="S227" s="158"/>
      <c r="T227" s="158"/>
      <c r="U227" s="158"/>
      <c r="V227" s="158"/>
      <c r="W227" s="158"/>
      <c r="X227" s="158"/>
    </row>
    <row r="228">
      <c r="A228" s="176"/>
      <c r="B228" s="177"/>
      <c r="C228" s="158"/>
      <c r="D228" s="158"/>
      <c r="E228" s="158"/>
      <c r="F228" s="158"/>
      <c r="G228" s="158"/>
      <c r="H228" s="158"/>
      <c r="I228" s="158"/>
      <c r="J228" s="158"/>
      <c r="K228" s="158"/>
      <c r="L228" s="158"/>
      <c r="M228" s="158"/>
      <c r="N228" s="158"/>
      <c r="O228" s="158"/>
      <c r="P228" s="158"/>
      <c r="Q228" s="158"/>
      <c r="R228" s="158"/>
      <c r="S228" s="158"/>
      <c r="T228" s="158"/>
      <c r="U228" s="158"/>
      <c r="V228" s="158"/>
      <c r="W228" s="158"/>
      <c r="X228" s="158"/>
    </row>
    <row r="229">
      <c r="A229" s="176"/>
      <c r="B229" s="177"/>
      <c r="C229" s="158"/>
      <c r="D229" s="158"/>
      <c r="E229" s="158"/>
      <c r="F229" s="158"/>
      <c r="G229" s="158"/>
      <c r="H229" s="158"/>
      <c r="I229" s="158"/>
      <c r="J229" s="158"/>
      <c r="K229" s="158"/>
      <c r="L229" s="158"/>
      <c r="M229" s="158"/>
      <c r="N229" s="158"/>
      <c r="O229" s="158"/>
      <c r="P229" s="158"/>
      <c r="Q229" s="158"/>
      <c r="R229" s="158"/>
      <c r="S229" s="158"/>
      <c r="T229" s="158"/>
      <c r="U229" s="158"/>
      <c r="V229" s="158"/>
      <c r="W229" s="158"/>
      <c r="X229" s="158"/>
    </row>
    <row r="230">
      <c r="A230" s="176"/>
      <c r="B230" s="177"/>
      <c r="C230" s="158"/>
      <c r="D230" s="158"/>
      <c r="E230" s="158"/>
      <c r="F230" s="158"/>
      <c r="G230" s="158"/>
      <c r="H230" s="158"/>
      <c r="I230" s="158"/>
      <c r="J230" s="158"/>
      <c r="K230" s="158"/>
      <c r="L230" s="158"/>
      <c r="M230" s="158"/>
      <c r="N230" s="158"/>
      <c r="O230" s="158"/>
      <c r="P230" s="158"/>
      <c r="Q230" s="158"/>
      <c r="R230" s="158"/>
      <c r="S230" s="158"/>
      <c r="T230" s="158"/>
      <c r="U230" s="158"/>
      <c r="V230" s="158"/>
      <c r="W230" s="158"/>
      <c r="X230" s="158"/>
    </row>
    <row r="231">
      <c r="A231" s="176"/>
      <c r="B231" s="177"/>
      <c r="C231" s="158"/>
      <c r="D231" s="158"/>
      <c r="E231" s="158"/>
      <c r="F231" s="158"/>
      <c r="G231" s="158"/>
      <c r="H231" s="158"/>
      <c r="I231" s="158"/>
      <c r="J231" s="158"/>
      <c r="K231" s="158"/>
      <c r="L231" s="158"/>
      <c r="M231" s="158"/>
      <c r="N231" s="158"/>
      <c r="O231" s="158"/>
      <c r="P231" s="158"/>
      <c r="Q231" s="158"/>
      <c r="R231" s="158"/>
      <c r="S231" s="158"/>
      <c r="T231" s="158"/>
      <c r="U231" s="158"/>
      <c r="V231" s="158"/>
      <c r="W231" s="158"/>
      <c r="X231" s="158"/>
    </row>
    <row r="232">
      <c r="A232" s="176"/>
      <c r="B232" s="177"/>
      <c r="C232" s="158"/>
      <c r="D232" s="158"/>
      <c r="E232" s="158"/>
      <c r="F232" s="158"/>
      <c r="G232" s="158"/>
      <c r="H232" s="158"/>
      <c r="I232" s="158"/>
      <c r="J232" s="158"/>
      <c r="K232" s="158"/>
      <c r="L232" s="158"/>
      <c r="M232" s="158"/>
      <c r="N232" s="158"/>
      <c r="O232" s="158"/>
      <c r="P232" s="158"/>
      <c r="Q232" s="158"/>
      <c r="R232" s="158"/>
      <c r="S232" s="158"/>
      <c r="T232" s="158"/>
      <c r="U232" s="158"/>
      <c r="V232" s="158"/>
      <c r="W232" s="158"/>
      <c r="X232" s="158"/>
    </row>
    <row r="233">
      <c r="A233" s="176"/>
      <c r="B233" s="177"/>
      <c r="C233" s="158"/>
      <c r="D233" s="158"/>
      <c r="E233" s="158"/>
      <c r="G233" s="158"/>
      <c r="H233" s="158"/>
      <c r="I233" s="158"/>
      <c r="J233" s="158"/>
      <c r="K233" s="158"/>
      <c r="L233" s="158"/>
      <c r="M233" s="158"/>
      <c r="N233" s="158"/>
      <c r="O233" s="158"/>
      <c r="P233" s="158"/>
      <c r="Q233" s="158"/>
      <c r="R233" s="158"/>
      <c r="S233" s="158"/>
      <c r="T233" s="158"/>
      <c r="U233" s="158"/>
      <c r="V233" s="158"/>
      <c r="W233" s="158"/>
      <c r="X233" s="158"/>
    </row>
    <row r="234">
      <c r="A234" s="176"/>
      <c r="B234" s="177"/>
      <c r="C234" s="158"/>
      <c r="D234" s="158"/>
      <c r="E234" s="158"/>
      <c r="F234" s="158"/>
      <c r="G234" s="158"/>
      <c r="H234" s="158"/>
      <c r="I234" s="158"/>
      <c r="J234" s="158"/>
      <c r="K234" s="158"/>
      <c r="L234" s="158"/>
      <c r="M234" s="158"/>
      <c r="N234" s="158"/>
      <c r="O234" s="158"/>
      <c r="P234" s="158"/>
      <c r="Q234" s="158"/>
      <c r="R234" s="158"/>
      <c r="S234" s="158"/>
      <c r="T234" s="158"/>
      <c r="U234" s="158"/>
      <c r="V234" s="158"/>
      <c r="W234" s="158"/>
      <c r="X234" s="158"/>
    </row>
    <row r="235">
      <c r="A235" s="176"/>
      <c r="B235" s="177"/>
      <c r="C235" s="158"/>
      <c r="D235" s="158"/>
      <c r="E235" s="158"/>
      <c r="G235" s="158"/>
      <c r="H235" s="158"/>
      <c r="I235" s="158"/>
      <c r="J235" s="158"/>
      <c r="K235" s="158"/>
      <c r="L235" s="158"/>
      <c r="M235" s="158"/>
      <c r="N235" s="158"/>
      <c r="O235" s="158"/>
      <c r="P235" s="158"/>
      <c r="Q235" s="158"/>
      <c r="R235" s="158"/>
      <c r="S235" s="158"/>
      <c r="T235" s="158"/>
      <c r="U235" s="158"/>
      <c r="V235" s="158"/>
      <c r="W235" s="158"/>
      <c r="X235" s="158"/>
    </row>
    <row r="236">
      <c r="A236" s="176"/>
      <c r="B236" s="177"/>
      <c r="C236" s="158"/>
      <c r="D236" s="158"/>
      <c r="E236" s="158"/>
      <c r="G236" s="158"/>
      <c r="H236" s="158"/>
      <c r="I236" s="158"/>
      <c r="J236" s="158"/>
      <c r="K236" s="158"/>
      <c r="L236" s="158"/>
      <c r="M236" s="158"/>
      <c r="N236" s="158"/>
      <c r="O236" s="158"/>
      <c r="P236" s="158"/>
      <c r="Q236" s="158"/>
      <c r="R236" s="158"/>
      <c r="S236" s="158"/>
      <c r="T236" s="158"/>
      <c r="U236" s="158"/>
      <c r="V236" s="158"/>
      <c r="W236" s="158"/>
      <c r="X236" s="158"/>
    </row>
    <row r="237">
      <c r="A237" s="176"/>
      <c r="B237" s="177"/>
      <c r="C237" s="158"/>
      <c r="D237" s="158"/>
      <c r="E237" s="158"/>
      <c r="G237" s="158"/>
      <c r="H237" s="158"/>
      <c r="I237" s="158"/>
      <c r="J237" s="158"/>
      <c r="K237" s="158"/>
      <c r="L237" s="158"/>
      <c r="M237" s="158"/>
      <c r="N237" s="158"/>
      <c r="O237" s="158"/>
      <c r="P237" s="158"/>
      <c r="Q237" s="158"/>
      <c r="R237" s="158"/>
      <c r="S237" s="158"/>
      <c r="T237" s="158"/>
      <c r="U237" s="158"/>
      <c r="V237" s="158"/>
      <c r="W237" s="158"/>
      <c r="X237" s="158"/>
    </row>
    <row r="238">
      <c r="A238" s="176"/>
      <c r="B238" s="177"/>
      <c r="C238" s="158"/>
      <c r="D238" s="158"/>
      <c r="E238" s="158"/>
      <c r="F238" s="158"/>
      <c r="G238" s="158"/>
      <c r="H238" s="158"/>
      <c r="I238" s="158"/>
      <c r="J238" s="158"/>
      <c r="K238" s="158"/>
      <c r="L238" s="158"/>
      <c r="M238" s="158"/>
      <c r="N238" s="158"/>
      <c r="O238" s="158"/>
      <c r="P238" s="158"/>
      <c r="Q238" s="158"/>
      <c r="R238" s="158"/>
      <c r="S238" s="158"/>
      <c r="T238" s="158"/>
      <c r="U238" s="158"/>
      <c r="V238" s="158"/>
      <c r="W238" s="158"/>
      <c r="X238" s="158"/>
    </row>
    <row r="239">
      <c r="A239" s="176"/>
      <c r="B239" s="177"/>
      <c r="C239" s="158"/>
      <c r="D239" s="158"/>
      <c r="E239" s="158"/>
      <c r="G239" s="158"/>
      <c r="H239" s="158"/>
      <c r="I239" s="158"/>
      <c r="J239" s="158"/>
      <c r="K239" s="158"/>
      <c r="L239" s="158"/>
      <c r="M239" s="158"/>
      <c r="N239" s="158"/>
      <c r="O239" s="158"/>
      <c r="P239" s="158"/>
      <c r="Q239" s="158"/>
      <c r="R239" s="158"/>
      <c r="S239" s="158"/>
      <c r="T239" s="158"/>
      <c r="U239" s="158"/>
      <c r="V239" s="158"/>
      <c r="W239" s="158"/>
      <c r="X239" s="158"/>
    </row>
    <row r="240">
      <c r="A240" s="176"/>
      <c r="B240" s="177"/>
      <c r="C240" s="158"/>
      <c r="D240" s="158"/>
      <c r="E240" s="158"/>
      <c r="G240" s="158"/>
      <c r="H240" s="158"/>
      <c r="I240" s="158"/>
      <c r="J240" s="158"/>
      <c r="K240" s="158"/>
      <c r="L240" s="158"/>
      <c r="M240" s="158"/>
      <c r="N240" s="158"/>
      <c r="O240" s="158"/>
      <c r="P240" s="158"/>
      <c r="Q240" s="158"/>
      <c r="R240" s="158"/>
      <c r="S240" s="158"/>
      <c r="T240" s="158"/>
      <c r="U240" s="158"/>
      <c r="V240" s="158"/>
      <c r="W240" s="158"/>
      <c r="X240" s="158"/>
    </row>
    <row r="241">
      <c r="A241" s="176"/>
      <c r="B241" s="177"/>
      <c r="C241" s="158"/>
      <c r="D241" s="158"/>
      <c r="E241" s="158"/>
      <c r="G241" s="158"/>
      <c r="H241" s="158"/>
      <c r="I241" s="158"/>
      <c r="J241" s="158"/>
      <c r="K241" s="158"/>
      <c r="L241" s="158"/>
      <c r="M241" s="158"/>
      <c r="N241" s="158"/>
      <c r="O241" s="158"/>
      <c r="P241" s="158"/>
      <c r="Q241" s="158"/>
      <c r="R241" s="158"/>
      <c r="S241" s="158"/>
      <c r="T241" s="158"/>
      <c r="U241" s="158"/>
      <c r="V241" s="158"/>
      <c r="W241" s="158"/>
      <c r="X241" s="158"/>
    </row>
    <row r="242">
      <c r="A242" s="176"/>
      <c r="B242" s="177"/>
      <c r="C242" s="158"/>
      <c r="D242" s="158"/>
      <c r="E242" s="158"/>
      <c r="G242" s="158"/>
      <c r="H242" s="158"/>
      <c r="I242" s="158"/>
      <c r="J242" s="158"/>
      <c r="K242" s="158"/>
      <c r="L242" s="158"/>
      <c r="M242" s="158"/>
      <c r="N242" s="158"/>
      <c r="O242" s="158"/>
      <c r="P242" s="158"/>
      <c r="Q242" s="158"/>
      <c r="R242" s="158"/>
      <c r="S242" s="158"/>
      <c r="T242" s="158"/>
      <c r="U242" s="158"/>
      <c r="V242" s="158"/>
      <c r="W242" s="158"/>
      <c r="X242" s="158"/>
    </row>
    <row r="243">
      <c r="A243" s="176"/>
      <c r="B243" s="177"/>
      <c r="C243" s="158"/>
      <c r="D243" s="158"/>
      <c r="E243" s="158"/>
      <c r="G243" s="158"/>
      <c r="H243" s="158"/>
      <c r="I243" s="158"/>
      <c r="J243" s="158"/>
      <c r="K243" s="158"/>
      <c r="L243" s="158"/>
      <c r="M243" s="158"/>
      <c r="N243" s="158"/>
      <c r="O243" s="158"/>
      <c r="P243" s="158"/>
      <c r="Q243" s="158"/>
      <c r="R243" s="158"/>
      <c r="S243" s="158"/>
      <c r="T243" s="158"/>
      <c r="U243" s="158"/>
      <c r="V243" s="158"/>
      <c r="W243" s="158"/>
      <c r="X243" s="158"/>
    </row>
    <row r="244">
      <c r="A244" s="176"/>
      <c r="B244" s="177"/>
      <c r="C244" s="158"/>
      <c r="D244" s="158"/>
      <c r="E244" s="158"/>
      <c r="F244" s="158"/>
      <c r="G244" s="158"/>
      <c r="H244" s="158"/>
      <c r="I244" s="158"/>
      <c r="J244" s="158"/>
      <c r="K244" s="158"/>
      <c r="L244" s="158"/>
      <c r="M244" s="158"/>
      <c r="N244" s="158"/>
      <c r="O244" s="158"/>
      <c r="P244" s="158"/>
      <c r="Q244" s="158"/>
      <c r="R244" s="158"/>
      <c r="S244" s="158"/>
      <c r="T244" s="158"/>
      <c r="U244" s="158"/>
      <c r="V244" s="158"/>
      <c r="W244" s="158"/>
      <c r="X244" s="158"/>
    </row>
    <row r="245">
      <c r="A245" s="176"/>
      <c r="B245" s="177"/>
      <c r="C245" s="158"/>
      <c r="D245" s="158"/>
      <c r="E245" s="158"/>
      <c r="G245" s="158"/>
      <c r="H245" s="158"/>
      <c r="I245" s="158"/>
      <c r="J245" s="158"/>
      <c r="K245" s="158"/>
      <c r="L245" s="158"/>
      <c r="M245" s="158"/>
      <c r="N245" s="158"/>
      <c r="O245" s="158"/>
      <c r="P245" s="158"/>
      <c r="Q245" s="158"/>
      <c r="R245" s="158"/>
      <c r="S245" s="158"/>
      <c r="T245" s="158"/>
      <c r="U245" s="158"/>
      <c r="V245" s="158"/>
      <c r="W245" s="158"/>
      <c r="X245" s="158"/>
    </row>
    <row r="246">
      <c r="A246" s="176"/>
      <c r="B246" s="177"/>
      <c r="C246" s="158"/>
      <c r="D246" s="158"/>
      <c r="E246" s="158"/>
      <c r="G246" s="158"/>
      <c r="H246" s="158"/>
      <c r="I246" s="158"/>
      <c r="J246" s="158"/>
      <c r="K246" s="158"/>
      <c r="L246" s="158"/>
      <c r="M246" s="158"/>
      <c r="N246" s="158"/>
      <c r="O246" s="158"/>
      <c r="P246" s="158"/>
      <c r="Q246" s="158"/>
      <c r="R246" s="158"/>
      <c r="S246" s="158"/>
      <c r="T246" s="158"/>
      <c r="U246" s="158"/>
      <c r="V246" s="158"/>
      <c r="W246" s="158"/>
      <c r="X246" s="158"/>
    </row>
    <row r="247">
      <c r="A247" s="176"/>
      <c r="B247" s="177"/>
      <c r="C247" s="158"/>
      <c r="D247" s="158"/>
      <c r="E247" s="158"/>
      <c r="G247" s="158"/>
      <c r="H247" s="158"/>
      <c r="I247" s="158"/>
      <c r="J247" s="158"/>
      <c r="K247" s="158"/>
      <c r="L247" s="158"/>
      <c r="M247" s="158"/>
      <c r="N247" s="158"/>
      <c r="O247" s="158"/>
      <c r="P247" s="158"/>
      <c r="Q247" s="158"/>
      <c r="R247" s="158"/>
      <c r="S247" s="158"/>
      <c r="T247" s="158"/>
      <c r="U247" s="158"/>
      <c r="V247" s="158"/>
      <c r="W247" s="158"/>
      <c r="X247" s="158"/>
    </row>
    <row r="248">
      <c r="A248" s="176"/>
      <c r="B248" s="177"/>
      <c r="C248" s="158"/>
      <c r="D248" s="158"/>
      <c r="E248" s="158"/>
      <c r="G248" s="158"/>
      <c r="H248" s="158"/>
      <c r="I248" s="158"/>
      <c r="J248" s="158"/>
      <c r="K248" s="158"/>
      <c r="L248" s="158"/>
      <c r="M248" s="158"/>
      <c r="N248" s="158"/>
      <c r="O248" s="158"/>
      <c r="P248" s="158"/>
      <c r="Q248" s="158"/>
      <c r="R248" s="158"/>
      <c r="S248" s="158"/>
      <c r="T248" s="158"/>
      <c r="U248" s="158"/>
      <c r="V248" s="158"/>
      <c r="W248" s="158"/>
      <c r="X248" s="158"/>
    </row>
    <row r="249">
      <c r="A249" s="176"/>
      <c r="B249" s="177"/>
      <c r="C249" s="158"/>
      <c r="D249" s="158"/>
      <c r="E249" s="158"/>
      <c r="G249" s="158"/>
      <c r="H249" s="158"/>
      <c r="I249" s="158"/>
      <c r="J249" s="158"/>
      <c r="K249" s="158"/>
      <c r="L249" s="158"/>
      <c r="M249" s="158"/>
      <c r="N249" s="158"/>
      <c r="O249" s="158"/>
      <c r="P249" s="158"/>
      <c r="Q249" s="158"/>
      <c r="R249" s="158"/>
      <c r="S249" s="158"/>
      <c r="T249" s="158"/>
      <c r="U249" s="158"/>
      <c r="V249" s="158"/>
      <c r="W249" s="158"/>
      <c r="X249" s="158"/>
    </row>
    <row r="250">
      <c r="A250" s="176"/>
      <c r="B250" s="177"/>
      <c r="C250" s="158"/>
      <c r="D250" s="158"/>
      <c r="E250" s="158"/>
      <c r="G250" s="158"/>
      <c r="H250" s="158"/>
      <c r="I250" s="158"/>
      <c r="J250" s="158"/>
      <c r="K250" s="158"/>
      <c r="L250" s="158"/>
      <c r="M250" s="158"/>
      <c r="N250" s="158"/>
      <c r="O250" s="158"/>
      <c r="P250" s="158"/>
      <c r="Q250" s="158"/>
      <c r="R250" s="158"/>
      <c r="S250" s="158"/>
      <c r="T250" s="158"/>
      <c r="U250" s="158"/>
      <c r="V250" s="158"/>
      <c r="W250" s="158"/>
      <c r="X250" s="158"/>
    </row>
    <row r="251">
      <c r="A251" s="176"/>
      <c r="B251" s="177"/>
      <c r="C251" s="158"/>
      <c r="D251" s="158"/>
      <c r="E251" s="158"/>
      <c r="G251" s="158"/>
      <c r="H251" s="158"/>
      <c r="I251" s="158"/>
      <c r="J251" s="158"/>
      <c r="K251" s="158"/>
      <c r="L251" s="158"/>
      <c r="M251" s="158"/>
      <c r="N251" s="158"/>
      <c r="O251" s="158"/>
      <c r="P251" s="158"/>
      <c r="Q251" s="158"/>
      <c r="R251" s="158"/>
      <c r="S251" s="158"/>
      <c r="T251" s="158"/>
      <c r="U251" s="158"/>
      <c r="V251" s="158"/>
      <c r="W251" s="158"/>
      <c r="X251" s="158"/>
    </row>
    <row r="252">
      <c r="A252" s="176"/>
      <c r="B252" s="177"/>
      <c r="C252" s="158"/>
      <c r="D252" s="158"/>
      <c r="E252" s="158"/>
      <c r="G252" s="158"/>
      <c r="H252" s="158"/>
      <c r="I252" s="158"/>
      <c r="J252" s="158"/>
      <c r="K252" s="158"/>
      <c r="L252" s="158"/>
      <c r="M252" s="158"/>
      <c r="N252" s="158"/>
      <c r="O252" s="158"/>
      <c r="P252" s="158"/>
      <c r="Q252" s="158"/>
      <c r="R252" s="158"/>
      <c r="S252" s="158"/>
      <c r="T252" s="158"/>
      <c r="U252" s="158"/>
      <c r="V252" s="158"/>
      <c r="W252" s="158"/>
      <c r="X252" s="158"/>
    </row>
    <row r="253">
      <c r="A253" s="176"/>
      <c r="B253" s="177"/>
      <c r="C253" s="158"/>
      <c r="D253" s="158"/>
      <c r="E253" s="158"/>
      <c r="F253" s="158"/>
      <c r="G253" s="158"/>
      <c r="H253" s="158"/>
      <c r="I253" s="158"/>
      <c r="J253" s="158"/>
      <c r="K253" s="158"/>
      <c r="L253" s="158"/>
      <c r="M253" s="158"/>
      <c r="N253" s="158"/>
      <c r="O253" s="158"/>
      <c r="P253" s="158"/>
      <c r="Q253" s="158"/>
      <c r="R253" s="158"/>
      <c r="S253" s="158"/>
      <c r="T253" s="158"/>
      <c r="U253" s="158"/>
      <c r="V253" s="158"/>
      <c r="W253" s="158"/>
      <c r="X253" s="158"/>
    </row>
    <row r="254">
      <c r="A254" s="176"/>
      <c r="B254" s="177"/>
      <c r="C254" s="158"/>
      <c r="D254" s="158"/>
      <c r="E254" s="158"/>
      <c r="G254" s="158"/>
      <c r="H254" s="158"/>
      <c r="I254" s="158"/>
      <c r="J254" s="158"/>
      <c r="K254" s="158"/>
      <c r="L254" s="158"/>
      <c r="M254" s="158"/>
      <c r="N254" s="158"/>
      <c r="O254" s="158"/>
      <c r="P254" s="158"/>
      <c r="Q254" s="158"/>
      <c r="R254" s="158"/>
      <c r="S254" s="158"/>
      <c r="T254" s="158"/>
      <c r="U254" s="158"/>
      <c r="V254" s="158"/>
      <c r="W254" s="158"/>
      <c r="X254" s="158"/>
    </row>
    <row r="255">
      <c r="A255" s="176"/>
      <c r="B255" s="177"/>
      <c r="C255" s="158"/>
      <c r="D255" s="158"/>
      <c r="E255" s="158"/>
      <c r="F255" s="158"/>
      <c r="G255" s="158"/>
      <c r="H255" s="158"/>
      <c r="I255" s="158"/>
      <c r="J255" s="158"/>
      <c r="K255" s="158"/>
      <c r="L255" s="158"/>
      <c r="M255" s="158"/>
      <c r="N255" s="158"/>
      <c r="O255" s="158"/>
      <c r="P255" s="158"/>
      <c r="Q255" s="158"/>
      <c r="R255" s="158"/>
      <c r="S255" s="158"/>
      <c r="T255" s="158"/>
      <c r="U255" s="158"/>
      <c r="V255" s="158"/>
      <c r="W255" s="158"/>
      <c r="X255" s="158"/>
    </row>
    <row r="256">
      <c r="A256" s="176"/>
      <c r="B256" s="177"/>
      <c r="C256" s="158"/>
      <c r="D256" s="158"/>
      <c r="E256" s="158"/>
      <c r="F256" s="158"/>
      <c r="G256" s="158"/>
      <c r="H256" s="158"/>
      <c r="I256" s="158"/>
      <c r="J256" s="158"/>
      <c r="K256" s="158"/>
      <c r="L256" s="158"/>
      <c r="M256" s="158"/>
      <c r="N256" s="158"/>
      <c r="O256" s="158"/>
      <c r="P256" s="158"/>
      <c r="Q256" s="158"/>
      <c r="R256" s="158"/>
      <c r="S256" s="158"/>
      <c r="T256" s="158"/>
      <c r="U256" s="158"/>
      <c r="V256" s="158"/>
      <c r="W256" s="158"/>
      <c r="X256" s="158"/>
    </row>
    <row r="257">
      <c r="A257" s="176"/>
      <c r="B257" s="177"/>
      <c r="C257" s="158"/>
      <c r="D257" s="158"/>
      <c r="E257" s="158"/>
      <c r="F257" s="158"/>
      <c r="G257" s="158"/>
      <c r="H257" s="158"/>
      <c r="I257" s="158"/>
      <c r="J257" s="158"/>
      <c r="K257" s="158"/>
      <c r="L257" s="158"/>
      <c r="M257" s="158"/>
      <c r="N257" s="158"/>
      <c r="O257" s="158"/>
      <c r="P257" s="158"/>
      <c r="Q257" s="158"/>
      <c r="R257" s="158"/>
      <c r="S257" s="158"/>
      <c r="T257" s="158"/>
      <c r="U257" s="158"/>
      <c r="V257" s="158"/>
      <c r="W257" s="158"/>
      <c r="X257" s="158"/>
    </row>
    <row r="258">
      <c r="A258" s="176"/>
      <c r="B258" s="177"/>
      <c r="C258" s="158"/>
      <c r="D258" s="158"/>
      <c r="E258" s="158"/>
      <c r="G258" s="158"/>
      <c r="H258" s="158"/>
      <c r="I258" s="158"/>
      <c r="J258" s="158"/>
      <c r="K258" s="158"/>
      <c r="L258" s="158"/>
      <c r="M258" s="158"/>
      <c r="N258" s="158"/>
      <c r="O258" s="158"/>
      <c r="P258" s="158"/>
      <c r="Q258" s="158"/>
      <c r="R258" s="158"/>
      <c r="S258" s="158"/>
      <c r="T258" s="158"/>
      <c r="U258" s="158"/>
      <c r="V258" s="158"/>
      <c r="W258" s="158"/>
      <c r="X258" s="158"/>
    </row>
    <row r="259">
      <c r="A259" s="176"/>
      <c r="B259" s="177"/>
      <c r="C259" s="158"/>
      <c r="D259" s="158"/>
      <c r="E259" s="158"/>
      <c r="G259" s="158"/>
      <c r="H259" s="158"/>
      <c r="I259" s="158"/>
      <c r="J259" s="158"/>
      <c r="K259" s="158"/>
      <c r="L259" s="158"/>
      <c r="M259" s="158"/>
      <c r="N259" s="158"/>
      <c r="O259" s="158"/>
      <c r="P259" s="158"/>
      <c r="Q259" s="158"/>
      <c r="R259" s="158"/>
      <c r="S259" s="158"/>
      <c r="T259" s="158"/>
      <c r="U259" s="158"/>
      <c r="V259" s="158"/>
      <c r="W259" s="158"/>
      <c r="X259" s="158"/>
    </row>
    <row r="260">
      <c r="A260" s="176"/>
      <c r="B260" s="177"/>
      <c r="C260" s="158"/>
      <c r="D260" s="158"/>
      <c r="E260" s="158"/>
      <c r="G260" s="158"/>
      <c r="H260" s="158"/>
      <c r="I260" s="158"/>
      <c r="J260" s="158"/>
      <c r="K260" s="158"/>
      <c r="L260" s="158"/>
      <c r="M260" s="158"/>
      <c r="N260" s="158"/>
      <c r="O260" s="158"/>
      <c r="P260" s="158"/>
      <c r="Q260" s="158"/>
      <c r="R260" s="158"/>
      <c r="S260" s="158"/>
      <c r="T260" s="158"/>
      <c r="U260" s="158"/>
      <c r="V260" s="158"/>
      <c r="W260" s="158"/>
      <c r="X260" s="158"/>
    </row>
    <row r="261">
      <c r="A261" s="176"/>
      <c r="B261" s="177"/>
      <c r="C261" s="158"/>
      <c r="D261" s="158"/>
      <c r="E261" s="158"/>
      <c r="G261" s="158"/>
      <c r="H261" s="158"/>
      <c r="I261" s="158"/>
      <c r="J261" s="158"/>
      <c r="K261" s="158"/>
      <c r="L261" s="158"/>
      <c r="M261" s="158"/>
      <c r="N261" s="158"/>
      <c r="O261" s="158"/>
      <c r="P261" s="158"/>
      <c r="Q261" s="158"/>
      <c r="R261" s="158"/>
      <c r="S261" s="158"/>
      <c r="T261" s="158"/>
      <c r="U261" s="158"/>
      <c r="V261" s="158"/>
      <c r="W261" s="158"/>
      <c r="X261" s="158"/>
    </row>
    <row r="262">
      <c r="A262" s="176"/>
      <c r="B262" s="177"/>
      <c r="C262" s="158"/>
      <c r="D262" s="158"/>
      <c r="E262" s="158"/>
      <c r="G262" s="158"/>
      <c r="H262" s="158"/>
      <c r="I262" s="158"/>
      <c r="J262" s="158"/>
      <c r="K262" s="158"/>
      <c r="L262" s="158"/>
      <c r="M262" s="158"/>
      <c r="N262" s="158"/>
      <c r="O262" s="158"/>
      <c r="P262" s="158"/>
      <c r="Q262" s="158"/>
      <c r="R262" s="158"/>
      <c r="S262" s="158"/>
      <c r="T262" s="158"/>
      <c r="U262" s="158"/>
      <c r="V262" s="158"/>
      <c r="W262" s="158"/>
      <c r="X262" s="158"/>
    </row>
    <row r="263">
      <c r="A263" s="176"/>
      <c r="B263" s="177"/>
      <c r="C263" s="158"/>
      <c r="D263" s="158"/>
      <c r="E263" s="158"/>
      <c r="F263" s="158"/>
      <c r="G263" s="158"/>
      <c r="H263" s="158"/>
      <c r="I263" s="158"/>
      <c r="J263" s="158"/>
      <c r="K263" s="158"/>
      <c r="L263" s="158"/>
      <c r="M263" s="158"/>
      <c r="N263" s="158"/>
      <c r="O263" s="158"/>
      <c r="P263" s="158"/>
      <c r="Q263" s="158"/>
      <c r="R263" s="158"/>
      <c r="S263" s="158"/>
      <c r="T263" s="158"/>
      <c r="U263" s="158"/>
      <c r="V263" s="158"/>
      <c r="W263" s="158"/>
      <c r="X263" s="158"/>
    </row>
    <row r="264">
      <c r="A264" s="176"/>
      <c r="B264" s="177"/>
      <c r="C264" s="158"/>
      <c r="D264" s="158"/>
      <c r="E264" s="158"/>
      <c r="G264" s="158"/>
      <c r="H264" s="158"/>
      <c r="I264" s="158"/>
      <c r="J264" s="158"/>
      <c r="K264" s="158"/>
      <c r="L264" s="158"/>
      <c r="M264" s="158"/>
      <c r="N264" s="158"/>
      <c r="O264" s="158"/>
      <c r="P264" s="158"/>
      <c r="Q264" s="158"/>
      <c r="R264" s="158"/>
      <c r="S264" s="158"/>
      <c r="T264" s="158"/>
      <c r="U264" s="158"/>
      <c r="V264" s="158"/>
      <c r="W264" s="158"/>
      <c r="X264" s="158"/>
    </row>
    <row r="265">
      <c r="A265" s="176"/>
      <c r="B265" s="177"/>
      <c r="C265" s="158"/>
      <c r="D265" s="158"/>
      <c r="E265" s="158"/>
      <c r="G265" s="158"/>
      <c r="H265" s="158"/>
      <c r="I265" s="158"/>
      <c r="J265" s="158"/>
      <c r="K265" s="158"/>
      <c r="L265" s="158"/>
      <c r="M265" s="158"/>
      <c r="N265" s="158"/>
      <c r="O265" s="158"/>
      <c r="P265" s="158"/>
      <c r="Q265" s="158"/>
      <c r="R265" s="158"/>
      <c r="S265" s="158"/>
      <c r="T265" s="158"/>
      <c r="U265" s="158"/>
      <c r="V265" s="158"/>
      <c r="W265" s="158"/>
      <c r="X265" s="158"/>
    </row>
    <row r="266">
      <c r="A266" s="176"/>
      <c r="B266" s="177"/>
      <c r="C266" s="158"/>
      <c r="D266" s="158"/>
      <c r="E266" s="158"/>
      <c r="G266" s="158"/>
      <c r="H266" s="158"/>
      <c r="I266" s="158"/>
      <c r="J266" s="158"/>
      <c r="K266" s="158"/>
      <c r="L266" s="158"/>
      <c r="M266" s="158"/>
      <c r="N266" s="158"/>
      <c r="O266" s="158"/>
      <c r="P266" s="158"/>
      <c r="Q266" s="158"/>
      <c r="R266" s="158"/>
      <c r="S266" s="158"/>
      <c r="T266" s="158"/>
      <c r="U266" s="158"/>
      <c r="V266" s="158"/>
      <c r="W266" s="158"/>
      <c r="X266" s="158"/>
    </row>
    <row r="267">
      <c r="A267" s="176"/>
      <c r="B267" s="177"/>
      <c r="C267" s="158"/>
      <c r="D267" s="158"/>
      <c r="E267" s="158"/>
      <c r="G267" s="158"/>
      <c r="H267" s="158"/>
      <c r="I267" s="158"/>
      <c r="J267" s="158"/>
      <c r="K267" s="158"/>
      <c r="L267" s="158"/>
      <c r="M267" s="158"/>
      <c r="N267" s="158"/>
      <c r="O267" s="158"/>
      <c r="P267" s="158"/>
      <c r="Q267" s="158"/>
      <c r="R267" s="158"/>
      <c r="S267" s="158"/>
      <c r="T267" s="158"/>
      <c r="U267" s="158"/>
      <c r="V267" s="158"/>
      <c r="W267" s="158"/>
      <c r="X267" s="158"/>
    </row>
    <row r="268">
      <c r="A268" s="176"/>
      <c r="B268" s="177"/>
      <c r="C268" s="158"/>
      <c r="D268" s="158"/>
      <c r="E268" s="158"/>
      <c r="G268" s="158"/>
      <c r="H268" s="158"/>
      <c r="I268" s="158"/>
      <c r="J268" s="158"/>
      <c r="K268" s="158"/>
      <c r="L268" s="158"/>
      <c r="M268" s="158"/>
      <c r="N268" s="158"/>
      <c r="O268" s="158"/>
      <c r="P268" s="158"/>
      <c r="Q268" s="158"/>
      <c r="R268" s="158"/>
      <c r="S268" s="158"/>
      <c r="T268" s="158"/>
      <c r="U268" s="158"/>
      <c r="V268" s="158"/>
      <c r="W268" s="158"/>
      <c r="X268" s="158"/>
    </row>
    <row r="269">
      <c r="A269" s="176"/>
      <c r="B269" s="177"/>
      <c r="C269" s="158"/>
      <c r="D269" s="158"/>
      <c r="E269" s="158"/>
      <c r="F269" s="158"/>
      <c r="G269" s="158"/>
      <c r="H269" s="158"/>
      <c r="I269" s="158"/>
      <c r="J269" s="158"/>
      <c r="K269" s="158"/>
      <c r="L269" s="158"/>
      <c r="M269" s="158"/>
      <c r="N269" s="158"/>
      <c r="O269" s="158"/>
      <c r="P269" s="158"/>
      <c r="Q269" s="158"/>
      <c r="R269" s="158"/>
      <c r="S269" s="158"/>
      <c r="T269" s="158"/>
      <c r="U269" s="158"/>
      <c r="V269" s="158"/>
      <c r="W269" s="158"/>
      <c r="X269" s="158"/>
    </row>
    <row r="270">
      <c r="A270" s="176"/>
      <c r="B270" s="177"/>
      <c r="C270" s="158"/>
      <c r="D270" s="158"/>
      <c r="E270" s="158"/>
      <c r="F270" s="158"/>
      <c r="G270" s="158"/>
      <c r="H270" s="158"/>
      <c r="I270" s="158"/>
      <c r="J270" s="158"/>
      <c r="K270" s="158"/>
      <c r="L270" s="158"/>
      <c r="M270" s="158"/>
      <c r="N270" s="158"/>
      <c r="O270" s="158"/>
      <c r="P270" s="158"/>
      <c r="Q270" s="158"/>
      <c r="R270" s="158"/>
      <c r="S270" s="158"/>
      <c r="T270" s="158"/>
      <c r="U270" s="158"/>
      <c r="V270" s="158"/>
      <c r="W270" s="158"/>
      <c r="X270" s="158"/>
    </row>
    <row r="271">
      <c r="A271" s="176"/>
      <c r="B271" s="177"/>
      <c r="C271" s="158"/>
      <c r="D271" s="158"/>
      <c r="E271" s="158"/>
      <c r="F271" s="158"/>
      <c r="G271" s="158"/>
      <c r="H271" s="158"/>
      <c r="I271" s="158"/>
      <c r="J271" s="158"/>
      <c r="K271" s="158"/>
      <c r="L271" s="158"/>
      <c r="M271" s="158"/>
      <c r="N271" s="158"/>
      <c r="O271" s="158"/>
      <c r="P271" s="158"/>
      <c r="Q271" s="158"/>
      <c r="R271" s="158"/>
      <c r="S271" s="158"/>
      <c r="T271" s="158"/>
      <c r="U271" s="158"/>
      <c r="V271" s="158"/>
      <c r="W271" s="158"/>
      <c r="X271" s="158"/>
    </row>
    <row r="272">
      <c r="A272" s="176"/>
      <c r="B272" s="177"/>
      <c r="C272" s="158"/>
      <c r="D272" s="158"/>
      <c r="E272" s="158"/>
      <c r="F272" s="158"/>
      <c r="G272" s="158"/>
      <c r="H272" s="158"/>
      <c r="I272" s="158"/>
      <c r="J272" s="158"/>
      <c r="K272" s="158"/>
      <c r="L272" s="158"/>
      <c r="M272" s="158"/>
      <c r="N272" s="158"/>
      <c r="O272" s="158"/>
      <c r="P272" s="158"/>
      <c r="Q272" s="158"/>
      <c r="R272" s="158"/>
      <c r="S272" s="158"/>
      <c r="T272" s="158"/>
      <c r="U272" s="158"/>
      <c r="V272" s="158"/>
      <c r="W272" s="158"/>
      <c r="X272" s="158"/>
    </row>
    <row r="273">
      <c r="A273" s="176"/>
      <c r="B273" s="177"/>
      <c r="C273" s="158"/>
      <c r="D273" s="158"/>
      <c r="E273" s="158"/>
      <c r="F273" s="158"/>
      <c r="G273" s="158"/>
      <c r="H273" s="158"/>
      <c r="I273" s="158"/>
      <c r="J273" s="158"/>
      <c r="K273" s="158"/>
      <c r="L273" s="158"/>
      <c r="M273" s="158"/>
      <c r="N273" s="158"/>
      <c r="O273" s="158"/>
      <c r="P273" s="158"/>
      <c r="Q273" s="158"/>
      <c r="R273" s="158"/>
      <c r="S273" s="158"/>
      <c r="T273" s="158"/>
      <c r="U273" s="158"/>
      <c r="V273" s="158"/>
      <c r="W273" s="158"/>
      <c r="X273" s="158"/>
    </row>
    <row r="274">
      <c r="A274" s="176"/>
      <c r="B274" s="177"/>
      <c r="C274" s="158"/>
      <c r="D274" s="158"/>
      <c r="E274" s="158"/>
      <c r="G274" s="158"/>
      <c r="H274" s="158"/>
      <c r="I274" s="158"/>
      <c r="J274" s="158"/>
      <c r="K274" s="158"/>
      <c r="L274" s="158"/>
      <c r="M274" s="158"/>
      <c r="N274" s="158"/>
      <c r="O274" s="158"/>
      <c r="P274" s="158"/>
      <c r="Q274" s="158"/>
      <c r="R274" s="158"/>
      <c r="S274" s="158"/>
      <c r="T274" s="158"/>
      <c r="U274" s="158"/>
      <c r="V274" s="158"/>
      <c r="W274" s="158"/>
      <c r="X274" s="158"/>
    </row>
    <row r="275">
      <c r="A275" s="176"/>
      <c r="B275" s="177"/>
      <c r="C275" s="158"/>
      <c r="D275" s="158"/>
      <c r="E275" s="158"/>
      <c r="G275" s="158"/>
      <c r="H275" s="158"/>
      <c r="I275" s="158"/>
      <c r="J275" s="158"/>
      <c r="K275" s="158"/>
      <c r="L275" s="158"/>
      <c r="M275" s="158"/>
      <c r="N275" s="158"/>
      <c r="O275" s="158"/>
      <c r="P275" s="158"/>
      <c r="Q275" s="158"/>
      <c r="R275" s="158"/>
      <c r="S275" s="158"/>
      <c r="T275" s="158"/>
      <c r="U275" s="158"/>
      <c r="V275" s="158"/>
      <c r="W275" s="158"/>
      <c r="X275" s="158"/>
    </row>
    <row r="276">
      <c r="A276" s="176"/>
      <c r="B276" s="177"/>
      <c r="C276" s="158"/>
      <c r="D276" s="158"/>
      <c r="E276" s="158"/>
      <c r="G276" s="158"/>
      <c r="H276" s="158"/>
      <c r="I276" s="158"/>
      <c r="J276" s="158"/>
      <c r="K276" s="158"/>
      <c r="L276" s="158"/>
      <c r="M276" s="158"/>
      <c r="N276" s="158"/>
      <c r="O276" s="158"/>
      <c r="P276" s="158"/>
      <c r="Q276" s="158"/>
      <c r="R276" s="158"/>
      <c r="S276" s="158"/>
      <c r="T276" s="158"/>
      <c r="U276" s="158"/>
      <c r="V276" s="158"/>
      <c r="W276" s="158"/>
      <c r="X276" s="158"/>
    </row>
    <row r="277">
      <c r="A277" s="176"/>
      <c r="B277" s="177"/>
      <c r="C277" s="158"/>
      <c r="D277" s="158"/>
      <c r="E277" s="158"/>
      <c r="G277" s="158"/>
      <c r="H277" s="158"/>
      <c r="I277" s="158"/>
      <c r="J277" s="158"/>
      <c r="K277" s="158"/>
      <c r="L277" s="158"/>
      <c r="M277" s="158"/>
      <c r="N277" s="158"/>
      <c r="O277" s="158"/>
      <c r="P277" s="158"/>
      <c r="Q277" s="158"/>
      <c r="R277" s="158"/>
      <c r="S277" s="158"/>
      <c r="T277" s="158"/>
      <c r="U277" s="158"/>
      <c r="V277" s="158"/>
      <c r="W277" s="158"/>
      <c r="X277" s="158"/>
    </row>
    <row r="278">
      <c r="A278" s="176"/>
      <c r="B278" s="177"/>
      <c r="C278" s="158"/>
      <c r="D278" s="158"/>
      <c r="E278" s="158"/>
      <c r="F278" s="158"/>
      <c r="G278" s="158"/>
      <c r="H278" s="158"/>
      <c r="I278" s="158"/>
      <c r="J278" s="158"/>
      <c r="K278" s="158"/>
      <c r="L278" s="158"/>
      <c r="M278" s="158"/>
      <c r="N278" s="158"/>
      <c r="O278" s="158"/>
      <c r="P278" s="158"/>
      <c r="Q278" s="158"/>
      <c r="R278" s="158"/>
      <c r="S278" s="158"/>
      <c r="T278" s="158"/>
      <c r="U278" s="158"/>
      <c r="V278" s="158"/>
      <c r="W278" s="158"/>
      <c r="X278" s="158"/>
    </row>
    <row r="279">
      <c r="A279" s="176"/>
      <c r="B279" s="177"/>
      <c r="C279" s="158"/>
      <c r="D279" s="158"/>
      <c r="E279" s="158"/>
      <c r="F279" s="158"/>
      <c r="G279" s="158"/>
      <c r="H279" s="158"/>
      <c r="I279" s="158"/>
      <c r="J279" s="158"/>
      <c r="K279" s="158"/>
      <c r="L279" s="158"/>
      <c r="M279" s="158"/>
      <c r="N279" s="158"/>
      <c r="O279" s="158"/>
      <c r="P279" s="158"/>
      <c r="Q279" s="158"/>
      <c r="R279" s="158"/>
      <c r="S279" s="158"/>
      <c r="T279" s="158"/>
      <c r="U279" s="158"/>
      <c r="V279" s="158"/>
      <c r="W279" s="158"/>
      <c r="X279" s="158"/>
    </row>
    <row r="280">
      <c r="A280" s="176"/>
      <c r="B280" s="177"/>
      <c r="C280" s="158"/>
      <c r="D280" s="158"/>
      <c r="E280" s="158"/>
      <c r="G280" s="158"/>
      <c r="H280" s="158"/>
      <c r="I280" s="158"/>
      <c r="J280" s="158"/>
      <c r="K280" s="158"/>
      <c r="L280" s="158"/>
      <c r="M280" s="158"/>
      <c r="N280" s="158"/>
      <c r="O280" s="158"/>
      <c r="P280" s="158"/>
      <c r="Q280" s="158"/>
      <c r="R280" s="158"/>
      <c r="S280" s="158"/>
      <c r="T280" s="158"/>
      <c r="U280" s="158"/>
      <c r="V280" s="158"/>
      <c r="W280" s="158"/>
      <c r="X280" s="158"/>
    </row>
    <row r="281">
      <c r="A281" s="176"/>
      <c r="B281" s="177"/>
      <c r="C281" s="158"/>
      <c r="D281" s="158"/>
      <c r="E281" s="158"/>
      <c r="G281" s="158"/>
      <c r="H281" s="158"/>
      <c r="I281" s="158"/>
      <c r="J281" s="158"/>
      <c r="K281" s="158"/>
      <c r="L281" s="158"/>
      <c r="M281" s="158"/>
      <c r="N281" s="158"/>
      <c r="O281" s="158"/>
      <c r="P281" s="158"/>
      <c r="Q281" s="158"/>
      <c r="R281" s="158"/>
      <c r="S281" s="158"/>
      <c r="T281" s="158"/>
      <c r="U281" s="158"/>
      <c r="V281" s="158"/>
      <c r="W281" s="158"/>
      <c r="X281" s="158"/>
    </row>
    <row r="282">
      <c r="A282" s="176"/>
      <c r="B282" s="177"/>
      <c r="C282" s="158"/>
      <c r="D282" s="158"/>
      <c r="E282" s="158"/>
      <c r="F282" s="158"/>
      <c r="G282" s="158"/>
      <c r="H282" s="158"/>
      <c r="I282" s="158"/>
      <c r="J282" s="158"/>
      <c r="K282" s="158"/>
      <c r="L282" s="158"/>
      <c r="M282" s="158"/>
      <c r="N282" s="158"/>
      <c r="O282" s="158"/>
      <c r="P282" s="158"/>
      <c r="Q282" s="158"/>
      <c r="R282" s="158"/>
      <c r="S282" s="158"/>
      <c r="T282" s="158"/>
      <c r="U282" s="158"/>
      <c r="V282" s="158"/>
      <c r="W282" s="158"/>
      <c r="X282" s="158"/>
    </row>
    <row r="283">
      <c r="A283" s="176"/>
      <c r="B283" s="177"/>
      <c r="C283" s="158"/>
      <c r="D283" s="158"/>
      <c r="E283" s="158"/>
      <c r="F283" s="158"/>
      <c r="G283" s="158"/>
      <c r="H283" s="158"/>
      <c r="I283" s="158"/>
      <c r="J283" s="158"/>
      <c r="K283" s="158"/>
      <c r="L283" s="158"/>
      <c r="M283" s="158"/>
      <c r="N283" s="158"/>
      <c r="O283" s="158"/>
      <c r="P283" s="158"/>
      <c r="Q283" s="158"/>
      <c r="R283" s="158"/>
      <c r="S283" s="158"/>
      <c r="T283" s="158"/>
      <c r="U283" s="158"/>
      <c r="V283" s="158"/>
      <c r="W283" s="158"/>
      <c r="X283" s="158"/>
    </row>
    <row r="284">
      <c r="A284" s="176"/>
      <c r="B284" s="177"/>
      <c r="C284" s="158"/>
      <c r="D284" s="158"/>
      <c r="E284" s="158"/>
      <c r="F284" s="158"/>
      <c r="G284" s="158"/>
      <c r="H284" s="158"/>
      <c r="I284" s="158"/>
      <c r="J284" s="158"/>
      <c r="K284" s="158"/>
      <c r="L284" s="158"/>
      <c r="M284" s="158"/>
      <c r="N284" s="158"/>
      <c r="O284" s="158"/>
      <c r="P284" s="158"/>
      <c r="Q284" s="158"/>
      <c r="R284" s="158"/>
      <c r="S284" s="158"/>
      <c r="T284" s="158"/>
      <c r="U284" s="158"/>
      <c r="V284" s="158"/>
      <c r="W284" s="158"/>
      <c r="X284" s="158"/>
    </row>
    <row r="285">
      <c r="A285" s="176"/>
      <c r="B285" s="177"/>
      <c r="C285" s="158"/>
      <c r="D285" s="158"/>
      <c r="E285" s="158"/>
      <c r="G285" s="158"/>
      <c r="H285" s="158"/>
      <c r="I285" s="158"/>
      <c r="J285" s="158"/>
      <c r="K285" s="158"/>
      <c r="L285" s="158"/>
      <c r="M285" s="158"/>
      <c r="N285" s="158"/>
      <c r="O285" s="158"/>
      <c r="P285" s="158"/>
      <c r="Q285" s="158"/>
      <c r="R285" s="158"/>
      <c r="S285" s="158"/>
      <c r="T285" s="158"/>
      <c r="U285" s="158"/>
      <c r="V285" s="158"/>
      <c r="W285" s="158"/>
      <c r="X285" s="158"/>
    </row>
    <row r="286">
      <c r="A286" s="176"/>
      <c r="B286" s="177"/>
      <c r="C286" s="158"/>
      <c r="D286" s="158"/>
      <c r="E286" s="158"/>
      <c r="G286" s="158"/>
      <c r="H286" s="158"/>
      <c r="I286" s="158"/>
      <c r="J286" s="158"/>
      <c r="K286" s="158"/>
      <c r="L286" s="158"/>
      <c r="M286" s="158"/>
      <c r="N286" s="158"/>
      <c r="O286" s="158"/>
      <c r="P286" s="158"/>
      <c r="Q286" s="158"/>
      <c r="R286" s="158"/>
      <c r="S286" s="158"/>
      <c r="T286" s="158"/>
      <c r="U286" s="158"/>
      <c r="V286" s="158"/>
      <c r="W286" s="158"/>
      <c r="X286" s="158"/>
    </row>
    <row r="287">
      <c r="A287" s="176"/>
      <c r="B287" s="177"/>
      <c r="C287" s="158"/>
      <c r="D287" s="158"/>
      <c r="E287" s="158"/>
      <c r="G287" s="158"/>
      <c r="H287" s="158"/>
      <c r="I287" s="158"/>
      <c r="J287" s="158"/>
      <c r="K287" s="158"/>
      <c r="L287" s="158"/>
      <c r="M287" s="158"/>
      <c r="N287" s="158"/>
      <c r="O287" s="158"/>
      <c r="P287" s="158"/>
      <c r="Q287" s="158"/>
      <c r="R287" s="158"/>
      <c r="S287" s="158"/>
      <c r="T287" s="158"/>
      <c r="U287" s="158"/>
      <c r="V287" s="158"/>
      <c r="W287" s="158"/>
      <c r="X287" s="158"/>
    </row>
    <row r="288">
      <c r="A288" s="176"/>
      <c r="B288" s="177"/>
      <c r="C288" s="158"/>
      <c r="D288" s="158"/>
      <c r="E288" s="158"/>
      <c r="G288" s="158"/>
      <c r="H288" s="158"/>
      <c r="I288" s="158"/>
      <c r="J288" s="158"/>
      <c r="K288" s="158"/>
      <c r="L288" s="158"/>
      <c r="M288" s="158"/>
      <c r="N288" s="158"/>
      <c r="O288" s="158"/>
      <c r="P288" s="158"/>
      <c r="Q288" s="158"/>
      <c r="R288" s="158"/>
      <c r="S288" s="158"/>
      <c r="T288" s="158"/>
      <c r="U288" s="158"/>
      <c r="V288" s="158"/>
      <c r="W288" s="158"/>
      <c r="X288" s="158"/>
    </row>
    <row r="289">
      <c r="A289" s="176"/>
      <c r="B289" s="177"/>
      <c r="C289" s="158"/>
      <c r="D289" s="158"/>
      <c r="E289" s="158"/>
      <c r="F289" s="158"/>
      <c r="G289" s="158"/>
      <c r="H289" s="158"/>
      <c r="I289" s="158"/>
      <c r="J289" s="158"/>
      <c r="K289" s="158"/>
      <c r="L289" s="158"/>
      <c r="M289" s="158"/>
      <c r="N289" s="158"/>
      <c r="O289" s="158"/>
      <c r="P289" s="158"/>
      <c r="Q289" s="158"/>
      <c r="R289" s="158"/>
      <c r="S289" s="158"/>
      <c r="T289" s="158"/>
      <c r="U289" s="158"/>
      <c r="V289" s="158"/>
      <c r="W289" s="158"/>
      <c r="X289" s="158"/>
    </row>
    <row r="290">
      <c r="A290" s="176"/>
      <c r="B290" s="177"/>
      <c r="C290" s="158"/>
      <c r="D290" s="158"/>
      <c r="E290" s="158"/>
      <c r="G290" s="158"/>
      <c r="H290" s="158"/>
      <c r="I290" s="158"/>
      <c r="J290" s="158"/>
      <c r="K290" s="158"/>
      <c r="L290" s="158"/>
      <c r="M290" s="158"/>
      <c r="N290" s="158"/>
      <c r="O290" s="158"/>
      <c r="P290" s="158"/>
      <c r="Q290" s="158"/>
      <c r="R290" s="158"/>
      <c r="S290" s="158"/>
      <c r="T290" s="158"/>
      <c r="U290" s="158"/>
      <c r="V290" s="158"/>
      <c r="W290" s="158"/>
      <c r="X290" s="158"/>
    </row>
    <row r="291">
      <c r="A291" s="176"/>
      <c r="B291" s="177"/>
      <c r="C291" s="158"/>
      <c r="D291" s="158"/>
      <c r="E291" s="158"/>
      <c r="G291" s="158"/>
      <c r="H291" s="158"/>
      <c r="I291" s="158"/>
      <c r="J291" s="158"/>
      <c r="K291" s="158"/>
      <c r="L291" s="158"/>
      <c r="M291" s="158"/>
      <c r="N291" s="158"/>
      <c r="O291" s="158"/>
      <c r="P291" s="158"/>
      <c r="Q291" s="158"/>
      <c r="R291" s="158"/>
      <c r="S291" s="158"/>
      <c r="T291" s="158"/>
      <c r="U291" s="158"/>
      <c r="V291" s="158"/>
      <c r="W291" s="158"/>
      <c r="X291" s="158"/>
    </row>
    <row r="292">
      <c r="A292" s="176"/>
      <c r="B292" s="177"/>
      <c r="C292" s="158"/>
      <c r="D292" s="158"/>
      <c r="E292" s="158"/>
      <c r="G292" s="158"/>
      <c r="H292" s="158"/>
      <c r="I292" s="158"/>
      <c r="J292" s="158"/>
      <c r="K292" s="158"/>
      <c r="L292" s="158"/>
      <c r="M292" s="158"/>
      <c r="N292" s="158"/>
      <c r="O292" s="158"/>
      <c r="P292" s="158"/>
      <c r="Q292" s="158"/>
      <c r="R292" s="158"/>
      <c r="S292" s="158"/>
      <c r="T292" s="158"/>
      <c r="U292" s="158"/>
      <c r="V292" s="158"/>
      <c r="W292" s="158"/>
      <c r="X292" s="158"/>
    </row>
    <row r="293">
      <c r="A293" s="176"/>
      <c r="B293" s="177"/>
      <c r="C293" s="158"/>
      <c r="D293" s="158"/>
      <c r="E293" s="158"/>
      <c r="F293" s="158"/>
      <c r="G293" s="158"/>
      <c r="H293" s="158"/>
      <c r="I293" s="158"/>
      <c r="J293" s="158"/>
      <c r="K293" s="158"/>
      <c r="L293" s="158"/>
      <c r="M293" s="158"/>
      <c r="N293" s="158"/>
      <c r="O293" s="158"/>
      <c r="P293" s="158"/>
      <c r="Q293" s="158"/>
      <c r="R293" s="158"/>
      <c r="S293" s="158"/>
      <c r="T293" s="158"/>
      <c r="U293" s="158"/>
      <c r="V293" s="158"/>
      <c r="W293" s="158"/>
      <c r="X293" s="158"/>
    </row>
    <row r="294">
      <c r="A294" s="176"/>
      <c r="B294" s="177"/>
      <c r="C294" s="158"/>
      <c r="D294" s="158"/>
      <c r="E294" s="158"/>
      <c r="G294" s="158"/>
      <c r="H294" s="158"/>
      <c r="I294" s="158"/>
      <c r="J294" s="158"/>
      <c r="K294" s="158"/>
      <c r="L294" s="158"/>
      <c r="M294" s="158"/>
      <c r="N294" s="158"/>
      <c r="O294" s="158"/>
      <c r="P294" s="158"/>
      <c r="Q294" s="158"/>
      <c r="R294" s="158"/>
      <c r="S294" s="158"/>
      <c r="T294" s="158"/>
      <c r="U294" s="158"/>
      <c r="V294" s="158"/>
      <c r="W294" s="158"/>
      <c r="X294" s="158"/>
    </row>
    <row r="295">
      <c r="A295" s="176"/>
      <c r="B295" s="177"/>
      <c r="C295" s="158"/>
      <c r="D295" s="158"/>
      <c r="E295" s="158"/>
      <c r="G295" s="158"/>
      <c r="H295" s="158"/>
      <c r="I295" s="158"/>
      <c r="J295" s="158"/>
      <c r="K295" s="158"/>
      <c r="L295" s="158"/>
      <c r="M295" s="158"/>
      <c r="N295" s="158"/>
      <c r="O295" s="158"/>
      <c r="P295" s="158"/>
      <c r="Q295" s="158"/>
      <c r="R295" s="158"/>
      <c r="S295" s="158"/>
      <c r="T295" s="158"/>
      <c r="U295" s="158"/>
      <c r="V295" s="158"/>
      <c r="W295" s="158"/>
      <c r="X295" s="158"/>
    </row>
    <row r="296">
      <c r="A296" s="176"/>
      <c r="B296" s="177"/>
      <c r="C296" s="158"/>
      <c r="D296" s="158"/>
      <c r="E296" s="158"/>
      <c r="F296" s="158"/>
      <c r="G296" s="158"/>
      <c r="H296" s="158"/>
      <c r="I296" s="158"/>
      <c r="J296" s="158"/>
      <c r="K296" s="158"/>
      <c r="L296" s="158"/>
      <c r="M296" s="158"/>
      <c r="N296" s="158"/>
      <c r="O296" s="158"/>
      <c r="P296" s="158"/>
      <c r="Q296" s="158"/>
      <c r="R296" s="158"/>
      <c r="S296" s="158"/>
      <c r="T296" s="158"/>
      <c r="U296" s="158"/>
      <c r="V296" s="158"/>
      <c r="W296" s="158"/>
      <c r="X296" s="158"/>
    </row>
    <row r="297">
      <c r="A297" s="176"/>
      <c r="B297" s="177"/>
      <c r="C297" s="158"/>
      <c r="D297" s="158"/>
      <c r="E297" s="158"/>
      <c r="G297" s="158"/>
      <c r="H297" s="158"/>
      <c r="I297" s="158"/>
      <c r="J297" s="158"/>
      <c r="K297" s="158"/>
      <c r="L297" s="158"/>
      <c r="M297" s="158"/>
      <c r="N297" s="158"/>
      <c r="O297" s="158"/>
      <c r="P297" s="158"/>
      <c r="Q297" s="158"/>
      <c r="R297" s="158"/>
      <c r="S297" s="158"/>
      <c r="T297" s="158"/>
      <c r="U297" s="158"/>
      <c r="V297" s="158"/>
      <c r="W297" s="158"/>
      <c r="X297" s="158"/>
    </row>
    <row r="298">
      <c r="A298" s="176"/>
      <c r="B298" s="177"/>
      <c r="C298" s="158"/>
      <c r="D298" s="158"/>
      <c r="E298" s="158"/>
      <c r="F298" s="158"/>
      <c r="G298" s="158"/>
      <c r="H298" s="158"/>
      <c r="I298" s="158"/>
      <c r="J298" s="158"/>
      <c r="K298" s="158"/>
      <c r="L298" s="158"/>
      <c r="M298" s="158"/>
      <c r="N298" s="158"/>
      <c r="O298" s="158"/>
      <c r="P298" s="158"/>
      <c r="Q298" s="158"/>
      <c r="R298" s="158"/>
      <c r="S298" s="158"/>
      <c r="T298" s="158"/>
      <c r="U298" s="158"/>
      <c r="V298" s="158"/>
      <c r="W298" s="158"/>
      <c r="X298" s="158"/>
    </row>
    <row r="299">
      <c r="A299" s="176"/>
      <c r="B299" s="177"/>
      <c r="C299" s="158"/>
      <c r="D299" s="158"/>
      <c r="E299" s="158"/>
      <c r="G299" s="158"/>
      <c r="H299" s="158"/>
      <c r="I299" s="158"/>
      <c r="J299" s="158"/>
      <c r="K299" s="158"/>
      <c r="L299" s="158"/>
      <c r="M299" s="158"/>
      <c r="N299" s="158"/>
      <c r="O299" s="158"/>
      <c r="P299" s="158"/>
      <c r="Q299" s="158"/>
      <c r="R299" s="158"/>
      <c r="S299" s="158"/>
      <c r="T299" s="158"/>
      <c r="U299" s="158"/>
      <c r="V299" s="158"/>
      <c r="W299" s="158"/>
      <c r="X299" s="158"/>
    </row>
    <row r="300">
      <c r="A300" s="176"/>
      <c r="B300" s="177"/>
      <c r="C300" s="158"/>
      <c r="D300" s="158"/>
      <c r="E300" s="158"/>
      <c r="G300" s="158"/>
      <c r="H300" s="158"/>
      <c r="I300" s="158"/>
      <c r="J300" s="158"/>
      <c r="K300" s="158"/>
      <c r="L300" s="158"/>
      <c r="M300" s="158"/>
      <c r="N300" s="158"/>
      <c r="O300" s="158"/>
      <c r="P300" s="158"/>
      <c r="Q300" s="158"/>
      <c r="R300" s="158"/>
      <c r="S300" s="158"/>
      <c r="T300" s="158"/>
      <c r="U300" s="158"/>
      <c r="V300" s="158"/>
      <c r="W300" s="158"/>
      <c r="X300" s="158"/>
    </row>
    <row r="301">
      <c r="A301" s="176"/>
      <c r="B301" s="177"/>
      <c r="C301" s="158"/>
      <c r="D301" s="158"/>
      <c r="E301" s="158"/>
      <c r="G301" s="158"/>
      <c r="H301" s="158"/>
      <c r="I301" s="158"/>
      <c r="J301" s="158"/>
      <c r="K301" s="158"/>
      <c r="L301" s="158"/>
      <c r="M301" s="158"/>
      <c r="N301" s="158"/>
      <c r="O301" s="158"/>
      <c r="P301" s="158"/>
      <c r="Q301" s="158"/>
      <c r="R301" s="158"/>
      <c r="S301" s="158"/>
      <c r="T301" s="158"/>
      <c r="U301" s="158"/>
      <c r="V301" s="158"/>
      <c r="W301" s="158"/>
      <c r="X301" s="158"/>
    </row>
    <row r="302">
      <c r="A302" s="176"/>
      <c r="B302" s="177"/>
      <c r="C302" s="158"/>
      <c r="D302" s="158"/>
      <c r="E302" s="158"/>
      <c r="F302" s="158"/>
      <c r="G302" s="158"/>
      <c r="H302" s="158"/>
      <c r="I302" s="158"/>
      <c r="J302" s="158"/>
      <c r="K302" s="158"/>
      <c r="L302" s="158"/>
      <c r="M302" s="158"/>
      <c r="N302" s="158"/>
      <c r="O302" s="158"/>
      <c r="P302" s="158"/>
      <c r="Q302" s="158"/>
      <c r="R302" s="158"/>
      <c r="S302" s="158"/>
      <c r="T302" s="158"/>
      <c r="U302" s="158"/>
      <c r="V302" s="158"/>
      <c r="W302" s="158"/>
      <c r="X302" s="158"/>
    </row>
    <row r="303">
      <c r="A303" s="176"/>
      <c r="B303" s="177"/>
      <c r="C303" s="158"/>
      <c r="D303" s="158"/>
      <c r="E303" s="158"/>
      <c r="F303" s="158"/>
      <c r="G303" s="158"/>
      <c r="H303" s="158"/>
      <c r="I303" s="158"/>
      <c r="J303" s="158"/>
      <c r="K303" s="158"/>
      <c r="L303" s="158"/>
      <c r="M303" s="158"/>
      <c r="N303" s="158"/>
      <c r="O303" s="158"/>
      <c r="P303" s="158"/>
      <c r="Q303" s="158"/>
      <c r="R303" s="158"/>
      <c r="S303" s="158"/>
      <c r="T303" s="158"/>
      <c r="U303" s="158"/>
      <c r="V303" s="158"/>
      <c r="W303" s="158"/>
      <c r="X303" s="158"/>
    </row>
    <row r="304">
      <c r="A304" s="176"/>
      <c r="B304" s="177"/>
      <c r="C304" s="158"/>
      <c r="D304" s="158"/>
      <c r="E304" s="158"/>
      <c r="F304" s="158"/>
      <c r="G304" s="158"/>
      <c r="H304" s="158"/>
      <c r="I304" s="158"/>
      <c r="J304" s="158"/>
      <c r="K304" s="158"/>
      <c r="L304" s="158"/>
      <c r="M304" s="158"/>
      <c r="N304" s="158"/>
      <c r="O304" s="158"/>
      <c r="P304" s="158"/>
      <c r="Q304" s="158"/>
      <c r="R304" s="158"/>
      <c r="S304" s="158"/>
      <c r="T304" s="158"/>
      <c r="U304" s="158"/>
      <c r="V304" s="158"/>
      <c r="W304" s="158"/>
      <c r="X304" s="158"/>
    </row>
    <row r="305">
      <c r="A305" s="176"/>
      <c r="B305" s="177"/>
      <c r="C305" s="158"/>
      <c r="D305" s="158"/>
      <c r="E305" s="158"/>
      <c r="G305" s="158"/>
      <c r="H305" s="158"/>
      <c r="I305" s="158"/>
      <c r="J305" s="158"/>
      <c r="K305" s="158"/>
      <c r="L305" s="158"/>
      <c r="M305" s="158"/>
      <c r="N305" s="158"/>
      <c r="O305" s="158"/>
      <c r="P305" s="158"/>
      <c r="Q305" s="158"/>
      <c r="R305" s="158"/>
      <c r="S305" s="158"/>
      <c r="T305" s="158"/>
      <c r="U305" s="158"/>
      <c r="V305" s="158"/>
      <c r="W305" s="158"/>
      <c r="X305" s="158"/>
    </row>
    <row r="306">
      <c r="A306" s="176"/>
      <c r="B306" s="177"/>
      <c r="C306" s="158"/>
      <c r="D306" s="158"/>
      <c r="E306" s="158"/>
      <c r="F306" s="158"/>
      <c r="G306" s="158"/>
      <c r="H306" s="158"/>
      <c r="I306" s="158"/>
      <c r="J306" s="158"/>
      <c r="K306" s="158"/>
      <c r="L306" s="158"/>
      <c r="M306" s="158"/>
      <c r="N306" s="158"/>
      <c r="O306" s="158"/>
      <c r="P306" s="158"/>
      <c r="Q306" s="158"/>
      <c r="R306" s="158"/>
      <c r="S306" s="158"/>
      <c r="T306" s="158"/>
      <c r="U306" s="158"/>
      <c r="V306" s="158"/>
      <c r="W306" s="158"/>
      <c r="X306" s="158"/>
    </row>
    <row r="307">
      <c r="A307" s="176"/>
      <c r="B307" s="177"/>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row>
    <row r="308">
      <c r="A308" s="176"/>
      <c r="B308" s="177"/>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row>
    <row r="309">
      <c r="A309" s="176"/>
      <c r="B309" s="177"/>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row>
    <row r="310">
      <c r="A310" s="176"/>
      <c r="B310" s="177"/>
      <c r="C310" s="158"/>
      <c r="D310" s="158"/>
      <c r="E310" s="158"/>
      <c r="G310" s="158"/>
      <c r="H310" s="158"/>
      <c r="I310" s="158"/>
      <c r="J310" s="158"/>
      <c r="K310" s="158"/>
      <c r="L310" s="158"/>
      <c r="M310" s="158"/>
      <c r="N310" s="158"/>
      <c r="O310" s="158"/>
      <c r="P310" s="158"/>
      <c r="Q310" s="158"/>
      <c r="R310" s="158"/>
      <c r="S310" s="158"/>
      <c r="T310" s="158"/>
      <c r="U310" s="158"/>
      <c r="V310" s="158"/>
      <c r="W310" s="158"/>
      <c r="X310" s="158"/>
    </row>
    <row r="311">
      <c r="A311" s="176"/>
      <c r="B311" s="177"/>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row>
    <row r="312">
      <c r="A312" s="176"/>
      <c r="B312" s="177"/>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row>
    <row r="313">
      <c r="A313" s="176"/>
      <c r="B313" s="177"/>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row>
    <row r="314">
      <c r="A314" s="176"/>
      <c r="B314" s="177"/>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row>
    <row r="315">
      <c r="A315" s="176"/>
      <c r="B315" s="177"/>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row>
    <row r="316">
      <c r="A316" s="176"/>
      <c r="B316" s="177"/>
      <c r="C316" s="158"/>
      <c r="D316" s="158"/>
      <c r="E316" s="158"/>
      <c r="G316" s="158"/>
      <c r="H316" s="158"/>
      <c r="I316" s="158"/>
      <c r="J316" s="158"/>
      <c r="K316" s="158"/>
      <c r="L316" s="158"/>
      <c r="M316" s="158"/>
      <c r="N316" s="158"/>
      <c r="O316" s="158"/>
      <c r="P316" s="158"/>
      <c r="Q316" s="158"/>
      <c r="R316" s="158"/>
      <c r="S316" s="158"/>
      <c r="T316" s="158"/>
      <c r="U316" s="158"/>
      <c r="V316" s="158"/>
      <c r="W316" s="158"/>
      <c r="X316" s="158"/>
    </row>
    <row r="317">
      <c r="A317" s="176"/>
      <c r="B317" s="177"/>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row>
    <row r="318">
      <c r="A318" s="176"/>
      <c r="B318" s="177"/>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row>
    <row r="319">
      <c r="A319" s="176"/>
      <c r="B319" s="177"/>
      <c r="C319" s="158"/>
      <c r="D319" s="158"/>
      <c r="E319" s="158"/>
      <c r="G319" s="158"/>
      <c r="H319" s="158"/>
      <c r="I319" s="158"/>
      <c r="J319" s="158"/>
      <c r="K319" s="158"/>
      <c r="L319" s="158"/>
      <c r="M319" s="158"/>
      <c r="N319" s="158"/>
      <c r="O319" s="158"/>
      <c r="P319" s="158"/>
      <c r="Q319" s="158"/>
      <c r="R319" s="158"/>
      <c r="S319" s="158"/>
      <c r="T319" s="158"/>
      <c r="U319" s="158"/>
      <c r="V319" s="158"/>
      <c r="W319" s="158"/>
      <c r="X319" s="158"/>
    </row>
    <row r="320">
      <c r="A320" s="176"/>
      <c r="B320" s="177"/>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row>
    <row r="321">
      <c r="A321" s="176"/>
      <c r="B321" s="177"/>
      <c r="C321" s="158"/>
      <c r="D321" s="158"/>
      <c r="E321" s="158"/>
      <c r="G321" s="158"/>
      <c r="H321" s="158"/>
      <c r="I321" s="158"/>
      <c r="J321" s="158"/>
      <c r="K321" s="158"/>
      <c r="L321" s="158"/>
      <c r="M321" s="158"/>
      <c r="N321" s="158"/>
      <c r="O321" s="158"/>
      <c r="P321" s="158"/>
      <c r="Q321" s="158"/>
      <c r="R321" s="158"/>
      <c r="S321" s="158"/>
      <c r="T321" s="158"/>
      <c r="U321" s="158"/>
      <c r="V321" s="158"/>
      <c r="W321" s="158"/>
      <c r="X321" s="158"/>
    </row>
    <row r="322">
      <c r="A322" s="176"/>
      <c r="B322" s="177"/>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row>
    <row r="323">
      <c r="A323" s="176"/>
      <c r="B323" s="177"/>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row>
    <row r="324">
      <c r="A324" s="176"/>
      <c r="B324" s="177"/>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row>
    <row r="325">
      <c r="A325" s="176"/>
      <c r="B325" s="177"/>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row>
    <row r="326">
      <c r="A326" s="176"/>
      <c r="B326" s="177"/>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row>
    <row r="327">
      <c r="A327" s="176"/>
      <c r="B327" s="177"/>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row>
    <row r="328">
      <c r="A328" s="176"/>
      <c r="B328" s="177"/>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row>
    <row r="329">
      <c r="A329" s="176"/>
      <c r="B329" s="177"/>
      <c r="C329" s="158"/>
      <c r="D329" s="158"/>
      <c r="E329" s="158"/>
      <c r="G329" s="158"/>
      <c r="H329" s="158"/>
      <c r="I329" s="158"/>
      <c r="J329" s="158"/>
      <c r="K329" s="158"/>
      <c r="L329" s="158"/>
      <c r="M329" s="158"/>
      <c r="N329" s="158"/>
      <c r="O329" s="158"/>
      <c r="P329" s="158"/>
      <c r="Q329" s="158"/>
      <c r="R329" s="158"/>
      <c r="S329" s="158"/>
      <c r="T329" s="158"/>
      <c r="U329" s="158"/>
      <c r="V329" s="158"/>
      <c r="W329" s="158"/>
      <c r="X329" s="158"/>
    </row>
    <row r="330">
      <c r="A330" s="176"/>
      <c r="B330" s="177"/>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row>
    <row r="331">
      <c r="A331" s="176"/>
      <c r="B331" s="177"/>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row>
    <row r="332">
      <c r="A332" s="176"/>
      <c r="B332" s="177"/>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row>
    <row r="333">
      <c r="A333" s="176"/>
      <c r="B333" s="177"/>
      <c r="C333" s="158"/>
      <c r="D333" s="158"/>
      <c r="E333" s="158"/>
      <c r="G333" s="158"/>
      <c r="H333" s="158"/>
      <c r="I333" s="158"/>
      <c r="J333" s="158"/>
      <c r="K333" s="158"/>
      <c r="L333" s="158"/>
      <c r="M333" s="158"/>
      <c r="N333" s="158"/>
      <c r="O333" s="158"/>
      <c r="P333" s="158"/>
      <c r="Q333" s="158"/>
      <c r="R333" s="158"/>
      <c r="S333" s="158"/>
      <c r="T333" s="158"/>
      <c r="U333" s="158"/>
      <c r="V333" s="158"/>
      <c r="W333" s="158"/>
      <c r="X333" s="158"/>
    </row>
    <row r="334">
      <c r="A334" s="176"/>
      <c r="B334" s="177"/>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row>
    <row r="335">
      <c r="A335" s="176"/>
      <c r="B335" s="177"/>
      <c r="C335" s="158"/>
      <c r="D335" s="158"/>
      <c r="E335" s="158"/>
      <c r="G335" s="158"/>
      <c r="H335" s="158"/>
      <c r="I335" s="158"/>
      <c r="J335" s="158"/>
      <c r="K335" s="158"/>
      <c r="L335" s="158"/>
      <c r="M335" s="158"/>
      <c r="N335" s="158"/>
      <c r="O335" s="158"/>
      <c r="P335" s="158"/>
      <c r="Q335" s="158"/>
      <c r="R335" s="158"/>
      <c r="S335" s="158"/>
      <c r="T335" s="158"/>
      <c r="U335" s="158"/>
      <c r="V335" s="158"/>
      <c r="W335" s="158"/>
      <c r="X335" s="158"/>
    </row>
    <row r="336">
      <c r="A336" s="176"/>
      <c r="B336" s="177"/>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row>
    <row r="337">
      <c r="A337" s="176"/>
      <c r="B337" s="177"/>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row>
    <row r="338">
      <c r="A338" s="176"/>
      <c r="B338" s="177"/>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row>
    <row r="339">
      <c r="A339" s="176"/>
      <c r="B339" s="177"/>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row>
    <row r="340">
      <c r="A340" s="176"/>
      <c r="B340" s="177"/>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row>
    <row r="341">
      <c r="A341" s="176"/>
      <c r="B341" s="177"/>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row>
    <row r="342">
      <c r="A342" s="176"/>
      <c r="B342" s="177"/>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row>
    <row r="343">
      <c r="A343" s="176"/>
      <c r="B343" s="177"/>
      <c r="C343" s="158"/>
      <c r="D343" s="158"/>
      <c r="E343" s="158"/>
      <c r="G343" s="158"/>
      <c r="H343" s="158"/>
      <c r="I343" s="158"/>
      <c r="J343" s="158"/>
      <c r="K343" s="158"/>
      <c r="L343" s="158"/>
      <c r="M343" s="158"/>
      <c r="N343" s="158"/>
      <c r="O343" s="158"/>
      <c r="P343" s="158"/>
      <c r="Q343" s="158"/>
      <c r="R343" s="158"/>
      <c r="S343" s="158"/>
      <c r="T343" s="158"/>
      <c r="U343" s="158"/>
      <c r="V343" s="158"/>
      <c r="W343" s="158"/>
      <c r="X343" s="158"/>
    </row>
    <row r="344">
      <c r="A344" s="176"/>
      <c r="B344" s="177"/>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row>
    <row r="345">
      <c r="A345" s="176"/>
      <c r="B345" s="177"/>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row>
    <row r="346">
      <c r="A346" s="176"/>
      <c r="B346" s="177"/>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row>
    <row r="347">
      <c r="A347" s="176"/>
      <c r="B347" s="177"/>
      <c r="C347" s="158"/>
      <c r="D347" s="158"/>
      <c r="E347" s="158"/>
      <c r="G347" s="158"/>
      <c r="H347" s="158"/>
      <c r="I347" s="158"/>
      <c r="J347" s="158"/>
      <c r="K347" s="158"/>
      <c r="L347" s="158"/>
      <c r="M347" s="158"/>
      <c r="N347" s="158"/>
      <c r="O347" s="158"/>
      <c r="P347" s="158"/>
      <c r="Q347" s="158"/>
      <c r="R347" s="158"/>
      <c r="S347" s="158"/>
      <c r="T347" s="158"/>
      <c r="U347" s="158"/>
      <c r="V347" s="158"/>
      <c r="W347" s="158"/>
      <c r="X347" s="158"/>
    </row>
    <row r="348">
      <c r="A348" s="176"/>
      <c r="B348" s="177"/>
      <c r="C348" s="158"/>
      <c r="D348" s="158"/>
      <c r="E348" s="158"/>
      <c r="G348" s="158"/>
      <c r="H348" s="158"/>
      <c r="I348" s="158"/>
      <c r="J348" s="158"/>
      <c r="K348" s="158"/>
      <c r="L348" s="158"/>
      <c r="M348" s="158"/>
      <c r="N348" s="158"/>
      <c r="O348" s="158"/>
      <c r="P348" s="158"/>
      <c r="Q348" s="158"/>
      <c r="R348" s="158"/>
      <c r="S348" s="158"/>
      <c r="T348" s="158"/>
      <c r="U348" s="158"/>
      <c r="V348" s="158"/>
      <c r="W348" s="158"/>
      <c r="X348" s="158"/>
    </row>
    <row r="349">
      <c r="A349" s="176"/>
      <c r="B349" s="177"/>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row>
    <row r="350">
      <c r="A350" s="176"/>
      <c r="B350" s="177"/>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row>
    <row r="351">
      <c r="A351" s="176"/>
      <c r="B351" s="177"/>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row>
    <row r="352">
      <c r="A352" s="176"/>
      <c r="B352" s="177"/>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row>
    <row r="353">
      <c r="A353" s="176"/>
      <c r="B353" s="177"/>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row>
    <row r="354">
      <c r="A354" s="176"/>
      <c r="B354" s="177"/>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row>
    <row r="355">
      <c r="A355" s="176"/>
      <c r="B355" s="177"/>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row>
    <row r="356">
      <c r="A356" s="176"/>
      <c r="B356" s="177"/>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row>
    <row r="357">
      <c r="A357" s="176"/>
      <c r="B357" s="177"/>
      <c r="C357" s="158"/>
      <c r="D357" s="158"/>
      <c r="E357" s="158"/>
      <c r="G357" s="158"/>
      <c r="H357" s="158"/>
      <c r="I357" s="158"/>
      <c r="J357" s="158"/>
      <c r="K357" s="158"/>
      <c r="L357" s="158"/>
      <c r="M357" s="158"/>
      <c r="N357" s="158"/>
      <c r="O357" s="158"/>
      <c r="P357" s="158"/>
      <c r="Q357" s="158"/>
      <c r="R357" s="158"/>
      <c r="S357" s="158"/>
      <c r="T357" s="158"/>
      <c r="U357" s="158"/>
      <c r="V357" s="158"/>
      <c r="W357" s="158"/>
      <c r="X357" s="158"/>
    </row>
    <row r="358">
      <c r="A358" s="176"/>
      <c r="B358" s="177"/>
      <c r="C358" s="158"/>
      <c r="D358" s="158"/>
      <c r="E358" s="158"/>
      <c r="G358" s="158"/>
      <c r="H358" s="158"/>
      <c r="I358" s="158"/>
      <c r="J358" s="158"/>
      <c r="K358" s="158"/>
      <c r="L358" s="158"/>
      <c r="M358" s="158"/>
      <c r="N358" s="158"/>
      <c r="O358" s="158"/>
      <c r="P358" s="158"/>
      <c r="Q358" s="158"/>
      <c r="R358" s="158"/>
      <c r="S358" s="158"/>
      <c r="T358" s="158"/>
      <c r="U358" s="158"/>
      <c r="V358" s="158"/>
      <c r="W358" s="158"/>
      <c r="X358" s="158"/>
    </row>
    <row r="359">
      <c r="A359" s="176"/>
      <c r="B359" s="177"/>
      <c r="C359" s="158"/>
      <c r="D359" s="158"/>
      <c r="E359" s="158"/>
      <c r="G359" s="158"/>
      <c r="H359" s="158"/>
      <c r="I359" s="158"/>
      <c r="J359" s="158"/>
      <c r="K359" s="158"/>
      <c r="L359" s="158"/>
      <c r="M359" s="158"/>
      <c r="N359" s="158"/>
      <c r="O359" s="158"/>
      <c r="P359" s="158"/>
      <c r="Q359" s="158"/>
      <c r="R359" s="158"/>
      <c r="S359" s="158"/>
      <c r="T359" s="158"/>
      <c r="U359" s="158"/>
      <c r="V359" s="158"/>
      <c r="W359" s="158"/>
      <c r="X359" s="158"/>
    </row>
    <row r="360">
      <c r="A360" s="176"/>
      <c r="B360" s="177"/>
      <c r="C360" s="158"/>
      <c r="D360" s="158"/>
      <c r="E360" s="158"/>
      <c r="G360" s="158"/>
      <c r="H360" s="158"/>
      <c r="I360" s="158"/>
      <c r="J360" s="158"/>
      <c r="K360" s="158"/>
      <c r="L360" s="158"/>
      <c r="M360" s="158"/>
      <c r="N360" s="158"/>
      <c r="O360" s="158"/>
      <c r="P360" s="158"/>
      <c r="Q360" s="158"/>
      <c r="R360" s="158"/>
      <c r="S360" s="158"/>
      <c r="T360" s="158"/>
      <c r="U360" s="158"/>
      <c r="V360" s="158"/>
      <c r="W360" s="158"/>
      <c r="X360" s="158"/>
    </row>
    <row r="361">
      <c r="A361" s="176"/>
      <c r="B361" s="177"/>
      <c r="C361" s="158"/>
      <c r="D361" s="158"/>
      <c r="E361" s="158"/>
      <c r="G361" s="158"/>
      <c r="H361" s="158"/>
      <c r="I361" s="158"/>
      <c r="J361" s="158"/>
      <c r="K361" s="158"/>
      <c r="L361" s="158"/>
      <c r="M361" s="158"/>
      <c r="N361" s="158"/>
      <c r="O361" s="158"/>
      <c r="P361" s="158"/>
      <c r="Q361" s="158"/>
      <c r="R361" s="158"/>
      <c r="S361" s="158"/>
      <c r="T361" s="158"/>
      <c r="U361" s="158"/>
      <c r="V361" s="158"/>
      <c r="W361" s="158"/>
      <c r="X361" s="158"/>
    </row>
    <row r="362">
      <c r="A362" s="176"/>
      <c r="B362" s="177"/>
      <c r="C362" s="158"/>
      <c r="D362" s="158"/>
      <c r="E362" s="158"/>
      <c r="G362" s="158"/>
      <c r="H362" s="158"/>
      <c r="I362" s="158"/>
      <c r="J362" s="158"/>
      <c r="K362" s="158"/>
      <c r="L362" s="158"/>
      <c r="M362" s="158"/>
      <c r="N362" s="158"/>
      <c r="O362" s="158"/>
      <c r="P362" s="158"/>
      <c r="Q362" s="158"/>
      <c r="R362" s="158"/>
      <c r="S362" s="158"/>
      <c r="T362" s="158"/>
      <c r="U362" s="158"/>
      <c r="V362" s="158"/>
      <c r="W362" s="158"/>
      <c r="X362" s="158"/>
    </row>
    <row r="363">
      <c r="A363" s="176"/>
      <c r="B363" s="177"/>
      <c r="C363" s="158"/>
      <c r="D363" s="158"/>
      <c r="E363" s="158"/>
      <c r="G363" s="158"/>
      <c r="H363" s="158"/>
      <c r="I363" s="158"/>
      <c r="J363" s="158"/>
      <c r="K363" s="158"/>
      <c r="L363" s="158"/>
      <c r="M363" s="158"/>
      <c r="N363" s="158"/>
      <c r="O363" s="158"/>
      <c r="P363" s="158"/>
      <c r="Q363" s="158"/>
      <c r="R363" s="158"/>
      <c r="S363" s="158"/>
      <c r="T363" s="158"/>
      <c r="U363" s="158"/>
      <c r="V363" s="158"/>
      <c r="W363" s="158"/>
      <c r="X363" s="158"/>
    </row>
    <row r="364">
      <c r="A364" s="176"/>
      <c r="B364" s="177"/>
      <c r="C364" s="158"/>
      <c r="D364" s="158"/>
      <c r="E364" s="158"/>
      <c r="G364" s="158"/>
      <c r="H364" s="158"/>
      <c r="I364" s="158"/>
      <c r="J364" s="158"/>
      <c r="K364" s="158"/>
      <c r="L364" s="158"/>
      <c r="M364" s="158"/>
      <c r="N364" s="158"/>
      <c r="O364" s="158"/>
      <c r="P364" s="158"/>
      <c r="Q364" s="158"/>
      <c r="R364" s="158"/>
      <c r="S364" s="158"/>
      <c r="T364" s="158"/>
      <c r="U364" s="158"/>
      <c r="V364" s="158"/>
      <c r="W364" s="158"/>
      <c r="X364" s="158"/>
    </row>
    <row r="365">
      <c r="A365" s="176"/>
      <c r="B365" s="177"/>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row>
    <row r="366">
      <c r="A366" s="176"/>
      <c r="B366" s="177"/>
      <c r="C366" s="158"/>
      <c r="D366" s="158"/>
      <c r="E366" s="158"/>
      <c r="G366" s="158"/>
      <c r="H366" s="158"/>
      <c r="I366" s="158"/>
      <c r="J366" s="158"/>
      <c r="K366" s="158"/>
      <c r="L366" s="158"/>
      <c r="M366" s="158"/>
      <c r="N366" s="158"/>
      <c r="O366" s="158"/>
      <c r="P366" s="158"/>
      <c r="Q366" s="158"/>
      <c r="R366" s="158"/>
      <c r="S366" s="158"/>
      <c r="T366" s="158"/>
      <c r="U366" s="158"/>
      <c r="V366" s="158"/>
      <c r="W366" s="158"/>
      <c r="X366" s="158"/>
    </row>
    <row r="367">
      <c r="A367" s="176"/>
      <c r="B367" s="177"/>
      <c r="C367" s="158"/>
      <c r="D367" s="158"/>
      <c r="E367" s="158"/>
      <c r="G367" s="158"/>
      <c r="H367" s="158"/>
      <c r="I367" s="158"/>
      <c r="J367" s="158"/>
      <c r="K367" s="158"/>
      <c r="L367" s="158"/>
      <c r="M367" s="158"/>
      <c r="N367" s="158"/>
      <c r="O367" s="158"/>
      <c r="P367" s="158"/>
      <c r="Q367" s="158"/>
      <c r="R367" s="158"/>
      <c r="S367" s="158"/>
      <c r="T367" s="158"/>
      <c r="U367" s="158"/>
      <c r="V367" s="158"/>
      <c r="W367" s="158"/>
      <c r="X367" s="158"/>
    </row>
    <row r="368">
      <c r="A368" s="176"/>
      <c r="B368" s="177"/>
      <c r="C368" s="158"/>
      <c r="D368" s="158"/>
      <c r="E368" s="158"/>
      <c r="G368" s="158"/>
      <c r="H368" s="158"/>
      <c r="I368" s="158"/>
      <c r="J368" s="158"/>
      <c r="K368" s="158"/>
      <c r="L368" s="158"/>
      <c r="M368" s="158"/>
      <c r="N368" s="158"/>
      <c r="O368" s="158"/>
      <c r="P368" s="158"/>
      <c r="Q368" s="158"/>
      <c r="R368" s="158"/>
      <c r="S368" s="158"/>
      <c r="T368" s="158"/>
      <c r="U368" s="158"/>
      <c r="V368" s="158"/>
      <c r="W368" s="158"/>
      <c r="X368" s="158"/>
    </row>
    <row r="369">
      <c r="A369" s="176"/>
      <c r="B369" s="177"/>
      <c r="C369" s="158"/>
      <c r="D369" s="158"/>
      <c r="E369" s="158"/>
      <c r="G369" s="158"/>
      <c r="H369" s="158"/>
      <c r="I369" s="158"/>
      <c r="J369" s="158"/>
      <c r="K369" s="158"/>
      <c r="L369" s="158"/>
      <c r="M369" s="158"/>
      <c r="N369" s="158"/>
      <c r="O369" s="158"/>
      <c r="P369" s="158"/>
      <c r="Q369" s="158"/>
      <c r="R369" s="158"/>
      <c r="S369" s="158"/>
      <c r="T369" s="158"/>
      <c r="U369" s="158"/>
      <c r="V369" s="158"/>
      <c r="W369" s="158"/>
      <c r="X369" s="158"/>
    </row>
    <row r="370">
      <c r="A370" s="176"/>
      <c r="B370" s="177"/>
      <c r="C370" s="158"/>
      <c r="D370" s="158"/>
      <c r="E370" s="158"/>
      <c r="G370" s="158"/>
      <c r="H370" s="158"/>
      <c r="I370" s="158"/>
      <c r="J370" s="158"/>
      <c r="K370" s="158"/>
      <c r="L370" s="158"/>
      <c r="M370" s="158"/>
      <c r="N370" s="158"/>
      <c r="O370" s="158"/>
      <c r="P370" s="158"/>
      <c r="Q370" s="158"/>
      <c r="R370" s="158"/>
      <c r="S370" s="158"/>
      <c r="T370" s="158"/>
      <c r="U370" s="158"/>
      <c r="V370" s="158"/>
      <c r="W370" s="158"/>
      <c r="X370" s="158"/>
    </row>
    <row r="371">
      <c r="A371" s="176"/>
      <c r="B371" s="177"/>
      <c r="C371" s="158"/>
      <c r="D371" s="158"/>
      <c r="E371" s="158"/>
      <c r="G371" s="158"/>
      <c r="H371" s="158"/>
      <c r="I371" s="158"/>
      <c r="J371" s="158"/>
      <c r="K371" s="158"/>
      <c r="L371" s="158"/>
      <c r="M371" s="158"/>
      <c r="N371" s="158"/>
      <c r="O371" s="158"/>
      <c r="P371" s="158"/>
      <c r="Q371" s="158"/>
      <c r="R371" s="158"/>
      <c r="S371" s="158"/>
      <c r="T371" s="158"/>
      <c r="U371" s="158"/>
      <c r="V371" s="158"/>
      <c r="W371" s="158"/>
      <c r="X371" s="158"/>
    </row>
    <row r="372">
      <c r="A372" s="176"/>
      <c r="B372" s="177"/>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row>
    <row r="373">
      <c r="A373" s="176"/>
      <c r="B373" s="177"/>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row>
    <row r="374">
      <c r="A374" s="176"/>
      <c r="B374" s="177"/>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row>
    <row r="375">
      <c r="A375" s="176"/>
      <c r="B375" s="177"/>
      <c r="C375" s="158"/>
      <c r="D375" s="158"/>
      <c r="E375" s="158"/>
      <c r="G375" s="158"/>
      <c r="H375" s="158"/>
      <c r="I375" s="158"/>
      <c r="J375" s="158"/>
      <c r="K375" s="158"/>
      <c r="L375" s="158"/>
      <c r="M375" s="158"/>
      <c r="N375" s="158"/>
      <c r="O375" s="158"/>
      <c r="P375" s="158"/>
      <c r="Q375" s="158"/>
      <c r="R375" s="158"/>
      <c r="S375" s="158"/>
      <c r="T375" s="158"/>
      <c r="U375" s="158"/>
      <c r="V375" s="158"/>
      <c r="W375" s="158"/>
      <c r="X375" s="158"/>
    </row>
    <row r="376">
      <c r="A376" s="176"/>
      <c r="B376" s="177"/>
      <c r="C376" s="158"/>
      <c r="D376" s="158"/>
      <c r="E376" s="158"/>
      <c r="G376" s="158"/>
      <c r="H376" s="158"/>
      <c r="I376" s="158"/>
      <c r="J376" s="158"/>
      <c r="K376" s="158"/>
      <c r="L376" s="158"/>
      <c r="M376" s="158"/>
      <c r="N376" s="158"/>
      <c r="O376" s="158"/>
      <c r="P376" s="158"/>
      <c r="Q376" s="158"/>
      <c r="R376" s="158"/>
      <c r="S376" s="158"/>
      <c r="T376" s="158"/>
      <c r="U376" s="158"/>
      <c r="V376" s="158"/>
      <c r="W376" s="158"/>
      <c r="X376" s="158"/>
    </row>
    <row r="377">
      <c r="A377" s="176"/>
      <c r="B377" s="177"/>
      <c r="C377" s="158"/>
      <c r="D377" s="158"/>
      <c r="E377" s="158"/>
      <c r="G377" s="158"/>
      <c r="H377" s="158"/>
      <c r="I377" s="158"/>
      <c r="J377" s="158"/>
      <c r="K377" s="158"/>
      <c r="L377" s="158"/>
      <c r="M377" s="158"/>
      <c r="N377" s="158"/>
      <c r="O377" s="158"/>
      <c r="P377" s="158"/>
      <c r="Q377" s="158"/>
      <c r="R377" s="158"/>
      <c r="S377" s="158"/>
      <c r="T377" s="158"/>
      <c r="U377" s="158"/>
      <c r="V377" s="158"/>
      <c r="W377" s="158"/>
      <c r="X377" s="158"/>
    </row>
    <row r="378">
      <c r="A378" s="176"/>
      <c r="B378" s="177"/>
      <c r="C378" s="158"/>
      <c r="D378" s="158"/>
      <c r="E378" s="158"/>
      <c r="G378" s="158"/>
      <c r="H378" s="158"/>
      <c r="I378" s="158"/>
      <c r="J378" s="158"/>
      <c r="K378" s="158"/>
      <c r="L378" s="158"/>
      <c r="M378" s="158"/>
      <c r="N378" s="158"/>
      <c r="O378" s="158"/>
      <c r="P378" s="158"/>
      <c r="Q378" s="158"/>
      <c r="R378" s="158"/>
      <c r="S378" s="158"/>
      <c r="T378" s="158"/>
      <c r="U378" s="158"/>
      <c r="V378" s="158"/>
      <c r="W378" s="158"/>
      <c r="X378" s="158"/>
    </row>
    <row r="379">
      <c r="A379" s="176"/>
      <c r="B379" s="177"/>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row>
    <row r="380">
      <c r="A380" s="176"/>
      <c r="B380" s="177"/>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row>
    <row r="381">
      <c r="A381" s="176"/>
      <c r="B381" s="177"/>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row>
    <row r="382">
      <c r="A382" s="176"/>
      <c r="B382" s="177"/>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row>
    <row r="383">
      <c r="A383" s="176"/>
      <c r="B383" s="177"/>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row>
    <row r="384">
      <c r="A384" s="176"/>
      <c r="B384" s="177"/>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row>
    <row r="385">
      <c r="A385" s="176"/>
      <c r="B385" s="177"/>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row>
    <row r="386">
      <c r="A386" s="176"/>
      <c r="B386" s="177"/>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row>
    <row r="387">
      <c r="A387" s="176"/>
      <c r="B387" s="177"/>
      <c r="C387" s="158"/>
      <c r="D387" s="158"/>
      <c r="E387" s="158"/>
      <c r="G387" s="158"/>
      <c r="H387" s="158"/>
      <c r="I387" s="158"/>
      <c r="J387" s="158"/>
      <c r="K387" s="158"/>
      <c r="L387" s="158"/>
      <c r="M387" s="158"/>
      <c r="N387" s="158"/>
      <c r="O387" s="158"/>
      <c r="P387" s="158"/>
      <c r="Q387" s="158"/>
      <c r="R387" s="158"/>
      <c r="S387" s="158"/>
      <c r="T387" s="158"/>
      <c r="U387" s="158"/>
      <c r="V387" s="158"/>
      <c r="W387" s="158"/>
      <c r="X387" s="158"/>
    </row>
    <row r="388">
      <c r="A388" s="176"/>
      <c r="B388" s="177"/>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row>
    <row r="389">
      <c r="A389" s="176"/>
      <c r="B389" s="177"/>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row>
    <row r="390">
      <c r="A390" s="176"/>
      <c r="B390" s="177"/>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row>
    <row r="391">
      <c r="A391" s="176"/>
      <c r="B391" s="177"/>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row>
    <row r="392">
      <c r="A392" s="176"/>
      <c r="B392" s="177"/>
      <c r="C392" s="158"/>
      <c r="D392" s="158"/>
      <c r="E392" s="158"/>
      <c r="G392" s="158"/>
      <c r="H392" s="158"/>
      <c r="I392" s="158"/>
      <c r="J392" s="158"/>
      <c r="K392" s="158"/>
      <c r="L392" s="158"/>
      <c r="M392" s="158"/>
      <c r="N392" s="158"/>
      <c r="O392" s="158"/>
      <c r="P392" s="158"/>
      <c r="Q392" s="158"/>
      <c r="R392" s="158"/>
      <c r="S392" s="158"/>
      <c r="T392" s="158"/>
      <c r="U392" s="158"/>
      <c r="V392" s="158"/>
      <c r="W392" s="158"/>
      <c r="X392" s="158"/>
    </row>
    <row r="393">
      <c r="A393" s="176"/>
      <c r="B393" s="177"/>
      <c r="C393" s="158"/>
      <c r="D393" s="158"/>
      <c r="E393" s="158"/>
      <c r="G393" s="158"/>
      <c r="H393" s="158"/>
      <c r="I393" s="158"/>
      <c r="J393" s="158"/>
      <c r="K393" s="158"/>
      <c r="L393" s="158"/>
      <c r="M393" s="158"/>
      <c r="N393" s="158"/>
      <c r="O393" s="158"/>
      <c r="P393" s="158"/>
      <c r="Q393" s="158"/>
      <c r="R393" s="158"/>
      <c r="S393" s="158"/>
      <c r="T393" s="158"/>
      <c r="U393" s="158"/>
      <c r="V393" s="158"/>
      <c r="W393" s="158"/>
      <c r="X393" s="158"/>
    </row>
    <row r="394">
      <c r="A394" s="176"/>
      <c r="B394" s="177"/>
      <c r="C394" s="158"/>
      <c r="D394" s="158"/>
      <c r="E394" s="158"/>
      <c r="G394" s="158"/>
      <c r="H394" s="158"/>
      <c r="I394" s="158"/>
      <c r="J394" s="158"/>
      <c r="K394" s="158"/>
      <c r="L394" s="158"/>
      <c r="M394" s="158"/>
      <c r="N394" s="158"/>
      <c r="O394" s="158"/>
      <c r="P394" s="158"/>
      <c r="Q394" s="158"/>
      <c r="R394" s="158"/>
      <c r="S394" s="158"/>
      <c r="T394" s="158"/>
      <c r="U394" s="158"/>
      <c r="V394" s="158"/>
      <c r="W394" s="158"/>
      <c r="X394" s="158"/>
    </row>
    <row r="395">
      <c r="A395" s="176"/>
      <c r="B395" s="177"/>
      <c r="C395" s="158"/>
      <c r="D395" s="158"/>
      <c r="E395" s="158"/>
      <c r="G395" s="158"/>
      <c r="H395" s="158"/>
      <c r="I395" s="158"/>
      <c r="J395" s="158"/>
      <c r="K395" s="158"/>
      <c r="L395" s="158"/>
      <c r="M395" s="158"/>
      <c r="N395" s="158"/>
      <c r="O395" s="158"/>
      <c r="P395" s="158"/>
      <c r="Q395" s="158"/>
      <c r="R395" s="158"/>
      <c r="S395" s="158"/>
      <c r="T395" s="158"/>
      <c r="U395" s="158"/>
      <c r="V395" s="158"/>
      <c r="W395" s="158"/>
      <c r="X395" s="158"/>
    </row>
    <row r="396">
      <c r="A396" s="176"/>
      <c r="B396" s="177"/>
      <c r="C396" s="158"/>
      <c r="D396" s="158"/>
      <c r="E396" s="158"/>
      <c r="G396" s="158"/>
      <c r="H396" s="158"/>
      <c r="I396" s="158"/>
      <c r="J396" s="158"/>
      <c r="K396" s="158"/>
      <c r="L396" s="158"/>
      <c r="M396" s="158"/>
      <c r="N396" s="158"/>
      <c r="O396" s="158"/>
      <c r="P396" s="158"/>
      <c r="Q396" s="158"/>
      <c r="R396" s="158"/>
      <c r="S396" s="158"/>
      <c r="T396" s="158"/>
      <c r="U396" s="158"/>
      <c r="V396" s="158"/>
      <c r="W396" s="158"/>
      <c r="X396" s="158"/>
    </row>
    <row r="397">
      <c r="A397" s="176"/>
      <c r="B397" s="177"/>
      <c r="C397" s="158"/>
      <c r="D397" s="158"/>
      <c r="E397" s="158"/>
      <c r="G397" s="158"/>
      <c r="H397" s="158"/>
      <c r="I397" s="158"/>
      <c r="J397" s="158"/>
      <c r="K397" s="158"/>
      <c r="L397" s="158"/>
      <c r="M397" s="158"/>
      <c r="N397" s="158"/>
      <c r="O397" s="158"/>
      <c r="P397" s="158"/>
      <c r="Q397" s="158"/>
      <c r="R397" s="158"/>
      <c r="S397" s="158"/>
      <c r="T397" s="158"/>
      <c r="U397" s="158"/>
      <c r="V397" s="158"/>
      <c r="W397" s="158"/>
      <c r="X397" s="158"/>
    </row>
    <row r="398">
      <c r="A398" s="176"/>
      <c r="B398" s="177"/>
      <c r="C398" s="158"/>
      <c r="D398" s="158"/>
      <c r="E398" s="158"/>
      <c r="G398" s="158"/>
      <c r="H398" s="158"/>
      <c r="I398" s="158"/>
      <c r="J398" s="158"/>
      <c r="K398" s="158"/>
      <c r="L398" s="158"/>
      <c r="M398" s="158"/>
      <c r="N398" s="158"/>
      <c r="O398" s="158"/>
      <c r="P398" s="158"/>
      <c r="Q398" s="158"/>
      <c r="R398" s="158"/>
      <c r="S398" s="158"/>
      <c r="T398" s="158"/>
      <c r="U398" s="158"/>
      <c r="V398" s="158"/>
      <c r="W398" s="158"/>
      <c r="X398" s="158"/>
    </row>
    <row r="399">
      <c r="A399" s="176"/>
      <c r="B399" s="177"/>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row>
    <row r="400">
      <c r="A400" s="176"/>
      <c r="B400" s="177"/>
      <c r="C400" s="158"/>
      <c r="D400" s="158"/>
      <c r="E400" s="158"/>
      <c r="G400" s="158"/>
      <c r="H400" s="158"/>
      <c r="I400" s="158"/>
      <c r="J400" s="158"/>
      <c r="K400" s="158"/>
      <c r="L400" s="158"/>
      <c r="M400" s="158"/>
      <c r="N400" s="158"/>
      <c r="O400" s="158"/>
      <c r="P400" s="158"/>
      <c r="Q400" s="158"/>
      <c r="R400" s="158"/>
      <c r="S400" s="158"/>
      <c r="T400" s="158"/>
      <c r="U400" s="158"/>
      <c r="V400" s="158"/>
      <c r="W400" s="158"/>
      <c r="X400" s="158"/>
    </row>
    <row r="401">
      <c r="A401" s="176"/>
      <c r="B401" s="177"/>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row>
    <row r="402">
      <c r="A402" s="176"/>
      <c r="B402" s="177"/>
      <c r="C402" s="158"/>
      <c r="D402" s="158"/>
      <c r="E402" s="158"/>
      <c r="G402" s="158"/>
      <c r="H402" s="158"/>
      <c r="I402" s="158"/>
      <c r="J402" s="158"/>
      <c r="K402" s="158"/>
      <c r="L402" s="158"/>
      <c r="M402" s="158"/>
      <c r="N402" s="158"/>
      <c r="O402" s="158"/>
      <c r="P402" s="158"/>
      <c r="Q402" s="158"/>
      <c r="R402" s="158"/>
      <c r="S402" s="158"/>
      <c r="T402" s="158"/>
      <c r="U402" s="158"/>
      <c r="V402" s="158"/>
      <c r="W402" s="158"/>
      <c r="X402" s="158"/>
    </row>
    <row r="403">
      <c r="A403" s="176"/>
      <c r="B403" s="177"/>
      <c r="C403" s="158"/>
      <c r="D403" s="158"/>
      <c r="E403" s="158"/>
      <c r="G403" s="158"/>
      <c r="H403" s="158"/>
      <c r="I403" s="158"/>
      <c r="J403" s="158"/>
      <c r="K403" s="158"/>
      <c r="L403" s="158"/>
      <c r="M403" s="158"/>
      <c r="N403" s="158"/>
      <c r="O403" s="158"/>
      <c r="P403" s="158"/>
      <c r="Q403" s="158"/>
      <c r="R403" s="158"/>
      <c r="S403" s="158"/>
      <c r="T403" s="158"/>
      <c r="U403" s="158"/>
      <c r="V403" s="158"/>
      <c r="W403" s="158"/>
      <c r="X403" s="158"/>
    </row>
    <row r="404">
      <c r="A404" s="176"/>
      <c r="B404" s="177"/>
      <c r="C404" s="158"/>
      <c r="D404" s="158"/>
      <c r="E404" s="158"/>
      <c r="G404" s="158"/>
      <c r="H404" s="158"/>
      <c r="I404" s="158"/>
      <c r="J404" s="158"/>
      <c r="K404" s="158"/>
      <c r="L404" s="158"/>
      <c r="M404" s="158"/>
      <c r="N404" s="158"/>
      <c r="O404" s="158"/>
      <c r="P404" s="158"/>
      <c r="Q404" s="158"/>
      <c r="R404" s="158"/>
      <c r="S404" s="158"/>
      <c r="T404" s="158"/>
      <c r="U404" s="158"/>
      <c r="V404" s="158"/>
      <c r="W404" s="158"/>
      <c r="X404" s="158"/>
    </row>
    <row r="405">
      <c r="A405" s="176"/>
      <c r="B405" s="177"/>
      <c r="C405" s="158"/>
      <c r="D405" s="158"/>
      <c r="E405" s="158"/>
      <c r="G405" s="158"/>
      <c r="H405" s="158"/>
      <c r="I405" s="158"/>
      <c r="J405" s="158"/>
      <c r="K405" s="158"/>
      <c r="L405" s="158"/>
      <c r="M405" s="158"/>
      <c r="N405" s="158"/>
      <c r="O405" s="158"/>
      <c r="P405" s="158"/>
      <c r="Q405" s="158"/>
      <c r="R405" s="158"/>
      <c r="S405" s="158"/>
      <c r="T405" s="158"/>
      <c r="U405" s="158"/>
      <c r="V405" s="158"/>
      <c r="W405" s="158"/>
      <c r="X405" s="158"/>
    </row>
    <row r="406">
      <c r="A406" s="176"/>
      <c r="B406" s="177"/>
      <c r="C406" s="158"/>
      <c r="D406" s="158"/>
      <c r="E406" s="158"/>
      <c r="G406" s="158"/>
      <c r="H406" s="158"/>
      <c r="I406" s="158"/>
      <c r="J406" s="158"/>
      <c r="K406" s="158"/>
      <c r="L406" s="158"/>
      <c r="M406" s="158"/>
      <c r="N406" s="158"/>
      <c r="O406" s="158"/>
      <c r="P406" s="158"/>
      <c r="Q406" s="158"/>
      <c r="R406" s="158"/>
      <c r="S406" s="158"/>
      <c r="T406" s="158"/>
      <c r="U406" s="158"/>
      <c r="V406" s="158"/>
      <c r="W406" s="158"/>
      <c r="X406" s="158"/>
    </row>
    <row r="407">
      <c r="A407" s="176"/>
      <c r="B407" s="177"/>
      <c r="C407" s="158"/>
      <c r="D407" s="158"/>
      <c r="E407" s="158"/>
      <c r="G407" s="158"/>
      <c r="H407" s="158"/>
      <c r="I407" s="158"/>
      <c r="J407" s="158"/>
      <c r="K407" s="158"/>
      <c r="L407" s="158"/>
      <c r="M407" s="158"/>
      <c r="N407" s="158"/>
      <c r="O407" s="158"/>
      <c r="P407" s="158"/>
      <c r="Q407" s="158"/>
      <c r="R407" s="158"/>
      <c r="S407" s="158"/>
      <c r="T407" s="158"/>
      <c r="U407" s="158"/>
      <c r="V407" s="158"/>
      <c r="W407" s="158"/>
      <c r="X407" s="158"/>
    </row>
    <row r="408">
      <c r="A408" s="176"/>
      <c r="B408" s="177"/>
      <c r="C408" s="158"/>
      <c r="D408" s="158"/>
      <c r="E408" s="158"/>
      <c r="G408" s="158"/>
      <c r="H408" s="158"/>
      <c r="I408" s="158"/>
      <c r="J408" s="158"/>
      <c r="K408" s="158"/>
      <c r="L408" s="158"/>
      <c r="M408" s="158"/>
      <c r="N408" s="158"/>
      <c r="O408" s="158"/>
      <c r="P408" s="158"/>
      <c r="Q408" s="158"/>
      <c r="R408" s="158"/>
      <c r="S408" s="158"/>
      <c r="T408" s="158"/>
      <c r="U408" s="158"/>
      <c r="V408" s="158"/>
      <c r="W408" s="158"/>
      <c r="X408" s="158"/>
    </row>
    <row r="409">
      <c r="A409" s="176"/>
      <c r="B409" s="177"/>
      <c r="C409" s="158"/>
      <c r="D409" s="158"/>
      <c r="E409" s="158"/>
      <c r="G409" s="158"/>
      <c r="H409" s="158"/>
      <c r="I409" s="158"/>
      <c r="J409" s="158"/>
      <c r="K409" s="158"/>
      <c r="L409" s="158"/>
      <c r="M409" s="158"/>
      <c r="N409" s="158"/>
      <c r="O409" s="158"/>
      <c r="P409" s="158"/>
      <c r="Q409" s="158"/>
      <c r="R409" s="158"/>
      <c r="S409" s="158"/>
      <c r="T409" s="158"/>
      <c r="U409" s="158"/>
      <c r="V409" s="158"/>
      <c r="W409" s="158"/>
      <c r="X409" s="158"/>
    </row>
    <row r="410">
      <c r="A410" s="176"/>
      <c r="B410" s="177"/>
      <c r="C410" s="158"/>
      <c r="D410" s="158"/>
      <c r="E410" s="158"/>
      <c r="G410" s="158"/>
      <c r="H410" s="158"/>
      <c r="I410" s="158"/>
      <c r="J410" s="158"/>
      <c r="K410" s="158"/>
      <c r="L410" s="158"/>
      <c r="M410" s="158"/>
      <c r="N410" s="158"/>
      <c r="O410" s="158"/>
      <c r="P410" s="158"/>
      <c r="Q410" s="158"/>
      <c r="R410" s="158"/>
      <c r="S410" s="158"/>
      <c r="T410" s="158"/>
      <c r="U410" s="158"/>
      <c r="V410" s="158"/>
      <c r="W410" s="158"/>
      <c r="X410" s="158"/>
    </row>
    <row r="411">
      <c r="A411" s="176"/>
      <c r="B411" s="177"/>
      <c r="C411" s="158"/>
      <c r="D411" s="158"/>
      <c r="E411" s="158"/>
      <c r="G411" s="158"/>
      <c r="H411" s="158"/>
      <c r="I411" s="158"/>
      <c r="J411" s="158"/>
      <c r="K411" s="158"/>
      <c r="L411" s="158"/>
      <c r="M411" s="158"/>
      <c r="N411" s="158"/>
      <c r="O411" s="158"/>
      <c r="P411" s="158"/>
      <c r="Q411" s="158"/>
      <c r="R411" s="158"/>
      <c r="S411" s="158"/>
      <c r="T411" s="158"/>
      <c r="U411" s="158"/>
      <c r="V411" s="158"/>
      <c r="W411" s="158"/>
      <c r="X411" s="158"/>
    </row>
    <row r="412">
      <c r="A412" s="176"/>
      <c r="B412" s="177"/>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row>
    <row r="413">
      <c r="A413" s="176"/>
      <c r="B413" s="177"/>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row>
    <row r="414">
      <c r="A414" s="176"/>
      <c r="B414" s="177"/>
      <c r="C414" s="158"/>
      <c r="D414" s="158"/>
      <c r="E414" s="158"/>
      <c r="G414" s="158"/>
      <c r="H414" s="158"/>
      <c r="I414" s="158"/>
      <c r="J414" s="158"/>
      <c r="K414" s="158"/>
      <c r="L414" s="158"/>
      <c r="M414" s="158"/>
      <c r="N414" s="158"/>
      <c r="O414" s="158"/>
      <c r="P414" s="158"/>
      <c r="Q414" s="158"/>
      <c r="R414" s="158"/>
      <c r="S414" s="158"/>
      <c r="T414" s="158"/>
      <c r="U414" s="158"/>
      <c r="V414" s="158"/>
      <c r="W414" s="158"/>
      <c r="X414" s="158"/>
    </row>
    <row r="415">
      <c r="A415" s="176"/>
      <c r="B415" s="177"/>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row>
    <row r="416">
      <c r="A416" s="176"/>
      <c r="B416" s="177"/>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row>
    <row r="417">
      <c r="A417" s="176"/>
      <c r="B417" s="177"/>
      <c r="C417" s="158"/>
      <c r="D417" s="158"/>
      <c r="E417" s="158"/>
      <c r="G417" s="158"/>
      <c r="H417" s="158"/>
      <c r="I417" s="158"/>
      <c r="J417" s="158"/>
      <c r="K417" s="158"/>
      <c r="L417" s="158"/>
      <c r="M417" s="158"/>
      <c r="N417" s="158"/>
      <c r="O417" s="158"/>
      <c r="P417" s="158"/>
      <c r="Q417" s="158"/>
      <c r="R417" s="158"/>
      <c r="S417" s="158"/>
      <c r="T417" s="158"/>
      <c r="U417" s="158"/>
      <c r="V417" s="158"/>
      <c r="W417" s="158"/>
      <c r="X417" s="158"/>
    </row>
    <row r="418">
      <c r="A418" s="176"/>
      <c r="B418" s="177"/>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row>
    <row r="419">
      <c r="A419" s="176"/>
      <c r="B419" s="177"/>
      <c r="C419" s="158"/>
      <c r="D419" s="158"/>
      <c r="E419" s="158"/>
      <c r="G419" s="158"/>
      <c r="H419" s="158"/>
      <c r="I419" s="158"/>
      <c r="J419" s="158"/>
      <c r="K419" s="158"/>
      <c r="L419" s="158"/>
      <c r="M419" s="158"/>
      <c r="N419" s="158"/>
      <c r="O419" s="158"/>
      <c r="P419" s="158"/>
      <c r="Q419" s="158"/>
      <c r="R419" s="158"/>
      <c r="S419" s="158"/>
      <c r="T419" s="158"/>
      <c r="U419" s="158"/>
      <c r="V419" s="158"/>
      <c r="W419" s="158"/>
      <c r="X419" s="158"/>
    </row>
    <row r="420">
      <c r="A420" s="176"/>
      <c r="B420" s="177"/>
      <c r="C420" s="158"/>
      <c r="D420" s="158"/>
      <c r="E420" s="158"/>
      <c r="G420" s="158"/>
      <c r="H420" s="158"/>
      <c r="I420" s="158"/>
      <c r="J420" s="158"/>
      <c r="K420" s="158"/>
      <c r="L420" s="158"/>
      <c r="M420" s="158"/>
      <c r="N420" s="158"/>
      <c r="O420" s="158"/>
      <c r="P420" s="158"/>
      <c r="Q420" s="158"/>
      <c r="R420" s="158"/>
      <c r="S420" s="158"/>
      <c r="T420" s="158"/>
      <c r="U420" s="158"/>
      <c r="V420" s="158"/>
      <c r="W420" s="158"/>
      <c r="X420" s="158"/>
    </row>
    <row r="421">
      <c r="A421" s="176"/>
      <c r="B421" s="177"/>
      <c r="C421" s="158"/>
      <c r="D421" s="158"/>
      <c r="E421" s="158"/>
      <c r="G421" s="158"/>
      <c r="H421" s="158"/>
      <c r="I421" s="158"/>
      <c r="J421" s="158"/>
      <c r="K421" s="158"/>
      <c r="L421" s="158"/>
      <c r="M421" s="158"/>
      <c r="N421" s="158"/>
      <c r="O421" s="158"/>
      <c r="P421" s="158"/>
      <c r="Q421" s="158"/>
      <c r="R421" s="158"/>
      <c r="S421" s="158"/>
      <c r="T421" s="158"/>
      <c r="U421" s="158"/>
      <c r="V421" s="158"/>
      <c r="W421" s="158"/>
      <c r="X421" s="158"/>
    </row>
    <row r="422">
      <c r="A422" s="176"/>
      <c r="B422" s="177"/>
      <c r="C422" s="158"/>
      <c r="D422" s="158"/>
      <c r="E422" s="158"/>
      <c r="G422" s="158"/>
      <c r="H422" s="158"/>
      <c r="I422" s="158"/>
      <c r="J422" s="158"/>
      <c r="K422" s="158"/>
      <c r="L422" s="158"/>
      <c r="M422" s="158"/>
      <c r="N422" s="158"/>
      <c r="O422" s="158"/>
      <c r="P422" s="158"/>
      <c r="Q422" s="158"/>
      <c r="R422" s="158"/>
      <c r="S422" s="158"/>
      <c r="T422" s="158"/>
      <c r="U422" s="158"/>
      <c r="V422" s="158"/>
      <c r="W422" s="158"/>
      <c r="X422" s="158"/>
    </row>
    <row r="423">
      <c r="A423" s="176"/>
      <c r="B423" s="177"/>
      <c r="C423" s="158"/>
      <c r="D423" s="158"/>
      <c r="E423" s="158"/>
      <c r="G423" s="158"/>
      <c r="H423" s="158"/>
      <c r="I423" s="158"/>
      <c r="J423" s="158"/>
      <c r="K423" s="158"/>
      <c r="L423" s="158"/>
      <c r="M423" s="158"/>
      <c r="N423" s="158"/>
      <c r="O423" s="158"/>
      <c r="P423" s="158"/>
      <c r="Q423" s="158"/>
      <c r="R423" s="158"/>
      <c r="S423" s="158"/>
      <c r="T423" s="158"/>
      <c r="U423" s="158"/>
      <c r="V423" s="158"/>
      <c r="W423" s="158"/>
      <c r="X423" s="158"/>
    </row>
    <row r="424">
      <c r="A424" s="176"/>
      <c r="B424" s="177"/>
      <c r="C424" s="158"/>
      <c r="D424" s="158"/>
      <c r="E424" s="158"/>
      <c r="G424" s="158"/>
      <c r="H424" s="158"/>
      <c r="I424" s="158"/>
      <c r="J424" s="158"/>
      <c r="K424" s="158"/>
      <c r="L424" s="158"/>
      <c r="M424" s="158"/>
      <c r="N424" s="158"/>
      <c r="O424" s="158"/>
      <c r="P424" s="158"/>
      <c r="Q424" s="158"/>
      <c r="R424" s="158"/>
      <c r="S424" s="158"/>
      <c r="T424" s="158"/>
      <c r="U424" s="158"/>
      <c r="V424" s="158"/>
      <c r="W424" s="158"/>
      <c r="X424" s="158"/>
    </row>
    <row r="425">
      <c r="A425" s="176"/>
      <c r="B425" s="177"/>
      <c r="C425" s="158"/>
      <c r="D425" s="158"/>
      <c r="E425" s="158"/>
      <c r="G425" s="158"/>
      <c r="H425" s="158"/>
      <c r="I425" s="158"/>
      <c r="J425" s="158"/>
      <c r="K425" s="158"/>
      <c r="L425" s="158"/>
      <c r="M425" s="158"/>
      <c r="N425" s="158"/>
      <c r="O425" s="158"/>
      <c r="P425" s="158"/>
      <c r="Q425" s="158"/>
      <c r="R425" s="158"/>
      <c r="S425" s="158"/>
      <c r="T425" s="158"/>
      <c r="U425" s="158"/>
      <c r="V425" s="158"/>
      <c r="W425" s="158"/>
      <c r="X425" s="158"/>
    </row>
    <row r="426">
      <c r="A426" s="176"/>
      <c r="B426" s="177"/>
      <c r="C426" s="158"/>
      <c r="D426" s="158"/>
      <c r="E426" s="158"/>
      <c r="G426" s="158"/>
      <c r="H426" s="158"/>
      <c r="I426" s="158"/>
      <c r="J426" s="158"/>
      <c r="K426" s="158"/>
      <c r="L426" s="158"/>
      <c r="M426" s="158"/>
      <c r="N426" s="158"/>
      <c r="O426" s="158"/>
      <c r="P426" s="158"/>
      <c r="Q426" s="158"/>
      <c r="R426" s="158"/>
      <c r="S426" s="158"/>
      <c r="T426" s="158"/>
      <c r="U426" s="158"/>
      <c r="V426" s="158"/>
      <c r="W426" s="158"/>
      <c r="X426" s="158"/>
    </row>
    <row r="427">
      <c r="A427" s="176"/>
      <c r="B427" s="177"/>
      <c r="C427" s="158"/>
      <c r="D427" s="158"/>
      <c r="E427" s="158"/>
      <c r="G427" s="158"/>
      <c r="H427" s="158"/>
      <c r="I427" s="158"/>
      <c r="J427" s="158"/>
      <c r="K427" s="158"/>
      <c r="L427" s="158"/>
      <c r="M427" s="158"/>
      <c r="N427" s="158"/>
      <c r="O427" s="158"/>
      <c r="P427" s="158"/>
      <c r="Q427" s="158"/>
      <c r="R427" s="158"/>
      <c r="S427" s="158"/>
      <c r="T427" s="158"/>
      <c r="U427" s="158"/>
      <c r="V427" s="158"/>
      <c r="W427" s="158"/>
      <c r="X427" s="158"/>
    </row>
    <row r="428">
      <c r="A428" s="176"/>
      <c r="B428" s="177"/>
      <c r="C428" s="158"/>
      <c r="D428" s="158"/>
      <c r="E428" s="158"/>
      <c r="G428" s="158"/>
      <c r="H428" s="158"/>
      <c r="I428" s="158"/>
      <c r="J428" s="158"/>
      <c r="K428" s="158"/>
      <c r="L428" s="158"/>
      <c r="M428" s="158"/>
      <c r="N428" s="158"/>
      <c r="O428" s="158"/>
      <c r="P428" s="158"/>
      <c r="Q428" s="158"/>
      <c r="R428" s="158"/>
      <c r="S428" s="158"/>
      <c r="T428" s="158"/>
      <c r="U428" s="158"/>
      <c r="V428" s="158"/>
      <c r="W428" s="158"/>
      <c r="X428" s="158"/>
    </row>
    <row r="429">
      <c r="A429" s="176"/>
      <c r="B429" s="177"/>
      <c r="C429" s="158"/>
      <c r="D429" s="158"/>
      <c r="E429" s="158"/>
      <c r="G429" s="158"/>
      <c r="H429" s="158"/>
      <c r="I429" s="158"/>
      <c r="J429" s="158"/>
      <c r="K429" s="158"/>
      <c r="L429" s="158"/>
      <c r="M429" s="158"/>
      <c r="N429" s="158"/>
      <c r="O429" s="158"/>
      <c r="P429" s="158"/>
      <c r="Q429" s="158"/>
      <c r="R429" s="158"/>
      <c r="S429" s="158"/>
      <c r="T429" s="158"/>
      <c r="U429" s="158"/>
      <c r="V429" s="158"/>
      <c r="W429" s="158"/>
      <c r="X429" s="158"/>
    </row>
    <row r="430">
      <c r="A430" s="176"/>
      <c r="B430" s="177"/>
      <c r="C430" s="158"/>
      <c r="D430" s="158"/>
      <c r="E430" s="158"/>
      <c r="G430" s="158"/>
      <c r="H430" s="158"/>
      <c r="I430" s="158"/>
      <c r="J430" s="158"/>
      <c r="K430" s="158"/>
      <c r="L430" s="158"/>
      <c r="M430" s="158"/>
      <c r="N430" s="158"/>
      <c r="O430" s="158"/>
      <c r="P430" s="158"/>
      <c r="Q430" s="158"/>
      <c r="R430" s="158"/>
      <c r="S430" s="158"/>
      <c r="T430" s="158"/>
      <c r="U430" s="158"/>
      <c r="V430" s="158"/>
      <c r="W430" s="158"/>
      <c r="X430" s="158"/>
    </row>
    <row r="431">
      <c r="A431" s="176"/>
      <c r="B431" s="177"/>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row>
    <row r="432">
      <c r="A432" s="176"/>
      <c r="B432" s="177"/>
      <c r="C432" s="158"/>
      <c r="D432" s="158"/>
      <c r="E432" s="158"/>
      <c r="G432" s="158"/>
      <c r="H432" s="158"/>
      <c r="I432" s="158"/>
      <c r="J432" s="158"/>
      <c r="K432" s="158"/>
      <c r="L432" s="158"/>
      <c r="M432" s="158"/>
      <c r="N432" s="158"/>
      <c r="O432" s="158"/>
      <c r="P432" s="158"/>
      <c r="Q432" s="158"/>
      <c r="R432" s="158"/>
      <c r="S432" s="158"/>
      <c r="T432" s="158"/>
      <c r="U432" s="158"/>
      <c r="V432" s="158"/>
      <c r="W432" s="158"/>
      <c r="X432" s="158"/>
    </row>
    <row r="433">
      <c r="A433" s="176"/>
      <c r="B433" s="177"/>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row>
    <row r="434">
      <c r="A434" s="176"/>
      <c r="B434" s="177"/>
      <c r="C434" s="158"/>
      <c r="D434" s="158"/>
      <c r="E434" s="158"/>
      <c r="G434" s="158"/>
      <c r="H434" s="158"/>
      <c r="I434" s="158"/>
      <c r="J434" s="158"/>
      <c r="K434" s="158"/>
      <c r="L434" s="158"/>
      <c r="M434" s="158"/>
      <c r="N434" s="158"/>
      <c r="O434" s="158"/>
      <c r="P434" s="158"/>
      <c r="Q434" s="158"/>
      <c r="R434" s="158"/>
      <c r="S434" s="158"/>
      <c r="T434" s="158"/>
      <c r="U434" s="158"/>
      <c r="V434" s="158"/>
      <c r="W434" s="158"/>
      <c r="X434" s="158"/>
    </row>
    <row r="435">
      <c r="A435" s="176"/>
      <c r="B435" s="177"/>
      <c r="C435" s="158"/>
      <c r="D435" s="158"/>
      <c r="E435" s="158"/>
      <c r="G435" s="158"/>
      <c r="H435" s="158"/>
      <c r="I435" s="158"/>
      <c r="J435" s="158"/>
      <c r="K435" s="158"/>
      <c r="L435" s="158"/>
      <c r="M435" s="158"/>
      <c r="N435" s="158"/>
      <c r="O435" s="158"/>
      <c r="P435" s="158"/>
      <c r="Q435" s="158"/>
      <c r="R435" s="158"/>
      <c r="S435" s="158"/>
      <c r="T435" s="158"/>
      <c r="U435" s="158"/>
      <c r="V435" s="158"/>
      <c r="W435" s="158"/>
      <c r="X435" s="158"/>
    </row>
    <row r="436">
      <c r="A436" s="176"/>
      <c r="B436" s="177"/>
      <c r="C436" s="158"/>
      <c r="D436" s="158"/>
      <c r="E436" s="158"/>
      <c r="G436" s="158"/>
      <c r="H436" s="158"/>
      <c r="I436" s="158"/>
      <c r="J436" s="158"/>
      <c r="K436" s="158"/>
      <c r="L436" s="158"/>
      <c r="M436" s="158"/>
      <c r="N436" s="158"/>
      <c r="O436" s="158"/>
      <c r="P436" s="158"/>
      <c r="Q436" s="158"/>
      <c r="R436" s="158"/>
      <c r="S436" s="158"/>
      <c r="T436" s="158"/>
      <c r="U436" s="158"/>
      <c r="V436" s="158"/>
      <c r="W436" s="158"/>
      <c r="X436" s="158"/>
    </row>
    <row r="437">
      <c r="A437" s="176"/>
      <c r="B437" s="177"/>
      <c r="C437" s="158"/>
      <c r="D437" s="158"/>
      <c r="E437" s="158"/>
      <c r="G437" s="158"/>
      <c r="H437" s="158"/>
      <c r="I437" s="158"/>
      <c r="J437" s="158"/>
      <c r="K437" s="158"/>
      <c r="L437" s="158"/>
      <c r="M437" s="158"/>
      <c r="N437" s="158"/>
      <c r="O437" s="158"/>
      <c r="P437" s="158"/>
      <c r="Q437" s="158"/>
      <c r="R437" s="158"/>
      <c r="S437" s="158"/>
      <c r="T437" s="158"/>
      <c r="U437" s="158"/>
      <c r="V437" s="158"/>
      <c r="W437" s="158"/>
      <c r="X437" s="158"/>
    </row>
    <row r="438">
      <c r="A438" s="176"/>
      <c r="B438" s="177"/>
      <c r="C438" s="158"/>
      <c r="D438" s="158"/>
      <c r="E438" s="158"/>
      <c r="G438" s="158"/>
      <c r="H438" s="158"/>
      <c r="I438" s="158"/>
      <c r="J438" s="158"/>
      <c r="K438" s="158"/>
      <c r="L438" s="158"/>
      <c r="M438" s="158"/>
      <c r="N438" s="158"/>
      <c r="O438" s="158"/>
      <c r="P438" s="158"/>
      <c r="Q438" s="158"/>
      <c r="R438" s="158"/>
      <c r="S438" s="158"/>
      <c r="T438" s="158"/>
      <c r="U438" s="158"/>
      <c r="V438" s="158"/>
      <c r="W438" s="158"/>
      <c r="X438" s="158"/>
    </row>
    <row r="439">
      <c r="A439" s="176"/>
      <c r="B439" s="177"/>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row>
    <row r="440">
      <c r="A440" s="176"/>
      <c r="B440" s="177"/>
      <c r="C440" s="158"/>
      <c r="D440" s="158"/>
      <c r="E440" s="158"/>
      <c r="G440" s="158"/>
      <c r="H440" s="158"/>
      <c r="I440" s="158"/>
      <c r="J440" s="158"/>
      <c r="K440" s="158"/>
      <c r="L440" s="158"/>
      <c r="M440" s="158"/>
      <c r="N440" s="158"/>
      <c r="O440" s="158"/>
      <c r="P440" s="158"/>
      <c r="Q440" s="158"/>
      <c r="R440" s="158"/>
      <c r="S440" s="158"/>
      <c r="T440" s="158"/>
      <c r="U440" s="158"/>
      <c r="V440" s="158"/>
      <c r="W440" s="158"/>
      <c r="X440" s="158"/>
    </row>
    <row r="441">
      <c r="A441" s="176"/>
      <c r="B441" s="177"/>
      <c r="C441" s="158"/>
      <c r="D441" s="158"/>
      <c r="E441" s="158"/>
      <c r="G441" s="158"/>
      <c r="H441" s="158"/>
      <c r="I441" s="158"/>
      <c r="J441" s="158"/>
      <c r="K441" s="158"/>
      <c r="L441" s="158"/>
      <c r="M441" s="158"/>
      <c r="N441" s="158"/>
      <c r="O441" s="158"/>
      <c r="P441" s="158"/>
      <c r="Q441" s="158"/>
      <c r="R441" s="158"/>
      <c r="S441" s="158"/>
      <c r="T441" s="158"/>
      <c r="U441" s="158"/>
      <c r="V441" s="158"/>
      <c r="W441" s="158"/>
      <c r="X441" s="158"/>
    </row>
    <row r="442">
      <c r="A442" s="176"/>
      <c r="B442" s="177"/>
      <c r="C442" s="158"/>
      <c r="D442" s="158"/>
      <c r="E442" s="158"/>
      <c r="G442" s="158"/>
      <c r="H442" s="158"/>
      <c r="I442" s="158"/>
      <c r="J442" s="158"/>
      <c r="K442" s="158"/>
      <c r="L442" s="158"/>
      <c r="M442" s="158"/>
      <c r="N442" s="158"/>
      <c r="O442" s="158"/>
      <c r="P442" s="158"/>
      <c r="Q442" s="158"/>
      <c r="R442" s="158"/>
      <c r="S442" s="158"/>
      <c r="T442" s="158"/>
      <c r="U442" s="158"/>
      <c r="V442" s="158"/>
      <c r="W442" s="158"/>
      <c r="X442" s="158"/>
    </row>
    <row r="443">
      <c r="A443" s="176"/>
      <c r="B443" s="177"/>
      <c r="C443" s="158"/>
      <c r="D443" s="158"/>
      <c r="E443" s="158"/>
      <c r="G443" s="158"/>
      <c r="H443" s="158"/>
      <c r="I443" s="158"/>
      <c r="J443" s="158"/>
      <c r="K443" s="158"/>
      <c r="L443" s="158"/>
      <c r="M443" s="158"/>
      <c r="N443" s="158"/>
      <c r="O443" s="158"/>
      <c r="P443" s="158"/>
      <c r="Q443" s="158"/>
      <c r="R443" s="158"/>
      <c r="S443" s="158"/>
      <c r="T443" s="158"/>
      <c r="U443" s="158"/>
      <c r="V443" s="158"/>
      <c r="W443" s="158"/>
      <c r="X443" s="158"/>
    </row>
    <row r="444">
      <c r="A444" s="176"/>
      <c r="B444" s="177"/>
      <c r="C444" s="158"/>
      <c r="D444" s="158"/>
      <c r="E444" s="158"/>
      <c r="G444" s="158"/>
      <c r="H444" s="158"/>
      <c r="I444" s="158"/>
      <c r="J444" s="158"/>
      <c r="K444" s="158"/>
      <c r="L444" s="158"/>
      <c r="M444" s="158"/>
      <c r="N444" s="158"/>
      <c r="O444" s="158"/>
      <c r="P444" s="158"/>
      <c r="Q444" s="158"/>
      <c r="R444" s="158"/>
      <c r="S444" s="158"/>
      <c r="T444" s="158"/>
      <c r="U444" s="158"/>
      <c r="V444" s="158"/>
      <c r="W444" s="158"/>
      <c r="X444" s="158"/>
    </row>
    <row r="445">
      <c r="A445" s="176"/>
      <c r="B445" s="177"/>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row>
    <row r="446">
      <c r="A446" s="176"/>
      <c r="B446" s="177"/>
      <c r="C446" s="158"/>
      <c r="D446" s="158"/>
      <c r="E446" s="158"/>
      <c r="G446" s="158"/>
      <c r="H446" s="158"/>
      <c r="I446" s="158"/>
      <c r="J446" s="158"/>
      <c r="K446" s="158"/>
      <c r="L446" s="158"/>
      <c r="M446" s="158"/>
      <c r="N446" s="158"/>
      <c r="O446" s="158"/>
      <c r="P446" s="158"/>
      <c r="Q446" s="158"/>
      <c r="R446" s="158"/>
      <c r="S446" s="158"/>
      <c r="T446" s="158"/>
      <c r="U446" s="158"/>
      <c r="V446" s="158"/>
      <c r="W446" s="158"/>
      <c r="X446" s="158"/>
    </row>
    <row r="447">
      <c r="A447" s="176"/>
      <c r="B447" s="177"/>
      <c r="C447" s="158"/>
      <c r="D447" s="158"/>
      <c r="E447" s="158"/>
      <c r="G447" s="158"/>
      <c r="H447" s="158"/>
      <c r="I447" s="158"/>
      <c r="J447" s="158"/>
      <c r="K447" s="158"/>
      <c r="L447" s="158"/>
      <c r="M447" s="158"/>
      <c r="N447" s="158"/>
      <c r="O447" s="158"/>
      <c r="P447" s="158"/>
      <c r="Q447" s="158"/>
      <c r="R447" s="158"/>
      <c r="S447" s="158"/>
      <c r="T447" s="158"/>
      <c r="U447" s="158"/>
      <c r="V447" s="158"/>
      <c r="W447" s="158"/>
      <c r="X447" s="158"/>
    </row>
    <row r="448">
      <c r="A448" s="176"/>
      <c r="B448" s="177"/>
      <c r="C448" s="158"/>
      <c r="D448" s="158"/>
      <c r="E448" s="158"/>
      <c r="G448" s="158"/>
      <c r="H448" s="158"/>
      <c r="I448" s="158"/>
      <c r="J448" s="158"/>
      <c r="K448" s="158"/>
      <c r="L448" s="158"/>
      <c r="M448" s="158"/>
      <c r="N448" s="158"/>
      <c r="O448" s="158"/>
      <c r="P448" s="158"/>
      <c r="Q448" s="158"/>
      <c r="R448" s="158"/>
      <c r="S448" s="158"/>
      <c r="T448" s="158"/>
      <c r="U448" s="158"/>
      <c r="V448" s="158"/>
      <c r="W448" s="158"/>
      <c r="X448" s="158"/>
    </row>
    <row r="449">
      <c r="A449" s="176"/>
      <c r="B449" s="177"/>
      <c r="C449" s="158"/>
      <c r="D449" s="158"/>
      <c r="E449" s="158"/>
      <c r="G449" s="158"/>
      <c r="H449" s="158"/>
      <c r="I449" s="158"/>
      <c r="J449" s="158"/>
      <c r="K449" s="158"/>
      <c r="L449" s="158"/>
      <c r="M449" s="158"/>
      <c r="N449" s="158"/>
      <c r="O449" s="158"/>
      <c r="P449" s="158"/>
      <c r="Q449" s="158"/>
      <c r="R449" s="158"/>
      <c r="S449" s="158"/>
      <c r="T449" s="158"/>
      <c r="U449" s="158"/>
      <c r="V449" s="158"/>
      <c r="W449" s="158"/>
      <c r="X449" s="158"/>
    </row>
    <row r="450">
      <c r="A450" s="176"/>
      <c r="B450" s="177"/>
      <c r="C450" s="158"/>
      <c r="D450" s="158"/>
      <c r="E450" s="158"/>
      <c r="G450" s="158"/>
      <c r="H450" s="158"/>
      <c r="I450" s="158"/>
      <c r="J450" s="158"/>
      <c r="K450" s="158"/>
      <c r="L450" s="158"/>
      <c r="M450" s="158"/>
      <c r="N450" s="158"/>
      <c r="O450" s="158"/>
      <c r="P450" s="158"/>
      <c r="Q450" s="158"/>
      <c r="R450" s="158"/>
      <c r="S450" s="158"/>
      <c r="T450" s="158"/>
      <c r="U450" s="158"/>
      <c r="V450" s="158"/>
      <c r="W450" s="158"/>
      <c r="X450" s="158"/>
    </row>
    <row r="451">
      <c r="A451" s="176"/>
      <c r="B451" s="177"/>
      <c r="C451" s="158"/>
      <c r="D451" s="158"/>
      <c r="E451" s="158"/>
      <c r="G451" s="158"/>
      <c r="H451" s="158"/>
      <c r="I451" s="158"/>
      <c r="J451" s="158"/>
      <c r="K451" s="158"/>
      <c r="L451" s="158"/>
      <c r="M451" s="158"/>
      <c r="N451" s="158"/>
      <c r="O451" s="158"/>
      <c r="P451" s="158"/>
      <c r="Q451" s="158"/>
      <c r="R451" s="158"/>
      <c r="S451" s="158"/>
      <c r="T451" s="158"/>
      <c r="U451" s="158"/>
      <c r="V451" s="158"/>
      <c r="W451" s="158"/>
      <c r="X451" s="158"/>
    </row>
    <row r="452">
      <c r="A452" s="176"/>
      <c r="B452" s="177"/>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row>
    <row r="453">
      <c r="A453" s="176"/>
      <c r="B453" s="177"/>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row>
    <row r="454">
      <c r="A454" s="176"/>
      <c r="B454" s="177"/>
      <c r="C454" s="158"/>
      <c r="D454" s="158"/>
      <c r="E454" s="158"/>
      <c r="G454" s="158"/>
      <c r="H454" s="158"/>
      <c r="I454" s="158"/>
      <c r="J454" s="158"/>
      <c r="K454" s="158"/>
      <c r="L454" s="158"/>
      <c r="M454" s="158"/>
      <c r="N454" s="158"/>
      <c r="O454" s="158"/>
      <c r="P454" s="158"/>
      <c r="Q454" s="158"/>
      <c r="R454" s="158"/>
      <c r="S454" s="158"/>
      <c r="T454" s="158"/>
      <c r="U454" s="158"/>
      <c r="V454" s="158"/>
      <c r="W454" s="158"/>
      <c r="X454" s="158"/>
    </row>
    <row r="455">
      <c r="A455" s="176"/>
      <c r="B455" s="177"/>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row>
    <row r="456">
      <c r="A456" s="176"/>
      <c r="B456" s="177"/>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row>
    <row r="457">
      <c r="A457" s="176"/>
      <c r="B457" s="177"/>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row>
    <row r="458">
      <c r="A458" s="176"/>
      <c r="B458" s="177"/>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row>
    <row r="459">
      <c r="A459" s="176"/>
      <c r="B459" s="177"/>
      <c r="C459" s="158"/>
      <c r="D459" s="158"/>
      <c r="E459" s="158"/>
      <c r="G459" s="158"/>
      <c r="H459" s="158"/>
      <c r="I459" s="158"/>
      <c r="J459" s="158"/>
      <c r="K459" s="158"/>
      <c r="L459" s="158"/>
      <c r="M459" s="158"/>
      <c r="N459" s="158"/>
      <c r="O459" s="158"/>
      <c r="P459" s="158"/>
      <c r="Q459" s="158"/>
      <c r="R459" s="158"/>
      <c r="S459" s="158"/>
      <c r="T459" s="158"/>
      <c r="U459" s="158"/>
      <c r="V459" s="158"/>
      <c r="W459" s="158"/>
      <c r="X459" s="158"/>
    </row>
    <row r="460">
      <c r="A460" s="176"/>
      <c r="B460" s="177"/>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row>
    <row r="461">
      <c r="A461" s="176"/>
      <c r="B461" s="177"/>
      <c r="C461" s="158"/>
      <c r="D461" s="158"/>
      <c r="E461" s="158"/>
      <c r="G461" s="158"/>
      <c r="H461" s="158"/>
      <c r="I461" s="158"/>
      <c r="J461" s="158"/>
      <c r="K461" s="158"/>
      <c r="L461" s="158"/>
      <c r="M461" s="158"/>
      <c r="N461" s="158"/>
      <c r="O461" s="158"/>
      <c r="P461" s="158"/>
      <c r="Q461" s="158"/>
      <c r="R461" s="158"/>
      <c r="S461" s="158"/>
      <c r="T461" s="158"/>
      <c r="U461" s="158"/>
      <c r="V461" s="158"/>
      <c r="W461" s="158"/>
      <c r="X461" s="158"/>
    </row>
    <row r="462">
      <c r="A462" s="176"/>
      <c r="B462" s="177"/>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row>
    <row r="463">
      <c r="A463" s="176"/>
      <c r="B463" s="177"/>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row>
    <row r="464">
      <c r="A464" s="176"/>
      <c r="B464" s="177"/>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row>
    <row r="465">
      <c r="A465" s="176"/>
      <c r="B465" s="177"/>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row>
    <row r="466">
      <c r="A466" s="176"/>
      <c r="B466" s="177"/>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row>
    <row r="467">
      <c r="A467" s="176"/>
      <c r="B467" s="177"/>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row>
    <row r="468">
      <c r="A468" s="176"/>
      <c r="B468" s="177"/>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row>
    <row r="469">
      <c r="A469" s="176"/>
      <c r="B469" s="177"/>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row>
    <row r="470">
      <c r="A470" s="176"/>
      <c r="B470" s="177"/>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row>
    <row r="471">
      <c r="A471" s="176"/>
      <c r="B471" s="177"/>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row>
    <row r="472">
      <c r="A472" s="176"/>
      <c r="B472" s="177"/>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row>
    <row r="473">
      <c r="A473" s="176"/>
      <c r="B473" s="177"/>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row>
    <row r="474">
      <c r="A474" s="176"/>
      <c r="B474" s="177"/>
      <c r="C474" s="158"/>
      <c r="D474" s="158"/>
      <c r="E474" s="158"/>
      <c r="G474" s="158"/>
      <c r="H474" s="158"/>
      <c r="I474" s="158"/>
      <c r="J474" s="158"/>
      <c r="K474" s="158"/>
      <c r="L474" s="158"/>
      <c r="M474" s="158"/>
      <c r="N474" s="158"/>
      <c r="O474" s="158"/>
      <c r="P474" s="158"/>
      <c r="Q474" s="158"/>
      <c r="R474" s="158"/>
      <c r="S474" s="158"/>
      <c r="T474" s="158"/>
      <c r="U474" s="158"/>
      <c r="V474" s="158"/>
      <c r="W474" s="158"/>
      <c r="X474" s="158"/>
    </row>
    <row r="475">
      <c r="A475" s="176"/>
      <c r="B475" s="177"/>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row>
    <row r="476">
      <c r="A476" s="176"/>
      <c r="B476" s="177"/>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row>
    <row r="477">
      <c r="A477" s="176"/>
      <c r="B477" s="177"/>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row>
    <row r="478">
      <c r="A478" s="176"/>
      <c r="B478" s="177"/>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row>
    <row r="479">
      <c r="A479" s="176"/>
      <c r="B479" s="177"/>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row>
    <row r="480">
      <c r="A480" s="176"/>
      <c r="B480" s="177"/>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row>
    <row r="481">
      <c r="A481" s="176"/>
      <c r="B481" s="177"/>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row>
    <row r="482">
      <c r="A482" s="176"/>
      <c r="B482" s="177"/>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row>
    <row r="483">
      <c r="A483" s="176"/>
      <c r="B483" s="177"/>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row>
    <row r="484">
      <c r="A484" s="176"/>
      <c r="B484" s="177"/>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row>
    <row r="485">
      <c r="A485" s="176"/>
      <c r="B485" s="177"/>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row>
    <row r="486">
      <c r="A486" s="176"/>
      <c r="B486" s="177"/>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row>
    <row r="487">
      <c r="A487" s="176"/>
      <c r="B487" s="177"/>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row>
    <row r="488">
      <c r="A488" s="176"/>
      <c r="B488" s="177"/>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row>
    <row r="489">
      <c r="A489" s="176"/>
      <c r="B489" s="177"/>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row>
    <row r="490">
      <c r="A490" s="176"/>
      <c r="B490" s="177"/>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row>
    <row r="491">
      <c r="A491" s="176"/>
      <c r="B491" s="177"/>
      <c r="C491" s="158"/>
      <c r="D491" s="158"/>
      <c r="E491" s="158"/>
      <c r="G491" s="158"/>
      <c r="H491" s="158"/>
      <c r="I491" s="158"/>
      <c r="J491" s="158"/>
      <c r="K491" s="158"/>
      <c r="L491" s="158"/>
      <c r="M491" s="158"/>
      <c r="N491" s="158"/>
      <c r="O491" s="158"/>
      <c r="P491" s="158"/>
      <c r="Q491" s="158"/>
      <c r="R491" s="158"/>
      <c r="S491" s="158"/>
      <c r="T491" s="158"/>
      <c r="U491" s="158"/>
      <c r="V491" s="158"/>
      <c r="W491" s="158"/>
      <c r="X491" s="158"/>
    </row>
    <row r="492">
      <c r="A492" s="176"/>
      <c r="B492" s="177"/>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row>
    <row r="493">
      <c r="A493" s="176"/>
      <c r="B493" s="177"/>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row>
    <row r="494">
      <c r="A494" s="176"/>
      <c r="B494" s="177"/>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row>
    <row r="495">
      <c r="A495" s="176"/>
      <c r="B495" s="177"/>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row>
    <row r="496">
      <c r="A496" s="176"/>
      <c r="B496" s="177"/>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row>
    <row r="497">
      <c r="A497" s="176"/>
      <c r="B497" s="177"/>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row>
    <row r="498">
      <c r="A498" s="176"/>
      <c r="B498" s="177"/>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row>
    <row r="499">
      <c r="A499" s="176"/>
      <c r="B499" s="177"/>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row>
    <row r="500">
      <c r="A500" s="176"/>
      <c r="B500" s="177"/>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row>
    <row r="501">
      <c r="A501" s="176"/>
      <c r="B501" s="177"/>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row>
    <row r="502">
      <c r="A502" s="176"/>
      <c r="B502" s="177"/>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row>
    <row r="503">
      <c r="A503" s="176"/>
      <c r="B503" s="177"/>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row>
    <row r="504">
      <c r="A504" s="176"/>
      <c r="B504" s="177"/>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row>
    <row r="505">
      <c r="A505" s="176"/>
      <c r="B505" s="177"/>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row>
    <row r="506">
      <c r="A506" s="176"/>
      <c r="B506" s="177"/>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row>
    <row r="507">
      <c r="A507" s="176"/>
      <c r="B507" s="177"/>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row>
    <row r="508">
      <c r="A508" s="176"/>
      <c r="B508" s="177"/>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row>
    <row r="509">
      <c r="A509" s="176"/>
      <c r="B509" s="177"/>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row>
    <row r="510">
      <c r="A510" s="176"/>
      <c r="B510" s="177"/>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row>
    <row r="511">
      <c r="A511" s="176"/>
      <c r="B511" s="177"/>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row>
    <row r="512">
      <c r="A512" s="176"/>
      <c r="B512" s="177"/>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row>
    <row r="513">
      <c r="A513" s="176"/>
      <c r="B513" s="177"/>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row>
    <row r="514">
      <c r="A514" s="176"/>
      <c r="B514" s="177"/>
      <c r="C514" s="158"/>
      <c r="D514" s="158"/>
      <c r="E514" s="158"/>
      <c r="G514" s="158"/>
      <c r="H514" s="158"/>
      <c r="I514" s="158"/>
      <c r="J514" s="158"/>
      <c r="K514" s="158"/>
      <c r="L514" s="158"/>
      <c r="M514" s="158"/>
      <c r="N514" s="158"/>
      <c r="O514" s="158"/>
      <c r="P514" s="158"/>
      <c r="Q514" s="158"/>
      <c r="R514" s="158"/>
      <c r="S514" s="158"/>
      <c r="T514" s="158"/>
      <c r="U514" s="158"/>
      <c r="V514" s="158"/>
      <c r="W514" s="158"/>
      <c r="X514" s="158"/>
    </row>
    <row r="515">
      <c r="A515" s="176"/>
      <c r="B515" s="177"/>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row>
    <row r="516">
      <c r="A516" s="176"/>
      <c r="B516" s="177"/>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row>
    <row r="517">
      <c r="A517" s="176"/>
      <c r="B517" s="177"/>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row>
    <row r="518">
      <c r="A518" s="176"/>
      <c r="B518" s="177"/>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row>
    <row r="519">
      <c r="A519" s="176"/>
      <c r="B519" s="177"/>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row>
    <row r="520">
      <c r="A520" s="176"/>
      <c r="B520" s="177"/>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row>
    <row r="521">
      <c r="A521" s="176"/>
      <c r="B521" s="177"/>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row>
    <row r="522">
      <c r="A522" s="176"/>
      <c r="B522" s="177"/>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row>
    <row r="523">
      <c r="A523" s="176"/>
      <c r="B523" s="177"/>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row>
    <row r="524">
      <c r="A524" s="176"/>
      <c r="B524" s="177"/>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row>
    <row r="525">
      <c r="A525" s="176"/>
      <c r="B525" s="177"/>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row>
    <row r="526">
      <c r="A526" s="176"/>
      <c r="B526" s="177"/>
      <c r="C526" s="158"/>
      <c r="D526" s="158"/>
      <c r="E526" s="158"/>
      <c r="G526" s="158"/>
      <c r="H526" s="158"/>
      <c r="I526" s="158"/>
      <c r="J526" s="158"/>
      <c r="K526" s="158"/>
      <c r="L526" s="158"/>
      <c r="M526" s="158"/>
      <c r="N526" s="158"/>
      <c r="O526" s="158"/>
      <c r="P526" s="158"/>
      <c r="Q526" s="158"/>
      <c r="R526" s="158"/>
      <c r="S526" s="158"/>
      <c r="T526" s="158"/>
      <c r="U526" s="158"/>
      <c r="V526" s="158"/>
      <c r="W526" s="158"/>
      <c r="X526" s="158"/>
    </row>
    <row r="527">
      <c r="A527" s="176"/>
      <c r="B527" s="177"/>
      <c r="C527" s="158"/>
      <c r="D527" s="158"/>
      <c r="E527" s="158"/>
      <c r="G527" s="158"/>
      <c r="H527" s="158"/>
      <c r="I527" s="158"/>
      <c r="J527" s="158"/>
      <c r="K527" s="158"/>
      <c r="L527" s="158"/>
      <c r="M527" s="158"/>
      <c r="N527" s="158"/>
      <c r="O527" s="158"/>
      <c r="P527" s="158"/>
      <c r="Q527" s="158"/>
      <c r="R527" s="158"/>
      <c r="S527" s="158"/>
      <c r="T527" s="158"/>
      <c r="U527" s="158"/>
      <c r="V527" s="158"/>
      <c r="W527" s="158"/>
      <c r="X527" s="158"/>
    </row>
    <row r="528">
      <c r="A528" s="176"/>
      <c r="B528" s="177"/>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row>
    <row r="529">
      <c r="A529" s="176"/>
      <c r="B529" s="177"/>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row>
    <row r="530">
      <c r="A530" s="176"/>
      <c r="B530" s="177"/>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row>
    <row r="531">
      <c r="A531" s="176"/>
      <c r="B531" s="177"/>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row>
    <row r="532">
      <c r="A532" s="176"/>
      <c r="B532" s="177"/>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row>
    <row r="533">
      <c r="A533" s="176"/>
      <c r="B533" s="177"/>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row>
    <row r="534">
      <c r="A534" s="176"/>
      <c r="B534" s="177"/>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row>
    <row r="535">
      <c r="A535" s="176"/>
      <c r="B535" s="177"/>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row>
    <row r="536">
      <c r="A536" s="176"/>
      <c r="B536" s="177"/>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row>
    <row r="537">
      <c r="A537" s="176"/>
      <c r="B537" s="177"/>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row>
    <row r="538">
      <c r="A538" s="176"/>
      <c r="B538" s="177"/>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row>
    <row r="539">
      <c r="A539" s="176"/>
      <c r="B539" s="177"/>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row>
    <row r="540">
      <c r="A540" s="176"/>
      <c r="B540" s="177"/>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row>
    <row r="541">
      <c r="A541" s="176"/>
      <c r="B541" s="177"/>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row>
    <row r="542">
      <c r="A542" s="176"/>
      <c r="B542" s="177"/>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row>
    <row r="543">
      <c r="A543" s="176"/>
      <c r="B543" s="177"/>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row>
    <row r="544">
      <c r="A544" s="176"/>
      <c r="B544" s="177"/>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row>
    <row r="545">
      <c r="A545" s="176"/>
      <c r="B545" s="177"/>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row>
    <row r="546">
      <c r="A546" s="176"/>
      <c r="B546" s="177"/>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row>
    <row r="547">
      <c r="A547" s="176"/>
      <c r="B547" s="177"/>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row>
    <row r="548">
      <c r="A548" s="176"/>
      <c r="B548" s="177"/>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row>
    <row r="549">
      <c r="A549" s="176"/>
      <c r="B549" s="177"/>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row>
    <row r="550">
      <c r="A550" s="176"/>
      <c r="B550" s="177"/>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row>
    <row r="551">
      <c r="A551" s="176"/>
      <c r="B551" s="177"/>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row>
    <row r="552">
      <c r="A552" s="176"/>
      <c r="B552" s="177"/>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row>
    <row r="553">
      <c r="A553" s="176"/>
      <c r="B553" s="177"/>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row>
    <row r="554">
      <c r="A554" s="176"/>
      <c r="B554" s="177"/>
      <c r="C554" s="158"/>
      <c r="D554" s="158"/>
      <c r="E554" s="158"/>
      <c r="G554" s="158"/>
      <c r="H554" s="158"/>
      <c r="I554" s="158"/>
      <c r="J554" s="158"/>
      <c r="K554" s="158"/>
      <c r="L554" s="158"/>
      <c r="M554" s="158"/>
      <c r="N554" s="158"/>
      <c r="O554" s="158"/>
      <c r="P554" s="158"/>
      <c r="Q554" s="158"/>
      <c r="R554" s="158"/>
      <c r="S554" s="158"/>
      <c r="T554" s="158"/>
      <c r="U554" s="158"/>
      <c r="V554" s="158"/>
      <c r="W554" s="158"/>
      <c r="X554" s="158"/>
    </row>
    <row r="555">
      <c r="A555" s="176"/>
      <c r="B555" s="177"/>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row>
    <row r="556">
      <c r="A556" s="176"/>
      <c r="B556" s="177"/>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row>
    <row r="557">
      <c r="A557" s="176"/>
      <c r="B557" s="177"/>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row>
    <row r="558">
      <c r="A558" s="176"/>
      <c r="B558" s="177"/>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row>
    <row r="559">
      <c r="A559" s="176"/>
      <c r="B559" s="177"/>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row>
    <row r="560">
      <c r="A560" s="176"/>
      <c r="B560" s="177"/>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row>
    <row r="561">
      <c r="A561" s="176"/>
      <c r="B561" s="177"/>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row>
    <row r="562">
      <c r="A562" s="176"/>
      <c r="B562" s="177"/>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row>
    <row r="563">
      <c r="A563" s="176"/>
      <c r="B563" s="177"/>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row>
    <row r="564">
      <c r="A564" s="176"/>
      <c r="B564" s="177"/>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row>
    <row r="565">
      <c r="A565" s="176"/>
      <c r="B565" s="177"/>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row>
    <row r="566">
      <c r="A566" s="176"/>
      <c r="B566" s="177"/>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row>
    <row r="567">
      <c r="A567" s="176"/>
      <c r="B567" s="177"/>
      <c r="C567" s="158"/>
      <c r="D567" s="158"/>
      <c r="E567" s="158"/>
      <c r="G567" s="158"/>
      <c r="H567" s="158"/>
      <c r="I567" s="158"/>
      <c r="J567" s="158"/>
      <c r="K567" s="158"/>
      <c r="L567" s="158"/>
      <c r="M567" s="158"/>
      <c r="N567" s="158"/>
      <c r="O567" s="158"/>
      <c r="P567" s="158"/>
      <c r="Q567" s="158"/>
      <c r="R567" s="158"/>
      <c r="S567" s="158"/>
      <c r="T567" s="158"/>
      <c r="U567" s="158"/>
      <c r="V567" s="158"/>
      <c r="W567" s="158"/>
      <c r="X567" s="158"/>
    </row>
    <row r="568">
      <c r="A568" s="176"/>
      <c r="B568" s="177"/>
      <c r="C568" s="158"/>
      <c r="D568" s="158"/>
      <c r="E568" s="158"/>
      <c r="G568" s="158"/>
      <c r="H568" s="158"/>
      <c r="I568" s="158"/>
      <c r="J568" s="158"/>
      <c r="K568" s="158"/>
      <c r="L568" s="158"/>
      <c r="M568" s="158"/>
      <c r="N568" s="158"/>
      <c r="O568" s="158"/>
      <c r="P568" s="158"/>
      <c r="Q568" s="158"/>
      <c r="R568" s="158"/>
      <c r="S568" s="158"/>
      <c r="T568" s="158"/>
      <c r="U568" s="158"/>
      <c r="V568" s="158"/>
      <c r="W568" s="158"/>
      <c r="X568" s="158"/>
    </row>
    <row r="569">
      <c r="A569" s="176"/>
      <c r="B569" s="177"/>
      <c r="C569" s="158"/>
      <c r="D569" s="158"/>
      <c r="E569" s="158"/>
      <c r="G569" s="158"/>
      <c r="H569" s="158"/>
      <c r="I569" s="158"/>
      <c r="J569" s="158"/>
      <c r="K569" s="158"/>
      <c r="L569" s="158"/>
      <c r="M569" s="158"/>
      <c r="N569" s="158"/>
      <c r="O569" s="158"/>
      <c r="P569" s="158"/>
      <c r="Q569" s="158"/>
      <c r="R569" s="158"/>
      <c r="S569" s="158"/>
      <c r="T569" s="158"/>
      <c r="U569" s="158"/>
      <c r="V569" s="158"/>
      <c r="W569" s="158"/>
      <c r="X569" s="158"/>
    </row>
    <row r="570">
      <c r="A570" s="176"/>
      <c r="B570" s="177"/>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row>
    <row r="571">
      <c r="A571" s="176"/>
      <c r="B571" s="177"/>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row>
    <row r="572">
      <c r="A572" s="176"/>
      <c r="B572" s="177"/>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row>
    <row r="573">
      <c r="A573" s="176"/>
      <c r="B573" s="177"/>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row>
    <row r="574">
      <c r="A574" s="176"/>
      <c r="B574" s="177"/>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row>
    <row r="575">
      <c r="A575" s="176"/>
      <c r="B575" s="177"/>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row>
    <row r="576">
      <c r="A576" s="176"/>
      <c r="B576" s="177"/>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row>
    <row r="577">
      <c r="A577" s="176"/>
      <c r="B577" s="177"/>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row>
    <row r="578">
      <c r="A578" s="176"/>
      <c r="B578" s="177"/>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row>
    <row r="579">
      <c r="A579" s="176"/>
      <c r="B579" s="177"/>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row>
    <row r="580">
      <c r="A580" s="176"/>
      <c r="B580" s="177"/>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row>
    <row r="581">
      <c r="A581" s="176"/>
      <c r="B581" s="177"/>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row>
    <row r="582">
      <c r="A582" s="176"/>
      <c r="B582" s="177"/>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row>
    <row r="583">
      <c r="A583" s="176"/>
      <c r="B583" s="177"/>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row>
    <row r="584">
      <c r="A584" s="176"/>
      <c r="B584" s="177"/>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row>
    <row r="585">
      <c r="A585" s="176"/>
      <c r="B585" s="177"/>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row>
    <row r="586">
      <c r="A586" s="176"/>
      <c r="B586" s="177"/>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row>
    <row r="587">
      <c r="A587" s="176"/>
      <c r="B587" s="177"/>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row>
    <row r="588">
      <c r="A588" s="176"/>
      <c r="B588" s="177"/>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row>
    <row r="589">
      <c r="A589" s="176"/>
      <c r="B589" s="177"/>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row>
    <row r="590">
      <c r="A590" s="176"/>
      <c r="B590" s="177"/>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row>
    <row r="591">
      <c r="A591" s="176"/>
      <c r="B591" s="177"/>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row>
    <row r="592">
      <c r="A592" s="176"/>
      <c r="B592" s="177"/>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row>
    <row r="593">
      <c r="A593" s="176"/>
      <c r="B593" s="177"/>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row>
    <row r="594">
      <c r="A594" s="176"/>
      <c r="B594" s="177"/>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row>
    <row r="595">
      <c r="A595" s="176"/>
      <c r="B595" s="177"/>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row>
    <row r="596">
      <c r="A596" s="176"/>
      <c r="B596" s="177"/>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row>
    <row r="597">
      <c r="A597" s="176"/>
      <c r="B597" s="177"/>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row>
    <row r="598">
      <c r="A598" s="176"/>
      <c r="B598" s="177"/>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row>
    <row r="599">
      <c r="A599" s="176"/>
      <c r="B599" s="177"/>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row>
    <row r="600">
      <c r="A600" s="176"/>
      <c r="B600" s="177"/>
      <c r="C600" s="158"/>
      <c r="D600" s="158"/>
      <c r="E600" s="158"/>
      <c r="G600" s="158"/>
      <c r="H600" s="158"/>
      <c r="I600" s="158"/>
      <c r="J600" s="158"/>
      <c r="K600" s="158"/>
      <c r="L600" s="158"/>
      <c r="M600" s="158"/>
      <c r="N600" s="158"/>
      <c r="O600" s="158"/>
      <c r="P600" s="158"/>
      <c r="Q600" s="158"/>
      <c r="R600" s="158"/>
      <c r="S600" s="158"/>
      <c r="T600" s="158"/>
      <c r="U600" s="158"/>
      <c r="V600" s="158"/>
      <c r="W600" s="158"/>
      <c r="X600" s="158"/>
    </row>
    <row r="601">
      <c r="A601" s="176"/>
      <c r="B601" s="177"/>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row>
    <row r="602">
      <c r="A602" s="176"/>
      <c r="B602" s="177"/>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row>
    <row r="603">
      <c r="A603" s="176"/>
      <c r="B603" s="177"/>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row>
    <row r="604">
      <c r="A604" s="176"/>
      <c r="B604" s="177"/>
      <c r="C604" s="158"/>
      <c r="D604" s="158"/>
      <c r="E604" s="158"/>
      <c r="G604" s="158"/>
      <c r="H604" s="158"/>
      <c r="I604" s="158"/>
      <c r="J604" s="158"/>
      <c r="K604" s="158"/>
      <c r="L604" s="158"/>
      <c r="M604" s="158"/>
      <c r="N604" s="158"/>
      <c r="O604" s="158"/>
      <c r="P604" s="158"/>
      <c r="Q604" s="158"/>
      <c r="R604" s="158"/>
      <c r="S604" s="158"/>
      <c r="T604" s="158"/>
      <c r="U604" s="158"/>
      <c r="V604" s="158"/>
      <c r="W604" s="158"/>
      <c r="X604" s="158"/>
    </row>
    <row r="605">
      <c r="A605" s="176"/>
      <c r="B605" s="177"/>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row>
    <row r="606">
      <c r="A606" s="176"/>
      <c r="B606" s="177"/>
      <c r="C606" s="158"/>
      <c r="D606" s="158"/>
      <c r="E606" s="158"/>
      <c r="G606" s="158"/>
      <c r="H606" s="158"/>
      <c r="I606" s="158"/>
      <c r="J606" s="158"/>
      <c r="K606" s="158"/>
      <c r="L606" s="158"/>
      <c r="M606" s="158"/>
      <c r="N606" s="158"/>
      <c r="O606" s="158"/>
      <c r="P606" s="158"/>
      <c r="Q606" s="158"/>
      <c r="R606" s="158"/>
      <c r="S606" s="158"/>
      <c r="T606" s="158"/>
      <c r="U606" s="158"/>
      <c r="V606" s="158"/>
      <c r="W606" s="158"/>
      <c r="X606" s="158"/>
    </row>
    <row r="607">
      <c r="A607" s="176"/>
      <c r="B607" s="177"/>
      <c r="C607" s="158"/>
      <c r="D607" s="158"/>
      <c r="E607" s="158"/>
      <c r="G607" s="158"/>
      <c r="H607" s="158"/>
      <c r="I607" s="158"/>
      <c r="J607" s="158"/>
      <c r="K607" s="158"/>
      <c r="L607" s="158"/>
      <c r="M607" s="158"/>
      <c r="N607" s="158"/>
      <c r="O607" s="158"/>
      <c r="P607" s="158"/>
      <c r="Q607" s="158"/>
      <c r="R607" s="158"/>
      <c r="S607" s="158"/>
      <c r="T607" s="158"/>
      <c r="U607" s="158"/>
      <c r="V607" s="158"/>
      <c r="W607" s="158"/>
      <c r="X607" s="158"/>
    </row>
    <row r="608">
      <c r="A608" s="176"/>
      <c r="B608" s="177"/>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row>
    <row r="609">
      <c r="A609" s="176"/>
      <c r="B609" s="177"/>
      <c r="C609" s="158"/>
      <c r="D609" s="158"/>
      <c r="E609" s="158"/>
      <c r="G609" s="158"/>
      <c r="H609" s="158"/>
      <c r="I609" s="158"/>
      <c r="J609" s="158"/>
      <c r="K609" s="158"/>
      <c r="L609" s="158"/>
      <c r="M609" s="158"/>
      <c r="N609" s="158"/>
      <c r="O609" s="158"/>
      <c r="P609" s="158"/>
      <c r="Q609" s="158"/>
      <c r="R609" s="158"/>
      <c r="S609" s="158"/>
      <c r="T609" s="158"/>
      <c r="U609" s="158"/>
      <c r="V609" s="158"/>
      <c r="W609" s="158"/>
      <c r="X609" s="158"/>
    </row>
    <row r="610">
      <c r="A610" s="176"/>
      <c r="B610" s="177"/>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row>
    <row r="611">
      <c r="A611" s="176"/>
      <c r="B611" s="177"/>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row>
    <row r="612">
      <c r="A612" s="176"/>
      <c r="B612" s="177"/>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row>
    <row r="613">
      <c r="A613" s="176"/>
      <c r="B613" s="177"/>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row>
    <row r="614">
      <c r="A614" s="176"/>
      <c r="B614" s="177"/>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row>
    <row r="615">
      <c r="A615" s="176"/>
      <c r="B615" s="177"/>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row>
    <row r="616">
      <c r="A616" s="176"/>
      <c r="B616" s="177"/>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row>
    <row r="617">
      <c r="A617" s="176"/>
      <c r="B617" s="177"/>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row>
    <row r="618">
      <c r="A618" s="176"/>
      <c r="B618" s="177"/>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row>
    <row r="619">
      <c r="A619" s="176"/>
      <c r="B619" s="177"/>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row>
    <row r="620">
      <c r="A620" s="176"/>
      <c r="B620" s="177"/>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row>
    <row r="621">
      <c r="A621" s="176"/>
      <c r="B621" s="177"/>
      <c r="C621" s="158"/>
      <c r="D621" s="158"/>
      <c r="E621" s="158"/>
      <c r="G621" s="158"/>
      <c r="H621" s="158"/>
      <c r="I621" s="158"/>
      <c r="J621" s="158"/>
      <c r="K621" s="158"/>
      <c r="L621" s="158"/>
      <c r="M621" s="158"/>
      <c r="N621" s="158"/>
      <c r="O621" s="158"/>
      <c r="P621" s="158"/>
      <c r="Q621" s="158"/>
      <c r="R621" s="158"/>
      <c r="S621" s="158"/>
      <c r="T621" s="158"/>
      <c r="U621" s="158"/>
      <c r="V621" s="158"/>
      <c r="W621" s="158"/>
      <c r="X621" s="158"/>
    </row>
    <row r="622">
      <c r="A622" s="176"/>
      <c r="B622" s="177"/>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row>
    <row r="623">
      <c r="A623" s="176"/>
      <c r="B623" s="177"/>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row>
    <row r="624">
      <c r="A624" s="176"/>
      <c r="B624" s="177"/>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row>
    <row r="625">
      <c r="A625" s="176"/>
      <c r="B625" s="177"/>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row>
    <row r="626">
      <c r="A626" s="176"/>
      <c r="B626" s="177"/>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row>
    <row r="627">
      <c r="A627" s="176"/>
      <c r="B627" s="177"/>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row>
    <row r="628">
      <c r="A628" s="176"/>
      <c r="B628" s="177"/>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row>
    <row r="629">
      <c r="A629" s="176"/>
      <c r="B629" s="177"/>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row>
    <row r="630">
      <c r="A630" s="176"/>
      <c r="B630" s="177"/>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row>
    <row r="631">
      <c r="A631" s="176"/>
      <c r="B631" s="177"/>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row>
    <row r="632">
      <c r="A632" s="176"/>
      <c r="B632" s="177"/>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row>
    <row r="633">
      <c r="A633" s="176"/>
      <c r="B633" s="177"/>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row>
    <row r="634">
      <c r="A634" s="176"/>
      <c r="B634" s="177"/>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row>
    <row r="635">
      <c r="A635" s="176"/>
      <c r="B635" s="177"/>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row>
    <row r="636">
      <c r="A636" s="176"/>
      <c r="B636" s="177"/>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row>
    <row r="637">
      <c r="A637" s="176"/>
      <c r="B637" s="177"/>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row>
    <row r="638">
      <c r="A638" s="176"/>
      <c r="B638" s="177"/>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row>
    <row r="639">
      <c r="A639" s="176"/>
      <c r="B639" s="177"/>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row>
    <row r="640">
      <c r="A640" s="176"/>
      <c r="B640" s="177"/>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row>
    <row r="641">
      <c r="A641" s="176"/>
      <c r="B641" s="177"/>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row>
    <row r="642">
      <c r="A642" s="176"/>
      <c r="B642" s="177"/>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row>
    <row r="643">
      <c r="A643" s="176"/>
      <c r="B643" s="177"/>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row>
    <row r="644">
      <c r="A644" s="176"/>
      <c r="B644" s="177"/>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row>
    <row r="645">
      <c r="A645" s="176"/>
      <c r="B645" s="177"/>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row>
    <row r="646">
      <c r="A646" s="176"/>
      <c r="B646" s="177"/>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row>
    <row r="647">
      <c r="A647" s="176"/>
      <c r="B647" s="177"/>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row>
    <row r="648">
      <c r="A648" s="176"/>
      <c r="B648" s="177"/>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row>
    <row r="649">
      <c r="A649" s="176"/>
      <c r="B649" s="177"/>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row>
    <row r="650">
      <c r="A650" s="176"/>
      <c r="B650" s="177"/>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row>
    <row r="651">
      <c r="A651" s="176"/>
      <c r="B651" s="177"/>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row>
    <row r="652">
      <c r="A652" s="176"/>
      <c r="B652" s="177"/>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row>
    <row r="653">
      <c r="A653" s="176"/>
      <c r="B653" s="177"/>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row>
    <row r="654">
      <c r="A654" s="176"/>
      <c r="B654" s="177"/>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row>
    <row r="655">
      <c r="A655" s="176"/>
      <c r="B655" s="177"/>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row>
    <row r="656">
      <c r="A656" s="176"/>
      <c r="B656" s="177"/>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row>
    <row r="657">
      <c r="A657" s="176"/>
      <c r="B657" s="177"/>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row>
    <row r="658">
      <c r="A658" s="176"/>
      <c r="B658" s="177"/>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row>
    <row r="659">
      <c r="A659" s="176"/>
      <c r="B659" s="177"/>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row>
    <row r="660">
      <c r="A660" s="176"/>
      <c r="B660" s="177"/>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row>
    <row r="661">
      <c r="A661" s="176"/>
      <c r="B661" s="177"/>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row>
    <row r="662">
      <c r="A662" s="176"/>
      <c r="B662" s="177"/>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row>
    <row r="663">
      <c r="A663" s="176"/>
      <c r="B663" s="177"/>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row>
    <row r="664">
      <c r="A664" s="176"/>
      <c r="B664" s="177"/>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row>
    <row r="665">
      <c r="A665" s="176"/>
      <c r="B665" s="177"/>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row>
    <row r="666">
      <c r="A666" s="176"/>
      <c r="B666" s="177"/>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row>
    <row r="667">
      <c r="A667" s="176"/>
      <c r="B667" s="177"/>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row>
    <row r="668">
      <c r="A668" s="176"/>
      <c r="B668" s="177"/>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row>
    <row r="669">
      <c r="A669" s="176"/>
      <c r="B669" s="177"/>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row>
    <row r="670">
      <c r="A670" s="176"/>
      <c r="B670" s="177"/>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row>
    <row r="671">
      <c r="A671" s="176"/>
      <c r="B671" s="177"/>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row>
    <row r="672">
      <c r="A672" s="176"/>
      <c r="B672" s="177"/>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row>
    <row r="673">
      <c r="A673" s="176"/>
      <c r="B673" s="177"/>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row>
    <row r="674">
      <c r="A674" s="176"/>
      <c r="B674" s="177"/>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row>
    <row r="675">
      <c r="A675" s="176"/>
      <c r="B675" s="177"/>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row>
    <row r="676">
      <c r="A676" s="176"/>
      <c r="B676" s="177"/>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row>
    <row r="677">
      <c r="A677" s="176"/>
      <c r="B677" s="177"/>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row>
    <row r="678">
      <c r="A678" s="176"/>
      <c r="B678" s="177"/>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row>
    <row r="679">
      <c r="A679" s="176"/>
      <c r="B679" s="177"/>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row>
    <row r="680">
      <c r="A680" s="176"/>
      <c r="B680" s="177"/>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row>
    <row r="681">
      <c r="A681" s="176"/>
      <c r="B681" s="177"/>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row>
    <row r="682">
      <c r="A682" s="176"/>
      <c r="B682" s="177"/>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row>
    <row r="683">
      <c r="A683" s="176"/>
      <c r="B683" s="177"/>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row>
    <row r="684">
      <c r="A684" s="176"/>
      <c r="B684" s="177"/>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row>
    <row r="685">
      <c r="A685" s="176"/>
      <c r="B685" s="177"/>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row>
    <row r="686">
      <c r="A686" s="176"/>
      <c r="B686" s="177"/>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row>
    <row r="687">
      <c r="A687" s="176"/>
      <c r="B687" s="177"/>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row>
    <row r="688">
      <c r="A688" s="176"/>
      <c r="B688" s="177"/>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row>
    <row r="689">
      <c r="A689" s="176"/>
      <c r="B689" s="177"/>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row>
    <row r="690">
      <c r="A690" s="176"/>
      <c r="B690" s="177"/>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row>
    <row r="691">
      <c r="A691" s="176"/>
      <c r="B691" s="177"/>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row>
    <row r="692">
      <c r="A692" s="176"/>
      <c r="B692" s="177"/>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row>
    <row r="693">
      <c r="A693" s="176"/>
      <c r="B693" s="177"/>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row>
    <row r="694">
      <c r="A694" s="176"/>
      <c r="B694" s="177"/>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row>
    <row r="695">
      <c r="A695" s="176"/>
      <c r="B695" s="177"/>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row>
    <row r="696">
      <c r="A696" s="176"/>
      <c r="B696" s="177"/>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row>
    <row r="697">
      <c r="A697" s="176"/>
      <c r="B697" s="177"/>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row>
    <row r="698">
      <c r="A698" s="176"/>
      <c r="B698" s="177"/>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row>
    <row r="699">
      <c r="A699" s="176"/>
      <c r="B699" s="177"/>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row>
    <row r="700">
      <c r="A700" s="176"/>
      <c r="B700" s="177"/>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row>
    <row r="701">
      <c r="A701" s="176"/>
      <c r="B701" s="177"/>
      <c r="C701" s="158"/>
      <c r="D701" s="158"/>
      <c r="E701" s="158"/>
      <c r="G701" s="158"/>
      <c r="H701" s="158"/>
      <c r="I701" s="158"/>
      <c r="J701" s="158"/>
      <c r="K701" s="158"/>
      <c r="L701" s="158"/>
      <c r="M701" s="158"/>
      <c r="N701" s="158"/>
      <c r="O701" s="158"/>
      <c r="P701" s="158"/>
      <c r="Q701" s="158"/>
      <c r="R701" s="158"/>
      <c r="S701" s="158"/>
      <c r="T701" s="158"/>
      <c r="U701" s="158"/>
      <c r="V701" s="158"/>
      <c r="W701" s="158"/>
      <c r="X701" s="158"/>
    </row>
    <row r="702">
      <c r="A702" s="176"/>
      <c r="B702" s="177"/>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row>
    <row r="703">
      <c r="A703" s="176"/>
      <c r="B703" s="177"/>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row>
    <row r="704">
      <c r="A704" s="176"/>
      <c r="B704" s="177"/>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row>
    <row r="705">
      <c r="A705" s="176"/>
      <c r="B705" s="177"/>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row>
    <row r="706">
      <c r="A706" s="176"/>
      <c r="B706" s="177"/>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row>
    <row r="707">
      <c r="A707" s="176"/>
      <c r="B707" s="177"/>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row>
    <row r="708">
      <c r="A708" s="176"/>
      <c r="B708" s="177"/>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row>
    <row r="709">
      <c r="A709" s="176"/>
      <c r="B709" s="177"/>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row>
    <row r="710">
      <c r="A710" s="176"/>
      <c r="B710" s="177"/>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row>
    <row r="711">
      <c r="A711" s="176"/>
      <c r="B711" s="177"/>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row>
    <row r="712">
      <c r="A712" s="176"/>
      <c r="B712" s="177"/>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row>
    <row r="713">
      <c r="A713" s="176"/>
      <c r="B713" s="177"/>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row>
    <row r="714">
      <c r="A714" s="176"/>
      <c r="B714" s="177"/>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row>
    <row r="715">
      <c r="A715" s="176"/>
      <c r="B715" s="177"/>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row>
    <row r="716">
      <c r="A716" s="176"/>
      <c r="B716" s="177"/>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row>
    <row r="717">
      <c r="A717" s="176"/>
      <c r="B717" s="177"/>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row>
    <row r="718">
      <c r="A718" s="176"/>
      <c r="B718" s="177"/>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row>
    <row r="719">
      <c r="A719" s="176"/>
      <c r="B719" s="177"/>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row>
    <row r="720">
      <c r="A720" s="176"/>
      <c r="B720" s="177"/>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row>
    <row r="721">
      <c r="A721" s="176"/>
      <c r="B721" s="177"/>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row>
    <row r="722">
      <c r="A722" s="176"/>
      <c r="B722" s="177"/>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row>
    <row r="723">
      <c r="A723" s="176"/>
      <c r="B723" s="177"/>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row>
    <row r="724">
      <c r="A724" s="176"/>
      <c r="B724" s="177"/>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row>
    <row r="725">
      <c r="A725" s="176"/>
      <c r="B725" s="177"/>
      <c r="C725" s="158"/>
      <c r="D725" s="158"/>
      <c r="E725" s="158"/>
      <c r="G725" s="158"/>
      <c r="H725" s="158"/>
      <c r="I725" s="158"/>
      <c r="J725" s="158"/>
      <c r="K725" s="158"/>
      <c r="L725" s="158"/>
      <c r="M725" s="158"/>
      <c r="N725" s="158"/>
      <c r="O725" s="158"/>
      <c r="P725" s="158"/>
      <c r="Q725" s="158"/>
      <c r="R725" s="158"/>
      <c r="S725" s="158"/>
      <c r="T725" s="158"/>
      <c r="U725" s="158"/>
      <c r="V725" s="158"/>
      <c r="W725" s="158"/>
      <c r="X725" s="158"/>
    </row>
    <row r="726">
      <c r="A726" s="176"/>
      <c r="B726" s="177"/>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row>
    <row r="727">
      <c r="A727" s="176"/>
      <c r="B727" s="177"/>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row>
    <row r="728">
      <c r="A728" s="176"/>
      <c r="B728" s="177"/>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row>
    <row r="729">
      <c r="A729" s="176"/>
      <c r="B729" s="177"/>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row>
    <row r="730">
      <c r="A730" s="176"/>
      <c r="B730" s="177"/>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row>
    <row r="731">
      <c r="A731" s="176"/>
      <c r="B731" s="177"/>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row>
    <row r="732">
      <c r="A732" s="176"/>
      <c r="B732" s="177"/>
      <c r="C732" s="158"/>
      <c r="D732" s="158"/>
      <c r="E732" s="158"/>
      <c r="G732" s="158"/>
      <c r="H732" s="158"/>
      <c r="I732" s="158"/>
      <c r="J732" s="158"/>
      <c r="K732" s="158"/>
      <c r="L732" s="158"/>
      <c r="M732" s="158"/>
      <c r="N732" s="158"/>
      <c r="O732" s="158"/>
      <c r="P732" s="158"/>
      <c r="Q732" s="158"/>
      <c r="R732" s="158"/>
      <c r="S732" s="158"/>
      <c r="T732" s="158"/>
      <c r="U732" s="158"/>
      <c r="V732" s="158"/>
      <c r="W732" s="158"/>
      <c r="X732" s="158"/>
    </row>
    <row r="733">
      <c r="A733" s="176"/>
      <c r="B733" s="177"/>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row>
    <row r="734">
      <c r="A734" s="176"/>
      <c r="B734" s="177"/>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row>
    <row r="735">
      <c r="A735" s="176"/>
      <c r="B735" s="177"/>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row>
    <row r="736">
      <c r="A736" s="176"/>
      <c r="B736" s="177"/>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row>
    <row r="737">
      <c r="A737" s="176"/>
      <c r="B737" s="177"/>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row>
    <row r="738">
      <c r="A738" s="176"/>
      <c r="B738" s="177"/>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row>
    <row r="739">
      <c r="A739" s="176"/>
      <c r="B739" s="177"/>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row>
    <row r="740">
      <c r="A740" s="176"/>
      <c r="B740" s="177"/>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row>
    <row r="741">
      <c r="A741" s="176"/>
      <c r="B741" s="177"/>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row>
    <row r="742">
      <c r="A742" s="176"/>
      <c r="B742" s="177"/>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row>
    <row r="743">
      <c r="A743" s="176"/>
      <c r="B743" s="177"/>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row>
    <row r="744">
      <c r="A744" s="176"/>
      <c r="B744" s="177"/>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row>
    <row r="745">
      <c r="A745" s="176"/>
      <c r="B745" s="177"/>
      <c r="C745" s="158"/>
      <c r="D745" s="158"/>
      <c r="E745" s="158"/>
      <c r="G745" s="158"/>
      <c r="H745" s="158"/>
      <c r="I745" s="158"/>
      <c r="J745" s="158"/>
      <c r="K745" s="158"/>
      <c r="L745" s="158"/>
      <c r="M745" s="158"/>
      <c r="N745" s="158"/>
      <c r="O745" s="158"/>
      <c r="P745" s="158"/>
      <c r="Q745" s="158"/>
      <c r="R745" s="158"/>
      <c r="S745" s="158"/>
      <c r="T745" s="158"/>
      <c r="U745" s="158"/>
      <c r="V745" s="158"/>
      <c r="W745" s="158"/>
      <c r="X745" s="158"/>
    </row>
    <row r="746">
      <c r="A746" s="176"/>
      <c r="B746" s="177"/>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row>
    <row r="747">
      <c r="A747" s="176"/>
      <c r="B747" s="177"/>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row>
    <row r="748">
      <c r="A748" s="176"/>
      <c r="B748" s="177"/>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row>
    <row r="749">
      <c r="A749" s="176"/>
      <c r="B749" s="177"/>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row>
    <row r="750">
      <c r="A750" s="176"/>
      <c r="B750" s="177"/>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row>
    <row r="751">
      <c r="A751" s="176"/>
      <c r="B751" s="177"/>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row>
    <row r="752">
      <c r="A752" s="176"/>
      <c r="B752" s="177"/>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row>
    <row r="753">
      <c r="A753" s="176"/>
      <c r="B753" s="177"/>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row>
    <row r="754">
      <c r="A754" s="176"/>
      <c r="B754" s="177"/>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row>
    <row r="755">
      <c r="A755" s="176"/>
      <c r="B755" s="177"/>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row>
    <row r="756">
      <c r="A756" s="176"/>
      <c r="B756" s="177"/>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row>
    <row r="757">
      <c r="A757" s="176"/>
      <c r="B757" s="177"/>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row>
    <row r="758">
      <c r="A758" s="176"/>
      <c r="B758" s="177"/>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row>
    <row r="759">
      <c r="A759" s="176"/>
      <c r="B759" s="177"/>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row>
    <row r="760">
      <c r="A760" s="176"/>
      <c r="B760" s="177"/>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row>
    <row r="761">
      <c r="A761" s="176"/>
      <c r="B761" s="177"/>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row>
    <row r="762">
      <c r="A762" s="176"/>
      <c r="B762" s="177"/>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row>
    <row r="763">
      <c r="A763" s="176"/>
      <c r="B763" s="177"/>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row>
    <row r="764">
      <c r="A764" s="176"/>
      <c r="B764" s="177"/>
      <c r="C764" s="158"/>
      <c r="D764" s="158"/>
      <c r="E764" s="158"/>
      <c r="G764" s="158"/>
      <c r="H764" s="158"/>
      <c r="I764" s="158"/>
      <c r="J764" s="158"/>
      <c r="K764" s="158"/>
      <c r="L764" s="158"/>
      <c r="M764" s="158"/>
      <c r="N764" s="158"/>
      <c r="O764" s="158"/>
      <c r="P764" s="158"/>
      <c r="Q764" s="158"/>
      <c r="R764" s="158"/>
      <c r="S764" s="158"/>
      <c r="T764" s="158"/>
      <c r="U764" s="158"/>
      <c r="V764" s="158"/>
      <c r="W764" s="158"/>
      <c r="X764" s="158"/>
    </row>
    <row r="765">
      <c r="A765" s="176"/>
      <c r="B765" s="177"/>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row>
    <row r="766">
      <c r="A766" s="176"/>
      <c r="B766" s="177"/>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row>
    <row r="767">
      <c r="A767" s="176"/>
      <c r="B767" s="177"/>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row>
    <row r="768">
      <c r="A768" s="176"/>
      <c r="B768" s="177"/>
      <c r="C768" s="158"/>
      <c r="D768" s="158"/>
      <c r="E768" s="158"/>
      <c r="G768" s="158"/>
      <c r="H768" s="158"/>
      <c r="I768" s="158"/>
      <c r="J768" s="158"/>
      <c r="K768" s="158"/>
      <c r="L768" s="158"/>
      <c r="M768" s="158"/>
      <c r="N768" s="158"/>
      <c r="O768" s="158"/>
      <c r="P768" s="158"/>
      <c r="Q768" s="158"/>
      <c r="R768" s="158"/>
      <c r="S768" s="158"/>
      <c r="T768" s="158"/>
      <c r="U768" s="158"/>
      <c r="V768" s="158"/>
      <c r="W768" s="158"/>
      <c r="X768" s="158"/>
    </row>
    <row r="769">
      <c r="A769" s="176"/>
      <c r="B769" s="177"/>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row>
    <row r="770">
      <c r="A770" s="176"/>
      <c r="B770" s="177"/>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row>
    <row r="771">
      <c r="A771" s="176"/>
      <c r="B771" s="177"/>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row>
    <row r="772">
      <c r="A772" s="176"/>
      <c r="B772" s="177"/>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row>
    <row r="773">
      <c r="A773" s="176"/>
      <c r="B773" s="177"/>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row>
    <row r="774">
      <c r="A774" s="176"/>
      <c r="B774" s="177"/>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row>
    <row r="775">
      <c r="A775" s="176"/>
      <c r="B775" s="177"/>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row>
    <row r="776">
      <c r="A776" s="176"/>
      <c r="B776" s="177"/>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row>
    <row r="777">
      <c r="A777" s="176"/>
      <c r="B777" s="177"/>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row>
    <row r="778">
      <c r="A778" s="176"/>
      <c r="B778" s="177"/>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row>
    <row r="779">
      <c r="A779" s="176"/>
      <c r="B779" s="177"/>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row>
    <row r="780">
      <c r="A780" s="176"/>
      <c r="B780" s="177"/>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row>
    <row r="781">
      <c r="A781" s="176"/>
      <c r="B781" s="177"/>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row>
    <row r="782">
      <c r="A782" s="176"/>
      <c r="B782" s="177"/>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row>
    <row r="783">
      <c r="A783" s="176"/>
      <c r="B783" s="177"/>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row>
    <row r="784">
      <c r="A784" s="176"/>
      <c r="B784" s="177"/>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row>
    <row r="785">
      <c r="A785" s="176"/>
      <c r="B785" s="177"/>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row>
    <row r="786">
      <c r="A786" s="176"/>
      <c r="B786" s="177"/>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row>
    <row r="787">
      <c r="A787" s="176"/>
      <c r="B787" s="177"/>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row>
    <row r="788">
      <c r="A788" s="176"/>
      <c r="B788" s="177"/>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row>
    <row r="789">
      <c r="A789" s="176"/>
      <c r="B789" s="177"/>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row>
    <row r="790">
      <c r="A790" s="176"/>
      <c r="B790" s="177"/>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row>
    <row r="791">
      <c r="A791" s="176"/>
      <c r="B791" s="177"/>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row>
    <row r="792">
      <c r="A792" s="176"/>
      <c r="B792" s="177"/>
      <c r="C792" s="158"/>
      <c r="D792" s="158"/>
      <c r="E792" s="158"/>
      <c r="G792" s="158"/>
      <c r="H792" s="158"/>
      <c r="I792" s="158"/>
      <c r="J792" s="158"/>
      <c r="K792" s="158"/>
      <c r="L792" s="158"/>
      <c r="M792" s="158"/>
      <c r="N792" s="158"/>
      <c r="O792" s="158"/>
      <c r="P792" s="158"/>
      <c r="Q792" s="158"/>
      <c r="R792" s="158"/>
      <c r="S792" s="158"/>
      <c r="T792" s="158"/>
      <c r="U792" s="158"/>
      <c r="V792" s="158"/>
      <c r="W792" s="158"/>
      <c r="X792" s="158"/>
    </row>
    <row r="793">
      <c r="A793" s="176"/>
      <c r="B793" s="177"/>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row>
    <row r="794">
      <c r="A794" s="176"/>
      <c r="B794" s="177"/>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row>
    <row r="795">
      <c r="A795" s="176"/>
      <c r="B795" s="177"/>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row>
    <row r="796">
      <c r="A796" s="176"/>
      <c r="B796" s="177"/>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row>
    <row r="797">
      <c r="A797" s="176"/>
      <c r="B797" s="177"/>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row>
    <row r="798">
      <c r="A798" s="176"/>
      <c r="B798" s="177"/>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row>
    <row r="799">
      <c r="A799" s="176"/>
      <c r="B799" s="177"/>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row>
    <row r="800">
      <c r="A800" s="176"/>
      <c r="B800" s="177"/>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row>
    <row r="801">
      <c r="A801" s="176"/>
      <c r="B801" s="177"/>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row>
    <row r="802">
      <c r="A802" s="176"/>
      <c r="B802" s="177"/>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row>
    <row r="803">
      <c r="A803" s="176"/>
      <c r="B803" s="177"/>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row>
    <row r="804">
      <c r="A804" s="176"/>
      <c r="B804" s="177"/>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row>
    <row r="805">
      <c r="A805" s="176"/>
      <c r="B805" s="177"/>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row>
    <row r="806">
      <c r="A806" s="176"/>
      <c r="B806" s="177"/>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row>
    <row r="807">
      <c r="A807" s="176"/>
      <c r="B807" s="177"/>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row>
    <row r="808">
      <c r="A808" s="176"/>
      <c r="B808" s="177"/>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row>
    <row r="809">
      <c r="A809" s="176"/>
      <c r="B809" s="177"/>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row>
    <row r="810">
      <c r="A810" s="176"/>
      <c r="B810" s="177"/>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row>
    <row r="811">
      <c r="A811" s="176"/>
      <c r="B811" s="177"/>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row>
    <row r="812">
      <c r="A812" s="176"/>
      <c r="B812" s="177"/>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row>
    <row r="813">
      <c r="A813" s="176"/>
      <c r="B813" s="177"/>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row>
    <row r="814">
      <c r="A814" s="176"/>
      <c r="B814" s="177"/>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row>
    <row r="815">
      <c r="A815" s="176"/>
      <c r="B815" s="177"/>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row>
    <row r="816">
      <c r="A816" s="176"/>
      <c r="B816" s="177"/>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row>
    <row r="817">
      <c r="A817" s="176"/>
      <c r="B817" s="177"/>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row>
    <row r="818">
      <c r="A818" s="176"/>
      <c r="B818" s="177"/>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row>
    <row r="819">
      <c r="A819" s="176"/>
      <c r="B819" s="177"/>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row>
    <row r="820">
      <c r="A820" s="176"/>
      <c r="B820" s="177"/>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row>
    <row r="821">
      <c r="A821" s="176"/>
      <c r="B821" s="177"/>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row>
    <row r="822">
      <c r="A822" s="176"/>
      <c r="B822" s="177"/>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row>
    <row r="823">
      <c r="A823" s="176"/>
      <c r="B823" s="177"/>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row>
    <row r="824">
      <c r="A824" s="176"/>
      <c r="B824" s="177"/>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row>
    <row r="825">
      <c r="A825" s="176"/>
      <c r="B825" s="177"/>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row>
    <row r="826">
      <c r="A826" s="176"/>
      <c r="B826" s="177"/>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row>
    <row r="827">
      <c r="A827" s="176"/>
      <c r="B827" s="177"/>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row>
    <row r="828">
      <c r="A828" s="176"/>
      <c r="B828" s="177"/>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row>
    <row r="829">
      <c r="A829" s="176"/>
      <c r="B829" s="177"/>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row>
    <row r="830">
      <c r="A830" s="176"/>
      <c r="B830" s="177"/>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row>
    <row r="831">
      <c r="A831" s="176"/>
      <c r="B831" s="177"/>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row>
    <row r="832">
      <c r="A832" s="176"/>
      <c r="B832" s="177"/>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row>
    <row r="833">
      <c r="A833" s="176"/>
      <c r="B833" s="177"/>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row>
    <row r="834">
      <c r="A834" s="176"/>
      <c r="B834" s="177"/>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row>
    <row r="835">
      <c r="A835" s="176"/>
      <c r="B835" s="177"/>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row>
    <row r="836">
      <c r="A836" s="176"/>
      <c r="B836" s="177"/>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row>
    <row r="837">
      <c r="A837" s="176"/>
      <c r="B837" s="177"/>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row>
    <row r="838">
      <c r="A838" s="176"/>
      <c r="B838" s="177"/>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row>
    <row r="839">
      <c r="A839" s="176"/>
      <c r="B839" s="177"/>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row>
    <row r="840">
      <c r="A840" s="176"/>
      <c r="B840" s="177"/>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row>
    <row r="841">
      <c r="A841" s="176"/>
      <c r="B841" s="177"/>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row>
    <row r="842">
      <c r="A842" s="176"/>
      <c r="B842" s="177"/>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row>
    <row r="843">
      <c r="A843" s="176"/>
      <c r="B843" s="177"/>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row>
    <row r="844">
      <c r="A844" s="176"/>
      <c r="B844" s="177"/>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row>
    <row r="845">
      <c r="A845" s="176"/>
      <c r="B845" s="177"/>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row>
    <row r="846">
      <c r="A846" s="176"/>
      <c r="B846" s="177"/>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row>
    <row r="847">
      <c r="A847" s="176"/>
      <c r="B847" s="177"/>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row>
    <row r="848">
      <c r="A848" s="176"/>
      <c r="B848" s="177"/>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row>
    <row r="849">
      <c r="A849" s="176"/>
      <c r="B849" s="177"/>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row>
    <row r="850">
      <c r="A850" s="176"/>
      <c r="B850" s="177"/>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row>
    <row r="851">
      <c r="A851" s="176"/>
      <c r="B851" s="177"/>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row>
    <row r="852">
      <c r="A852" s="176"/>
      <c r="B852" s="177"/>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row>
    <row r="853">
      <c r="A853" s="176"/>
      <c r="B853" s="177"/>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row>
    <row r="854">
      <c r="A854" s="176"/>
      <c r="B854" s="177"/>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row>
    <row r="855">
      <c r="A855" s="176"/>
      <c r="B855" s="177"/>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row>
    <row r="856">
      <c r="A856" s="176"/>
      <c r="B856" s="177"/>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row>
    <row r="857">
      <c r="A857" s="176"/>
      <c r="B857" s="177"/>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row>
    <row r="858">
      <c r="A858" s="176"/>
      <c r="B858" s="177"/>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row>
    <row r="859">
      <c r="A859" s="176"/>
      <c r="B859" s="177"/>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row>
    <row r="860">
      <c r="A860" s="176"/>
      <c r="B860" s="177"/>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row>
    <row r="861">
      <c r="A861" s="176"/>
      <c r="B861" s="177"/>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row>
    <row r="862">
      <c r="A862" s="176"/>
      <c r="B862" s="177"/>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row>
    <row r="863">
      <c r="A863" s="176"/>
      <c r="B863" s="177"/>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row>
    <row r="864">
      <c r="A864" s="176"/>
      <c r="B864" s="177"/>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row>
    <row r="865">
      <c r="A865" s="176"/>
      <c r="B865" s="177"/>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row>
    <row r="866">
      <c r="A866" s="176"/>
      <c r="B866" s="177"/>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row>
    <row r="867">
      <c r="A867" s="176"/>
      <c r="B867" s="177"/>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row>
    <row r="868">
      <c r="A868" s="176"/>
      <c r="B868" s="177"/>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row>
    <row r="869">
      <c r="A869" s="176"/>
      <c r="B869" s="177"/>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row>
    <row r="870">
      <c r="A870" s="176"/>
      <c r="B870" s="177"/>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row>
    <row r="871">
      <c r="A871" s="176"/>
      <c r="B871" s="177"/>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row>
    <row r="872">
      <c r="A872" s="176"/>
      <c r="B872" s="177"/>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row>
    <row r="873">
      <c r="A873" s="176"/>
      <c r="B873" s="177"/>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row>
    <row r="874">
      <c r="A874" s="176"/>
      <c r="B874" s="177"/>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row>
    <row r="875">
      <c r="A875" s="176"/>
      <c r="B875" s="177"/>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row>
    <row r="876">
      <c r="A876" s="176"/>
      <c r="B876" s="177"/>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row>
    <row r="877">
      <c r="A877" s="176"/>
      <c r="B877" s="177"/>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row>
    <row r="878">
      <c r="A878" s="176"/>
      <c r="B878" s="177"/>
      <c r="C878" s="158"/>
      <c r="D878" s="158"/>
      <c r="E878" s="158"/>
      <c r="G878" s="158"/>
      <c r="H878" s="158"/>
      <c r="I878" s="158"/>
      <c r="J878" s="158"/>
      <c r="K878" s="158"/>
      <c r="L878" s="158"/>
      <c r="M878" s="158"/>
      <c r="N878" s="158"/>
      <c r="O878" s="158"/>
      <c r="P878" s="158"/>
      <c r="Q878" s="158"/>
      <c r="R878" s="158"/>
      <c r="S878" s="158"/>
      <c r="T878" s="158"/>
      <c r="U878" s="158"/>
      <c r="V878" s="158"/>
      <c r="W878" s="158"/>
      <c r="X878" s="158"/>
    </row>
    <row r="879">
      <c r="A879" s="176"/>
      <c r="B879" s="177"/>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row>
    <row r="880">
      <c r="A880" s="176"/>
      <c r="B880" s="177"/>
      <c r="C880" s="158"/>
      <c r="D880" s="158"/>
      <c r="E880" s="158"/>
      <c r="G880" s="158"/>
      <c r="H880" s="158"/>
      <c r="I880" s="158"/>
      <c r="J880" s="158"/>
      <c r="K880" s="158"/>
      <c r="L880" s="158"/>
      <c r="M880" s="158"/>
      <c r="N880" s="158"/>
      <c r="O880" s="158"/>
      <c r="P880" s="158"/>
      <c r="Q880" s="158"/>
      <c r="R880" s="158"/>
      <c r="S880" s="158"/>
      <c r="T880" s="158"/>
      <c r="U880" s="158"/>
      <c r="V880" s="158"/>
      <c r="W880" s="158"/>
      <c r="X880" s="158"/>
    </row>
    <row r="881">
      <c r="A881" s="176"/>
      <c r="B881" s="177"/>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row>
    <row r="882">
      <c r="A882" s="176"/>
      <c r="B882" s="177"/>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row>
    <row r="883">
      <c r="A883" s="176"/>
      <c r="B883" s="177"/>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row>
    <row r="884">
      <c r="A884" s="176"/>
      <c r="B884" s="177"/>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row>
    <row r="885">
      <c r="A885" s="176"/>
      <c r="B885" s="177"/>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row>
    <row r="886">
      <c r="A886" s="176"/>
      <c r="B886" s="177"/>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row>
    <row r="887">
      <c r="A887" s="176"/>
      <c r="B887" s="177"/>
      <c r="C887" s="158"/>
      <c r="D887" s="158"/>
      <c r="E887" s="158"/>
      <c r="G887" s="158"/>
      <c r="H887" s="158"/>
      <c r="I887" s="158"/>
      <c r="J887" s="158"/>
      <c r="K887" s="158"/>
      <c r="L887" s="158"/>
      <c r="M887" s="158"/>
      <c r="N887" s="158"/>
      <c r="O887" s="158"/>
      <c r="P887" s="158"/>
      <c r="Q887" s="158"/>
      <c r="R887" s="158"/>
      <c r="S887" s="158"/>
      <c r="T887" s="158"/>
      <c r="U887" s="158"/>
      <c r="V887" s="158"/>
      <c r="W887" s="158"/>
      <c r="X887" s="158"/>
    </row>
    <row r="888">
      <c r="A888" s="176"/>
      <c r="B888" s="177"/>
      <c r="C888" s="158"/>
      <c r="D888" s="158"/>
      <c r="E888" s="158"/>
      <c r="G888" s="158"/>
      <c r="H888" s="158"/>
      <c r="I888" s="158"/>
      <c r="J888" s="158"/>
      <c r="K888" s="158"/>
      <c r="L888" s="158"/>
      <c r="M888" s="158"/>
      <c r="N888" s="158"/>
      <c r="O888" s="158"/>
      <c r="P888" s="158"/>
      <c r="Q888" s="158"/>
      <c r="R888" s="158"/>
      <c r="S888" s="158"/>
      <c r="T888" s="158"/>
      <c r="U888" s="158"/>
      <c r="V888" s="158"/>
      <c r="W888" s="158"/>
      <c r="X888" s="158"/>
    </row>
    <row r="889">
      <c r="A889" s="176"/>
      <c r="B889" s="177"/>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row>
    <row r="890">
      <c r="A890" s="176"/>
      <c r="B890" s="177"/>
      <c r="C890" s="158"/>
      <c r="D890" s="158"/>
      <c r="E890" s="158"/>
      <c r="G890" s="158"/>
      <c r="H890" s="158"/>
      <c r="I890" s="158"/>
      <c r="J890" s="158"/>
      <c r="K890" s="158"/>
      <c r="L890" s="158"/>
      <c r="M890" s="158"/>
      <c r="N890" s="158"/>
      <c r="O890" s="158"/>
      <c r="P890" s="158"/>
      <c r="Q890" s="158"/>
      <c r="R890" s="158"/>
      <c r="S890" s="158"/>
      <c r="T890" s="158"/>
      <c r="U890" s="158"/>
      <c r="V890" s="158"/>
      <c r="W890" s="158"/>
      <c r="X890" s="158"/>
    </row>
    <row r="891">
      <c r="A891" s="176"/>
      <c r="B891" s="177"/>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row>
    <row r="892">
      <c r="A892" s="176"/>
      <c r="B892" s="177"/>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row>
    <row r="893">
      <c r="A893" s="176"/>
      <c r="B893" s="177"/>
      <c r="C893" s="158"/>
      <c r="D893" s="158"/>
      <c r="E893" s="158"/>
      <c r="G893" s="158"/>
      <c r="H893" s="158"/>
      <c r="I893" s="158"/>
      <c r="J893" s="158"/>
      <c r="K893" s="158"/>
      <c r="L893" s="158"/>
      <c r="M893" s="158"/>
      <c r="N893" s="158"/>
      <c r="O893" s="158"/>
      <c r="P893" s="158"/>
      <c r="Q893" s="158"/>
      <c r="R893" s="158"/>
      <c r="S893" s="158"/>
      <c r="T893" s="158"/>
      <c r="U893" s="158"/>
      <c r="V893" s="158"/>
      <c r="W893" s="158"/>
      <c r="X893" s="158"/>
    </row>
    <row r="894">
      <c r="A894" s="176"/>
      <c r="B894" s="177"/>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row>
    <row r="895">
      <c r="A895" s="176"/>
      <c r="B895" s="177"/>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row>
    <row r="896">
      <c r="A896" s="176"/>
      <c r="B896" s="177"/>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row>
    <row r="897">
      <c r="A897" s="176"/>
      <c r="B897" s="177"/>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row>
    <row r="898">
      <c r="A898" s="176"/>
      <c r="B898" s="177"/>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row>
    <row r="899">
      <c r="A899" s="176"/>
      <c r="B899" s="177"/>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row>
    <row r="900">
      <c r="A900" s="176"/>
      <c r="B900" s="177"/>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row>
    <row r="901">
      <c r="A901" s="176"/>
      <c r="B901" s="177"/>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row>
    <row r="902">
      <c r="A902" s="176"/>
      <c r="B902" s="177"/>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row>
    <row r="903">
      <c r="A903" s="176"/>
      <c r="B903" s="177"/>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row>
    <row r="904">
      <c r="A904" s="176"/>
      <c r="B904" s="177"/>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row>
    <row r="905">
      <c r="A905" s="176"/>
      <c r="B905" s="177"/>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row>
    <row r="906">
      <c r="A906" s="176"/>
      <c r="B906" s="177"/>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row>
    <row r="907">
      <c r="A907" s="176"/>
      <c r="B907" s="177"/>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row>
    <row r="908">
      <c r="A908" s="176"/>
      <c r="B908" s="177"/>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row>
    <row r="909">
      <c r="A909" s="176"/>
      <c r="B909" s="177"/>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row>
    <row r="910">
      <c r="A910" s="176"/>
      <c r="B910" s="177"/>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row>
    <row r="911">
      <c r="A911" s="176"/>
      <c r="B911" s="177"/>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row>
    <row r="912">
      <c r="A912" s="176"/>
      <c r="B912" s="177"/>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row>
    <row r="913">
      <c r="A913" s="176"/>
      <c r="B913" s="177"/>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row>
    <row r="914">
      <c r="A914" s="176"/>
      <c r="B914" s="177"/>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row>
    <row r="915">
      <c r="A915" s="176"/>
      <c r="B915" s="177"/>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row>
    <row r="916">
      <c r="A916" s="176"/>
      <c r="B916" s="177"/>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row>
    <row r="917">
      <c r="A917" s="176"/>
      <c r="B917" s="177"/>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row>
    <row r="918">
      <c r="A918" s="176"/>
      <c r="B918" s="177"/>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row>
    <row r="919">
      <c r="A919" s="176"/>
      <c r="B919" s="177"/>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row>
    <row r="920">
      <c r="A920" s="176"/>
      <c r="B920" s="177"/>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row>
    <row r="921">
      <c r="A921" s="176"/>
      <c r="B921" s="177"/>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row>
    <row r="922">
      <c r="A922" s="176"/>
      <c r="B922" s="177"/>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row>
    <row r="923">
      <c r="A923" s="176"/>
      <c r="B923" s="177"/>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row>
    <row r="924">
      <c r="A924" s="176"/>
      <c r="B924" s="177"/>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row>
    <row r="925">
      <c r="A925" s="176"/>
      <c r="B925" s="177"/>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row>
    <row r="926">
      <c r="A926" s="176"/>
      <c r="B926" s="177"/>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row>
    <row r="927">
      <c r="A927" s="176"/>
      <c r="B927" s="177"/>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row>
    <row r="928">
      <c r="A928" s="176"/>
      <c r="B928" s="177"/>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row>
    <row r="929">
      <c r="A929" s="176"/>
      <c r="B929" s="177"/>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row>
    <row r="930">
      <c r="A930" s="176"/>
      <c r="B930" s="177"/>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row>
    <row r="931">
      <c r="A931" s="176"/>
      <c r="B931" s="177"/>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row>
    <row r="932">
      <c r="A932" s="176"/>
      <c r="B932" s="177"/>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row>
    <row r="933">
      <c r="A933" s="176"/>
      <c r="B933" s="177"/>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row>
    <row r="934">
      <c r="A934" s="176"/>
      <c r="B934" s="177"/>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row>
    <row r="935">
      <c r="A935" s="176"/>
      <c r="B935" s="177"/>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row>
    <row r="936">
      <c r="A936" s="176"/>
      <c r="B936" s="177"/>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row>
    <row r="937">
      <c r="A937" s="176"/>
      <c r="B937" s="177"/>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row>
    <row r="938">
      <c r="A938" s="176"/>
      <c r="B938" s="177"/>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row>
    <row r="939">
      <c r="A939" s="176"/>
      <c r="B939" s="177"/>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row>
    <row r="940">
      <c r="A940" s="176"/>
      <c r="B940" s="177"/>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row>
    <row r="941">
      <c r="A941" s="176"/>
      <c r="B941" s="177"/>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row>
    <row r="942">
      <c r="A942" s="176"/>
      <c r="B942" s="177"/>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row>
    <row r="943">
      <c r="A943" s="176"/>
      <c r="B943" s="177"/>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row>
    <row r="944">
      <c r="A944" s="176"/>
      <c r="B944" s="177"/>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row>
    <row r="945">
      <c r="A945" s="176"/>
      <c r="B945" s="177"/>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row>
    <row r="946">
      <c r="A946" s="176"/>
      <c r="B946" s="177"/>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row>
    <row r="947">
      <c r="A947" s="176"/>
      <c r="B947" s="177"/>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row>
    <row r="948">
      <c r="A948" s="176"/>
      <c r="B948" s="177"/>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row>
    <row r="949">
      <c r="A949" s="176"/>
      <c r="B949" s="177"/>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row>
    <row r="950">
      <c r="A950" s="176"/>
      <c r="B950" s="177"/>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row>
    <row r="951">
      <c r="A951" s="176"/>
      <c r="B951" s="177"/>
      <c r="C951" s="158"/>
      <c r="D951" s="158"/>
      <c r="E951" s="158"/>
      <c r="G951" s="158"/>
      <c r="H951" s="158"/>
      <c r="I951" s="158"/>
      <c r="J951" s="158"/>
      <c r="K951" s="158"/>
      <c r="L951" s="158"/>
      <c r="M951" s="158"/>
      <c r="N951" s="158"/>
      <c r="O951" s="158"/>
      <c r="P951" s="158"/>
      <c r="Q951" s="158"/>
      <c r="R951" s="158"/>
      <c r="S951" s="158"/>
      <c r="T951" s="158"/>
      <c r="U951" s="158"/>
      <c r="V951" s="158"/>
      <c r="W951" s="158"/>
      <c r="X951" s="158"/>
    </row>
    <row r="952">
      <c r="A952" s="176"/>
      <c r="B952" s="177"/>
      <c r="C952" s="158"/>
      <c r="D952" s="158"/>
      <c r="E952" s="158"/>
      <c r="G952" s="158"/>
      <c r="H952" s="158"/>
      <c r="I952" s="158"/>
      <c r="J952" s="158"/>
      <c r="K952" s="158"/>
      <c r="L952" s="158"/>
      <c r="M952" s="158"/>
      <c r="N952" s="158"/>
      <c r="O952" s="158"/>
      <c r="P952" s="158"/>
      <c r="Q952" s="158"/>
      <c r="R952" s="158"/>
      <c r="S952" s="158"/>
      <c r="T952" s="158"/>
      <c r="U952" s="158"/>
      <c r="V952" s="158"/>
      <c r="W952" s="158"/>
      <c r="X952" s="158"/>
    </row>
    <row r="953">
      <c r="A953" s="176"/>
      <c r="B953" s="177"/>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row>
    <row r="954">
      <c r="A954" s="176"/>
      <c r="B954" s="177"/>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row>
    <row r="955">
      <c r="A955" s="176"/>
      <c r="B955" s="177"/>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row>
    <row r="956">
      <c r="A956" s="176"/>
      <c r="B956" s="177"/>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row>
    <row r="957">
      <c r="A957" s="176"/>
      <c r="B957" s="177"/>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row>
    <row r="958">
      <c r="A958" s="176"/>
      <c r="B958" s="177"/>
      <c r="C958" s="158"/>
      <c r="D958" s="158"/>
      <c r="E958" s="158"/>
      <c r="G958" s="158"/>
      <c r="H958" s="158"/>
      <c r="I958" s="158"/>
      <c r="J958" s="158"/>
      <c r="K958" s="158"/>
      <c r="L958" s="158"/>
      <c r="M958" s="158"/>
      <c r="N958" s="158"/>
      <c r="O958" s="158"/>
      <c r="P958" s="158"/>
      <c r="Q958" s="158"/>
      <c r="R958" s="158"/>
      <c r="S958" s="158"/>
      <c r="T958" s="158"/>
      <c r="U958" s="158"/>
      <c r="V958" s="158"/>
      <c r="W958" s="158"/>
      <c r="X958" s="158"/>
    </row>
    <row r="959">
      <c r="A959" s="176"/>
      <c r="B959" s="177"/>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row>
    <row r="960">
      <c r="A960" s="176"/>
      <c r="B960" s="177"/>
      <c r="C960" s="158"/>
      <c r="D960" s="158"/>
      <c r="E960" s="158"/>
      <c r="G960" s="158"/>
      <c r="H960" s="158"/>
      <c r="I960" s="158"/>
      <c r="J960" s="158"/>
      <c r="K960" s="158"/>
      <c r="L960" s="158"/>
      <c r="M960" s="158"/>
      <c r="N960" s="158"/>
      <c r="O960" s="158"/>
      <c r="P960" s="158"/>
      <c r="Q960" s="158"/>
      <c r="R960" s="158"/>
      <c r="S960" s="158"/>
      <c r="T960" s="158"/>
      <c r="U960" s="158"/>
      <c r="V960" s="158"/>
      <c r="W960" s="158"/>
      <c r="X960" s="158"/>
    </row>
    <row r="961">
      <c r="A961" s="176"/>
      <c r="B961" s="177"/>
      <c r="C961" s="158"/>
      <c r="D961" s="158"/>
      <c r="E961" s="158"/>
      <c r="G961" s="158"/>
      <c r="H961" s="158"/>
      <c r="I961" s="158"/>
      <c r="J961" s="158"/>
      <c r="K961" s="158"/>
      <c r="L961" s="158"/>
      <c r="M961" s="158"/>
      <c r="N961" s="158"/>
      <c r="O961" s="158"/>
      <c r="P961" s="158"/>
      <c r="Q961" s="158"/>
      <c r="R961" s="158"/>
      <c r="S961" s="158"/>
      <c r="T961" s="158"/>
      <c r="U961" s="158"/>
      <c r="V961" s="158"/>
      <c r="W961" s="158"/>
      <c r="X961" s="158"/>
    </row>
    <row r="962">
      <c r="A962" s="176"/>
      <c r="B962" s="177"/>
      <c r="C962" s="158"/>
      <c r="D962" s="158"/>
      <c r="E962" s="158"/>
      <c r="G962" s="158"/>
      <c r="H962" s="158"/>
      <c r="I962" s="158"/>
      <c r="J962" s="158"/>
      <c r="K962" s="158"/>
      <c r="L962" s="158"/>
      <c r="M962" s="158"/>
      <c r="N962" s="158"/>
      <c r="O962" s="158"/>
      <c r="P962" s="158"/>
      <c r="Q962" s="158"/>
      <c r="R962" s="158"/>
      <c r="S962" s="158"/>
      <c r="T962" s="158"/>
      <c r="U962" s="158"/>
      <c r="V962" s="158"/>
      <c r="W962" s="158"/>
      <c r="X962" s="158"/>
    </row>
    <row r="963">
      <c r="A963" s="176"/>
      <c r="B963" s="177"/>
      <c r="C963" s="158"/>
      <c r="D963" s="158"/>
      <c r="E963" s="158"/>
      <c r="G963" s="158"/>
      <c r="H963" s="158"/>
      <c r="I963" s="158"/>
      <c r="J963" s="158"/>
      <c r="K963" s="158"/>
      <c r="L963" s="158"/>
      <c r="M963" s="158"/>
      <c r="N963" s="158"/>
      <c r="O963" s="158"/>
      <c r="P963" s="158"/>
      <c r="Q963" s="158"/>
      <c r="R963" s="158"/>
      <c r="S963" s="158"/>
      <c r="T963" s="158"/>
      <c r="U963" s="158"/>
      <c r="V963" s="158"/>
      <c r="W963" s="158"/>
      <c r="X963" s="158"/>
    </row>
    <row r="964">
      <c r="A964" s="176"/>
      <c r="B964" s="177"/>
      <c r="C964" s="158"/>
      <c r="D964" s="158"/>
      <c r="E964" s="158"/>
      <c r="G964" s="158"/>
      <c r="H964" s="158"/>
      <c r="I964" s="158"/>
      <c r="J964" s="158"/>
      <c r="K964" s="158"/>
      <c r="L964" s="158"/>
      <c r="M964" s="158"/>
      <c r="N964" s="158"/>
      <c r="O964" s="158"/>
      <c r="P964" s="158"/>
      <c r="Q964" s="158"/>
      <c r="R964" s="158"/>
      <c r="S964" s="158"/>
      <c r="T964" s="158"/>
      <c r="U964" s="158"/>
      <c r="V964" s="158"/>
      <c r="W964" s="158"/>
      <c r="X964" s="158"/>
    </row>
    <row r="965">
      <c r="A965" s="176"/>
      <c r="B965" s="177"/>
      <c r="C965" s="158"/>
      <c r="D965" s="158"/>
      <c r="E965" s="158"/>
      <c r="G965" s="158"/>
      <c r="H965" s="158"/>
      <c r="I965" s="158"/>
      <c r="J965" s="158"/>
      <c r="K965" s="158"/>
      <c r="L965" s="158"/>
      <c r="M965" s="158"/>
      <c r="N965" s="158"/>
      <c r="O965" s="158"/>
      <c r="P965" s="158"/>
      <c r="Q965" s="158"/>
      <c r="R965" s="158"/>
      <c r="S965" s="158"/>
      <c r="T965" s="158"/>
      <c r="U965" s="158"/>
      <c r="V965" s="158"/>
      <c r="W965" s="158"/>
      <c r="X965" s="158"/>
    </row>
    <row r="966">
      <c r="A966" s="176"/>
      <c r="B966" s="177"/>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row>
    <row r="967">
      <c r="A967" s="176"/>
      <c r="B967" s="177"/>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row>
    <row r="968">
      <c r="A968" s="176"/>
      <c r="B968" s="177"/>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row>
    <row r="969">
      <c r="A969" s="176"/>
      <c r="B969" s="177"/>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row>
    <row r="970">
      <c r="A970" s="176"/>
      <c r="B970" s="177"/>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row>
    <row r="971">
      <c r="A971" s="176"/>
      <c r="B971" s="177"/>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row>
    <row r="972">
      <c r="A972" s="176"/>
      <c r="B972" s="177"/>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row>
    <row r="973">
      <c r="A973" s="176"/>
      <c r="B973" s="177"/>
      <c r="C973" s="158"/>
      <c r="D973" s="158"/>
      <c r="E973" s="158"/>
      <c r="G973" s="158"/>
      <c r="H973" s="158"/>
      <c r="I973" s="158"/>
      <c r="J973" s="158"/>
      <c r="K973" s="158"/>
      <c r="L973" s="158"/>
      <c r="M973" s="158"/>
      <c r="N973" s="158"/>
      <c r="O973" s="158"/>
      <c r="P973" s="158"/>
      <c r="Q973" s="158"/>
      <c r="R973" s="158"/>
      <c r="S973" s="158"/>
      <c r="T973" s="158"/>
      <c r="U973" s="158"/>
      <c r="V973" s="158"/>
      <c r="W973" s="158"/>
      <c r="X973" s="158"/>
    </row>
    <row r="974">
      <c r="A974" s="176"/>
      <c r="B974" s="177"/>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row>
    <row r="975">
      <c r="A975" s="176"/>
      <c r="B975" s="177"/>
      <c r="C975" s="158"/>
      <c r="D975" s="158"/>
      <c r="E975" s="158"/>
      <c r="G975" s="158"/>
      <c r="H975" s="158"/>
      <c r="I975" s="158"/>
      <c r="J975" s="158"/>
      <c r="K975" s="158"/>
      <c r="L975" s="158"/>
      <c r="M975" s="158"/>
      <c r="N975" s="158"/>
      <c r="O975" s="158"/>
      <c r="P975" s="158"/>
      <c r="Q975" s="158"/>
      <c r="R975" s="158"/>
      <c r="S975" s="158"/>
      <c r="T975" s="158"/>
      <c r="U975" s="158"/>
      <c r="V975" s="158"/>
      <c r="W975" s="158"/>
      <c r="X975" s="158"/>
    </row>
    <row r="976">
      <c r="A976" s="176"/>
      <c r="B976" s="177"/>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row>
    <row r="977">
      <c r="A977" s="176"/>
      <c r="B977" s="177"/>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row>
    <row r="978">
      <c r="A978" s="176"/>
      <c r="B978" s="177"/>
      <c r="C978" s="158"/>
      <c r="D978" s="158"/>
      <c r="E978" s="158"/>
      <c r="G978" s="158"/>
      <c r="H978" s="158"/>
      <c r="I978" s="158"/>
      <c r="J978" s="158"/>
      <c r="K978" s="158"/>
      <c r="L978" s="158"/>
      <c r="M978" s="158"/>
      <c r="N978" s="158"/>
      <c r="O978" s="158"/>
      <c r="P978" s="158"/>
      <c r="Q978" s="158"/>
      <c r="R978" s="158"/>
      <c r="S978" s="158"/>
      <c r="T978" s="158"/>
      <c r="U978" s="158"/>
      <c r="V978" s="158"/>
      <c r="W978" s="158"/>
      <c r="X978" s="158"/>
    </row>
    <row r="979">
      <c r="A979" s="176"/>
      <c r="B979" s="177"/>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row>
    <row r="980">
      <c r="A980" s="176"/>
      <c r="B980" s="177"/>
      <c r="C980" s="158"/>
      <c r="D980" s="158"/>
      <c r="E980" s="158"/>
      <c r="G980" s="158"/>
      <c r="H980" s="158"/>
      <c r="I980" s="158"/>
      <c r="J980" s="158"/>
      <c r="K980" s="158"/>
      <c r="L980" s="158"/>
      <c r="M980" s="158"/>
      <c r="N980" s="158"/>
      <c r="O980" s="158"/>
      <c r="P980" s="158"/>
      <c r="Q980" s="158"/>
      <c r="R980" s="158"/>
      <c r="S980" s="158"/>
      <c r="T980" s="158"/>
      <c r="U980" s="158"/>
      <c r="V980" s="158"/>
      <c r="W980" s="158"/>
      <c r="X980" s="158"/>
    </row>
    <row r="981">
      <c r="A981" s="176"/>
      <c r="B981" s="177"/>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row>
    <row r="982">
      <c r="A982" s="176"/>
      <c r="B982" s="177"/>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row>
    <row r="983">
      <c r="A983" s="176"/>
      <c r="B983" s="177"/>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row>
    <row r="984">
      <c r="A984" s="176"/>
      <c r="B984" s="177"/>
      <c r="C984" s="158"/>
      <c r="D984" s="158"/>
      <c r="E984" s="158"/>
      <c r="G984" s="158"/>
      <c r="H984" s="158"/>
      <c r="I984" s="158"/>
      <c r="J984" s="158"/>
      <c r="K984" s="158"/>
      <c r="L984" s="158"/>
      <c r="M984" s="158"/>
      <c r="N984" s="158"/>
      <c r="O984" s="158"/>
      <c r="P984" s="158"/>
      <c r="Q984" s="158"/>
      <c r="R984" s="158"/>
      <c r="S984" s="158"/>
      <c r="T984" s="158"/>
      <c r="U984" s="158"/>
      <c r="V984" s="158"/>
      <c r="W984" s="158"/>
      <c r="X984" s="158"/>
    </row>
    <row r="985">
      <c r="A985" s="176"/>
      <c r="B985" s="177"/>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row>
    <row r="986">
      <c r="A986" s="176"/>
      <c r="B986" s="177"/>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row>
    <row r="987">
      <c r="A987" s="176"/>
      <c r="B987" s="177"/>
      <c r="C987" s="158"/>
      <c r="D987" s="158"/>
      <c r="E987" s="158"/>
      <c r="G987" s="158"/>
      <c r="H987" s="158"/>
      <c r="I987" s="158"/>
      <c r="J987" s="158"/>
      <c r="K987" s="158"/>
      <c r="L987" s="158"/>
      <c r="M987" s="158"/>
      <c r="N987" s="158"/>
      <c r="O987" s="158"/>
      <c r="P987" s="158"/>
      <c r="Q987" s="158"/>
      <c r="R987" s="158"/>
      <c r="S987" s="158"/>
      <c r="T987" s="158"/>
      <c r="U987" s="158"/>
      <c r="V987" s="158"/>
      <c r="W987" s="158"/>
      <c r="X987" s="158"/>
    </row>
    <row r="988">
      <c r="A988" s="176"/>
      <c r="B988" s="177"/>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row>
    <row r="989">
      <c r="A989" s="176"/>
      <c r="B989" s="177"/>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row>
    <row r="990">
      <c r="A990" s="176"/>
      <c r="B990" s="177"/>
      <c r="C990" s="158"/>
      <c r="D990" s="158"/>
      <c r="E990" s="158"/>
      <c r="G990" s="158"/>
      <c r="H990" s="158"/>
      <c r="I990" s="158"/>
      <c r="J990" s="158"/>
      <c r="K990" s="158"/>
      <c r="L990" s="158"/>
      <c r="M990" s="158"/>
      <c r="N990" s="158"/>
      <c r="O990" s="158"/>
      <c r="P990" s="158"/>
      <c r="Q990" s="158"/>
      <c r="R990" s="158"/>
      <c r="S990" s="158"/>
      <c r="T990" s="158"/>
      <c r="U990" s="158"/>
      <c r="V990" s="158"/>
      <c r="W990" s="158"/>
      <c r="X990" s="158"/>
    </row>
    <row r="991">
      <c r="A991" s="176"/>
      <c r="B991" s="177"/>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row>
    <row r="992">
      <c r="A992" s="176"/>
      <c r="B992" s="177"/>
      <c r="C992" s="158"/>
      <c r="D992" s="158"/>
      <c r="E992" s="158"/>
      <c r="G992" s="158"/>
      <c r="H992" s="158"/>
      <c r="I992" s="158"/>
      <c r="J992" s="158"/>
      <c r="K992" s="158"/>
      <c r="L992" s="158"/>
      <c r="M992" s="158"/>
      <c r="N992" s="158"/>
      <c r="O992" s="158"/>
      <c r="P992" s="158"/>
      <c r="Q992" s="158"/>
      <c r="R992" s="158"/>
      <c r="S992" s="158"/>
      <c r="T992" s="158"/>
      <c r="U992" s="158"/>
      <c r="V992" s="158"/>
      <c r="W992" s="158"/>
      <c r="X992" s="158"/>
    </row>
    <row r="993">
      <c r="A993" s="176"/>
      <c r="B993" s="177"/>
      <c r="C993" s="158"/>
      <c r="D993" s="158"/>
      <c r="E993" s="158"/>
      <c r="G993" s="158"/>
      <c r="H993" s="158"/>
      <c r="I993" s="158"/>
      <c r="J993" s="158"/>
      <c r="K993" s="158"/>
      <c r="L993" s="158"/>
      <c r="M993" s="158"/>
      <c r="N993" s="158"/>
      <c r="O993" s="158"/>
      <c r="P993" s="158"/>
      <c r="Q993" s="158"/>
      <c r="R993" s="158"/>
      <c r="S993" s="158"/>
      <c r="T993" s="158"/>
      <c r="U993" s="158"/>
      <c r="V993" s="158"/>
      <c r="W993" s="158"/>
      <c r="X993" s="158"/>
    </row>
    <row r="994">
      <c r="A994" s="176"/>
      <c r="B994" s="177"/>
      <c r="C994" s="158"/>
      <c r="D994" s="158"/>
      <c r="E994" s="158"/>
      <c r="G994" s="158"/>
      <c r="H994" s="158"/>
      <c r="I994" s="158"/>
      <c r="J994" s="158"/>
      <c r="K994" s="158"/>
      <c r="L994" s="158"/>
      <c r="M994" s="158"/>
      <c r="N994" s="158"/>
      <c r="O994" s="158"/>
      <c r="P994" s="158"/>
      <c r="Q994" s="158"/>
      <c r="R994" s="158"/>
      <c r="S994" s="158"/>
      <c r="T994" s="158"/>
      <c r="U994" s="158"/>
      <c r="V994" s="158"/>
      <c r="W994" s="158"/>
      <c r="X994" s="158"/>
    </row>
    <row r="995">
      <c r="A995" s="176"/>
      <c r="B995" s="177"/>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row>
    <row r="996">
      <c r="A996" s="176"/>
      <c r="B996" s="177"/>
      <c r="C996" s="158"/>
      <c r="D996" s="158"/>
      <c r="E996" s="158"/>
      <c r="F996" s="158"/>
      <c r="G996" s="158"/>
      <c r="H996" s="158"/>
      <c r="I996" s="158"/>
      <c r="J996" s="158"/>
      <c r="K996" s="158"/>
      <c r="L996" s="158"/>
      <c r="M996" s="158"/>
      <c r="N996" s="158"/>
      <c r="O996" s="158"/>
      <c r="P996" s="158"/>
      <c r="Q996" s="158"/>
      <c r="R996" s="158"/>
      <c r="S996" s="158"/>
      <c r="T996" s="158"/>
      <c r="U996" s="158"/>
      <c r="V996" s="158"/>
      <c r="W996" s="158"/>
      <c r="X996" s="158"/>
    </row>
    <row r="997">
      <c r="A997" s="176"/>
      <c r="B997" s="177"/>
      <c r="C997" s="158"/>
      <c r="D997" s="158"/>
      <c r="E997" s="158"/>
      <c r="F997" s="158"/>
      <c r="G997" s="158"/>
      <c r="H997" s="158"/>
      <c r="I997" s="158"/>
      <c r="J997" s="158"/>
      <c r="K997" s="158"/>
      <c r="L997" s="158"/>
      <c r="M997" s="158"/>
      <c r="N997" s="158"/>
      <c r="O997" s="158"/>
      <c r="P997" s="158"/>
      <c r="Q997" s="158"/>
      <c r="R997" s="158"/>
      <c r="S997" s="158"/>
      <c r="T997" s="158"/>
      <c r="U997" s="158"/>
      <c r="V997" s="158"/>
      <c r="W997" s="158"/>
      <c r="X997" s="158"/>
    </row>
    <row r="998">
      <c r="A998" s="176"/>
      <c r="B998" s="177"/>
      <c r="C998" s="158"/>
      <c r="D998" s="158"/>
      <c r="E998" s="158"/>
      <c r="F998" s="158"/>
      <c r="G998" s="158"/>
      <c r="H998" s="158"/>
      <c r="I998" s="158"/>
      <c r="J998" s="158"/>
      <c r="K998" s="158"/>
      <c r="L998" s="158"/>
      <c r="M998" s="158"/>
      <c r="N998" s="158"/>
      <c r="O998" s="158"/>
      <c r="P998" s="158"/>
      <c r="Q998" s="158"/>
      <c r="R998" s="158"/>
      <c r="S998" s="158"/>
      <c r="T998" s="158"/>
      <c r="U998" s="158"/>
      <c r="V998" s="158"/>
      <c r="W998" s="158"/>
      <c r="X998" s="158"/>
    </row>
    <row r="999">
      <c r="A999" s="176"/>
      <c r="B999" s="177"/>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row>
    <row r="1000">
      <c r="A1000" s="176"/>
      <c r="B1000" s="177"/>
      <c r="C1000" s="158"/>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row>
    <row r="1001">
      <c r="A1001" s="176"/>
      <c r="B1001" s="177"/>
      <c r="C1001" s="158"/>
      <c r="D1001" s="158"/>
      <c r="E1001" s="158"/>
      <c r="F1001" s="158"/>
      <c r="G1001" s="158"/>
      <c r="H1001" s="158"/>
      <c r="I1001" s="158"/>
      <c r="J1001" s="158"/>
      <c r="K1001" s="158"/>
      <c r="L1001" s="158"/>
      <c r="M1001" s="158"/>
      <c r="N1001" s="158"/>
      <c r="O1001" s="158"/>
      <c r="P1001" s="158"/>
      <c r="Q1001" s="158"/>
      <c r="R1001" s="158"/>
      <c r="S1001" s="158"/>
      <c r="T1001" s="158"/>
      <c r="U1001" s="158"/>
      <c r="V1001" s="158"/>
      <c r="W1001" s="158"/>
      <c r="X1001" s="158"/>
    </row>
    <row r="1002">
      <c r="A1002" s="176"/>
      <c r="B1002" s="177"/>
      <c r="C1002" s="158"/>
      <c r="D1002" s="158"/>
      <c r="E1002" s="158"/>
      <c r="F1002" s="158"/>
      <c r="G1002" s="158"/>
      <c r="H1002" s="158"/>
      <c r="I1002" s="158"/>
      <c r="J1002" s="158"/>
      <c r="K1002" s="158"/>
      <c r="L1002" s="158"/>
      <c r="M1002" s="158"/>
      <c r="N1002" s="158"/>
      <c r="O1002" s="158"/>
      <c r="P1002" s="158"/>
      <c r="Q1002" s="158"/>
      <c r="R1002" s="158"/>
      <c r="S1002" s="158"/>
      <c r="T1002" s="158"/>
      <c r="U1002" s="158"/>
      <c r="V1002" s="158"/>
      <c r="W1002" s="158"/>
      <c r="X1002" s="158"/>
    </row>
    <row r="1003">
      <c r="A1003" s="176"/>
      <c r="B1003" s="177"/>
      <c r="C1003" s="158"/>
      <c r="D1003" s="158"/>
      <c r="E1003" s="158"/>
      <c r="F1003" s="158"/>
      <c r="G1003" s="158"/>
      <c r="H1003" s="158"/>
      <c r="I1003" s="158"/>
      <c r="J1003" s="158"/>
      <c r="K1003" s="158"/>
      <c r="L1003" s="158"/>
      <c r="M1003" s="158"/>
      <c r="N1003" s="158"/>
      <c r="O1003" s="158"/>
      <c r="P1003" s="158"/>
      <c r="Q1003" s="158"/>
      <c r="R1003" s="158"/>
      <c r="S1003" s="158"/>
      <c r="T1003" s="158"/>
      <c r="U1003" s="158"/>
      <c r="V1003" s="158"/>
      <c r="W1003" s="158"/>
      <c r="X1003" s="158"/>
    </row>
    <row r="1004">
      <c r="A1004" s="176"/>
      <c r="B1004" s="177"/>
      <c r="C1004" s="158"/>
      <c r="D1004" s="158"/>
      <c r="E1004" s="158"/>
      <c r="F1004" s="158"/>
      <c r="G1004" s="158"/>
      <c r="H1004" s="158"/>
      <c r="I1004" s="158"/>
      <c r="J1004" s="158"/>
      <c r="K1004" s="158"/>
      <c r="L1004" s="158"/>
      <c r="M1004" s="158"/>
      <c r="N1004" s="158"/>
      <c r="O1004" s="158"/>
      <c r="P1004" s="158"/>
      <c r="Q1004" s="158"/>
      <c r="R1004" s="158"/>
      <c r="S1004" s="158"/>
      <c r="T1004" s="158"/>
      <c r="U1004" s="158"/>
      <c r="V1004" s="158"/>
      <c r="W1004" s="158"/>
      <c r="X1004" s="158"/>
    </row>
    <row r="1005">
      <c r="A1005" s="176"/>
      <c r="B1005" s="177"/>
      <c r="C1005" s="158"/>
      <c r="D1005" s="158"/>
      <c r="E1005" s="158"/>
      <c r="F1005" s="158"/>
      <c r="G1005" s="158"/>
      <c r="H1005" s="158"/>
      <c r="I1005" s="158"/>
      <c r="J1005" s="158"/>
      <c r="K1005" s="158"/>
      <c r="L1005" s="158"/>
      <c r="M1005" s="158"/>
      <c r="N1005" s="158"/>
      <c r="O1005" s="158"/>
      <c r="P1005" s="158"/>
      <c r="Q1005" s="158"/>
      <c r="R1005" s="158"/>
      <c r="S1005" s="158"/>
      <c r="T1005" s="158"/>
      <c r="U1005" s="158"/>
      <c r="V1005" s="158"/>
      <c r="W1005" s="158"/>
      <c r="X1005" s="158"/>
    </row>
    <row r="1006">
      <c r="A1006" s="176"/>
      <c r="B1006" s="177"/>
      <c r="C1006" s="158"/>
      <c r="D1006" s="158"/>
      <c r="E1006" s="158"/>
      <c r="G1006" s="158"/>
      <c r="H1006" s="158"/>
      <c r="I1006" s="158"/>
      <c r="J1006" s="158"/>
      <c r="K1006" s="158"/>
      <c r="L1006" s="158"/>
      <c r="M1006" s="158"/>
      <c r="N1006" s="158"/>
      <c r="O1006" s="158"/>
      <c r="P1006" s="158"/>
      <c r="Q1006" s="158"/>
      <c r="R1006" s="158"/>
      <c r="S1006" s="158"/>
      <c r="T1006" s="158"/>
      <c r="U1006" s="158"/>
      <c r="V1006" s="158"/>
      <c r="W1006" s="158"/>
      <c r="X1006" s="158"/>
    </row>
    <row r="1007">
      <c r="A1007" s="176"/>
      <c r="B1007" s="177"/>
      <c r="C1007" s="158"/>
      <c r="D1007" s="158"/>
      <c r="E1007" s="158"/>
      <c r="G1007" s="158"/>
      <c r="H1007" s="158"/>
      <c r="I1007" s="158"/>
      <c r="J1007" s="158"/>
      <c r="K1007" s="158"/>
      <c r="L1007" s="158"/>
      <c r="M1007" s="158"/>
      <c r="N1007" s="158"/>
      <c r="O1007" s="158"/>
      <c r="P1007" s="158"/>
      <c r="Q1007" s="158"/>
      <c r="R1007" s="158"/>
      <c r="S1007" s="158"/>
      <c r="T1007" s="158"/>
      <c r="U1007" s="158"/>
      <c r="V1007" s="158"/>
      <c r="W1007" s="158"/>
      <c r="X1007" s="158"/>
    </row>
    <row r="1008">
      <c r="A1008" s="176"/>
      <c r="B1008" s="177"/>
      <c r="C1008" s="158"/>
      <c r="D1008" s="158"/>
      <c r="E1008" s="158"/>
      <c r="G1008" s="158"/>
      <c r="H1008" s="158"/>
      <c r="I1008" s="158"/>
      <c r="J1008" s="158"/>
      <c r="K1008" s="158"/>
      <c r="L1008" s="158"/>
      <c r="M1008" s="158"/>
      <c r="N1008" s="158"/>
      <c r="O1008" s="158"/>
      <c r="P1008" s="158"/>
      <c r="Q1008" s="158"/>
      <c r="R1008" s="158"/>
      <c r="S1008" s="158"/>
      <c r="T1008" s="158"/>
      <c r="U1008" s="158"/>
      <c r="V1008" s="158"/>
      <c r="W1008" s="158"/>
      <c r="X1008" s="158"/>
    </row>
    <row r="1009">
      <c r="A1009" s="176"/>
      <c r="B1009" s="177"/>
      <c r="C1009" s="158"/>
      <c r="D1009" s="158"/>
      <c r="E1009" s="158"/>
      <c r="G1009" s="158"/>
      <c r="H1009" s="158"/>
      <c r="I1009" s="158"/>
      <c r="J1009" s="158"/>
      <c r="K1009" s="158"/>
      <c r="L1009" s="158"/>
      <c r="M1009" s="158"/>
      <c r="N1009" s="158"/>
      <c r="O1009" s="158"/>
      <c r="P1009" s="158"/>
      <c r="Q1009" s="158"/>
      <c r="R1009" s="158"/>
      <c r="S1009" s="158"/>
      <c r="T1009" s="158"/>
      <c r="U1009" s="158"/>
      <c r="V1009" s="158"/>
      <c r="W1009" s="158"/>
      <c r="X1009" s="158"/>
    </row>
    <row r="1010">
      <c r="A1010" s="176"/>
      <c r="B1010" s="177"/>
      <c r="C1010" s="158"/>
      <c r="D1010" s="158"/>
      <c r="E1010" s="158"/>
      <c r="F1010" s="158"/>
      <c r="G1010" s="158"/>
      <c r="H1010" s="158"/>
      <c r="I1010" s="158"/>
      <c r="J1010" s="158"/>
      <c r="K1010" s="158"/>
      <c r="L1010" s="158"/>
      <c r="M1010" s="158"/>
      <c r="N1010" s="158"/>
      <c r="O1010" s="158"/>
      <c r="P1010" s="158"/>
      <c r="Q1010" s="158"/>
      <c r="R1010" s="158"/>
      <c r="S1010" s="158"/>
      <c r="T1010" s="158"/>
      <c r="U1010" s="158"/>
      <c r="V1010" s="158"/>
      <c r="W1010" s="158"/>
      <c r="X1010" s="158"/>
    </row>
    <row r="1011">
      <c r="A1011" s="176"/>
      <c r="B1011" s="177"/>
      <c r="C1011" s="158"/>
      <c r="D1011" s="158"/>
      <c r="E1011" s="158"/>
      <c r="F1011" s="158"/>
      <c r="G1011" s="158"/>
      <c r="H1011" s="158"/>
      <c r="I1011" s="158"/>
      <c r="J1011" s="158"/>
      <c r="K1011" s="158"/>
      <c r="L1011" s="158"/>
      <c r="M1011" s="158"/>
      <c r="N1011" s="158"/>
      <c r="O1011" s="158"/>
      <c r="P1011" s="158"/>
      <c r="Q1011" s="158"/>
      <c r="R1011" s="158"/>
      <c r="S1011" s="158"/>
      <c r="T1011" s="158"/>
      <c r="U1011" s="158"/>
      <c r="V1011" s="158"/>
      <c r="W1011" s="158"/>
      <c r="X1011" s="158"/>
    </row>
    <row r="1012">
      <c r="A1012" s="176"/>
      <c r="B1012" s="177"/>
      <c r="C1012" s="158"/>
      <c r="D1012" s="158"/>
      <c r="E1012" s="158"/>
      <c r="G1012" s="158"/>
      <c r="H1012" s="158"/>
      <c r="I1012" s="158"/>
      <c r="J1012" s="158"/>
      <c r="K1012" s="158"/>
      <c r="L1012" s="158"/>
      <c r="M1012" s="158"/>
      <c r="N1012" s="158"/>
      <c r="O1012" s="158"/>
      <c r="P1012" s="158"/>
      <c r="Q1012" s="158"/>
      <c r="R1012" s="158"/>
      <c r="S1012" s="158"/>
      <c r="T1012" s="158"/>
      <c r="U1012" s="158"/>
      <c r="V1012" s="158"/>
      <c r="W1012" s="158"/>
      <c r="X1012" s="158"/>
    </row>
    <row r="1013">
      <c r="A1013" s="176"/>
      <c r="B1013" s="177"/>
      <c r="C1013" s="158"/>
      <c r="D1013" s="158"/>
      <c r="E1013" s="158"/>
      <c r="F1013" s="158"/>
      <c r="G1013" s="158"/>
      <c r="H1013" s="158"/>
      <c r="I1013" s="158"/>
      <c r="J1013" s="158"/>
      <c r="K1013" s="158"/>
      <c r="L1013" s="158"/>
      <c r="M1013" s="158"/>
      <c r="N1013" s="158"/>
      <c r="O1013" s="158"/>
      <c r="P1013" s="158"/>
      <c r="Q1013" s="158"/>
      <c r="R1013" s="158"/>
      <c r="S1013" s="158"/>
      <c r="T1013" s="158"/>
      <c r="U1013" s="158"/>
      <c r="V1013" s="158"/>
      <c r="W1013" s="158"/>
      <c r="X1013" s="158"/>
    </row>
    <row r="1014">
      <c r="A1014" s="176"/>
      <c r="B1014" s="177"/>
      <c r="C1014" s="158"/>
      <c r="D1014" s="158"/>
      <c r="E1014" s="158"/>
      <c r="F1014" s="158"/>
      <c r="G1014" s="158"/>
      <c r="H1014" s="158"/>
      <c r="I1014" s="158"/>
      <c r="J1014" s="158"/>
      <c r="K1014" s="158"/>
      <c r="L1014" s="158"/>
      <c r="M1014" s="158"/>
      <c r="N1014" s="158"/>
      <c r="O1014" s="158"/>
      <c r="P1014" s="158"/>
      <c r="Q1014" s="158"/>
      <c r="R1014" s="158"/>
      <c r="S1014" s="158"/>
      <c r="T1014" s="158"/>
      <c r="U1014" s="158"/>
      <c r="V1014" s="158"/>
      <c r="W1014" s="158"/>
      <c r="X1014" s="158"/>
    </row>
    <row r="1015">
      <c r="A1015" s="176"/>
      <c r="B1015" s="177"/>
      <c r="C1015" s="158"/>
      <c r="D1015" s="158"/>
      <c r="E1015" s="158"/>
      <c r="F1015" s="158"/>
      <c r="G1015" s="158"/>
      <c r="H1015" s="158"/>
      <c r="I1015" s="158"/>
      <c r="J1015" s="158"/>
      <c r="K1015" s="158"/>
      <c r="L1015" s="158"/>
      <c r="M1015" s="158"/>
      <c r="N1015" s="158"/>
      <c r="O1015" s="158"/>
      <c r="P1015" s="158"/>
      <c r="Q1015" s="158"/>
      <c r="R1015" s="158"/>
      <c r="S1015" s="158"/>
      <c r="T1015" s="158"/>
      <c r="U1015" s="158"/>
      <c r="V1015" s="158"/>
      <c r="W1015" s="158"/>
      <c r="X1015" s="158"/>
    </row>
    <row r="1016">
      <c r="A1016" s="176"/>
      <c r="B1016" s="177"/>
      <c r="C1016" s="158"/>
      <c r="D1016" s="158"/>
      <c r="E1016" s="158"/>
      <c r="F1016" s="158"/>
      <c r="G1016" s="158"/>
      <c r="H1016" s="158"/>
      <c r="I1016" s="158"/>
      <c r="J1016" s="158"/>
      <c r="K1016" s="158"/>
      <c r="L1016" s="158"/>
      <c r="M1016" s="158"/>
      <c r="N1016" s="158"/>
      <c r="O1016" s="158"/>
      <c r="P1016" s="158"/>
      <c r="Q1016" s="158"/>
      <c r="R1016" s="158"/>
      <c r="S1016" s="158"/>
      <c r="T1016" s="158"/>
      <c r="U1016" s="158"/>
      <c r="V1016" s="158"/>
      <c r="W1016" s="158"/>
      <c r="X1016" s="158"/>
    </row>
    <row r="1017">
      <c r="A1017" s="176"/>
      <c r="B1017" s="177"/>
      <c r="C1017" s="158"/>
      <c r="D1017" s="158"/>
      <c r="E1017" s="158"/>
      <c r="F1017" s="158"/>
      <c r="G1017" s="158"/>
      <c r="H1017" s="158"/>
      <c r="I1017" s="158"/>
      <c r="J1017" s="158"/>
      <c r="K1017" s="158"/>
      <c r="L1017" s="158"/>
      <c r="M1017" s="158"/>
      <c r="N1017" s="158"/>
      <c r="O1017" s="158"/>
      <c r="P1017" s="158"/>
      <c r="Q1017" s="158"/>
      <c r="R1017" s="158"/>
      <c r="S1017" s="158"/>
      <c r="T1017" s="158"/>
      <c r="U1017" s="158"/>
      <c r="V1017" s="158"/>
      <c r="W1017" s="158"/>
      <c r="X1017" s="158"/>
    </row>
    <row r="1018">
      <c r="A1018" s="176"/>
      <c r="B1018" s="177"/>
      <c r="C1018" s="158"/>
      <c r="D1018" s="158"/>
      <c r="E1018" s="158"/>
      <c r="F1018" s="158"/>
      <c r="G1018" s="158"/>
      <c r="H1018" s="158"/>
      <c r="I1018" s="158"/>
      <c r="J1018" s="158"/>
      <c r="K1018" s="158"/>
      <c r="L1018" s="158"/>
      <c r="M1018" s="158"/>
      <c r="N1018" s="158"/>
      <c r="O1018" s="158"/>
      <c r="P1018" s="158"/>
      <c r="Q1018" s="158"/>
      <c r="R1018" s="158"/>
      <c r="S1018" s="158"/>
      <c r="T1018" s="158"/>
      <c r="U1018" s="158"/>
      <c r="V1018" s="158"/>
      <c r="W1018" s="158"/>
      <c r="X1018" s="158"/>
    </row>
    <row r="1019">
      <c r="A1019" s="176"/>
      <c r="B1019" s="177"/>
      <c r="C1019" s="158"/>
      <c r="D1019" s="158"/>
      <c r="E1019" s="158"/>
      <c r="F1019" s="158"/>
      <c r="G1019" s="158"/>
      <c r="H1019" s="158"/>
      <c r="I1019" s="158"/>
      <c r="J1019" s="158"/>
      <c r="K1019" s="158"/>
      <c r="L1019" s="158"/>
      <c r="M1019" s="158"/>
      <c r="N1019" s="158"/>
      <c r="O1019" s="158"/>
      <c r="P1019" s="158"/>
      <c r="Q1019" s="158"/>
      <c r="R1019" s="158"/>
      <c r="S1019" s="158"/>
      <c r="T1019" s="158"/>
      <c r="U1019" s="158"/>
      <c r="V1019" s="158"/>
      <c r="W1019" s="158"/>
      <c r="X1019" s="158"/>
    </row>
    <row r="1020">
      <c r="A1020" s="176"/>
      <c r="B1020" s="177"/>
      <c r="C1020" s="158"/>
      <c r="D1020" s="158"/>
      <c r="E1020" s="158"/>
      <c r="F1020" s="158"/>
      <c r="G1020" s="158"/>
      <c r="H1020" s="158"/>
      <c r="I1020" s="158"/>
      <c r="J1020" s="158"/>
      <c r="K1020" s="158"/>
      <c r="L1020" s="158"/>
      <c r="M1020" s="158"/>
      <c r="N1020" s="158"/>
      <c r="O1020" s="158"/>
      <c r="P1020" s="158"/>
      <c r="Q1020" s="158"/>
      <c r="R1020" s="158"/>
      <c r="S1020" s="158"/>
      <c r="T1020" s="158"/>
      <c r="U1020" s="158"/>
      <c r="V1020" s="158"/>
      <c r="W1020" s="158"/>
      <c r="X1020" s="158"/>
    </row>
    <row r="1021">
      <c r="A1021" s="176"/>
      <c r="B1021" s="177"/>
      <c r="C1021" s="158"/>
      <c r="D1021" s="158"/>
      <c r="E1021" s="158"/>
      <c r="F1021" s="158"/>
      <c r="G1021" s="158"/>
      <c r="H1021" s="158"/>
      <c r="I1021" s="158"/>
      <c r="J1021" s="158"/>
      <c r="K1021" s="158"/>
      <c r="L1021" s="158"/>
      <c r="M1021" s="158"/>
      <c r="N1021" s="158"/>
      <c r="O1021" s="158"/>
      <c r="P1021" s="158"/>
      <c r="Q1021" s="158"/>
      <c r="R1021" s="158"/>
      <c r="S1021" s="158"/>
      <c r="T1021" s="158"/>
      <c r="U1021" s="158"/>
      <c r="V1021" s="158"/>
      <c r="W1021" s="158"/>
      <c r="X1021" s="158"/>
    </row>
    <row r="1022">
      <c r="A1022" s="176"/>
      <c r="B1022" s="177"/>
      <c r="C1022" s="158"/>
      <c r="D1022" s="158"/>
      <c r="E1022" s="158"/>
      <c r="F1022" s="158"/>
      <c r="G1022" s="158"/>
      <c r="H1022" s="158"/>
      <c r="I1022" s="158"/>
      <c r="J1022" s="158"/>
      <c r="K1022" s="158"/>
      <c r="L1022" s="158"/>
      <c r="M1022" s="158"/>
      <c r="N1022" s="158"/>
      <c r="O1022" s="158"/>
      <c r="P1022" s="158"/>
      <c r="Q1022" s="158"/>
      <c r="R1022" s="158"/>
      <c r="S1022" s="158"/>
      <c r="T1022" s="158"/>
      <c r="U1022" s="158"/>
      <c r="V1022" s="158"/>
      <c r="W1022" s="158"/>
      <c r="X1022" s="158"/>
    </row>
    <row r="1023">
      <c r="A1023" s="176"/>
      <c r="B1023" s="177"/>
      <c r="C1023" s="158"/>
      <c r="D1023" s="158"/>
      <c r="E1023" s="158"/>
      <c r="F1023" s="158"/>
      <c r="G1023" s="158"/>
      <c r="H1023" s="158"/>
      <c r="I1023" s="158"/>
      <c r="J1023" s="158"/>
      <c r="K1023" s="158"/>
      <c r="L1023" s="158"/>
      <c r="M1023" s="158"/>
      <c r="N1023" s="158"/>
      <c r="O1023" s="158"/>
      <c r="P1023" s="158"/>
      <c r="Q1023" s="158"/>
      <c r="R1023" s="158"/>
      <c r="S1023" s="158"/>
      <c r="T1023" s="158"/>
      <c r="U1023" s="158"/>
      <c r="V1023" s="158"/>
      <c r="W1023" s="158"/>
      <c r="X1023" s="158"/>
    </row>
    <row r="1024">
      <c r="A1024" s="176"/>
      <c r="B1024" s="177"/>
      <c r="C1024" s="158"/>
      <c r="D1024" s="158"/>
      <c r="E1024" s="158"/>
      <c r="F1024" s="158"/>
      <c r="G1024" s="158"/>
      <c r="H1024" s="158"/>
      <c r="I1024" s="158"/>
      <c r="J1024" s="158"/>
      <c r="K1024" s="158"/>
      <c r="L1024" s="158"/>
      <c r="M1024" s="158"/>
      <c r="N1024" s="158"/>
      <c r="O1024" s="158"/>
      <c r="P1024" s="158"/>
      <c r="Q1024" s="158"/>
      <c r="R1024" s="158"/>
      <c r="S1024" s="158"/>
      <c r="T1024" s="158"/>
      <c r="U1024" s="158"/>
      <c r="V1024" s="158"/>
      <c r="W1024" s="158"/>
      <c r="X1024" s="158"/>
    </row>
    <row r="1025">
      <c r="A1025" s="176"/>
      <c r="B1025" s="177"/>
      <c r="C1025" s="158"/>
      <c r="D1025" s="158"/>
      <c r="E1025" s="158"/>
      <c r="F1025" s="158"/>
      <c r="G1025" s="158"/>
      <c r="H1025" s="158"/>
      <c r="I1025" s="158"/>
      <c r="J1025" s="158"/>
      <c r="K1025" s="158"/>
      <c r="L1025" s="158"/>
      <c r="M1025" s="158"/>
      <c r="N1025" s="158"/>
      <c r="O1025" s="158"/>
      <c r="P1025" s="158"/>
      <c r="Q1025" s="158"/>
      <c r="R1025" s="158"/>
      <c r="S1025" s="158"/>
      <c r="T1025" s="158"/>
      <c r="U1025" s="158"/>
      <c r="V1025" s="158"/>
      <c r="W1025" s="158"/>
      <c r="X1025" s="158"/>
    </row>
    <row r="1026">
      <c r="A1026" s="176"/>
      <c r="B1026" s="177"/>
      <c r="C1026" s="158"/>
      <c r="D1026" s="158"/>
      <c r="E1026" s="158"/>
      <c r="G1026" s="158"/>
      <c r="H1026" s="158"/>
      <c r="I1026" s="158"/>
      <c r="J1026" s="158"/>
      <c r="K1026" s="158"/>
      <c r="L1026" s="158"/>
      <c r="M1026" s="158"/>
      <c r="N1026" s="158"/>
      <c r="O1026" s="158"/>
      <c r="P1026" s="158"/>
      <c r="Q1026" s="158"/>
      <c r="R1026" s="158"/>
      <c r="S1026" s="158"/>
      <c r="T1026" s="158"/>
      <c r="U1026" s="158"/>
      <c r="V1026" s="158"/>
      <c r="W1026" s="158"/>
      <c r="X1026" s="158"/>
    </row>
    <row r="1027">
      <c r="A1027" s="176"/>
      <c r="B1027" s="177"/>
      <c r="C1027" s="158"/>
      <c r="D1027" s="158"/>
      <c r="E1027" s="158"/>
      <c r="G1027" s="158"/>
      <c r="H1027" s="158"/>
      <c r="I1027" s="158"/>
      <c r="J1027" s="158"/>
      <c r="K1027" s="158"/>
      <c r="L1027" s="158"/>
      <c r="M1027" s="158"/>
      <c r="N1027" s="158"/>
      <c r="O1027" s="158"/>
      <c r="P1027" s="158"/>
      <c r="Q1027" s="158"/>
      <c r="R1027" s="158"/>
      <c r="S1027" s="158"/>
      <c r="T1027" s="158"/>
      <c r="U1027" s="158"/>
      <c r="V1027" s="158"/>
      <c r="W1027" s="158"/>
      <c r="X1027" s="158"/>
    </row>
    <row r="1028">
      <c r="A1028" s="176"/>
      <c r="B1028" s="177"/>
      <c r="C1028" s="158"/>
      <c r="D1028" s="158"/>
      <c r="E1028" s="158"/>
      <c r="G1028" s="158"/>
      <c r="H1028" s="158"/>
      <c r="I1028" s="158"/>
      <c r="J1028" s="158"/>
      <c r="K1028" s="158"/>
      <c r="L1028" s="158"/>
      <c r="M1028" s="158"/>
      <c r="N1028" s="158"/>
      <c r="O1028" s="158"/>
      <c r="P1028" s="158"/>
      <c r="Q1028" s="158"/>
      <c r="R1028" s="158"/>
      <c r="S1028" s="158"/>
      <c r="T1028" s="158"/>
      <c r="U1028" s="158"/>
      <c r="V1028" s="158"/>
      <c r="W1028" s="158"/>
      <c r="X1028" s="158"/>
    </row>
    <row r="1029">
      <c r="A1029" s="176"/>
      <c r="B1029" s="177"/>
      <c r="C1029" s="158"/>
      <c r="D1029" s="158"/>
      <c r="E1029" s="158"/>
      <c r="G1029" s="158"/>
      <c r="H1029" s="158"/>
      <c r="I1029" s="158"/>
      <c r="J1029" s="158"/>
      <c r="K1029" s="158"/>
      <c r="L1029" s="158"/>
      <c r="M1029" s="158"/>
      <c r="N1029" s="158"/>
      <c r="O1029" s="158"/>
      <c r="P1029" s="158"/>
      <c r="Q1029" s="158"/>
      <c r="R1029" s="158"/>
      <c r="S1029" s="158"/>
      <c r="T1029" s="158"/>
      <c r="U1029" s="158"/>
      <c r="V1029" s="158"/>
      <c r="W1029" s="158"/>
      <c r="X1029" s="158"/>
    </row>
    <row r="1030">
      <c r="A1030" s="176"/>
      <c r="B1030" s="177"/>
      <c r="C1030" s="158"/>
      <c r="D1030" s="158"/>
      <c r="E1030" s="158"/>
      <c r="G1030" s="158"/>
      <c r="H1030" s="158"/>
      <c r="I1030" s="158"/>
      <c r="J1030" s="158"/>
      <c r="K1030" s="158"/>
      <c r="L1030" s="158"/>
      <c r="M1030" s="158"/>
      <c r="N1030" s="158"/>
      <c r="O1030" s="158"/>
      <c r="P1030" s="158"/>
      <c r="Q1030" s="158"/>
      <c r="R1030" s="158"/>
      <c r="S1030" s="158"/>
      <c r="T1030" s="158"/>
      <c r="U1030" s="158"/>
      <c r="V1030" s="158"/>
      <c r="W1030" s="158"/>
      <c r="X1030" s="158"/>
    </row>
    <row r="1031">
      <c r="A1031" s="176"/>
      <c r="B1031" s="177"/>
      <c r="C1031" s="158"/>
      <c r="D1031" s="158"/>
      <c r="E1031" s="158"/>
      <c r="F1031" s="158"/>
      <c r="G1031" s="158"/>
      <c r="H1031" s="158"/>
      <c r="I1031" s="158"/>
      <c r="J1031" s="158"/>
      <c r="K1031" s="158"/>
      <c r="L1031" s="158"/>
      <c r="M1031" s="158"/>
      <c r="N1031" s="158"/>
      <c r="O1031" s="158"/>
      <c r="P1031" s="158"/>
      <c r="Q1031" s="158"/>
      <c r="R1031" s="158"/>
      <c r="S1031" s="158"/>
      <c r="T1031" s="158"/>
      <c r="U1031" s="158"/>
      <c r="V1031" s="158"/>
      <c r="W1031" s="158"/>
      <c r="X1031" s="158"/>
    </row>
    <row r="1032">
      <c r="A1032" s="176"/>
      <c r="B1032" s="177"/>
      <c r="C1032" s="158"/>
      <c r="D1032" s="158"/>
      <c r="E1032" s="158"/>
      <c r="G1032" s="158"/>
      <c r="H1032" s="158"/>
      <c r="I1032" s="158"/>
      <c r="J1032" s="158"/>
      <c r="K1032" s="158"/>
      <c r="L1032" s="158"/>
      <c r="M1032" s="158"/>
      <c r="N1032" s="158"/>
      <c r="O1032" s="158"/>
      <c r="P1032" s="158"/>
      <c r="Q1032" s="158"/>
      <c r="R1032" s="158"/>
      <c r="S1032" s="158"/>
      <c r="T1032" s="158"/>
      <c r="U1032" s="158"/>
      <c r="V1032" s="158"/>
      <c r="W1032" s="158"/>
      <c r="X1032" s="158"/>
    </row>
    <row r="1033">
      <c r="A1033" s="176"/>
      <c r="B1033" s="177"/>
      <c r="C1033" s="158"/>
      <c r="D1033" s="158"/>
      <c r="E1033" s="158"/>
      <c r="F1033" s="158"/>
      <c r="G1033" s="158"/>
      <c r="H1033" s="158"/>
      <c r="I1033" s="158"/>
      <c r="J1033" s="158"/>
      <c r="K1033" s="158"/>
      <c r="L1033" s="158"/>
      <c r="M1033" s="158"/>
      <c r="N1033" s="158"/>
      <c r="O1033" s="158"/>
      <c r="P1033" s="158"/>
      <c r="Q1033" s="158"/>
      <c r="R1033" s="158"/>
      <c r="S1033" s="158"/>
      <c r="T1033" s="158"/>
      <c r="U1033" s="158"/>
      <c r="V1033" s="158"/>
      <c r="W1033" s="158"/>
      <c r="X1033" s="158"/>
    </row>
    <row r="1034">
      <c r="A1034" s="176"/>
      <c r="B1034" s="177"/>
      <c r="C1034" s="158"/>
      <c r="D1034" s="158"/>
      <c r="E1034" s="158"/>
      <c r="F1034" s="158"/>
      <c r="G1034" s="158"/>
      <c r="H1034" s="158"/>
      <c r="I1034" s="158"/>
      <c r="J1034" s="158"/>
      <c r="K1034" s="158"/>
      <c r="L1034" s="158"/>
      <c r="M1034" s="158"/>
      <c r="N1034" s="158"/>
      <c r="O1034" s="158"/>
      <c r="P1034" s="158"/>
      <c r="Q1034" s="158"/>
      <c r="R1034" s="158"/>
      <c r="S1034" s="158"/>
      <c r="T1034" s="158"/>
      <c r="U1034" s="158"/>
      <c r="V1034" s="158"/>
      <c r="W1034" s="158"/>
      <c r="X1034" s="158"/>
    </row>
    <row r="1035">
      <c r="A1035" s="176"/>
      <c r="B1035" s="177"/>
      <c r="C1035" s="158"/>
      <c r="D1035" s="158"/>
      <c r="E1035" s="158"/>
      <c r="G1035" s="158"/>
      <c r="H1035" s="158"/>
      <c r="I1035" s="158"/>
      <c r="J1035" s="158"/>
      <c r="K1035" s="158"/>
      <c r="L1035" s="158"/>
      <c r="M1035" s="158"/>
      <c r="N1035" s="158"/>
      <c r="O1035" s="158"/>
      <c r="P1035" s="158"/>
      <c r="Q1035" s="158"/>
      <c r="R1035" s="158"/>
      <c r="S1035" s="158"/>
      <c r="T1035" s="158"/>
      <c r="U1035" s="158"/>
      <c r="V1035" s="158"/>
      <c r="W1035" s="158"/>
      <c r="X1035" s="158"/>
    </row>
    <row r="1036">
      <c r="A1036" s="176"/>
      <c r="B1036" s="177"/>
      <c r="C1036" s="158"/>
      <c r="D1036" s="158"/>
      <c r="E1036" s="158"/>
      <c r="G1036" s="158"/>
      <c r="H1036" s="158"/>
      <c r="I1036" s="158"/>
      <c r="J1036" s="158"/>
      <c r="K1036" s="158"/>
      <c r="L1036" s="158"/>
      <c r="M1036" s="158"/>
      <c r="N1036" s="158"/>
      <c r="O1036" s="158"/>
      <c r="P1036" s="158"/>
      <c r="Q1036" s="158"/>
      <c r="R1036" s="158"/>
      <c r="S1036" s="158"/>
      <c r="T1036" s="158"/>
      <c r="U1036" s="158"/>
      <c r="V1036" s="158"/>
      <c r="W1036" s="158"/>
      <c r="X1036" s="158"/>
    </row>
    <row r="1037">
      <c r="A1037" s="176"/>
      <c r="B1037" s="177"/>
      <c r="C1037" s="158"/>
      <c r="D1037" s="158"/>
      <c r="E1037" s="158"/>
      <c r="G1037" s="158"/>
      <c r="H1037" s="158"/>
      <c r="I1037" s="158"/>
      <c r="J1037" s="158"/>
      <c r="K1037" s="158"/>
      <c r="L1037" s="158"/>
      <c r="M1037" s="158"/>
      <c r="N1037" s="158"/>
      <c r="O1037" s="158"/>
      <c r="P1037" s="158"/>
      <c r="Q1037" s="158"/>
      <c r="R1037" s="158"/>
      <c r="S1037" s="158"/>
      <c r="T1037" s="158"/>
      <c r="U1037" s="158"/>
      <c r="V1037" s="158"/>
      <c r="W1037" s="158"/>
      <c r="X1037" s="158"/>
    </row>
    <row r="1038">
      <c r="A1038" s="176"/>
      <c r="B1038" s="177"/>
      <c r="C1038" s="158"/>
      <c r="D1038" s="158"/>
      <c r="E1038" s="158"/>
      <c r="G1038" s="158"/>
      <c r="H1038" s="158"/>
      <c r="I1038" s="158"/>
      <c r="J1038" s="158"/>
      <c r="K1038" s="158"/>
      <c r="L1038" s="158"/>
      <c r="M1038" s="158"/>
      <c r="N1038" s="158"/>
      <c r="O1038" s="158"/>
      <c r="P1038" s="158"/>
      <c r="Q1038" s="158"/>
      <c r="R1038" s="158"/>
      <c r="S1038" s="158"/>
      <c r="T1038" s="158"/>
      <c r="U1038" s="158"/>
      <c r="V1038" s="158"/>
      <c r="W1038" s="158"/>
      <c r="X1038" s="158"/>
    </row>
    <row r="1039">
      <c r="A1039" s="176"/>
      <c r="B1039" s="177"/>
      <c r="C1039" s="158"/>
      <c r="D1039" s="158"/>
      <c r="E1039" s="158"/>
      <c r="G1039" s="158"/>
      <c r="H1039" s="158"/>
      <c r="I1039" s="158"/>
      <c r="J1039" s="158"/>
      <c r="K1039" s="158"/>
      <c r="L1039" s="158"/>
      <c r="M1039" s="158"/>
      <c r="N1039" s="158"/>
      <c r="O1039" s="158"/>
      <c r="P1039" s="158"/>
      <c r="Q1039" s="158"/>
      <c r="R1039" s="158"/>
      <c r="S1039" s="158"/>
      <c r="T1039" s="158"/>
      <c r="U1039" s="158"/>
      <c r="V1039" s="158"/>
      <c r="W1039" s="158"/>
      <c r="X1039" s="158"/>
    </row>
    <row r="1040">
      <c r="A1040" s="176"/>
      <c r="B1040" s="177"/>
      <c r="C1040" s="158"/>
      <c r="D1040" s="158"/>
      <c r="E1040" s="158"/>
      <c r="G1040" s="158"/>
      <c r="H1040" s="158"/>
      <c r="I1040" s="158"/>
      <c r="J1040" s="158"/>
      <c r="K1040" s="158"/>
      <c r="L1040" s="158"/>
      <c r="M1040" s="158"/>
      <c r="N1040" s="158"/>
      <c r="O1040" s="158"/>
      <c r="P1040" s="158"/>
      <c r="Q1040" s="158"/>
      <c r="R1040" s="158"/>
      <c r="S1040" s="158"/>
      <c r="T1040" s="158"/>
      <c r="U1040" s="158"/>
      <c r="V1040" s="158"/>
      <c r="W1040" s="158"/>
      <c r="X1040" s="158"/>
    </row>
    <row r="1041">
      <c r="A1041" s="176"/>
      <c r="B1041" s="177"/>
      <c r="C1041" s="158"/>
      <c r="D1041" s="158"/>
      <c r="E1041" s="158"/>
      <c r="G1041" s="158"/>
      <c r="H1041" s="158"/>
      <c r="I1041" s="158"/>
      <c r="J1041" s="158"/>
      <c r="K1041" s="158"/>
      <c r="L1041" s="158"/>
      <c r="M1041" s="158"/>
      <c r="N1041" s="158"/>
      <c r="O1041" s="158"/>
      <c r="P1041" s="158"/>
      <c r="Q1041" s="158"/>
      <c r="R1041" s="158"/>
      <c r="S1041" s="158"/>
      <c r="T1041" s="158"/>
      <c r="U1041" s="158"/>
      <c r="V1041" s="158"/>
      <c r="W1041" s="158"/>
      <c r="X1041" s="158"/>
    </row>
    <row r="1042">
      <c r="A1042" s="176"/>
      <c r="B1042" s="177"/>
      <c r="C1042" s="158"/>
      <c r="D1042" s="158"/>
      <c r="E1042" s="158"/>
      <c r="F1042" s="158"/>
      <c r="G1042" s="158"/>
      <c r="H1042" s="158"/>
      <c r="I1042" s="158"/>
      <c r="J1042" s="158"/>
      <c r="K1042" s="158"/>
      <c r="L1042" s="158"/>
      <c r="M1042" s="158"/>
      <c r="N1042" s="158"/>
      <c r="O1042" s="158"/>
      <c r="P1042" s="158"/>
      <c r="Q1042" s="158"/>
      <c r="R1042" s="158"/>
      <c r="S1042" s="158"/>
      <c r="T1042" s="158"/>
      <c r="U1042" s="158"/>
      <c r="V1042" s="158"/>
      <c r="W1042" s="158"/>
      <c r="X1042" s="158"/>
    </row>
    <row r="1043">
      <c r="A1043" s="176"/>
      <c r="B1043" s="177"/>
      <c r="C1043" s="158"/>
      <c r="D1043" s="158"/>
      <c r="E1043" s="158"/>
      <c r="F1043" s="158"/>
      <c r="G1043" s="158"/>
      <c r="H1043" s="158"/>
      <c r="I1043" s="158"/>
      <c r="J1043" s="158"/>
      <c r="K1043" s="158"/>
      <c r="L1043" s="158"/>
      <c r="M1043" s="158"/>
      <c r="N1043" s="158"/>
      <c r="O1043" s="158"/>
      <c r="P1043" s="158"/>
      <c r="Q1043" s="158"/>
      <c r="R1043" s="158"/>
      <c r="S1043" s="158"/>
      <c r="T1043" s="158"/>
      <c r="U1043" s="158"/>
      <c r="V1043" s="158"/>
      <c r="W1043" s="158"/>
      <c r="X1043" s="158"/>
    </row>
    <row r="1044">
      <c r="A1044" s="176"/>
      <c r="B1044" s="177"/>
      <c r="C1044" s="158"/>
      <c r="D1044" s="158"/>
      <c r="E1044" s="158"/>
      <c r="F1044" s="158"/>
      <c r="G1044" s="158"/>
      <c r="H1044" s="158"/>
      <c r="I1044" s="158"/>
      <c r="J1044" s="158"/>
      <c r="K1044" s="158"/>
      <c r="L1044" s="158"/>
      <c r="M1044" s="158"/>
      <c r="N1044" s="158"/>
      <c r="O1044" s="158"/>
      <c r="P1044" s="158"/>
      <c r="Q1044" s="158"/>
      <c r="R1044" s="158"/>
      <c r="S1044" s="158"/>
      <c r="T1044" s="158"/>
      <c r="U1044" s="158"/>
      <c r="V1044" s="158"/>
      <c r="W1044" s="158"/>
      <c r="X1044" s="158"/>
    </row>
    <row r="1045">
      <c r="A1045" s="176"/>
      <c r="B1045" s="177"/>
      <c r="C1045" s="158"/>
      <c r="D1045" s="158"/>
      <c r="E1045" s="158"/>
      <c r="F1045" s="158"/>
      <c r="G1045" s="158"/>
      <c r="H1045" s="158"/>
      <c r="I1045" s="158"/>
      <c r="J1045" s="158"/>
      <c r="K1045" s="158"/>
      <c r="L1045" s="158"/>
      <c r="M1045" s="158"/>
      <c r="N1045" s="158"/>
      <c r="O1045" s="158"/>
      <c r="P1045" s="158"/>
      <c r="Q1045" s="158"/>
      <c r="R1045" s="158"/>
      <c r="S1045" s="158"/>
      <c r="T1045" s="158"/>
      <c r="U1045" s="158"/>
      <c r="V1045" s="158"/>
      <c r="W1045" s="158"/>
      <c r="X1045" s="158"/>
    </row>
    <row r="1046">
      <c r="A1046" s="176"/>
      <c r="B1046" s="177"/>
      <c r="C1046" s="158"/>
      <c r="D1046" s="158"/>
      <c r="E1046" s="158"/>
      <c r="F1046" s="158"/>
      <c r="G1046" s="158"/>
      <c r="H1046" s="158"/>
      <c r="I1046" s="158"/>
      <c r="J1046" s="158"/>
      <c r="K1046" s="158"/>
      <c r="L1046" s="158"/>
      <c r="M1046" s="158"/>
      <c r="N1046" s="158"/>
      <c r="O1046" s="158"/>
      <c r="P1046" s="158"/>
      <c r="Q1046" s="158"/>
      <c r="R1046" s="158"/>
      <c r="S1046" s="158"/>
      <c r="T1046" s="158"/>
      <c r="U1046" s="158"/>
      <c r="V1046" s="158"/>
      <c r="W1046" s="158"/>
      <c r="X1046" s="158"/>
    </row>
    <row r="1047">
      <c r="A1047" s="176"/>
      <c r="B1047" s="177"/>
      <c r="C1047" s="158"/>
      <c r="D1047" s="158"/>
      <c r="E1047" s="158"/>
      <c r="F1047" s="158"/>
      <c r="G1047" s="158"/>
      <c r="H1047" s="158"/>
      <c r="I1047" s="158"/>
      <c r="J1047" s="158"/>
      <c r="K1047" s="158"/>
      <c r="L1047" s="158"/>
      <c r="M1047" s="158"/>
      <c r="N1047" s="158"/>
      <c r="O1047" s="158"/>
      <c r="P1047" s="158"/>
      <c r="Q1047" s="158"/>
      <c r="R1047" s="158"/>
      <c r="S1047" s="158"/>
      <c r="T1047" s="158"/>
      <c r="U1047" s="158"/>
      <c r="V1047" s="158"/>
      <c r="W1047" s="158"/>
      <c r="X1047" s="158"/>
    </row>
    <row r="1048">
      <c r="A1048" s="176"/>
      <c r="B1048" s="177"/>
      <c r="C1048" s="158"/>
      <c r="D1048" s="158"/>
      <c r="E1048" s="158"/>
      <c r="F1048" s="158"/>
      <c r="G1048" s="158"/>
      <c r="H1048" s="158"/>
      <c r="I1048" s="158"/>
      <c r="J1048" s="158"/>
      <c r="K1048" s="158"/>
      <c r="L1048" s="158"/>
      <c r="M1048" s="158"/>
      <c r="N1048" s="158"/>
      <c r="O1048" s="158"/>
      <c r="P1048" s="158"/>
      <c r="Q1048" s="158"/>
      <c r="R1048" s="158"/>
      <c r="S1048" s="158"/>
      <c r="T1048" s="158"/>
      <c r="U1048" s="158"/>
      <c r="V1048" s="158"/>
      <c r="W1048" s="158"/>
      <c r="X1048" s="158"/>
    </row>
    <row r="1049">
      <c r="A1049" s="176"/>
      <c r="B1049" s="177"/>
      <c r="C1049" s="158"/>
      <c r="D1049" s="158"/>
      <c r="E1049" s="158"/>
      <c r="F1049" s="158"/>
      <c r="G1049" s="158"/>
      <c r="H1049" s="158"/>
      <c r="I1049" s="158"/>
      <c r="J1049" s="158"/>
      <c r="K1049" s="158"/>
      <c r="L1049" s="158"/>
      <c r="M1049" s="158"/>
      <c r="N1049" s="158"/>
      <c r="O1049" s="158"/>
      <c r="P1049" s="158"/>
      <c r="Q1049" s="158"/>
      <c r="R1049" s="158"/>
      <c r="S1049" s="158"/>
      <c r="T1049" s="158"/>
      <c r="U1049" s="158"/>
      <c r="V1049" s="158"/>
      <c r="W1049" s="158"/>
      <c r="X1049" s="158"/>
    </row>
    <row r="1050">
      <c r="A1050" s="176"/>
      <c r="B1050" s="177"/>
      <c r="C1050" s="158"/>
      <c r="D1050" s="158"/>
      <c r="E1050" s="158"/>
      <c r="F1050" s="158"/>
      <c r="G1050" s="158"/>
      <c r="H1050" s="158"/>
      <c r="I1050" s="158"/>
      <c r="J1050" s="158"/>
      <c r="K1050" s="158"/>
      <c r="L1050" s="158"/>
      <c r="M1050" s="158"/>
      <c r="N1050" s="158"/>
      <c r="O1050" s="158"/>
      <c r="P1050" s="158"/>
      <c r="Q1050" s="158"/>
      <c r="R1050" s="158"/>
      <c r="S1050" s="158"/>
      <c r="T1050" s="158"/>
      <c r="U1050" s="158"/>
      <c r="V1050" s="158"/>
      <c r="W1050" s="158"/>
      <c r="X1050" s="158"/>
    </row>
    <row r="1051">
      <c r="A1051" s="176"/>
      <c r="B1051" s="177"/>
      <c r="C1051" s="158"/>
      <c r="D1051" s="158"/>
      <c r="E1051" s="158"/>
      <c r="F1051" s="158"/>
      <c r="G1051" s="158"/>
      <c r="H1051" s="158"/>
      <c r="I1051" s="158"/>
      <c r="J1051" s="158"/>
      <c r="K1051" s="158"/>
      <c r="L1051" s="158"/>
      <c r="M1051" s="158"/>
      <c r="N1051" s="158"/>
      <c r="O1051" s="158"/>
      <c r="P1051" s="158"/>
      <c r="Q1051" s="158"/>
      <c r="R1051" s="158"/>
      <c r="S1051" s="158"/>
      <c r="T1051" s="158"/>
      <c r="U1051" s="158"/>
      <c r="V1051" s="158"/>
      <c r="W1051" s="158"/>
      <c r="X1051" s="158"/>
    </row>
    <row r="1052">
      <c r="A1052" s="176"/>
      <c r="B1052" s="177"/>
      <c r="C1052" s="158"/>
      <c r="D1052" s="158"/>
      <c r="E1052" s="158"/>
      <c r="F1052" s="158"/>
      <c r="G1052" s="158"/>
      <c r="H1052" s="158"/>
      <c r="I1052" s="158"/>
      <c r="J1052" s="158"/>
      <c r="K1052" s="158"/>
      <c r="L1052" s="158"/>
      <c r="M1052" s="158"/>
      <c r="N1052" s="158"/>
      <c r="O1052" s="158"/>
      <c r="P1052" s="158"/>
      <c r="Q1052" s="158"/>
      <c r="R1052" s="158"/>
      <c r="S1052" s="158"/>
      <c r="T1052" s="158"/>
      <c r="U1052" s="158"/>
      <c r="V1052" s="158"/>
      <c r="W1052" s="158"/>
      <c r="X1052" s="158"/>
    </row>
    <row r="1053">
      <c r="A1053" s="176"/>
      <c r="B1053" s="177"/>
      <c r="C1053" s="158"/>
      <c r="D1053" s="158"/>
      <c r="E1053" s="158"/>
      <c r="F1053" s="158"/>
      <c r="G1053" s="158"/>
      <c r="H1053" s="158"/>
      <c r="I1053" s="158"/>
      <c r="J1053" s="158"/>
      <c r="K1053" s="158"/>
      <c r="L1053" s="158"/>
      <c r="M1053" s="158"/>
      <c r="N1053" s="158"/>
      <c r="O1053" s="158"/>
      <c r="P1053" s="158"/>
      <c r="Q1053" s="158"/>
      <c r="R1053" s="158"/>
      <c r="S1053" s="158"/>
      <c r="T1053" s="158"/>
      <c r="U1053" s="158"/>
      <c r="V1053" s="158"/>
      <c r="W1053" s="158"/>
      <c r="X1053" s="158"/>
    </row>
    <row r="1054">
      <c r="A1054" s="176"/>
      <c r="B1054" s="177"/>
      <c r="C1054" s="158"/>
      <c r="D1054" s="158"/>
      <c r="E1054" s="158"/>
      <c r="F1054" s="158"/>
      <c r="G1054" s="158"/>
      <c r="H1054" s="158"/>
      <c r="I1054" s="158"/>
      <c r="J1054" s="158"/>
      <c r="K1054" s="158"/>
      <c r="L1054" s="158"/>
      <c r="M1054" s="158"/>
      <c r="N1054" s="158"/>
      <c r="O1054" s="158"/>
      <c r="P1054" s="158"/>
      <c r="Q1054" s="158"/>
      <c r="R1054" s="158"/>
      <c r="S1054" s="158"/>
      <c r="T1054" s="158"/>
      <c r="U1054" s="158"/>
      <c r="V1054" s="158"/>
      <c r="W1054" s="158"/>
      <c r="X1054" s="158"/>
    </row>
    <row r="1055">
      <c r="A1055" s="176"/>
      <c r="B1055" s="177"/>
      <c r="C1055" s="158"/>
      <c r="D1055" s="158"/>
      <c r="E1055" s="158"/>
      <c r="F1055" s="158"/>
      <c r="G1055" s="158"/>
      <c r="H1055" s="158"/>
      <c r="I1055" s="158"/>
      <c r="J1055" s="158"/>
      <c r="K1055" s="158"/>
      <c r="L1055" s="158"/>
      <c r="M1055" s="158"/>
      <c r="N1055" s="158"/>
      <c r="O1055" s="158"/>
      <c r="P1055" s="158"/>
      <c r="Q1055" s="158"/>
      <c r="R1055" s="158"/>
      <c r="S1055" s="158"/>
      <c r="T1055" s="158"/>
      <c r="U1055" s="158"/>
      <c r="V1055" s="158"/>
      <c r="W1055" s="158"/>
      <c r="X1055" s="158"/>
    </row>
    <row r="1056">
      <c r="A1056" s="176"/>
      <c r="B1056" s="177"/>
      <c r="C1056" s="158"/>
      <c r="D1056" s="158"/>
      <c r="E1056" s="158"/>
      <c r="F1056" s="158"/>
      <c r="G1056" s="158"/>
      <c r="H1056" s="158"/>
      <c r="I1056" s="158"/>
      <c r="J1056" s="158"/>
      <c r="K1056" s="158"/>
      <c r="L1056" s="158"/>
      <c r="M1056" s="158"/>
      <c r="N1056" s="158"/>
      <c r="O1056" s="158"/>
      <c r="P1056" s="158"/>
      <c r="Q1056" s="158"/>
      <c r="R1056" s="158"/>
      <c r="S1056" s="158"/>
      <c r="T1056" s="158"/>
      <c r="U1056" s="158"/>
      <c r="V1056" s="158"/>
      <c r="W1056" s="158"/>
      <c r="X1056" s="158"/>
    </row>
    <row r="1057">
      <c r="A1057" s="176"/>
      <c r="B1057" s="177"/>
      <c r="C1057" s="158"/>
      <c r="D1057" s="158"/>
      <c r="E1057" s="158"/>
      <c r="F1057" s="158"/>
      <c r="G1057" s="158"/>
      <c r="H1057" s="158"/>
      <c r="I1057" s="158"/>
      <c r="J1057" s="158"/>
      <c r="K1057" s="158"/>
      <c r="L1057" s="158"/>
      <c r="M1057" s="158"/>
      <c r="N1057" s="158"/>
      <c r="O1057" s="158"/>
      <c r="P1057" s="158"/>
      <c r="Q1057" s="158"/>
      <c r="R1057" s="158"/>
      <c r="S1057" s="158"/>
      <c r="T1057" s="158"/>
      <c r="U1057" s="158"/>
      <c r="V1057" s="158"/>
      <c r="W1057" s="158"/>
      <c r="X1057" s="158"/>
    </row>
    <row r="1058">
      <c r="A1058" s="176"/>
      <c r="B1058" s="177"/>
      <c r="C1058" s="158"/>
      <c r="D1058" s="158"/>
      <c r="E1058" s="158"/>
      <c r="F1058" s="158"/>
      <c r="G1058" s="158"/>
      <c r="H1058" s="158"/>
      <c r="I1058" s="158"/>
      <c r="J1058" s="158"/>
      <c r="K1058" s="158"/>
      <c r="L1058" s="158"/>
      <c r="M1058" s="158"/>
      <c r="N1058" s="158"/>
      <c r="O1058" s="158"/>
      <c r="P1058" s="158"/>
      <c r="Q1058" s="158"/>
      <c r="R1058" s="158"/>
      <c r="S1058" s="158"/>
      <c r="T1058" s="158"/>
      <c r="U1058" s="158"/>
      <c r="V1058" s="158"/>
      <c r="W1058" s="158"/>
      <c r="X1058" s="158"/>
    </row>
    <row r="1059">
      <c r="A1059" s="176"/>
      <c r="B1059" s="177"/>
      <c r="C1059" s="158"/>
      <c r="D1059" s="158"/>
      <c r="E1059" s="158"/>
      <c r="F1059" s="158"/>
      <c r="G1059" s="158"/>
      <c r="H1059" s="158"/>
      <c r="I1059" s="158"/>
      <c r="J1059" s="158"/>
      <c r="K1059" s="158"/>
      <c r="L1059" s="158"/>
      <c r="M1059" s="158"/>
      <c r="N1059" s="158"/>
      <c r="O1059" s="158"/>
      <c r="P1059" s="158"/>
      <c r="Q1059" s="158"/>
      <c r="R1059" s="158"/>
      <c r="S1059" s="158"/>
      <c r="T1059" s="158"/>
      <c r="U1059" s="158"/>
      <c r="V1059" s="158"/>
      <c r="W1059" s="158"/>
      <c r="X1059" s="158"/>
    </row>
    <row r="1060">
      <c r="A1060" s="176"/>
      <c r="B1060" s="177"/>
      <c r="C1060" s="158"/>
      <c r="D1060" s="158"/>
      <c r="E1060" s="158"/>
      <c r="F1060" s="158"/>
      <c r="G1060" s="158"/>
      <c r="H1060" s="158"/>
      <c r="I1060" s="158"/>
      <c r="J1060" s="158"/>
      <c r="K1060" s="158"/>
      <c r="L1060" s="158"/>
      <c r="M1060" s="158"/>
      <c r="N1060" s="158"/>
      <c r="O1060" s="158"/>
      <c r="P1060" s="158"/>
      <c r="Q1060" s="158"/>
      <c r="R1060" s="158"/>
      <c r="S1060" s="158"/>
      <c r="T1060" s="158"/>
      <c r="U1060" s="158"/>
      <c r="V1060" s="158"/>
      <c r="W1060" s="158"/>
      <c r="X1060" s="158"/>
    </row>
    <row r="1061">
      <c r="A1061" s="176"/>
      <c r="B1061" s="177"/>
      <c r="C1061" s="158"/>
      <c r="D1061" s="158"/>
      <c r="E1061" s="158"/>
      <c r="F1061" s="158"/>
      <c r="G1061" s="158"/>
      <c r="H1061" s="158"/>
      <c r="I1061" s="158"/>
      <c r="J1061" s="158"/>
      <c r="K1061" s="158"/>
      <c r="L1061" s="158"/>
      <c r="M1061" s="158"/>
      <c r="N1061" s="158"/>
      <c r="O1061" s="158"/>
      <c r="P1061" s="158"/>
      <c r="Q1061" s="158"/>
      <c r="R1061" s="158"/>
      <c r="S1061" s="158"/>
      <c r="T1061" s="158"/>
      <c r="U1061" s="158"/>
      <c r="V1061" s="158"/>
      <c r="W1061" s="158"/>
      <c r="X1061" s="158"/>
    </row>
    <row r="1062">
      <c r="A1062" s="176"/>
      <c r="B1062" s="177"/>
      <c r="C1062" s="158"/>
      <c r="D1062" s="158"/>
      <c r="E1062" s="158"/>
      <c r="F1062" s="158"/>
      <c r="G1062" s="158"/>
      <c r="H1062" s="158"/>
      <c r="I1062" s="158"/>
      <c r="J1062" s="158"/>
      <c r="K1062" s="158"/>
      <c r="L1062" s="158"/>
      <c r="M1062" s="158"/>
      <c r="N1062" s="158"/>
      <c r="O1062" s="158"/>
      <c r="P1062" s="158"/>
      <c r="Q1062" s="158"/>
      <c r="R1062" s="158"/>
      <c r="S1062" s="158"/>
      <c r="T1062" s="158"/>
      <c r="U1062" s="158"/>
      <c r="V1062" s="158"/>
      <c r="W1062" s="158"/>
      <c r="X1062" s="158"/>
    </row>
    <row r="1063">
      <c r="A1063" s="176"/>
      <c r="B1063" s="177"/>
      <c r="C1063" s="158"/>
      <c r="D1063" s="158"/>
      <c r="E1063" s="158"/>
      <c r="F1063" s="158"/>
      <c r="G1063" s="158"/>
      <c r="H1063" s="158"/>
      <c r="I1063" s="158"/>
      <c r="J1063" s="158"/>
      <c r="K1063" s="158"/>
      <c r="L1063" s="158"/>
      <c r="M1063" s="158"/>
      <c r="N1063" s="158"/>
      <c r="O1063" s="158"/>
      <c r="P1063" s="158"/>
      <c r="Q1063" s="158"/>
      <c r="R1063" s="158"/>
      <c r="S1063" s="158"/>
      <c r="T1063" s="158"/>
      <c r="U1063" s="158"/>
      <c r="V1063" s="158"/>
      <c r="W1063" s="158"/>
      <c r="X1063" s="158"/>
    </row>
    <row r="1064">
      <c r="A1064" s="176"/>
      <c r="B1064" s="177"/>
      <c r="C1064" s="158"/>
      <c r="D1064" s="158"/>
      <c r="E1064" s="158"/>
      <c r="F1064" s="158"/>
      <c r="G1064" s="158"/>
      <c r="H1064" s="158"/>
      <c r="I1064" s="158"/>
      <c r="J1064" s="158"/>
      <c r="K1064" s="158"/>
      <c r="L1064" s="158"/>
      <c r="M1064" s="158"/>
      <c r="N1064" s="158"/>
      <c r="O1064" s="158"/>
      <c r="P1064" s="158"/>
      <c r="Q1064" s="158"/>
      <c r="R1064" s="158"/>
      <c r="S1064" s="158"/>
      <c r="T1064" s="158"/>
      <c r="U1064" s="158"/>
      <c r="V1064" s="158"/>
      <c r="W1064" s="158"/>
      <c r="X1064" s="158"/>
    </row>
    <row r="1065">
      <c r="A1065" s="176"/>
      <c r="B1065" s="177"/>
      <c r="C1065" s="158"/>
      <c r="D1065" s="158"/>
      <c r="E1065" s="158"/>
      <c r="F1065" s="158"/>
      <c r="G1065" s="158"/>
      <c r="H1065" s="158"/>
      <c r="I1065" s="158"/>
      <c r="J1065" s="158"/>
      <c r="K1065" s="158"/>
      <c r="L1065" s="158"/>
      <c r="M1065" s="158"/>
      <c r="N1065" s="158"/>
      <c r="O1065" s="158"/>
      <c r="P1065" s="158"/>
      <c r="Q1065" s="158"/>
      <c r="R1065" s="158"/>
      <c r="S1065" s="158"/>
      <c r="T1065" s="158"/>
      <c r="U1065" s="158"/>
      <c r="V1065" s="158"/>
      <c r="W1065" s="158"/>
      <c r="X1065" s="158"/>
    </row>
    <row r="1066">
      <c r="A1066" s="176"/>
      <c r="B1066" s="177"/>
      <c r="C1066" s="158"/>
      <c r="D1066" s="158"/>
      <c r="E1066" s="158"/>
      <c r="F1066" s="158"/>
      <c r="G1066" s="158"/>
      <c r="H1066" s="158"/>
      <c r="I1066" s="158"/>
      <c r="J1066" s="158"/>
      <c r="K1066" s="158"/>
      <c r="L1066" s="158"/>
      <c r="M1066" s="158"/>
      <c r="N1066" s="158"/>
      <c r="O1066" s="158"/>
      <c r="P1066" s="158"/>
      <c r="Q1066" s="158"/>
      <c r="R1066" s="158"/>
      <c r="S1066" s="158"/>
      <c r="T1066" s="158"/>
      <c r="U1066" s="158"/>
      <c r="V1066" s="158"/>
      <c r="W1066" s="158"/>
      <c r="X1066" s="158"/>
    </row>
    <row r="1067">
      <c r="A1067" s="176"/>
      <c r="B1067" s="177"/>
      <c r="C1067" s="158"/>
      <c r="D1067" s="158"/>
      <c r="E1067" s="158"/>
      <c r="F1067" s="158"/>
      <c r="G1067" s="158"/>
      <c r="H1067" s="158"/>
      <c r="I1067" s="158"/>
      <c r="J1067" s="158"/>
      <c r="K1067" s="158"/>
      <c r="L1067" s="158"/>
      <c r="M1067" s="158"/>
      <c r="N1067" s="158"/>
      <c r="O1067" s="158"/>
      <c r="P1067" s="158"/>
      <c r="Q1067" s="158"/>
      <c r="R1067" s="158"/>
      <c r="S1067" s="158"/>
      <c r="T1067" s="158"/>
      <c r="U1067" s="158"/>
      <c r="V1067" s="158"/>
      <c r="W1067" s="158"/>
      <c r="X1067" s="158"/>
    </row>
    <row r="1068">
      <c r="A1068" s="176"/>
      <c r="B1068" s="177"/>
      <c r="C1068" s="158"/>
      <c r="D1068" s="158"/>
      <c r="E1068" s="158"/>
      <c r="G1068" s="158"/>
      <c r="H1068" s="158"/>
      <c r="I1068" s="158"/>
      <c r="J1068" s="158"/>
      <c r="K1068" s="158"/>
      <c r="L1068" s="158"/>
      <c r="M1068" s="158"/>
      <c r="N1068" s="158"/>
      <c r="O1068" s="158"/>
      <c r="P1068" s="158"/>
      <c r="Q1068" s="158"/>
      <c r="R1068" s="158"/>
      <c r="S1068" s="158"/>
      <c r="T1068" s="158"/>
      <c r="U1068" s="158"/>
      <c r="V1068" s="158"/>
      <c r="W1068" s="158"/>
      <c r="X1068" s="158"/>
    </row>
    <row r="1069">
      <c r="A1069" s="176"/>
      <c r="B1069" s="177"/>
      <c r="C1069" s="158"/>
      <c r="D1069" s="158"/>
      <c r="E1069" s="158"/>
      <c r="F1069" s="158"/>
      <c r="G1069" s="158"/>
      <c r="H1069" s="158"/>
      <c r="I1069" s="158"/>
      <c r="J1069" s="158"/>
      <c r="K1069" s="158"/>
      <c r="L1069" s="158"/>
      <c r="M1069" s="158"/>
      <c r="N1069" s="158"/>
      <c r="O1069" s="158"/>
      <c r="P1069" s="158"/>
      <c r="Q1069" s="158"/>
      <c r="R1069" s="158"/>
      <c r="S1069" s="158"/>
      <c r="T1069" s="158"/>
      <c r="U1069" s="158"/>
      <c r="V1069" s="158"/>
      <c r="W1069" s="158"/>
      <c r="X1069" s="158"/>
    </row>
    <row r="1070">
      <c r="A1070" s="176"/>
      <c r="B1070" s="177"/>
      <c r="C1070" s="158"/>
      <c r="D1070" s="158"/>
      <c r="E1070" s="158"/>
      <c r="F1070" s="158"/>
      <c r="G1070" s="158"/>
      <c r="H1070" s="158"/>
      <c r="I1070" s="158"/>
      <c r="J1070" s="158"/>
      <c r="K1070" s="158"/>
      <c r="L1070" s="158"/>
      <c r="M1070" s="158"/>
      <c r="N1070" s="158"/>
      <c r="O1070" s="158"/>
      <c r="P1070" s="158"/>
      <c r="Q1070" s="158"/>
      <c r="R1070" s="158"/>
      <c r="S1070" s="158"/>
      <c r="T1070" s="158"/>
      <c r="U1070" s="158"/>
      <c r="V1070" s="158"/>
      <c r="W1070" s="158"/>
      <c r="X1070" s="158"/>
    </row>
    <row r="1071">
      <c r="A1071" s="176"/>
      <c r="B1071" s="177"/>
      <c r="C1071" s="158"/>
      <c r="D1071" s="158"/>
      <c r="E1071" s="158"/>
      <c r="F1071" s="158"/>
      <c r="G1071" s="158"/>
      <c r="H1071" s="158"/>
      <c r="I1071" s="158"/>
      <c r="J1071" s="158"/>
      <c r="K1071" s="158"/>
      <c r="L1071" s="158"/>
      <c r="M1071" s="158"/>
      <c r="N1071" s="158"/>
      <c r="O1071" s="158"/>
      <c r="P1071" s="158"/>
      <c r="Q1071" s="158"/>
      <c r="R1071" s="158"/>
      <c r="S1071" s="158"/>
      <c r="T1071" s="158"/>
      <c r="U1071" s="158"/>
      <c r="V1071" s="158"/>
      <c r="W1071" s="158"/>
      <c r="X1071" s="158"/>
    </row>
    <row r="1072">
      <c r="A1072" s="176"/>
      <c r="B1072" s="177"/>
      <c r="C1072" s="158"/>
      <c r="D1072" s="158"/>
      <c r="E1072" s="158"/>
      <c r="F1072" s="158"/>
      <c r="G1072" s="158"/>
      <c r="H1072" s="158"/>
      <c r="I1072" s="158"/>
      <c r="J1072" s="158"/>
      <c r="K1072" s="158"/>
      <c r="L1072" s="158"/>
      <c r="M1072" s="158"/>
      <c r="N1072" s="158"/>
      <c r="O1072" s="158"/>
      <c r="P1072" s="158"/>
      <c r="Q1072" s="158"/>
      <c r="R1072" s="158"/>
      <c r="S1072" s="158"/>
      <c r="T1072" s="158"/>
      <c r="U1072" s="158"/>
      <c r="V1072" s="158"/>
      <c r="W1072" s="158"/>
      <c r="X1072" s="158"/>
    </row>
    <row r="1073">
      <c r="A1073" s="176"/>
      <c r="B1073" s="177"/>
      <c r="C1073" s="158"/>
      <c r="D1073" s="158"/>
      <c r="E1073" s="158"/>
      <c r="F1073" s="158"/>
      <c r="G1073" s="158"/>
      <c r="H1073" s="158"/>
      <c r="I1073" s="158"/>
      <c r="J1073" s="158"/>
      <c r="K1073" s="158"/>
      <c r="L1073" s="158"/>
      <c r="M1073" s="158"/>
      <c r="N1073" s="158"/>
      <c r="O1073" s="158"/>
      <c r="P1073" s="158"/>
      <c r="Q1073" s="158"/>
      <c r="R1073" s="158"/>
      <c r="S1073" s="158"/>
      <c r="T1073" s="158"/>
      <c r="U1073" s="158"/>
      <c r="V1073" s="158"/>
      <c r="W1073" s="158"/>
      <c r="X1073" s="158"/>
    </row>
    <row r="1074">
      <c r="A1074" s="176"/>
      <c r="B1074" s="177"/>
      <c r="C1074" s="158"/>
      <c r="D1074" s="158"/>
      <c r="E1074" s="158"/>
      <c r="F1074" s="158"/>
      <c r="G1074" s="158"/>
      <c r="H1074" s="158"/>
      <c r="I1074" s="158"/>
      <c r="J1074" s="158"/>
      <c r="K1074" s="158"/>
      <c r="L1074" s="158"/>
      <c r="M1074" s="158"/>
      <c r="N1074" s="158"/>
      <c r="O1074" s="158"/>
      <c r="P1074" s="158"/>
      <c r="Q1074" s="158"/>
      <c r="R1074" s="158"/>
      <c r="S1074" s="158"/>
      <c r="T1074" s="158"/>
      <c r="U1074" s="158"/>
      <c r="V1074" s="158"/>
      <c r="W1074" s="158"/>
      <c r="X1074" s="158"/>
    </row>
    <row r="1075">
      <c r="A1075" s="176"/>
      <c r="B1075" s="177"/>
      <c r="C1075" s="158"/>
      <c r="D1075" s="158"/>
      <c r="E1075" s="158"/>
      <c r="F1075" s="158"/>
      <c r="G1075" s="158"/>
      <c r="H1075" s="158"/>
      <c r="I1075" s="158"/>
      <c r="J1075" s="158"/>
      <c r="K1075" s="158"/>
      <c r="L1075" s="158"/>
      <c r="M1075" s="158"/>
      <c r="N1075" s="158"/>
      <c r="O1075" s="158"/>
      <c r="P1075" s="158"/>
      <c r="Q1075" s="158"/>
      <c r="R1075" s="158"/>
      <c r="S1075" s="158"/>
      <c r="T1075" s="158"/>
      <c r="U1075" s="158"/>
      <c r="V1075" s="158"/>
      <c r="W1075" s="158"/>
      <c r="X1075" s="158"/>
    </row>
    <row r="1076">
      <c r="A1076" s="176"/>
      <c r="B1076" s="177"/>
      <c r="C1076" s="158"/>
      <c r="D1076" s="158"/>
      <c r="E1076" s="158"/>
      <c r="F1076" s="158"/>
      <c r="G1076" s="158"/>
      <c r="H1076" s="158"/>
      <c r="I1076" s="158"/>
      <c r="J1076" s="158"/>
      <c r="K1076" s="158"/>
      <c r="L1076" s="158"/>
      <c r="M1076" s="158"/>
      <c r="N1076" s="158"/>
      <c r="O1076" s="158"/>
      <c r="P1076" s="158"/>
      <c r="Q1076" s="158"/>
      <c r="R1076" s="158"/>
      <c r="S1076" s="158"/>
      <c r="T1076" s="158"/>
      <c r="U1076" s="158"/>
      <c r="V1076" s="158"/>
      <c r="W1076" s="158"/>
      <c r="X1076" s="158"/>
    </row>
    <row r="1077">
      <c r="A1077" s="176"/>
      <c r="B1077" s="177"/>
      <c r="C1077" s="158"/>
      <c r="D1077" s="158"/>
      <c r="E1077" s="158"/>
      <c r="F1077" s="158"/>
      <c r="G1077" s="158"/>
      <c r="H1077" s="158"/>
      <c r="I1077" s="158"/>
      <c r="J1077" s="158"/>
      <c r="K1077" s="158"/>
      <c r="L1077" s="158"/>
      <c r="M1077" s="158"/>
      <c r="N1077" s="158"/>
      <c r="O1077" s="158"/>
      <c r="P1077" s="158"/>
      <c r="Q1077" s="158"/>
      <c r="R1077" s="158"/>
      <c r="S1077" s="158"/>
      <c r="T1077" s="158"/>
      <c r="U1077" s="158"/>
      <c r="V1077" s="158"/>
      <c r="W1077" s="158"/>
      <c r="X1077" s="158"/>
    </row>
    <row r="1078">
      <c r="A1078" s="176"/>
      <c r="B1078" s="177"/>
      <c r="C1078" s="158"/>
      <c r="D1078" s="158"/>
      <c r="E1078" s="158"/>
      <c r="F1078" s="158"/>
      <c r="G1078" s="158"/>
      <c r="H1078" s="158"/>
      <c r="I1078" s="158"/>
      <c r="J1078" s="158"/>
      <c r="K1078" s="158"/>
      <c r="L1078" s="158"/>
      <c r="M1078" s="158"/>
      <c r="N1078" s="158"/>
      <c r="O1078" s="158"/>
      <c r="P1078" s="158"/>
      <c r="Q1078" s="158"/>
      <c r="R1078" s="158"/>
      <c r="S1078" s="158"/>
      <c r="T1078" s="158"/>
      <c r="U1078" s="158"/>
      <c r="V1078" s="158"/>
      <c r="W1078" s="158"/>
      <c r="X1078" s="158"/>
    </row>
    <row r="1079">
      <c r="A1079" s="176"/>
      <c r="B1079" s="177"/>
      <c r="C1079" s="158"/>
      <c r="D1079" s="158"/>
      <c r="E1079" s="158"/>
      <c r="F1079" s="158"/>
      <c r="G1079" s="158"/>
      <c r="H1079" s="158"/>
      <c r="I1079" s="158"/>
      <c r="J1079" s="158"/>
      <c r="K1079" s="158"/>
      <c r="L1079" s="158"/>
      <c r="M1079" s="158"/>
      <c r="N1079" s="158"/>
      <c r="O1079" s="158"/>
      <c r="P1079" s="158"/>
      <c r="Q1079" s="158"/>
      <c r="R1079" s="158"/>
      <c r="S1079" s="158"/>
      <c r="T1079" s="158"/>
      <c r="U1079" s="158"/>
      <c r="V1079" s="158"/>
      <c r="W1079" s="158"/>
      <c r="X1079" s="158"/>
    </row>
    <row r="1080">
      <c r="A1080" s="176"/>
      <c r="B1080" s="177"/>
      <c r="C1080" s="158"/>
      <c r="D1080" s="158"/>
      <c r="E1080" s="158"/>
      <c r="F1080" s="158"/>
      <c r="G1080" s="158"/>
      <c r="H1080" s="158"/>
      <c r="I1080" s="158"/>
      <c r="J1080" s="158"/>
      <c r="K1080" s="158"/>
      <c r="L1080" s="158"/>
      <c r="M1080" s="158"/>
      <c r="N1080" s="158"/>
      <c r="O1080" s="158"/>
      <c r="P1080" s="158"/>
      <c r="Q1080" s="158"/>
      <c r="R1080" s="158"/>
      <c r="S1080" s="158"/>
      <c r="T1080" s="158"/>
      <c r="U1080" s="158"/>
      <c r="V1080" s="158"/>
      <c r="W1080" s="158"/>
      <c r="X1080" s="158"/>
    </row>
    <row r="1081">
      <c r="A1081" s="176"/>
      <c r="B1081" s="177"/>
      <c r="C1081" s="158"/>
      <c r="D1081" s="158"/>
      <c r="E1081" s="158"/>
      <c r="F1081" s="158"/>
      <c r="G1081" s="158"/>
      <c r="H1081" s="158"/>
      <c r="I1081" s="158"/>
      <c r="J1081" s="158"/>
      <c r="K1081" s="158"/>
      <c r="L1081" s="158"/>
      <c r="M1081" s="158"/>
      <c r="N1081" s="158"/>
      <c r="O1081" s="158"/>
      <c r="P1081" s="158"/>
      <c r="Q1081" s="158"/>
      <c r="R1081" s="158"/>
      <c r="S1081" s="158"/>
      <c r="T1081" s="158"/>
      <c r="U1081" s="158"/>
      <c r="V1081" s="158"/>
      <c r="W1081" s="158"/>
      <c r="X1081" s="158"/>
    </row>
    <row r="1082">
      <c r="A1082" s="176"/>
      <c r="B1082" s="177"/>
      <c r="C1082" s="158"/>
      <c r="D1082" s="158"/>
      <c r="E1082" s="158"/>
      <c r="F1082" s="158"/>
      <c r="G1082" s="158"/>
      <c r="H1082" s="158"/>
      <c r="I1082" s="158"/>
      <c r="J1082" s="158"/>
      <c r="K1082" s="158"/>
      <c r="L1082" s="158"/>
      <c r="M1082" s="158"/>
      <c r="N1082" s="158"/>
      <c r="O1082" s="158"/>
      <c r="P1082" s="158"/>
      <c r="Q1082" s="158"/>
      <c r="R1082" s="158"/>
      <c r="S1082" s="158"/>
      <c r="T1082" s="158"/>
      <c r="U1082" s="158"/>
      <c r="V1082" s="158"/>
      <c r="W1082" s="158"/>
      <c r="X1082" s="158"/>
    </row>
    <row r="1083">
      <c r="A1083" s="176"/>
      <c r="B1083" s="177"/>
      <c r="C1083" s="158"/>
      <c r="D1083" s="158"/>
      <c r="E1083" s="158"/>
      <c r="F1083" s="158"/>
      <c r="G1083" s="158"/>
      <c r="H1083" s="158"/>
      <c r="I1083" s="158"/>
      <c r="J1083" s="158"/>
      <c r="K1083" s="158"/>
      <c r="L1083" s="158"/>
      <c r="M1083" s="158"/>
      <c r="N1083" s="158"/>
      <c r="O1083" s="158"/>
      <c r="P1083" s="158"/>
      <c r="Q1083" s="158"/>
      <c r="R1083" s="158"/>
      <c r="S1083" s="158"/>
      <c r="T1083" s="158"/>
      <c r="U1083" s="158"/>
      <c r="V1083" s="158"/>
      <c r="W1083" s="158"/>
      <c r="X1083" s="158"/>
    </row>
    <row r="1084">
      <c r="A1084" s="176"/>
      <c r="B1084" s="177"/>
      <c r="C1084" s="158"/>
      <c r="D1084" s="158"/>
      <c r="E1084" s="158"/>
      <c r="G1084" s="158"/>
      <c r="H1084" s="158"/>
      <c r="I1084" s="158"/>
      <c r="J1084" s="158"/>
      <c r="K1084" s="158"/>
      <c r="L1084" s="158"/>
      <c r="M1084" s="158"/>
      <c r="N1084" s="158"/>
      <c r="O1084" s="158"/>
      <c r="P1084" s="158"/>
      <c r="Q1084" s="158"/>
      <c r="R1084" s="158"/>
      <c r="S1084" s="158"/>
      <c r="T1084" s="158"/>
      <c r="U1084" s="158"/>
      <c r="V1084" s="158"/>
      <c r="W1084" s="158"/>
      <c r="X1084" s="158"/>
    </row>
    <row r="1085">
      <c r="A1085" s="176"/>
      <c r="B1085" s="177"/>
      <c r="C1085" s="158"/>
      <c r="D1085" s="158"/>
      <c r="E1085" s="158"/>
      <c r="F1085" s="158"/>
      <c r="G1085" s="158"/>
      <c r="H1085" s="158"/>
      <c r="I1085" s="158"/>
      <c r="J1085" s="158"/>
      <c r="K1085" s="158"/>
      <c r="L1085" s="158"/>
      <c r="M1085" s="158"/>
      <c r="N1085" s="158"/>
      <c r="O1085" s="158"/>
      <c r="P1085" s="158"/>
      <c r="Q1085" s="158"/>
      <c r="R1085" s="158"/>
      <c r="S1085" s="158"/>
      <c r="T1085" s="158"/>
      <c r="U1085" s="158"/>
      <c r="V1085" s="158"/>
      <c r="W1085" s="158"/>
      <c r="X1085" s="158"/>
    </row>
    <row r="1086">
      <c r="A1086" s="176"/>
      <c r="B1086" s="177"/>
      <c r="C1086" s="158"/>
      <c r="D1086" s="158"/>
      <c r="E1086" s="158"/>
      <c r="F1086" s="158"/>
      <c r="G1086" s="158"/>
      <c r="H1086" s="158"/>
      <c r="I1086" s="158"/>
      <c r="J1086" s="158"/>
      <c r="K1086" s="158"/>
      <c r="L1086" s="158"/>
      <c r="M1086" s="158"/>
      <c r="N1086" s="158"/>
      <c r="O1086" s="158"/>
      <c r="P1086" s="158"/>
      <c r="Q1086" s="158"/>
      <c r="R1086" s="158"/>
      <c r="S1086" s="158"/>
      <c r="T1086" s="158"/>
      <c r="U1086" s="158"/>
      <c r="V1086" s="158"/>
      <c r="W1086" s="158"/>
      <c r="X1086" s="158"/>
    </row>
    <row r="1087">
      <c r="A1087" s="176"/>
      <c r="B1087" s="177"/>
      <c r="C1087" s="158"/>
      <c r="D1087" s="158"/>
      <c r="E1087" s="158"/>
      <c r="F1087" s="158"/>
      <c r="G1087" s="158"/>
      <c r="H1087" s="158"/>
      <c r="I1087" s="158"/>
      <c r="J1087" s="158"/>
      <c r="K1087" s="158"/>
      <c r="L1087" s="158"/>
      <c r="M1087" s="158"/>
      <c r="N1087" s="158"/>
      <c r="O1087" s="158"/>
      <c r="P1087" s="158"/>
      <c r="Q1087" s="158"/>
      <c r="R1087" s="158"/>
      <c r="S1087" s="158"/>
      <c r="T1087" s="158"/>
      <c r="U1087" s="158"/>
      <c r="V1087" s="158"/>
      <c r="W1087" s="158"/>
      <c r="X1087" s="158"/>
    </row>
    <row r="1088">
      <c r="A1088" s="176"/>
      <c r="B1088" s="177"/>
      <c r="C1088" s="158"/>
      <c r="D1088" s="158"/>
      <c r="E1088" s="158"/>
      <c r="G1088" s="158"/>
      <c r="H1088" s="158"/>
      <c r="I1088" s="158"/>
      <c r="J1088" s="158"/>
      <c r="K1088" s="158"/>
      <c r="L1088" s="158"/>
      <c r="M1088" s="158"/>
      <c r="N1088" s="158"/>
      <c r="O1088" s="158"/>
      <c r="P1088" s="158"/>
      <c r="Q1088" s="158"/>
      <c r="R1088" s="158"/>
      <c r="S1088" s="158"/>
      <c r="T1088" s="158"/>
      <c r="U1088" s="158"/>
      <c r="V1088" s="158"/>
      <c r="W1088" s="158"/>
      <c r="X1088" s="158"/>
    </row>
    <row r="1089">
      <c r="A1089" s="176"/>
      <c r="B1089" s="177"/>
      <c r="C1089" s="158"/>
      <c r="D1089" s="158"/>
      <c r="E1089" s="158"/>
      <c r="F1089" s="158"/>
      <c r="G1089" s="158"/>
      <c r="H1089" s="158"/>
      <c r="I1089" s="158"/>
      <c r="J1089" s="158"/>
      <c r="K1089" s="158"/>
      <c r="L1089" s="158"/>
      <c r="M1089" s="158"/>
      <c r="N1089" s="158"/>
      <c r="O1089" s="158"/>
      <c r="P1089" s="158"/>
      <c r="Q1089" s="158"/>
      <c r="R1089" s="158"/>
      <c r="S1089" s="158"/>
      <c r="T1089" s="158"/>
      <c r="U1089" s="158"/>
      <c r="V1089" s="158"/>
      <c r="W1089" s="158"/>
      <c r="X1089" s="158"/>
    </row>
    <row r="1090">
      <c r="A1090" s="176"/>
      <c r="B1090" s="177"/>
      <c r="C1090" s="158"/>
      <c r="D1090" s="158"/>
      <c r="E1090" s="158"/>
      <c r="F1090" s="158"/>
      <c r="G1090" s="158"/>
      <c r="H1090" s="158"/>
      <c r="I1090" s="158"/>
      <c r="J1090" s="158"/>
      <c r="K1090" s="158"/>
      <c r="L1090" s="158"/>
      <c r="M1090" s="158"/>
      <c r="N1090" s="158"/>
      <c r="O1090" s="158"/>
      <c r="P1090" s="158"/>
      <c r="Q1090" s="158"/>
      <c r="R1090" s="158"/>
      <c r="S1090" s="158"/>
      <c r="T1090" s="158"/>
      <c r="U1090" s="158"/>
      <c r="V1090" s="158"/>
      <c r="W1090" s="158"/>
      <c r="X1090" s="158"/>
    </row>
    <row r="1091">
      <c r="A1091" s="176"/>
      <c r="B1091" s="177"/>
      <c r="C1091" s="158"/>
      <c r="D1091" s="158"/>
      <c r="E1091" s="158"/>
      <c r="F1091" s="158"/>
      <c r="G1091" s="158"/>
      <c r="H1091" s="158"/>
      <c r="I1091" s="158"/>
      <c r="J1091" s="158"/>
      <c r="K1091" s="158"/>
      <c r="L1091" s="158"/>
      <c r="M1091" s="158"/>
      <c r="N1091" s="158"/>
      <c r="O1091" s="158"/>
      <c r="P1091" s="158"/>
      <c r="Q1091" s="158"/>
      <c r="R1091" s="158"/>
      <c r="S1091" s="158"/>
      <c r="T1091" s="158"/>
      <c r="U1091" s="158"/>
      <c r="V1091" s="158"/>
      <c r="W1091" s="158"/>
      <c r="X1091" s="158"/>
    </row>
    <row r="1092">
      <c r="A1092" s="176"/>
      <c r="B1092" s="177"/>
      <c r="C1092" s="158"/>
      <c r="D1092" s="158"/>
      <c r="E1092" s="158"/>
      <c r="F1092" s="158"/>
      <c r="G1092" s="158"/>
      <c r="H1092" s="158"/>
      <c r="I1092" s="158"/>
      <c r="J1092" s="158"/>
      <c r="K1092" s="158"/>
      <c r="L1092" s="158"/>
      <c r="M1092" s="158"/>
      <c r="N1092" s="158"/>
      <c r="O1092" s="158"/>
      <c r="P1092" s="158"/>
      <c r="Q1092" s="158"/>
      <c r="R1092" s="158"/>
      <c r="S1092" s="158"/>
      <c r="T1092" s="158"/>
      <c r="U1092" s="158"/>
      <c r="V1092" s="158"/>
      <c r="W1092" s="158"/>
      <c r="X1092" s="158"/>
    </row>
    <row r="1093">
      <c r="A1093" s="176"/>
      <c r="B1093" s="177"/>
      <c r="C1093" s="158"/>
      <c r="D1093" s="158"/>
      <c r="E1093" s="158"/>
      <c r="F1093" s="158"/>
      <c r="G1093" s="158"/>
      <c r="H1093" s="158"/>
      <c r="I1093" s="158"/>
      <c r="J1093" s="158"/>
      <c r="K1093" s="158"/>
      <c r="L1093" s="158"/>
      <c r="M1093" s="158"/>
      <c r="N1093" s="158"/>
      <c r="O1093" s="158"/>
      <c r="P1093" s="158"/>
      <c r="Q1093" s="158"/>
      <c r="R1093" s="158"/>
      <c r="S1093" s="158"/>
      <c r="T1093" s="158"/>
      <c r="U1093" s="158"/>
      <c r="V1093" s="158"/>
      <c r="W1093" s="158"/>
      <c r="X1093" s="158"/>
    </row>
    <row r="1094">
      <c r="A1094" s="176"/>
      <c r="B1094" s="177"/>
      <c r="C1094" s="158"/>
      <c r="D1094" s="158"/>
      <c r="E1094" s="158"/>
      <c r="F1094" s="158"/>
      <c r="G1094" s="158"/>
      <c r="H1094" s="158"/>
      <c r="I1094" s="158"/>
      <c r="J1094" s="158"/>
      <c r="K1094" s="158"/>
      <c r="L1094" s="158"/>
      <c r="M1094" s="158"/>
      <c r="N1094" s="158"/>
      <c r="O1094" s="158"/>
      <c r="P1094" s="158"/>
      <c r="Q1094" s="158"/>
      <c r="R1094" s="158"/>
      <c r="S1094" s="158"/>
      <c r="T1094" s="158"/>
      <c r="U1094" s="158"/>
      <c r="V1094" s="158"/>
      <c r="W1094" s="158"/>
      <c r="X1094" s="158"/>
    </row>
    <row r="1095">
      <c r="A1095" s="176"/>
      <c r="B1095" s="177"/>
      <c r="C1095" s="158"/>
      <c r="D1095" s="158"/>
      <c r="E1095" s="158"/>
      <c r="F1095" s="158"/>
      <c r="G1095" s="158"/>
      <c r="H1095" s="158"/>
      <c r="I1095" s="158"/>
      <c r="J1095" s="158"/>
      <c r="K1095" s="158"/>
      <c r="L1095" s="158"/>
      <c r="M1095" s="158"/>
      <c r="N1095" s="158"/>
      <c r="O1095" s="158"/>
      <c r="P1095" s="158"/>
      <c r="Q1095" s="158"/>
      <c r="R1095" s="158"/>
      <c r="S1095" s="158"/>
      <c r="T1095" s="158"/>
      <c r="U1095" s="158"/>
      <c r="V1095" s="158"/>
      <c r="W1095" s="158"/>
      <c r="X1095" s="158"/>
    </row>
    <row r="1096">
      <c r="A1096" s="176"/>
      <c r="B1096" s="177"/>
      <c r="C1096" s="158"/>
      <c r="D1096" s="158"/>
      <c r="E1096" s="158"/>
      <c r="F1096" s="158"/>
      <c r="G1096" s="158"/>
      <c r="H1096" s="158"/>
      <c r="I1096" s="158"/>
      <c r="J1096" s="158"/>
      <c r="K1096" s="158"/>
      <c r="L1096" s="158"/>
      <c r="M1096" s="158"/>
      <c r="N1096" s="158"/>
      <c r="O1096" s="158"/>
      <c r="P1096" s="158"/>
      <c r="Q1096" s="158"/>
      <c r="R1096" s="158"/>
      <c r="S1096" s="158"/>
      <c r="T1096" s="158"/>
      <c r="U1096" s="158"/>
      <c r="V1096" s="158"/>
      <c r="W1096" s="158"/>
      <c r="X1096" s="158"/>
    </row>
    <row r="1097">
      <c r="A1097" s="176"/>
      <c r="B1097" s="177"/>
      <c r="C1097" s="158"/>
      <c r="D1097" s="158"/>
      <c r="E1097" s="158"/>
      <c r="F1097" s="158"/>
      <c r="G1097" s="158"/>
      <c r="H1097" s="158"/>
      <c r="I1097" s="158"/>
      <c r="J1097" s="158"/>
      <c r="K1097" s="158"/>
      <c r="L1097" s="158"/>
      <c r="M1097" s="158"/>
      <c r="N1097" s="158"/>
      <c r="O1097" s="158"/>
      <c r="P1097" s="158"/>
      <c r="Q1097" s="158"/>
      <c r="R1097" s="158"/>
      <c r="S1097" s="158"/>
      <c r="T1097" s="158"/>
      <c r="U1097" s="158"/>
      <c r="V1097" s="158"/>
      <c r="W1097" s="158"/>
      <c r="X1097" s="158"/>
    </row>
    <row r="1098">
      <c r="A1098" s="176"/>
      <c r="B1098" s="177"/>
      <c r="C1098" s="158"/>
      <c r="D1098" s="158"/>
      <c r="E1098" s="158"/>
      <c r="F1098" s="158"/>
      <c r="G1098" s="158"/>
      <c r="H1098" s="158"/>
      <c r="I1098" s="158"/>
      <c r="J1098" s="158"/>
      <c r="K1098" s="158"/>
      <c r="L1098" s="158"/>
      <c r="M1098" s="158"/>
      <c r="N1098" s="158"/>
      <c r="O1098" s="158"/>
      <c r="P1098" s="158"/>
      <c r="Q1098" s="158"/>
      <c r="R1098" s="158"/>
      <c r="S1098" s="158"/>
      <c r="T1098" s="158"/>
      <c r="U1098" s="158"/>
      <c r="V1098" s="158"/>
      <c r="W1098" s="158"/>
      <c r="X1098" s="158"/>
    </row>
    <row r="1099">
      <c r="A1099" s="176"/>
      <c r="B1099" s="177"/>
      <c r="C1099" s="158"/>
      <c r="D1099" s="158"/>
      <c r="E1099" s="158"/>
      <c r="F1099" s="158"/>
      <c r="G1099" s="158"/>
      <c r="H1099" s="158"/>
      <c r="I1099" s="158"/>
      <c r="J1099" s="158"/>
      <c r="K1099" s="158"/>
      <c r="L1099" s="158"/>
      <c r="M1099" s="158"/>
      <c r="N1099" s="158"/>
      <c r="O1099" s="158"/>
      <c r="P1099" s="158"/>
      <c r="Q1099" s="158"/>
      <c r="R1099" s="158"/>
      <c r="S1099" s="158"/>
      <c r="T1099" s="158"/>
      <c r="U1099" s="158"/>
      <c r="V1099" s="158"/>
      <c r="W1099" s="158"/>
      <c r="X1099" s="158"/>
    </row>
    <row r="1100">
      <c r="A1100" s="176"/>
      <c r="B1100" s="177"/>
      <c r="C1100" s="158"/>
      <c r="D1100" s="158"/>
      <c r="E1100" s="158"/>
      <c r="F1100" s="158"/>
      <c r="G1100" s="158"/>
      <c r="H1100" s="158"/>
      <c r="I1100" s="158"/>
      <c r="J1100" s="158"/>
      <c r="K1100" s="158"/>
      <c r="L1100" s="158"/>
      <c r="M1100" s="158"/>
      <c r="N1100" s="158"/>
      <c r="O1100" s="158"/>
      <c r="P1100" s="158"/>
      <c r="Q1100" s="158"/>
      <c r="R1100" s="158"/>
      <c r="S1100" s="158"/>
      <c r="T1100" s="158"/>
      <c r="U1100" s="158"/>
      <c r="V1100" s="158"/>
      <c r="W1100" s="158"/>
      <c r="X1100" s="158"/>
    </row>
    <row r="1101">
      <c r="A1101" s="176"/>
      <c r="B1101" s="177"/>
      <c r="C1101" s="158"/>
      <c r="D1101" s="158"/>
      <c r="E1101" s="158"/>
      <c r="F1101" s="158"/>
      <c r="G1101" s="158"/>
      <c r="H1101" s="158"/>
      <c r="I1101" s="158"/>
      <c r="J1101" s="158"/>
      <c r="K1101" s="158"/>
      <c r="L1101" s="158"/>
      <c r="M1101" s="158"/>
      <c r="N1101" s="158"/>
      <c r="O1101" s="158"/>
      <c r="P1101" s="158"/>
      <c r="Q1101" s="158"/>
      <c r="R1101" s="158"/>
      <c r="S1101" s="158"/>
      <c r="T1101" s="158"/>
      <c r="U1101" s="158"/>
      <c r="V1101" s="158"/>
      <c r="W1101" s="158"/>
      <c r="X1101" s="158"/>
    </row>
    <row r="1102">
      <c r="A1102" s="176"/>
      <c r="B1102" s="177"/>
      <c r="C1102" s="158"/>
      <c r="D1102" s="158"/>
      <c r="E1102" s="158"/>
      <c r="F1102" s="158"/>
      <c r="G1102" s="158"/>
      <c r="H1102" s="158"/>
      <c r="I1102" s="158"/>
      <c r="J1102" s="158"/>
      <c r="K1102" s="158"/>
      <c r="L1102" s="158"/>
      <c r="M1102" s="158"/>
      <c r="N1102" s="158"/>
      <c r="O1102" s="158"/>
      <c r="P1102" s="158"/>
      <c r="Q1102" s="158"/>
      <c r="R1102" s="158"/>
      <c r="S1102" s="158"/>
      <c r="T1102" s="158"/>
      <c r="U1102" s="158"/>
      <c r="V1102" s="158"/>
      <c r="W1102" s="158"/>
      <c r="X1102" s="158"/>
    </row>
    <row r="1103">
      <c r="A1103" s="176"/>
      <c r="B1103" s="177"/>
      <c r="C1103" s="158"/>
      <c r="D1103" s="158"/>
      <c r="E1103" s="158"/>
      <c r="F1103" s="158"/>
      <c r="G1103" s="158"/>
      <c r="H1103" s="158"/>
      <c r="I1103" s="158"/>
      <c r="J1103" s="158"/>
      <c r="K1103" s="158"/>
      <c r="L1103" s="158"/>
      <c r="M1103" s="158"/>
      <c r="N1103" s="158"/>
      <c r="O1103" s="158"/>
      <c r="P1103" s="158"/>
      <c r="Q1103" s="158"/>
      <c r="R1103" s="158"/>
      <c r="S1103" s="158"/>
      <c r="T1103" s="158"/>
      <c r="U1103" s="158"/>
      <c r="V1103" s="158"/>
      <c r="W1103" s="158"/>
      <c r="X1103" s="158"/>
    </row>
    <row r="1104">
      <c r="A1104" s="176"/>
      <c r="B1104" s="177"/>
      <c r="C1104" s="158"/>
      <c r="D1104" s="158"/>
      <c r="E1104" s="158"/>
      <c r="F1104" s="158"/>
      <c r="G1104" s="158"/>
      <c r="H1104" s="158"/>
      <c r="I1104" s="158"/>
      <c r="J1104" s="158"/>
      <c r="K1104" s="158"/>
      <c r="L1104" s="158"/>
      <c r="M1104" s="158"/>
      <c r="N1104" s="158"/>
      <c r="O1104" s="158"/>
      <c r="P1104" s="158"/>
      <c r="Q1104" s="158"/>
      <c r="R1104" s="158"/>
      <c r="S1104" s="158"/>
      <c r="T1104" s="158"/>
      <c r="U1104" s="158"/>
      <c r="V1104" s="158"/>
      <c r="W1104" s="158"/>
      <c r="X1104" s="158"/>
    </row>
    <row r="1105">
      <c r="A1105" s="176"/>
      <c r="B1105" s="177"/>
      <c r="C1105" s="158"/>
      <c r="D1105" s="158"/>
      <c r="E1105" s="158"/>
      <c r="F1105" s="158"/>
      <c r="G1105" s="158"/>
      <c r="H1105" s="158"/>
      <c r="I1105" s="158"/>
      <c r="J1105" s="158"/>
      <c r="K1105" s="158"/>
      <c r="L1105" s="158"/>
      <c r="M1105" s="158"/>
      <c r="N1105" s="158"/>
      <c r="O1105" s="158"/>
      <c r="P1105" s="158"/>
      <c r="Q1105" s="158"/>
      <c r="R1105" s="158"/>
      <c r="S1105" s="158"/>
      <c r="T1105" s="158"/>
      <c r="U1105" s="158"/>
      <c r="V1105" s="158"/>
      <c r="W1105" s="158"/>
      <c r="X1105" s="158"/>
    </row>
    <row r="1106">
      <c r="A1106" s="176"/>
      <c r="B1106" s="177"/>
      <c r="C1106" s="158"/>
      <c r="D1106" s="158"/>
      <c r="E1106" s="158"/>
      <c r="F1106" s="158"/>
      <c r="G1106" s="158"/>
      <c r="H1106" s="158"/>
      <c r="I1106" s="158"/>
      <c r="J1106" s="158"/>
      <c r="K1106" s="158"/>
      <c r="L1106" s="158"/>
      <c r="M1106" s="158"/>
      <c r="N1106" s="158"/>
      <c r="O1106" s="158"/>
      <c r="P1106" s="158"/>
      <c r="Q1106" s="158"/>
      <c r="R1106" s="158"/>
      <c r="S1106" s="158"/>
      <c r="T1106" s="158"/>
      <c r="U1106" s="158"/>
      <c r="V1106" s="158"/>
      <c r="W1106" s="158"/>
      <c r="X1106" s="158"/>
    </row>
    <row r="1107">
      <c r="A1107" s="176"/>
      <c r="B1107" s="177"/>
      <c r="C1107" s="158"/>
      <c r="D1107" s="158"/>
      <c r="E1107" s="158"/>
      <c r="F1107" s="158"/>
      <c r="G1107" s="158"/>
      <c r="H1107" s="158"/>
      <c r="I1107" s="158"/>
      <c r="J1107" s="158"/>
      <c r="K1107" s="158"/>
      <c r="L1107" s="158"/>
      <c r="M1107" s="158"/>
      <c r="N1107" s="158"/>
      <c r="O1107" s="158"/>
      <c r="P1107" s="158"/>
      <c r="Q1107" s="158"/>
      <c r="R1107" s="158"/>
      <c r="S1107" s="158"/>
      <c r="T1107" s="158"/>
      <c r="U1107" s="158"/>
      <c r="V1107" s="158"/>
      <c r="W1107" s="158"/>
      <c r="X1107" s="158"/>
    </row>
    <row r="1108">
      <c r="A1108" s="176"/>
      <c r="B1108" s="177"/>
      <c r="C1108" s="158"/>
      <c r="D1108" s="158"/>
      <c r="E1108" s="158"/>
      <c r="F1108" s="158"/>
      <c r="G1108" s="158"/>
      <c r="H1108" s="158"/>
      <c r="I1108" s="158"/>
      <c r="J1108" s="158"/>
      <c r="K1108" s="158"/>
      <c r="L1108" s="158"/>
      <c r="M1108" s="158"/>
      <c r="N1108" s="158"/>
      <c r="O1108" s="158"/>
      <c r="P1108" s="158"/>
      <c r="Q1108" s="158"/>
      <c r="R1108" s="158"/>
      <c r="S1108" s="158"/>
      <c r="T1108" s="158"/>
      <c r="U1108" s="158"/>
      <c r="V1108" s="158"/>
      <c r="W1108" s="158"/>
      <c r="X1108" s="158"/>
    </row>
    <row r="1109">
      <c r="A1109" s="176"/>
      <c r="B1109" s="177"/>
      <c r="C1109" s="158"/>
      <c r="D1109" s="158"/>
      <c r="E1109" s="158"/>
      <c r="F1109" s="158"/>
      <c r="G1109" s="158"/>
      <c r="H1109" s="158"/>
      <c r="I1109" s="158"/>
      <c r="J1109" s="158"/>
      <c r="K1109" s="158"/>
      <c r="L1109" s="158"/>
      <c r="M1109" s="158"/>
      <c r="N1109" s="158"/>
      <c r="O1109" s="158"/>
      <c r="P1109" s="158"/>
      <c r="Q1109" s="158"/>
      <c r="R1109" s="158"/>
      <c r="S1109" s="158"/>
      <c r="T1109" s="158"/>
      <c r="U1109" s="158"/>
      <c r="V1109" s="158"/>
      <c r="W1109" s="158"/>
      <c r="X1109" s="158"/>
    </row>
    <row r="1110">
      <c r="A1110" s="176"/>
      <c r="B1110" s="177"/>
      <c r="C1110" s="158"/>
      <c r="D1110" s="158"/>
      <c r="E1110" s="158"/>
      <c r="F1110" s="158"/>
      <c r="G1110" s="158"/>
      <c r="H1110" s="158"/>
      <c r="I1110" s="158"/>
      <c r="J1110" s="158"/>
      <c r="K1110" s="158"/>
      <c r="L1110" s="158"/>
      <c r="M1110" s="158"/>
      <c r="N1110" s="158"/>
      <c r="O1110" s="158"/>
      <c r="P1110" s="158"/>
      <c r="Q1110" s="158"/>
      <c r="R1110" s="158"/>
      <c r="S1110" s="158"/>
      <c r="T1110" s="158"/>
      <c r="U1110" s="158"/>
      <c r="V1110" s="158"/>
      <c r="W1110" s="158"/>
      <c r="X1110" s="158"/>
    </row>
    <row r="1111">
      <c r="A1111" s="176"/>
      <c r="B1111" s="177"/>
      <c r="C1111" s="158"/>
      <c r="D1111" s="158"/>
      <c r="E1111" s="158"/>
      <c r="F1111" s="158"/>
      <c r="G1111" s="158"/>
      <c r="H1111" s="158"/>
      <c r="I1111" s="158"/>
      <c r="J1111" s="158"/>
      <c r="K1111" s="158"/>
      <c r="L1111" s="158"/>
      <c r="M1111" s="158"/>
      <c r="N1111" s="158"/>
      <c r="O1111" s="158"/>
      <c r="P1111" s="158"/>
      <c r="Q1111" s="158"/>
      <c r="R1111" s="158"/>
      <c r="S1111" s="158"/>
      <c r="T1111" s="158"/>
      <c r="U1111" s="158"/>
      <c r="V1111" s="158"/>
      <c r="W1111" s="158"/>
      <c r="X1111" s="158"/>
    </row>
    <row r="1112">
      <c r="A1112" s="176"/>
      <c r="B1112" s="177"/>
      <c r="C1112" s="158"/>
      <c r="D1112" s="158"/>
      <c r="E1112" s="158"/>
      <c r="F1112" s="158"/>
      <c r="G1112" s="158"/>
      <c r="H1112" s="158"/>
      <c r="I1112" s="158"/>
      <c r="J1112" s="158"/>
      <c r="K1112" s="158"/>
      <c r="L1112" s="158"/>
      <c r="M1112" s="158"/>
      <c r="N1112" s="158"/>
      <c r="O1112" s="158"/>
      <c r="P1112" s="158"/>
      <c r="Q1112" s="158"/>
      <c r="R1112" s="158"/>
      <c r="S1112" s="158"/>
      <c r="T1112" s="158"/>
      <c r="U1112" s="158"/>
      <c r="V1112" s="158"/>
      <c r="W1112" s="158"/>
      <c r="X1112" s="158"/>
    </row>
    <row r="1113">
      <c r="A1113" s="176"/>
      <c r="B1113" s="177"/>
      <c r="C1113" s="158"/>
      <c r="D1113" s="158"/>
      <c r="E1113" s="158"/>
      <c r="F1113" s="158"/>
      <c r="G1113" s="158"/>
      <c r="H1113" s="158"/>
      <c r="I1113" s="158"/>
      <c r="J1113" s="158"/>
      <c r="K1113" s="158"/>
      <c r="L1113" s="158"/>
      <c r="M1113" s="158"/>
      <c r="N1113" s="158"/>
      <c r="O1113" s="158"/>
      <c r="P1113" s="158"/>
      <c r="Q1113" s="158"/>
      <c r="R1113" s="158"/>
      <c r="S1113" s="158"/>
      <c r="T1113" s="158"/>
      <c r="U1113" s="158"/>
      <c r="V1113" s="158"/>
      <c r="W1113" s="158"/>
      <c r="X1113" s="158"/>
    </row>
    <row r="1114">
      <c r="A1114" s="176"/>
      <c r="B1114" s="177"/>
      <c r="C1114" s="158"/>
      <c r="D1114" s="158"/>
      <c r="E1114" s="158"/>
      <c r="F1114" s="158"/>
      <c r="G1114" s="158"/>
      <c r="H1114" s="158"/>
      <c r="I1114" s="158"/>
      <c r="J1114" s="158"/>
      <c r="K1114" s="158"/>
      <c r="L1114" s="158"/>
      <c r="M1114" s="158"/>
      <c r="N1114" s="158"/>
      <c r="O1114" s="158"/>
      <c r="P1114" s="158"/>
      <c r="Q1114" s="158"/>
      <c r="R1114" s="158"/>
      <c r="S1114" s="158"/>
      <c r="T1114" s="158"/>
      <c r="U1114" s="158"/>
      <c r="V1114" s="158"/>
      <c r="W1114" s="158"/>
      <c r="X1114" s="158"/>
    </row>
    <row r="1115">
      <c r="A1115" s="176"/>
      <c r="B1115" s="177"/>
      <c r="C1115" s="158"/>
      <c r="D1115" s="158"/>
      <c r="E1115" s="158"/>
      <c r="F1115" s="158"/>
      <c r="G1115" s="158"/>
      <c r="H1115" s="158"/>
      <c r="I1115" s="158"/>
      <c r="J1115" s="158"/>
      <c r="K1115" s="158"/>
      <c r="L1115" s="158"/>
      <c r="M1115" s="158"/>
      <c r="N1115" s="158"/>
      <c r="O1115" s="158"/>
      <c r="P1115" s="158"/>
      <c r="Q1115" s="158"/>
      <c r="R1115" s="158"/>
      <c r="S1115" s="158"/>
      <c r="T1115" s="158"/>
      <c r="U1115" s="158"/>
      <c r="V1115" s="158"/>
      <c r="W1115" s="158"/>
      <c r="X1115" s="158"/>
    </row>
    <row r="1116">
      <c r="A1116" s="176"/>
      <c r="B1116" s="177"/>
      <c r="C1116" s="158"/>
      <c r="D1116" s="158"/>
      <c r="E1116" s="158"/>
      <c r="F1116" s="158"/>
      <c r="G1116" s="158"/>
      <c r="H1116" s="158"/>
      <c r="I1116" s="158"/>
      <c r="J1116" s="158"/>
      <c r="K1116" s="158"/>
      <c r="L1116" s="158"/>
      <c r="M1116" s="158"/>
      <c r="N1116" s="158"/>
      <c r="O1116" s="158"/>
      <c r="P1116" s="158"/>
      <c r="Q1116" s="158"/>
      <c r="R1116" s="158"/>
      <c r="S1116" s="158"/>
      <c r="T1116" s="158"/>
      <c r="U1116" s="158"/>
      <c r="V1116" s="158"/>
      <c r="W1116" s="158"/>
      <c r="X1116" s="158"/>
    </row>
    <row r="1117">
      <c r="A1117" s="176"/>
      <c r="B1117" s="177"/>
      <c r="C1117" s="158"/>
      <c r="D1117" s="158"/>
      <c r="E1117" s="158"/>
      <c r="F1117" s="158"/>
      <c r="G1117" s="158"/>
      <c r="H1117" s="158"/>
      <c r="I1117" s="158"/>
      <c r="J1117" s="158"/>
      <c r="K1117" s="158"/>
      <c r="L1117" s="158"/>
      <c r="M1117" s="158"/>
      <c r="N1117" s="158"/>
      <c r="O1117" s="158"/>
      <c r="P1117" s="158"/>
      <c r="Q1117" s="158"/>
      <c r="R1117" s="158"/>
      <c r="S1117" s="158"/>
      <c r="T1117" s="158"/>
      <c r="U1117" s="158"/>
      <c r="V1117" s="158"/>
      <c r="W1117" s="158"/>
      <c r="X1117" s="158"/>
    </row>
    <row r="1118">
      <c r="A1118" s="176"/>
      <c r="B1118" s="177"/>
      <c r="C1118" s="158"/>
      <c r="D1118" s="158"/>
      <c r="E1118" s="158"/>
      <c r="F1118" s="158"/>
      <c r="G1118" s="158"/>
      <c r="H1118" s="158"/>
      <c r="I1118" s="158"/>
      <c r="J1118" s="158"/>
      <c r="K1118" s="158"/>
      <c r="L1118" s="158"/>
      <c r="M1118" s="158"/>
      <c r="N1118" s="158"/>
      <c r="O1118" s="158"/>
      <c r="P1118" s="158"/>
      <c r="Q1118" s="158"/>
      <c r="R1118" s="158"/>
      <c r="S1118" s="158"/>
      <c r="T1118" s="158"/>
      <c r="U1118" s="158"/>
      <c r="V1118" s="158"/>
      <c r="W1118" s="158"/>
      <c r="X1118" s="158"/>
    </row>
    <row r="1119">
      <c r="A1119" s="176"/>
      <c r="B1119" s="177"/>
      <c r="C1119" s="158"/>
      <c r="D1119" s="158"/>
      <c r="E1119" s="158"/>
      <c r="F1119" s="158"/>
      <c r="G1119" s="158"/>
      <c r="H1119" s="158"/>
      <c r="I1119" s="158"/>
      <c r="J1119" s="158"/>
      <c r="K1119" s="158"/>
      <c r="L1119" s="158"/>
      <c r="M1119" s="158"/>
      <c r="N1119" s="158"/>
      <c r="O1119" s="158"/>
      <c r="P1119" s="158"/>
      <c r="Q1119" s="158"/>
      <c r="R1119" s="158"/>
      <c r="S1119" s="158"/>
      <c r="T1119" s="158"/>
      <c r="U1119" s="158"/>
      <c r="V1119" s="158"/>
      <c r="W1119" s="158"/>
      <c r="X1119" s="158"/>
    </row>
    <row r="1120">
      <c r="A1120" s="176"/>
      <c r="B1120" s="177"/>
      <c r="C1120" s="158"/>
      <c r="D1120" s="158"/>
      <c r="E1120" s="158"/>
      <c r="F1120" s="158"/>
      <c r="G1120" s="158"/>
      <c r="H1120" s="158"/>
      <c r="I1120" s="158"/>
      <c r="J1120" s="158"/>
      <c r="K1120" s="158"/>
      <c r="L1120" s="158"/>
      <c r="M1120" s="158"/>
      <c r="N1120" s="158"/>
      <c r="O1120" s="158"/>
      <c r="P1120" s="158"/>
      <c r="Q1120" s="158"/>
      <c r="R1120" s="158"/>
      <c r="S1120" s="158"/>
      <c r="T1120" s="158"/>
      <c r="U1120" s="158"/>
      <c r="V1120" s="158"/>
      <c r="W1120" s="158"/>
      <c r="X1120" s="158"/>
    </row>
    <row r="1121">
      <c r="A1121" s="176"/>
      <c r="B1121" s="177"/>
      <c r="C1121" s="158"/>
      <c r="D1121" s="158"/>
      <c r="E1121" s="158"/>
      <c r="F1121" s="158"/>
      <c r="G1121" s="158"/>
      <c r="H1121" s="158"/>
      <c r="I1121" s="158"/>
      <c r="J1121" s="158"/>
      <c r="K1121" s="158"/>
      <c r="L1121" s="158"/>
      <c r="M1121" s="158"/>
      <c r="N1121" s="158"/>
      <c r="O1121" s="158"/>
      <c r="P1121" s="158"/>
      <c r="Q1121" s="158"/>
      <c r="R1121" s="158"/>
      <c r="S1121" s="158"/>
      <c r="T1121" s="158"/>
      <c r="U1121" s="158"/>
      <c r="V1121" s="158"/>
      <c r="W1121" s="158"/>
      <c r="X1121" s="158"/>
    </row>
    <row r="1122">
      <c r="A1122" s="176"/>
      <c r="B1122" s="177"/>
      <c r="C1122" s="158"/>
      <c r="D1122" s="158"/>
      <c r="E1122" s="158"/>
      <c r="F1122" s="158"/>
      <c r="G1122" s="158"/>
      <c r="H1122" s="158"/>
      <c r="I1122" s="158"/>
      <c r="J1122" s="158"/>
      <c r="K1122" s="158"/>
      <c r="L1122" s="158"/>
      <c r="M1122" s="158"/>
      <c r="N1122" s="158"/>
      <c r="O1122" s="158"/>
      <c r="P1122" s="158"/>
      <c r="Q1122" s="158"/>
      <c r="R1122" s="158"/>
      <c r="S1122" s="158"/>
      <c r="T1122" s="158"/>
      <c r="U1122" s="158"/>
      <c r="V1122" s="158"/>
      <c r="W1122" s="158"/>
      <c r="X1122" s="158"/>
    </row>
    <row r="1123">
      <c r="A1123" s="176"/>
      <c r="B1123" s="177"/>
      <c r="C1123" s="158"/>
      <c r="D1123" s="158"/>
      <c r="E1123" s="158"/>
      <c r="F1123" s="158"/>
      <c r="G1123" s="158"/>
      <c r="H1123" s="158"/>
      <c r="I1123" s="158"/>
      <c r="J1123" s="158"/>
      <c r="K1123" s="158"/>
      <c r="L1123" s="158"/>
      <c r="M1123" s="158"/>
      <c r="N1123" s="158"/>
      <c r="O1123" s="158"/>
      <c r="P1123" s="158"/>
      <c r="Q1123" s="158"/>
      <c r="R1123" s="158"/>
      <c r="S1123" s="158"/>
      <c r="T1123" s="158"/>
      <c r="U1123" s="158"/>
      <c r="V1123" s="158"/>
      <c r="W1123" s="158"/>
      <c r="X1123" s="158"/>
    </row>
    <row r="1124">
      <c r="A1124" s="176"/>
      <c r="B1124" s="177"/>
      <c r="C1124" s="158"/>
      <c r="D1124" s="158"/>
      <c r="E1124" s="158"/>
      <c r="G1124" s="158"/>
      <c r="H1124" s="158"/>
      <c r="I1124" s="158"/>
      <c r="J1124" s="158"/>
      <c r="K1124" s="158"/>
      <c r="L1124" s="158"/>
      <c r="M1124" s="158"/>
      <c r="N1124" s="158"/>
      <c r="O1124" s="158"/>
      <c r="P1124" s="158"/>
      <c r="Q1124" s="158"/>
      <c r="R1124" s="158"/>
      <c r="S1124" s="158"/>
      <c r="T1124" s="158"/>
      <c r="U1124" s="158"/>
      <c r="V1124" s="158"/>
      <c r="W1124" s="158"/>
      <c r="X1124" s="158"/>
    </row>
    <row r="1125">
      <c r="A1125" s="176"/>
      <c r="B1125" s="177"/>
      <c r="C1125" s="158"/>
      <c r="D1125" s="158"/>
      <c r="E1125" s="158"/>
      <c r="F1125" s="158"/>
      <c r="G1125" s="158"/>
      <c r="H1125" s="158"/>
      <c r="I1125" s="158"/>
      <c r="J1125" s="158"/>
      <c r="K1125" s="158"/>
      <c r="L1125" s="158"/>
      <c r="M1125" s="158"/>
      <c r="N1125" s="158"/>
      <c r="O1125" s="158"/>
      <c r="P1125" s="158"/>
      <c r="Q1125" s="158"/>
      <c r="R1125" s="158"/>
      <c r="S1125" s="158"/>
      <c r="T1125" s="158"/>
      <c r="U1125" s="158"/>
      <c r="V1125" s="158"/>
      <c r="W1125" s="158"/>
      <c r="X1125" s="158"/>
    </row>
    <row r="1126">
      <c r="A1126" s="176"/>
      <c r="B1126" s="177"/>
      <c r="C1126" s="158"/>
      <c r="D1126" s="158"/>
      <c r="E1126" s="158"/>
      <c r="G1126" s="158"/>
      <c r="H1126" s="158"/>
      <c r="I1126" s="158"/>
      <c r="J1126" s="158"/>
      <c r="K1126" s="158"/>
      <c r="L1126" s="158"/>
      <c r="M1126" s="158"/>
      <c r="N1126" s="158"/>
      <c r="O1126" s="158"/>
      <c r="P1126" s="158"/>
      <c r="Q1126" s="158"/>
      <c r="R1126" s="158"/>
      <c r="S1126" s="158"/>
      <c r="T1126" s="158"/>
      <c r="U1126" s="158"/>
      <c r="V1126" s="158"/>
      <c r="W1126" s="158"/>
      <c r="X1126" s="158"/>
    </row>
    <row r="1127">
      <c r="A1127" s="176"/>
      <c r="B1127" s="177"/>
      <c r="C1127" s="158"/>
      <c r="D1127" s="158"/>
      <c r="E1127" s="158"/>
      <c r="F1127" s="158"/>
      <c r="G1127" s="158"/>
      <c r="H1127" s="158"/>
      <c r="I1127" s="158"/>
      <c r="J1127" s="158"/>
      <c r="K1127" s="158"/>
      <c r="L1127" s="158"/>
      <c r="M1127" s="158"/>
      <c r="N1127" s="158"/>
      <c r="O1127" s="158"/>
      <c r="P1127" s="158"/>
      <c r="Q1127" s="158"/>
      <c r="R1127" s="158"/>
      <c r="S1127" s="158"/>
      <c r="T1127" s="158"/>
      <c r="U1127" s="158"/>
      <c r="V1127" s="158"/>
      <c r="W1127" s="158"/>
      <c r="X1127" s="158"/>
    </row>
    <row r="1128">
      <c r="A1128" s="176"/>
      <c r="B1128" s="177"/>
      <c r="C1128" s="158"/>
      <c r="D1128" s="158"/>
      <c r="E1128" s="158"/>
      <c r="G1128" s="158"/>
      <c r="H1128" s="158"/>
      <c r="I1128" s="158"/>
      <c r="J1128" s="158"/>
      <c r="K1128" s="158"/>
      <c r="L1128" s="158"/>
      <c r="M1128" s="158"/>
      <c r="N1128" s="158"/>
      <c r="O1128" s="158"/>
      <c r="P1128" s="158"/>
      <c r="Q1128" s="158"/>
      <c r="R1128" s="158"/>
      <c r="S1128" s="158"/>
      <c r="T1128" s="158"/>
      <c r="U1128" s="158"/>
      <c r="V1128" s="158"/>
      <c r="W1128" s="158"/>
      <c r="X1128" s="158"/>
    </row>
    <row r="1129">
      <c r="A1129" s="176"/>
      <c r="B1129" s="177"/>
      <c r="C1129" s="158"/>
      <c r="D1129" s="158"/>
      <c r="E1129" s="158"/>
      <c r="G1129" s="158"/>
      <c r="H1129" s="158"/>
      <c r="I1129" s="158"/>
      <c r="J1129" s="158"/>
      <c r="K1129" s="158"/>
      <c r="L1129" s="158"/>
      <c r="M1129" s="158"/>
      <c r="N1129" s="158"/>
      <c r="O1129" s="158"/>
      <c r="P1129" s="158"/>
      <c r="Q1129" s="158"/>
      <c r="R1129" s="158"/>
      <c r="S1129" s="158"/>
      <c r="T1129" s="158"/>
      <c r="U1129" s="158"/>
      <c r="V1129" s="158"/>
      <c r="W1129" s="158"/>
      <c r="X1129" s="158"/>
    </row>
    <row r="1130">
      <c r="A1130" s="176"/>
      <c r="B1130" s="177"/>
      <c r="C1130" s="158"/>
      <c r="D1130" s="158"/>
      <c r="E1130" s="158"/>
      <c r="G1130" s="158"/>
      <c r="H1130" s="158"/>
      <c r="I1130" s="158"/>
      <c r="J1130" s="158"/>
      <c r="K1130" s="158"/>
      <c r="L1130" s="158"/>
      <c r="M1130" s="158"/>
      <c r="N1130" s="158"/>
      <c r="O1130" s="158"/>
      <c r="P1130" s="158"/>
      <c r="Q1130" s="158"/>
      <c r="R1130" s="158"/>
      <c r="S1130" s="158"/>
      <c r="T1130" s="158"/>
      <c r="U1130" s="158"/>
      <c r="V1130" s="158"/>
      <c r="W1130" s="158"/>
      <c r="X1130" s="158"/>
    </row>
    <row r="1131">
      <c r="A1131" s="176"/>
      <c r="B1131" s="177"/>
      <c r="C1131" s="158"/>
      <c r="D1131" s="158"/>
      <c r="E1131" s="158"/>
      <c r="F1131" s="158"/>
      <c r="G1131" s="158"/>
      <c r="H1131" s="158"/>
      <c r="I1131" s="158"/>
      <c r="J1131" s="158"/>
      <c r="K1131" s="158"/>
      <c r="L1131" s="158"/>
      <c r="M1131" s="158"/>
      <c r="N1131" s="158"/>
      <c r="O1131" s="158"/>
      <c r="P1131" s="158"/>
      <c r="Q1131" s="158"/>
      <c r="R1131" s="158"/>
      <c r="S1131" s="158"/>
      <c r="T1131" s="158"/>
      <c r="U1131" s="158"/>
      <c r="V1131" s="158"/>
      <c r="W1131" s="158"/>
      <c r="X1131" s="158"/>
    </row>
    <row r="1132">
      <c r="A1132" s="176"/>
      <c r="B1132" s="177"/>
      <c r="C1132" s="158"/>
      <c r="D1132" s="158"/>
      <c r="E1132" s="158"/>
      <c r="F1132" s="158"/>
      <c r="G1132" s="158"/>
      <c r="H1132" s="158"/>
      <c r="I1132" s="158"/>
      <c r="J1132" s="158"/>
      <c r="K1132" s="158"/>
      <c r="L1132" s="158"/>
      <c r="M1132" s="158"/>
      <c r="N1132" s="158"/>
      <c r="O1132" s="158"/>
      <c r="P1132" s="158"/>
      <c r="Q1132" s="158"/>
      <c r="R1132" s="158"/>
      <c r="S1132" s="158"/>
      <c r="T1132" s="158"/>
      <c r="U1132" s="158"/>
      <c r="V1132" s="158"/>
      <c r="W1132" s="158"/>
      <c r="X1132" s="158"/>
    </row>
    <row r="1133">
      <c r="A1133" s="176"/>
      <c r="B1133" s="177"/>
      <c r="C1133" s="158"/>
      <c r="D1133" s="158"/>
      <c r="E1133" s="158"/>
      <c r="G1133" s="158"/>
      <c r="H1133" s="158"/>
      <c r="I1133" s="158"/>
      <c r="J1133" s="158"/>
      <c r="K1133" s="158"/>
      <c r="L1133" s="158"/>
      <c r="M1133" s="158"/>
      <c r="N1133" s="158"/>
      <c r="O1133" s="158"/>
      <c r="P1133" s="158"/>
      <c r="Q1133" s="158"/>
      <c r="R1133" s="158"/>
      <c r="S1133" s="158"/>
      <c r="T1133" s="158"/>
      <c r="U1133" s="158"/>
      <c r="V1133" s="158"/>
      <c r="W1133" s="158"/>
      <c r="X1133" s="158"/>
    </row>
    <row r="1134">
      <c r="A1134" s="176"/>
      <c r="B1134" s="177"/>
      <c r="C1134" s="158"/>
      <c r="D1134" s="158"/>
      <c r="E1134" s="158"/>
      <c r="F1134" s="158"/>
      <c r="G1134" s="158"/>
      <c r="H1134" s="158"/>
      <c r="I1134" s="158"/>
      <c r="J1134" s="158"/>
      <c r="K1134" s="158"/>
      <c r="L1134" s="158"/>
      <c r="M1134" s="158"/>
      <c r="N1134" s="158"/>
      <c r="O1134" s="158"/>
      <c r="P1134" s="158"/>
      <c r="Q1134" s="158"/>
      <c r="R1134" s="158"/>
      <c r="S1134" s="158"/>
      <c r="T1134" s="158"/>
      <c r="U1134" s="158"/>
      <c r="V1134" s="158"/>
      <c r="W1134" s="158"/>
      <c r="X1134" s="158"/>
    </row>
    <row r="1135">
      <c r="A1135" s="176"/>
      <c r="B1135" s="177"/>
      <c r="C1135" s="158"/>
      <c r="D1135" s="158"/>
      <c r="E1135" s="158"/>
      <c r="F1135" s="158"/>
      <c r="G1135" s="158"/>
      <c r="H1135" s="158"/>
      <c r="I1135" s="158"/>
      <c r="J1135" s="158"/>
      <c r="K1135" s="158"/>
      <c r="L1135" s="158"/>
      <c r="M1135" s="158"/>
      <c r="N1135" s="158"/>
      <c r="O1135" s="158"/>
      <c r="P1135" s="158"/>
      <c r="Q1135" s="158"/>
      <c r="R1135" s="158"/>
      <c r="S1135" s="158"/>
      <c r="T1135" s="158"/>
      <c r="U1135" s="158"/>
      <c r="V1135" s="158"/>
      <c r="W1135" s="158"/>
      <c r="X1135" s="158"/>
    </row>
    <row r="1136">
      <c r="A1136" s="176"/>
      <c r="B1136" s="177"/>
      <c r="C1136" s="158"/>
      <c r="D1136" s="158"/>
      <c r="E1136" s="158"/>
      <c r="F1136" s="158"/>
      <c r="G1136" s="158"/>
      <c r="H1136" s="158"/>
      <c r="I1136" s="158"/>
      <c r="J1136" s="158"/>
      <c r="K1136" s="158"/>
      <c r="L1136" s="158"/>
      <c r="M1136" s="158"/>
      <c r="N1136" s="158"/>
      <c r="O1136" s="158"/>
      <c r="P1136" s="158"/>
      <c r="Q1136" s="158"/>
      <c r="R1136" s="158"/>
      <c r="S1136" s="158"/>
      <c r="T1136" s="158"/>
      <c r="U1136" s="158"/>
      <c r="V1136" s="158"/>
      <c r="W1136" s="158"/>
      <c r="X1136" s="158"/>
    </row>
    <row r="1137">
      <c r="A1137" s="176"/>
      <c r="B1137" s="177"/>
      <c r="C1137" s="158"/>
      <c r="D1137" s="158"/>
      <c r="E1137" s="158"/>
      <c r="F1137" s="158"/>
      <c r="G1137" s="158"/>
      <c r="H1137" s="158"/>
      <c r="I1137" s="158"/>
      <c r="J1137" s="158"/>
      <c r="K1137" s="158"/>
      <c r="L1137" s="158"/>
      <c r="M1137" s="158"/>
      <c r="N1137" s="158"/>
      <c r="O1137" s="158"/>
      <c r="P1137" s="158"/>
      <c r="Q1137" s="158"/>
      <c r="R1137" s="158"/>
      <c r="S1137" s="158"/>
      <c r="T1137" s="158"/>
      <c r="U1137" s="158"/>
      <c r="V1137" s="158"/>
      <c r="W1137" s="158"/>
      <c r="X1137" s="158"/>
    </row>
    <row r="1138">
      <c r="A1138" s="176"/>
      <c r="B1138" s="177"/>
      <c r="C1138" s="158"/>
      <c r="D1138" s="158"/>
      <c r="E1138" s="158"/>
      <c r="F1138" s="158"/>
      <c r="G1138" s="158"/>
      <c r="H1138" s="158"/>
      <c r="I1138" s="158"/>
      <c r="J1138" s="158"/>
      <c r="K1138" s="158"/>
      <c r="L1138" s="158"/>
      <c r="M1138" s="158"/>
      <c r="N1138" s="158"/>
      <c r="O1138" s="158"/>
      <c r="P1138" s="158"/>
      <c r="Q1138" s="158"/>
      <c r="R1138" s="158"/>
      <c r="S1138" s="158"/>
      <c r="T1138" s="158"/>
      <c r="U1138" s="158"/>
      <c r="V1138" s="158"/>
      <c r="W1138" s="158"/>
      <c r="X1138" s="158"/>
    </row>
    <row r="1139">
      <c r="A1139" s="176"/>
      <c r="B1139" s="177"/>
      <c r="C1139" s="158"/>
      <c r="D1139" s="158"/>
      <c r="E1139" s="158"/>
      <c r="F1139" s="158"/>
      <c r="G1139" s="158"/>
      <c r="H1139" s="158"/>
      <c r="I1139" s="158"/>
      <c r="J1139" s="158"/>
      <c r="K1139" s="158"/>
      <c r="L1139" s="158"/>
      <c r="M1139" s="158"/>
      <c r="N1139" s="158"/>
      <c r="O1139" s="158"/>
      <c r="P1139" s="158"/>
      <c r="Q1139" s="158"/>
      <c r="R1139" s="158"/>
      <c r="S1139" s="158"/>
      <c r="T1139" s="158"/>
      <c r="U1139" s="158"/>
      <c r="V1139" s="158"/>
      <c r="W1139" s="158"/>
      <c r="X1139" s="158"/>
    </row>
    <row r="1140">
      <c r="A1140" s="176"/>
      <c r="B1140" s="177"/>
      <c r="C1140" s="158"/>
      <c r="D1140" s="158"/>
      <c r="E1140" s="158"/>
      <c r="F1140" s="158"/>
      <c r="G1140" s="158"/>
      <c r="H1140" s="158"/>
      <c r="I1140" s="158"/>
      <c r="J1140" s="158"/>
      <c r="K1140" s="158"/>
      <c r="L1140" s="158"/>
      <c r="M1140" s="158"/>
      <c r="N1140" s="158"/>
      <c r="O1140" s="158"/>
      <c r="P1140" s="158"/>
      <c r="Q1140" s="158"/>
      <c r="R1140" s="158"/>
      <c r="S1140" s="158"/>
      <c r="T1140" s="158"/>
      <c r="U1140" s="158"/>
      <c r="V1140" s="158"/>
      <c r="W1140" s="158"/>
      <c r="X1140" s="158"/>
    </row>
    <row r="1141">
      <c r="A1141" s="176"/>
      <c r="B1141" s="177"/>
      <c r="C1141" s="158"/>
      <c r="D1141" s="158"/>
      <c r="E1141" s="158"/>
      <c r="F1141" s="158"/>
      <c r="G1141" s="158"/>
      <c r="H1141" s="158"/>
      <c r="I1141" s="158"/>
      <c r="J1141" s="158"/>
      <c r="K1141" s="158"/>
      <c r="L1141" s="158"/>
      <c r="M1141" s="158"/>
      <c r="N1141" s="158"/>
      <c r="O1141" s="158"/>
      <c r="P1141" s="158"/>
      <c r="Q1141" s="158"/>
      <c r="R1141" s="158"/>
      <c r="S1141" s="158"/>
      <c r="T1141" s="158"/>
      <c r="U1141" s="158"/>
      <c r="V1141" s="158"/>
      <c r="W1141" s="158"/>
      <c r="X1141" s="158"/>
    </row>
    <row r="1142">
      <c r="A1142" s="176"/>
      <c r="B1142" s="177"/>
      <c r="C1142" s="158"/>
      <c r="D1142" s="158"/>
      <c r="E1142" s="158"/>
      <c r="G1142" s="158"/>
      <c r="H1142" s="158"/>
      <c r="I1142" s="158"/>
      <c r="J1142" s="158"/>
      <c r="K1142" s="158"/>
      <c r="L1142" s="158"/>
      <c r="M1142" s="158"/>
      <c r="N1142" s="158"/>
      <c r="O1142" s="158"/>
      <c r="P1142" s="158"/>
      <c r="Q1142" s="158"/>
      <c r="R1142" s="158"/>
      <c r="S1142" s="158"/>
      <c r="T1142" s="158"/>
      <c r="U1142" s="158"/>
      <c r="V1142" s="158"/>
      <c r="W1142" s="158"/>
      <c r="X1142" s="158"/>
    </row>
    <row r="1143">
      <c r="A1143" s="176"/>
      <c r="B1143" s="177"/>
      <c r="C1143" s="158"/>
      <c r="D1143" s="158"/>
      <c r="E1143" s="158"/>
      <c r="F1143" s="158"/>
      <c r="G1143" s="158"/>
      <c r="H1143" s="158"/>
      <c r="I1143" s="158"/>
      <c r="J1143" s="158"/>
      <c r="K1143" s="158"/>
      <c r="L1143" s="158"/>
      <c r="M1143" s="158"/>
      <c r="N1143" s="158"/>
      <c r="O1143" s="158"/>
      <c r="P1143" s="158"/>
      <c r="Q1143" s="158"/>
      <c r="R1143" s="158"/>
      <c r="S1143" s="158"/>
      <c r="T1143" s="158"/>
      <c r="U1143" s="158"/>
      <c r="V1143" s="158"/>
      <c r="W1143" s="158"/>
      <c r="X1143" s="158"/>
    </row>
    <row r="1144">
      <c r="A1144" s="176"/>
      <c r="B1144" s="177"/>
      <c r="C1144" s="158"/>
      <c r="D1144" s="158"/>
      <c r="E1144" s="158"/>
      <c r="F1144" s="158"/>
      <c r="G1144" s="158"/>
      <c r="H1144" s="158"/>
      <c r="I1144" s="158"/>
      <c r="J1144" s="158"/>
      <c r="K1144" s="158"/>
      <c r="L1144" s="158"/>
      <c r="M1144" s="158"/>
      <c r="N1144" s="158"/>
      <c r="O1144" s="158"/>
      <c r="P1144" s="158"/>
      <c r="Q1144" s="158"/>
      <c r="R1144" s="158"/>
      <c r="S1144" s="158"/>
      <c r="T1144" s="158"/>
      <c r="U1144" s="158"/>
      <c r="V1144" s="158"/>
      <c r="W1144" s="158"/>
      <c r="X1144" s="158"/>
    </row>
    <row r="1145">
      <c r="A1145" s="176"/>
      <c r="B1145" s="177"/>
      <c r="C1145" s="158"/>
      <c r="D1145" s="158"/>
      <c r="E1145" s="158"/>
      <c r="G1145" s="158"/>
      <c r="H1145" s="158"/>
      <c r="I1145" s="158"/>
      <c r="J1145" s="158"/>
      <c r="K1145" s="158"/>
      <c r="L1145" s="158"/>
      <c r="M1145" s="158"/>
      <c r="N1145" s="158"/>
      <c r="O1145" s="158"/>
      <c r="P1145" s="158"/>
      <c r="Q1145" s="158"/>
      <c r="R1145" s="158"/>
      <c r="S1145" s="158"/>
      <c r="T1145" s="158"/>
      <c r="U1145" s="158"/>
      <c r="V1145" s="158"/>
      <c r="W1145" s="158"/>
      <c r="X1145" s="158"/>
    </row>
    <row r="1146">
      <c r="A1146" s="176"/>
      <c r="B1146" s="177"/>
      <c r="C1146" s="158"/>
      <c r="D1146" s="158"/>
      <c r="E1146" s="158"/>
      <c r="F1146" s="158"/>
      <c r="G1146" s="158"/>
      <c r="H1146" s="158"/>
      <c r="I1146" s="158"/>
      <c r="J1146" s="158"/>
      <c r="K1146" s="158"/>
      <c r="L1146" s="158"/>
      <c r="M1146" s="158"/>
      <c r="N1146" s="158"/>
      <c r="O1146" s="158"/>
      <c r="P1146" s="158"/>
      <c r="Q1146" s="158"/>
      <c r="R1146" s="158"/>
      <c r="S1146" s="158"/>
      <c r="T1146" s="158"/>
      <c r="U1146" s="158"/>
      <c r="V1146" s="158"/>
      <c r="W1146" s="158"/>
      <c r="X1146" s="158"/>
    </row>
    <row r="1147">
      <c r="A1147" s="176"/>
      <c r="B1147" s="177"/>
      <c r="C1147" s="158"/>
      <c r="D1147" s="158"/>
      <c r="E1147" s="158"/>
      <c r="F1147" s="158"/>
      <c r="G1147" s="158"/>
      <c r="H1147" s="158"/>
      <c r="I1147" s="158"/>
      <c r="J1147" s="158"/>
      <c r="K1147" s="158"/>
      <c r="L1147" s="158"/>
      <c r="M1147" s="158"/>
      <c r="N1147" s="158"/>
      <c r="O1147" s="158"/>
      <c r="P1147" s="158"/>
      <c r="Q1147" s="158"/>
      <c r="R1147" s="158"/>
      <c r="S1147" s="158"/>
      <c r="T1147" s="158"/>
      <c r="U1147" s="158"/>
      <c r="V1147" s="158"/>
      <c r="W1147" s="158"/>
      <c r="X1147" s="158"/>
    </row>
    <row r="1148">
      <c r="A1148" s="176"/>
      <c r="B1148" s="177"/>
      <c r="C1148" s="158"/>
      <c r="D1148" s="158"/>
      <c r="E1148" s="158"/>
      <c r="F1148" s="158"/>
      <c r="G1148" s="158"/>
      <c r="H1148" s="158"/>
      <c r="I1148" s="158"/>
      <c r="J1148" s="158"/>
      <c r="K1148" s="158"/>
      <c r="L1148" s="158"/>
      <c r="M1148" s="158"/>
      <c r="N1148" s="158"/>
      <c r="O1148" s="158"/>
      <c r="P1148" s="158"/>
      <c r="Q1148" s="158"/>
      <c r="R1148" s="158"/>
      <c r="S1148" s="158"/>
      <c r="T1148" s="158"/>
      <c r="U1148" s="158"/>
      <c r="V1148" s="158"/>
      <c r="W1148" s="158"/>
      <c r="X1148" s="158"/>
    </row>
    <row r="1149">
      <c r="A1149" s="176"/>
      <c r="B1149" s="177"/>
      <c r="C1149" s="158"/>
      <c r="D1149" s="158"/>
      <c r="E1149" s="158"/>
      <c r="F1149" s="158"/>
      <c r="G1149" s="158"/>
      <c r="H1149" s="158"/>
      <c r="I1149" s="158"/>
      <c r="J1149" s="158"/>
      <c r="K1149" s="158"/>
      <c r="L1149" s="158"/>
      <c r="M1149" s="158"/>
      <c r="N1149" s="158"/>
      <c r="O1149" s="158"/>
      <c r="P1149" s="158"/>
      <c r="Q1149" s="158"/>
      <c r="R1149" s="158"/>
      <c r="S1149" s="158"/>
      <c r="T1149" s="158"/>
      <c r="U1149" s="158"/>
      <c r="V1149" s="158"/>
      <c r="W1149" s="158"/>
      <c r="X1149" s="158"/>
    </row>
    <row r="1150">
      <c r="A1150" s="176"/>
      <c r="B1150" s="177"/>
      <c r="C1150" s="158"/>
      <c r="D1150" s="158"/>
      <c r="E1150" s="158"/>
      <c r="F1150" s="158"/>
      <c r="G1150" s="158"/>
      <c r="H1150" s="158"/>
      <c r="I1150" s="158"/>
      <c r="J1150" s="158"/>
      <c r="K1150" s="158"/>
      <c r="L1150" s="158"/>
      <c r="M1150" s="158"/>
      <c r="N1150" s="158"/>
      <c r="O1150" s="158"/>
      <c r="P1150" s="158"/>
      <c r="Q1150" s="158"/>
      <c r="R1150" s="158"/>
      <c r="S1150" s="158"/>
      <c r="T1150" s="158"/>
      <c r="U1150" s="158"/>
      <c r="V1150" s="158"/>
      <c r="W1150" s="158"/>
      <c r="X1150" s="158"/>
    </row>
    <row r="1151">
      <c r="A1151" s="176"/>
      <c r="B1151" s="177"/>
      <c r="C1151" s="158"/>
      <c r="D1151" s="158"/>
      <c r="E1151" s="158"/>
      <c r="G1151" s="158"/>
      <c r="H1151" s="158"/>
      <c r="I1151" s="158"/>
      <c r="J1151" s="158"/>
      <c r="K1151" s="158"/>
      <c r="L1151" s="158"/>
      <c r="M1151" s="158"/>
      <c r="N1151" s="158"/>
      <c r="O1151" s="158"/>
      <c r="P1151" s="158"/>
      <c r="Q1151" s="158"/>
      <c r="R1151" s="158"/>
      <c r="S1151" s="158"/>
      <c r="T1151" s="158"/>
      <c r="U1151" s="158"/>
      <c r="V1151" s="158"/>
      <c r="W1151" s="158"/>
      <c r="X1151" s="158"/>
    </row>
    <row r="1152">
      <c r="A1152" s="176"/>
      <c r="B1152" s="177"/>
      <c r="C1152" s="158"/>
      <c r="D1152" s="158"/>
      <c r="E1152" s="158"/>
      <c r="F1152" s="158"/>
      <c r="G1152" s="158"/>
      <c r="H1152" s="158"/>
      <c r="I1152" s="158"/>
      <c r="J1152" s="158"/>
      <c r="K1152" s="158"/>
      <c r="L1152" s="158"/>
      <c r="M1152" s="158"/>
      <c r="N1152" s="158"/>
      <c r="O1152" s="158"/>
      <c r="P1152" s="158"/>
      <c r="Q1152" s="158"/>
      <c r="R1152" s="158"/>
      <c r="S1152" s="158"/>
      <c r="T1152" s="158"/>
      <c r="U1152" s="158"/>
      <c r="V1152" s="158"/>
      <c r="W1152" s="158"/>
      <c r="X1152" s="158"/>
    </row>
    <row r="1153">
      <c r="A1153" s="176"/>
      <c r="B1153" s="177"/>
      <c r="C1153" s="158"/>
      <c r="D1153" s="158"/>
      <c r="E1153" s="158"/>
      <c r="F1153" s="158"/>
      <c r="G1153" s="158"/>
      <c r="H1153" s="158"/>
      <c r="I1153" s="158"/>
      <c r="J1153" s="158"/>
      <c r="K1153" s="158"/>
      <c r="L1153" s="158"/>
      <c r="M1153" s="158"/>
      <c r="N1153" s="158"/>
      <c r="O1153" s="158"/>
      <c r="P1153" s="158"/>
      <c r="Q1153" s="158"/>
      <c r="R1153" s="158"/>
      <c r="S1153" s="158"/>
      <c r="T1153" s="158"/>
      <c r="U1153" s="158"/>
      <c r="V1153" s="158"/>
      <c r="W1153" s="158"/>
      <c r="X1153" s="158"/>
    </row>
    <row r="1154">
      <c r="A1154" s="176"/>
      <c r="B1154" s="177"/>
      <c r="C1154" s="158"/>
      <c r="D1154" s="158"/>
      <c r="E1154" s="158"/>
      <c r="F1154" s="158"/>
      <c r="G1154" s="158"/>
      <c r="H1154" s="158"/>
      <c r="I1154" s="158"/>
      <c r="J1154" s="158"/>
      <c r="K1154" s="158"/>
      <c r="L1154" s="158"/>
      <c r="M1154" s="158"/>
      <c r="N1154" s="158"/>
      <c r="O1154" s="158"/>
      <c r="P1154" s="158"/>
      <c r="Q1154" s="158"/>
      <c r="R1154" s="158"/>
      <c r="S1154" s="158"/>
      <c r="T1154" s="158"/>
      <c r="U1154" s="158"/>
      <c r="V1154" s="158"/>
      <c r="W1154" s="158"/>
      <c r="X1154" s="158"/>
    </row>
    <row r="1155">
      <c r="A1155" s="176"/>
      <c r="B1155" s="177"/>
      <c r="C1155" s="158"/>
      <c r="D1155" s="158"/>
      <c r="E1155" s="158"/>
      <c r="F1155" s="158"/>
      <c r="G1155" s="158"/>
      <c r="H1155" s="158"/>
      <c r="I1155" s="158"/>
      <c r="J1155" s="158"/>
      <c r="K1155" s="158"/>
      <c r="L1155" s="158"/>
      <c r="M1155" s="158"/>
      <c r="N1155" s="158"/>
      <c r="O1155" s="158"/>
      <c r="P1155" s="158"/>
      <c r="Q1155" s="158"/>
      <c r="R1155" s="158"/>
      <c r="S1155" s="158"/>
      <c r="T1155" s="158"/>
      <c r="U1155" s="158"/>
      <c r="V1155" s="158"/>
      <c r="W1155" s="158"/>
      <c r="X1155" s="158"/>
    </row>
    <row r="1156">
      <c r="A1156" s="176"/>
      <c r="B1156" s="177"/>
      <c r="C1156" s="158"/>
      <c r="D1156" s="158"/>
      <c r="E1156" s="158"/>
      <c r="F1156" s="158"/>
      <c r="G1156" s="158"/>
      <c r="H1156" s="158"/>
      <c r="I1156" s="158"/>
      <c r="J1156" s="158"/>
      <c r="K1156" s="158"/>
      <c r="L1156" s="158"/>
      <c r="M1156" s="158"/>
      <c r="N1156" s="158"/>
      <c r="O1156" s="158"/>
      <c r="P1156" s="158"/>
      <c r="Q1156" s="158"/>
      <c r="R1156" s="158"/>
      <c r="S1156" s="158"/>
      <c r="T1156" s="158"/>
      <c r="U1156" s="158"/>
      <c r="V1156" s="158"/>
      <c r="W1156" s="158"/>
      <c r="X1156" s="158"/>
    </row>
    <row r="1157">
      <c r="A1157" s="176"/>
      <c r="B1157" s="177"/>
      <c r="C1157" s="158"/>
      <c r="D1157" s="158"/>
      <c r="E1157" s="158"/>
      <c r="F1157" s="158"/>
      <c r="G1157" s="158"/>
      <c r="H1157" s="158"/>
      <c r="I1157" s="158"/>
      <c r="J1157" s="158"/>
      <c r="K1157" s="158"/>
      <c r="L1157" s="158"/>
      <c r="M1157" s="158"/>
      <c r="N1157" s="158"/>
      <c r="O1157" s="158"/>
      <c r="P1157" s="158"/>
      <c r="Q1157" s="158"/>
      <c r="R1157" s="158"/>
      <c r="S1157" s="158"/>
      <c r="T1157" s="158"/>
      <c r="U1157" s="158"/>
      <c r="V1157" s="158"/>
      <c r="W1157" s="158"/>
      <c r="X1157" s="158"/>
    </row>
    <row r="1158">
      <c r="A1158" s="176"/>
      <c r="B1158" s="177"/>
      <c r="C1158" s="158"/>
      <c r="D1158" s="158"/>
      <c r="E1158" s="158"/>
      <c r="F1158" s="158"/>
      <c r="G1158" s="158"/>
      <c r="H1158" s="158"/>
      <c r="I1158" s="158"/>
      <c r="J1158" s="158"/>
      <c r="K1158" s="158"/>
      <c r="L1158" s="158"/>
      <c r="M1158" s="158"/>
      <c r="N1158" s="158"/>
      <c r="O1158" s="158"/>
      <c r="P1158" s="158"/>
      <c r="Q1158" s="158"/>
      <c r="R1158" s="158"/>
      <c r="S1158" s="158"/>
      <c r="T1158" s="158"/>
      <c r="U1158" s="158"/>
      <c r="V1158" s="158"/>
      <c r="W1158" s="158"/>
      <c r="X1158" s="158"/>
    </row>
    <row r="1159">
      <c r="A1159" s="176"/>
      <c r="B1159" s="177"/>
      <c r="C1159" s="158"/>
      <c r="D1159" s="158"/>
      <c r="E1159" s="158"/>
      <c r="F1159" s="158"/>
      <c r="G1159" s="158"/>
      <c r="H1159" s="158"/>
      <c r="I1159" s="158"/>
      <c r="J1159" s="158"/>
      <c r="K1159" s="158"/>
      <c r="L1159" s="158"/>
      <c r="M1159" s="158"/>
      <c r="N1159" s="158"/>
      <c r="O1159" s="158"/>
      <c r="P1159" s="158"/>
      <c r="Q1159" s="158"/>
      <c r="R1159" s="158"/>
      <c r="S1159" s="158"/>
      <c r="T1159" s="158"/>
      <c r="U1159" s="158"/>
      <c r="V1159" s="158"/>
      <c r="W1159" s="158"/>
      <c r="X1159" s="158"/>
    </row>
    <row r="1160">
      <c r="A1160" s="176"/>
      <c r="B1160" s="177"/>
      <c r="C1160" s="158"/>
      <c r="D1160" s="158"/>
      <c r="E1160" s="158"/>
      <c r="F1160" s="158"/>
      <c r="G1160" s="158"/>
      <c r="H1160" s="158"/>
      <c r="I1160" s="158"/>
      <c r="J1160" s="158"/>
      <c r="K1160" s="158"/>
      <c r="L1160" s="158"/>
      <c r="M1160" s="158"/>
      <c r="N1160" s="158"/>
      <c r="O1160" s="158"/>
      <c r="P1160" s="158"/>
      <c r="Q1160" s="158"/>
      <c r="R1160" s="158"/>
      <c r="S1160" s="158"/>
      <c r="T1160" s="158"/>
      <c r="U1160" s="158"/>
      <c r="V1160" s="158"/>
      <c r="W1160" s="158"/>
      <c r="X1160" s="158"/>
    </row>
    <row r="1161">
      <c r="A1161" s="176"/>
      <c r="B1161" s="177"/>
      <c r="C1161" s="158"/>
      <c r="D1161" s="158"/>
      <c r="E1161" s="158"/>
      <c r="F1161" s="158"/>
      <c r="G1161" s="158"/>
      <c r="H1161" s="158"/>
      <c r="I1161" s="158"/>
      <c r="J1161" s="158"/>
      <c r="K1161" s="158"/>
      <c r="L1161" s="158"/>
      <c r="M1161" s="158"/>
      <c r="N1161" s="158"/>
      <c r="O1161" s="158"/>
      <c r="P1161" s="158"/>
      <c r="Q1161" s="158"/>
      <c r="R1161" s="158"/>
      <c r="S1161" s="158"/>
      <c r="T1161" s="158"/>
      <c r="U1161" s="158"/>
      <c r="V1161" s="158"/>
      <c r="W1161" s="158"/>
      <c r="X1161" s="158"/>
    </row>
    <row r="1162">
      <c r="A1162" s="176"/>
      <c r="B1162" s="177"/>
      <c r="C1162" s="158"/>
      <c r="D1162" s="158"/>
      <c r="E1162" s="158"/>
      <c r="F1162" s="158"/>
      <c r="G1162" s="158"/>
      <c r="H1162" s="158"/>
      <c r="I1162" s="158"/>
      <c r="J1162" s="158"/>
      <c r="K1162" s="158"/>
      <c r="L1162" s="158"/>
      <c r="M1162" s="158"/>
      <c r="N1162" s="158"/>
      <c r="O1162" s="158"/>
      <c r="P1162" s="158"/>
      <c r="Q1162" s="158"/>
      <c r="R1162" s="158"/>
      <c r="S1162" s="158"/>
      <c r="T1162" s="158"/>
      <c r="U1162" s="158"/>
      <c r="V1162" s="158"/>
      <c r="W1162" s="158"/>
      <c r="X1162" s="158"/>
    </row>
    <row r="1163">
      <c r="A1163" s="176"/>
      <c r="B1163" s="177"/>
      <c r="C1163" s="158"/>
      <c r="D1163" s="158"/>
      <c r="E1163" s="158"/>
      <c r="F1163" s="158"/>
      <c r="G1163" s="158"/>
      <c r="H1163" s="158"/>
      <c r="I1163" s="158"/>
      <c r="J1163" s="158"/>
      <c r="K1163" s="158"/>
      <c r="L1163" s="158"/>
      <c r="M1163" s="158"/>
      <c r="N1163" s="158"/>
      <c r="O1163" s="158"/>
      <c r="P1163" s="158"/>
      <c r="Q1163" s="158"/>
      <c r="R1163" s="158"/>
      <c r="S1163" s="158"/>
      <c r="T1163" s="158"/>
      <c r="U1163" s="158"/>
      <c r="V1163" s="158"/>
      <c r="W1163" s="158"/>
      <c r="X1163" s="158"/>
    </row>
    <row r="1164">
      <c r="A1164" s="176"/>
      <c r="B1164" s="177"/>
      <c r="C1164" s="158"/>
      <c r="D1164" s="158"/>
      <c r="E1164" s="158"/>
      <c r="F1164" s="158"/>
      <c r="G1164" s="158"/>
      <c r="H1164" s="158"/>
      <c r="I1164" s="158"/>
      <c r="J1164" s="158"/>
      <c r="K1164" s="158"/>
      <c r="L1164" s="158"/>
      <c r="M1164" s="158"/>
      <c r="N1164" s="158"/>
      <c r="O1164" s="158"/>
      <c r="P1164" s="158"/>
      <c r="Q1164" s="158"/>
      <c r="R1164" s="158"/>
      <c r="S1164" s="158"/>
      <c r="T1164" s="158"/>
      <c r="U1164" s="158"/>
      <c r="V1164" s="158"/>
      <c r="W1164" s="158"/>
      <c r="X1164" s="158"/>
    </row>
    <row r="1165">
      <c r="A1165" s="176"/>
      <c r="B1165" s="177"/>
      <c r="C1165" s="158"/>
      <c r="D1165" s="158"/>
      <c r="E1165" s="158"/>
      <c r="F1165" s="158"/>
      <c r="G1165" s="158"/>
      <c r="H1165" s="158"/>
      <c r="I1165" s="158"/>
      <c r="J1165" s="158"/>
      <c r="K1165" s="158"/>
      <c r="L1165" s="158"/>
      <c r="M1165" s="158"/>
      <c r="N1165" s="158"/>
      <c r="O1165" s="158"/>
      <c r="P1165" s="158"/>
      <c r="Q1165" s="158"/>
      <c r="R1165" s="158"/>
      <c r="S1165" s="158"/>
      <c r="T1165" s="158"/>
      <c r="U1165" s="158"/>
      <c r="V1165" s="158"/>
      <c r="W1165" s="158"/>
      <c r="X1165" s="158"/>
    </row>
    <row r="1166">
      <c r="A1166" s="176"/>
      <c r="B1166" s="177"/>
      <c r="C1166" s="158"/>
      <c r="D1166" s="158"/>
      <c r="E1166" s="158"/>
      <c r="F1166" s="158"/>
      <c r="G1166" s="158"/>
      <c r="H1166" s="158"/>
      <c r="I1166" s="158"/>
      <c r="J1166" s="158"/>
      <c r="K1166" s="158"/>
      <c r="L1166" s="158"/>
      <c r="M1166" s="158"/>
      <c r="N1166" s="158"/>
      <c r="O1166" s="158"/>
      <c r="P1166" s="158"/>
      <c r="Q1166" s="158"/>
      <c r="R1166" s="158"/>
      <c r="S1166" s="158"/>
      <c r="T1166" s="158"/>
      <c r="U1166" s="158"/>
      <c r="V1166" s="158"/>
      <c r="W1166" s="158"/>
      <c r="X1166" s="158"/>
    </row>
    <row r="1167">
      <c r="A1167" s="176"/>
      <c r="B1167" s="177"/>
      <c r="C1167" s="158"/>
      <c r="D1167" s="158"/>
      <c r="E1167" s="158"/>
      <c r="F1167" s="158"/>
      <c r="G1167" s="158"/>
      <c r="H1167" s="158"/>
      <c r="I1167" s="158"/>
      <c r="J1167" s="158"/>
      <c r="K1167" s="158"/>
      <c r="L1167" s="158"/>
      <c r="M1167" s="158"/>
      <c r="N1167" s="158"/>
      <c r="O1167" s="158"/>
      <c r="P1167" s="158"/>
      <c r="Q1167" s="158"/>
      <c r="R1167" s="158"/>
      <c r="S1167" s="158"/>
      <c r="T1167" s="158"/>
      <c r="U1167" s="158"/>
      <c r="V1167" s="158"/>
      <c r="W1167" s="158"/>
      <c r="X1167" s="158"/>
    </row>
    <row r="1168">
      <c r="A1168" s="176"/>
      <c r="B1168" s="177"/>
      <c r="C1168" s="158"/>
      <c r="D1168" s="158"/>
      <c r="E1168" s="158"/>
      <c r="F1168" s="158"/>
      <c r="G1168" s="158"/>
      <c r="H1168" s="158"/>
      <c r="I1168" s="158"/>
      <c r="J1168" s="158"/>
      <c r="K1168" s="158"/>
      <c r="L1168" s="158"/>
      <c r="M1168" s="158"/>
      <c r="N1168" s="158"/>
      <c r="O1168" s="158"/>
      <c r="P1168" s="158"/>
      <c r="Q1168" s="158"/>
      <c r="R1168" s="158"/>
      <c r="S1168" s="158"/>
      <c r="T1168" s="158"/>
      <c r="U1168" s="158"/>
      <c r="V1168" s="158"/>
      <c r="W1168" s="158"/>
      <c r="X1168" s="158"/>
    </row>
    <row r="1169">
      <c r="A1169" s="176"/>
      <c r="B1169" s="177"/>
      <c r="C1169" s="158"/>
      <c r="D1169" s="158"/>
      <c r="E1169" s="158"/>
      <c r="F1169" s="158"/>
      <c r="G1169" s="158"/>
      <c r="H1169" s="158"/>
      <c r="I1169" s="158"/>
      <c r="J1169" s="158"/>
      <c r="K1169" s="158"/>
      <c r="L1169" s="158"/>
      <c r="M1169" s="158"/>
      <c r="N1169" s="158"/>
      <c r="O1169" s="158"/>
      <c r="P1169" s="158"/>
      <c r="Q1169" s="158"/>
      <c r="R1169" s="158"/>
      <c r="S1169" s="158"/>
      <c r="T1169" s="158"/>
      <c r="U1169" s="158"/>
      <c r="V1169" s="158"/>
      <c r="W1169" s="158"/>
      <c r="X1169" s="158"/>
    </row>
    <row r="1170">
      <c r="A1170" s="176"/>
      <c r="B1170" s="177"/>
      <c r="C1170" s="158"/>
      <c r="D1170" s="158"/>
      <c r="E1170" s="158"/>
      <c r="F1170" s="158"/>
      <c r="G1170" s="158"/>
      <c r="H1170" s="158"/>
      <c r="I1170" s="158"/>
      <c r="J1170" s="158"/>
      <c r="K1170" s="158"/>
      <c r="L1170" s="158"/>
      <c r="M1170" s="158"/>
      <c r="N1170" s="158"/>
      <c r="O1170" s="158"/>
      <c r="P1170" s="158"/>
      <c r="Q1170" s="158"/>
      <c r="R1170" s="158"/>
      <c r="S1170" s="158"/>
      <c r="T1170" s="158"/>
      <c r="U1170" s="158"/>
      <c r="V1170" s="158"/>
      <c r="W1170" s="158"/>
      <c r="X1170" s="158"/>
    </row>
    <row r="1171">
      <c r="A1171" s="176"/>
      <c r="B1171" s="177"/>
      <c r="C1171" s="158"/>
      <c r="D1171" s="158"/>
      <c r="E1171" s="158"/>
      <c r="F1171" s="158"/>
      <c r="G1171" s="158"/>
      <c r="H1171" s="158"/>
      <c r="I1171" s="158"/>
      <c r="J1171" s="158"/>
      <c r="K1171" s="158"/>
      <c r="L1171" s="158"/>
      <c r="M1171" s="158"/>
      <c r="N1171" s="158"/>
      <c r="O1171" s="158"/>
      <c r="P1171" s="158"/>
      <c r="Q1171" s="158"/>
      <c r="R1171" s="158"/>
      <c r="S1171" s="158"/>
      <c r="T1171" s="158"/>
      <c r="U1171" s="158"/>
      <c r="V1171" s="158"/>
      <c r="W1171" s="158"/>
      <c r="X1171" s="158"/>
    </row>
    <row r="1172">
      <c r="A1172" s="176"/>
      <c r="B1172" s="177"/>
      <c r="C1172" s="158"/>
      <c r="D1172" s="158"/>
      <c r="E1172" s="158"/>
      <c r="G1172" s="158"/>
      <c r="H1172" s="158"/>
      <c r="I1172" s="158"/>
      <c r="J1172" s="158"/>
      <c r="K1172" s="158"/>
      <c r="L1172" s="158"/>
      <c r="M1172" s="158"/>
      <c r="N1172" s="158"/>
      <c r="O1172" s="158"/>
      <c r="P1172" s="158"/>
      <c r="Q1172" s="158"/>
      <c r="R1172" s="158"/>
      <c r="S1172" s="158"/>
      <c r="T1172" s="158"/>
      <c r="U1172" s="158"/>
      <c r="V1172" s="158"/>
      <c r="W1172" s="158"/>
      <c r="X1172" s="158"/>
    </row>
    <row r="1173">
      <c r="A1173" s="176"/>
      <c r="B1173" s="177"/>
      <c r="C1173" s="158"/>
      <c r="D1173" s="158"/>
      <c r="E1173" s="158"/>
      <c r="F1173" s="158"/>
      <c r="G1173" s="158"/>
      <c r="H1173" s="158"/>
      <c r="I1173" s="158"/>
      <c r="J1173" s="158"/>
      <c r="K1173" s="158"/>
      <c r="L1173" s="158"/>
      <c r="M1173" s="158"/>
      <c r="N1173" s="158"/>
      <c r="O1173" s="158"/>
      <c r="P1173" s="158"/>
      <c r="Q1173" s="158"/>
      <c r="R1173" s="158"/>
      <c r="S1173" s="158"/>
      <c r="T1173" s="158"/>
      <c r="U1173" s="158"/>
      <c r="V1173" s="158"/>
      <c r="W1173" s="158"/>
      <c r="X1173" s="158"/>
    </row>
    <row r="1174">
      <c r="A1174" s="176"/>
      <c r="B1174" s="177"/>
      <c r="C1174" s="158"/>
      <c r="D1174" s="158"/>
      <c r="E1174" s="158"/>
      <c r="G1174" s="158"/>
      <c r="H1174" s="158"/>
      <c r="I1174" s="158"/>
      <c r="J1174" s="158"/>
      <c r="K1174" s="158"/>
      <c r="L1174" s="158"/>
      <c r="M1174" s="158"/>
      <c r="N1174" s="158"/>
      <c r="O1174" s="158"/>
      <c r="P1174" s="158"/>
      <c r="Q1174" s="158"/>
      <c r="R1174" s="158"/>
      <c r="S1174" s="158"/>
      <c r="T1174" s="158"/>
      <c r="U1174" s="158"/>
      <c r="V1174" s="158"/>
      <c r="W1174" s="158"/>
      <c r="X1174" s="158"/>
    </row>
    <row r="1175">
      <c r="A1175" s="176"/>
      <c r="B1175" s="177"/>
      <c r="C1175" s="158"/>
      <c r="D1175" s="158"/>
      <c r="E1175" s="158"/>
      <c r="G1175" s="158"/>
      <c r="H1175" s="158"/>
      <c r="I1175" s="158"/>
      <c r="J1175" s="158"/>
      <c r="K1175" s="158"/>
      <c r="L1175" s="158"/>
      <c r="M1175" s="158"/>
      <c r="N1175" s="158"/>
      <c r="O1175" s="158"/>
      <c r="P1175" s="158"/>
      <c r="Q1175" s="158"/>
      <c r="R1175" s="158"/>
      <c r="S1175" s="158"/>
      <c r="T1175" s="158"/>
      <c r="U1175" s="158"/>
      <c r="V1175" s="158"/>
      <c r="W1175" s="158"/>
      <c r="X1175" s="158"/>
    </row>
    <row r="1176">
      <c r="A1176" s="176"/>
      <c r="B1176" s="177"/>
      <c r="C1176" s="158"/>
      <c r="D1176" s="158"/>
      <c r="E1176" s="158"/>
      <c r="G1176" s="158"/>
      <c r="H1176" s="158"/>
      <c r="I1176" s="158"/>
      <c r="J1176" s="158"/>
      <c r="K1176" s="158"/>
      <c r="L1176" s="158"/>
      <c r="M1176" s="158"/>
      <c r="N1176" s="158"/>
      <c r="O1176" s="158"/>
      <c r="P1176" s="158"/>
      <c r="Q1176" s="158"/>
      <c r="R1176" s="158"/>
      <c r="S1176" s="158"/>
      <c r="T1176" s="158"/>
      <c r="U1176" s="158"/>
      <c r="V1176" s="158"/>
      <c r="W1176" s="158"/>
      <c r="X1176" s="158"/>
    </row>
    <row r="1177">
      <c r="A1177" s="176"/>
      <c r="B1177" s="177"/>
      <c r="C1177" s="158"/>
      <c r="D1177" s="158"/>
      <c r="E1177" s="158"/>
      <c r="F1177" s="158"/>
      <c r="G1177" s="158"/>
      <c r="H1177" s="158"/>
      <c r="I1177" s="158"/>
      <c r="J1177" s="158"/>
      <c r="K1177" s="158"/>
      <c r="L1177" s="158"/>
      <c r="M1177" s="158"/>
      <c r="N1177" s="158"/>
      <c r="O1177" s="158"/>
      <c r="P1177" s="158"/>
      <c r="Q1177" s="158"/>
      <c r="R1177" s="158"/>
      <c r="S1177" s="158"/>
      <c r="T1177" s="158"/>
      <c r="U1177" s="158"/>
      <c r="V1177" s="158"/>
      <c r="W1177" s="158"/>
      <c r="X1177" s="158"/>
    </row>
    <row r="1178">
      <c r="A1178" s="176"/>
      <c r="B1178" s="177"/>
      <c r="C1178" s="158"/>
      <c r="D1178" s="158"/>
      <c r="E1178" s="158"/>
      <c r="F1178" s="158"/>
      <c r="G1178" s="158"/>
      <c r="H1178" s="158"/>
      <c r="I1178" s="158"/>
      <c r="J1178" s="158"/>
      <c r="K1178" s="158"/>
      <c r="L1178" s="158"/>
      <c r="M1178" s="158"/>
      <c r="N1178" s="158"/>
      <c r="O1178" s="158"/>
      <c r="P1178" s="158"/>
      <c r="Q1178" s="158"/>
      <c r="R1178" s="158"/>
      <c r="S1178" s="158"/>
      <c r="T1178" s="158"/>
      <c r="U1178" s="158"/>
      <c r="V1178" s="158"/>
      <c r="W1178" s="158"/>
      <c r="X1178" s="158"/>
    </row>
    <row r="1179">
      <c r="A1179" s="176"/>
      <c r="B1179" s="177"/>
      <c r="C1179" s="158"/>
      <c r="D1179" s="158"/>
      <c r="E1179" s="158"/>
      <c r="F1179" s="158"/>
      <c r="G1179" s="158"/>
      <c r="H1179" s="158"/>
      <c r="I1179" s="158"/>
      <c r="J1179" s="158"/>
      <c r="K1179" s="158"/>
      <c r="L1179" s="158"/>
      <c r="M1179" s="158"/>
      <c r="N1179" s="158"/>
      <c r="O1179" s="158"/>
      <c r="P1179" s="158"/>
      <c r="Q1179" s="158"/>
      <c r="R1179" s="158"/>
      <c r="S1179" s="158"/>
      <c r="T1179" s="158"/>
      <c r="U1179" s="158"/>
      <c r="V1179" s="158"/>
      <c r="W1179" s="158"/>
      <c r="X1179" s="158"/>
    </row>
    <row r="1180">
      <c r="A1180" s="176"/>
      <c r="B1180" s="177"/>
      <c r="C1180" s="158"/>
      <c r="D1180" s="158"/>
      <c r="E1180" s="158"/>
      <c r="F1180" s="158"/>
      <c r="G1180" s="158"/>
      <c r="H1180" s="158"/>
      <c r="I1180" s="158"/>
      <c r="J1180" s="158"/>
      <c r="K1180" s="158"/>
      <c r="L1180" s="158"/>
      <c r="M1180" s="158"/>
      <c r="N1180" s="158"/>
      <c r="O1180" s="158"/>
      <c r="P1180" s="158"/>
      <c r="Q1180" s="158"/>
      <c r="R1180" s="158"/>
      <c r="S1180" s="158"/>
      <c r="T1180" s="158"/>
      <c r="U1180" s="158"/>
      <c r="V1180" s="158"/>
      <c r="W1180" s="158"/>
      <c r="X1180" s="158"/>
    </row>
    <row r="1181">
      <c r="A1181" s="176"/>
      <c r="B1181" s="177"/>
      <c r="C1181" s="158"/>
      <c r="D1181" s="158"/>
      <c r="E1181" s="158"/>
      <c r="F1181" s="158"/>
      <c r="G1181" s="158"/>
      <c r="H1181" s="158"/>
      <c r="I1181" s="158"/>
      <c r="J1181" s="158"/>
      <c r="K1181" s="158"/>
      <c r="L1181" s="158"/>
      <c r="M1181" s="158"/>
      <c r="N1181" s="158"/>
      <c r="O1181" s="158"/>
      <c r="P1181" s="158"/>
      <c r="Q1181" s="158"/>
      <c r="R1181" s="158"/>
      <c r="S1181" s="158"/>
      <c r="T1181" s="158"/>
      <c r="U1181" s="158"/>
      <c r="V1181" s="158"/>
      <c r="W1181" s="158"/>
      <c r="X1181" s="158"/>
    </row>
    <row r="1182">
      <c r="A1182" s="176"/>
      <c r="B1182" s="177"/>
      <c r="C1182" s="158"/>
      <c r="D1182" s="158"/>
      <c r="E1182" s="158"/>
      <c r="F1182" s="158"/>
      <c r="G1182" s="158"/>
      <c r="H1182" s="158"/>
      <c r="I1182" s="158"/>
      <c r="J1182" s="158"/>
      <c r="K1182" s="158"/>
      <c r="L1182" s="158"/>
      <c r="M1182" s="158"/>
      <c r="N1182" s="158"/>
      <c r="O1182" s="158"/>
      <c r="P1182" s="158"/>
      <c r="Q1182" s="158"/>
      <c r="R1182" s="158"/>
      <c r="S1182" s="158"/>
      <c r="T1182" s="158"/>
      <c r="U1182" s="158"/>
      <c r="V1182" s="158"/>
      <c r="W1182" s="158"/>
      <c r="X1182" s="158"/>
    </row>
    <row r="1183">
      <c r="A1183" s="176"/>
      <c r="B1183" s="177"/>
      <c r="C1183" s="158"/>
      <c r="D1183" s="158"/>
      <c r="E1183" s="158"/>
      <c r="F1183" s="158"/>
      <c r="G1183" s="158"/>
      <c r="H1183" s="158"/>
      <c r="I1183" s="158"/>
      <c r="J1183" s="158"/>
      <c r="K1183" s="158"/>
      <c r="L1183" s="158"/>
      <c r="M1183" s="158"/>
      <c r="N1183" s="158"/>
      <c r="O1183" s="158"/>
      <c r="P1183" s="158"/>
      <c r="Q1183" s="158"/>
      <c r="R1183" s="158"/>
      <c r="S1183" s="158"/>
      <c r="T1183" s="158"/>
      <c r="U1183" s="158"/>
      <c r="V1183" s="158"/>
      <c r="W1183" s="158"/>
      <c r="X1183" s="158"/>
    </row>
    <row r="1184">
      <c r="A1184" s="176"/>
      <c r="B1184" s="177"/>
      <c r="C1184" s="158"/>
      <c r="D1184" s="158"/>
      <c r="E1184" s="158"/>
      <c r="F1184" s="158"/>
      <c r="G1184" s="158"/>
      <c r="H1184" s="158"/>
      <c r="I1184" s="158"/>
      <c r="J1184" s="158"/>
      <c r="K1184" s="158"/>
      <c r="L1184" s="158"/>
      <c r="M1184" s="158"/>
      <c r="N1184" s="158"/>
      <c r="O1184" s="158"/>
      <c r="P1184" s="158"/>
      <c r="Q1184" s="158"/>
      <c r="R1184" s="158"/>
      <c r="S1184" s="158"/>
      <c r="T1184" s="158"/>
      <c r="U1184" s="158"/>
      <c r="V1184" s="158"/>
      <c r="W1184" s="158"/>
      <c r="X1184" s="158"/>
    </row>
    <row r="1185">
      <c r="A1185" s="176"/>
      <c r="B1185" s="177"/>
      <c r="C1185" s="158"/>
      <c r="D1185" s="158"/>
      <c r="E1185" s="158"/>
      <c r="F1185" s="158"/>
      <c r="G1185" s="158"/>
      <c r="H1185" s="158"/>
      <c r="I1185" s="158"/>
      <c r="J1185" s="158"/>
      <c r="K1185" s="158"/>
      <c r="L1185" s="158"/>
      <c r="M1185" s="158"/>
      <c r="N1185" s="158"/>
      <c r="O1185" s="158"/>
      <c r="P1185" s="158"/>
      <c r="Q1185" s="158"/>
      <c r="R1185" s="158"/>
      <c r="S1185" s="158"/>
      <c r="T1185" s="158"/>
      <c r="U1185" s="158"/>
      <c r="V1185" s="158"/>
      <c r="W1185" s="158"/>
      <c r="X1185" s="158"/>
    </row>
    <row r="1186">
      <c r="A1186" s="176"/>
      <c r="B1186" s="177"/>
      <c r="C1186" s="158"/>
      <c r="D1186" s="158"/>
      <c r="E1186" s="158"/>
      <c r="F1186" s="158"/>
      <c r="G1186" s="158"/>
      <c r="H1186" s="158"/>
      <c r="I1186" s="158"/>
      <c r="J1186" s="158"/>
      <c r="K1186" s="158"/>
      <c r="L1186" s="158"/>
      <c r="M1186" s="158"/>
      <c r="N1186" s="158"/>
      <c r="O1186" s="158"/>
      <c r="P1186" s="158"/>
      <c r="Q1186" s="158"/>
      <c r="R1186" s="158"/>
      <c r="S1186" s="158"/>
      <c r="T1186" s="158"/>
      <c r="U1186" s="158"/>
      <c r="V1186" s="158"/>
      <c r="W1186" s="158"/>
      <c r="X1186" s="158"/>
    </row>
    <row r="1187">
      <c r="A1187" s="176"/>
      <c r="B1187" s="177"/>
      <c r="C1187" s="158"/>
      <c r="D1187" s="158"/>
      <c r="E1187" s="158"/>
      <c r="F1187" s="158"/>
      <c r="G1187" s="158"/>
      <c r="H1187" s="158"/>
      <c r="I1187" s="158"/>
      <c r="J1187" s="158"/>
      <c r="K1187" s="158"/>
      <c r="L1187" s="158"/>
      <c r="M1187" s="158"/>
      <c r="N1187" s="158"/>
      <c r="O1187" s="158"/>
      <c r="P1187" s="158"/>
      <c r="Q1187" s="158"/>
      <c r="R1187" s="158"/>
      <c r="S1187" s="158"/>
      <c r="T1187" s="158"/>
      <c r="U1187" s="158"/>
      <c r="V1187" s="158"/>
      <c r="W1187" s="158"/>
      <c r="X1187" s="158"/>
    </row>
    <row r="1188">
      <c r="A1188" s="176"/>
      <c r="B1188" s="177"/>
      <c r="C1188" s="158"/>
      <c r="D1188" s="158"/>
      <c r="E1188" s="158"/>
      <c r="F1188" s="158"/>
      <c r="G1188" s="158"/>
      <c r="H1188" s="158"/>
      <c r="I1188" s="158"/>
      <c r="J1188" s="158"/>
      <c r="K1188" s="158"/>
      <c r="L1188" s="158"/>
      <c r="M1188" s="158"/>
      <c r="N1188" s="158"/>
      <c r="O1188" s="158"/>
      <c r="P1188" s="158"/>
      <c r="Q1188" s="158"/>
      <c r="R1188" s="158"/>
      <c r="S1188" s="158"/>
      <c r="T1188" s="158"/>
      <c r="U1188" s="158"/>
      <c r="V1188" s="158"/>
      <c r="W1188" s="158"/>
      <c r="X1188" s="158"/>
    </row>
    <row r="1189">
      <c r="A1189" s="176"/>
      <c r="B1189" s="177"/>
      <c r="C1189" s="158"/>
      <c r="D1189" s="158"/>
      <c r="E1189" s="158"/>
      <c r="F1189" s="158"/>
      <c r="G1189" s="158"/>
      <c r="H1189" s="158"/>
      <c r="I1189" s="158"/>
      <c r="J1189" s="158"/>
      <c r="K1189" s="158"/>
      <c r="L1189" s="158"/>
      <c r="M1189" s="158"/>
      <c r="N1189" s="158"/>
      <c r="O1189" s="158"/>
      <c r="P1189" s="158"/>
      <c r="Q1189" s="158"/>
      <c r="R1189" s="158"/>
      <c r="S1189" s="158"/>
      <c r="T1189" s="158"/>
      <c r="U1189" s="158"/>
      <c r="V1189" s="158"/>
      <c r="W1189" s="158"/>
      <c r="X1189" s="158"/>
    </row>
    <row r="1190">
      <c r="A1190" s="176"/>
      <c r="B1190" s="177"/>
      <c r="C1190" s="158"/>
      <c r="D1190" s="158"/>
      <c r="E1190" s="158"/>
      <c r="G1190" s="158"/>
      <c r="H1190" s="158"/>
      <c r="I1190" s="158"/>
      <c r="J1190" s="158"/>
      <c r="K1190" s="158"/>
      <c r="L1190" s="158"/>
      <c r="M1190" s="158"/>
      <c r="N1190" s="158"/>
      <c r="O1190" s="158"/>
      <c r="P1190" s="158"/>
      <c r="Q1190" s="158"/>
      <c r="R1190" s="158"/>
      <c r="S1190" s="158"/>
      <c r="T1190" s="158"/>
      <c r="U1190" s="158"/>
      <c r="V1190" s="158"/>
      <c r="W1190" s="158"/>
      <c r="X1190" s="158"/>
    </row>
    <row r="1191">
      <c r="A1191" s="176"/>
      <c r="B1191" s="177"/>
      <c r="C1191" s="158"/>
      <c r="D1191" s="158"/>
      <c r="E1191" s="158"/>
      <c r="G1191" s="158"/>
      <c r="H1191" s="158"/>
      <c r="I1191" s="158"/>
      <c r="J1191" s="158"/>
      <c r="K1191" s="158"/>
      <c r="L1191" s="158"/>
      <c r="M1191" s="158"/>
      <c r="N1191" s="158"/>
      <c r="O1191" s="158"/>
      <c r="P1191" s="158"/>
      <c r="Q1191" s="158"/>
      <c r="R1191" s="158"/>
      <c r="S1191" s="158"/>
      <c r="T1191" s="158"/>
      <c r="U1191" s="158"/>
      <c r="V1191" s="158"/>
      <c r="W1191" s="158"/>
      <c r="X1191" s="158"/>
    </row>
    <row r="1192">
      <c r="A1192" s="176"/>
      <c r="B1192" s="177"/>
      <c r="C1192" s="158"/>
      <c r="D1192" s="158"/>
      <c r="E1192" s="158"/>
      <c r="G1192" s="158"/>
      <c r="H1192" s="158"/>
      <c r="I1192" s="158"/>
      <c r="J1192" s="158"/>
      <c r="K1192" s="158"/>
      <c r="L1192" s="158"/>
      <c r="M1192" s="158"/>
      <c r="N1192" s="158"/>
      <c r="O1192" s="158"/>
      <c r="P1192" s="158"/>
      <c r="Q1192" s="158"/>
      <c r="R1192" s="158"/>
      <c r="S1192" s="158"/>
      <c r="T1192" s="158"/>
      <c r="U1192" s="158"/>
      <c r="V1192" s="158"/>
      <c r="W1192" s="158"/>
      <c r="X1192" s="158"/>
    </row>
    <row r="1193">
      <c r="A1193" s="176"/>
      <c r="B1193" s="177"/>
      <c r="C1193" s="158"/>
      <c r="D1193" s="158"/>
      <c r="E1193" s="158"/>
      <c r="G1193" s="158"/>
      <c r="H1193" s="158"/>
      <c r="I1193" s="158"/>
      <c r="J1193" s="158"/>
      <c r="K1193" s="158"/>
      <c r="L1193" s="158"/>
      <c r="M1193" s="158"/>
      <c r="N1193" s="158"/>
      <c r="O1193" s="158"/>
      <c r="P1193" s="158"/>
      <c r="Q1193" s="158"/>
      <c r="R1193" s="158"/>
      <c r="S1193" s="158"/>
      <c r="T1193" s="158"/>
      <c r="U1193" s="158"/>
      <c r="V1193" s="158"/>
      <c r="W1193" s="158"/>
      <c r="X1193" s="158"/>
    </row>
    <row r="1194">
      <c r="A1194" s="176"/>
      <c r="B1194" s="177"/>
      <c r="C1194" s="158"/>
      <c r="D1194" s="158"/>
      <c r="E1194" s="158"/>
      <c r="F1194" s="158"/>
      <c r="G1194" s="158"/>
      <c r="H1194" s="158"/>
      <c r="I1194" s="158"/>
      <c r="J1194" s="158"/>
      <c r="K1194" s="158"/>
      <c r="L1194" s="158"/>
      <c r="M1194" s="158"/>
      <c r="N1194" s="158"/>
      <c r="O1194" s="158"/>
      <c r="P1194" s="158"/>
      <c r="Q1194" s="158"/>
      <c r="R1194" s="158"/>
      <c r="S1194" s="158"/>
      <c r="T1194" s="158"/>
      <c r="U1194" s="158"/>
      <c r="V1194" s="158"/>
      <c r="W1194" s="158"/>
      <c r="X1194" s="158"/>
    </row>
    <row r="1195">
      <c r="A1195" s="176"/>
      <c r="B1195" s="177"/>
      <c r="C1195" s="158"/>
      <c r="D1195" s="158"/>
      <c r="E1195" s="158"/>
      <c r="G1195" s="158"/>
      <c r="H1195" s="158"/>
      <c r="I1195" s="158"/>
      <c r="J1195" s="158"/>
      <c r="K1195" s="158"/>
      <c r="L1195" s="158"/>
      <c r="M1195" s="158"/>
      <c r="N1195" s="158"/>
      <c r="O1195" s="158"/>
      <c r="P1195" s="158"/>
      <c r="Q1195" s="158"/>
      <c r="R1195" s="158"/>
      <c r="S1195" s="158"/>
      <c r="T1195" s="158"/>
      <c r="U1195" s="158"/>
      <c r="V1195" s="158"/>
      <c r="W1195" s="158"/>
      <c r="X1195" s="158"/>
    </row>
    <row r="1196">
      <c r="A1196" s="176"/>
      <c r="B1196" s="177"/>
      <c r="C1196" s="158"/>
      <c r="D1196" s="158"/>
      <c r="E1196" s="158"/>
      <c r="G1196" s="158"/>
      <c r="H1196" s="158"/>
      <c r="I1196" s="158"/>
      <c r="J1196" s="158"/>
      <c r="K1196" s="158"/>
      <c r="L1196" s="158"/>
      <c r="M1196" s="158"/>
      <c r="N1196" s="158"/>
      <c r="O1196" s="158"/>
      <c r="P1196" s="158"/>
      <c r="Q1196" s="158"/>
      <c r="R1196" s="158"/>
      <c r="S1196" s="158"/>
      <c r="T1196" s="158"/>
      <c r="U1196" s="158"/>
      <c r="V1196" s="158"/>
      <c r="W1196" s="158"/>
      <c r="X1196" s="158"/>
    </row>
    <row r="1197">
      <c r="A1197" s="176"/>
      <c r="B1197" s="177"/>
      <c r="C1197" s="158"/>
      <c r="D1197" s="158"/>
      <c r="E1197" s="158"/>
      <c r="G1197" s="158"/>
      <c r="H1197" s="158"/>
      <c r="I1197" s="158"/>
      <c r="J1197" s="158"/>
      <c r="K1197" s="158"/>
      <c r="L1197" s="158"/>
      <c r="M1197" s="158"/>
      <c r="N1197" s="158"/>
      <c r="O1197" s="158"/>
      <c r="P1197" s="158"/>
      <c r="Q1197" s="158"/>
      <c r="R1197" s="158"/>
      <c r="S1197" s="158"/>
      <c r="T1197" s="158"/>
      <c r="U1197" s="158"/>
      <c r="V1197" s="158"/>
      <c r="W1197" s="158"/>
      <c r="X1197" s="158"/>
    </row>
    <row r="1198">
      <c r="A1198" s="176"/>
      <c r="B1198" s="177"/>
      <c r="C1198" s="158"/>
      <c r="D1198" s="158"/>
      <c r="E1198" s="158"/>
      <c r="G1198" s="158"/>
      <c r="H1198" s="158"/>
      <c r="I1198" s="158"/>
      <c r="J1198" s="158"/>
      <c r="K1198" s="158"/>
      <c r="L1198" s="158"/>
      <c r="M1198" s="158"/>
      <c r="N1198" s="158"/>
      <c r="O1198" s="158"/>
      <c r="P1198" s="158"/>
      <c r="Q1198" s="158"/>
      <c r="R1198" s="158"/>
      <c r="S1198" s="158"/>
      <c r="T1198" s="158"/>
      <c r="U1198" s="158"/>
      <c r="V1198" s="158"/>
      <c r="W1198" s="158"/>
      <c r="X1198" s="158"/>
    </row>
    <row r="1199">
      <c r="A1199" s="176"/>
      <c r="B1199" s="177"/>
      <c r="C1199" s="158"/>
      <c r="D1199" s="158"/>
      <c r="E1199" s="158"/>
      <c r="G1199" s="158"/>
      <c r="H1199" s="158"/>
      <c r="I1199" s="158"/>
      <c r="J1199" s="158"/>
      <c r="K1199" s="158"/>
      <c r="L1199" s="158"/>
      <c r="M1199" s="158"/>
      <c r="N1199" s="158"/>
      <c r="O1199" s="158"/>
      <c r="P1199" s="158"/>
      <c r="Q1199" s="158"/>
      <c r="R1199" s="158"/>
      <c r="S1199" s="158"/>
      <c r="T1199" s="158"/>
      <c r="U1199" s="158"/>
      <c r="V1199" s="158"/>
      <c r="W1199" s="158"/>
      <c r="X1199" s="158"/>
    </row>
    <row r="1200">
      <c r="A1200" s="176"/>
      <c r="B1200" s="177"/>
      <c r="C1200" s="158"/>
      <c r="D1200" s="158"/>
      <c r="E1200" s="158"/>
      <c r="G1200" s="158"/>
      <c r="H1200" s="158"/>
      <c r="I1200" s="158"/>
      <c r="J1200" s="158"/>
      <c r="K1200" s="158"/>
      <c r="L1200" s="158"/>
      <c r="M1200" s="158"/>
      <c r="N1200" s="158"/>
      <c r="O1200" s="158"/>
      <c r="P1200" s="158"/>
      <c r="Q1200" s="158"/>
      <c r="R1200" s="158"/>
      <c r="S1200" s="158"/>
      <c r="T1200" s="158"/>
      <c r="U1200" s="158"/>
      <c r="V1200" s="158"/>
      <c r="W1200" s="158"/>
      <c r="X1200" s="158"/>
    </row>
    <row r="1201">
      <c r="A1201" s="176"/>
      <c r="B1201" s="177"/>
      <c r="C1201" s="158"/>
      <c r="D1201" s="158"/>
      <c r="E1201" s="158"/>
      <c r="G1201" s="158"/>
      <c r="H1201" s="158"/>
      <c r="I1201" s="158"/>
      <c r="J1201" s="158"/>
      <c r="K1201" s="158"/>
      <c r="L1201" s="158"/>
      <c r="M1201" s="158"/>
      <c r="N1201" s="158"/>
      <c r="O1201" s="158"/>
      <c r="P1201" s="158"/>
      <c r="Q1201" s="158"/>
      <c r="R1201" s="158"/>
      <c r="S1201" s="158"/>
      <c r="T1201" s="158"/>
      <c r="U1201" s="158"/>
      <c r="V1201" s="158"/>
      <c r="W1201" s="158"/>
      <c r="X1201" s="158"/>
    </row>
    <row r="1202">
      <c r="A1202" s="176"/>
      <c r="B1202" s="177"/>
      <c r="C1202" s="158"/>
      <c r="D1202" s="158"/>
      <c r="E1202" s="158"/>
      <c r="F1202" s="158"/>
      <c r="G1202" s="158"/>
      <c r="H1202" s="158"/>
      <c r="I1202" s="158"/>
      <c r="J1202" s="158"/>
      <c r="K1202" s="158"/>
      <c r="L1202" s="158"/>
      <c r="M1202" s="158"/>
      <c r="N1202" s="158"/>
      <c r="O1202" s="158"/>
      <c r="P1202" s="158"/>
      <c r="Q1202" s="158"/>
      <c r="R1202" s="158"/>
      <c r="S1202" s="158"/>
      <c r="T1202" s="158"/>
      <c r="U1202" s="158"/>
      <c r="V1202" s="158"/>
      <c r="W1202" s="158"/>
      <c r="X1202" s="158"/>
    </row>
    <row r="1203">
      <c r="A1203" s="176"/>
      <c r="B1203" s="177"/>
      <c r="C1203" s="158"/>
      <c r="D1203" s="158"/>
      <c r="E1203" s="158"/>
      <c r="G1203" s="158"/>
      <c r="H1203" s="158"/>
      <c r="I1203" s="158"/>
      <c r="J1203" s="158"/>
      <c r="K1203" s="158"/>
      <c r="L1203" s="158"/>
      <c r="M1203" s="158"/>
      <c r="N1203" s="158"/>
      <c r="O1203" s="158"/>
      <c r="P1203" s="158"/>
      <c r="Q1203" s="158"/>
      <c r="R1203" s="158"/>
      <c r="S1203" s="158"/>
      <c r="T1203" s="158"/>
      <c r="U1203" s="158"/>
      <c r="V1203" s="158"/>
      <c r="W1203" s="158"/>
      <c r="X1203" s="158"/>
    </row>
    <row r="1204">
      <c r="A1204" s="176"/>
      <c r="B1204" s="177"/>
      <c r="C1204" s="158"/>
      <c r="D1204" s="158"/>
      <c r="E1204" s="158"/>
      <c r="G1204" s="158"/>
      <c r="H1204" s="158"/>
      <c r="I1204" s="158"/>
      <c r="J1204" s="158"/>
      <c r="K1204" s="158"/>
      <c r="L1204" s="158"/>
      <c r="M1204" s="158"/>
      <c r="N1204" s="158"/>
      <c r="O1204" s="158"/>
      <c r="P1204" s="158"/>
      <c r="Q1204" s="158"/>
      <c r="R1204" s="158"/>
      <c r="S1204" s="158"/>
      <c r="T1204" s="158"/>
      <c r="U1204" s="158"/>
      <c r="V1204" s="158"/>
      <c r="W1204" s="158"/>
      <c r="X1204" s="158"/>
    </row>
    <row r="1205">
      <c r="A1205" s="176"/>
      <c r="B1205" s="177"/>
      <c r="C1205" s="158"/>
      <c r="D1205" s="158"/>
      <c r="E1205" s="158"/>
      <c r="F1205" s="158"/>
      <c r="G1205" s="158"/>
      <c r="H1205" s="158"/>
      <c r="I1205" s="158"/>
      <c r="J1205" s="158"/>
      <c r="K1205" s="158"/>
      <c r="L1205" s="158"/>
      <c r="M1205" s="158"/>
      <c r="N1205" s="158"/>
      <c r="O1205" s="158"/>
      <c r="P1205" s="158"/>
      <c r="Q1205" s="158"/>
      <c r="R1205" s="158"/>
      <c r="S1205" s="158"/>
      <c r="T1205" s="158"/>
      <c r="U1205" s="158"/>
      <c r="V1205" s="158"/>
      <c r="W1205" s="158"/>
      <c r="X1205" s="158"/>
    </row>
    <row r="1206">
      <c r="A1206" s="176"/>
      <c r="B1206" s="177"/>
      <c r="C1206" s="158"/>
      <c r="D1206" s="158"/>
      <c r="E1206" s="158"/>
      <c r="F1206" s="158"/>
      <c r="G1206" s="158"/>
      <c r="H1206" s="158"/>
      <c r="I1206" s="158"/>
      <c r="J1206" s="158"/>
      <c r="K1206" s="158"/>
      <c r="L1206" s="158"/>
      <c r="M1206" s="158"/>
      <c r="N1206" s="158"/>
      <c r="O1206" s="158"/>
      <c r="P1206" s="158"/>
      <c r="Q1206" s="158"/>
      <c r="R1206" s="158"/>
      <c r="S1206" s="158"/>
      <c r="T1206" s="158"/>
      <c r="U1206" s="158"/>
      <c r="V1206" s="158"/>
      <c r="W1206" s="158"/>
      <c r="X1206" s="158"/>
    </row>
    <row r="1207">
      <c r="A1207" s="176"/>
      <c r="B1207" s="177"/>
      <c r="C1207" s="158"/>
      <c r="D1207" s="158"/>
      <c r="E1207" s="158"/>
      <c r="F1207" s="158"/>
      <c r="G1207" s="158"/>
      <c r="H1207" s="158"/>
      <c r="I1207" s="158"/>
      <c r="J1207" s="158"/>
      <c r="K1207" s="158"/>
      <c r="L1207" s="158"/>
      <c r="M1207" s="158"/>
      <c r="N1207" s="158"/>
      <c r="O1207" s="158"/>
      <c r="P1207" s="158"/>
      <c r="Q1207" s="158"/>
      <c r="R1207" s="158"/>
      <c r="S1207" s="158"/>
      <c r="T1207" s="158"/>
      <c r="U1207" s="158"/>
      <c r="V1207" s="158"/>
      <c r="W1207" s="158"/>
      <c r="X1207" s="158"/>
    </row>
    <row r="1208">
      <c r="A1208" s="176"/>
      <c r="B1208" s="177"/>
      <c r="C1208" s="158"/>
      <c r="D1208" s="158"/>
      <c r="E1208" s="158"/>
      <c r="F1208" s="158"/>
      <c r="G1208" s="158"/>
      <c r="H1208" s="158"/>
      <c r="I1208" s="158"/>
      <c r="J1208" s="158"/>
      <c r="K1208" s="158"/>
      <c r="L1208" s="158"/>
      <c r="M1208" s="158"/>
      <c r="N1208" s="158"/>
      <c r="O1208" s="158"/>
      <c r="P1208" s="158"/>
      <c r="Q1208" s="158"/>
      <c r="R1208" s="158"/>
      <c r="S1208" s="158"/>
      <c r="T1208" s="158"/>
      <c r="U1208" s="158"/>
      <c r="V1208" s="158"/>
      <c r="W1208" s="158"/>
      <c r="X1208" s="158"/>
    </row>
    <row r="1209">
      <c r="A1209" s="176"/>
      <c r="B1209" s="177"/>
      <c r="C1209" s="158"/>
      <c r="D1209" s="158"/>
      <c r="E1209" s="158"/>
      <c r="F1209" s="158"/>
      <c r="G1209" s="158"/>
      <c r="H1209" s="158"/>
      <c r="I1209" s="158"/>
      <c r="J1209" s="158"/>
      <c r="K1209" s="158"/>
      <c r="L1209" s="158"/>
      <c r="M1209" s="158"/>
      <c r="N1209" s="158"/>
      <c r="O1209" s="158"/>
      <c r="P1209" s="158"/>
      <c r="Q1209" s="158"/>
      <c r="R1209" s="158"/>
      <c r="S1209" s="158"/>
      <c r="T1209" s="158"/>
      <c r="U1209" s="158"/>
      <c r="V1209" s="158"/>
      <c r="W1209" s="158"/>
      <c r="X1209" s="158"/>
    </row>
    <row r="1210">
      <c r="A1210" s="176"/>
      <c r="B1210" s="177"/>
      <c r="C1210" s="158"/>
      <c r="D1210" s="158"/>
      <c r="E1210" s="158"/>
      <c r="F1210" s="158"/>
      <c r="G1210" s="158"/>
      <c r="H1210" s="158"/>
      <c r="I1210" s="158"/>
      <c r="J1210" s="158"/>
      <c r="K1210" s="158"/>
      <c r="L1210" s="158"/>
      <c r="M1210" s="158"/>
      <c r="N1210" s="158"/>
      <c r="O1210" s="158"/>
      <c r="P1210" s="158"/>
      <c r="Q1210" s="158"/>
      <c r="R1210" s="158"/>
      <c r="S1210" s="158"/>
      <c r="T1210" s="158"/>
      <c r="U1210" s="158"/>
      <c r="V1210" s="158"/>
      <c r="W1210" s="158"/>
      <c r="X1210" s="158"/>
    </row>
    <row r="1211">
      <c r="A1211" s="176"/>
      <c r="B1211" s="177"/>
      <c r="C1211" s="158"/>
      <c r="D1211" s="158"/>
      <c r="E1211" s="158"/>
      <c r="F1211" s="158"/>
      <c r="G1211" s="158"/>
      <c r="H1211" s="158"/>
      <c r="I1211" s="158"/>
      <c r="J1211" s="158"/>
      <c r="K1211" s="158"/>
      <c r="L1211" s="158"/>
      <c r="M1211" s="158"/>
      <c r="N1211" s="158"/>
      <c r="O1211" s="158"/>
      <c r="P1211" s="158"/>
      <c r="Q1211" s="158"/>
      <c r="R1211" s="158"/>
      <c r="S1211" s="158"/>
      <c r="T1211" s="158"/>
      <c r="U1211" s="158"/>
      <c r="V1211" s="158"/>
      <c r="W1211" s="158"/>
      <c r="X1211" s="158"/>
    </row>
    <row r="1212">
      <c r="A1212" s="176"/>
      <c r="B1212" s="177"/>
      <c r="C1212" s="158"/>
      <c r="D1212" s="158"/>
      <c r="E1212" s="158"/>
      <c r="F1212" s="158"/>
      <c r="G1212" s="158"/>
      <c r="H1212" s="158"/>
      <c r="I1212" s="158"/>
      <c r="J1212" s="158"/>
      <c r="K1212" s="158"/>
      <c r="L1212" s="158"/>
      <c r="M1212" s="158"/>
      <c r="N1212" s="158"/>
      <c r="O1212" s="158"/>
      <c r="P1212" s="158"/>
      <c r="Q1212" s="158"/>
      <c r="R1212" s="158"/>
      <c r="S1212" s="158"/>
      <c r="T1212" s="158"/>
      <c r="U1212" s="158"/>
      <c r="V1212" s="158"/>
      <c r="W1212" s="158"/>
      <c r="X1212" s="158"/>
    </row>
    <row r="1213">
      <c r="A1213" s="176"/>
      <c r="B1213" s="177"/>
      <c r="C1213" s="158"/>
      <c r="D1213" s="158"/>
      <c r="E1213" s="158"/>
      <c r="F1213" s="158"/>
      <c r="G1213" s="158"/>
      <c r="H1213" s="158"/>
      <c r="I1213" s="158"/>
      <c r="J1213" s="158"/>
      <c r="K1213" s="158"/>
      <c r="L1213" s="158"/>
      <c r="M1213" s="158"/>
      <c r="N1213" s="158"/>
      <c r="O1213" s="158"/>
      <c r="P1213" s="158"/>
      <c r="Q1213" s="158"/>
      <c r="R1213" s="158"/>
      <c r="S1213" s="158"/>
      <c r="T1213" s="158"/>
      <c r="U1213" s="158"/>
      <c r="V1213" s="158"/>
      <c r="W1213" s="158"/>
      <c r="X1213" s="158"/>
    </row>
    <row r="1214">
      <c r="A1214" s="176"/>
      <c r="B1214" s="177"/>
      <c r="C1214" s="158"/>
      <c r="D1214" s="158"/>
      <c r="E1214" s="158"/>
      <c r="F1214" s="158"/>
      <c r="G1214" s="158"/>
      <c r="H1214" s="158"/>
      <c r="I1214" s="158"/>
      <c r="J1214" s="158"/>
      <c r="K1214" s="158"/>
      <c r="L1214" s="158"/>
      <c r="M1214" s="158"/>
      <c r="N1214" s="158"/>
      <c r="O1214" s="158"/>
      <c r="P1214" s="158"/>
      <c r="Q1214" s="158"/>
      <c r="R1214" s="158"/>
      <c r="S1214" s="158"/>
      <c r="T1214" s="158"/>
      <c r="U1214" s="158"/>
      <c r="V1214" s="158"/>
      <c r="W1214" s="158"/>
      <c r="X1214" s="158"/>
    </row>
    <row r="1215">
      <c r="A1215" s="176"/>
      <c r="B1215" s="177"/>
      <c r="C1215" s="158"/>
      <c r="D1215" s="158"/>
      <c r="E1215" s="158"/>
      <c r="F1215" s="158"/>
      <c r="G1215" s="158"/>
      <c r="H1215" s="158"/>
      <c r="I1215" s="158"/>
      <c r="J1215" s="158"/>
      <c r="K1215" s="158"/>
      <c r="L1215" s="158"/>
      <c r="M1215" s="158"/>
      <c r="N1215" s="158"/>
      <c r="O1215" s="158"/>
      <c r="P1215" s="158"/>
      <c r="Q1215" s="158"/>
      <c r="R1215" s="158"/>
      <c r="S1215" s="158"/>
      <c r="T1215" s="158"/>
      <c r="U1215" s="158"/>
      <c r="V1215" s="158"/>
      <c r="W1215" s="158"/>
      <c r="X1215" s="158"/>
    </row>
    <row r="1216">
      <c r="A1216" s="176"/>
      <c r="B1216" s="177"/>
      <c r="C1216" s="158"/>
      <c r="D1216" s="158"/>
      <c r="E1216" s="158"/>
      <c r="F1216" s="158"/>
      <c r="G1216" s="158"/>
      <c r="H1216" s="158"/>
      <c r="I1216" s="158"/>
      <c r="J1216" s="158"/>
      <c r="K1216" s="158"/>
      <c r="L1216" s="158"/>
      <c r="M1216" s="158"/>
      <c r="N1216" s="158"/>
      <c r="O1216" s="158"/>
      <c r="P1216" s="158"/>
      <c r="Q1216" s="158"/>
      <c r="R1216" s="158"/>
      <c r="S1216" s="158"/>
      <c r="T1216" s="158"/>
      <c r="U1216" s="158"/>
      <c r="V1216" s="158"/>
      <c r="W1216" s="158"/>
      <c r="X1216" s="158"/>
    </row>
    <row r="1217">
      <c r="A1217" s="176"/>
      <c r="B1217" s="177"/>
      <c r="C1217" s="158"/>
      <c r="D1217" s="158"/>
      <c r="E1217" s="158"/>
      <c r="F1217" s="158"/>
      <c r="G1217" s="158"/>
      <c r="H1217" s="158"/>
      <c r="I1217" s="158"/>
      <c r="J1217" s="158"/>
      <c r="K1217" s="158"/>
      <c r="L1217" s="158"/>
      <c r="M1217" s="158"/>
      <c r="N1217" s="158"/>
      <c r="O1217" s="158"/>
      <c r="P1217" s="158"/>
      <c r="Q1217" s="158"/>
      <c r="R1217" s="158"/>
      <c r="S1217" s="158"/>
      <c r="T1217" s="158"/>
      <c r="U1217" s="158"/>
      <c r="V1217" s="158"/>
      <c r="W1217" s="158"/>
      <c r="X1217" s="158"/>
    </row>
    <row r="1218">
      <c r="A1218" s="176"/>
      <c r="B1218" s="177"/>
      <c r="C1218" s="158"/>
      <c r="D1218" s="158"/>
      <c r="E1218" s="158"/>
      <c r="F1218" s="158"/>
      <c r="G1218" s="158"/>
      <c r="H1218" s="158"/>
      <c r="I1218" s="158"/>
      <c r="J1218" s="158"/>
      <c r="K1218" s="158"/>
      <c r="L1218" s="158"/>
      <c r="M1218" s="158"/>
      <c r="N1218" s="158"/>
      <c r="O1218" s="158"/>
      <c r="P1218" s="158"/>
      <c r="Q1218" s="158"/>
      <c r="R1218" s="158"/>
      <c r="S1218" s="158"/>
      <c r="T1218" s="158"/>
      <c r="U1218" s="158"/>
      <c r="V1218" s="158"/>
      <c r="W1218" s="158"/>
      <c r="X1218" s="158"/>
    </row>
    <row r="1219">
      <c r="A1219" s="176"/>
      <c r="B1219" s="177"/>
      <c r="C1219" s="158"/>
      <c r="D1219" s="158"/>
      <c r="E1219" s="158"/>
      <c r="F1219" s="158"/>
      <c r="G1219" s="158"/>
      <c r="H1219" s="158"/>
      <c r="I1219" s="158"/>
      <c r="J1219" s="158"/>
      <c r="K1219" s="158"/>
      <c r="L1219" s="158"/>
      <c r="M1219" s="158"/>
      <c r="N1219" s="158"/>
      <c r="O1219" s="158"/>
      <c r="P1219" s="158"/>
      <c r="Q1219" s="158"/>
      <c r="R1219" s="158"/>
      <c r="S1219" s="158"/>
      <c r="T1219" s="158"/>
      <c r="U1219" s="158"/>
      <c r="V1219" s="158"/>
      <c r="W1219" s="158"/>
      <c r="X1219" s="158"/>
    </row>
    <row r="1220">
      <c r="A1220" s="176"/>
      <c r="B1220" s="177"/>
      <c r="C1220" s="158"/>
      <c r="D1220" s="158"/>
      <c r="E1220" s="158"/>
      <c r="F1220" s="158"/>
      <c r="G1220" s="158"/>
      <c r="H1220" s="158"/>
      <c r="I1220" s="158"/>
      <c r="J1220" s="158"/>
      <c r="K1220" s="158"/>
      <c r="L1220" s="158"/>
      <c r="M1220" s="158"/>
      <c r="N1220" s="158"/>
      <c r="O1220" s="158"/>
      <c r="P1220" s="158"/>
      <c r="Q1220" s="158"/>
      <c r="R1220" s="158"/>
      <c r="S1220" s="158"/>
      <c r="T1220" s="158"/>
      <c r="U1220" s="158"/>
      <c r="V1220" s="158"/>
      <c r="W1220" s="158"/>
      <c r="X1220" s="158"/>
    </row>
    <row r="1221">
      <c r="A1221" s="176"/>
      <c r="B1221" s="177"/>
      <c r="C1221" s="158"/>
      <c r="D1221" s="158"/>
      <c r="E1221" s="158"/>
      <c r="F1221" s="158"/>
      <c r="G1221" s="158"/>
      <c r="H1221" s="158"/>
      <c r="I1221" s="158"/>
      <c r="J1221" s="158"/>
      <c r="K1221" s="158"/>
      <c r="L1221" s="158"/>
      <c r="M1221" s="158"/>
      <c r="N1221" s="158"/>
      <c r="O1221" s="158"/>
      <c r="P1221" s="158"/>
      <c r="Q1221" s="158"/>
      <c r="R1221" s="158"/>
      <c r="S1221" s="158"/>
      <c r="T1221" s="158"/>
      <c r="U1221" s="158"/>
      <c r="V1221" s="158"/>
      <c r="W1221" s="158"/>
      <c r="X1221" s="158"/>
    </row>
    <row r="1222">
      <c r="A1222" s="176"/>
      <c r="B1222" s="177"/>
      <c r="C1222" s="158"/>
      <c r="D1222" s="158"/>
      <c r="E1222" s="158"/>
      <c r="F1222" s="158"/>
      <c r="G1222" s="158"/>
      <c r="H1222" s="158"/>
      <c r="I1222" s="158"/>
      <c r="J1222" s="158"/>
      <c r="K1222" s="158"/>
      <c r="L1222" s="158"/>
      <c r="M1222" s="158"/>
      <c r="N1222" s="158"/>
      <c r="O1222" s="158"/>
      <c r="P1222" s="158"/>
      <c r="Q1222" s="158"/>
      <c r="R1222" s="158"/>
      <c r="S1222" s="158"/>
      <c r="T1222" s="158"/>
      <c r="U1222" s="158"/>
      <c r="V1222" s="158"/>
      <c r="W1222" s="158"/>
      <c r="X1222" s="158"/>
    </row>
    <row r="1223">
      <c r="A1223" s="176"/>
      <c r="B1223" s="177"/>
      <c r="C1223" s="158"/>
      <c r="D1223" s="158"/>
      <c r="E1223" s="158"/>
      <c r="F1223" s="158"/>
      <c r="G1223" s="158"/>
      <c r="H1223" s="158"/>
      <c r="I1223" s="158"/>
      <c r="J1223" s="158"/>
      <c r="K1223" s="158"/>
      <c r="L1223" s="158"/>
      <c r="M1223" s="158"/>
      <c r="N1223" s="158"/>
      <c r="O1223" s="158"/>
      <c r="P1223" s="158"/>
      <c r="Q1223" s="158"/>
      <c r="R1223" s="158"/>
      <c r="S1223" s="158"/>
      <c r="T1223" s="158"/>
      <c r="U1223" s="158"/>
      <c r="V1223" s="158"/>
      <c r="W1223" s="158"/>
      <c r="X1223" s="158"/>
    </row>
    <row r="1224">
      <c r="A1224" s="176"/>
      <c r="B1224" s="177"/>
      <c r="C1224" s="158"/>
      <c r="D1224" s="158"/>
      <c r="E1224" s="158"/>
      <c r="F1224" s="158"/>
      <c r="G1224" s="158"/>
      <c r="H1224" s="158"/>
      <c r="I1224" s="158"/>
      <c r="J1224" s="158"/>
      <c r="K1224" s="158"/>
      <c r="L1224" s="158"/>
      <c r="M1224" s="158"/>
      <c r="N1224" s="158"/>
      <c r="O1224" s="158"/>
      <c r="P1224" s="158"/>
      <c r="Q1224" s="158"/>
      <c r="R1224" s="158"/>
      <c r="S1224" s="158"/>
      <c r="T1224" s="158"/>
      <c r="U1224" s="158"/>
      <c r="V1224" s="158"/>
      <c r="W1224" s="158"/>
      <c r="X1224" s="158"/>
    </row>
    <row r="1225">
      <c r="A1225" s="176"/>
      <c r="B1225" s="177"/>
      <c r="C1225" s="158"/>
      <c r="D1225" s="158"/>
      <c r="E1225" s="158"/>
      <c r="F1225" s="158"/>
      <c r="G1225" s="158"/>
      <c r="H1225" s="158"/>
      <c r="I1225" s="158"/>
      <c r="J1225" s="158"/>
      <c r="K1225" s="158"/>
      <c r="L1225" s="158"/>
      <c r="M1225" s="158"/>
      <c r="N1225" s="158"/>
      <c r="O1225" s="158"/>
      <c r="P1225" s="158"/>
      <c r="Q1225" s="158"/>
      <c r="R1225" s="158"/>
      <c r="S1225" s="158"/>
      <c r="T1225" s="158"/>
      <c r="U1225" s="158"/>
      <c r="V1225" s="158"/>
      <c r="W1225" s="158"/>
      <c r="X1225" s="158"/>
    </row>
    <row r="1226">
      <c r="A1226" s="176"/>
      <c r="B1226" s="177"/>
      <c r="C1226" s="158"/>
      <c r="D1226" s="158"/>
      <c r="E1226" s="158"/>
      <c r="F1226" s="158"/>
      <c r="G1226" s="158"/>
      <c r="H1226" s="158"/>
      <c r="I1226" s="158"/>
      <c r="J1226" s="158"/>
      <c r="K1226" s="158"/>
      <c r="L1226" s="158"/>
      <c r="M1226" s="158"/>
      <c r="N1226" s="158"/>
      <c r="O1226" s="158"/>
      <c r="P1226" s="158"/>
      <c r="Q1226" s="158"/>
      <c r="R1226" s="158"/>
      <c r="S1226" s="158"/>
      <c r="T1226" s="158"/>
      <c r="U1226" s="158"/>
      <c r="V1226" s="158"/>
      <c r="W1226" s="158"/>
      <c r="X1226" s="158"/>
    </row>
    <row r="1227">
      <c r="A1227" s="176"/>
      <c r="B1227" s="177"/>
      <c r="C1227" s="158"/>
      <c r="D1227" s="158"/>
      <c r="E1227" s="158"/>
      <c r="F1227" s="158"/>
      <c r="G1227" s="158"/>
      <c r="H1227" s="158"/>
      <c r="I1227" s="158"/>
      <c r="J1227" s="158"/>
      <c r="K1227" s="158"/>
      <c r="L1227" s="158"/>
      <c r="M1227" s="158"/>
      <c r="N1227" s="158"/>
      <c r="O1227" s="158"/>
      <c r="P1227" s="158"/>
      <c r="Q1227" s="158"/>
      <c r="R1227" s="158"/>
      <c r="S1227" s="158"/>
      <c r="T1227" s="158"/>
      <c r="U1227" s="158"/>
      <c r="V1227" s="158"/>
      <c r="W1227" s="158"/>
      <c r="X1227" s="158"/>
    </row>
    <row r="1228">
      <c r="A1228" s="176"/>
      <c r="B1228" s="177"/>
      <c r="C1228" s="158"/>
      <c r="D1228" s="158"/>
      <c r="E1228" s="158"/>
      <c r="F1228" s="158"/>
      <c r="G1228" s="158"/>
      <c r="H1228" s="158"/>
      <c r="I1228" s="158"/>
      <c r="J1228" s="158"/>
      <c r="K1228" s="158"/>
      <c r="L1228" s="158"/>
      <c r="M1228" s="158"/>
      <c r="N1228" s="158"/>
      <c r="O1228" s="158"/>
      <c r="P1228" s="158"/>
      <c r="Q1228" s="158"/>
      <c r="R1228" s="158"/>
      <c r="S1228" s="158"/>
      <c r="T1228" s="158"/>
      <c r="U1228" s="158"/>
      <c r="V1228" s="158"/>
      <c r="W1228" s="158"/>
      <c r="X1228" s="158"/>
    </row>
    <row r="1229">
      <c r="A1229" s="176"/>
      <c r="B1229" s="177"/>
      <c r="C1229" s="158"/>
      <c r="D1229" s="158"/>
      <c r="E1229" s="158"/>
      <c r="F1229" s="158"/>
      <c r="G1229" s="158"/>
      <c r="H1229" s="158"/>
      <c r="I1229" s="158"/>
      <c r="J1229" s="158"/>
      <c r="K1229" s="158"/>
      <c r="L1229" s="158"/>
      <c r="M1229" s="158"/>
      <c r="N1229" s="158"/>
      <c r="O1229" s="158"/>
      <c r="P1229" s="158"/>
      <c r="Q1229" s="158"/>
      <c r="R1229" s="158"/>
      <c r="S1229" s="158"/>
      <c r="T1229" s="158"/>
      <c r="U1229" s="158"/>
      <c r="V1229" s="158"/>
      <c r="W1229" s="158"/>
      <c r="X1229" s="158"/>
    </row>
    <row r="1230">
      <c r="A1230" s="176"/>
      <c r="B1230" s="177"/>
      <c r="C1230" s="158"/>
      <c r="D1230" s="158"/>
      <c r="E1230" s="158"/>
      <c r="F1230" s="158"/>
      <c r="G1230" s="158"/>
      <c r="H1230" s="158"/>
      <c r="I1230" s="158"/>
      <c r="J1230" s="158"/>
      <c r="K1230" s="158"/>
      <c r="L1230" s="158"/>
      <c r="M1230" s="158"/>
      <c r="N1230" s="158"/>
      <c r="O1230" s="158"/>
      <c r="P1230" s="158"/>
      <c r="Q1230" s="158"/>
      <c r="R1230" s="158"/>
      <c r="S1230" s="158"/>
      <c r="T1230" s="158"/>
      <c r="U1230" s="158"/>
      <c r="V1230" s="158"/>
      <c r="W1230" s="158"/>
      <c r="X1230" s="158"/>
    </row>
    <row r="1231">
      <c r="A1231" s="176"/>
      <c r="B1231" s="177"/>
      <c r="C1231" s="158"/>
      <c r="D1231" s="158"/>
      <c r="E1231" s="158"/>
      <c r="F1231" s="158"/>
      <c r="G1231" s="158"/>
      <c r="H1231" s="158"/>
      <c r="I1231" s="158"/>
      <c r="J1231" s="158"/>
      <c r="K1231" s="158"/>
      <c r="L1231" s="158"/>
      <c r="M1231" s="158"/>
      <c r="N1231" s="158"/>
      <c r="O1231" s="158"/>
      <c r="P1231" s="158"/>
      <c r="Q1231" s="158"/>
      <c r="R1231" s="158"/>
      <c r="S1231" s="158"/>
      <c r="T1231" s="158"/>
      <c r="U1231" s="158"/>
      <c r="V1231" s="158"/>
      <c r="W1231" s="158"/>
      <c r="X1231" s="158"/>
    </row>
    <row r="1232">
      <c r="A1232" s="176"/>
      <c r="B1232" s="177"/>
      <c r="C1232" s="158"/>
      <c r="D1232" s="158"/>
      <c r="E1232" s="158"/>
      <c r="F1232" s="158"/>
      <c r="G1232" s="158"/>
      <c r="H1232" s="158"/>
      <c r="I1232" s="158"/>
      <c r="J1232" s="158"/>
      <c r="K1232" s="158"/>
      <c r="L1232" s="158"/>
      <c r="M1232" s="158"/>
      <c r="N1232" s="158"/>
      <c r="O1232" s="158"/>
      <c r="P1232" s="158"/>
      <c r="Q1232" s="158"/>
      <c r="R1232" s="158"/>
      <c r="S1232" s="158"/>
      <c r="T1232" s="158"/>
      <c r="U1232" s="158"/>
      <c r="V1232" s="158"/>
      <c r="W1232" s="158"/>
      <c r="X1232" s="158"/>
    </row>
    <row r="1233">
      <c r="A1233" s="176"/>
      <c r="B1233" s="177"/>
      <c r="C1233" s="158"/>
      <c r="D1233" s="158"/>
      <c r="E1233" s="158"/>
      <c r="F1233" s="158"/>
      <c r="G1233" s="158"/>
      <c r="H1233" s="158"/>
      <c r="I1233" s="158"/>
      <c r="J1233" s="158"/>
      <c r="K1233" s="158"/>
      <c r="L1233" s="158"/>
      <c r="M1233" s="158"/>
      <c r="N1233" s="158"/>
      <c r="O1233" s="158"/>
      <c r="P1233" s="158"/>
      <c r="Q1233" s="158"/>
      <c r="R1233" s="158"/>
      <c r="S1233" s="158"/>
      <c r="T1233" s="158"/>
      <c r="U1233" s="158"/>
      <c r="V1233" s="158"/>
      <c r="W1233" s="158"/>
      <c r="X1233" s="158"/>
    </row>
    <row r="1234">
      <c r="A1234" s="176"/>
      <c r="B1234" s="177"/>
      <c r="C1234" s="158"/>
      <c r="D1234" s="158"/>
      <c r="E1234" s="158"/>
      <c r="F1234" s="158"/>
      <c r="G1234" s="158"/>
      <c r="H1234" s="158"/>
      <c r="I1234" s="158"/>
      <c r="J1234" s="158"/>
      <c r="K1234" s="158"/>
      <c r="L1234" s="158"/>
      <c r="M1234" s="158"/>
      <c r="N1234" s="158"/>
      <c r="O1234" s="158"/>
      <c r="P1234" s="158"/>
      <c r="Q1234" s="158"/>
      <c r="R1234" s="158"/>
      <c r="S1234" s="158"/>
      <c r="T1234" s="158"/>
      <c r="U1234" s="158"/>
      <c r="V1234" s="158"/>
      <c r="W1234" s="158"/>
      <c r="X1234" s="158"/>
    </row>
    <row r="1235">
      <c r="A1235" s="176"/>
      <c r="B1235" s="177"/>
      <c r="C1235" s="158"/>
      <c r="D1235" s="158"/>
      <c r="E1235" s="158"/>
      <c r="F1235" s="158"/>
      <c r="G1235" s="158"/>
      <c r="H1235" s="158"/>
      <c r="I1235" s="158"/>
      <c r="J1235" s="158"/>
      <c r="K1235" s="158"/>
      <c r="L1235" s="158"/>
      <c r="M1235" s="158"/>
      <c r="N1235" s="158"/>
      <c r="O1235" s="158"/>
      <c r="P1235" s="158"/>
      <c r="Q1235" s="158"/>
      <c r="R1235" s="158"/>
      <c r="S1235" s="158"/>
      <c r="T1235" s="158"/>
      <c r="U1235" s="158"/>
      <c r="V1235" s="158"/>
      <c r="W1235" s="158"/>
      <c r="X1235" s="158"/>
    </row>
    <row r="1236">
      <c r="A1236" s="176"/>
      <c r="B1236" s="177"/>
      <c r="C1236" s="158"/>
      <c r="D1236" s="158"/>
      <c r="E1236" s="158"/>
      <c r="F1236" s="158"/>
      <c r="G1236" s="158"/>
      <c r="H1236" s="158"/>
      <c r="I1236" s="158"/>
      <c r="J1236" s="158"/>
      <c r="K1236" s="158"/>
      <c r="L1236" s="158"/>
      <c r="M1236" s="158"/>
      <c r="N1236" s="158"/>
      <c r="O1236" s="158"/>
      <c r="P1236" s="158"/>
      <c r="Q1236" s="158"/>
      <c r="R1236" s="158"/>
      <c r="S1236" s="158"/>
      <c r="T1236" s="158"/>
      <c r="U1236" s="158"/>
      <c r="V1236" s="158"/>
      <c r="W1236" s="158"/>
      <c r="X1236" s="158"/>
    </row>
    <row r="1237">
      <c r="A1237" s="176"/>
      <c r="B1237" s="177"/>
      <c r="C1237" s="158"/>
      <c r="D1237" s="158"/>
      <c r="E1237" s="158"/>
      <c r="F1237" s="158"/>
      <c r="G1237" s="158"/>
      <c r="H1237" s="158"/>
      <c r="I1237" s="158"/>
      <c r="J1237" s="158"/>
      <c r="K1237" s="158"/>
      <c r="L1237" s="158"/>
      <c r="M1237" s="158"/>
      <c r="N1237" s="158"/>
      <c r="O1237" s="158"/>
      <c r="P1237" s="158"/>
      <c r="Q1237" s="158"/>
      <c r="R1237" s="158"/>
      <c r="S1237" s="158"/>
      <c r="T1237" s="158"/>
      <c r="U1237" s="158"/>
      <c r="V1237" s="158"/>
      <c r="W1237" s="158"/>
      <c r="X1237" s="158"/>
    </row>
    <row r="1238">
      <c r="A1238" s="176"/>
      <c r="B1238" s="177"/>
      <c r="C1238" s="158"/>
      <c r="D1238" s="158"/>
      <c r="E1238" s="158"/>
      <c r="F1238" s="158"/>
      <c r="G1238" s="158"/>
      <c r="H1238" s="158"/>
      <c r="I1238" s="158"/>
      <c r="J1238" s="158"/>
      <c r="K1238" s="158"/>
      <c r="L1238" s="158"/>
      <c r="M1238" s="158"/>
      <c r="N1238" s="158"/>
      <c r="O1238" s="158"/>
      <c r="P1238" s="158"/>
      <c r="Q1238" s="158"/>
      <c r="R1238" s="158"/>
      <c r="S1238" s="158"/>
      <c r="T1238" s="158"/>
      <c r="U1238" s="158"/>
      <c r="V1238" s="158"/>
      <c r="W1238" s="158"/>
      <c r="X1238" s="158"/>
    </row>
    <row r="1239">
      <c r="A1239" s="176"/>
      <c r="B1239" s="177"/>
      <c r="C1239" s="158"/>
      <c r="D1239" s="158"/>
      <c r="E1239" s="158"/>
      <c r="F1239" s="158"/>
      <c r="G1239" s="158"/>
      <c r="H1239" s="158"/>
      <c r="I1239" s="158"/>
      <c r="J1239" s="158"/>
      <c r="K1239" s="158"/>
      <c r="L1239" s="158"/>
      <c r="M1239" s="158"/>
      <c r="N1239" s="158"/>
      <c r="O1239" s="158"/>
      <c r="P1239" s="158"/>
      <c r="Q1239" s="158"/>
      <c r="R1239" s="158"/>
      <c r="S1239" s="158"/>
      <c r="T1239" s="158"/>
      <c r="U1239" s="158"/>
      <c r="V1239" s="158"/>
      <c r="W1239" s="158"/>
      <c r="X1239" s="158"/>
    </row>
    <row r="1240">
      <c r="A1240" s="176"/>
      <c r="B1240" s="177"/>
      <c r="C1240" s="158"/>
      <c r="D1240" s="158"/>
      <c r="E1240" s="158"/>
      <c r="F1240" s="158"/>
      <c r="G1240" s="158"/>
      <c r="H1240" s="158"/>
      <c r="I1240" s="158"/>
      <c r="J1240" s="158"/>
      <c r="K1240" s="158"/>
      <c r="L1240" s="158"/>
      <c r="M1240" s="158"/>
      <c r="N1240" s="158"/>
      <c r="O1240" s="158"/>
      <c r="P1240" s="158"/>
      <c r="Q1240" s="158"/>
      <c r="R1240" s="158"/>
      <c r="S1240" s="158"/>
      <c r="T1240" s="158"/>
      <c r="U1240" s="158"/>
      <c r="V1240" s="158"/>
      <c r="W1240" s="158"/>
      <c r="X1240" s="158"/>
    </row>
    <row r="1241">
      <c r="A1241" s="176"/>
      <c r="B1241" s="177"/>
      <c r="C1241" s="158"/>
      <c r="D1241" s="158"/>
      <c r="E1241" s="158"/>
      <c r="F1241" s="158"/>
      <c r="G1241" s="158"/>
      <c r="H1241" s="158"/>
      <c r="I1241" s="158"/>
      <c r="J1241" s="158"/>
      <c r="K1241" s="158"/>
      <c r="L1241" s="158"/>
      <c r="M1241" s="158"/>
      <c r="N1241" s="158"/>
      <c r="O1241" s="158"/>
      <c r="P1241" s="158"/>
      <c r="Q1241" s="158"/>
      <c r="R1241" s="158"/>
      <c r="S1241" s="158"/>
      <c r="T1241" s="158"/>
      <c r="U1241" s="158"/>
      <c r="V1241" s="158"/>
      <c r="W1241" s="158"/>
      <c r="X1241" s="158"/>
    </row>
    <row r="1242">
      <c r="A1242" s="176"/>
      <c r="B1242" s="177"/>
      <c r="C1242" s="158"/>
      <c r="D1242" s="158"/>
      <c r="E1242" s="158"/>
      <c r="F1242" s="158"/>
      <c r="G1242" s="158"/>
      <c r="H1242" s="158"/>
      <c r="I1242" s="158"/>
      <c r="J1242" s="158"/>
      <c r="K1242" s="158"/>
      <c r="L1242" s="158"/>
      <c r="M1242" s="158"/>
      <c r="N1242" s="158"/>
      <c r="O1242" s="158"/>
      <c r="P1242" s="158"/>
      <c r="Q1242" s="158"/>
      <c r="R1242" s="158"/>
      <c r="S1242" s="158"/>
      <c r="T1242" s="158"/>
      <c r="U1242" s="158"/>
      <c r="V1242" s="158"/>
      <c r="W1242" s="158"/>
      <c r="X1242" s="158"/>
    </row>
    <row r="1243">
      <c r="A1243" s="176"/>
      <c r="B1243" s="177"/>
      <c r="C1243" s="158"/>
      <c r="D1243" s="158"/>
      <c r="E1243" s="158"/>
      <c r="F1243" s="158"/>
      <c r="G1243" s="158"/>
      <c r="H1243" s="158"/>
      <c r="I1243" s="158"/>
      <c r="J1243" s="158"/>
      <c r="K1243" s="158"/>
      <c r="L1243" s="158"/>
      <c r="M1243" s="158"/>
      <c r="N1243" s="158"/>
      <c r="O1243" s="158"/>
      <c r="P1243" s="158"/>
      <c r="Q1243" s="158"/>
      <c r="R1243" s="158"/>
      <c r="S1243" s="158"/>
      <c r="T1243" s="158"/>
      <c r="U1243" s="158"/>
      <c r="V1243" s="158"/>
      <c r="W1243" s="158"/>
      <c r="X1243" s="158"/>
    </row>
    <row r="1244">
      <c r="A1244" s="176"/>
      <c r="B1244" s="177"/>
      <c r="C1244" s="158"/>
      <c r="D1244" s="158"/>
      <c r="E1244" s="158"/>
      <c r="F1244" s="158"/>
      <c r="G1244" s="158"/>
      <c r="H1244" s="158"/>
      <c r="I1244" s="158"/>
      <c r="J1244" s="158"/>
      <c r="K1244" s="158"/>
      <c r="L1244" s="158"/>
      <c r="M1244" s="158"/>
      <c r="N1244" s="158"/>
      <c r="O1244" s="158"/>
      <c r="P1244" s="158"/>
      <c r="Q1244" s="158"/>
      <c r="R1244" s="158"/>
      <c r="S1244" s="158"/>
      <c r="T1244" s="158"/>
      <c r="U1244" s="158"/>
      <c r="V1244" s="158"/>
      <c r="W1244" s="158"/>
      <c r="X1244" s="158"/>
    </row>
    <row r="1245">
      <c r="A1245" s="176"/>
      <c r="B1245" s="177"/>
      <c r="C1245" s="158"/>
      <c r="D1245" s="158"/>
      <c r="E1245" s="158"/>
      <c r="F1245" s="158"/>
      <c r="G1245" s="158"/>
      <c r="H1245" s="158"/>
      <c r="I1245" s="158"/>
      <c r="J1245" s="158"/>
      <c r="K1245" s="158"/>
      <c r="L1245" s="158"/>
      <c r="M1245" s="158"/>
      <c r="N1245" s="158"/>
      <c r="O1245" s="158"/>
      <c r="P1245" s="158"/>
      <c r="Q1245" s="158"/>
      <c r="R1245" s="158"/>
      <c r="S1245" s="158"/>
      <c r="T1245" s="158"/>
      <c r="U1245" s="158"/>
      <c r="V1245" s="158"/>
      <c r="W1245" s="158"/>
      <c r="X1245" s="158"/>
    </row>
    <row r="1246">
      <c r="A1246" s="176"/>
      <c r="B1246" s="177"/>
      <c r="C1246" s="158"/>
      <c r="D1246" s="158"/>
      <c r="E1246" s="158"/>
      <c r="F1246" s="158"/>
      <c r="G1246" s="158"/>
      <c r="H1246" s="158"/>
      <c r="I1246" s="158"/>
      <c r="J1246" s="158"/>
      <c r="K1246" s="158"/>
      <c r="L1246" s="158"/>
      <c r="M1246" s="158"/>
      <c r="N1246" s="158"/>
      <c r="O1246" s="158"/>
      <c r="P1246" s="158"/>
      <c r="Q1246" s="158"/>
      <c r="R1246" s="158"/>
      <c r="S1246" s="158"/>
      <c r="T1246" s="158"/>
      <c r="U1246" s="158"/>
      <c r="V1246" s="158"/>
      <c r="W1246" s="158"/>
      <c r="X1246" s="158"/>
    </row>
    <row r="1247">
      <c r="A1247" s="176"/>
      <c r="B1247" s="177"/>
      <c r="C1247" s="158"/>
      <c r="D1247" s="158"/>
      <c r="E1247" s="158"/>
      <c r="F1247" s="158"/>
      <c r="G1247" s="158"/>
      <c r="H1247" s="158"/>
      <c r="I1247" s="158"/>
      <c r="J1247" s="158"/>
      <c r="K1247" s="158"/>
      <c r="L1247" s="158"/>
      <c r="M1247" s="158"/>
      <c r="N1247" s="158"/>
      <c r="O1247" s="158"/>
      <c r="P1247" s="158"/>
      <c r="Q1247" s="158"/>
      <c r="R1247" s="158"/>
      <c r="S1247" s="158"/>
      <c r="T1247" s="158"/>
      <c r="U1247" s="158"/>
      <c r="V1247" s="158"/>
      <c r="W1247" s="158"/>
      <c r="X1247" s="158"/>
    </row>
    <row r="1248">
      <c r="A1248" s="176"/>
      <c r="B1248" s="177"/>
      <c r="C1248" s="158"/>
      <c r="D1248" s="158"/>
      <c r="E1248" s="158"/>
      <c r="F1248" s="158"/>
      <c r="G1248" s="158"/>
      <c r="H1248" s="158"/>
      <c r="I1248" s="158"/>
      <c r="J1248" s="158"/>
      <c r="K1248" s="158"/>
      <c r="L1248" s="158"/>
      <c r="M1248" s="158"/>
      <c r="N1248" s="158"/>
      <c r="O1248" s="158"/>
      <c r="P1248" s="158"/>
      <c r="Q1248" s="158"/>
      <c r="R1248" s="158"/>
      <c r="S1248" s="158"/>
      <c r="T1248" s="158"/>
      <c r="U1248" s="158"/>
      <c r="V1248" s="158"/>
      <c r="W1248" s="158"/>
      <c r="X1248" s="158"/>
    </row>
    <row r="1249">
      <c r="A1249" s="176"/>
      <c r="B1249" s="177"/>
      <c r="C1249" s="158"/>
      <c r="D1249" s="158"/>
      <c r="E1249" s="158"/>
      <c r="F1249" s="158"/>
      <c r="G1249" s="158"/>
      <c r="H1249" s="158"/>
      <c r="I1249" s="158"/>
      <c r="J1249" s="158"/>
      <c r="K1249" s="158"/>
      <c r="L1249" s="158"/>
      <c r="M1249" s="158"/>
      <c r="N1249" s="158"/>
      <c r="O1249" s="158"/>
      <c r="P1249" s="158"/>
      <c r="Q1249" s="158"/>
      <c r="R1249" s="158"/>
      <c r="S1249" s="158"/>
      <c r="T1249" s="158"/>
      <c r="U1249" s="158"/>
      <c r="V1249" s="158"/>
      <c r="W1249" s="158"/>
      <c r="X1249" s="158"/>
    </row>
    <row r="1250">
      <c r="A1250" s="176"/>
      <c r="B1250" s="177"/>
      <c r="C1250" s="158"/>
      <c r="D1250" s="158"/>
      <c r="E1250" s="158"/>
      <c r="F1250" s="158"/>
      <c r="G1250" s="158"/>
      <c r="H1250" s="158"/>
      <c r="I1250" s="158"/>
      <c r="J1250" s="158"/>
      <c r="K1250" s="158"/>
      <c r="L1250" s="158"/>
      <c r="M1250" s="158"/>
      <c r="N1250" s="158"/>
      <c r="O1250" s="158"/>
      <c r="P1250" s="158"/>
      <c r="Q1250" s="158"/>
      <c r="R1250" s="158"/>
      <c r="S1250" s="158"/>
      <c r="T1250" s="158"/>
      <c r="U1250" s="158"/>
      <c r="V1250" s="158"/>
      <c r="W1250" s="158"/>
      <c r="X1250" s="158"/>
    </row>
    <row r="1251">
      <c r="A1251" s="176"/>
      <c r="B1251" s="177"/>
      <c r="C1251" s="158"/>
      <c r="D1251" s="158"/>
      <c r="E1251" s="158"/>
      <c r="F1251" s="158"/>
      <c r="G1251" s="158"/>
      <c r="H1251" s="158"/>
      <c r="I1251" s="158"/>
      <c r="J1251" s="158"/>
      <c r="K1251" s="158"/>
      <c r="L1251" s="158"/>
      <c r="M1251" s="158"/>
      <c r="N1251" s="158"/>
      <c r="O1251" s="158"/>
      <c r="P1251" s="158"/>
      <c r="Q1251" s="158"/>
      <c r="R1251" s="158"/>
      <c r="S1251" s="158"/>
      <c r="T1251" s="158"/>
      <c r="U1251" s="158"/>
      <c r="V1251" s="158"/>
      <c r="W1251" s="158"/>
      <c r="X1251" s="158"/>
    </row>
    <row r="1252">
      <c r="A1252" s="176"/>
      <c r="B1252" s="177"/>
      <c r="C1252" s="158"/>
      <c r="D1252" s="158"/>
      <c r="E1252" s="158"/>
      <c r="F1252" s="158"/>
      <c r="G1252" s="158"/>
      <c r="H1252" s="158"/>
      <c r="I1252" s="158"/>
      <c r="J1252" s="158"/>
      <c r="K1252" s="158"/>
      <c r="L1252" s="158"/>
      <c r="M1252" s="158"/>
      <c r="N1252" s="158"/>
      <c r="O1252" s="158"/>
      <c r="P1252" s="158"/>
      <c r="Q1252" s="158"/>
      <c r="R1252" s="158"/>
      <c r="S1252" s="158"/>
      <c r="T1252" s="158"/>
      <c r="U1252" s="158"/>
      <c r="V1252" s="158"/>
      <c r="W1252" s="158"/>
      <c r="X1252" s="158"/>
    </row>
    <row r="1253">
      <c r="A1253" s="176"/>
      <c r="B1253" s="177"/>
      <c r="C1253" s="158"/>
      <c r="D1253" s="158"/>
      <c r="E1253" s="158"/>
      <c r="F1253" s="158"/>
      <c r="G1253" s="158"/>
      <c r="H1253" s="158"/>
      <c r="I1253" s="158"/>
      <c r="J1253" s="158"/>
      <c r="K1253" s="158"/>
      <c r="L1253" s="158"/>
      <c r="M1253" s="158"/>
      <c r="N1253" s="158"/>
      <c r="O1253" s="158"/>
      <c r="P1253" s="158"/>
      <c r="Q1253" s="158"/>
      <c r="R1253" s="158"/>
      <c r="S1253" s="158"/>
      <c r="T1253" s="158"/>
      <c r="U1253" s="158"/>
      <c r="V1253" s="158"/>
      <c r="W1253" s="158"/>
      <c r="X1253" s="158"/>
    </row>
    <row r="1254">
      <c r="A1254" s="176"/>
      <c r="B1254" s="177"/>
      <c r="C1254" s="158"/>
      <c r="D1254" s="158"/>
      <c r="E1254" s="158"/>
      <c r="F1254" s="158"/>
      <c r="G1254" s="158"/>
      <c r="H1254" s="158"/>
      <c r="I1254" s="158"/>
      <c r="J1254" s="158"/>
      <c r="K1254" s="158"/>
      <c r="L1254" s="158"/>
      <c r="M1254" s="158"/>
      <c r="N1254" s="158"/>
      <c r="O1254" s="158"/>
      <c r="P1254" s="158"/>
      <c r="Q1254" s="158"/>
      <c r="R1254" s="158"/>
      <c r="S1254" s="158"/>
      <c r="T1254" s="158"/>
      <c r="U1254" s="158"/>
      <c r="V1254" s="158"/>
      <c r="W1254" s="158"/>
      <c r="X1254" s="158"/>
    </row>
    <row r="1255">
      <c r="A1255" s="176"/>
      <c r="B1255" s="177"/>
      <c r="C1255" s="158"/>
      <c r="D1255" s="158"/>
      <c r="E1255" s="158"/>
      <c r="F1255" s="158"/>
      <c r="G1255" s="158"/>
      <c r="H1255" s="158"/>
      <c r="I1255" s="158"/>
      <c r="J1255" s="158"/>
      <c r="K1255" s="158"/>
      <c r="L1255" s="158"/>
      <c r="M1255" s="158"/>
      <c r="N1255" s="158"/>
      <c r="O1255" s="158"/>
      <c r="P1255" s="158"/>
      <c r="Q1255" s="158"/>
      <c r="R1255" s="158"/>
      <c r="S1255" s="158"/>
      <c r="T1255" s="158"/>
      <c r="U1255" s="158"/>
      <c r="V1255" s="158"/>
      <c r="W1255" s="158"/>
      <c r="X1255" s="158"/>
    </row>
    <row r="1256">
      <c r="A1256" s="176"/>
      <c r="B1256" s="177"/>
      <c r="C1256" s="158"/>
      <c r="D1256" s="158"/>
      <c r="E1256" s="158"/>
      <c r="F1256" s="158"/>
      <c r="G1256" s="158"/>
      <c r="H1256" s="158"/>
      <c r="I1256" s="158"/>
      <c r="J1256" s="158"/>
      <c r="K1256" s="158"/>
      <c r="L1256" s="158"/>
      <c r="M1256" s="158"/>
      <c r="N1256" s="158"/>
      <c r="O1256" s="158"/>
      <c r="P1256" s="158"/>
      <c r="Q1256" s="158"/>
      <c r="R1256" s="158"/>
      <c r="S1256" s="158"/>
      <c r="T1256" s="158"/>
      <c r="U1256" s="158"/>
      <c r="V1256" s="158"/>
      <c r="W1256" s="158"/>
      <c r="X1256" s="158"/>
    </row>
    <row r="1257">
      <c r="A1257" s="176"/>
      <c r="B1257" s="177"/>
      <c r="C1257" s="158"/>
      <c r="D1257" s="158"/>
      <c r="E1257" s="158"/>
      <c r="F1257" s="158"/>
      <c r="G1257" s="158"/>
      <c r="H1257" s="158"/>
      <c r="I1257" s="158"/>
      <c r="J1257" s="158"/>
      <c r="K1257" s="158"/>
      <c r="L1257" s="158"/>
      <c r="M1257" s="158"/>
      <c r="N1257" s="158"/>
      <c r="O1257" s="158"/>
      <c r="P1257" s="158"/>
      <c r="Q1257" s="158"/>
      <c r="R1257" s="158"/>
      <c r="S1257" s="158"/>
      <c r="T1257" s="158"/>
      <c r="U1257" s="158"/>
      <c r="V1257" s="158"/>
      <c r="W1257" s="158"/>
      <c r="X1257" s="158"/>
    </row>
    <row r="1258">
      <c r="A1258" s="176"/>
      <c r="B1258" s="177"/>
      <c r="C1258" s="158"/>
      <c r="D1258" s="158"/>
      <c r="E1258" s="158"/>
      <c r="F1258" s="158"/>
      <c r="G1258" s="158"/>
      <c r="H1258" s="158"/>
      <c r="I1258" s="158"/>
      <c r="J1258" s="158"/>
      <c r="K1258" s="158"/>
      <c r="L1258" s="158"/>
      <c r="M1258" s="158"/>
      <c r="N1258" s="158"/>
      <c r="O1258" s="158"/>
      <c r="P1258" s="158"/>
      <c r="Q1258" s="158"/>
      <c r="R1258" s="158"/>
      <c r="S1258" s="158"/>
      <c r="T1258" s="158"/>
      <c r="U1258" s="158"/>
      <c r="V1258" s="158"/>
      <c r="W1258" s="158"/>
      <c r="X1258" s="158"/>
    </row>
    <row r="1259">
      <c r="A1259" s="176"/>
      <c r="B1259" s="177"/>
      <c r="C1259" s="158"/>
      <c r="D1259" s="158"/>
      <c r="E1259" s="158"/>
      <c r="F1259" s="158"/>
      <c r="G1259" s="158"/>
      <c r="H1259" s="158"/>
      <c r="I1259" s="158"/>
      <c r="J1259" s="158"/>
      <c r="K1259" s="158"/>
      <c r="L1259" s="158"/>
      <c r="M1259" s="158"/>
      <c r="N1259" s="158"/>
      <c r="O1259" s="158"/>
      <c r="P1259" s="158"/>
      <c r="Q1259" s="158"/>
      <c r="R1259" s="158"/>
      <c r="S1259" s="158"/>
      <c r="T1259" s="158"/>
      <c r="U1259" s="158"/>
      <c r="V1259" s="158"/>
      <c r="W1259" s="158"/>
      <c r="X1259" s="158"/>
    </row>
    <row r="1260">
      <c r="A1260" s="176"/>
      <c r="B1260" s="177"/>
      <c r="C1260" s="158"/>
      <c r="D1260" s="158"/>
      <c r="E1260" s="158"/>
      <c r="F1260" s="158"/>
      <c r="G1260" s="158"/>
      <c r="H1260" s="158"/>
      <c r="I1260" s="158"/>
      <c r="J1260" s="158"/>
      <c r="K1260" s="158"/>
      <c r="L1260" s="158"/>
      <c r="M1260" s="158"/>
      <c r="N1260" s="158"/>
      <c r="O1260" s="158"/>
      <c r="P1260" s="158"/>
      <c r="Q1260" s="158"/>
      <c r="R1260" s="158"/>
      <c r="S1260" s="158"/>
      <c r="T1260" s="158"/>
      <c r="U1260" s="158"/>
      <c r="V1260" s="158"/>
      <c r="W1260" s="158"/>
      <c r="X1260" s="158"/>
    </row>
    <row r="1261">
      <c r="A1261" s="176"/>
      <c r="B1261" s="177"/>
      <c r="C1261" s="158"/>
      <c r="D1261" s="158"/>
      <c r="E1261" s="158"/>
      <c r="F1261" s="158"/>
      <c r="G1261" s="158"/>
      <c r="H1261" s="158"/>
      <c r="I1261" s="158"/>
      <c r="J1261" s="158"/>
      <c r="K1261" s="158"/>
      <c r="L1261" s="158"/>
      <c r="M1261" s="158"/>
      <c r="N1261" s="158"/>
      <c r="O1261" s="158"/>
      <c r="P1261" s="158"/>
      <c r="Q1261" s="158"/>
      <c r="R1261" s="158"/>
      <c r="S1261" s="158"/>
      <c r="T1261" s="158"/>
      <c r="U1261" s="158"/>
      <c r="V1261" s="158"/>
      <c r="W1261" s="158"/>
      <c r="X1261" s="158"/>
    </row>
    <row r="1262">
      <c r="A1262" s="176"/>
      <c r="B1262" s="177"/>
      <c r="C1262" s="158"/>
      <c r="D1262" s="158"/>
      <c r="E1262" s="158"/>
      <c r="F1262" s="158"/>
      <c r="G1262" s="158"/>
      <c r="H1262" s="158"/>
      <c r="I1262" s="158"/>
      <c r="J1262" s="158"/>
      <c r="K1262" s="158"/>
      <c r="L1262" s="158"/>
      <c r="M1262" s="158"/>
      <c r="N1262" s="158"/>
      <c r="O1262" s="158"/>
      <c r="P1262" s="158"/>
      <c r="Q1262" s="158"/>
      <c r="R1262" s="158"/>
      <c r="S1262" s="158"/>
      <c r="T1262" s="158"/>
      <c r="U1262" s="158"/>
      <c r="V1262" s="158"/>
      <c r="W1262" s="158"/>
      <c r="X1262" s="158"/>
    </row>
    <row r="1263">
      <c r="A1263" s="176"/>
      <c r="B1263" s="177"/>
      <c r="C1263" s="158"/>
      <c r="D1263" s="158"/>
      <c r="E1263" s="158"/>
      <c r="F1263" s="158"/>
      <c r="G1263" s="158"/>
      <c r="H1263" s="158"/>
      <c r="I1263" s="158"/>
      <c r="J1263" s="158"/>
      <c r="K1263" s="158"/>
      <c r="L1263" s="158"/>
      <c r="M1263" s="158"/>
      <c r="N1263" s="158"/>
      <c r="O1263" s="158"/>
      <c r="P1263" s="158"/>
      <c r="Q1263" s="158"/>
      <c r="R1263" s="158"/>
      <c r="S1263" s="158"/>
      <c r="T1263" s="158"/>
      <c r="U1263" s="158"/>
      <c r="V1263" s="158"/>
      <c r="W1263" s="158"/>
      <c r="X1263" s="158"/>
    </row>
    <row r="1264">
      <c r="A1264" s="176"/>
      <c r="B1264" s="177"/>
      <c r="C1264" s="158"/>
      <c r="D1264" s="158"/>
      <c r="E1264" s="158"/>
      <c r="F1264" s="158"/>
      <c r="G1264" s="158"/>
      <c r="H1264" s="158"/>
      <c r="I1264" s="158"/>
      <c r="J1264" s="158"/>
      <c r="K1264" s="158"/>
      <c r="L1264" s="158"/>
      <c r="M1264" s="158"/>
      <c r="N1264" s="158"/>
      <c r="O1264" s="158"/>
      <c r="P1264" s="158"/>
      <c r="Q1264" s="158"/>
      <c r="R1264" s="158"/>
      <c r="S1264" s="158"/>
      <c r="T1264" s="158"/>
      <c r="U1264" s="158"/>
      <c r="V1264" s="158"/>
      <c r="W1264" s="158"/>
      <c r="X1264" s="158"/>
    </row>
    <row r="1265">
      <c r="A1265" s="176"/>
      <c r="B1265" s="177"/>
      <c r="C1265" s="158"/>
      <c r="D1265" s="158"/>
      <c r="E1265" s="158"/>
      <c r="G1265" s="158"/>
      <c r="H1265" s="158"/>
      <c r="I1265" s="158"/>
      <c r="J1265" s="158"/>
      <c r="K1265" s="158"/>
      <c r="L1265" s="158"/>
      <c r="M1265" s="158"/>
      <c r="N1265" s="158"/>
      <c r="O1265" s="158"/>
      <c r="P1265" s="158"/>
      <c r="Q1265" s="158"/>
      <c r="R1265" s="158"/>
      <c r="S1265" s="158"/>
      <c r="T1265" s="158"/>
      <c r="U1265" s="158"/>
      <c r="V1265" s="158"/>
      <c r="W1265" s="158"/>
      <c r="X1265" s="158"/>
    </row>
    <row r="1266">
      <c r="A1266" s="176"/>
      <c r="B1266" s="177"/>
      <c r="C1266" s="158"/>
      <c r="D1266" s="158"/>
      <c r="E1266" s="158"/>
      <c r="G1266" s="158"/>
      <c r="H1266" s="158"/>
      <c r="I1266" s="158"/>
      <c r="J1266" s="158"/>
      <c r="K1266" s="158"/>
      <c r="L1266" s="158"/>
      <c r="M1266" s="158"/>
      <c r="N1266" s="158"/>
      <c r="O1266" s="158"/>
      <c r="P1266" s="158"/>
      <c r="Q1266" s="158"/>
      <c r="R1266" s="158"/>
      <c r="S1266" s="158"/>
      <c r="T1266" s="158"/>
      <c r="U1266" s="158"/>
      <c r="V1266" s="158"/>
      <c r="W1266" s="158"/>
      <c r="X1266" s="158"/>
    </row>
    <row r="1267">
      <c r="A1267" s="176"/>
      <c r="B1267" s="177"/>
      <c r="C1267" s="158"/>
      <c r="D1267" s="158"/>
      <c r="E1267" s="158"/>
      <c r="F1267" s="158"/>
      <c r="G1267" s="158"/>
      <c r="H1267" s="158"/>
      <c r="I1267" s="158"/>
      <c r="J1267" s="158"/>
      <c r="K1267" s="158"/>
      <c r="L1267" s="158"/>
      <c r="M1267" s="158"/>
      <c r="N1267" s="158"/>
      <c r="O1267" s="158"/>
      <c r="P1267" s="158"/>
      <c r="Q1267" s="158"/>
      <c r="R1267" s="158"/>
      <c r="S1267" s="158"/>
      <c r="T1267" s="158"/>
      <c r="U1267" s="158"/>
      <c r="V1267" s="158"/>
      <c r="W1267" s="158"/>
      <c r="X1267" s="158"/>
    </row>
    <row r="1268">
      <c r="A1268" s="176"/>
      <c r="B1268" s="177"/>
      <c r="C1268" s="158"/>
      <c r="D1268" s="158"/>
      <c r="E1268" s="158"/>
      <c r="F1268" s="158"/>
      <c r="G1268" s="158"/>
      <c r="H1268" s="158"/>
      <c r="I1268" s="158"/>
      <c r="J1268" s="158"/>
      <c r="K1268" s="158"/>
      <c r="L1268" s="158"/>
      <c r="M1268" s="158"/>
      <c r="N1268" s="158"/>
      <c r="O1268" s="158"/>
      <c r="P1268" s="158"/>
      <c r="Q1268" s="158"/>
      <c r="R1268" s="158"/>
      <c r="S1268" s="158"/>
      <c r="T1268" s="158"/>
      <c r="U1268" s="158"/>
      <c r="V1268" s="158"/>
      <c r="W1268" s="158"/>
      <c r="X1268" s="158"/>
    </row>
    <row r="1269">
      <c r="A1269" s="176"/>
      <c r="B1269" s="177"/>
      <c r="C1269" s="158"/>
      <c r="D1269" s="158"/>
      <c r="E1269" s="158"/>
      <c r="F1269" s="158"/>
      <c r="G1269" s="158"/>
      <c r="H1269" s="158"/>
      <c r="I1269" s="158"/>
      <c r="J1269" s="158"/>
      <c r="K1269" s="158"/>
      <c r="L1269" s="158"/>
      <c r="M1269" s="158"/>
      <c r="N1269" s="158"/>
      <c r="O1269" s="158"/>
      <c r="P1269" s="158"/>
      <c r="Q1269" s="158"/>
      <c r="R1269" s="158"/>
      <c r="S1269" s="158"/>
      <c r="T1269" s="158"/>
      <c r="U1269" s="158"/>
      <c r="V1269" s="158"/>
      <c r="W1269" s="158"/>
      <c r="X1269" s="158"/>
    </row>
    <row r="1270">
      <c r="A1270" s="176"/>
      <c r="B1270" s="177"/>
      <c r="C1270" s="158"/>
      <c r="D1270" s="158"/>
      <c r="E1270" s="158"/>
      <c r="F1270" s="158"/>
      <c r="G1270" s="158"/>
      <c r="H1270" s="158"/>
      <c r="I1270" s="158"/>
      <c r="J1270" s="158"/>
      <c r="K1270" s="158"/>
      <c r="L1270" s="158"/>
      <c r="M1270" s="158"/>
      <c r="N1270" s="158"/>
      <c r="O1270" s="158"/>
      <c r="P1270" s="158"/>
      <c r="Q1270" s="158"/>
      <c r="R1270" s="158"/>
      <c r="S1270" s="158"/>
      <c r="T1270" s="158"/>
      <c r="U1270" s="158"/>
      <c r="V1270" s="158"/>
      <c r="W1270" s="158"/>
      <c r="X1270" s="158"/>
    </row>
    <row r="1271">
      <c r="A1271" s="176"/>
      <c r="B1271" s="177"/>
      <c r="C1271" s="158"/>
      <c r="D1271" s="158"/>
      <c r="E1271" s="158"/>
      <c r="F1271" s="158"/>
      <c r="G1271" s="158"/>
      <c r="H1271" s="158"/>
      <c r="I1271" s="158"/>
      <c r="J1271" s="158"/>
      <c r="K1271" s="158"/>
      <c r="L1271" s="158"/>
      <c r="M1271" s="158"/>
      <c r="N1271" s="158"/>
      <c r="O1271" s="158"/>
      <c r="P1271" s="158"/>
      <c r="Q1271" s="158"/>
      <c r="R1271" s="158"/>
      <c r="S1271" s="158"/>
      <c r="T1271" s="158"/>
      <c r="U1271" s="158"/>
      <c r="V1271" s="158"/>
      <c r="W1271" s="158"/>
      <c r="X1271" s="158"/>
    </row>
    <row r="1272">
      <c r="A1272" s="176"/>
      <c r="B1272" s="177"/>
      <c r="C1272" s="158"/>
      <c r="D1272" s="158"/>
      <c r="E1272" s="158"/>
      <c r="F1272" s="158"/>
      <c r="G1272" s="158"/>
      <c r="H1272" s="158"/>
      <c r="I1272" s="158"/>
      <c r="J1272" s="158"/>
      <c r="K1272" s="158"/>
      <c r="L1272" s="158"/>
      <c r="M1272" s="158"/>
      <c r="N1272" s="158"/>
      <c r="O1272" s="158"/>
      <c r="P1272" s="158"/>
      <c r="Q1272" s="158"/>
      <c r="R1272" s="158"/>
      <c r="S1272" s="158"/>
      <c r="T1272" s="158"/>
      <c r="U1272" s="158"/>
      <c r="V1272" s="158"/>
      <c r="W1272" s="158"/>
      <c r="X1272" s="158"/>
    </row>
    <row r="1273">
      <c r="A1273" s="176"/>
      <c r="B1273" s="177"/>
      <c r="C1273" s="158"/>
      <c r="D1273" s="158"/>
      <c r="E1273" s="158"/>
      <c r="G1273" s="158"/>
      <c r="H1273" s="158"/>
      <c r="I1273" s="158"/>
      <c r="J1273" s="158"/>
      <c r="K1273" s="158"/>
      <c r="L1273" s="158"/>
      <c r="M1273" s="158"/>
      <c r="N1273" s="158"/>
      <c r="O1273" s="158"/>
      <c r="P1273" s="158"/>
      <c r="Q1273" s="158"/>
      <c r="R1273" s="158"/>
      <c r="S1273" s="158"/>
      <c r="T1273" s="158"/>
      <c r="U1273" s="158"/>
      <c r="V1273" s="158"/>
      <c r="W1273" s="158"/>
      <c r="X1273" s="158"/>
    </row>
    <row r="1274">
      <c r="A1274" s="176"/>
      <c r="B1274" s="177"/>
      <c r="C1274" s="158"/>
      <c r="D1274" s="158"/>
      <c r="E1274" s="158"/>
      <c r="G1274" s="158"/>
      <c r="H1274" s="158"/>
      <c r="I1274" s="158"/>
      <c r="J1274" s="158"/>
      <c r="K1274" s="158"/>
      <c r="L1274" s="158"/>
      <c r="M1274" s="158"/>
      <c r="N1274" s="158"/>
      <c r="O1274" s="158"/>
      <c r="P1274" s="158"/>
      <c r="Q1274" s="158"/>
      <c r="R1274" s="158"/>
      <c r="S1274" s="158"/>
      <c r="T1274" s="158"/>
      <c r="U1274" s="158"/>
      <c r="V1274" s="158"/>
      <c r="W1274" s="158"/>
      <c r="X1274" s="158"/>
    </row>
    <row r="1275">
      <c r="A1275" s="176"/>
      <c r="B1275" s="177"/>
      <c r="C1275" s="158"/>
      <c r="D1275" s="158"/>
      <c r="E1275" s="158"/>
      <c r="G1275" s="158"/>
      <c r="H1275" s="158"/>
      <c r="I1275" s="158"/>
      <c r="J1275" s="158"/>
      <c r="K1275" s="158"/>
      <c r="L1275" s="158"/>
      <c r="M1275" s="158"/>
      <c r="N1275" s="158"/>
      <c r="O1275" s="158"/>
      <c r="P1275" s="158"/>
      <c r="Q1275" s="158"/>
      <c r="R1275" s="158"/>
      <c r="S1275" s="158"/>
      <c r="T1275" s="158"/>
      <c r="U1275" s="158"/>
      <c r="V1275" s="158"/>
      <c r="W1275" s="158"/>
      <c r="X1275" s="158"/>
    </row>
    <row r="1276">
      <c r="A1276" s="176"/>
      <c r="B1276" s="177"/>
      <c r="C1276" s="158"/>
      <c r="D1276" s="158"/>
      <c r="E1276" s="158"/>
      <c r="G1276" s="158"/>
      <c r="H1276" s="158"/>
      <c r="I1276" s="158"/>
      <c r="J1276" s="158"/>
      <c r="K1276" s="158"/>
      <c r="L1276" s="158"/>
      <c r="M1276" s="158"/>
      <c r="N1276" s="158"/>
      <c r="O1276" s="158"/>
      <c r="P1276" s="158"/>
      <c r="Q1276" s="158"/>
      <c r="R1276" s="158"/>
      <c r="S1276" s="158"/>
      <c r="T1276" s="158"/>
      <c r="U1276" s="158"/>
      <c r="V1276" s="158"/>
      <c r="W1276" s="158"/>
      <c r="X1276" s="158"/>
    </row>
    <row r="1277">
      <c r="A1277" s="176"/>
      <c r="B1277" s="177"/>
      <c r="C1277" s="158"/>
      <c r="D1277" s="158"/>
      <c r="E1277" s="158"/>
      <c r="G1277" s="158"/>
      <c r="H1277" s="158"/>
      <c r="I1277" s="158"/>
      <c r="J1277" s="158"/>
      <c r="K1277" s="158"/>
      <c r="L1277" s="158"/>
      <c r="M1277" s="158"/>
      <c r="N1277" s="158"/>
      <c r="O1277" s="158"/>
      <c r="P1277" s="158"/>
      <c r="Q1277" s="158"/>
      <c r="R1277" s="158"/>
      <c r="S1277" s="158"/>
      <c r="T1277" s="158"/>
      <c r="U1277" s="158"/>
      <c r="V1277" s="158"/>
      <c r="W1277" s="158"/>
      <c r="X1277" s="158"/>
    </row>
    <row r="1278">
      <c r="A1278" s="176"/>
      <c r="B1278" s="177"/>
      <c r="C1278" s="158"/>
      <c r="D1278" s="158"/>
      <c r="E1278" s="158"/>
      <c r="F1278" s="158"/>
      <c r="G1278" s="158"/>
      <c r="H1278" s="158"/>
      <c r="I1278" s="158"/>
      <c r="J1278" s="158"/>
      <c r="K1278" s="158"/>
      <c r="L1278" s="158"/>
      <c r="M1278" s="158"/>
      <c r="N1278" s="158"/>
      <c r="O1278" s="158"/>
      <c r="P1278" s="158"/>
      <c r="Q1278" s="158"/>
      <c r="R1278" s="158"/>
      <c r="S1278" s="158"/>
      <c r="T1278" s="158"/>
      <c r="U1278" s="158"/>
      <c r="V1278" s="158"/>
      <c r="W1278" s="158"/>
      <c r="X1278" s="158"/>
    </row>
    <row r="1279">
      <c r="A1279" s="176"/>
      <c r="B1279" s="177"/>
      <c r="C1279" s="158"/>
      <c r="D1279" s="158"/>
      <c r="E1279" s="158"/>
      <c r="F1279" s="158"/>
      <c r="G1279" s="158"/>
      <c r="H1279" s="158"/>
      <c r="I1279" s="158"/>
      <c r="J1279" s="158"/>
      <c r="K1279" s="158"/>
      <c r="L1279" s="158"/>
      <c r="M1279" s="158"/>
      <c r="N1279" s="158"/>
      <c r="O1279" s="158"/>
      <c r="P1279" s="158"/>
      <c r="Q1279" s="158"/>
      <c r="R1279" s="158"/>
      <c r="S1279" s="158"/>
      <c r="T1279" s="158"/>
      <c r="U1279" s="158"/>
      <c r="V1279" s="158"/>
      <c r="W1279" s="158"/>
      <c r="X1279" s="158"/>
    </row>
    <row r="1280">
      <c r="A1280" s="176"/>
      <c r="B1280" s="177"/>
      <c r="C1280" s="158"/>
      <c r="D1280" s="158"/>
      <c r="E1280" s="158"/>
      <c r="F1280" s="158"/>
      <c r="G1280" s="158"/>
      <c r="H1280" s="158"/>
      <c r="I1280" s="158"/>
      <c r="J1280" s="158"/>
      <c r="K1280" s="158"/>
      <c r="L1280" s="158"/>
      <c r="M1280" s="158"/>
      <c r="N1280" s="158"/>
      <c r="O1280" s="158"/>
      <c r="P1280" s="158"/>
      <c r="Q1280" s="158"/>
      <c r="R1280" s="158"/>
      <c r="S1280" s="158"/>
      <c r="T1280" s="158"/>
      <c r="U1280" s="158"/>
      <c r="V1280" s="158"/>
      <c r="W1280" s="158"/>
      <c r="X1280" s="158"/>
    </row>
    <row r="1281">
      <c r="A1281" s="176"/>
      <c r="B1281" s="177"/>
      <c r="C1281" s="158"/>
      <c r="D1281" s="158"/>
      <c r="E1281" s="158"/>
      <c r="F1281" s="158"/>
      <c r="G1281" s="158"/>
      <c r="H1281" s="158"/>
      <c r="I1281" s="158"/>
      <c r="J1281" s="158"/>
      <c r="K1281" s="158"/>
      <c r="L1281" s="158"/>
      <c r="M1281" s="158"/>
      <c r="N1281" s="158"/>
      <c r="O1281" s="158"/>
      <c r="P1281" s="158"/>
      <c r="Q1281" s="158"/>
      <c r="R1281" s="158"/>
      <c r="S1281" s="158"/>
      <c r="T1281" s="158"/>
      <c r="U1281" s="158"/>
      <c r="V1281" s="158"/>
      <c r="W1281" s="158"/>
      <c r="X1281" s="158"/>
    </row>
    <row r="1282">
      <c r="A1282" s="176"/>
      <c r="B1282" s="177"/>
      <c r="C1282" s="158"/>
      <c r="D1282" s="158"/>
      <c r="E1282" s="158"/>
      <c r="F1282" s="158"/>
      <c r="G1282" s="158"/>
      <c r="H1282" s="158"/>
      <c r="I1282" s="158"/>
      <c r="J1282" s="158"/>
      <c r="K1282" s="158"/>
      <c r="L1282" s="158"/>
      <c r="M1282" s="158"/>
      <c r="N1282" s="158"/>
      <c r="O1282" s="158"/>
      <c r="P1282" s="158"/>
      <c r="Q1282" s="158"/>
      <c r="R1282" s="158"/>
      <c r="S1282" s="158"/>
      <c r="T1282" s="158"/>
      <c r="U1282" s="158"/>
      <c r="V1282" s="158"/>
      <c r="W1282" s="158"/>
      <c r="X1282" s="158"/>
    </row>
    <row r="1283">
      <c r="A1283" s="176"/>
      <c r="B1283" s="177"/>
      <c r="C1283" s="158"/>
      <c r="D1283" s="158"/>
      <c r="E1283" s="158"/>
      <c r="G1283" s="158"/>
      <c r="H1283" s="158"/>
      <c r="I1283" s="158"/>
      <c r="J1283" s="158"/>
      <c r="K1283" s="158"/>
      <c r="L1283" s="158"/>
      <c r="M1283" s="158"/>
      <c r="N1283" s="158"/>
      <c r="O1283" s="158"/>
      <c r="P1283" s="158"/>
      <c r="Q1283" s="158"/>
      <c r="R1283" s="158"/>
      <c r="S1283" s="158"/>
      <c r="T1283" s="158"/>
      <c r="U1283" s="158"/>
      <c r="V1283" s="158"/>
      <c r="W1283" s="158"/>
      <c r="X1283" s="158"/>
    </row>
    <row r="1284">
      <c r="A1284" s="176"/>
      <c r="B1284" s="177"/>
      <c r="C1284" s="158"/>
      <c r="D1284" s="158"/>
      <c r="E1284" s="158"/>
      <c r="G1284" s="158"/>
      <c r="H1284" s="158"/>
      <c r="I1284" s="158"/>
      <c r="J1284" s="158"/>
      <c r="K1284" s="158"/>
      <c r="L1284" s="158"/>
      <c r="M1284" s="158"/>
      <c r="N1284" s="158"/>
      <c r="O1284" s="158"/>
      <c r="P1284" s="158"/>
      <c r="Q1284" s="158"/>
      <c r="R1284" s="158"/>
      <c r="S1284" s="158"/>
      <c r="T1284" s="158"/>
      <c r="U1284" s="158"/>
      <c r="V1284" s="158"/>
      <c r="W1284" s="158"/>
      <c r="X1284" s="158"/>
    </row>
    <row r="1285">
      <c r="A1285" s="176"/>
      <c r="B1285" s="177"/>
      <c r="C1285" s="158"/>
      <c r="D1285" s="158"/>
      <c r="E1285" s="158"/>
      <c r="F1285" s="158"/>
      <c r="G1285" s="158"/>
      <c r="H1285" s="158"/>
      <c r="I1285" s="158"/>
      <c r="J1285" s="158"/>
      <c r="K1285" s="158"/>
      <c r="L1285" s="158"/>
      <c r="M1285" s="158"/>
      <c r="N1285" s="158"/>
      <c r="O1285" s="158"/>
      <c r="P1285" s="158"/>
      <c r="Q1285" s="158"/>
      <c r="R1285" s="158"/>
      <c r="S1285" s="158"/>
      <c r="T1285" s="158"/>
      <c r="U1285" s="158"/>
      <c r="V1285" s="158"/>
      <c r="W1285" s="158"/>
      <c r="X1285" s="158"/>
    </row>
    <row r="1286">
      <c r="A1286" s="176"/>
      <c r="B1286" s="177"/>
      <c r="C1286" s="158"/>
      <c r="D1286" s="158"/>
      <c r="E1286" s="158"/>
      <c r="G1286" s="158"/>
      <c r="H1286" s="158"/>
      <c r="I1286" s="158"/>
      <c r="J1286" s="158"/>
      <c r="K1286" s="158"/>
      <c r="L1286" s="158"/>
      <c r="M1286" s="158"/>
      <c r="N1286" s="158"/>
      <c r="O1286" s="158"/>
      <c r="P1286" s="158"/>
      <c r="Q1286" s="158"/>
      <c r="R1286" s="158"/>
      <c r="S1286" s="158"/>
      <c r="T1286" s="158"/>
      <c r="U1286" s="158"/>
      <c r="V1286" s="158"/>
      <c r="W1286" s="158"/>
      <c r="X1286" s="158"/>
    </row>
    <row r="1287">
      <c r="A1287" s="176"/>
      <c r="B1287" s="177"/>
      <c r="C1287" s="158"/>
      <c r="D1287" s="158"/>
      <c r="E1287" s="158"/>
      <c r="F1287" s="158"/>
      <c r="G1287" s="158"/>
      <c r="H1287" s="158"/>
      <c r="I1287" s="158"/>
      <c r="J1287" s="158"/>
      <c r="K1287" s="158"/>
      <c r="L1287" s="158"/>
      <c r="M1287" s="158"/>
      <c r="N1287" s="158"/>
      <c r="O1287" s="158"/>
      <c r="P1287" s="158"/>
      <c r="Q1287" s="158"/>
      <c r="R1287" s="158"/>
      <c r="S1287" s="158"/>
      <c r="T1287" s="158"/>
      <c r="U1287" s="158"/>
      <c r="V1287" s="158"/>
      <c r="W1287" s="158"/>
      <c r="X1287" s="158"/>
    </row>
    <row r="1288">
      <c r="A1288" s="176"/>
      <c r="B1288" s="177"/>
      <c r="C1288" s="158"/>
      <c r="D1288" s="158"/>
      <c r="E1288" s="158"/>
      <c r="F1288" s="158"/>
      <c r="G1288" s="158"/>
      <c r="H1288" s="158"/>
      <c r="I1288" s="158"/>
      <c r="J1288" s="158"/>
      <c r="K1288" s="158"/>
      <c r="L1288" s="158"/>
      <c r="M1288" s="158"/>
      <c r="N1288" s="158"/>
      <c r="O1288" s="158"/>
      <c r="P1288" s="158"/>
      <c r="Q1288" s="158"/>
      <c r="R1288" s="158"/>
      <c r="S1288" s="158"/>
      <c r="T1288" s="158"/>
      <c r="U1288" s="158"/>
      <c r="V1288" s="158"/>
      <c r="W1288" s="158"/>
      <c r="X1288" s="158"/>
    </row>
    <row r="1289">
      <c r="A1289" s="176"/>
      <c r="B1289" s="177"/>
      <c r="C1289" s="158"/>
      <c r="D1289" s="158"/>
      <c r="E1289" s="158"/>
      <c r="F1289" s="158"/>
      <c r="G1289" s="158"/>
      <c r="H1289" s="158"/>
      <c r="I1289" s="158"/>
      <c r="J1289" s="158"/>
      <c r="K1289" s="158"/>
      <c r="L1289" s="158"/>
      <c r="M1289" s="158"/>
      <c r="N1289" s="158"/>
      <c r="O1289" s="158"/>
      <c r="P1289" s="158"/>
      <c r="Q1289" s="158"/>
      <c r="R1289" s="158"/>
      <c r="S1289" s="158"/>
      <c r="T1289" s="158"/>
      <c r="U1289" s="158"/>
      <c r="V1289" s="158"/>
      <c r="W1289" s="158"/>
      <c r="X1289" s="158"/>
    </row>
    <row r="1290">
      <c r="A1290" s="176"/>
      <c r="B1290" s="177"/>
      <c r="C1290" s="158"/>
      <c r="D1290" s="158"/>
      <c r="E1290" s="158"/>
      <c r="F1290" s="158"/>
      <c r="G1290" s="158"/>
      <c r="H1290" s="158"/>
      <c r="I1290" s="158"/>
      <c r="J1290" s="158"/>
      <c r="K1290" s="158"/>
      <c r="L1290" s="158"/>
      <c r="M1290" s="158"/>
      <c r="N1290" s="158"/>
      <c r="O1290" s="158"/>
      <c r="P1290" s="158"/>
      <c r="Q1290" s="158"/>
      <c r="R1290" s="158"/>
      <c r="S1290" s="158"/>
      <c r="T1290" s="158"/>
      <c r="U1290" s="158"/>
      <c r="V1290" s="158"/>
      <c r="W1290" s="158"/>
      <c r="X1290" s="158"/>
    </row>
    <row r="1291">
      <c r="A1291" s="176"/>
      <c r="B1291" s="177"/>
      <c r="C1291" s="158"/>
      <c r="D1291" s="158"/>
      <c r="E1291" s="158"/>
      <c r="F1291" s="158"/>
      <c r="G1291" s="158"/>
      <c r="H1291" s="158"/>
      <c r="I1291" s="158"/>
      <c r="J1291" s="158"/>
      <c r="K1291" s="158"/>
      <c r="L1291" s="158"/>
      <c r="M1291" s="158"/>
      <c r="N1291" s="158"/>
      <c r="O1291" s="158"/>
      <c r="P1291" s="158"/>
      <c r="Q1291" s="158"/>
      <c r="R1291" s="158"/>
      <c r="S1291" s="158"/>
      <c r="T1291" s="158"/>
      <c r="U1291" s="158"/>
      <c r="V1291" s="158"/>
      <c r="W1291" s="158"/>
      <c r="X1291" s="158"/>
    </row>
    <row r="1292">
      <c r="A1292" s="176"/>
      <c r="B1292" s="177"/>
      <c r="C1292" s="158"/>
      <c r="D1292" s="158"/>
      <c r="E1292" s="158"/>
      <c r="F1292" s="158"/>
      <c r="G1292" s="158"/>
      <c r="H1292" s="158"/>
      <c r="I1292" s="158"/>
      <c r="J1292" s="158"/>
      <c r="K1292" s="158"/>
      <c r="L1292" s="158"/>
      <c r="M1292" s="158"/>
      <c r="N1292" s="158"/>
      <c r="O1292" s="158"/>
      <c r="P1292" s="158"/>
      <c r="Q1292" s="158"/>
      <c r="R1292" s="158"/>
      <c r="S1292" s="158"/>
      <c r="T1292" s="158"/>
      <c r="U1292" s="158"/>
      <c r="V1292" s="158"/>
      <c r="W1292" s="158"/>
      <c r="X1292" s="158"/>
    </row>
    <row r="1293">
      <c r="A1293" s="176"/>
      <c r="B1293" s="177"/>
      <c r="C1293" s="158"/>
      <c r="D1293" s="158"/>
      <c r="E1293" s="158"/>
      <c r="F1293" s="158"/>
      <c r="G1293" s="158"/>
      <c r="H1293" s="158"/>
      <c r="I1293" s="158"/>
      <c r="J1293" s="158"/>
      <c r="K1293" s="158"/>
      <c r="L1293" s="158"/>
      <c r="M1293" s="158"/>
      <c r="N1293" s="158"/>
      <c r="O1293" s="158"/>
      <c r="P1293" s="158"/>
      <c r="Q1293" s="158"/>
      <c r="R1293" s="158"/>
      <c r="S1293" s="158"/>
      <c r="T1293" s="158"/>
      <c r="U1293" s="158"/>
      <c r="V1293" s="158"/>
      <c r="W1293" s="158"/>
      <c r="X1293" s="158"/>
    </row>
    <row r="1294">
      <c r="A1294" s="176"/>
      <c r="B1294" s="177"/>
      <c r="C1294" s="158"/>
      <c r="D1294" s="158"/>
      <c r="E1294" s="158"/>
      <c r="F1294" s="158"/>
      <c r="G1294" s="158"/>
      <c r="H1294" s="158"/>
      <c r="I1294" s="158"/>
      <c r="J1294" s="158"/>
      <c r="K1294" s="158"/>
      <c r="L1294" s="158"/>
      <c r="M1294" s="158"/>
      <c r="N1294" s="158"/>
      <c r="O1294" s="158"/>
      <c r="P1294" s="158"/>
      <c r="Q1294" s="158"/>
      <c r="R1294" s="158"/>
      <c r="S1294" s="158"/>
      <c r="T1294" s="158"/>
      <c r="U1294" s="158"/>
      <c r="V1294" s="158"/>
      <c r="W1294" s="158"/>
      <c r="X1294" s="158"/>
    </row>
    <row r="1295">
      <c r="A1295" s="176"/>
      <c r="B1295" s="177"/>
      <c r="C1295" s="158"/>
      <c r="D1295" s="158"/>
      <c r="E1295" s="158"/>
      <c r="G1295" s="158"/>
      <c r="H1295" s="158"/>
      <c r="I1295" s="158"/>
      <c r="J1295" s="158"/>
      <c r="K1295" s="158"/>
      <c r="L1295" s="158"/>
      <c r="M1295" s="158"/>
      <c r="N1295" s="158"/>
      <c r="O1295" s="158"/>
      <c r="P1295" s="158"/>
      <c r="Q1295" s="158"/>
      <c r="R1295" s="158"/>
      <c r="S1295" s="158"/>
      <c r="T1295" s="158"/>
      <c r="U1295" s="158"/>
      <c r="V1295" s="158"/>
      <c r="W1295" s="158"/>
      <c r="X1295" s="158"/>
    </row>
    <row r="1296">
      <c r="A1296" s="176"/>
      <c r="B1296" s="177"/>
      <c r="C1296" s="158"/>
      <c r="D1296" s="158"/>
      <c r="E1296" s="158"/>
      <c r="G1296" s="158"/>
      <c r="H1296" s="158"/>
      <c r="I1296" s="158"/>
      <c r="J1296" s="158"/>
      <c r="K1296" s="158"/>
      <c r="L1296" s="158"/>
      <c r="M1296" s="158"/>
      <c r="N1296" s="158"/>
      <c r="O1296" s="158"/>
      <c r="P1296" s="158"/>
      <c r="Q1296" s="158"/>
      <c r="R1296" s="158"/>
      <c r="S1296" s="158"/>
      <c r="T1296" s="158"/>
      <c r="U1296" s="158"/>
      <c r="V1296" s="158"/>
      <c r="W1296" s="158"/>
      <c r="X1296" s="158"/>
    </row>
    <row r="1297">
      <c r="A1297" s="176"/>
      <c r="B1297" s="177"/>
      <c r="C1297" s="158"/>
      <c r="D1297" s="158"/>
      <c r="E1297" s="158"/>
      <c r="F1297" s="158"/>
      <c r="G1297" s="158"/>
      <c r="H1297" s="158"/>
      <c r="I1297" s="158"/>
      <c r="J1297" s="158"/>
      <c r="K1297" s="158"/>
      <c r="L1297" s="158"/>
      <c r="M1297" s="158"/>
      <c r="N1297" s="158"/>
      <c r="O1297" s="158"/>
      <c r="P1297" s="158"/>
      <c r="Q1297" s="158"/>
      <c r="R1297" s="158"/>
      <c r="S1297" s="158"/>
      <c r="T1297" s="158"/>
      <c r="U1297" s="158"/>
      <c r="V1297" s="158"/>
      <c r="W1297" s="158"/>
      <c r="X1297" s="158"/>
    </row>
    <row r="1298">
      <c r="A1298" s="176"/>
      <c r="B1298" s="177"/>
      <c r="C1298" s="158"/>
      <c r="D1298" s="158"/>
      <c r="E1298" s="158"/>
      <c r="F1298" s="158"/>
      <c r="G1298" s="158"/>
      <c r="H1298" s="158"/>
      <c r="I1298" s="158"/>
      <c r="J1298" s="158"/>
      <c r="K1298" s="158"/>
      <c r="L1298" s="158"/>
      <c r="M1298" s="158"/>
      <c r="N1298" s="158"/>
      <c r="O1298" s="158"/>
      <c r="P1298" s="158"/>
      <c r="Q1298" s="158"/>
      <c r="R1298" s="158"/>
      <c r="S1298" s="158"/>
      <c r="T1298" s="158"/>
      <c r="U1298" s="158"/>
      <c r="V1298" s="158"/>
      <c r="W1298" s="158"/>
      <c r="X1298" s="158"/>
    </row>
    <row r="1299">
      <c r="A1299" s="176"/>
      <c r="B1299" s="177"/>
      <c r="C1299" s="158"/>
      <c r="D1299" s="158"/>
      <c r="E1299" s="158"/>
      <c r="F1299" s="158"/>
      <c r="G1299" s="158"/>
      <c r="H1299" s="158"/>
      <c r="I1299" s="158"/>
      <c r="J1299" s="158"/>
      <c r="K1299" s="158"/>
      <c r="L1299" s="158"/>
      <c r="M1299" s="158"/>
      <c r="N1299" s="158"/>
      <c r="O1299" s="158"/>
      <c r="P1299" s="158"/>
      <c r="Q1299" s="158"/>
      <c r="R1299" s="158"/>
      <c r="S1299" s="158"/>
      <c r="T1299" s="158"/>
      <c r="U1299" s="158"/>
      <c r="V1299" s="158"/>
      <c r="W1299" s="158"/>
      <c r="X1299" s="158"/>
    </row>
    <row r="1300">
      <c r="A1300" s="176"/>
      <c r="B1300" s="177"/>
      <c r="C1300" s="158"/>
      <c r="D1300" s="158"/>
      <c r="E1300" s="158"/>
      <c r="F1300" s="158"/>
      <c r="G1300" s="158"/>
      <c r="H1300" s="158"/>
      <c r="I1300" s="158"/>
      <c r="J1300" s="158"/>
      <c r="K1300" s="158"/>
      <c r="L1300" s="158"/>
      <c r="M1300" s="158"/>
      <c r="N1300" s="158"/>
      <c r="O1300" s="158"/>
      <c r="P1300" s="158"/>
      <c r="Q1300" s="158"/>
      <c r="R1300" s="158"/>
      <c r="S1300" s="158"/>
      <c r="T1300" s="158"/>
      <c r="U1300" s="158"/>
      <c r="V1300" s="158"/>
      <c r="W1300" s="158"/>
      <c r="X1300" s="158"/>
    </row>
    <row r="1301">
      <c r="A1301" s="176"/>
      <c r="B1301" s="177"/>
      <c r="C1301" s="158"/>
      <c r="D1301" s="158"/>
      <c r="E1301" s="158"/>
      <c r="F1301" s="158"/>
      <c r="G1301" s="158"/>
      <c r="H1301" s="158"/>
      <c r="I1301" s="158"/>
      <c r="J1301" s="158"/>
      <c r="K1301" s="158"/>
      <c r="L1301" s="158"/>
      <c r="M1301" s="158"/>
      <c r="N1301" s="158"/>
      <c r="O1301" s="158"/>
      <c r="P1301" s="158"/>
      <c r="Q1301" s="158"/>
      <c r="R1301" s="158"/>
      <c r="S1301" s="158"/>
      <c r="T1301" s="158"/>
      <c r="U1301" s="158"/>
      <c r="V1301" s="158"/>
      <c r="W1301" s="158"/>
      <c r="X1301" s="158"/>
    </row>
    <row r="1302">
      <c r="A1302" s="176"/>
      <c r="B1302" s="177"/>
      <c r="C1302" s="158"/>
      <c r="D1302" s="158"/>
      <c r="E1302" s="158"/>
      <c r="F1302" s="158"/>
      <c r="G1302" s="158"/>
      <c r="H1302" s="158"/>
      <c r="I1302" s="158"/>
      <c r="J1302" s="158"/>
      <c r="K1302" s="158"/>
      <c r="L1302" s="158"/>
      <c r="M1302" s="158"/>
      <c r="N1302" s="158"/>
      <c r="O1302" s="158"/>
      <c r="P1302" s="158"/>
      <c r="Q1302" s="158"/>
      <c r="R1302" s="158"/>
      <c r="S1302" s="158"/>
      <c r="T1302" s="158"/>
      <c r="U1302" s="158"/>
      <c r="V1302" s="158"/>
      <c r="W1302" s="158"/>
      <c r="X1302" s="158"/>
    </row>
    <row r="1303">
      <c r="A1303" s="176"/>
      <c r="B1303" s="177"/>
      <c r="C1303" s="158"/>
      <c r="D1303" s="158"/>
      <c r="E1303" s="158"/>
      <c r="F1303" s="158"/>
      <c r="G1303" s="158"/>
      <c r="H1303" s="158"/>
      <c r="I1303" s="158"/>
      <c r="J1303" s="158"/>
      <c r="K1303" s="158"/>
      <c r="L1303" s="158"/>
      <c r="M1303" s="158"/>
      <c r="N1303" s="158"/>
      <c r="O1303" s="158"/>
      <c r="P1303" s="158"/>
      <c r="Q1303" s="158"/>
      <c r="R1303" s="158"/>
      <c r="S1303" s="158"/>
      <c r="T1303" s="158"/>
      <c r="U1303" s="158"/>
      <c r="V1303" s="158"/>
      <c r="W1303" s="158"/>
      <c r="X1303" s="158"/>
    </row>
    <row r="1304">
      <c r="A1304" s="176"/>
      <c r="B1304" s="177"/>
      <c r="C1304" s="158"/>
      <c r="D1304" s="158"/>
      <c r="E1304" s="158"/>
      <c r="F1304" s="158"/>
      <c r="G1304" s="158"/>
      <c r="H1304" s="158"/>
      <c r="I1304" s="158"/>
      <c r="J1304" s="158"/>
      <c r="K1304" s="158"/>
      <c r="L1304" s="158"/>
      <c r="M1304" s="158"/>
      <c r="N1304" s="158"/>
      <c r="O1304" s="158"/>
      <c r="P1304" s="158"/>
      <c r="Q1304" s="158"/>
      <c r="R1304" s="158"/>
      <c r="S1304" s="158"/>
      <c r="T1304" s="158"/>
      <c r="U1304" s="158"/>
      <c r="V1304" s="158"/>
      <c r="W1304" s="158"/>
      <c r="X1304" s="158"/>
    </row>
    <row r="1305">
      <c r="A1305" s="176"/>
      <c r="B1305" s="177"/>
      <c r="C1305" s="158"/>
      <c r="D1305" s="158"/>
      <c r="E1305" s="158"/>
      <c r="G1305" s="158"/>
      <c r="H1305" s="158"/>
      <c r="I1305" s="158"/>
      <c r="J1305" s="158"/>
      <c r="K1305" s="158"/>
      <c r="L1305" s="158"/>
      <c r="M1305" s="158"/>
      <c r="N1305" s="158"/>
      <c r="O1305" s="158"/>
      <c r="P1305" s="158"/>
      <c r="Q1305" s="158"/>
      <c r="R1305" s="158"/>
      <c r="S1305" s="158"/>
      <c r="T1305" s="158"/>
      <c r="U1305" s="158"/>
      <c r="V1305" s="158"/>
      <c r="W1305" s="158"/>
      <c r="X1305" s="158"/>
    </row>
    <row r="1306">
      <c r="A1306" s="176"/>
      <c r="B1306" s="177"/>
      <c r="C1306" s="158"/>
      <c r="D1306" s="158"/>
      <c r="E1306" s="158"/>
      <c r="F1306" s="158"/>
      <c r="G1306" s="158"/>
      <c r="H1306" s="158"/>
      <c r="I1306" s="158"/>
      <c r="J1306" s="158"/>
      <c r="K1306" s="158"/>
      <c r="L1306" s="158"/>
      <c r="M1306" s="158"/>
      <c r="N1306" s="158"/>
      <c r="O1306" s="158"/>
      <c r="P1306" s="158"/>
      <c r="Q1306" s="158"/>
      <c r="R1306" s="158"/>
      <c r="S1306" s="158"/>
      <c r="T1306" s="158"/>
      <c r="U1306" s="158"/>
      <c r="V1306" s="158"/>
      <c r="W1306" s="158"/>
      <c r="X1306" s="158"/>
    </row>
    <row r="1307">
      <c r="A1307" s="176"/>
      <c r="B1307" s="177"/>
      <c r="C1307" s="158"/>
      <c r="D1307" s="158"/>
      <c r="E1307" s="158"/>
      <c r="F1307" s="158"/>
      <c r="G1307" s="158"/>
      <c r="H1307" s="158"/>
      <c r="I1307" s="158"/>
      <c r="J1307" s="158"/>
      <c r="K1307" s="158"/>
      <c r="L1307" s="158"/>
      <c r="M1307" s="158"/>
      <c r="N1307" s="158"/>
      <c r="O1307" s="158"/>
      <c r="P1307" s="158"/>
      <c r="Q1307" s="158"/>
      <c r="R1307" s="158"/>
      <c r="S1307" s="158"/>
      <c r="T1307" s="158"/>
      <c r="U1307" s="158"/>
      <c r="V1307" s="158"/>
      <c r="W1307" s="158"/>
      <c r="X1307" s="158"/>
    </row>
    <row r="1308">
      <c r="A1308" s="176"/>
      <c r="B1308" s="177"/>
      <c r="C1308" s="158"/>
      <c r="D1308" s="158"/>
      <c r="E1308" s="158"/>
      <c r="F1308" s="158"/>
      <c r="G1308" s="158"/>
      <c r="H1308" s="158"/>
      <c r="I1308" s="158"/>
      <c r="J1308" s="158"/>
      <c r="K1308" s="158"/>
      <c r="L1308" s="158"/>
      <c r="M1308" s="158"/>
      <c r="N1308" s="158"/>
      <c r="O1308" s="158"/>
      <c r="P1308" s="158"/>
      <c r="Q1308" s="158"/>
      <c r="R1308" s="158"/>
      <c r="S1308" s="158"/>
      <c r="T1308" s="158"/>
      <c r="U1308" s="158"/>
      <c r="V1308" s="158"/>
      <c r="W1308" s="158"/>
      <c r="X1308" s="158"/>
    </row>
    <row r="1309">
      <c r="A1309" s="176"/>
      <c r="B1309" s="177"/>
      <c r="C1309" s="158"/>
      <c r="D1309" s="158"/>
      <c r="E1309" s="158"/>
      <c r="F1309" s="158"/>
      <c r="G1309" s="158"/>
      <c r="H1309" s="158"/>
      <c r="I1309" s="158"/>
      <c r="J1309" s="158"/>
      <c r="K1309" s="158"/>
      <c r="L1309" s="158"/>
      <c r="M1309" s="158"/>
      <c r="N1309" s="158"/>
      <c r="O1309" s="158"/>
      <c r="P1309" s="158"/>
      <c r="Q1309" s="158"/>
      <c r="R1309" s="158"/>
      <c r="S1309" s="158"/>
      <c r="T1309" s="158"/>
      <c r="U1309" s="158"/>
      <c r="V1309" s="158"/>
      <c r="W1309" s="158"/>
      <c r="X1309" s="158"/>
    </row>
    <row r="1310">
      <c r="A1310" s="176"/>
      <c r="B1310" s="177"/>
      <c r="C1310" s="158"/>
      <c r="D1310" s="158"/>
      <c r="E1310" s="158"/>
      <c r="F1310" s="158"/>
      <c r="G1310" s="158"/>
      <c r="H1310" s="158"/>
      <c r="I1310" s="158"/>
      <c r="J1310" s="158"/>
      <c r="K1310" s="158"/>
      <c r="L1310" s="158"/>
      <c r="M1310" s="158"/>
      <c r="N1310" s="158"/>
      <c r="O1310" s="158"/>
      <c r="P1310" s="158"/>
      <c r="Q1310" s="158"/>
      <c r="R1310" s="158"/>
      <c r="S1310" s="158"/>
      <c r="T1310" s="158"/>
      <c r="U1310" s="158"/>
      <c r="V1310" s="158"/>
      <c r="W1310" s="158"/>
      <c r="X1310" s="158"/>
    </row>
    <row r="1311">
      <c r="A1311" s="176"/>
      <c r="B1311" s="177"/>
      <c r="C1311" s="158"/>
      <c r="D1311" s="158"/>
      <c r="E1311" s="158"/>
      <c r="F1311" s="158"/>
      <c r="G1311" s="158"/>
      <c r="H1311" s="158"/>
      <c r="I1311" s="158"/>
      <c r="J1311" s="158"/>
      <c r="K1311" s="158"/>
      <c r="L1311" s="158"/>
      <c r="M1311" s="158"/>
      <c r="N1311" s="158"/>
      <c r="O1311" s="158"/>
      <c r="P1311" s="158"/>
      <c r="Q1311" s="158"/>
      <c r="R1311" s="158"/>
      <c r="S1311" s="158"/>
      <c r="T1311" s="158"/>
      <c r="U1311" s="158"/>
      <c r="V1311" s="158"/>
      <c r="W1311" s="158"/>
      <c r="X1311" s="158"/>
    </row>
    <row r="1312">
      <c r="A1312" s="176"/>
      <c r="B1312" s="177"/>
      <c r="C1312" s="158"/>
      <c r="D1312" s="158"/>
      <c r="E1312" s="158"/>
      <c r="F1312" s="158"/>
      <c r="G1312" s="158"/>
      <c r="H1312" s="158"/>
      <c r="I1312" s="158"/>
      <c r="J1312" s="158"/>
      <c r="K1312" s="158"/>
      <c r="L1312" s="158"/>
      <c r="M1312" s="158"/>
      <c r="N1312" s="158"/>
      <c r="O1312" s="158"/>
      <c r="P1312" s="158"/>
      <c r="Q1312" s="158"/>
      <c r="R1312" s="158"/>
      <c r="S1312" s="158"/>
      <c r="T1312" s="158"/>
      <c r="U1312" s="158"/>
      <c r="V1312" s="158"/>
      <c r="W1312" s="158"/>
      <c r="X1312" s="158"/>
    </row>
    <row r="1313">
      <c r="A1313" s="176"/>
      <c r="B1313" s="177"/>
      <c r="C1313" s="158"/>
      <c r="D1313" s="158"/>
      <c r="E1313" s="158"/>
      <c r="F1313" s="158"/>
      <c r="G1313" s="158"/>
      <c r="H1313" s="158"/>
      <c r="I1313" s="158"/>
      <c r="J1313" s="158"/>
      <c r="K1313" s="158"/>
      <c r="L1313" s="158"/>
      <c r="M1313" s="158"/>
      <c r="N1313" s="158"/>
      <c r="O1313" s="158"/>
      <c r="P1313" s="158"/>
      <c r="Q1313" s="158"/>
      <c r="R1313" s="158"/>
      <c r="S1313" s="158"/>
      <c r="T1313" s="158"/>
      <c r="U1313" s="158"/>
      <c r="V1313" s="158"/>
      <c r="W1313" s="158"/>
      <c r="X1313" s="158"/>
    </row>
    <row r="1314">
      <c r="A1314" s="176"/>
      <c r="B1314" s="177"/>
      <c r="C1314" s="158"/>
      <c r="D1314" s="158"/>
      <c r="E1314" s="158"/>
      <c r="F1314" s="158"/>
      <c r="G1314" s="158"/>
      <c r="H1314" s="158"/>
      <c r="I1314" s="158"/>
      <c r="J1314" s="158"/>
      <c r="K1314" s="158"/>
      <c r="L1314" s="158"/>
      <c r="M1314" s="158"/>
      <c r="N1314" s="158"/>
      <c r="O1314" s="158"/>
      <c r="P1314" s="158"/>
      <c r="Q1314" s="158"/>
      <c r="R1314" s="158"/>
      <c r="S1314" s="158"/>
      <c r="T1314" s="158"/>
      <c r="U1314" s="158"/>
      <c r="V1314" s="158"/>
      <c r="W1314" s="158"/>
      <c r="X1314" s="158"/>
    </row>
    <row r="1315">
      <c r="A1315" s="176"/>
      <c r="B1315" s="177"/>
      <c r="C1315" s="158"/>
      <c r="D1315" s="158"/>
      <c r="E1315" s="158"/>
      <c r="F1315" s="158"/>
      <c r="G1315" s="158"/>
      <c r="H1315" s="158"/>
      <c r="I1315" s="158"/>
      <c r="J1315" s="158"/>
      <c r="K1315" s="158"/>
      <c r="L1315" s="158"/>
      <c r="M1315" s="158"/>
      <c r="N1315" s="158"/>
      <c r="O1315" s="158"/>
      <c r="P1315" s="158"/>
      <c r="Q1315" s="158"/>
      <c r="R1315" s="158"/>
      <c r="S1315" s="158"/>
      <c r="T1315" s="158"/>
      <c r="U1315" s="158"/>
      <c r="V1315" s="158"/>
      <c r="W1315" s="158"/>
      <c r="X1315" s="158"/>
    </row>
    <row r="1316">
      <c r="A1316" s="176"/>
      <c r="B1316" s="177"/>
      <c r="C1316" s="158"/>
      <c r="D1316" s="158"/>
      <c r="E1316" s="158"/>
      <c r="F1316" s="158"/>
      <c r="G1316" s="158"/>
      <c r="H1316" s="158"/>
      <c r="I1316" s="158"/>
      <c r="J1316" s="158"/>
      <c r="K1316" s="158"/>
      <c r="L1316" s="158"/>
      <c r="M1316" s="158"/>
      <c r="N1316" s="158"/>
      <c r="O1316" s="158"/>
      <c r="P1316" s="158"/>
      <c r="Q1316" s="158"/>
      <c r="R1316" s="158"/>
      <c r="S1316" s="158"/>
      <c r="T1316" s="158"/>
      <c r="U1316" s="158"/>
      <c r="V1316" s="158"/>
      <c r="W1316" s="158"/>
      <c r="X1316" s="158"/>
    </row>
    <row r="1317">
      <c r="A1317" s="176"/>
      <c r="B1317" s="177"/>
      <c r="C1317" s="158"/>
      <c r="D1317" s="158"/>
      <c r="E1317" s="158"/>
      <c r="F1317" s="158"/>
      <c r="G1317" s="158"/>
      <c r="H1317" s="158"/>
      <c r="I1317" s="158"/>
      <c r="J1317" s="158"/>
      <c r="K1317" s="158"/>
      <c r="L1317" s="158"/>
      <c r="M1317" s="158"/>
      <c r="N1317" s="158"/>
      <c r="O1317" s="158"/>
      <c r="P1317" s="158"/>
      <c r="Q1317" s="158"/>
      <c r="R1317" s="158"/>
      <c r="S1317" s="158"/>
      <c r="T1317" s="158"/>
      <c r="U1317" s="158"/>
      <c r="V1317" s="158"/>
      <c r="W1317" s="158"/>
      <c r="X1317" s="158"/>
    </row>
    <row r="1318">
      <c r="A1318" s="176"/>
      <c r="B1318" s="177"/>
      <c r="C1318" s="158"/>
      <c r="D1318" s="158"/>
      <c r="E1318" s="158"/>
      <c r="F1318" s="158"/>
      <c r="G1318" s="158"/>
      <c r="H1318" s="158"/>
      <c r="I1318" s="158"/>
      <c r="J1318" s="158"/>
      <c r="K1318" s="158"/>
      <c r="L1318" s="158"/>
      <c r="M1318" s="158"/>
      <c r="N1318" s="158"/>
      <c r="O1318" s="158"/>
      <c r="P1318" s="158"/>
      <c r="Q1318" s="158"/>
      <c r="R1318" s="158"/>
      <c r="S1318" s="158"/>
      <c r="T1318" s="158"/>
      <c r="U1318" s="158"/>
      <c r="V1318" s="158"/>
      <c r="W1318" s="158"/>
      <c r="X1318" s="158"/>
    </row>
    <row r="1319">
      <c r="A1319" s="176"/>
      <c r="B1319" s="177"/>
      <c r="C1319" s="158"/>
      <c r="D1319" s="158"/>
      <c r="E1319" s="158"/>
      <c r="F1319" s="158"/>
      <c r="G1319" s="158"/>
      <c r="H1319" s="158"/>
      <c r="I1319" s="158"/>
      <c r="J1319" s="158"/>
      <c r="K1319" s="158"/>
      <c r="L1319" s="158"/>
      <c r="M1319" s="158"/>
      <c r="N1319" s="158"/>
      <c r="O1319" s="158"/>
      <c r="P1319" s="158"/>
      <c r="Q1319" s="158"/>
      <c r="R1319" s="158"/>
      <c r="S1319" s="158"/>
      <c r="T1319" s="158"/>
      <c r="U1319" s="158"/>
      <c r="V1319" s="158"/>
      <c r="W1319" s="158"/>
      <c r="X1319" s="158"/>
    </row>
    <row r="1320">
      <c r="A1320" s="176"/>
      <c r="B1320" s="177"/>
      <c r="C1320" s="158"/>
      <c r="D1320" s="158"/>
      <c r="E1320" s="158"/>
      <c r="F1320" s="158"/>
      <c r="G1320" s="158"/>
      <c r="H1320" s="158"/>
      <c r="I1320" s="158"/>
      <c r="J1320" s="158"/>
      <c r="K1320" s="158"/>
      <c r="L1320" s="158"/>
      <c r="M1320" s="158"/>
      <c r="N1320" s="158"/>
      <c r="O1320" s="158"/>
      <c r="P1320" s="158"/>
      <c r="Q1320" s="158"/>
      <c r="R1320" s="158"/>
      <c r="S1320" s="158"/>
      <c r="T1320" s="158"/>
      <c r="U1320" s="158"/>
      <c r="V1320" s="158"/>
      <c r="W1320" s="158"/>
      <c r="X1320" s="158"/>
    </row>
    <row r="1321">
      <c r="A1321" s="176"/>
      <c r="B1321" s="177"/>
      <c r="C1321" s="158"/>
      <c r="D1321" s="158"/>
      <c r="E1321" s="158"/>
      <c r="F1321" s="158"/>
      <c r="G1321" s="158"/>
      <c r="H1321" s="158"/>
      <c r="I1321" s="158"/>
      <c r="J1321" s="158"/>
      <c r="K1321" s="158"/>
      <c r="L1321" s="158"/>
      <c r="M1321" s="158"/>
      <c r="N1321" s="158"/>
      <c r="O1321" s="158"/>
      <c r="P1321" s="158"/>
      <c r="Q1321" s="158"/>
      <c r="R1321" s="158"/>
      <c r="S1321" s="158"/>
      <c r="T1321" s="158"/>
      <c r="U1321" s="158"/>
      <c r="V1321" s="158"/>
      <c r="W1321" s="158"/>
      <c r="X1321" s="158"/>
    </row>
    <row r="1322">
      <c r="A1322" s="176"/>
      <c r="B1322" s="177"/>
      <c r="C1322" s="158"/>
      <c r="D1322" s="158"/>
      <c r="E1322" s="158"/>
      <c r="F1322" s="158"/>
      <c r="G1322" s="158"/>
      <c r="H1322" s="158"/>
      <c r="I1322" s="158"/>
      <c r="J1322" s="158"/>
      <c r="K1322" s="158"/>
      <c r="L1322" s="158"/>
      <c r="M1322" s="158"/>
      <c r="N1322" s="158"/>
      <c r="O1322" s="158"/>
      <c r="P1322" s="158"/>
      <c r="Q1322" s="158"/>
      <c r="R1322" s="158"/>
      <c r="S1322" s="158"/>
      <c r="T1322" s="158"/>
      <c r="U1322" s="158"/>
      <c r="V1322" s="158"/>
      <c r="W1322" s="158"/>
      <c r="X1322" s="158"/>
    </row>
    <row r="1323">
      <c r="A1323" s="176"/>
      <c r="B1323" s="177"/>
      <c r="C1323" s="158"/>
      <c r="D1323" s="158"/>
      <c r="E1323" s="158"/>
      <c r="F1323" s="158"/>
      <c r="G1323" s="158"/>
      <c r="H1323" s="158"/>
      <c r="I1323" s="158"/>
      <c r="J1323" s="158"/>
      <c r="K1323" s="158"/>
      <c r="L1323" s="158"/>
      <c r="M1323" s="158"/>
      <c r="N1323" s="158"/>
      <c r="O1323" s="158"/>
      <c r="P1323" s="158"/>
      <c r="Q1323" s="158"/>
      <c r="R1323" s="158"/>
      <c r="S1323" s="158"/>
      <c r="T1323" s="158"/>
      <c r="U1323" s="158"/>
      <c r="V1323" s="158"/>
      <c r="W1323" s="158"/>
      <c r="X1323" s="158"/>
    </row>
    <row r="1324">
      <c r="A1324" s="176"/>
      <c r="B1324" s="177"/>
      <c r="C1324" s="158"/>
      <c r="D1324" s="158"/>
      <c r="E1324" s="158"/>
      <c r="F1324" s="158"/>
      <c r="G1324" s="158"/>
      <c r="H1324" s="158"/>
      <c r="I1324" s="158"/>
      <c r="J1324" s="158"/>
      <c r="K1324" s="158"/>
      <c r="L1324" s="158"/>
      <c r="M1324" s="158"/>
      <c r="N1324" s="158"/>
      <c r="O1324" s="158"/>
      <c r="P1324" s="158"/>
      <c r="Q1324" s="158"/>
      <c r="R1324" s="158"/>
      <c r="S1324" s="158"/>
      <c r="T1324" s="158"/>
      <c r="U1324" s="158"/>
      <c r="V1324" s="158"/>
      <c r="W1324" s="158"/>
      <c r="X1324" s="158"/>
    </row>
    <row r="1325">
      <c r="A1325" s="176"/>
      <c r="B1325" s="177"/>
      <c r="C1325" s="158"/>
      <c r="D1325" s="158"/>
      <c r="E1325" s="158"/>
      <c r="F1325" s="158"/>
      <c r="G1325" s="158"/>
      <c r="H1325" s="158"/>
      <c r="I1325" s="158"/>
      <c r="J1325" s="158"/>
      <c r="K1325" s="158"/>
      <c r="L1325" s="158"/>
      <c r="M1325" s="158"/>
      <c r="N1325" s="158"/>
      <c r="O1325" s="158"/>
      <c r="P1325" s="158"/>
      <c r="Q1325" s="158"/>
      <c r="R1325" s="158"/>
      <c r="S1325" s="158"/>
      <c r="T1325" s="158"/>
      <c r="U1325" s="158"/>
      <c r="V1325" s="158"/>
      <c r="W1325" s="158"/>
      <c r="X1325" s="158"/>
    </row>
    <row r="1326">
      <c r="A1326" s="176"/>
      <c r="B1326" s="177"/>
      <c r="C1326" s="158"/>
      <c r="D1326" s="158"/>
      <c r="E1326" s="158"/>
      <c r="F1326" s="158"/>
      <c r="G1326" s="158"/>
      <c r="H1326" s="158"/>
      <c r="I1326" s="158"/>
      <c r="J1326" s="158"/>
      <c r="K1326" s="158"/>
      <c r="L1326" s="158"/>
      <c r="M1326" s="158"/>
      <c r="N1326" s="158"/>
      <c r="O1326" s="158"/>
      <c r="P1326" s="158"/>
      <c r="Q1326" s="158"/>
      <c r="R1326" s="158"/>
      <c r="S1326" s="158"/>
      <c r="T1326" s="158"/>
      <c r="U1326" s="158"/>
      <c r="V1326" s="158"/>
      <c r="W1326" s="158"/>
      <c r="X1326" s="158"/>
    </row>
    <row r="1327">
      <c r="A1327" s="176"/>
      <c r="B1327" s="177"/>
      <c r="C1327" s="158"/>
      <c r="D1327" s="158"/>
      <c r="E1327" s="158"/>
      <c r="G1327" s="158"/>
      <c r="H1327" s="158"/>
      <c r="I1327" s="158"/>
      <c r="J1327" s="158"/>
      <c r="K1327" s="158"/>
      <c r="L1327" s="158"/>
      <c r="M1327" s="158"/>
      <c r="N1327" s="158"/>
      <c r="O1327" s="158"/>
      <c r="P1327" s="158"/>
      <c r="Q1327" s="158"/>
      <c r="R1327" s="158"/>
      <c r="S1327" s="158"/>
      <c r="T1327" s="158"/>
      <c r="U1327" s="158"/>
      <c r="V1327" s="158"/>
      <c r="W1327" s="158"/>
      <c r="X1327" s="158"/>
    </row>
    <row r="1328">
      <c r="A1328" s="176"/>
      <c r="B1328" s="177"/>
      <c r="C1328" s="158"/>
      <c r="D1328" s="158"/>
      <c r="E1328" s="158"/>
      <c r="G1328" s="158"/>
      <c r="H1328" s="158"/>
      <c r="I1328" s="158"/>
      <c r="J1328" s="158"/>
      <c r="K1328" s="158"/>
      <c r="L1328" s="158"/>
      <c r="M1328" s="158"/>
      <c r="N1328" s="158"/>
      <c r="O1328" s="158"/>
      <c r="P1328" s="158"/>
      <c r="Q1328" s="158"/>
      <c r="R1328" s="158"/>
      <c r="S1328" s="158"/>
      <c r="T1328" s="158"/>
      <c r="U1328" s="158"/>
      <c r="V1328" s="158"/>
      <c r="W1328" s="158"/>
      <c r="X1328" s="158"/>
    </row>
  </sheetData>
  <autoFilter ref="$A$1:$AC$97">
    <sortState ref="A1:AC97">
      <sortCondition ref="A1:A97"/>
    </sortState>
  </autoFilter>
  <mergeCells count="285">
    <mergeCell ref="E394:F394"/>
    <mergeCell ref="E395:F395"/>
    <mergeCell ref="E396:F396"/>
    <mergeCell ref="E397:F397"/>
    <mergeCell ref="E398:F398"/>
    <mergeCell ref="E400:F400"/>
    <mergeCell ref="E402:F402"/>
    <mergeCell ref="E403:F403"/>
    <mergeCell ref="E404:F404"/>
    <mergeCell ref="E405:F405"/>
    <mergeCell ref="E406:F406"/>
    <mergeCell ref="E407:F407"/>
    <mergeCell ref="E408:F408"/>
    <mergeCell ref="E409:F409"/>
    <mergeCell ref="E410:F410"/>
    <mergeCell ref="E411:F411"/>
    <mergeCell ref="E414:F414"/>
    <mergeCell ref="E417:F417"/>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2:F432"/>
    <mergeCell ref="E434:F434"/>
    <mergeCell ref="E435:F435"/>
    <mergeCell ref="E436:F436"/>
    <mergeCell ref="E437:F437"/>
    <mergeCell ref="E438:F438"/>
    <mergeCell ref="E440:F440"/>
    <mergeCell ref="E441:F441"/>
    <mergeCell ref="E442:F442"/>
    <mergeCell ref="E443:F443"/>
    <mergeCell ref="E444:F444"/>
    <mergeCell ref="E446:F446"/>
    <mergeCell ref="E768:F768"/>
    <mergeCell ref="E792:F792"/>
    <mergeCell ref="E878:F878"/>
    <mergeCell ref="E880:F880"/>
    <mergeCell ref="E887:F887"/>
    <mergeCell ref="E888:F888"/>
    <mergeCell ref="E890:F890"/>
    <mergeCell ref="E893:F893"/>
    <mergeCell ref="E951:F951"/>
    <mergeCell ref="E952:F952"/>
    <mergeCell ref="E958:F958"/>
    <mergeCell ref="E960:F960"/>
    <mergeCell ref="E961:F961"/>
    <mergeCell ref="E962:F962"/>
    <mergeCell ref="E963:F963"/>
    <mergeCell ref="E964:F964"/>
    <mergeCell ref="E965:F965"/>
    <mergeCell ref="E973:F973"/>
    <mergeCell ref="E975:F975"/>
    <mergeCell ref="E978:F978"/>
    <mergeCell ref="E980:F980"/>
    <mergeCell ref="E984:F984"/>
    <mergeCell ref="E987:F987"/>
    <mergeCell ref="E990:F990"/>
    <mergeCell ref="E992:F992"/>
    <mergeCell ref="E993:F993"/>
    <mergeCell ref="E994:F994"/>
    <mergeCell ref="E1006:F1006"/>
    <mergeCell ref="E1007:F1007"/>
    <mergeCell ref="E1008:F1008"/>
    <mergeCell ref="E1009:F1009"/>
    <mergeCell ref="E1012:F1012"/>
    <mergeCell ref="E1026:F1026"/>
    <mergeCell ref="E1027:F1027"/>
    <mergeCell ref="E1028:F1028"/>
    <mergeCell ref="E1029:F1029"/>
    <mergeCell ref="E1030:F1030"/>
    <mergeCell ref="E1032:F1032"/>
    <mergeCell ref="E1035:F1035"/>
    <mergeCell ref="E1036:F1036"/>
    <mergeCell ref="E1037:F1037"/>
    <mergeCell ref="E1038:F1038"/>
    <mergeCell ref="E1039:F1039"/>
    <mergeCell ref="E1040:F1040"/>
    <mergeCell ref="E1041:F1041"/>
    <mergeCell ref="E1068:F1068"/>
    <mergeCell ref="E1084:F1084"/>
    <mergeCell ref="E1088:F1088"/>
    <mergeCell ref="E1124:F1124"/>
    <mergeCell ref="E1126:F1126"/>
    <mergeCell ref="E1128:F1128"/>
    <mergeCell ref="E1129:F1129"/>
    <mergeCell ref="E1130:F1130"/>
    <mergeCell ref="E1133:F1133"/>
    <mergeCell ref="E1142:F1142"/>
    <mergeCell ref="E1145:F1145"/>
    <mergeCell ref="E217:F217"/>
    <mergeCell ref="E219:F219"/>
    <mergeCell ref="E220:F220"/>
    <mergeCell ref="E221:F221"/>
    <mergeCell ref="E225:F225"/>
    <mergeCell ref="E233:F233"/>
    <mergeCell ref="E235:F235"/>
    <mergeCell ref="E236:F236"/>
    <mergeCell ref="E237:F237"/>
    <mergeCell ref="E239:F239"/>
    <mergeCell ref="E240:F240"/>
    <mergeCell ref="E241:F241"/>
    <mergeCell ref="E242:F242"/>
    <mergeCell ref="E243:F243"/>
    <mergeCell ref="E245:F245"/>
    <mergeCell ref="E246:F246"/>
    <mergeCell ref="E247:F247"/>
    <mergeCell ref="E248:F248"/>
    <mergeCell ref="E249:F249"/>
    <mergeCell ref="E250:F250"/>
    <mergeCell ref="E251:F251"/>
    <mergeCell ref="E252:F252"/>
    <mergeCell ref="E254:F254"/>
    <mergeCell ref="E258:F258"/>
    <mergeCell ref="E259:F259"/>
    <mergeCell ref="E260:F260"/>
    <mergeCell ref="E261:F261"/>
    <mergeCell ref="E262:F262"/>
    <mergeCell ref="E100:F100"/>
    <mergeCell ref="E109:F109"/>
    <mergeCell ref="E119:F119"/>
    <mergeCell ref="E139:F139"/>
    <mergeCell ref="E140:F140"/>
    <mergeCell ref="E141:F141"/>
    <mergeCell ref="E162:F162"/>
    <mergeCell ref="E170:F170"/>
    <mergeCell ref="E171:F171"/>
    <mergeCell ref="E172:F172"/>
    <mergeCell ref="E173:F173"/>
    <mergeCell ref="E174:F174"/>
    <mergeCell ref="E175:F175"/>
    <mergeCell ref="E177:F177"/>
    <mergeCell ref="E178:F178"/>
    <mergeCell ref="E180:F180"/>
    <mergeCell ref="E181:F181"/>
    <mergeCell ref="E184:F184"/>
    <mergeCell ref="E185:F185"/>
    <mergeCell ref="E187:F187"/>
    <mergeCell ref="E189:F189"/>
    <mergeCell ref="E190:F190"/>
    <mergeCell ref="E191:F191"/>
    <mergeCell ref="E192:F192"/>
    <mergeCell ref="E194:F194"/>
    <mergeCell ref="E196:F196"/>
    <mergeCell ref="E200:F200"/>
    <mergeCell ref="E201:F201"/>
    <mergeCell ref="E202:F202"/>
    <mergeCell ref="E203:F203"/>
    <mergeCell ref="E204:F204"/>
    <mergeCell ref="E205:F205"/>
    <mergeCell ref="E206:F206"/>
    <mergeCell ref="E208:F208"/>
    <mergeCell ref="E209:F209"/>
    <mergeCell ref="E210:F210"/>
    <mergeCell ref="E211:F211"/>
    <mergeCell ref="E212:F212"/>
    <mergeCell ref="E213:F213"/>
    <mergeCell ref="E214:F214"/>
    <mergeCell ref="E215:F215"/>
    <mergeCell ref="E216:F216"/>
    <mergeCell ref="E264:F264"/>
    <mergeCell ref="E265:F265"/>
    <mergeCell ref="E266:F266"/>
    <mergeCell ref="E267:F267"/>
    <mergeCell ref="E268:F268"/>
    <mergeCell ref="E274:F274"/>
    <mergeCell ref="E275:F275"/>
    <mergeCell ref="E276:F276"/>
    <mergeCell ref="E277:F277"/>
    <mergeCell ref="E280:F280"/>
    <mergeCell ref="E281:F281"/>
    <mergeCell ref="E285:F285"/>
    <mergeCell ref="E286:F286"/>
    <mergeCell ref="E287:F287"/>
    <mergeCell ref="E288:F288"/>
    <mergeCell ref="E290:F290"/>
    <mergeCell ref="E291:F291"/>
    <mergeCell ref="E292:F292"/>
    <mergeCell ref="E294:F294"/>
    <mergeCell ref="E295:F295"/>
    <mergeCell ref="E297:F297"/>
    <mergeCell ref="E299:F299"/>
    <mergeCell ref="E300:F300"/>
    <mergeCell ref="E301:F301"/>
    <mergeCell ref="E305:F305"/>
    <mergeCell ref="E310:F310"/>
    <mergeCell ref="E316:F316"/>
    <mergeCell ref="E319:F319"/>
    <mergeCell ref="E321:F321"/>
    <mergeCell ref="E329:F329"/>
    <mergeCell ref="E333:F333"/>
    <mergeCell ref="E335:F335"/>
    <mergeCell ref="E343:F343"/>
    <mergeCell ref="E347:F347"/>
    <mergeCell ref="E348:F348"/>
    <mergeCell ref="E357:F357"/>
    <mergeCell ref="E358:F358"/>
    <mergeCell ref="E359:F359"/>
    <mergeCell ref="E360:F360"/>
    <mergeCell ref="E361:F361"/>
    <mergeCell ref="E362:F362"/>
    <mergeCell ref="E363:F363"/>
    <mergeCell ref="E364:F364"/>
    <mergeCell ref="E366:F366"/>
    <mergeCell ref="E367:F367"/>
    <mergeCell ref="E368:F368"/>
    <mergeCell ref="E369:F369"/>
    <mergeCell ref="E370:F370"/>
    <mergeCell ref="E371:F371"/>
    <mergeCell ref="E375:F375"/>
    <mergeCell ref="E376:F376"/>
    <mergeCell ref="E377:F377"/>
    <mergeCell ref="E378:F378"/>
    <mergeCell ref="E387:F387"/>
    <mergeCell ref="E392:F392"/>
    <mergeCell ref="E393:F393"/>
    <mergeCell ref="E447:F447"/>
    <mergeCell ref="E448:F448"/>
    <mergeCell ref="E449:F449"/>
    <mergeCell ref="E450:F450"/>
    <mergeCell ref="E451:F451"/>
    <mergeCell ref="E454:F454"/>
    <mergeCell ref="E459:F459"/>
    <mergeCell ref="E461:F461"/>
    <mergeCell ref="E474:F474"/>
    <mergeCell ref="E491:F491"/>
    <mergeCell ref="E514:F514"/>
    <mergeCell ref="E526:F526"/>
    <mergeCell ref="E527:F527"/>
    <mergeCell ref="E554:F554"/>
    <mergeCell ref="E567:F567"/>
    <mergeCell ref="E568:F568"/>
    <mergeCell ref="E569:F569"/>
    <mergeCell ref="E600:F600"/>
    <mergeCell ref="E604:F604"/>
    <mergeCell ref="E606:F606"/>
    <mergeCell ref="E607:F607"/>
    <mergeCell ref="E609:F609"/>
    <mergeCell ref="E621:F621"/>
    <mergeCell ref="E701:F701"/>
    <mergeCell ref="E725:F725"/>
    <mergeCell ref="E732:F732"/>
    <mergeCell ref="E745:F745"/>
    <mergeCell ref="E764:F764"/>
    <mergeCell ref="E1151:F1151"/>
    <mergeCell ref="E1172:F1172"/>
    <mergeCell ref="E1174:F1174"/>
    <mergeCell ref="E1175:F1175"/>
    <mergeCell ref="E1176:F1176"/>
    <mergeCell ref="E1190:F1190"/>
    <mergeCell ref="E1191:F1191"/>
    <mergeCell ref="E1192:F1192"/>
    <mergeCell ref="E1193:F1193"/>
    <mergeCell ref="E1195:F1195"/>
    <mergeCell ref="E1196:F1196"/>
    <mergeCell ref="E1197:F1197"/>
    <mergeCell ref="E1198:F1198"/>
    <mergeCell ref="E1199:F1199"/>
    <mergeCell ref="E1200:F1200"/>
    <mergeCell ref="E1201:F1201"/>
    <mergeCell ref="E1203:F1203"/>
    <mergeCell ref="E1204:F1204"/>
    <mergeCell ref="E1265:F1265"/>
    <mergeCell ref="E1266:F1266"/>
    <mergeCell ref="E1273:F1273"/>
    <mergeCell ref="E1295:F1295"/>
    <mergeCell ref="E1296:F1296"/>
    <mergeCell ref="E1305:F1305"/>
    <mergeCell ref="E1327:F1327"/>
    <mergeCell ref="E1328:F1328"/>
    <mergeCell ref="E1274:F1274"/>
    <mergeCell ref="E1275:F1275"/>
    <mergeCell ref="E1276:F1276"/>
    <mergeCell ref="E1277:F1277"/>
    <mergeCell ref="E1283:F1283"/>
    <mergeCell ref="E1284:F1284"/>
    <mergeCell ref="E1286:F1286"/>
  </mergeCells>
  <dataValidations>
    <dataValidation type="list" allowBlank="1" showErrorMessage="1" sqref="A2:A97">
      <formula1>" Not available but interested in next event,Attending,Not Attending"</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4"/>
    <hyperlink r:id="rId22" ref="F25"/>
    <hyperlink r:id="rId23" ref="F26"/>
    <hyperlink r:id="rId24" ref="F27"/>
    <hyperlink r:id="rId25" ref="F29"/>
    <hyperlink r:id="rId26" ref="I29"/>
    <hyperlink r:id="rId27" ref="F30"/>
    <hyperlink r:id="rId28" ref="F32"/>
    <hyperlink r:id="rId29" ref="F33"/>
    <hyperlink r:id="rId30" ref="F34"/>
    <hyperlink r:id="rId31" ref="F35"/>
    <hyperlink r:id="rId32" ref="F36"/>
    <hyperlink r:id="rId33" ref="F37"/>
    <hyperlink r:id="rId34" ref="I37"/>
    <hyperlink r:id="rId35" ref="F38"/>
    <hyperlink r:id="rId36" ref="F39"/>
    <hyperlink r:id="rId37" ref="F40"/>
    <hyperlink r:id="rId38" ref="F41"/>
    <hyperlink r:id="rId39" ref="F42"/>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6"/>
    <hyperlink r:id="rId54" ref="F57"/>
    <hyperlink r:id="rId55" ref="F58"/>
    <hyperlink r:id="rId56" ref="F59"/>
    <hyperlink r:id="rId57" ref="F60"/>
    <hyperlink r:id="rId58" ref="F61"/>
    <hyperlink r:id="rId59" ref="F62"/>
    <hyperlink r:id="rId60" ref="F63"/>
    <hyperlink r:id="rId61" ref="F64"/>
    <hyperlink r:id="rId62" ref="F65"/>
    <hyperlink r:id="rId63" ref="F66"/>
    <hyperlink r:id="rId64" ref="F67"/>
    <hyperlink r:id="rId65" ref="I67"/>
    <hyperlink r:id="rId66" ref="F68"/>
    <hyperlink r:id="rId67" ref="I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location="record=5%29" ref="I93"/>
    <hyperlink r:id="rId94" ref="F94"/>
    <hyperlink r:id="rId95" ref="F95"/>
    <hyperlink r:id="rId96" ref="F96"/>
    <hyperlink r:id="rId97" ref="I96"/>
    <hyperlink r:id="rId98" ref="F97"/>
  </hyperlinks>
  <drawing r:id="rId99"/>
</worksheet>
</file>